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droz-fs01.hq.corp.mos.ru\DATA\Полянка\Рабочая папка (УЭиТР)\2023\Техзадания\ММГН-2023\"/>
    </mc:Choice>
  </mc:AlternateContent>
  <bookViews>
    <workbookView minimized="1" xWindow="32760" yWindow="32760" windowWidth="32760" windowHeight="32760"/>
  </bookViews>
  <sheets>
    <sheet name="Смета по ТСН-2001(с доп.67" sheetId="6" r:id="rId1"/>
    <sheet name="Дефектная ведомость" sheetId="7" r:id="rId2"/>
    <sheet name="Объектная смета" sheetId="8" r:id="rId3"/>
    <sheet name="RV_DATA" sheetId="10" state="hidden" r:id="rId4"/>
    <sheet name="Расчет стоимости ресурсов" sheetId="9" r:id="rId5"/>
    <sheet name="Source" sheetId="1" r:id="rId6"/>
    <sheet name="SourceObSm" sheetId="2" r:id="rId7"/>
    <sheet name="SmtRes" sheetId="3" r:id="rId8"/>
    <sheet name="EtalonRes" sheetId="4" r:id="rId9"/>
    <sheet name="SrcKA" sheetId="5" r:id="rId10"/>
  </sheets>
  <definedNames>
    <definedName name="_xlnm.Print_Titles" localSheetId="1">'Дефектная ведомость'!$18:$18</definedName>
    <definedName name="_xlnm.Print_Titles" localSheetId="2">'Объектная смета'!$22:$22</definedName>
    <definedName name="_xlnm.Print_Titles" localSheetId="4">'Расчет стоимости ресурсов'!$4:$7</definedName>
    <definedName name="_xlnm.Print_Titles" localSheetId="0">'Смета по ТСН-2001(с доп.67'!$34:$34</definedName>
    <definedName name="_xlnm.Print_Area" localSheetId="1">'Дефектная ведомость'!$A$1:$E$323</definedName>
    <definedName name="_xlnm.Print_Area" localSheetId="4">'Расчет стоимости ресурсов'!$A$1:$F$556</definedName>
    <definedName name="_xlnm.Print_Area" localSheetId="0">'Смета по ТСН-2001(с доп.67'!$A$1:$K$1706</definedName>
  </definedNames>
  <calcPr calcId="162913" iterate="1"/>
</workbook>
</file>

<file path=xl/calcChain.xml><?xml version="1.0" encoding="utf-8"?>
<calcChain xmlns="http://schemas.openxmlformats.org/spreadsheetml/2006/main">
  <c r="E553" i="9" l="1"/>
  <c r="A549" i="9"/>
  <c r="E546" i="9"/>
  <c r="E545" i="9"/>
  <c r="E544" i="9"/>
  <c r="E543" i="9"/>
  <c r="E542" i="9"/>
  <c r="A541" i="9"/>
  <c r="A539" i="9"/>
  <c r="E536" i="9"/>
  <c r="A532" i="9"/>
  <c r="A519" i="9"/>
  <c r="A498" i="9"/>
  <c r="A497" i="9"/>
  <c r="E495" i="9"/>
  <c r="E494" i="9"/>
  <c r="A490" i="9"/>
  <c r="A483" i="9"/>
  <c r="A448" i="9"/>
  <c r="A426" i="9"/>
  <c r="A373" i="9"/>
  <c r="A352" i="9"/>
  <c r="A351" i="9"/>
  <c r="E349" i="9"/>
  <c r="E348" i="9"/>
  <c r="E346" i="9"/>
  <c r="A344" i="9"/>
  <c r="A316" i="9"/>
  <c r="A312" i="9"/>
  <c r="A311" i="9"/>
  <c r="E308" i="9"/>
  <c r="E306" i="9"/>
  <c r="A304" i="9"/>
  <c r="A288" i="9"/>
  <c r="A271" i="9"/>
  <c r="A270" i="9"/>
  <c r="E268" i="9"/>
  <c r="E267" i="9"/>
  <c r="A263" i="9"/>
  <c r="A197" i="9"/>
  <c r="A178" i="9"/>
  <c r="A177" i="9"/>
  <c r="E175" i="9"/>
  <c r="E174" i="9"/>
  <c r="A170" i="9"/>
  <c r="A163" i="9"/>
  <c r="A66" i="9"/>
  <c r="A49" i="9"/>
  <c r="A48" i="9"/>
  <c r="E46" i="9"/>
  <c r="E45" i="9"/>
  <c r="A41" i="9"/>
  <c r="A13" i="9"/>
  <c r="A9" i="9"/>
  <c r="A8" i="9"/>
  <c r="A3" i="9"/>
  <c r="G596" i="10"/>
  <c r="A596" i="10"/>
  <c r="Y595" i="10"/>
  <c r="S595" i="10"/>
  <c r="T595" i="10" s="1"/>
  <c r="P595" i="10"/>
  <c r="R595" i="10" s="1"/>
  <c r="N595" i="10"/>
  <c r="E525" i="9" s="1"/>
  <c r="K595" i="10"/>
  <c r="M595" i="10" s="1"/>
  <c r="I595" i="10"/>
  <c r="D525" i="9" s="1"/>
  <c r="H595" i="10"/>
  <c r="G595" i="10"/>
  <c r="F595" i="10"/>
  <c r="E595" i="10"/>
  <c r="D595" i="10"/>
  <c r="A595" i="10"/>
  <c r="Y594" i="10"/>
  <c r="S594" i="10"/>
  <c r="T594" i="10" s="1"/>
  <c r="P594" i="10"/>
  <c r="R594" i="10" s="1"/>
  <c r="N594" i="10"/>
  <c r="E524" i="9" s="1"/>
  <c r="K594" i="10"/>
  <c r="M594" i="10" s="1"/>
  <c r="I594" i="10"/>
  <c r="D524" i="9" s="1"/>
  <c r="H594" i="10"/>
  <c r="G594" i="10"/>
  <c r="F594" i="10"/>
  <c r="E594" i="10"/>
  <c r="D594" i="10"/>
  <c r="A594" i="10"/>
  <c r="Y593" i="10"/>
  <c r="S593" i="10"/>
  <c r="T593" i="10" s="1"/>
  <c r="P593" i="10"/>
  <c r="R593" i="10" s="1"/>
  <c r="N593" i="10"/>
  <c r="E523" i="9" s="1"/>
  <c r="K593" i="10"/>
  <c r="M593" i="10" s="1"/>
  <c r="I593" i="10"/>
  <c r="D523" i="9" s="1"/>
  <c r="H593" i="10"/>
  <c r="G593" i="10"/>
  <c r="F593" i="10"/>
  <c r="E593" i="10"/>
  <c r="D593" i="10"/>
  <c r="A593" i="10"/>
  <c r="Y592" i="10"/>
  <c r="S592" i="10"/>
  <c r="T592" i="10" s="1"/>
  <c r="P592" i="10"/>
  <c r="R592" i="10" s="1"/>
  <c r="N592" i="10"/>
  <c r="E522" i="9" s="1"/>
  <c r="K592" i="10"/>
  <c r="M592" i="10" s="1"/>
  <c r="I592" i="10"/>
  <c r="D522" i="9" s="1"/>
  <c r="H592" i="10"/>
  <c r="G592" i="10"/>
  <c r="F592" i="10"/>
  <c r="E592" i="10"/>
  <c r="D592" i="10"/>
  <c r="A592" i="10"/>
  <c r="Y591" i="10"/>
  <c r="S591" i="10"/>
  <c r="T591" i="10" s="1"/>
  <c r="P591" i="10"/>
  <c r="R591" i="10" s="1"/>
  <c r="N591" i="10"/>
  <c r="E521" i="9" s="1"/>
  <c r="K591" i="10"/>
  <c r="M591" i="10" s="1"/>
  <c r="I591" i="10"/>
  <c r="D521" i="9" s="1"/>
  <c r="H591" i="10"/>
  <c r="G591" i="10"/>
  <c r="F591" i="10"/>
  <c r="E591" i="10"/>
  <c r="D591" i="10"/>
  <c r="A591" i="10"/>
  <c r="Y590" i="10"/>
  <c r="S590" i="10"/>
  <c r="T590" i="10" s="1"/>
  <c r="P590" i="10"/>
  <c r="R590" i="10" s="1"/>
  <c r="N590" i="10"/>
  <c r="E529" i="9" s="1"/>
  <c r="K590" i="10"/>
  <c r="M590" i="10" s="1"/>
  <c r="I590" i="10"/>
  <c r="D529" i="9" s="1"/>
  <c r="H590" i="10"/>
  <c r="G590" i="10"/>
  <c r="F590" i="10"/>
  <c r="E590" i="10"/>
  <c r="D590" i="10"/>
  <c r="A590" i="10"/>
  <c r="Y589" i="10"/>
  <c r="S589" i="10"/>
  <c r="T589" i="10" s="1"/>
  <c r="P589" i="10"/>
  <c r="R589" i="10" s="1"/>
  <c r="N589" i="10"/>
  <c r="E528" i="9" s="1"/>
  <c r="K589" i="10"/>
  <c r="M589" i="10" s="1"/>
  <c r="I589" i="10"/>
  <c r="D528" i="9" s="1"/>
  <c r="H589" i="10"/>
  <c r="G589" i="10"/>
  <c r="F589" i="10"/>
  <c r="E589" i="10"/>
  <c r="D589" i="10"/>
  <c r="A589" i="10"/>
  <c r="G588" i="10"/>
  <c r="A588" i="10"/>
  <c r="Y587" i="10"/>
  <c r="R587" i="10"/>
  <c r="Q587" i="10"/>
  <c r="T587" i="10" s="1"/>
  <c r="S587" i="10"/>
  <c r="P587" i="10"/>
  <c r="O587" i="10"/>
  <c r="L587" i="10"/>
  <c r="M587" i="10" s="1"/>
  <c r="N587" i="10"/>
  <c r="K587" i="10"/>
  <c r="J587" i="10"/>
  <c r="I587" i="10"/>
  <c r="H587" i="10"/>
  <c r="G587" i="10"/>
  <c r="F587" i="10"/>
  <c r="E587" i="10"/>
  <c r="Y586" i="10"/>
  <c r="T586" i="10"/>
  <c r="Q586" i="10"/>
  <c r="R586" i="10" s="1"/>
  <c r="S586" i="10"/>
  <c r="P586" i="10"/>
  <c r="M586" i="10"/>
  <c r="L586" i="10"/>
  <c r="O586" i="10" s="1"/>
  <c r="N586" i="10"/>
  <c r="K586" i="10"/>
  <c r="J586" i="10"/>
  <c r="I586" i="10"/>
  <c r="H586" i="10"/>
  <c r="G586" i="10"/>
  <c r="F586" i="10"/>
  <c r="E586" i="10"/>
  <c r="Y585" i="10"/>
  <c r="S585" i="10"/>
  <c r="T585" i="10" s="1"/>
  <c r="P585" i="10"/>
  <c r="R585" i="10" s="1"/>
  <c r="N585" i="10"/>
  <c r="E517" i="9" s="1"/>
  <c r="K585" i="10"/>
  <c r="M585" i="10" s="1"/>
  <c r="I585" i="10"/>
  <c r="D517" i="9" s="1"/>
  <c r="H585" i="10"/>
  <c r="G585" i="10"/>
  <c r="F585" i="10"/>
  <c r="E585" i="10"/>
  <c r="D585" i="10"/>
  <c r="A585" i="10"/>
  <c r="Y584" i="10"/>
  <c r="S584" i="10"/>
  <c r="T584" i="10" s="1"/>
  <c r="P584" i="10"/>
  <c r="R584" i="10" s="1"/>
  <c r="N584" i="10"/>
  <c r="E516" i="9" s="1"/>
  <c r="K584" i="10"/>
  <c r="M584" i="10" s="1"/>
  <c r="I584" i="10"/>
  <c r="D516" i="9" s="1"/>
  <c r="H584" i="10"/>
  <c r="G584" i="10"/>
  <c r="F584" i="10"/>
  <c r="E584" i="10"/>
  <c r="D584" i="10"/>
  <c r="A584" i="10"/>
  <c r="Y583" i="10"/>
  <c r="T583" i="10"/>
  <c r="R583" i="10"/>
  <c r="Q583" i="10"/>
  <c r="S583" i="10"/>
  <c r="P583" i="10"/>
  <c r="L583" i="10"/>
  <c r="N583" i="10"/>
  <c r="K583" i="10"/>
  <c r="J583" i="10"/>
  <c r="I583" i="10"/>
  <c r="H583" i="10"/>
  <c r="G583" i="10"/>
  <c r="F583" i="10"/>
  <c r="E583" i="10"/>
  <c r="Y582" i="10"/>
  <c r="Q582" i="10"/>
  <c r="S582" i="10"/>
  <c r="P582" i="10"/>
  <c r="M582" i="10"/>
  <c r="L582" i="10"/>
  <c r="O582" i="10" s="1"/>
  <c r="F509" i="9" s="1"/>
  <c r="N582" i="10"/>
  <c r="E509" i="9" s="1"/>
  <c r="K582" i="10"/>
  <c r="J582" i="10"/>
  <c r="I582" i="10"/>
  <c r="D509" i="9" s="1"/>
  <c r="H582" i="10"/>
  <c r="G582" i="10"/>
  <c r="F582" i="10"/>
  <c r="E582" i="10"/>
  <c r="Y581" i="10"/>
  <c r="R581" i="10"/>
  <c r="Q581" i="10"/>
  <c r="T581" i="10" s="1"/>
  <c r="S581" i="10"/>
  <c r="P581" i="10"/>
  <c r="O581" i="10"/>
  <c r="L581" i="10"/>
  <c r="M581" i="10" s="1"/>
  <c r="N581" i="10"/>
  <c r="K581" i="10"/>
  <c r="J581" i="10"/>
  <c r="I581" i="10"/>
  <c r="H581" i="10"/>
  <c r="G581" i="10"/>
  <c r="F581" i="10"/>
  <c r="E581" i="10"/>
  <c r="Y580" i="10"/>
  <c r="T580" i="10"/>
  <c r="S580" i="10"/>
  <c r="P580" i="10"/>
  <c r="O580" i="10"/>
  <c r="F512" i="9" s="1"/>
  <c r="N580" i="10"/>
  <c r="E512" i="9" s="1"/>
  <c r="K580" i="10"/>
  <c r="I580" i="10"/>
  <c r="H580" i="10"/>
  <c r="G580" i="10"/>
  <c r="F580" i="10"/>
  <c r="E580" i="10"/>
  <c r="D580" i="10"/>
  <c r="A580" i="10"/>
  <c r="Y579" i="10"/>
  <c r="S579" i="10"/>
  <c r="P579" i="10"/>
  <c r="N579" i="10"/>
  <c r="E515" i="9" s="1"/>
  <c r="K579" i="10"/>
  <c r="I579" i="10"/>
  <c r="H579" i="10"/>
  <c r="G579" i="10"/>
  <c r="F579" i="10"/>
  <c r="E579" i="10"/>
  <c r="D579" i="10"/>
  <c r="A579" i="10"/>
  <c r="Y578" i="10"/>
  <c r="T578" i="10"/>
  <c r="S578" i="10"/>
  <c r="P578" i="10"/>
  <c r="O578" i="10"/>
  <c r="F511" i="9" s="1"/>
  <c r="N578" i="10"/>
  <c r="E511" i="9" s="1"/>
  <c r="K578" i="10"/>
  <c r="I578" i="10"/>
  <c r="H578" i="10"/>
  <c r="G578" i="10"/>
  <c r="F578" i="10"/>
  <c r="E578" i="10"/>
  <c r="D578" i="10"/>
  <c r="A578" i="10"/>
  <c r="Y577" i="10"/>
  <c r="T577" i="10"/>
  <c r="Q577" i="10"/>
  <c r="R577" i="10" s="1"/>
  <c r="S577" i="10"/>
  <c r="P577" i="10"/>
  <c r="O577" i="10"/>
  <c r="M577" i="10"/>
  <c r="L577" i="10"/>
  <c r="N577" i="10"/>
  <c r="K577" i="10"/>
  <c r="J577" i="10"/>
  <c r="I577" i="10"/>
  <c r="H577" i="10"/>
  <c r="G577" i="10"/>
  <c r="F577" i="10"/>
  <c r="E577" i="10"/>
  <c r="Y576" i="10"/>
  <c r="T576" i="10"/>
  <c r="R576" i="10"/>
  <c r="Q576" i="10"/>
  <c r="S576" i="10"/>
  <c r="P576" i="10"/>
  <c r="L576" i="10"/>
  <c r="N576" i="10"/>
  <c r="E503" i="9" s="1"/>
  <c r="K576" i="10"/>
  <c r="J576" i="10"/>
  <c r="I576" i="10"/>
  <c r="D503" i="9" s="1"/>
  <c r="H576" i="10"/>
  <c r="G576" i="10"/>
  <c r="F576" i="10"/>
  <c r="E576" i="10"/>
  <c r="Y575" i="10"/>
  <c r="Q575" i="10"/>
  <c r="S575" i="10"/>
  <c r="P575" i="10"/>
  <c r="M575" i="10"/>
  <c r="L575" i="10"/>
  <c r="O575" i="10" s="1"/>
  <c r="F504" i="9" s="1"/>
  <c r="N575" i="10"/>
  <c r="E504" i="9" s="1"/>
  <c r="K575" i="10"/>
  <c r="J575" i="10"/>
  <c r="I575" i="10"/>
  <c r="D504" i="9" s="1"/>
  <c r="H575" i="10"/>
  <c r="G575" i="10"/>
  <c r="F575" i="10"/>
  <c r="E575" i="10"/>
  <c r="Y574" i="10"/>
  <c r="R574" i="10"/>
  <c r="Q574" i="10"/>
  <c r="T574" i="10" s="1"/>
  <c r="S574" i="10"/>
  <c r="P574" i="10"/>
  <c r="O574" i="10"/>
  <c r="F508" i="9" s="1"/>
  <c r="L574" i="10"/>
  <c r="M574" i="10" s="1"/>
  <c r="N574" i="10"/>
  <c r="E508" i="9" s="1"/>
  <c r="K574" i="10"/>
  <c r="J574" i="10"/>
  <c r="I574" i="10"/>
  <c r="D508" i="9" s="1"/>
  <c r="H574" i="10"/>
  <c r="G574" i="10"/>
  <c r="F574" i="10"/>
  <c r="E574" i="10"/>
  <c r="Y573" i="10"/>
  <c r="S573" i="10"/>
  <c r="P573" i="10"/>
  <c r="N573" i="10"/>
  <c r="E514" i="9" s="1"/>
  <c r="K573" i="10"/>
  <c r="I573" i="10"/>
  <c r="H573" i="10"/>
  <c r="G573" i="10"/>
  <c r="F573" i="10"/>
  <c r="E573" i="10"/>
  <c r="D573" i="10"/>
  <c r="A573" i="10"/>
  <c r="Y572" i="10"/>
  <c r="T572" i="10"/>
  <c r="S572" i="10"/>
  <c r="P572" i="10"/>
  <c r="O572" i="10"/>
  <c r="F510" i="9" s="1"/>
  <c r="N572" i="10"/>
  <c r="E510" i="9" s="1"/>
  <c r="K572" i="10"/>
  <c r="I572" i="10"/>
  <c r="H572" i="10"/>
  <c r="G572" i="10"/>
  <c r="F572" i="10"/>
  <c r="E572" i="10"/>
  <c r="D572" i="10"/>
  <c r="A572" i="10"/>
  <c r="Y571" i="10"/>
  <c r="T571" i="10"/>
  <c r="Q571" i="10"/>
  <c r="R571" i="10" s="1"/>
  <c r="S571" i="10"/>
  <c r="P571" i="10"/>
  <c r="O571" i="10"/>
  <c r="M571" i="10"/>
  <c r="L571" i="10"/>
  <c r="N571" i="10"/>
  <c r="E500" i="9" s="1"/>
  <c r="K571" i="10"/>
  <c r="J571" i="10"/>
  <c r="I571" i="10"/>
  <c r="H571" i="10"/>
  <c r="G571" i="10"/>
  <c r="F571" i="10"/>
  <c r="E571" i="10"/>
  <c r="Y570" i="10"/>
  <c r="T570" i="10"/>
  <c r="R570" i="10"/>
  <c r="Q570" i="10"/>
  <c r="S570" i="10"/>
  <c r="P570" i="10"/>
  <c r="L570" i="10"/>
  <c r="N570" i="10"/>
  <c r="E505" i="9" s="1"/>
  <c r="K570" i="10"/>
  <c r="J570" i="10"/>
  <c r="I570" i="10"/>
  <c r="D505" i="9" s="1"/>
  <c r="H570" i="10"/>
  <c r="G570" i="10"/>
  <c r="F570" i="10"/>
  <c r="E570" i="10"/>
  <c r="Y569" i="10"/>
  <c r="Q569" i="10"/>
  <c r="S569" i="10"/>
  <c r="P569" i="10"/>
  <c r="M569" i="10"/>
  <c r="L569" i="10"/>
  <c r="O569" i="10" s="1"/>
  <c r="F513" i="9" s="1"/>
  <c r="N569" i="10"/>
  <c r="E513" i="9" s="1"/>
  <c r="K569" i="10"/>
  <c r="J569" i="10"/>
  <c r="I569" i="10"/>
  <c r="D513" i="9" s="1"/>
  <c r="H569" i="10"/>
  <c r="G569" i="10"/>
  <c r="F569" i="10"/>
  <c r="E569" i="10"/>
  <c r="G568" i="10"/>
  <c r="A568" i="10"/>
  <c r="G567" i="10"/>
  <c r="A567" i="10"/>
  <c r="Y566" i="10"/>
  <c r="R566" i="10"/>
  <c r="Q566" i="10"/>
  <c r="T566" i="10" s="1"/>
  <c r="S566" i="10"/>
  <c r="P566" i="10"/>
  <c r="O566" i="10"/>
  <c r="F487" i="9" s="1"/>
  <c r="L566" i="10"/>
  <c r="M566" i="10" s="1"/>
  <c r="N566" i="10"/>
  <c r="E487" i="9" s="1"/>
  <c r="K566" i="10"/>
  <c r="J566" i="10"/>
  <c r="I566" i="10"/>
  <c r="D487" i="9" s="1"/>
  <c r="H566" i="10"/>
  <c r="G566" i="10"/>
  <c r="F566" i="10"/>
  <c r="E566" i="10"/>
  <c r="Y565" i="10"/>
  <c r="T565" i="10"/>
  <c r="Q565" i="10"/>
  <c r="R565" i="10" s="1"/>
  <c r="S565" i="10"/>
  <c r="P565" i="10"/>
  <c r="O565" i="10"/>
  <c r="F485" i="9" s="1"/>
  <c r="M565" i="10"/>
  <c r="L565" i="10"/>
  <c r="N565" i="10"/>
  <c r="E485" i="9" s="1"/>
  <c r="K565" i="10"/>
  <c r="J565" i="10"/>
  <c r="I565" i="10"/>
  <c r="D485" i="9" s="1"/>
  <c r="H565" i="10"/>
  <c r="G565" i="10"/>
  <c r="F565" i="10"/>
  <c r="E565" i="10"/>
  <c r="Y564" i="10"/>
  <c r="T564" i="10"/>
  <c r="R564" i="10"/>
  <c r="Q564" i="10"/>
  <c r="S564" i="10"/>
  <c r="P564" i="10"/>
  <c r="L564" i="10"/>
  <c r="N564" i="10"/>
  <c r="E486" i="9" s="1"/>
  <c r="K564" i="10"/>
  <c r="J564" i="10"/>
  <c r="I564" i="10"/>
  <c r="D486" i="9" s="1"/>
  <c r="H564" i="10"/>
  <c r="G564" i="10"/>
  <c r="F564" i="10"/>
  <c r="E564" i="10"/>
  <c r="G563" i="10"/>
  <c r="A563" i="10"/>
  <c r="Y562" i="10"/>
  <c r="T562" i="10"/>
  <c r="S562" i="10"/>
  <c r="P562" i="10"/>
  <c r="N562" i="10"/>
  <c r="E474" i="9" s="1"/>
  <c r="K562" i="10"/>
  <c r="I562" i="10"/>
  <c r="O562" i="10" s="1"/>
  <c r="F474" i="9" s="1"/>
  <c r="H562" i="10"/>
  <c r="G562" i="10"/>
  <c r="F562" i="10"/>
  <c r="E562" i="10"/>
  <c r="D562" i="10"/>
  <c r="A562" i="10"/>
  <c r="Y561" i="10"/>
  <c r="S561" i="10"/>
  <c r="P561" i="10"/>
  <c r="O561" i="10"/>
  <c r="F481" i="9" s="1"/>
  <c r="N561" i="10"/>
  <c r="E481" i="9" s="1"/>
  <c r="K561" i="10"/>
  <c r="I561" i="10"/>
  <c r="H561" i="10"/>
  <c r="G561" i="10"/>
  <c r="F561" i="10"/>
  <c r="E561" i="10"/>
  <c r="D561" i="10"/>
  <c r="A561" i="10"/>
  <c r="Y560" i="10"/>
  <c r="T560" i="10"/>
  <c r="Q560" i="10"/>
  <c r="R560" i="10" s="1"/>
  <c r="S560" i="10"/>
  <c r="P560" i="10"/>
  <c r="O560" i="10"/>
  <c r="M560" i="10"/>
  <c r="L560" i="10"/>
  <c r="N560" i="10"/>
  <c r="K560" i="10"/>
  <c r="J560" i="10"/>
  <c r="I560" i="10"/>
  <c r="H560" i="10"/>
  <c r="G560" i="10"/>
  <c r="F560" i="10"/>
  <c r="E560" i="10"/>
  <c r="Y559" i="10"/>
  <c r="T559" i="10"/>
  <c r="R559" i="10"/>
  <c r="Q559" i="10"/>
  <c r="S559" i="10"/>
  <c r="P559" i="10"/>
  <c r="L559" i="10"/>
  <c r="N559" i="10"/>
  <c r="K559" i="10"/>
  <c r="J559" i="10"/>
  <c r="I559" i="10"/>
  <c r="H559" i="10"/>
  <c r="G559" i="10"/>
  <c r="F559" i="10"/>
  <c r="E559" i="10"/>
  <c r="Y558" i="10"/>
  <c r="S558" i="10"/>
  <c r="R558" i="10"/>
  <c r="P558" i="10"/>
  <c r="N558" i="10"/>
  <c r="E469" i="9" s="1"/>
  <c r="M558" i="10"/>
  <c r="K558" i="10"/>
  <c r="I558" i="10"/>
  <c r="D469" i="9" s="1"/>
  <c r="H558" i="10"/>
  <c r="G558" i="10"/>
  <c r="F558" i="10"/>
  <c r="E558" i="10"/>
  <c r="D558" i="10"/>
  <c r="A558" i="10"/>
  <c r="Y557" i="10"/>
  <c r="S557" i="10"/>
  <c r="R557" i="10"/>
  <c r="P557" i="10"/>
  <c r="N557" i="10"/>
  <c r="E480" i="9" s="1"/>
  <c r="M557" i="10"/>
  <c r="K557" i="10"/>
  <c r="I557" i="10"/>
  <c r="D480" i="9" s="1"/>
  <c r="H557" i="10"/>
  <c r="G557" i="10"/>
  <c r="F557" i="10"/>
  <c r="E557" i="10"/>
  <c r="D557" i="10"/>
  <c r="A557" i="10"/>
  <c r="Y556" i="10"/>
  <c r="Q556" i="10"/>
  <c r="S556" i="10"/>
  <c r="P556" i="10"/>
  <c r="M556" i="10"/>
  <c r="L556" i="10"/>
  <c r="O556" i="10" s="1"/>
  <c r="N556" i="10"/>
  <c r="K556" i="10"/>
  <c r="J556" i="10"/>
  <c r="I556" i="10"/>
  <c r="H556" i="10"/>
  <c r="G556" i="10"/>
  <c r="F556" i="10"/>
  <c r="E556" i="10"/>
  <c r="Y555" i="10"/>
  <c r="R555" i="10"/>
  <c r="Q555" i="10"/>
  <c r="T555" i="10" s="1"/>
  <c r="S555" i="10"/>
  <c r="P555" i="10"/>
  <c r="O555" i="10"/>
  <c r="L555" i="10"/>
  <c r="M555" i="10" s="1"/>
  <c r="N555" i="10"/>
  <c r="K555" i="10"/>
  <c r="J555" i="10"/>
  <c r="I555" i="10"/>
  <c r="H555" i="10"/>
  <c r="G555" i="10"/>
  <c r="F555" i="10"/>
  <c r="E555" i="10"/>
  <c r="Y554" i="10"/>
  <c r="T554" i="10"/>
  <c r="Q554" i="10"/>
  <c r="R554" i="10" s="1"/>
  <c r="S554" i="10"/>
  <c r="P554" i="10"/>
  <c r="O554" i="10"/>
  <c r="F458" i="9" s="1"/>
  <c r="M554" i="10"/>
  <c r="L554" i="10"/>
  <c r="N554" i="10"/>
  <c r="E458" i="9" s="1"/>
  <c r="K554" i="10"/>
  <c r="J554" i="10"/>
  <c r="I554" i="10"/>
  <c r="D458" i="9" s="1"/>
  <c r="H554" i="10"/>
  <c r="G554" i="10"/>
  <c r="F554" i="10"/>
  <c r="E554" i="10"/>
  <c r="Y553" i="10"/>
  <c r="T553" i="10"/>
  <c r="R553" i="10"/>
  <c r="Q553" i="10"/>
  <c r="S553" i="10"/>
  <c r="P553" i="10"/>
  <c r="L553" i="10"/>
  <c r="N553" i="10"/>
  <c r="E460" i="9" s="1"/>
  <c r="K553" i="10"/>
  <c r="J553" i="10"/>
  <c r="I553" i="10"/>
  <c r="D460" i="9" s="1"/>
  <c r="H553" i="10"/>
  <c r="G553" i="10"/>
  <c r="F553" i="10"/>
  <c r="E553" i="10"/>
  <c r="Y552" i="10"/>
  <c r="Q552" i="10"/>
  <c r="S552" i="10"/>
  <c r="P552" i="10"/>
  <c r="M552" i="10"/>
  <c r="L552" i="10"/>
  <c r="O552" i="10" s="1"/>
  <c r="N552" i="10"/>
  <c r="K552" i="10"/>
  <c r="J552" i="10"/>
  <c r="I552" i="10"/>
  <c r="H552" i="10"/>
  <c r="G552" i="10"/>
  <c r="F552" i="10"/>
  <c r="E552" i="10"/>
  <c r="Y551" i="10"/>
  <c r="R551" i="10"/>
  <c r="Q551" i="10"/>
  <c r="T551" i="10" s="1"/>
  <c r="S551" i="10"/>
  <c r="P551" i="10"/>
  <c r="O551" i="10"/>
  <c r="F464" i="9" s="1"/>
  <c r="L551" i="10"/>
  <c r="M551" i="10" s="1"/>
  <c r="N551" i="10"/>
  <c r="E464" i="9" s="1"/>
  <c r="K551" i="10"/>
  <c r="J551" i="10"/>
  <c r="I551" i="10"/>
  <c r="D464" i="9" s="1"/>
  <c r="H551" i="10"/>
  <c r="G551" i="10"/>
  <c r="F551" i="10"/>
  <c r="E551" i="10"/>
  <c r="Y550" i="10"/>
  <c r="T550" i="10"/>
  <c r="Q550" i="10"/>
  <c r="R550" i="10" s="1"/>
  <c r="S550" i="10"/>
  <c r="P550" i="10"/>
  <c r="M550" i="10"/>
  <c r="L550" i="10"/>
  <c r="O550" i="10" s="1"/>
  <c r="N550" i="10"/>
  <c r="K550" i="10"/>
  <c r="J550" i="10"/>
  <c r="I550" i="10"/>
  <c r="H550" i="10"/>
  <c r="G550" i="10"/>
  <c r="F550" i="10"/>
  <c r="E550" i="10"/>
  <c r="Y549" i="10"/>
  <c r="T549" i="10"/>
  <c r="R549" i="10"/>
  <c r="Q549" i="10"/>
  <c r="S549" i="10"/>
  <c r="P549" i="10"/>
  <c r="L549" i="10"/>
  <c r="N549" i="10"/>
  <c r="E466" i="9" s="1"/>
  <c r="K549" i="10"/>
  <c r="J549" i="10"/>
  <c r="I549" i="10"/>
  <c r="D466" i="9" s="1"/>
  <c r="H549" i="10"/>
  <c r="G549" i="10"/>
  <c r="F549" i="10"/>
  <c r="E549" i="10"/>
  <c r="Y548" i="10"/>
  <c r="Q548" i="10"/>
  <c r="S548" i="10"/>
  <c r="P548" i="10"/>
  <c r="M548" i="10"/>
  <c r="L548" i="10"/>
  <c r="O548" i="10" s="1"/>
  <c r="N548" i="10"/>
  <c r="K548" i="10"/>
  <c r="J548" i="10"/>
  <c r="I548" i="10"/>
  <c r="H548" i="10"/>
  <c r="G548" i="10"/>
  <c r="F548" i="10"/>
  <c r="E548" i="10"/>
  <c r="Y547" i="10"/>
  <c r="S547" i="10"/>
  <c r="T547" i="10" s="1"/>
  <c r="P547" i="10"/>
  <c r="R547" i="10" s="1"/>
  <c r="N547" i="10"/>
  <c r="K547" i="10"/>
  <c r="M547" i="10" s="1"/>
  <c r="I547" i="10"/>
  <c r="D473" i="9" s="1"/>
  <c r="H547" i="10"/>
  <c r="G547" i="10"/>
  <c r="F547" i="10"/>
  <c r="E547" i="10"/>
  <c r="D547" i="10"/>
  <c r="A547" i="10"/>
  <c r="Y546" i="10"/>
  <c r="S546" i="10"/>
  <c r="T546" i="10" s="1"/>
  <c r="P546" i="10"/>
  <c r="R546" i="10" s="1"/>
  <c r="N546" i="10"/>
  <c r="K546" i="10"/>
  <c r="M546" i="10" s="1"/>
  <c r="I546" i="10"/>
  <c r="D475" i="9" s="1"/>
  <c r="H546" i="10"/>
  <c r="G546" i="10"/>
  <c r="F546" i="10"/>
  <c r="E546" i="10"/>
  <c r="D546" i="10"/>
  <c r="A546" i="10"/>
  <c r="Y545" i="10"/>
  <c r="S545" i="10"/>
  <c r="T545" i="10" s="1"/>
  <c r="P545" i="10"/>
  <c r="R545" i="10" s="1"/>
  <c r="N545" i="10"/>
  <c r="K545" i="10"/>
  <c r="M545" i="10" s="1"/>
  <c r="I545" i="10"/>
  <c r="D472" i="9" s="1"/>
  <c r="H545" i="10"/>
  <c r="G545" i="10"/>
  <c r="F545" i="10"/>
  <c r="E545" i="10"/>
  <c r="D545" i="10"/>
  <c r="A545" i="10"/>
  <c r="Y544" i="10"/>
  <c r="S544" i="10"/>
  <c r="T544" i="10" s="1"/>
  <c r="P544" i="10"/>
  <c r="R544" i="10" s="1"/>
  <c r="N544" i="10"/>
  <c r="K544" i="10"/>
  <c r="M544" i="10" s="1"/>
  <c r="I544" i="10"/>
  <c r="D471" i="9" s="1"/>
  <c r="H544" i="10"/>
  <c r="G544" i="10"/>
  <c r="F544" i="10"/>
  <c r="E544" i="10"/>
  <c r="D544" i="10"/>
  <c r="A544" i="10"/>
  <c r="Y543" i="10"/>
  <c r="S543" i="10"/>
  <c r="T543" i="10" s="1"/>
  <c r="P543" i="10"/>
  <c r="R543" i="10" s="1"/>
  <c r="N543" i="10"/>
  <c r="K543" i="10"/>
  <c r="M543" i="10" s="1"/>
  <c r="I543" i="10"/>
  <c r="D479" i="9" s="1"/>
  <c r="H543" i="10"/>
  <c r="G543" i="10"/>
  <c r="F543" i="10"/>
  <c r="E543" i="10"/>
  <c r="D543" i="10"/>
  <c r="A543" i="10"/>
  <c r="Y542" i="10"/>
  <c r="T542" i="10"/>
  <c r="R542" i="10"/>
  <c r="Q542" i="10"/>
  <c r="S542" i="10"/>
  <c r="P542" i="10"/>
  <c r="O542" i="10"/>
  <c r="L542" i="10"/>
  <c r="M542" i="10" s="1"/>
  <c r="N542" i="10"/>
  <c r="K542" i="10"/>
  <c r="J542" i="10"/>
  <c r="I542" i="10"/>
  <c r="H542" i="10"/>
  <c r="G542" i="10"/>
  <c r="F542" i="10"/>
  <c r="E542" i="10"/>
  <c r="Y541" i="10"/>
  <c r="T541" i="10"/>
  <c r="Q541" i="10"/>
  <c r="R541" i="10" s="1"/>
  <c r="S541" i="10"/>
  <c r="P541" i="10"/>
  <c r="M541" i="10"/>
  <c r="L541" i="10"/>
  <c r="O541" i="10" s="1"/>
  <c r="N541" i="10"/>
  <c r="K541" i="10"/>
  <c r="J541" i="10"/>
  <c r="I541" i="10"/>
  <c r="H541" i="10"/>
  <c r="G541" i="10"/>
  <c r="F541" i="10"/>
  <c r="E541" i="10"/>
  <c r="Y540" i="10"/>
  <c r="R540" i="10"/>
  <c r="Q540" i="10"/>
  <c r="T540" i="10" s="1"/>
  <c r="S540" i="10"/>
  <c r="P540" i="10"/>
  <c r="L540" i="10"/>
  <c r="N540" i="10"/>
  <c r="E476" i="9" s="1"/>
  <c r="K540" i="10"/>
  <c r="J540" i="10"/>
  <c r="I540" i="10"/>
  <c r="H540" i="10"/>
  <c r="G540" i="10"/>
  <c r="F540" i="10"/>
  <c r="E540" i="10"/>
  <c r="Y539" i="10"/>
  <c r="S539" i="10"/>
  <c r="R539" i="10"/>
  <c r="P539" i="10"/>
  <c r="N539" i="10"/>
  <c r="E470" i="9" s="1"/>
  <c r="M539" i="10"/>
  <c r="K539" i="10"/>
  <c r="I539" i="10"/>
  <c r="D470" i="9" s="1"/>
  <c r="H539" i="10"/>
  <c r="G539" i="10"/>
  <c r="F539" i="10"/>
  <c r="E539" i="10"/>
  <c r="D539" i="10"/>
  <c r="A539" i="10"/>
  <c r="Y538" i="10"/>
  <c r="S538" i="10"/>
  <c r="R538" i="10"/>
  <c r="P538" i="10"/>
  <c r="N538" i="10"/>
  <c r="E478" i="9" s="1"/>
  <c r="M538" i="10"/>
  <c r="K538" i="10"/>
  <c r="I538" i="10"/>
  <c r="D478" i="9" s="1"/>
  <c r="H538" i="10"/>
  <c r="G538" i="10"/>
  <c r="F538" i="10"/>
  <c r="E538" i="10"/>
  <c r="D538" i="10"/>
  <c r="A538" i="10"/>
  <c r="Y537" i="10"/>
  <c r="S537" i="10"/>
  <c r="R537" i="10"/>
  <c r="P537" i="10"/>
  <c r="N537" i="10"/>
  <c r="E477" i="9" s="1"/>
  <c r="M537" i="10"/>
  <c r="K537" i="10"/>
  <c r="I537" i="10"/>
  <c r="D477" i="9" s="1"/>
  <c r="H537" i="10"/>
  <c r="G537" i="10"/>
  <c r="F537" i="10"/>
  <c r="E537" i="10"/>
  <c r="D537" i="10"/>
  <c r="A537" i="10"/>
  <c r="Y536" i="10"/>
  <c r="Q536" i="10"/>
  <c r="S536" i="10"/>
  <c r="P536" i="10"/>
  <c r="O536" i="10"/>
  <c r="M536" i="10"/>
  <c r="L536" i="10"/>
  <c r="N536" i="10"/>
  <c r="E450" i="9" s="1"/>
  <c r="K536" i="10"/>
  <c r="J536" i="10"/>
  <c r="I536" i="10"/>
  <c r="H536" i="10"/>
  <c r="G536" i="10"/>
  <c r="F536" i="10"/>
  <c r="E536" i="10"/>
  <c r="Y535" i="10"/>
  <c r="T535" i="10"/>
  <c r="R535" i="10"/>
  <c r="Q535" i="10"/>
  <c r="S535" i="10"/>
  <c r="P535" i="10"/>
  <c r="O535" i="10"/>
  <c r="L535" i="10"/>
  <c r="M535" i="10" s="1"/>
  <c r="N535" i="10"/>
  <c r="E453" i="9" s="1"/>
  <c r="K535" i="10"/>
  <c r="J535" i="10"/>
  <c r="I535" i="10"/>
  <c r="D453" i="9" s="1"/>
  <c r="H535" i="10"/>
  <c r="G535" i="10"/>
  <c r="F535" i="10"/>
  <c r="E535" i="10"/>
  <c r="Y534" i="10"/>
  <c r="T534" i="10"/>
  <c r="Q534" i="10"/>
  <c r="R534" i="10" s="1"/>
  <c r="S534" i="10"/>
  <c r="P534" i="10"/>
  <c r="M534" i="10"/>
  <c r="L534" i="10"/>
  <c r="O534" i="10" s="1"/>
  <c r="F454" i="9" s="1"/>
  <c r="N534" i="10"/>
  <c r="E454" i="9" s="1"/>
  <c r="K534" i="10"/>
  <c r="J534" i="10"/>
  <c r="I534" i="10"/>
  <c r="D454" i="9" s="1"/>
  <c r="H534" i="10"/>
  <c r="G534" i="10"/>
  <c r="F534" i="10"/>
  <c r="E534" i="10"/>
  <c r="Y533" i="10"/>
  <c r="R533" i="10"/>
  <c r="Q533" i="10"/>
  <c r="T533" i="10" s="1"/>
  <c r="S533" i="10"/>
  <c r="P533" i="10"/>
  <c r="L533" i="10"/>
  <c r="N533" i="10"/>
  <c r="E455" i="9" s="1"/>
  <c r="K533" i="10"/>
  <c r="J533" i="10"/>
  <c r="I533" i="10"/>
  <c r="D455" i="9" s="1"/>
  <c r="H533" i="10"/>
  <c r="G533" i="10"/>
  <c r="F533" i="10"/>
  <c r="E533" i="10"/>
  <c r="Y532" i="10"/>
  <c r="Q532" i="10"/>
  <c r="S532" i="10"/>
  <c r="P532" i="10"/>
  <c r="O532" i="10"/>
  <c r="F459" i="9" s="1"/>
  <c r="M532" i="10"/>
  <c r="L532" i="10"/>
  <c r="N532" i="10"/>
  <c r="E459" i="9" s="1"/>
  <c r="K532" i="10"/>
  <c r="J532" i="10"/>
  <c r="I532" i="10"/>
  <c r="D459" i="9" s="1"/>
  <c r="H532" i="10"/>
  <c r="G532" i="10"/>
  <c r="F532" i="10"/>
  <c r="E532" i="10"/>
  <c r="Y531" i="10"/>
  <c r="T531" i="10"/>
  <c r="R531" i="10"/>
  <c r="Q531" i="10"/>
  <c r="S531" i="10"/>
  <c r="P531" i="10"/>
  <c r="O531" i="10"/>
  <c r="F461" i="9" s="1"/>
  <c r="L531" i="10"/>
  <c r="M531" i="10" s="1"/>
  <c r="N531" i="10"/>
  <c r="E461" i="9" s="1"/>
  <c r="K531" i="10"/>
  <c r="J531" i="10"/>
  <c r="I531" i="10"/>
  <c r="D461" i="9" s="1"/>
  <c r="H531" i="10"/>
  <c r="G531" i="10"/>
  <c r="F531" i="10"/>
  <c r="E531" i="10"/>
  <c r="Y530" i="10"/>
  <c r="T530" i="10"/>
  <c r="Q530" i="10"/>
  <c r="R530" i="10" s="1"/>
  <c r="S530" i="10"/>
  <c r="P530" i="10"/>
  <c r="M530" i="10"/>
  <c r="L530" i="10"/>
  <c r="O530" i="10" s="1"/>
  <c r="F462" i="9" s="1"/>
  <c r="N530" i="10"/>
  <c r="E462" i="9" s="1"/>
  <c r="K530" i="10"/>
  <c r="J530" i="10"/>
  <c r="I530" i="10"/>
  <c r="D462" i="9" s="1"/>
  <c r="H530" i="10"/>
  <c r="G530" i="10"/>
  <c r="F530" i="10"/>
  <c r="E530" i="10"/>
  <c r="Y529" i="10"/>
  <c r="R529" i="10"/>
  <c r="Q529" i="10"/>
  <c r="T529" i="10" s="1"/>
  <c r="S529" i="10"/>
  <c r="P529" i="10"/>
  <c r="L529" i="10"/>
  <c r="N529" i="10"/>
  <c r="E463" i="9" s="1"/>
  <c r="K529" i="10"/>
  <c r="J529" i="10"/>
  <c r="I529" i="10"/>
  <c r="D463" i="9" s="1"/>
  <c r="H529" i="10"/>
  <c r="G529" i="10"/>
  <c r="F529" i="10"/>
  <c r="E529" i="10"/>
  <c r="Y528" i="10"/>
  <c r="Q528" i="10"/>
  <c r="S528" i="10"/>
  <c r="P528" i="10"/>
  <c r="O528" i="10"/>
  <c r="M528" i="10"/>
  <c r="L528" i="10"/>
  <c r="N528" i="10"/>
  <c r="E465" i="9" s="1"/>
  <c r="K528" i="10"/>
  <c r="J528" i="10"/>
  <c r="I528" i="10"/>
  <c r="D465" i="9" s="1"/>
  <c r="H528" i="10"/>
  <c r="G528" i="10"/>
  <c r="F528" i="10"/>
  <c r="E528" i="10"/>
  <c r="Y527" i="10"/>
  <c r="T527" i="10"/>
  <c r="R527" i="10"/>
  <c r="Q527" i="10"/>
  <c r="S527" i="10"/>
  <c r="P527" i="10"/>
  <c r="O527" i="10"/>
  <c r="F467" i="9" s="1"/>
  <c r="L527" i="10"/>
  <c r="M527" i="10" s="1"/>
  <c r="N527" i="10"/>
  <c r="E467" i="9" s="1"/>
  <c r="K527" i="10"/>
  <c r="J527" i="10"/>
  <c r="I527" i="10"/>
  <c r="D467" i="9" s="1"/>
  <c r="H527" i="10"/>
  <c r="G527" i="10"/>
  <c r="F527" i="10"/>
  <c r="E527" i="10"/>
  <c r="Y526" i="10"/>
  <c r="T526" i="10"/>
  <c r="Q526" i="10"/>
  <c r="R526" i="10" s="1"/>
  <c r="S526" i="10"/>
  <c r="P526" i="10"/>
  <c r="M526" i="10"/>
  <c r="L526" i="10"/>
  <c r="O526" i="10" s="1"/>
  <c r="F468" i="9" s="1"/>
  <c r="N526" i="10"/>
  <c r="E468" i="9" s="1"/>
  <c r="K526" i="10"/>
  <c r="J526" i="10"/>
  <c r="I526" i="10"/>
  <c r="D468" i="9" s="1"/>
  <c r="H526" i="10"/>
  <c r="G526" i="10"/>
  <c r="F526" i="10"/>
  <c r="E526" i="10"/>
  <c r="G525" i="10"/>
  <c r="A525" i="10"/>
  <c r="Y524" i="10"/>
  <c r="S524" i="10"/>
  <c r="T524" i="10" s="1"/>
  <c r="P524" i="10"/>
  <c r="R524" i="10" s="1"/>
  <c r="N524" i="10"/>
  <c r="K524" i="10"/>
  <c r="M524" i="10" s="1"/>
  <c r="I524" i="10"/>
  <c r="D446" i="9" s="1"/>
  <c r="H524" i="10"/>
  <c r="G524" i="10"/>
  <c r="F524" i="10"/>
  <c r="E524" i="10"/>
  <c r="D524" i="10"/>
  <c r="A524" i="10"/>
  <c r="Y523" i="10"/>
  <c r="S523" i="10"/>
  <c r="T523" i="10" s="1"/>
  <c r="P523" i="10"/>
  <c r="R523" i="10" s="1"/>
  <c r="N523" i="10"/>
  <c r="K523" i="10"/>
  <c r="M523" i="10" s="1"/>
  <c r="I523" i="10"/>
  <c r="D442" i="9" s="1"/>
  <c r="H523" i="10"/>
  <c r="G523" i="10"/>
  <c r="F523" i="10"/>
  <c r="E523" i="10"/>
  <c r="D523" i="10"/>
  <c r="A523" i="10"/>
  <c r="Y522" i="10"/>
  <c r="S522" i="10"/>
  <c r="T522" i="10" s="1"/>
  <c r="P522" i="10"/>
  <c r="R522" i="10" s="1"/>
  <c r="N522" i="10"/>
  <c r="K522" i="10"/>
  <c r="M522" i="10" s="1"/>
  <c r="I522" i="10"/>
  <c r="D445" i="9" s="1"/>
  <c r="H522" i="10"/>
  <c r="G522" i="10"/>
  <c r="F522" i="10"/>
  <c r="E522" i="10"/>
  <c r="D522" i="10"/>
  <c r="A522" i="10"/>
  <c r="Y521" i="10"/>
  <c r="S521" i="10"/>
  <c r="T521" i="10" s="1"/>
  <c r="P521" i="10"/>
  <c r="R521" i="10" s="1"/>
  <c r="N521" i="10"/>
  <c r="K521" i="10"/>
  <c r="M521" i="10" s="1"/>
  <c r="I521" i="10"/>
  <c r="D435" i="9" s="1"/>
  <c r="H521" i="10"/>
  <c r="G521" i="10"/>
  <c r="F521" i="10"/>
  <c r="E521" i="10"/>
  <c r="D521" i="10"/>
  <c r="A521" i="10"/>
  <c r="Y520" i="10"/>
  <c r="S520" i="10"/>
  <c r="T520" i="10" s="1"/>
  <c r="P520" i="10"/>
  <c r="R520" i="10" s="1"/>
  <c r="N520" i="10"/>
  <c r="K520" i="10"/>
  <c r="M520" i="10" s="1"/>
  <c r="I520" i="10"/>
  <c r="D434" i="9" s="1"/>
  <c r="H520" i="10"/>
  <c r="G520" i="10"/>
  <c r="F520" i="10"/>
  <c r="E520" i="10"/>
  <c r="D520" i="10"/>
  <c r="A520" i="10"/>
  <c r="Y519" i="10"/>
  <c r="S519" i="10"/>
  <c r="T519" i="10" s="1"/>
  <c r="P519" i="10"/>
  <c r="R519" i="10" s="1"/>
  <c r="N519" i="10"/>
  <c r="K519" i="10"/>
  <c r="M519" i="10" s="1"/>
  <c r="I519" i="10"/>
  <c r="D441" i="9" s="1"/>
  <c r="H519" i="10"/>
  <c r="G519" i="10"/>
  <c r="F519" i="10"/>
  <c r="E519" i="10"/>
  <c r="D519" i="10"/>
  <c r="A519" i="10"/>
  <c r="Y518" i="10"/>
  <c r="S518" i="10"/>
  <c r="T518" i="10" s="1"/>
  <c r="P518" i="10"/>
  <c r="R518" i="10" s="1"/>
  <c r="N518" i="10"/>
  <c r="K518" i="10"/>
  <c r="M518" i="10" s="1"/>
  <c r="I518" i="10"/>
  <c r="D440" i="9" s="1"/>
  <c r="H518" i="10"/>
  <c r="G518" i="10"/>
  <c r="F518" i="10"/>
  <c r="E518" i="10"/>
  <c r="D518" i="10"/>
  <c r="A518" i="10"/>
  <c r="Y517" i="10"/>
  <c r="S517" i="10"/>
  <c r="T517" i="10" s="1"/>
  <c r="P517" i="10"/>
  <c r="R517" i="10" s="1"/>
  <c r="N517" i="10"/>
  <c r="K517" i="10"/>
  <c r="M517" i="10" s="1"/>
  <c r="I517" i="10"/>
  <c r="D437" i="9" s="1"/>
  <c r="H517" i="10"/>
  <c r="G517" i="10"/>
  <c r="F517" i="10"/>
  <c r="E517" i="10"/>
  <c r="D517" i="10"/>
  <c r="A517" i="10"/>
  <c r="Y516" i="10"/>
  <c r="T516" i="10"/>
  <c r="R516" i="10"/>
  <c r="Q516" i="10"/>
  <c r="S516" i="10"/>
  <c r="P516" i="10"/>
  <c r="O516" i="10"/>
  <c r="L516" i="10"/>
  <c r="M516" i="10" s="1"/>
  <c r="N516" i="10"/>
  <c r="K516" i="10"/>
  <c r="J516" i="10"/>
  <c r="I516" i="10"/>
  <c r="H516" i="10"/>
  <c r="G516" i="10"/>
  <c r="F516" i="10"/>
  <c r="E516" i="10"/>
  <c r="Y515" i="10"/>
  <c r="T515" i="10"/>
  <c r="Q515" i="10"/>
  <c r="R515" i="10" s="1"/>
  <c r="S515" i="10"/>
  <c r="P515" i="10"/>
  <c r="L515" i="10"/>
  <c r="O515" i="10" s="1"/>
  <c r="N515" i="10"/>
  <c r="K515" i="10"/>
  <c r="J515" i="10"/>
  <c r="I515" i="10"/>
  <c r="H515" i="10"/>
  <c r="G515" i="10"/>
  <c r="F515" i="10"/>
  <c r="E515" i="10"/>
  <c r="Y514" i="10"/>
  <c r="Q514" i="10"/>
  <c r="T514" i="10" s="1"/>
  <c r="S514" i="10"/>
  <c r="P514" i="10"/>
  <c r="L514" i="10"/>
  <c r="N514" i="10"/>
  <c r="K514" i="10"/>
  <c r="J514" i="10"/>
  <c r="I514" i="10"/>
  <c r="H514" i="10"/>
  <c r="G514" i="10"/>
  <c r="F514" i="10"/>
  <c r="E514" i="10"/>
  <c r="Y513" i="10"/>
  <c r="S513" i="10"/>
  <c r="T513" i="10" s="1"/>
  <c r="R513" i="10"/>
  <c r="P513" i="10"/>
  <c r="N513" i="10"/>
  <c r="E444" i="9" s="1"/>
  <c r="M513" i="10"/>
  <c r="K513" i="10"/>
  <c r="I513" i="10"/>
  <c r="D444" i="9" s="1"/>
  <c r="H513" i="10"/>
  <c r="G513" i="10"/>
  <c r="F513" i="10"/>
  <c r="E513" i="10"/>
  <c r="D513" i="10"/>
  <c r="A513" i="10"/>
  <c r="Y512" i="10"/>
  <c r="S512" i="10"/>
  <c r="T512" i="10" s="1"/>
  <c r="R512" i="10"/>
  <c r="P512" i="10"/>
  <c r="N512" i="10"/>
  <c r="E439" i="9" s="1"/>
  <c r="M512" i="10"/>
  <c r="K512" i="10"/>
  <c r="I512" i="10"/>
  <c r="D439" i="9" s="1"/>
  <c r="H512" i="10"/>
  <c r="G512" i="10"/>
  <c r="F512" i="10"/>
  <c r="E512" i="10"/>
  <c r="D512" i="10"/>
  <c r="A512" i="10"/>
  <c r="Y511" i="10"/>
  <c r="S511" i="10"/>
  <c r="T511" i="10" s="1"/>
  <c r="R511" i="10"/>
  <c r="P511" i="10"/>
  <c r="N511" i="10"/>
  <c r="E438" i="9" s="1"/>
  <c r="M511" i="10"/>
  <c r="K511" i="10"/>
  <c r="I511" i="10"/>
  <c r="D438" i="9" s="1"/>
  <c r="H511" i="10"/>
  <c r="G511" i="10"/>
  <c r="F511" i="10"/>
  <c r="E511" i="10"/>
  <c r="D511" i="10"/>
  <c r="A511" i="10"/>
  <c r="Y510" i="10"/>
  <c r="S510" i="10"/>
  <c r="T510" i="10" s="1"/>
  <c r="R510" i="10"/>
  <c r="P510" i="10"/>
  <c r="N510" i="10"/>
  <c r="E436" i="9" s="1"/>
  <c r="M510" i="10"/>
  <c r="K510" i="10"/>
  <c r="I510" i="10"/>
  <c r="D436" i="9" s="1"/>
  <c r="H510" i="10"/>
  <c r="G510" i="10"/>
  <c r="F510" i="10"/>
  <c r="E510" i="10"/>
  <c r="D510" i="10"/>
  <c r="A510" i="10"/>
  <c r="Y509" i="10"/>
  <c r="Q509" i="10"/>
  <c r="S509" i="10"/>
  <c r="P509" i="10"/>
  <c r="O509" i="10"/>
  <c r="M509" i="10"/>
  <c r="L509" i="10"/>
  <c r="N509" i="10"/>
  <c r="E428" i="9" s="1"/>
  <c r="K509" i="10"/>
  <c r="J509" i="10"/>
  <c r="I509" i="10"/>
  <c r="H509" i="10"/>
  <c r="G509" i="10"/>
  <c r="F509" i="10"/>
  <c r="E509" i="10"/>
  <c r="Y508" i="10"/>
  <c r="T508" i="10"/>
  <c r="R508" i="10"/>
  <c r="Q508" i="10"/>
  <c r="S508" i="10"/>
  <c r="P508" i="10"/>
  <c r="O508" i="10"/>
  <c r="L508" i="10"/>
  <c r="M508" i="10" s="1"/>
  <c r="N508" i="10"/>
  <c r="E431" i="9" s="1"/>
  <c r="K508" i="10"/>
  <c r="J508" i="10"/>
  <c r="I508" i="10"/>
  <c r="D431" i="9" s="1"/>
  <c r="H508" i="10"/>
  <c r="G508" i="10"/>
  <c r="F508" i="10"/>
  <c r="E508" i="10"/>
  <c r="Y507" i="10"/>
  <c r="T507" i="10"/>
  <c r="Q507" i="10"/>
  <c r="R507" i="10" s="1"/>
  <c r="S507" i="10"/>
  <c r="P507" i="10"/>
  <c r="L507" i="10"/>
  <c r="O507" i="10" s="1"/>
  <c r="N507" i="10"/>
  <c r="E443" i="9" s="1"/>
  <c r="K507" i="10"/>
  <c r="J507" i="10"/>
  <c r="I507" i="10"/>
  <c r="H507" i="10"/>
  <c r="G507" i="10"/>
  <c r="F507" i="10"/>
  <c r="E507" i="10"/>
  <c r="G506" i="10"/>
  <c r="A506" i="10"/>
  <c r="Y505" i="10"/>
  <c r="S505" i="10"/>
  <c r="T505" i="10" s="1"/>
  <c r="P505" i="10"/>
  <c r="R505" i="10" s="1"/>
  <c r="N505" i="10"/>
  <c r="K505" i="10"/>
  <c r="M505" i="10" s="1"/>
  <c r="I505" i="10"/>
  <c r="D422" i="9" s="1"/>
  <c r="H505" i="10"/>
  <c r="G505" i="10"/>
  <c r="F505" i="10"/>
  <c r="E505" i="10"/>
  <c r="D505" i="10"/>
  <c r="A505" i="10"/>
  <c r="Y504" i="10"/>
  <c r="S504" i="10"/>
  <c r="T504" i="10" s="1"/>
  <c r="P504" i="10"/>
  <c r="R504" i="10" s="1"/>
  <c r="N504" i="10"/>
  <c r="K504" i="10"/>
  <c r="M504" i="10" s="1"/>
  <c r="I504" i="10"/>
  <c r="D418" i="9" s="1"/>
  <c r="H504" i="10"/>
  <c r="G504" i="10"/>
  <c r="F504" i="10"/>
  <c r="E504" i="10"/>
  <c r="D504" i="10"/>
  <c r="A504" i="10"/>
  <c r="Y503" i="10"/>
  <c r="S503" i="10"/>
  <c r="T503" i="10" s="1"/>
  <c r="P503" i="10"/>
  <c r="R503" i="10" s="1"/>
  <c r="N503" i="10"/>
  <c r="K503" i="10"/>
  <c r="M503" i="10" s="1"/>
  <c r="I503" i="10"/>
  <c r="D416" i="9" s="1"/>
  <c r="H503" i="10"/>
  <c r="G503" i="10"/>
  <c r="F503" i="10"/>
  <c r="E503" i="10"/>
  <c r="D503" i="10"/>
  <c r="A503" i="10"/>
  <c r="Y502" i="10"/>
  <c r="T502" i="10"/>
  <c r="R502" i="10"/>
  <c r="Q502" i="10"/>
  <c r="S502" i="10"/>
  <c r="P502" i="10"/>
  <c r="O502" i="10"/>
  <c r="L502" i="10"/>
  <c r="M502" i="10" s="1"/>
  <c r="N502" i="10"/>
  <c r="K502" i="10"/>
  <c r="J502" i="10"/>
  <c r="I502" i="10"/>
  <c r="H502" i="10"/>
  <c r="G502" i="10"/>
  <c r="F502" i="10"/>
  <c r="E502" i="10"/>
  <c r="Y501" i="10"/>
  <c r="T501" i="10"/>
  <c r="Q501" i="10"/>
  <c r="R501" i="10" s="1"/>
  <c r="S501" i="10"/>
  <c r="P501" i="10"/>
  <c r="L501" i="10"/>
  <c r="O501" i="10" s="1"/>
  <c r="F383" i="9" s="1"/>
  <c r="N501" i="10"/>
  <c r="E383" i="9" s="1"/>
  <c r="K501" i="10"/>
  <c r="J501" i="10"/>
  <c r="I501" i="10"/>
  <c r="D383" i="9" s="1"/>
  <c r="H501" i="10"/>
  <c r="G501" i="10"/>
  <c r="F501" i="10"/>
  <c r="E501" i="10"/>
  <c r="Y500" i="10"/>
  <c r="Q500" i="10"/>
  <c r="T500" i="10" s="1"/>
  <c r="S500" i="10"/>
  <c r="P500" i="10"/>
  <c r="L500" i="10"/>
  <c r="N500" i="10"/>
  <c r="E419" i="9" s="1"/>
  <c r="K500" i="10"/>
  <c r="J500" i="10"/>
  <c r="I500" i="10"/>
  <c r="D419" i="9" s="1"/>
  <c r="H500" i="10"/>
  <c r="G500" i="10"/>
  <c r="F500" i="10"/>
  <c r="E500" i="10"/>
  <c r="Y499" i="10"/>
  <c r="Q499" i="10"/>
  <c r="S499" i="10"/>
  <c r="P499" i="10"/>
  <c r="O499" i="10"/>
  <c r="F420" i="9" s="1"/>
  <c r="M499" i="10"/>
  <c r="L499" i="10"/>
  <c r="N499" i="10"/>
  <c r="E420" i="9" s="1"/>
  <c r="K499" i="10"/>
  <c r="J499" i="10"/>
  <c r="I499" i="10"/>
  <c r="D420" i="9" s="1"/>
  <c r="H499" i="10"/>
  <c r="G499" i="10"/>
  <c r="F499" i="10"/>
  <c r="E499" i="10"/>
  <c r="Y498" i="10"/>
  <c r="T498" i="10"/>
  <c r="R498" i="10"/>
  <c r="Q498" i="10"/>
  <c r="S498" i="10"/>
  <c r="P498" i="10"/>
  <c r="O498" i="10"/>
  <c r="L498" i="10"/>
  <c r="M498" i="10" s="1"/>
  <c r="N498" i="10"/>
  <c r="K498" i="10"/>
  <c r="J498" i="10"/>
  <c r="I498" i="10"/>
  <c r="H498" i="10"/>
  <c r="G498" i="10"/>
  <c r="F498" i="10"/>
  <c r="E498" i="10"/>
  <c r="Y497" i="10"/>
  <c r="S497" i="10"/>
  <c r="P497" i="10"/>
  <c r="N497" i="10"/>
  <c r="E405" i="9" s="1"/>
  <c r="K497" i="10"/>
  <c r="I497" i="10"/>
  <c r="H497" i="10"/>
  <c r="G497" i="10"/>
  <c r="F497" i="10"/>
  <c r="E497" i="10"/>
  <c r="D497" i="10"/>
  <c r="A497" i="10"/>
  <c r="Y496" i="10"/>
  <c r="T496" i="10"/>
  <c r="Q496" i="10"/>
  <c r="R496" i="10" s="1"/>
  <c r="S496" i="10"/>
  <c r="P496" i="10"/>
  <c r="L496" i="10"/>
  <c r="O496" i="10" s="1"/>
  <c r="N496" i="10"/>
  <c r="K496" i="10"/>
  <c r="J496" i="10"/>
  <c r="I496" i="10"/>
  <c r="H496" i="10"/>
  <c r="G496" i="10"/>
  <c r="F496" i="10"/>
  <c r="E496" i="10"/>
  <c r="Y495" i="10"/>
  <c r="Q495" i="10"/>
  <c r="T495" i="10" s="1"/>
  <c r="S495" i="10"/>
  <c r="P495" i="10"/>
  <c r="L495" i="10"/>
  <c r="N495" i="10"/>
  <c r="K495" i="10"/>
  <c r="J495" i="10"/>
  <c r="I495" i="10"/>
  <c r="H495" i="10"/>
  <c r="G495" i="10"/>
  <c r="F495" i="10"/>
  <c r="E495" i="10"/>
  <c r="Y494" i="10"/>
  <c r="Q494" i="10"/>
  <c r="S494" i="10"/>
  <c r="P494" i="10"/>
  <c r="O494" i="10"/>
  <c r="M494" i="10"/>
  <c r="L494" i="10"/>
  <c r="N494" i="10"/>
  <c r="K494" i="10"/>
  <c r="J494" i="10"/>
  <c r="I494" i="10"/>
  <c r="H494" i="10"/>
  <c r="G494" i="10"/>
  <c r="F494" i="10"/>
  <c r="E494" i="10"/>
  <c r="Y493" i="10"/>
  <c r="T493" i="10"/>
  <c r="R493" i="10"/>
  <c r="Q493" i="10"/>
  <c r="S493" i="10"/>
  <c r="P493" i="10"/>
  <c r="O493" i="10"/>
  <c r="L493" i="10"/>
  <c r="M493" i="10" s="1"/>
  <c r="N493" i="10"/>
  <c r="K493" i="10"/>
  <c r="J493" i="10"/>
  <c r="I493" i="10"/>
  <c r="H493" i="10"/>
  <c r="G493" i="10"/>
  <c r="F493" i="10"/>
  <c r="E493" i="10"/>
  <c r="Y492" i="10"/>
  <c r="T492" i="10"/>
  <c r="Q492" i="10"/>
  <c r="R492" i="10" s="1"/>
  <c r="S492" i="10"/>
  <c r="P492" i="10"/>
  <c r="L492" i="10"/>
  <c r="O492" i="10" s="1"/>
  <c r="N492" i="10"/>
  <c r="K492" i="10"/>
  <c r="J492" i="10"/>
  <c r="I492" i="10"/>
  <c r="H492" i="10"/>
  <c r="G492" i="10"/>
  <c r="F492" i="10"/>
  <c r="E492" i="10"/>
  <c r="Y491" i="10"/>
  <c r="Q491" i="10"/>
  <c r="T491" i="10" s="1"/>
  <c r="S491" i="10"/>
  <c r="P491" i="10"/>
  <c r="L491" i="10"/>
  <c r="N491" i="10"/>
  <c r="K491" i="10"/>
  <c r="J491" i="10"/>
  <c r="I491" i="10"/>
  <c r="H491" i="10"/>
  <c r="G491" i="10"/>
  <c r="F491" i="10"/>
  <c r="E491" i="10"/>
  <c r="Y490" i="10"/>
  <c r="Q490" i="10"/>
  <c r="S490" i="10"/>
  <c r="P490" i="10"/>
  <c r="O490" i="10"/>
  <c r="M490" i="10"/>
  <c r="L490" i="10"/>
  <c r="N490" i="10"/>
  <c r="K490" i="10"/>
  <c r="J490" i="10"/>
  <c r="I490" i="10"/>
  <c r="H490" i="10"/>
  <c r="G490" i="10"/>
  <c r="F490" i="10"/>
  <c r="E490" i="10"/>
  <c r="Y489" i="10"/>
  <c r="T489" i="10"/>
  <c r="R489" i="10"/>
  <c r="Q489" i="10"/>
  <c r="S489" i="10"/>
  <c r="P489" i="10"/>
  <c r="O489" i="10"/>
  <c r="L489" i="10"/>
  <c r="M489" i="10" s="1"/>
  <c r="N489" i="10"/>
  <c r="K489" i="10"/>
  <c r="J489" i="10"/>
  <c r="I489" i="10"/>
  <c r="H489" i="10"/>
  <c r="G489" i="10"/>
  <c r="F489" i="10"/>
  <c r="E489" i="10"/>
  <c r="Y488" i="10"/>
  <c r="T488" i="10"/>
  <c r="Q488" i="10"/>
  <c r="R488" i="10" s="1"/>
  <c r="S488" i="10"/>
  <c r="P488" i="10"/>
  <c r="L488" i="10"/>
  <c r="O488" i="10" s="1"/>
  <c r="N488" i="10"/>
  <c r="K488" i="10"/>
  <c r="J488" i="10"/>
  <c r="I488" i="10"/>
  <c r="H488" i="10"/>
  <c r="G488" i="10"/>
  <c r="F488" i="10"/>
  <c r="E488" i="10"/>
  <c r="Y487" i="10"/>
  <c r="Q487" i="10"/>
  <c r="T487" i="10" s="1"/>
  <c r="S487" i="10"/>
  <c r="P487" i="10"/>
  <c r="L487" i="10"/>
  <c r="N487" i="10"/>
  <c r="E421" i="9" s="1"/>
  <c r="K487" i="10"/>
  <c r="J487" i="10"/>
  <c r="I487" i="10"/>
  <c r="D421" i="9" s="1"/>
  <c r="H487" i="10"/>
  <c r="G487" i="10"/>
  <c r="F487" i="10"/>
  <c r="E487" i="10"/>
  <c r="Y486" i="10"/>
  <c r="S486" i="10"/>
  <c r="T486" i="10" s="1"/>
  <c r="R486" i="10"/>
  <c r="P486" i="10"/>
  <c r="N486" i="10"/>
  <c r="E404" i="9" s="1"/>
  <c r="M486" i="10"/>
  <c r="K486" i="10"/>
  <c r="I486" i="10"/>
  <c r="D404" i="9" s="1"/>
  <c r="H486" i="10"/>
  <c r="G486" i="10"/>
  <c r="F486" i="10"/>
  <c r="E486" i="10"/>
  <c r="D486" i="10"/>
  <c r="A486" i="10"/>
  <c r="Y485" i="10"/>
  <c r="Q485" i="10"/>
  <c r="S485" i="10"/>
  <c r="P485" i="10"/>
  <c r="O485" i="10"/>
  <c r="M485" i="10"/>
  <c r="L485" i="10"/>
  <c r="N485" i="10"/>
  <c r="K485" i="10"/>
  <c r="J485" i="10"/>
  <c r="I485" i="10"/>
  <c r="H485" i="10"/>
  <c r="G485" i="10"/>
  <c r="F485" i="10"/>
  <c r="E485" i="10"/>
  <c r="Y484" i="10"/>
  <c r="T484" i="10"/>
  <c r="R484" i="10"/>
  <c r="Q484" i="10"/>
  <c r="S484" i="10"/>
  <c r="P484" i="10"/>
  <c r="O484" i="10"/>
  <c r="L484" i="10"/>
  <c r="M484" i="10" s="1"/>
  <c r="N484" i="10"/>
  <c r="E378" i="9" s="1"/>
  <c r="K484" i="10"/>
  <c r="J484" i="10"/>
  <c r="I484" i="10"/>
  <c r="H484" i="10"/>
  <c r="G484" i="10"/>
  <c r="F484" i="10"/>
  <c r="E484" i="10"/>
  <c r="Y483" i="10"/>
  <c r="T483" i="10"/>
  <c r="Q483" i="10"/>
  <c r="R483" i="10" s="1"/>
  <c r="S483" i="10"/>
  <c r="P483" i="10"/>
  <c r="L483" i="10"/>
  <c r="O483" i="10" s="1"/>
  <c r="N483" i="10"/>
  <c r="K483" i="10"/>
  <c r="J483" i="10"/>
  <c r="I483" i="10"/>
  <c r="H483" i="10"/>
  <c r="G483" i="10"/>
  <c r="F483" i="10"/>
  <c r="E483" i="10"/>
  <c r="Y482" i="10"/>
  <c r="Q482" i="10"/>
  <c r="T482" i="10" s="1"/>
  <c r="S482" i="10"/>
  <c r="P482" i="10"/>
  <c r="L482" i="10"/>
  <c r="N482" i="10"/>
  <c r="K482" i="10"/>
  <c r="J482" i="10"/>
  <c r="I482" i="10"/>
  <c r="H482" i="10"/>
  <c r="G482" i="10"/>
  <c r="F482" i="10"/>
  <c r="E482" i="10"/>
  <c r="Y481" i="10"/>
  <c r="Q481" i="10"/>
  <c r="S481" i="10"/>
  <c r="P481" i="10"/>
  <c r="O481" i="10"/>
  <c r="M481" i="10"/>
  <c r="L481" i="10"/>
  <c r="N481" i="10"/>
  <c r="K481" i="10"/>
  <c r="J481" i="10"/>
  <c r="I481" i="10"/>
  <c r="H481" i="10"/>
  <c r="G481" i="10"/>
  <c r="F481" i="10"/>
  <c r="E481" i="10"/>
  <c r="Y480" i="10"/>
  <c r="T480" i="10"/>
  <c r="R480" i="10"/>
  <c r="Q480" i="10"/>
  <c r="S480" i="10"/>
  <c r="P480" i="10"/>
  <c r="O480" i="10"/>
  <c r="F389" i="9" s="1"/>
  <c r="L480" i="10"/>
  <c r="M480" i="10" s="1"/>
  <c r="N480" i="10"/>
  <c r="E389" i="9" s="1"/>
  <c r="K480" i="10"/>
  <c r="J480" i="10"/>
  <c r="I480" i="10"/>
  <c r="D389" i="9" s="1"/>
  <c r="H480" i="10"/>
  <c r="G480" i="10"/>
  <c r="F480" i="10"/>
  <c r="E480" i="10"/>
  <c r="Y479" i="10"/>
  <c r="T479" i="10"/>
  <c r="Q479" i="10"/>
  <c r="R479" i="10" s="1"/>
  <c r="S479" i="10"/>
  <c r="P479" i="10"/>
  <c r="L479" i="10"/>
  <c r="O479" i="10" s="1"/>
  <c r="N479" i="10"/>
  <c r="K479" i="10"/>
  <c r="J479" i="10"/>
  <c r="I479" i="10"/>
  <c r="H479" i="10"/>
  <c r="G479" i="10"/>
  <c r="F479" i="10"/>
  <c r="E479" i="10"/>
  <c r="Y478" i="10"/>
  <c r="Q478" i="10"/>
  <c r="T478" i="10" s="1"/>
  <c r="S478" i="10"/>
  <c r="P478" i="10"/>
  <c r="L478" i="10"/>
  <c r="N478" i="10"/>
  <c r="E392" i="9" s="1"/>
  <c r="K478" i="10"/>
  <c r="J478" i="10"/>
  <c r="I478" i="10"/>
  <c r="D392" i="9" s="1"/>
  <c r="H478" i="10"/>
  <c r="G478" i="10"/>
  <c r="F478" i="10"/>
  <c r="E478" i="10"/>
  <c r="Y477" i="10"/>
  <c r="Q477" i="10"/>
  <c r="S477" i="10"/>
  <c r="P477" i="10"/>
  <c r="O477" i="10"/>
  <c r="M477" i="10"/>
  <c r="L477" i="10"/>
  <c r="N477" i="10"/>
  <c r="E395" i="9" s="1"/>
  <c r="K477" i="10"/>
  <c r="J477" i="10"/>
  <c r="I477" i="10"/>
  <c r="D395" i="9" s="1"/>
  <c r="H477" i="10"/>
  <c r="G477" i="10"/>
  <c r="F477" i="10"/>
  <c r="E477" i="10"/>
  <c r="Y476" i="10"/>
  <c r="T476" i="10"/>
  <c r="R476" i="10"/>
  <c r="Q476" i="10"/>
  <c r="S476" i="10"/>
  <c r="P476" i="10"/>
  <c r="O476" i="10"/>
  <c r="F400" i="9" s="1"/>
  <c r="L476" i="10"/>
  <c r="M476" i="10" s="1"/>
  <c r="N476" i="10"/>
  <c r="E400" i="9" s="1"/>
  <c r="K476" i="10"/>
  <c r="J476" i="10"/>
  <c r="I476" i="10"/>
  <c r="D400" i="9" s="1"/>
  <c r="H476" i="10"/>
  <c r="G476" i="10"/>
  <c r="F476" i="10"/>
  <c r="E476" i="10"/>
  <c r="Y475" i="10"/>
  <c r="T475" i="10"/>
  <c r="Q475" i="10"/>
  <c r="R475" i="10" s="1"/>
  <c r="S475" i="10"/>
  <c r="P475" i="10"/>
  <c r="L475" i="10"/>
  <c r="O475" i="10" s="1"/>
  <c r="F402" i="9" s="1"/>
  <c r="N475" i="10"/>
  <c r="E402" i="9" s="1"/>
  <c r="K475" i="10"/>
  <c r="J475" i="10"/>
  <c r="I475" i="10"/>
  <c r="D402" i="9" s="1"/>
  <c r="H475" i="10"/>
  <c r="G475" i="10"/>
  <c r="F475" i="10"/>
  <c r="E475" i="10"/>
  <c r="Y474" i="10"/>
  <c r="Q474" i="10"/>
  <c r="T474" i="10" s="1"/>
  <c r="S474" i="10"/>
  <c r="P474" i="10"/>
  <c r="L474" i="10"/>
  <c r="N474" i="10"/>
  <c r="E403" i="9" s="1"/>
  <c r="K474" i="10"/>
  <c r="J474" i="10"/>
  <c r="I474" i="10"/>
  <c r="D403" i="9" s="1"/>
  <c r="H474" i="10"/>
  <c r="G474" i="10"/>
  <c r="F474" i="10"/>
  <c r="E474" i="10"/>
  <c r="Y473" i="10"/>
  <c r="S473" i="10"/>
  <c r="T473" i="10" s="1"/>
  <c r="R473" i="10"/>
  <c r="P473" i="10"/>
  <c r="N473" i="10"/>
  <c r="E417" i="9" s="1"/>
  <c r="M473" i="10"/>
  <c r="K473" i="10"/>
  <c r="I473" i="10"/>
  <c r="D417" i="9" s="1"/>
  <c r="H473" i="10"/>
  <c r="G473" i="10"/>
  <c r="F473" i="10"/>
  <c r="E473" i="10"/>
  <c r="D473" i="10"/>
  <c r="A473" i="10"/>
  <c r="Y472" i="10"/>
  <c r="S472" i="10"/>
  <c r="T472" i="10" s="1"/>
  <c r="R472" i="10"/>
  <c r="P472" i="10"/>
  <c r="N472" i="10"/>
  <c r="E406" i="9" s="1"/>
  <c r="M472" i="10"/>
  <c r="K472" i="10"/>
  <c r="I472" i="10"/>
  <c r="D406" i="9" s="1"/>
  <c r="H472" i="10"/>
  <c r="G472" i="10"/>
  <c r="F472" i="10"/>
  <c r="E472" i="10"/>
  <c r="D472" i="10"/>
  <c r="A472" i="10"/>
  <c r="Y471" i="10"/>
  <c r="Q471" i="10"/>
  <c r="S471" i="10"/>
  <c r="P471" i="10"/>
  <c r="O471" i="10"/>
  <c r="M471" i="10"/>
  <c r="L471" i="10"/>
  <c r="N471" i="10"/>
  <c r="K471" i="10"/>
  <c r="J471" i="10"/>
  <c r="I471" i="10"/>
  <c r="H471" i="10"/>
  <c r="G471" i="10"/>
  <c r="F471" i="10"/>
  <c r="E471" i="10"/>
  <c r="Y470" i="10"/>
  <c r="S470" i="10"/>
  <c r="T470" i="10" s="1"/>
  <c r="P470" i="10"/>
  <c r="R470" i="10" s="1"/>
  <c r="N470" i="10"/>
  <c r="K470" i="10"/>
  <c r="M470" i="10" s="1"/>
  <c r="I470" i="10"/>
  <c r="D396" i="9" s="1"/>
  <c r="H470" i="10"/>
  <c r="G470" i="10"/>
  <c r="F470" i="10"/>
  <c r="E470" i="10"/>
  <c r="D470" i="10"/>
  <c r="A470" i="10"/>
  <c r="Y469" i="10"/>
  <c r="S469" i="10"/>
  <c r="T469" i="10" s="1"/>
  <c r="P469" i="10"/>
  <c r="R469" i="10" s="1"/>
  <c r="N469" i="10"/>
  <c r="K469" i="10"/>
  <c r="M469" i="10" s="1"/>
  <c r="I469" i="10"/>
  <c r="D394" i="9" s="1"/>
  <c r="H469" i="10"/>
  <c r="G469" i="10"/>
  <c r="F469" i="10"/>
  <c r="E469" i="10"/>
  <c r="D469" i="10"/>
  <c r="A469" i="10"/>
  <c r="Y468" i="10"/>
  <c r="S468" i="10"/>
  <c r="T468" i="10" s="1"/>
  <c r="P468" i="10"/>
  <c r="R468" i="10" s="1"/>
  <c r="N468" i="10"/>
  <c r="K468" i="10"/>
  <c r="M468" i="10" s="1"/>
  <c r="I468" i="10"/>
  <c r="D401" i="9" s="1"/>
  <c r="H468" i="10"/>
  <c r="G468" i="10"/>
  <c r="F468" i="10"/>
  <c r="E468" i="10"/>
  <c r="D468" i="10"/>
  <c r="A468" i="10"/>
  <c r="Y467" i="10"/>
  <c r="T467" i="10"/>
  <c r="R467" i="10"/>
  <c r="Q467" i="10"/>
  <c r="S467" i="10"/>
  <c r="P467" i="10"/>
  <c r="O467" i="10"/>
  <c r="L467" i="10"/>
  <c r="M467" i="10" s="1"/>
  <c r="N467" i="10"/>
  <c r="K467" i="10"/>
  <c r="J467" i="10"/>
  <c r="I467" i="10"/>
  <c r="H467" i="10"/>
  <c r="G467" i="10"/>
  <c r="F467" i="10"/>
  <c r="E467" i="10"/>
  <c r="Y466" i="10"/>
  <c r="T466" i="10"/>
  <c r="Q466" i="10"/>
  <c r="R466" i="10" s="1"/>
  <c r="S466" i="10"/>
  <c r="P466" i="10"/>
  <c r="L466" i="10"/>
  <c r="O466" i="10" s="1"/>
  <c r="F382" i="9" s="1"/>
  <c r="N466" i="10"/>
  <c r="E382" i="9" s="1"/>
  <c r="K466" i="10"/>
  <c r="J466" i="10"/>
  <c r="I466" i="10"/>
  <c r="D382" i="9" s="1"/>
  <c r="H466" i="10"/>
  <c r="G466" i="10"/>
  <c r="F466" i="10"/>
  <c r="E466" i="10"/>
  <c r="Y465" i="10"/>
  <c r="Q465" i="10"/>
  <c r="T465" i="10" s="1"/>
  <c r="S465" i="10"/>
  <c r="P465" i="10"/>
  <c r="L465" i="10"/>
  <c r="N465" i="10"/>
  <c r="E398" i="9" s="1"/>
  <c r="K465" i="10"/>
  <c r="J465" i="10"/>
  <c r="I465" i="10"/>
  <c r="D398" i="9" s="1"/>
  <c r="H465" i="10"/>
  <c r="G465" i="10"/>
  <c r="F465" i="10"/>
  <c r="E465" i="10"/>
  <c r="Y464" i="10"/>
  <c r="Q464" i="10"/>
  <c r="S464" i="10"/>
  <c r="P464" i="10"/>
  <c r="O464" i="10"/>
  <c r="F399" i="9" s="1"/>
  <c r="M464" i="10"/>
  <c r="L464" i="10"/>
  <c r="N464" i="10"/>
  <c r="E399" i="9" s="1"/>
  <c r="K464" i="10"/>
  <c r="J464" i="10"/>
  <c r="I464" i="10"/>
  <c r="D399" i="9" s="1"/>
  <c r="H464" i="10"/>
  <c r="G464" i="10"/>
  <c r="F464" i="10"/>
  <c r="E464" i="10"/>
  <c r="Y463" i="10"/>
  <c r="T463" i="10"/>
  <c r="R463" i="10"/>
  <c r="Q463" i="10"/>
  <c r="S463" i="10"/>
  <c r="P463" i="10"/>
  <c r="O463" i="10"/>
  <c r="F424" i="9" s="1"/>
  <c r="L463" i="10"/>
  <c r="M463" i="10" s="1"/>
  <c r="N463" i="10"/>
  <c r="E424" i="9" s="1"/>
  <c r="K463" i="10"/>
  <c r="J463" i="10"/>
  <c r="I463" i="10"/>
  <c r="D424" i="9" s="1"/>
  <c r="H463" i="10"/>
  <c r="G463" i="10"/>
  <c r="F463" i="10"/>
  <c r="E463" i="10"/>
  <c r="Y462" i="10"/>
  <c r="T462" i="10"/>
  <c r="S462" i="10"/>
  <c r="P462" i="10"/>
  <c r="O462" i="10"/>
  <c r="F415" i="9" s="1"/>
  <c r="N462" i="10"/>
  <c r="E415" i="9" s="1"/>
  <c r="K462" i="10"/>
  <c r="M462" i="10" s="1"/>
  <c r="I462" i="10"/>
  <c r="D415" i="9" s="1"/>
  <c r="H462" i="10"/>
  <c r="G462" i="10"/>
  <c r="F462" i="10"/>
  <c r="E462" i="10"/>
  <c r="D462" i="10"/>
  <c r="A462" i="10"/>
  <c r="Y461" i="10"/>
  <c r="S461" i="10"/>
  <c r="P461" i="10"/>
  <c r="N461" i="10"/>
  <c r="E413" i="9" s="1"/>
  <c r="K461" i="10"/>
  <c r="I461" i="10"/>
  <c r="H461" i="10"/>
  <c r="G461" i="10"/>
  <c r="F461" i="10"/>
  <c r="E461" i="10"/>
  <c r="D461" i="10"/>
  <c r="A461" i="10"/>
  <c r="Y460" i="10"/>
  <c r="T460" i="10"/>
  <c r="S460" i="10"/>
  <c r="P460" i="10"/>
  <c r="O460" i="10"/>
  <c r="F414" i="9" s="1"/>
  <c r="N460" i="10"/>
  <c r="E414" i="9" s="1"/>
  <c r="K460" i="10"/>
  <c r="M460" i="10" s="1"/>
  <c r="I460" i="10"/>
  <c r="D414" i="9" s="1"/>
  <c r="H460" i="10"/>
  <c r="G460" i="10"/>
  <c r="F460" i="10"/>
  <c r="E460" i="10"/>
  <c r="D460" i="10"/>
  <c r="A460" i="10"/>
  <c r="Y459" i="10"/>
  <c r="S459" i="10"/>
  <c r="P459" i="10"/>
  <c r="N459" i="10"/>
  <c r="E411" i="9" s="1"/>
  <c r="K459" i="10"/>
  <c r="I459" i="10"/>
  <c r="H459" i="10"/>
  <c r="G459" i="10"/>
  <c r="F459" i="10"/>
  <c r="E459" i="10"/>
  <c r="D459" i="10"/>
  <c r="A459" i="10"/>
  <c r="Y458" i="10"/>
  <c r="T458" i="10"/>
  <c r="S458" i="10"/>
  <c r="P458" i="10"/>
  <c r="O458" i="10"/>
  <c r="F410" i="9" s="1"/>
  <c r="N458" i="10"/>
  <c r="E410" i="9" s="1"/>
  <c r="K458" i="10"/>
  <c r="M458" i="10" s="1"/>
  <c r="I458" i="10"/>
  <c r="D410" i="9" s="1"/>
  <c r="H458" i="10"/>
  <c r="G458" i="10"/>
  <c r="F458" i="10"/>
  <c r="E458" i="10"/>
  <c r="D458" i="10"/>
  <c r="A458" i="10"/>
  <c r="Y457" i="10"/>
  <c r="S457" i="10"/>
  <c r="P457" i="10"/>
  <c r="N457" i="10"/>
  <c r="E408" i="9" s="1"/>
  <c r="K457" i="10"/>
  <c r="I457" i="10"/>
  <c r="H457" i="10"/>
  <c r="G457" i="10"/>
  <c r="F457" i="10"/>
  <c r="E457" i="10"/>
  <c r="D457" i="10"/>
  <c r="A457" i="10"/>
  <c r="Y456" i="10"/>
  <c r="T456" i="10"/>
  <c r="S456" i="10"/>
  <c r="P456" i="10"/>
  <c r="O456" i="10"/>
  <c r="F409" i="9" s="1"/>
  <c r="N456" i="10"/>
  <c r="E409" i="9" s="1"/>
  <c r="K456" i="10"/>
  <c r="M456" i="10" s="1"/>
  <c r="I456" i="10"/>
  <c r="D409" i="9" s="1"/>
  <c r="H456" i="10"/>
  <c r="G456" i="10"/>
  <c r="F456" i="10"/>
  <c r="E456" i="10"/>
  <c r="D456" i="10"/>
  <c r="A456" i="10"/>
  <c r="Y455" i="10"/>
  <c r="S455" i="10"/>
  <c r="P455" i="10"/>
  <c r="N455" i="10"/>
  <c r="E412" i="9" s="1"/>
  <c r="K455" i="10"/>
  <c r="I455" i="10"/>
  <c r="H455" i="10"/>
  <c r="G455" i="10"/>
  <c r="F455" i="10"/>
  <c r="E455" i="10"/>
  <c r="D455" i="10"/>
  <c r="A455" i="10"/>
  <c r="Y454" i="10"/>
  <c r="T454" i="10"/>
  <c r="S454" i="10"/>
  <c r="P454" i="10"/>
  <c r="O454" i="10"/>
  <c r="F407" i="9" s="1"/>
  <c r="N454" i="10"/>
  <c r="E407" i="9" s="1"/>
  <c r="K454" i="10"/>
  <c r="M454" i="10" s="1"/>
  <c r="I454" i="10"/>
  <c r="D407" i="9" s="1"/>
  <c r="H454" i="10"/>
  <c r="G454" i="10"/>
  <c r="F454" i="10"/>
  <c r="E454" i="10"/>
  <c r="D454" i="10"/>
  <c r="A454" i="10"/>
  <c r="Y453" i="10"/>
  <c r="T453" i="10"/>
  <c r="Q453" i="10"/>
  <c r="R453" i="10" s="1"/>
  <c r="S453" i="10"/>
  <c r="P453" i="10"/>
  <c r="L453" i="10"/>
  <c r="N453" i="10"/>
  <c r="E375" i="9" s="1"/>
  <c r="K453" i="10"/>
  <c r="J453" i="10"/>
  <c r="I453" i="10"/>
  <c r="D375" i="9" s="1"/>
  <c r="H453" i="10"/>
  <c r="G453" i="10"/>
  <c r="F453" i="10"/>
  <c r="E453" i="10"/>
  <c r="Y452" i="10"/>
  <c r="Q452" i="10"/>
  <c r="S452" i="10"/>
  <c r="P452" i="10"/>
  <c r="L452" i="10"/>
  <c r="N452" i="10"/>
  <c r="E379" i="9" s="1"/>
  <c r="K452" i="10"/>
  <c r="J452" i="10"/>
  <c r="I452" i="10"/>
  <c r="D379" i="9" s="1"/>
  <c r="H452" i="10"/>
  <c r="G452" i="10"/>
  <c r="F452" i="10"/>
  <c r="E452" i="10"/>
  <c r="Y451" i="10"/>
  <c r="Q451" i="10"/>
  <c r="T451" i="10" s="1"/>
  <c r="S451" i="10"/>
  <c r="P451" i="10"/>
  <c r="O451" i="10"/>
  <c r="M451" i="10"/>
  <c r="L451" i="10"/>
  <c r="N451" i="10"/>
  <c r="E380" i="9" s="1"/>
  <c r="K451" i="10"/>
  <c r="J451" i="10"/>
  <c r="I451" i="10"/>
  <c r="D380" i="9" s="1"/>
  <c r="H451" i="10"/>
  <c r="G451" i="10"/>
  <c r="F451" i="10"/>
  <c r="E451" i="10"/>
  <c r="Y450" i="10"/>
  <c r="T450" i="10"/>
  <c r="R450" i="10"/>
  <c r="Q450" i="10"/>
  <c r="S450" i="10"/>
  <c r="P450" i="10"/>
  <c r="O450" i="10"/>
  <c r="M450" i="10"/>
  <c r="L450" i="10"/>
  <c r="N450" i="10"/>
  <c r="E381" i="9" s="1"/>
  <c r="K450" i="10"/>
  <c r="J450" i="10"/>
  <c r="I450" i="10"/>
  <c r="H450" i="10"/>
  <c r="G450" i="10"/>
  <c r="F450" i="10"/>
  <c r="E450" i="10"/>
  <c r="Y449" i="10"/>
  <c r="T449" i="10"/>
  <c r="R449" i="10"/>
  <c r="Q449" i="10"/>
  <c r="S449" i="10"/>
  <c r="P449" i="10"/>
  <c r="L449" i="10"/>
  <c r="N449" i="10"/>
  <c r="E386" i="9" s="1"/>
  <c r="K449" i="10"/>
  <c r="J449" i="10"/>
  <c r="I449" i="10"/>
  <c r="D386" i="9" s="1"/>
  <c r="H449" i="10"/>
  <c r="G449" i="10"/>
  <c r="F449" i="10"/>
  <c r="E449" i="10"/>
  <c r="Y448" i="10"/>
  <c r="Q448" i="10"/>
  <c r="R448" i="10" s="1"/>
  <c r="S448" i="10"/>
  <c r="P448" i="10"/>
  <c r="L448" i="10"/>
  <c r="O448" i="10" s="1"/>
  <c r="F387" i="9" s="1"/>
  <c r="N448" i="10"/>
  <c r="E387" i="9" s="1"/>
  <c r="K448" i="10"/>
  <c r="J448" i="10"/>
  <c r="I448" i="10"/>
  <c r="D387" i="9" s="1"/>
  <c r="H448" i="10"/>
  <c r="G448" i="10"/>
  <c r="F448" i="10"/>
  <c r="E448" i="10"/>
  <c r="Y447" i="10"/>
  <c r="Q447" i="10"/>
  <c r="T447" i="10" s="1"/>
  <c r="S447" i="10"/>
  <c r="P447" i="10"/>
  <c r="L447" i="10"/>
  <c r="N447" i="10"/>
  <c r="E388" i="9" s="1"/>
  <c r="K447" i="10"/>
  <c r="J447" i="10"/>
  <c r="I447" i="10"/>
  <c r="D388" i="9" s="1"/>
  <c r="H447" i="10"/>
  <c r="G447" i="10"/>
  <c r="F447" i="10"/>
  <c r="E447" i="10"/>
  <c r="Y446" i="10"/>
  <c r="Q446" i="10"/>
  <c r="S446" i="10"/>
  <c r="P446" i="10"/>
  <c r="O446" i="10"/>
  <c r="F390" i="9" s="1"/>
  <c r="M446" i="10"/>
  <c r="L446" i="10"/>
  <c r="N446" i="10"/>
  <c r="E390" i="9" s="1"/>
  <c r="K446" i="10"/>
  <c r="J446" i="10"/>
  <c r="I446" i="10"/>
  <c r="D390" i="9" s="1"/>
  <c r="H446" i="10"/>
  <c r="G446" i="10"/>
  <c r="F446" i="10"/>
  <c r="E446" i="10"/>
  <c r="Y445" i="10"/>
  <c r="T445" i="10"/>
  <c r="R445" i="10"/>
  <c r="Q445" i="10"/>
  <c r="S445" i="10"/>
  <c r="P445" i="10"/>
  <c r="O445" i="10"/>
  <c r="M445" i="10"/>
  <c r="L445" i="10"/>
  <c r="N445" i="10"/>
  <c r="E391" i="9" s="1"/>
  <c r="K445" i="10"/>
  <c r="J445" i="10"/>
  <c r="I445" i="10"/>
  <c r="D391" i="9" s="1"/>
  <c r="H445" i="10"/>
  <c r="G445" i="10"/>
  <c r="F445" i="10"/>
  <c r="E445" i="10"/>
  <c r="Y444" i="10"/>
  <c r="T444" i="10"/>
  <c r="Q444" i="10"/>
  <c r="R444" i="10" s="1"/>
  <c r="S444" i="10"/>
  <c r="P444" i="10"/>
  <c r="L444" i="10"/>
  <c r="O444" i="10" s="1"/>
  <c r="F393" i="9" s="1"/>
  <c r="N444" i="10"/>
  <c r="E393" i="9" s="1"/>
  <c r="K444" i="10"/>
  <c r="J444" i="10"/>
  <c r="I444" i="10"/>
  <c r="D393" i="9" s="1"/>
  <c r="H444" i="10"/>
  <c r="G444" i="10"/>
  <c r="F444" i="10"/>
  <c r="E444" i="10"/>
  <c r="Y443" i="10"/>
  <c r="Q443" i="10"/>
  <c r="T443" i="10" s="1"/>
  <c r="S443" i="10"/>
  <c r="P443" i="10"/>
  <c r="L443" i="10"/>
  <c r="N443" i="10"/>
  <c r="E397" i="9" s="1"/>
  <c r="K443" i="10"/>
  <c r="J443" i="10"/>
  <c r="I443" i="10"/>
  <c r="D397" i="9" s="1"/>
  <c r="H443" i="10"/>
  <c r="G443" i="10"/>
  <c r="F443" i="10"/>
  <c r="E443" i="10"/>
  <c r="Y442" i="10"/>
  <c r="Q442" i="10"/>
  <c r="S442" i="10"/>
  <c r="P442" i="10"/>
  <c r="O442" i="10"/>
  <c r="F423" i="9" s="1"/>
  <c r="M442" i="10"/>
  <c r="L442" i="10"/>
  <c r="N442" i="10"/>
  <c r="E423" i="9" s="1"/>
  <c r="K442" i="10"/>
  <c r="J442" i="10"/>
  <c r="I442" i="10"/>
  <c r="D423" i="9" s="1"/>
  <c r="H442" i="10"/>
  <c r="G442" i="10"/>
  <c r="F442" i="10"/>
  <c r="E442" i="10"/>
  <c r="G441" i="10"/>
  <c r="A441" i="10"/>
  <c r="Y440" i="10"/>
  <c r="Q440" i="10"/>
  <c r="T440" i="10" s="1"/>
  <c r="S440" i="10"/>
  <c r="P440" i="10"/>
  <c r="L440" i="10"/>
  <c r="N440" i="10"/>
  <c r="K440" i="10"/>
  <c r="J440" i="10"/>
  <c r="I440" i="10"/>
  <c r="H440" i="10"/>
  <c r="G440" i="10"/>
  <c r="F440" i="10"/>
  <c r="E440" i="10"/>
  <c r="Y439" i="10"/>
  <c r="Q439" i="10"/>
  <c r="S439" i="10"/>
  <c r="P439" i="10"/>
  <c r="O439" i="10"/>
  <c r="F360" i="9" s="1"/>
  <c r="M439" i="10"/>
  <c r="L439" i="10"/>
  <c r="N439" i="10"/>
  <c r="E360" i="9" s="1"/>
  <c r="K439" i="10"/>
  <c r="J439" i="10"/>
  <c r="I439" i="10"/>
  <c r="D360" i="9" s="1"/>
  <c r="H439" i="10"/>
  <c r="G439" i="10"/>
  <c r="F439" i="10"/>
  <c r="E439" i="10"/>
  <c r="Y438" i="10"/>
  <c r="T438" i="10"/>
  <c r="R438" i="10"/>
  <c r="Q438" i="10"/>
  <c r="S438" i="10"/>
  <c r="P438" i="10"/>
  <c r="O438" i="10"/>
  <c r="M438" i="10"/>
  <c r="L438" i="10"/>
  <c r="N438" i="10"/>
  <c r="K438" i="10"/>
  <c r="J438" i="10"/>
  <c r="I438" i="10"/>
  <c r="H438" i="10"/>
  <c r="G438" i="10"/>
  <c r="F438" i="10"/>
  <c r="E438" i="10"/>
  <c r="Y437" i="10"/>
  <c r="T437" i="10"/>
  <c r="R437" i="10"/>
  <c r="Q437" i="10"/>
  <c r="S437" i="10"/>
  <c r="P437" i="10"/>
  <c r="L437" i="10"/>
  <c r="O437" i="10" s="1"/>
  <c r="N437" i="10"/>
  <c r="K437" i="10"/>
  <c r="J437" i="10"/>
  <c r="I437" i="10"/>
  <c r="H437" i="10"/>
  <c r="G437" i="10"/>
  <c r="F437" i="10"/>
  <c r="E437" i="10"/>
  <c r="Y436" i="10"/>
  <c r="Q436" i="10"/>
  <c r="T436" i="10" s="1"/>
  <c r="S436" i="10"/>
  <c r="P436" i="10"/>
  <c r="L436" i="10"/>
  <c r="N436" i="10"/>
  <c r="E357" i="9" s="1"/>
  <c r="K436" i="10"/>
  <c r="J436" i="10"/>
  <c r="I436" i="10"/>
  <c r="D357" i="9" s="1"/>
  <c r="H436" i="10"/>
  <c r="G436" i="10"/>
  <c r="F436" i="10"/>
  <c r="E436" i="10"/>
  <c r="Y435" i="10"/>
  <c r="Q435" i="10"/>
  <c r="S435" i="10"/>
  <c r="P435" i="10"/>
  <c r="O435" i="10"/>
  <c r="F358" i="9" s="1"/>
  <c r="M435" i="10"/>
  <c r="L435" i="10"/>
  <c r="N435" i="10"/>
  <c r="E358" i="9" s="1"/>
  <c r="K435" i="10"/>
  <c r="J435" i="10"/>
  <c r="I435" i="10"/>
  <c r="D358" i="9" s="1"/>
  <c r="H435" i="10"/>
  <c r="G435" i="10"/>
  <c r="F435" i="10"/>
  <c r="E435" i="10"/>
  <c r="Y434" i="10"/>
  <c r="T434" i="10"/>
  <c r="R434" i="10"/>
  <c r="Q434" i="10"/>
  <c r="S434" i="10"/>
  <c r="P434" i="10"/>
  <c r="O434" i="10"/>
  <c r="F359" i="9" s="1"/>
  <c r="M434" i="10"/>
  <c r="L434" i="10"/>
  <c r="N434" i="10"/>
  <c r="E359" i="9" s="1"/>
  <c r="K434" i="10"/>
  <c r="J434" i="10"/>
  <c r="I434" i="10"/>
  <c r="D359" i="9" s="1"/>
  <c r="H434" i="10"/>
  <c r="G434" i="10"/>
  <c r="F434" i="10"/>
  <c r="E434" i="10"/>
  <c r="Y433" i="10"/>
  <c r="T433" i="10"/>
  <c r="R433" i="10"/>
  <c r="Q433" i="10"/>
  <c r="S433" i="10"/>
  <c r="P433" i="10"/>
  <c r="L433" i="10"/>
  <c r="O433" i="10" s="1"/>
  <c r="F363" i="9" s="1"/>
  <c r="N433" i="10"/>
  <c r="E363" i="9" s="1"/>
  <c r="K433" i="10"/>
  <c r="J433" i="10"/>
  <c r="I433" i="10"/>
  <c r="D363" i="9" s="1"/>
  <c r="H433" i="10"/>
  <c r="G433" i="10"/>
  <c r="F433" i="10"/>
  <c r="E433" i="10"/>
  <c r="Y432" i="10"/>
  <c r="Q432" i="10"/>
  <c r="T432" i="10" s="1"/>
  <c r="S432" i="10"/>
  <c r="P432" i="10"/>
  <c r="L432" i="10"/>
  <c r="N432" i="10"/>
  <c r="E364" i="9" s="1"/>
  <c r="K432" i="10"/>
  <c r="J432" i="10"/>
  <c r="I432" i="10"/>
  <c r="D364" i="9" s="1"/>
  <c r="H432" i="10"/>
  <c r="G432" i="10"/>
  <c r="F432" i="10"/>
  <c r="E432" i="10"/>
  <c r="Y431" i="10"/>
  <c r="Q431" i="10"/>
  <c r="S431" i="10"/>
  <c r="P431" i="10"/>
  <c r="O431" i="10"/>
  <c r="F365" i="9" s="1"/>
  <c r="M431" i="10"/>
  <c r="L431" i="10"/>
  <c r="N431" i="10"/>
  <c r="E365" i="9" s="1"/>
  <c r="K431" i="10"/>
  <c r="J431" i="10"/>
  <c r="I431" i="10"/>
  <c r="D365" i="9" s="1"/>
  <c r="H431" i="10"/>
  <c r="G431" i="10"/>
  <c r="F431" i="10"/>
  <c r="E431" i="10"/>
  <c r="Y430" i="10"/>
  <c r="T430" i="10"/>
  <c r="R430" i="10"/>
  <c r="Q430" i="10"/>
  <c r="S430" i="10"/>
  <c r="P430" i="10"/>
  <c r="O430" i="10"/>
  <c r="F366" i="9" s="1"/>
  <c r="M430" i="10"/>
  <c r="L430" i="10"/>
  <c r="N430" i="10"/>
  <c r="E366" i="9" s="1"/>
  <c r="K430" i="10"/>
  <c r="J430" i="10"/>
  <c r="I430" i="10"/>
  <c r="D366" i="9" s="1"/>
  <c r="H430" i="10"/>
  <c r="G430" i="10"/>
  <c r="F430" i="10"/>
  <c r="E430" i="10"/>
  <c r="Y429" i="10"/>
  <c r="T429" i="10"/>
  <c r="R429" i="10"/>
  <c r="Q429" i="10"/>
  <c r="S429" i="10"/>
  <c r="P429" i="10"/>
  <c r="L429" i="10"/>
  <c r="O429" i="10" s="1"/>
  <c r="F367" i="9" s="1"/>
  <c r="N429" i="10"/>
  <c r="E367" i="9" s="1"/>
  <c r="K429" i="10"/>
  <c r="J429" i="10"/>
  <c r="I429" i="10"/>
  <c r="D367" i="9" s="1"/>
  <c r="H429" i="10"/>
  <c r="G429" i="10"/>
  <c r="F429" i="10"/>
  <c r="E429" i="10"/>
  <c r="Y428" i="10"/>
  <c r="Q428" i="10"/>
  <c r="T428" i="10" s="1"/>
  <c r="S428" i="10"/>
  <c r="P428" i="10"/>
  <c r="L428" i="10"/>
  <c r="N428" i="10"/>
  <c r="E368" i="9" s="1"/>
  <c r="K428" i="10"/>
  <c r="J428" i="10"/>
  <c r="I428" i="10"/>
  <c r="D368" i="9" s="1"/>
  <c r="H428" i="10"/>
  <c r="G428" i="10"/>
  <c r="F428" i="10"/>
  <c r="E428" i="10"/>
  <c r="Y427" i="10"/>
  <c r="Q427" i="10"/>
  <c r="S427" i="10"/>
  <c r="P427" i="10"/>
  <c r="O427" i="10"/>
  <c r="F369" i="9" s="1"/>
  <c r="M427" i="10"/>
  <c r="L427" i="10"/>
  <c r="N427" i="10"/>
  <c r="E369" i="9" s="1"/>
  <c r="K427" i="10"/>
  <c r="J427" i="10"/>
  <c r="I427" i="10"/>
  <c r="D369" i="9" s="1"/>
  <c r="H427" i="10"/>
  <c r="G427" i="10"/>
  <c r="F427" i="10"/>
  <c r="E427" i="10"/>
  <c r="Y426" i="10"/>
  <c r="T426" i="10"/>
  <c r="R426" i="10"/>
  <c r="Q426" i="10"/>
  <c r="S426" i="10"/>
  <c r="P426" i="10"/>
  <c r="O426" i="10"/>
  <c r="F371" i="9" s="1"/>
  <c r="M426" i="10"/>
  <c r="L426" i="10"/>
  <c r="N426" i="10"/>
  <c r="E371" i="9" s="1"/>
  <c r="K426" i="10"/>
  <c r="J426" i="10"/>
  <c r="I426" i="10"/>
  <c r="D371" i="9" s="1"/>
  <c r="H426" i="10"/>
  <c r="G426" i="10"/>
  <c r="F426" i="10"/>
  <c r="E426" i="10"/>
  <c r="Y425" i="10"/>
  <c r="T425" i="10"/>
  <c r="R425" i="10"/>
  <c r="Q425" i="10"/>
  <c r="S425" i="10"/>
  <c r="P425" i="10"/>
  <c r="L425" i="10"/>
  <c r="O425" i="10" s="1"/>
  <c r="N425" i="10"/>
  <c r="K425" i="10"/>
  <c r="J425" i="10"/>
  <c r="I425" i="10"/>
  <c r="H425" i="10"/>
  <c r="G425" i="10"/>
  <c r="F425" i="10"/>
  <c r="E425" i="10"/>
  <c r="Y424" i="10"/>
  <c r="Q424" i="10"/>
  <c r="T424" i="10" s="1"/>
  <c r="S424" i="10"/>
  <c r="P424" i="10"/>
  <c r="L424" i="10"/>
  <c r="N424" i="10"/>
  <c r="K424" i="10"/>
  <c r="J424" i="10"/>
  <c r="I424" i="10"/>
  <c r="H424" i="10"/>
  <c r="G424" i="10"/>
  <c r="F424" i="10"/>
  <c r="E424" i="10"/>
  <c r="Y423" i="10"/>
  <c r="Q423" i="10"/>
  <c r="S423" i="10"/>
  <c r="P423" i="10"/>
  <c r="O423" i="10"/>
  <c r="M423" i="10"/>
  <c r="L423" i="10"/>
  <c r="N423" i="10"/>
  <c r="E354" i="9" s="1"/>
  <c r="K423" i="10"/>
  <c r="J423" i="10"/>
  <c r="I423" i="10"/>
  <c r="H423" i="10"/>
  <c r="G423" i="10"/>
  <c r="F423" i="10"/>
  <c r="E423" i="10"/>
  <c r="Y422" i="10"/>
  <c r="T422" i="10"/>
  <c r="R422" i="10"/>
  <c r="Q422" i="10"/>
  <c r="S422" i="10"/>
  <c r="P422" i="10"/>
  <c r="O422" i="10"/>
  <c r="M422" i="10"/>
  <c r="L422" i="10"/>
  <c r="N422" i="10"/>
  <c r="E370" i="9" s="1"/>
  <c r="K422" i="10"/>
  <c r="J422" i="10"/>
  <c r="I422" i="10"/>
  <c r="H422" i="10"/>
  <c r="G422" i="10"/>
  <c r="F422" i="10"/>
  <c r="E422" i="10"/>
  <c r="G421" i="10"/>
  <c r="A421" i="10"/>
  <c r="G420" i="10"/>
  <c r="A420" i="10"/>
  <c r="Y419" i="10"/>
  <c r="T419" i="10"/>
  <c r="S419" i="10"/>
  <c r="P419" i="10"/>
  <c r="O419" i="10"/>
  <c r="F324" i="9" s="1"/>
  <c r="N419" i="10"/>
  <c r="E324" i="9" s="1"/>
  <c r="K419" i="10"/>
  <c r="M419" i="10" s="1"/>
  <c r="I419" i="10"/>
  <c r="D324" i="9" s="1"/>
  <c r="H419" i="10"/>
  <c r="G419" i="10"/>
  <c r="F419" i="10"/>
  <c r="E419" i="10"/>
  <c r="D419" i="10"/>
  <c r="A419" i="10"/>
  <c r="Y418" i="10"/>
  <c r="T418" i="10"/>
  <c r="R418" i="10"/>
  <c r="Q418" i="10"/>
  <c r="S418" i="10"/>
  <c r="P418" i="10"/>
  <c r="L418" i="10"/>
  <c r="O418" i="10" s="1"/>
  <c r="N418" i="10"/>
  <c r="K418" i="10"/>
  <c r="J418" i="10"/>
  <c r="I418" i="10"/>
  <c r="H418" i="10"/>
  <c r="G418" i="10"/>
  <c r="F418" i="10"/>
  <c r="E418" i="10"/>
  <c r="Y417" i="10"/>
  <c r="S417" i="10"/>
  <c r="P417" i="10"/>
  <c r="R417" i="10" s="1"/>
  <c r="N417" i="10"/>
  <c r="E327" i="9" s="1"/>
  <c r="K417" i="10"/>
  <c r="M417" i="10" s="1"/>
  <c r="I417" i="10"/>
  <c r="D327" i="9" s="1"/>
  <c r="H417" i="10"/>
  <c r="G417" i="10"/>
  <c r="F417" i="10"/>
  <c r="E417" i="10"/>
  <c r="D417" i="10"/>
  <c r="A417" i="10"/>
  <c r="Y416" i="10"/>
  <c r="Q416" i="10"/>
  <c r="T416" i="10" s="1"/>
  <c r="S416" i="10"/>
  <c r="P416" i="10"/>
  <c r="L416" i="10"/>
  <c r="N416" i="10"/>
  <c r="K416" i="10"/>
  <c r="J416" i="10"/>
  <c r="I416" i="10"/>
  <c r="H416" i="10"/>
  <c r="G416" i="10"/>
  <c r="F416" i="10"/>
  <c r="E416" i="10"/>
  <c r="Y415" i="10"/>
  <c r="S415" i="10"/>
  <c r="T415" i="10" s="1"/>
  <c r="R415" i="10"/>
  <c r="P415" i="10"/>
  <c r="N415" i="10"/>
  <c r="E330" i="9" s="1"/>
  <c r="M415" i="10"/>
  <c r="K415" i="10"/>
  <c r="I415" i="10"/>
  <c r="D330" i="9" s="1"/>
  <c r="H415" i="10"/>
  <c r="G415" i="10"/>
  <c r="F415" i="10"/>
  <c r="E415" i="10"/>
  <c r="D415" i="10"/>
  <c r="A415" i="10"/>
  <c r="Y414" i="10"/>
  <c r="Q414" i="10"/>
  <c r="S414" i="10"/>
  <c r="P414" i="10"/>
  <c r="O414" i="10"/>
  <c r="M414" i="10"/>
  <c r="L414" i="10"/>
  <c r="N414" i="10"/>
  <c r="K414" i="10"/>
  <c r="J414" i="10"/>
  <c r="I414" i="10"/>
  <c r="H414" i="10"/>
  <c r="G414" i="10"/>
  <c r="F414" i="10"/>
  <c r="E414" i="10"/>
  <c r="Y413" i="10"/>
  <c r="S413" i="10"/>
  <c r="T413" i="10" s="1"/>
  <c r="P413" i="10"/>
  <c r="R413" i="10" s="1"/>
  <c r="N413" i="10"/>
  <c r="K413" i="10"/>
  <c r="M413" i="10" s="1"/>
  <c r="I413" i="10"/>
  <c r="D341" i="9" s="1"/>
  <c r="H413" i="10"/>
  <c r="G413" i="10"/>
  <c r="F413" i="10"/>
  <c r="E413" i="10"/>
  <c r="D413" i="10"/>
  <c r="A413" i="10"/>
  <c r="Y412" i="10"/>
  <c r="S412" i="10"/>
  <c r="T412" i="10" s="1"/>
  <c r="P412" i="10"/>
  <c r="R412" i="10" s="1"/>
  <c r="N412" i="10"/>
  <c r="K412" i="10"/>
  <c r="M412" i="10" s="1"/>
  <c r="I412" i="10"/>
  <c r="D331" i="9" s="1"/>
  <c r="H412" i="10"/>
  <c r="G412" i="10"/>
  <c r="F412" i="10"/>
  <c r="E412" i="10"/>
  <c r="D412" i="10"/>
  <c r="A412" i="10"/>
  <c r="Y411" i="10"/>
  <c r="S411" i="10"/>
  <c r="T411" i="10" s="1"/>
  <c r="P411" i="10"/>
  <c r="R411" i="10" s="1"/>
  <c r="N411" i="10"/>
  <c r="K411" i="10"/>
  <c r="M411" i="10" s="1"/>
  <c r="I411" i="10"/>
  <c r="D332" i="9" s="1"/>
  <c r="H411" i="10"/>
  <c r="G411" i="10"/>
  <c r="F411" i="10"/>
  <c r="E411" i="10"/>
  <c r="D411" i="10"/>
  <c r="A411" i="10"/>
  <c r="Y410" i="10"/>
  <c r="S410" i="10"/>
  <c r="T410" i="10" s="1"/>
  <c r="P410" i="10"/>
  <c r="R410" i="10" s="1"/>
  <c r="N410" i="10"/>
  <c r="K410" i="10"/>
  <c r="M410" i="10" s="1"/>
  <c r="I410" i="10"/>
  <c r="D340" i="9" s="1"/>
  <c r="H410" i="10"/>
  <c r="G410" i="10"/>
  <c r="F410" i="10"/>
  <c r="E410" i="10"/>
  <c r="D410" i="10"/>
  <c r="A410" i="10"/>
  <c r="Y409" i="10"/>
  <c r="T409" i="10"/>
  <c r="R409" i="10"/>
  <c r="Q409" i="10"/>
  <c r="S409" i="10"/>
  <c r="P409" i="10"/>
  <c r="O409" i="10"/>
  <c r="L409" i="10"/>
  <c r="M409" i="10" s="1"/>
  <c r="N409" i="10"/>
  <c r="K409" i="10"/>
  <c r="J409" i="10"/>
  <c r="I409" i="10"/>
  <c r="H409" i="10"/>
  <c r="G409" i="10"/>
  <c r="F409" i="10"/>
  <c r="E409" i="10"/>
  <c r="Y408" i="10"/>
  <c r="S408" i="10"/>
  <c r="P408" i="10"/>
  <c r="N408" i="10"/>
  <c r="E329" i="9" s="1"/>
  <c r="K408" i="10"/>
  <c r="I408" i="10"/>
  <c r="H408" i="10"/>
  <c r="G408" i="10"/>
  <c r="F408" i="10"/>
  <c r="E408" i="10"/>
  <c r="D408" i="10"/>
  <c r="A408" i="10"/>
  <c r="Y407" i="10"/>
  <c r="T407" i="10"/>
  <c r="R407" i="10"/>
  <c r="Q407" i="10"/>
  <c r="S407" i="10"/>
  <c r="P407" i="10"/>
  <c r="L407" i="10"/>
  <c r="O407" i="10" s="1"/>
  <c r="N407" i="10"/>
  <c r="K407" i="10"/>
  <c r="J407" i="10"/>
  <c r="I407" i="10"/>
  <c r="H407" i="10"/>
  <c r="G407" i="10"/>
  <c r="F407" i="10"/>
  <c r="E407" i="10"/>
  <c r="Y406" i="10"/>
  <c r="S406" i="10"/>
  <c r="P406" i="10"/>
  <c r="R406" i="10" s="1"/>
  <c r="N406" i="10"/>
  <c r="E339" i="9" s="1"/>
  <c r="K406" i="10"/>
  <c r="M406" i="10" s="1"/>
  <c r="I406" i="10"/>
  <c r="D339" i="9" s="1"/>
  <c r="H406" i="10"/>
  <c r="G406" i="10"/>
  <c r="F406" i="10"/>
  <c r="E406" i="10"/>
  <c r="D406" i="10"/>
  <c r="A406" i="10"/>
  <c r="Y405" i="10"/>
  <c r="Q405" i="10"/>
  <c r="T405" i="10" s="1"/>
  <c r="S405" i="10"/>
  <c r="P405" i="10"/>
  <c r="L405" i="10"/>
  <c r="N405" i="10"/>
  <c r="K405" i="10"/>
  <c r="J405" i="10"/>
  <c r="I405" i="10"/>
  <c r="H405" i="10"/>
  <c r="G405" i="10"/>
  <c r="F405" i="10"/>
  <c r="E405" i="10"/>
  <c r="Y404" i="10"/>
  <c r="S404" i="10"/>
  <c r="T404" i="10" s="1"/>
  <c r="R404" i="10"/>
  <c r="P404" i="10"/>
  <c r="N404" i="10"/>
  <c r="E323" i="9" s="1"/>
  <c r="M404" i="10"/>
  <c r="K404" i="10"/>
  <c r="I404" i="10"/>
  <c r="D323" i="9" s="1"/>
  <c r="H404" i="10"/>
  <c r="G404" i="10"/>
  <c r="F404" i="10"/>
  <c r="E404" i="10"/>
  <c r="D404" i="10"/>
  <c r="A404" i="10"/>
  <c r="Y403" i="10"/>
  <c r="Q403" i="10"/>
  <c r="S403" i="10"/>
  <c r="P403" i="10"/>
  <c r="O403" i="10"/>
  <c r="M403" i="10"/>
  <c r="L403" i="10"/>
  <c r="N403" i="10"/>
  <c r="K403" i="10"/>
  <c r="J403" i="10"/>
  <c r="I403" i="10"/>
  <c r="H403" i="10"/>
  <c r="G403" i="10"/>
  <c r="F403" i="10"/>
  <c r="E403" i="10"/>
  <c r="Y402" i="10"/>
  <c r="S402" i="10"/>
  <c r="T402" i="10" s="1"/>
  <c r="P402" i="10"/>
  <c r="R402" i="10" s="1"/>
  <c r="N402" i="10"/>
  <c r="K402" i="10"/>
  <c r="M402" i="10" s="1"/>
  <c r="I402" i="10"/>
  <c r="D338" i="9" s="1"/>
  <c r="H402" i="10"/>
  <c r="G402" i="10"/>
  <c r="F402" i="10"/>
  <c r="E402" i="10"/>
  <c r="D402" i="10"/>
  <c r="A402" i="10"/>
  <c r="Y401" i="10"/>
  <c r="S401" i="10"/>
  <c r="T401" i="10" s="1"/>
  <c r="P401" i="10"/>
  <c r="R401" i="10" s="1"/>
  <c r="N401" i="10"/>
  <c r="K401" i="10"/>
  <c r="M401" i="10" s="1"/>
  <c r="I401" i="10"/>
  <c r="D326" i="9" s="1"/>
  <c r="H401" i="10"/>
  <c r="G401" i="10"/>
  <c r="F401" i="10"/>
  <c r="E401" i="10"/>
  <c r="D401" i="10"/>
  <c r="A401" i="10"/>
  <c r="Y400" i="10"/>
  <c r="S400" i="10"/>
  <c r="T400" i="10" s="1"/>
  <c r="P400" i="10"/>
  <c r="R400" i="10" s="1"/>
  <c r="N400" i="10"/>
  <c r="K400" i="10"/>
  <c r="M400" i="10" s="1"/>
  <c r="I400" i="10"/>
  <c r="D322" i="9" s="1"/>
  <c r="H400" i="10"/>
  <c r="G400" i="10"/>
  <c r="F400" i="10"/>
  <c r="E400" i="10"/>
  <c r="D400" i="10"/>
  <c r="A400" i="10"/>
  <c r="Y399" i="10"/>
  <c r="T399" i="10"/>
  <c r="R399" i="10"/>
  <c r="Q399" i="10"/>
  <c r="S399" i="10"/>
  <c r="P399" i="10"/>
  <c r="O399" i="10"/>
  <c r="L399" i="10"/>
  <c r="M399" i="10" s="1"/>
  <c r="N399" i="10"/>
  <c r="K399" i="10"/>
  <c r="J399" i="10"/>
  <c r="I399" i="10"/>
  <c r="H399" i="10"/>
  <c r="G399" i="10"/>
  <c r="F399" i="10"/>
  <c r="E399" i="10"/>
  <c r="Y398" i="10"/>
  <c r="S398" i="10"/>
  <c r="P398" i="10"/>
  <c r="O398" i="10"/>
  <c r="F337" i="9" s="1"/>
  <c r="N398" i="10"/>
  <c r="E337" i="9" s="1"/>
  <c r="K398" i="10"/>
  <c r="M398" i="10" s="1"/>
  <c r="I398" i="10"/>
  <c r="D337" i="9" s="1"/>
  <c r="H398" i="10"/>
  <c r="G398" i="10"/>
  <c r="F398" i="10"/>
  <c r="E398" i="10"/>
  <c r="D398" i="10"/>
  <c r="A398" i="10"/>
  <c r="Y397" i="10"/>
  <c r="T397" i="10"/>
  <c r="R397" i="10"/>
  <c r="Q397" i="10"/>
  <c r="S397" i="10"/>
  <c r="P397" i="10"/>
  <c r="L397" i="10"/>
  <c r="O397" i="10" s="1"/>
  <c r="N397" i="10"/>
  <c r="K397" i="10"/>
  <c r="J397" i="10"/>
  <c r="I397" i="10"/>
  <c r="H397" i="10"/>
  <c r="G397" i="10"/>
  <c r="F397" i="10"/>
  <c r="E397" i="10"/>
  <c r="Y396" i="10"/>
  <c r="Q396" i="10"/>
  <c r="T396" i="10" s="1"/>
  <c r="S396" i="10"/>
  <c r="P396" i="10"/>
  <c r="L396" i="10"/>
  <c r="N396" i="10"/>
  <c r="E333" i="9" s="1"/>
  <c r="K396" i="10"/>
  <c r="J396" i="10"/>
  <c r="I396" i="10"/>
  <c r="D333" i="9" s="1"/>
  <c r="H396" i="10"/>
  <c r="G396" i="10"/>
  <c r="F396" i="10"/>
  <c r="E396" i="10"/>
  <c r="Y395" i="10"/>
  <c r="S395" i="10"/>
  <c r="T395" i="10" s="1"/>
  <c r="R395" i="10"/>
  <c r="P395" i="10"/>
  <c r="N395" i="10"/>
  <c r="E321" i="9" s="1"/>
  <c r="M395" i="10"/>
  <c r="K395" i="10"/>
  <c r="I395" i="10"/>
  <c r="D321" i="9" s="1"/>
  <c r="H395" i="10"/>
  <c r="G395" i="10"/>
  <c r="F395" i="10"/>
  <c r="E395" i="10"/>
  <c r="D395" i="10"/>
  <c r="A395" i="10"/>
  <c r="Y394" i="10"/>
  <c r="S394" i="10"/>
  <c r="T394" i="10" s="1"/>
  <c r="R394" i="10"/>
  <c r="P394" i="10"/>
  <c r="N394" i="10"/>
  <c r="E328" i="9" s="1"/>
  <c r="M394" i="10"/>
  <c r="K394" i="10"/>
  <c r="I394" i="10"/>
  <c r="D328" i="9" s="1"/>
  <c r="H394" i="10"/>
  <c r="G394" i="10"/>
  <c r="F394" i="10"/>
  <c r="E394" i="10"/>
  <c r="D394" i="10"/>
  <c r="A394" i="10"/>
  <c r="Y393" i="10"/>
  <c r="Q393" i="10"/>
  <c r="S393" i="10"/>
  <c r="P393" i="10"/>
  <c r="O393" i="10"/>
  <c r="M393" i="10"/>
  <c r="L393" i="10"/>
  <c r="N393" i="10"/>
  <c r="K393" i="10"/>
  <c r="J393" i="10"/>
  <c r="I393" i="10"/>
  <c r="H393" i="10"/>
  <c r="G393" i="10"/>
  <c r="F393" i="10"/>
  <c r="E393" i="10"/>
  <c r="Y392" i="10"/>
  <c r="S392" i="10"/>
  <c r="T392" i="10" s="1"/>
  <c r="P392" i="10"/>
  <c r="R392" i="10" s="1"/>
  <c r="N392" i="10"/>
  <c r="K392" i="10"/>
  <c r="M392" i="10" s="1"/>
  <c r="I392" i="10"/>
  <c r="D336" i="9" s="1"/>
  <c r="H392" i="10"/>
  <c r="G392" i="10"/>
  <c r="F392" i="10"/>
  <c r="E392" i="10"/>
  <c r="D392" i="10"/>
  <c r="A392" i="10"/>
  <c r="Y391" i="10"/>
  <c r="S391" i="10"/>
  <c r="T391" i="10" s="1"/>
  <c r="P391" i="10"/>
  <c r="R391" i="10" s="1"/>
  <c r="N391" i="10"/>
  <c r="K391" i="10"/>
  <c r="M391" i="10" s="1"/>
  <c r="I391" i="10"/>
  <c r="D335" i="9" s="1"/>
  <c r="H391" i="10"/>
  <c r="G391" i="10"/>
  <c r="F391" i="10"/>
  <c r="E391" i="10"/>
  <c r="D391" i="10"/>
  <c r="A391" i="10"/>
  <c r="Y390" i="10"/>
  <c r="S390" i="10"/>
  <c r="T390" i="10" s="1"/>
  <c r="P390" i="10"/>
  <c r="R390" i="10" s="1"/>
  <c r="N390" i="10"/>
  <c r="K390" i="10"/>
  <c r="M390" i="10" s="1"/>
  <c r="I390" i="10"/>
  <c r="D334" i="9" s="1"/>
  <c r="H390" i="10"/>
  <c r="G390" i="10"/>
  <c r="F390" i="10"/>
  <c r="E390" i="10"/>
  <c r="D390" i="10"/>
  <c r="A390" i="10"/>
  <c r="Y389" i="10"/>
  <c r="T389" i="10"/>
  <c r="R389" i="10"/>
  <c r="Q389" i="10"/>
  <c r="S389" i="10"/>
  <c r="P389" i="10"/>
  <c r="O389" i="10"/>
  <c r="L389" i="10"/>
  <c r="M389" i="10" s="1"/>
  <c r="N389" i="10"/>
  <c r="K389" i="10"/>
  <c r="J389" i="10"/>
  <c r="I389" i="10"/>
  <c r="H389" i="10"/>
  <c r="G389" i="10"/>
  <c r="F389" i="10"/>
  <c r="E389" i="10"/>
  <c r="Y388" i="10"/>
  <c r="S388" i="10"/>
  <c r="P388" i="10"/>
  <c r="R388" i="10" s="1"/>
  <c r="N388" i="10"/>
  <c r="E325" i="9" s="1"/>
  <c r="K388" i="10"/>
  <c r="I388" i="10"/>
  <c r="H388" i="10"/>
  <c r="G388" i="10"/>
  <c r="F388" i="10"/>
  <c r="E388" i="10"/>
  <c r="D388" i="10"/>
  <c r="A388" i="10"/>
  <c r="Y387" i="10"/>
  <c r="T387" i="10"/>
  <c r="Q387" i="10"/>
  <c r="R387" i="10" s="1"/>
  <c r="S387" i="10"/>
  <c r="P387" i="10"/>
  <c r="L387" i="10"/>
  <c r="O387" i="10" s="1"/>
  <c r="N387" i="10"/>
  <c r="E318" i="9" s="1"/>
  <c r="K387" i="10"/>
  <c r="J387" i="10"/>
  <c r="I387" i="10"/>
  <c r="H387" i="10"/>
  <c r="G387" i="10"/>
  <c r="F387" i="10"/>
  <c r="E387" i="10"/>
  <c r="G386" i="10"/>
  <c r="A386" i="10"/>
  <c r="Y385" i="10"/>
  <c r="T385" i="10"/>
  <c r="R385" i="10"/>
  <c r="Q385" i="10"/>
  <c r="S385" i="10"/>
  <c r="P385" i="10"/>
  <c r="O385" i="10"/>
  <c r="L385" i="10"/>
  <c r="M385" i="10" s="1"/>
  <c r="N385" i="10"/>
  <c r="K385" i="10"/>
  <c r="J385" i="10"/>
  <c r="I385" i="10"/>
  <c r="H385" i="10"/>
  <c r="G385" i="10"/>
  <c r="F385" i="10"/>
  <c r="E385" i="10"/>
  <c r="Y384" i="10"/>
  <c r="T384" i="10"/>
  <c r="Q384" i="10"/>
  <c r="R384" i="10" s="1"/>
  <c r="S384" i="10"/>
  <c r="P384" i="10"/>
  <c r="L384" i="10"/>
  <c r="O384" i="10" s="1"/>
  <c r="F314" i="9" s="1"/>
  <c r="N384" i="10"/>
  <c r="E314" i="9" s="1"/>
  <c r="K384" i="10"/>
  <c r="J384" i="10"/>
  <c r="I384" i="10"/>
  <c r="D314" i="9" s="1"/>
  <c r="H384" i="10"/>
  <c r="G384" i="10"/>
  <c r="F384" i="10"/>
  <c r="E384" i="10"/>
  <c r="G383" i="10"/>
  <c r="A383" i="10"/>
  <c r="G382" i="10"/>
  <c r="A382" i="10"/>
  <c r="Y381" i="10"/>
  <c r="S381" i="10"/>
  <c r="T381" i="10" s="1"/>
  <c r="P381" i="10"/>
  <c r="R381" i="10" s="1"/>
  <c r="N381" i="10"/>
  <c r="O381" i="10" s="1"/>
  <c r="K381" i="10"/>
  <c r="M381" i="10" s="1"/>
  <c r="I381" i="10"/>
  <c r="H381" i="10"/>
  <c r="G381" i="10"/>
  <c r="F381" i="10"/>
  <c r="E381" i="10"/>
  <c r="D381" i="10"/>
  <c r="A381" i="10"/>
  <c r="Y380" i="10"/>
  <c r="S380" i="10"/>
  <c r="T380" i="10" s="1"/>
  <c r="P380" i="10"/>
  <c r="R380" i="10" s="1"/>
  <c r="N380" i="10"/>
  <c r="E298" i="9" s="1"/>
  <c r="K380" i="10"/>
  <c r="M380" i="10" s="1"/>
  <c r="I380" i="10"/>
  <c r="D298" i="9" s="1"/>
  <c r="H380" i="10"/>
  <c r="G380" i="10"/>
  <c r="F380" i="10"/>
  <c r="E380" i="10"/>
  <c r="D380" i="10"/>
  <c r="A380" i="10"/>
  <c r="Y379" i="10"/>
  <c r="S379" i="10"/>
  <c r="T379" i="10" s="1"/>
  <c r="P379" i="10"/>
  <c r="R379" i="10" s="1"/>
  <c r="N379" i="10"/>
  <c r="E297" i="9" s="1"/>
  <c r="K379" i="10"/>
  <c r="M379" i="10" s="1"/>
  <c r="I379" i="10"/>
  <c r="D297" i="9" s="1"/>
  <c r="H379" i="10"/>
  <c r="G379" i="10"/>
  <c r="F379" i="10"/>
  <c r="E379" i="10"/>
  <c r="D379" i="10"/>
  <c r="A379" i="10"/>
  <c r="Y378" i="10"/>
  <c r="S378" i="10"/>
  <c r="T378" i="10" s="1"/>
  <c r="P378" i="10"/>
  <c r="R378" i="10" s="1"/>
  <c r="N378" i="10"/>
  <c r="E296" i="9" s="1"/>
  <c r="K378" i="10"/>
  <c r="M378" i="10" s="1"/>
  <c r="I378" i="10"/>
  <c r="D296" i="9" s="1"/>
  <c r="H378" i="10"/>
  <c r="G378" i="10"/>
  <c r="F378" i="10"/>
  <c r="E378" i="10"/>
  <c r="D378" i="10"/>
  <c r="A378" i="10"/>
  <c r="Y377" i="10"/>
  <c r="S377" i="10"/>
  <c r="T377" i="10" s="1"/>
  <c r="P377" i="10"/>
  <c r="R377" i="10" s="1"/>
  <c r="N377" i="10"/>
  <c r="E295" i="9" s="1"/>
  <c r="K377" i="10"/>
  <c r="M377" i="10" s="1"/>
  <c r="I377" i="10"/>
  <c r="D295" i="9" s="1"/>
  <c r="H377" i="10"/>
  <c r="G377" i="10"/>
  <c r="F377" i="10"/>
  <c r="E377" i="10"/>
  <c r="D377" i="10"/>
  <c r="A377" i="10"/>
  <c r="Y376" i="10"/>
  <c r="S376" i="10"/>
  <c r="T376" i="10" s="1"/>
  <c r="P376" i="10"/>
  <c r="R376" i="10" s="1"/>
  <c r="N376" i="10"/>
  <c r="E294" i="9" s="1"/>
  <c r="K376" i="10"/>
  <c r="M376" i="10" s="1"/>
  <c r="I376" i="10"/>
  <c r="D294" i="9" s="1"/>
  <c r="H376" i="10"/>
  <c r="G376" i="10"/>
  <c r="F376" i="10"/>
  <c r="E376" i="10"/>
  <c r="D376" i="10"/>
  <c r="A376" i="10"/>
  <c r="Y375" i="10"/>
  <c r="S375" i="10"/>
  <c r="T375" i="10" s="1"/>
  <c r="P375" i="10"/>
  <c r="R375" i="10" s="1"/>
  <c r="N375" i="10"/>
  <c r="E293" i="9" s="1"/>
  <c r="K375" i="10"/>
  <c r="M375" i="10" s="1"/>
  <c r="I375" i="10"/>
  <c r="D293" i="9" s="1"/>
  <c r="H375" i="10"/>
  <c r="G375" i="10"/>
  <c r="F375" i="10"/>
  <c r="E375" i="10"/>
  <c r="D375" i="10"/>
  <c r="A375" i="10"/>
  <c r="Y374" i="10"/>
  <c r="S374" i="10"/>
  <c r="P374" i="10"/>
  <c r="R374" i="10" s="1"/>
  <c r="N374" i="10"/>
  <c r="E292" i="9" s="1"/>
  <c r="K374" i="10"/>
  <c r="M374" i="10" s="1"/>
  <c r="I374" i="10"/>
  <c r="D292" i="9" s="1"/>
  <c r="H374" i="10"/>
  <c r="G374" i="10"/>
  <c r="F374" i="10"/>
  <c r="E374" i="10"/>
  <c r="D374" i="10"/>
  <c r="A374" i="10"/>
  <c r="Y373" i="10"/>
  <c r="S373" i="10"/>
  <c r="P373" i="10"/>
  <c r="R373" i="10" s="1"/>
  <c r="N373" i="10"/>
  <c r="E301" i="9" s="1"/>
  <c r="K373" i="10"/>
  <c r="M373" i="10" s="1"/>
  <c r="I373" i="10"/>
  <c r="D301" i="9" s="1"/>
  <c r="H373" i="10"/>
  <c r="G373" i="10"/>
  <c r="F373" i="10"/>
  <c r="E373" i="10"/>
  <c r="D373" i="10"/>
  <c r="A373" i="10"/>
  <c r="Y372" i="10"/>
  <c r="S372" i="10"/>
  <c r="P372" i="10"/>
  <c r="R372" i="10" s="1"/>
  <c r="N372" i="10"/>
  <c r="E291" i="9" s="1"/>
  <c r="K372" i="10"/>
  <c r="M372" i="10" s="1"/>
  <c r="I372" i="10"/>
  <c r="D291" i="9" s="1"/>
  <c r="H372" i="10"/>
  <c r="G372" i="10"/>
  <c r="F372" i="10"/>
  <c r="E372" i="10"/>
  <c r="D372" i="10"/>
  <c r="A372" i="10"/>
  <c r="Y371" i="10"/>
  <c r="S371" i="10"/>
  <c r="P371" i="10"/>
  <c r="R371" i="10" s="1"/>
  <c r="N371" i="10"/>
  <c r="E290" i="9" s="1"/>
  <c r="K371" i="10"/>
  <c r="M371" i="10" s="1"/>
  <c r="I371" i="10"/>
  <c r="D290" i="9" s="1"/>
  <c r="H371" i="10"/>
  <c r="G371" i="10"/>
  <c r="F371" i="10"/>
  <c r="E371" i="10"/>
  <c r="D371" i="10"/>
  <c r="A371" i="10"/>
  <c r="G370" i="10"/>
  <c r="A370" i="10"/>
  <c r="Y369" i="10"/>
  <c r="S369" i="10"/>
  <c r="T369" i="10" s="1"/>
  <c r="P369" i="10"/>
  <c r="N369" i="10"/>
  <c r="O369" i="10" s="1"/>
  <c r="K369" i="10"/>
  <c r="I369" i="10"/>
  <c r="R369" i="10" s="1"/>
  <c r="H369" i="10"/>
  <c r="G369" i="10"/>
  <c r="F369" i="10"/>
  <c r="E369" i="10"/>
  <c r="D369" i="10"/>
  <c r="A369" i="10"/>
  <c r="Y368" i="10"/>
  <c r="T368" i="10"/>
  <c r="R368" i="10"/>
  <c r="Q368" i="10"/>
  <c r="S368" i="10"/>
  <c r="P368" i="10"/>
  <c r="O368" i="10"/>
  <c r="M368" i="10"/>
  <c r="L368" i="10"/>
  <c r="N368" i="10"/>
  <c r="K368" i="10"/>
  <c r="J368" i="10"/>
  <c r="I368" i="10"/>
  <c r="H368" i="10"/>
  <c r="G368" i="10"/>
  <c r="F368" i="10"/>
  <c r="E368" i="10"/>
  <c r="Y367" i="10"/>
  <c r="S367" i="10"/>
  <c r="P367" i="10"/>
  <c r="O367" i="10"/>
  <c r="F282" i="9" s="1"/>
  <c r="N367" i="10"/>
  <c r="E282" i="9" s="1"/>
  <c r="K367" i="10"/>
  <c r="M367" i="10" s="1"/>
  <c r="I367" i="10"/>
  <c r="D282" i="9" s="1"/>
  <c r="H367" i="10"/>
  <c r="G367" i="10"/>
  <c r="F367" i="10"/>
  <c r="E367" i="10"/>
  <c r="D367" i="10"/>
  <c r="A367" i="10"/>
  <c r="Y366" i="10"/>
  <c r="T366" i="10"/>
  <c r="S366" i="10"/>
  <c r="P366" i="10"/>
  <c r="O366" i="10"/>
  <c r="F281" i="9" s="1"/>
  <c r="N366" i="10"/>
  <c r="E281" i="9" s="1"/>
  <c r="K366" i="10"/>
  <c r="M366" i="10" s="1"/>
  <c r="I366" i="10"/>
  <c r="D281" i="9" s="1"/>
  <c r="H366" i="10"/>
  <c r="G366" i="10"/>
  <c r="F366" i="10"/>
  <c r="E366" i="10"/>
  <c r="D366" i="10"/>
  <c r="A366" i="10"/>
  <c r="Y365" i="10"/>
  <c r="T365" i="10"/>
  <c r="R365" i="10"/>
  <c r="Q365" i="10"/>
  <c r="S365" i="10"/>
  <c r="P365" i="10"/>
  <c r="L365" i="10"/>
  <c r="O365" i="10" s="1"/>
  <c r="N365" i="10"/>
  <c r="K365" i="10"/>
  <c r="J365" i="10"/>
  <c r="I365" i="10"/>
  <c r="H365" i="10"/>
  <c r="G365" i="10"/>
  <c r="F365" i="10"/>
  <c r="E365" i="10"/>
  <c r="Y364" i="10"/>
  <c r="S364" i="10"/>
  <c r="P364" i="10"/>
  <c r="R364" i="10" s="1"/>
  <c r="N364" i="10"/>
  <c r="E286" i="9" s="1"/>
  <c r="K364" i="10"/>
  <c r="M364" i="10" s="1"/>
  <c r="I364" i="10"/>
  <c r="D286" i="9" s="1"/>
  <c r="H364" i="10"/>
  <c r="G364" i="10"/>
  <c r="F364" i="10"/>
  <c r="E364" i="10"/>
  <c r="D364" i="10"/>
  <c r="A364" i="10"/>
  <c r="Y363" i="10"/>
  <c r="Q363" i="10"/>
  <c r="T363" i="10" s="1"/>
  <c r="S363" i="10"/>
  <c r="P363" i="10"/>
  <c r="L363" i="10"/>
  <c r="N363" i="10"/>
  <c r="K363" i="10"/>
  <c r="J363" i="10"/>
  <c r="I363" i="10"/>
  <c r="H363" i="10"/>
  <c r="G363" i="10"/>
  <c r="F363" i="10"/>
  <c r="E363" i="10"/>
  <c r="Y362" i="10"/>
  <c r="S362" i="10"/>
  <c r="T362" i="10" s="1"/>
  <c r="R362" i="10"/>
  <c r="P362" i="10"/>
  <c r="N362" i="10"/>
  <c r="E279" i="9" s="1"/>
  <c r="M362" i="10"/>
  <c r="K362" i="10"/>
  <c r="I362" i="10"/>
  <c r="D279" i="9" s="1"/>
  <c r="H362" i="10"/>
  <c r="G362" i="10"/>
  <c r="F362" i="10"/>
  <c r="E362" i="10"/>
  <c r="D362" i="10"/>
  <c r="A362" i="10"/>
  <c r="Y361" i="10"/>
  <c r="Q361" i="10"/>
  <c r="S361" i="10"/>
  <c r="P361" i="10"/>
  <c r="O361" i="10"/>
  <c r="M361" i="10"/>
  <c r="L361" i="10"/>
  <c r="N361" i="10"/>
  <c r="K361" i="10"/>
  <c r="J361" i="10"/>
  <c r="I361" i="10"/>
  <c r="H361" i="10"/>
  <c r="G361" i="10"/>
  <c r="F361" i="10"/>
  <c r="E361" i="10"/>
  <c r="Y360" i="10"/>
  <c r="S360" i="10"/>
  <c r="T360" i="10" s="1"/>
  <c r="P360" i="10"/>
  <c r="N360" i="10"/>
  <c r="K360" i="10"/>
  <c r="I360" i="10"/>
  <c r="D278" i="9" s="1"/>
  <c r="H360" i="10"/>
  <c r="G360" i="10"/>
  <c r="F360" i="10"/>
  <c r="E360" i="10"/>
  <c r="D360" i="10"/>
  <c r="A360" i="10"/>
  <c r="Y359" i="10"/>
  <c r="T359" i="10"/>
  <c r="R359" i="10"/>
  <c r="Q359" i="10"/>
  <c r="S359" i="10"/>
  <c r="P359" i="10"/>
  <c r="O359" i="10"/>
  <c r="M359" i="10"/>
  <c r="L359" i="10"/>
  <c r="N359" i="10"/>
  <c r="K359" i="10"/>
  <c r="J359" i="10"/>
  <c r="I359" i="10"/>
  <c r="H359" i="10"/>
  <c r="G359" i="10"/>
  <c r="F359" i="10"/>
  <c r="E359" i="10"/>
  <c r="Y358" i="10"/>
  <c r="T358" i="10"/>
  <c r="S358" i="10"/>
  <c r="P358" i="10"/>
  <c r="O358" i="10"/>
  <c r="F280" i="9" s="1"/>
  <c r="N358" i="10"/>
  <c r="E280" i="9" s="1"/>
  <c r="K358" i="10"/>
  <c r="M358" i="10" s="1"/>
  <c r="I358" i="10"/>
  <c r="D280" i="9" s="1"/>
  <c r="H358" i="10"/>
  <c r="G358" i="10"/>
  <c r="F358" i="10"/>
  <c r="E358" i="10"/>
  <c r="D358" i="10"/>
  <c r="A358" i="10"/>
  <c r="Y357" i="10"/>
  <c r="T357" i="10"/>
  <c r="R357" i="10"/>
  <c r="Q357" i="10"/>
  <c r="S357" i="10"/>
  <c r="P357" i="10"/>
  <c r="L357" i="10"/>
  <c r="O357" i="10" s="1"/>
  <c r="N357" i="10"/>
  <c r="K357" i="10"/>
  <c r="J357" i="10"/>
  <c r="I357" i="10"/>
  <c r="H357" i="10"/>
  <c r="G357" i="10"/>
  <c r="F357" i="10"/>
  <c r="E357" i="10"/>
  <c r="Y356" i="10"/>
  <c r="Q356" i="10"/>
  <c r="T356" i="10" s="1"/>
  <c r="S356" i="10"/>
  <c r="P356" i="10"/>
  <c r="L356" i="10"/>
  <c r="N356" i="10"/>
  <c r="K356" i="10"/>
  <c r="J356" i="10"/>
  <c r="I356" i="10"/>
  <c r="H356" i="10"/>
  <c r="G356" i="10"/>
  <c r="F356" i="10"/>
  <c r="E356" i="10"/>
  <c r="Y355" i="10"/>
  <c r="Q355" i="10"/>
  <c r="S355" i="10"/>
  <c r="P355" i="10"/>
  <c r="O355" i="10"/>
  <c r="M355" i="10"/>
  <c r="L355" i="10"/>
  <c r="N355" i="10"/>
  <c r="K355" i="10"/>
  <c r="J355" i="10"/>
  <c r="I355" i="10"/>
  <c r="H355" i="10"/>
  <c r="G355" i="10"/>
  <c r="F355" i="10"/>
  <c r="E355" i="10"/>
  <c r="Y354" i="10"/>
  <c r="S354" i="10"/>
  <c r="T354" i="10" s="1"/>
  <c r="P354" i="10"/>
  <c r="N354" i="10"/>
  <c r="K354" i="10"/>
  <c r="I354" i="10"/>
  <c r="D285" i="9" s="1"/>
  <c r="H354" i="10"/>
  <c r="G354" i="10"/>
  <c r="F354" i="10"/>
  <c r="E354" i="10"/>
  <c r="D354" i="10"/>
  <c r="A354" i="10"/>
  <c r="Y353" i="10"/>
  <c r="T353" i="10"/>
  <c r="R353" i="10"/>
  <c r="Q353" i="10"/>
  <c r="S353" i="10"/>
  <c r="P353" i="10"/>
  <c r="O353" i="10"/>
  <c r="M353" i="10"/>
  <c r="L353" i="10"/>
  <c r="N353" i="10"/>
  <c r="K353" i="10"/>
  <c r="J353" i="10"/>
  <c r="I353" i="10"/>
  <c r="H353" i="10"/>
  <c r="G353" i="10"/>
  <c r="F353" i="10"/>
  <c r="E353" i="10"/>
  <c r="Y352" i="10"/>
  <c r="T352" i="10"/>
  <c r="R352" i="10"/>
  <c r="Q352" i="10"/>
  <c r="S352" i="10"/>
  <c r="P352" i="10"/>
  <c r="L352" i="10"/>
  <c r="O352" i="10" s="1"/>
  <c r="N352" i="10"/>
  <c r="K352" i="10"/>
  <c r="J352" i="10"/>
  <c r="I352" i="10"/>
  <c r="H352" i="10"/>
  <c r="G352" i="10"/>
  <c r="F352" i="10"/>
  <c r="E352" i="10"/>
  <c r="Y351" i="10"/>
  <c r="Q351" i="10"/>
  <c r="T351" i="10" s="1"/>
  <c r="S351" i="10"/>
  <c r="P351" i="10"/>
  <c r="L351" i="10"/>
  <c r="N351" i="10"/>
  <c r="K351" i="10"/>
  <c r="J351" i="10"/>
  <c r="I351" i="10"/>
  <c r="H351" i="10"/>
  <c r="G351" i="10"/>
  <c r="F351" i="10"/>
  <c r="E351" i="10"/>
  <c r="Y350" i="10"/>
  <c r="Q350" i="10"/>
  <c r="S350" i="10"/>
  <c r="P350" i="10"/>
  <c r="O350" i="10"/>
  <c r="M350" i="10"/>
  <c r="L350" i="10"/>
  <c r="N350" i="10"/>
  <c r="K350" i="10"/>
  <c r="J350" i="10"/>
  <c r="I350" i="10"/>
  <c r="H350" i="10"/>
  <c r="G350" i="10"/>
  <c r="F350" i="10"/>
  <c r="E350" i="10"/>
  <c r="Y349" i="10"/>
  <c r="S349" i="10"/>
  <c r="T349" i="10" s="1"/>
  <c r="P349" i="10"/>
  <c r="N349" i="10"/>
  <c r="K349" i="10"/>
  <c r="I349" i="10"/>
  <c r="D284" i="9" s="1"/>
  <c r="H349" i="10"/>
  <c r="G349" i="10"/>
  <c r="F349" i="10"/>
  <c r="E349" i="10"/>
  <c r="D349" i="10"/>
  <c r="A349" i="10"/>
  <c r="Y348" i="10"/>
  <c r="S348" i="10"/>
  <c r="T348" i="10" s="1"/>
  <c r="P348" i="10"/>
  <c r="N348" i="10"/>
  <c r="K348" i="10"/>
  <c r="I348" i="10"/>
  <c r="D277" i="9" s="1"/>
  <c r="H348" i="10"/>
  <c r="G348" i="10"/>
  <c r="F348" i="10"/>
  <c r="E348" i="10"/>
  <c r="D348" i="10"/>
  <c r="A348" i="10"/>
  <c r="Y347" i="10"/>
  <c r="T347" i="10"/>
  <c r="R347" i="10"/>
  <c r="Q347" i="10"/>
  <c r="S347" i="10"/>
  <c r="P347" i="10"/>
  <c r="O347" i="10"/>
  <c r="M347" i="10"/>
  <c r="L347" i="10"/>
  <c r="N347" i="10"/>
  <c r="K347" i="10"/>
  <c r="J347" i="10"/>
  <c r="I347" i="10"/>
  <c r="H347" i="10"/>
  <c r="G347" i="10"/>
  <c r="F347" i="10"/>
  <c r="E347" i="10"/>
  <c r="Y346" i="10"/>
  <c r="T346" i="10"/>
  <c r="R346" i="10"/>
  <c r="Q346" i="10"/>
  <c r="S346" i="10"/>
  <c r="P346" i="10"/>
  <c r="L346" i="10"/>
  <c r="O346" i="10" s="1"/>
  <c r="F276" i="9" s="1"/>
  <c r="N346" i="10"/>
  <c r="E276" i="9" s="1"/>
  <c r="K346" i="10"/>
  <c r="J346" i="10"/>
  <c r="I346" i="10"/>
  <c r="D276" i="9" s="1"/>
  <c r="H346" i="10"/>
  <c r="G346" i="10"/>
  <c r="F346" i="10"/>
  <c r="E346" i="10"/>
  <c r="Y345" i="10"/>
  <c r="Q345" i="10"/>
  <c r="T345" i="10" s="1"/>
  <c r="S345" i="10"/>
  <c r="P345" i="10"/>
  <c r="L345" i="10"/>
  <c r="N345" i="10"/>
  <c r="K345" i="10"/>
  <c r="J345" i="10"/>
  <c r="I345" i="10"/>
  <c r="H345" i="10"/>
  <c r="G345" i="10"/>
  <c r="F345" i="10"/>
  <c r="E345" i="10"/>
  <c r="Y344" i="10"/>
  <c r="Q344" i="10"/>
  <c r="S344" i="10"/>
  <c r="P344" i="10"/>
  <c r="O344" i="10"/>
  <c r="M344" i="10"/>
  <c r="L344" i="10"/>
  <c r="N344" i="10"/>
  <c r="K344" i="10"/>
  <c r="J344" i="10"/>
  <c r="I344" i="10"/>
  <c r="H344" i="10"/>
  <c r="G344" i="10"/>
  <c r="F344" i="10"/>
  <c r="E344" i="10"/>
  <c r="Y343" i="10"/>
  <c r="T343" i="10"/>
  <c r="R343" i="10"/>
  <c r="Q343" i="10"/>
  <c r="S343" i="10"/>
  <c r="P343" i="10"/>
  <c r="O343" i="10"/>
  <c r="M343" i="10"/>
  <c r="L343" i="10"/>
  <c r="N343" i="10"/>
  <c r="K343" i="10"/>
  <c r="J343" i="10"/>
  <c r="I343" i="10"/>
  <c r="H343" i="10"/>
  <c r="G343" i="10"/>
  <c r="F343" i="10"/>
  <c r="E343" i="10"/>
  <c r="Y342" i="10"/>
  <c r="T342" i="10"/>
  <c r="R342" i="10"/>
  <c r="Q342" i="10"/>
  <c r="S342" i="10"/>
  <c r="P342" i="10"/>
  <c r="L342" i="10"/>
  <c r="O342" i="10" s="1"/>
  <c r="N342" i="10"/>
  <c r="K342" i="10"/>
  <c r="J342" i="10"/>
  <c r="I342" i="10"/>
  <c r="H342" i="10"/>
  <c r="G342" i="10"/>
  <c r="F342" i="10"/>
  <c r="E342" i="10"/>
  <c r="Y341" i="10"/>
  <c r="Q341" i="10"/>
  <c r="T341" i="10" s="1"/>
  <c r="S341" i="10"/>
  <c r="P341" i="10"/>
  <c r="L341" i="10"/>
  <c r="N341" i="10"/>
  <c r="E283" i="9" s="1"/>
  <c r="K341" i="10"/>
  <c r="J341" i="10"/>
  <c r="I341" i="10"/>
  <c r="D283" i="9" s="1"/>
  <c r="H341" i="10"/>
  <c r="G341" i="10"/>
  <c r="F341" i="10"/>
  <c r="E341" i="10"/>
  <c r="Y340" i="10"/>
  <c r="Q340" i="10"/>
  <c r="S340" i="10"/>
  <c r="P340" i="10"/>
  <c r="O340" i="10"/>
  <c r="M340" i="10"/>
  <c r="L340" i="10"/>
  <c r="N340" i="10"/>
  <c r="K340" i="10"/>
  <c r="J340" i="10"/>
  <c r="I340" i="10"/>
  <c r="H340" i="10"/>
  <c r="G340" i="10"/>
  <c r="F340" i="10"/>
  <c r="E340" i="10"/>
  <c r="Y339" i="10"/>
  <c r="T339" i="10"/>
  <c r="R339" i="10"/>
  <c r="Q339" i="10"/>
  <c r="S339" i="10"/>
  <c r="P339" i="10"/>
  <c r="O339" i="10"/>
  <c r="M339" i="10"/>
  <c r="L339" i="10"/>
  <c r="N339" i="10"/>
  <c r="E273" i="9" s="1"/>
  <c r="K339" i="10"/>
  <c r="J339" i="10"/>
  <c r="I339" i="10"/>
  <c r="H339" i="10"/>
  <c r="G339" i="10"/>
  <c r="F339" i="10"/>
  <c r="E339" i="10"/>
  <c r="G338" i="10"/>
  <c r="A338" i="10"/>
  <c r="G337" i="10"/>
  <c r="A337" i="10"/>
  <c r="Y336" i="10"/>
  <c r="T336" i="10"/>
  <c r="R336" i="10"/>
  <c r="Q336" i="10"/>
  <c r="S336" i="10"/>
  <c r="P336" i="10"/>
  <c r="L336" i="10"/>
  <c r="O336" i="10" s="1"/>
  <c r="N336" i="10"/>
  <c r="K336" i="10"/>
  <c r="J336" i="10"/>
  <c r="I336" i="10"/>
  <c r="H336" i="10"/>
  <c r="G336" i="10"/>
  <c r="F336" i="10"/>
  <c r="E336" i="10"/>
  <c r="Y335" i="10"/>
  <c r="Q335" i="10"/>
  <c r="T335" i="10" s="1"/>
  <c r="S335" i="10"/>
  <c r="P335" i="10"/>
  <c r="L335" i="10"/>
  <c r="N335" i="10"/>
  <c r="K335" i="10"/>
  <c r="J335" i="10"/>
  <c r="I335" i="10"/>
  <c r="H335" i="10"/>
  <c r="G335" i="10"/>
  <c r="F335" i="10"/>
  <c r="E335" i="10"/>
  <c r="Y334" i="10"/>
  <c r="Q334" i="10"/>
  <c r="S334" i="10"/>
  <c r="P334" i="10"/>
  <c r="O334" i="10"/>
  <c r="M334" i="10"/>
  <c r="L334" i="10"/>
  <c r="N334" i="10"/>
  <c r="K334" i="10"/>
  <c r="J334" i="10"/>
  <c r="I334" i="10"/>
  <c r="H334" i="10"/>
  <c r="G334" i="10"/>
  <c r="F334" i="10"/>
  <c r="E334" i="10"/>
  <c r="Y333" i="10"/>
  <c r="T333" i="10"/>
  <c r="R333" i="10"/>
  <c r="Q333" i="10"/>
  <c r="S333" i="10"/>
  <c r="P333" i="10"/>
  <c r="O333" i="10"/>
  <c r="F237" i="9" s="1"/>
  <c r="M333" i="10"/>
  <c r="L333" i="10"/>
  <c r="N333" i="10"/>
  <c r="E237" i="9" s="1"/>
  <c r="K333" i="10"/>
  <c r="J333" i="10"/>
  <c r="I333" i="10"/>
  <c r="D237" i="9" s="1"/>
  <c r="H333" i="10"/>
  <c r="G333" i="10"/>
  <c r="F333" i="10"/>
  <c r="E333" i="10"/>
  <c r="Y332" i="10"/>
  <c r="T332" i="10"/>
  <c r="Q332" i="10"/>
  <c r="R332" i="10" s="1"/>
  <c r="S332" i="10"/>
  <c r="P332" i="10"/>
  <c r="L332" i="10"/>
  <c r="O332" i="10" s="1"/>
  <c r="F247" i="9" s="1"/>
  <c r="N332" i="10"/>
  <c r="E247" i="9" s="1"/>
  <c r="K332" i="10"/>
  <c r="J332" i="10"/>
  <c r="I332" i="10"/>
  <c r="D247" i="9" s="1"/>
  <c r="H332" i="10"/>
  <c r="G332" i="10"/>
  <c r="F332" i="10"/>
  <c r="E332" i="10"/>
  <c r="Y331" i="10"/>
  <c r="S331" i="10"/>
  <c r="T331" i="10" s="1"/>
  <c r="P331" i="10"/>
  <c r="R331" i="10" s="1"/>
  <c r="N331" i="10"/>
  <c r="E238" i="9" s="1"/>
  <c r="K331" i="10"/>
  <c r="M331" i="10" s="1"/>
  <c r="I331" i="10"/>
  <c r="D238" i="9" s="1"/>
  <c r="H331" i="10"/>
  <c r="G331" i="10"/>
  <c r="F331" i="10"/>
  <c r="E331" i="10"/>
  <c r="D331" i="10"/>
  <c r="A331" i="10"/>
  <c r="Y330" i="10"/>
  <c r="Q330" i="10"/>
  <c r="T330" i="10" s="1"/>
  <c r="S330" i="10"/>
  <c r="P330" i="10"/>
  <c r="L330" i="10"/>
  <c r="N330" i="10"/>
  <c r="K330" i="10"/>
  <c r="J330" i="10"/>
  <c r="I330" i="10"/>
  <c r="H330" i="10"/>
  <c r="G330" i="10"/>
  <c r="F330" i="10"/>
  <c r="E330" i="10"/>
  <c r="Y329" i="10"/>
  <c r="Q329" i="10"/>
  <c r="S329" i="10"/>
  <c r="P329" i="10"/>
  <c r="O329" i="10"/>
  <c r="F202" i="9" s="1"/>
  <c r="M329" i="10"/>
  <c r="L329" i="10"/>
  <c r="N329" i="10"/>
  <c r="E202" i="9" s="1"/>
  <c r="K329" i="10"/>
  <c r="J329" i="10"/>
  <c r="I329" i="10"/>
  <c r="D202" i="9" s="1"/>
  <c r="H329" i="10"/>
  <c r="G329" i="10"/>
  <c r="F329" i="10"/>
  <c r="E329" i="10"/>
  <c r="Y328" i="10"/>
  <c r="T328" i="10"/>
  <c r="R328" i="10"/>
  <c r="Q328" i="10"/>
  <c r="S328" i="10"/>
  <c r="P328" i="10"/>
  <c r="O328" i="10"/>
  <c r="F223" i="9" s="1"/>
  <c r="M328" i="10"/>
  <c r="L328" i="10"/>
  <c r="N328" i="10"/>
  <c r="E223" i="9" s="1"/>
  <c r="K328" i="10"/>
  <c r="J328" i="10"/>
  <c r="I328" i="10"/>
  <c r="D223" i="9" s="1"/>
  <c r="H328" i="10"/>
  <c r="G328" i="10"/>
  <c r="F328" i="10"/>
  <c r="E328" i="10"/>
  <c r="Y327" i="10"/>
  <c r="T327" i="10"/>
  <c r="R327" i="10"/>
  <c r="Q327" i="10"/>
  <c r="S327" i="10"/>
  <c r="P327" i="10"/>
  <c r="L327" i="10"/>
  <c r="O327" i="10" s="1"/>
  <c r="F243" i="9" s="1"/>
  <c r="N327" i="10"/>
  <c r="E243" i="9" s="1"/>
  <c r="K327" i="10"/>
  <c r="J327" i="10"/>
  <c r="I327" i="10"/>
  <c r="D243" i="9" s="1"/>
  <c r="H327" i="10"/>
  <c r="G327" i="10"/>
  <c r="F327" i="10"/>
  <c r="E327" i="10"/>
  <c r="Y326" i="10"/>
  <c r="S326" i="10"/>
  <c r="T326" i="10" s="1"/>
  <c r="P326" i="10"/>
  <c r="R326" i="10" s="1"/>
  <c r="N326" i="10"/>
  <c r="E251" i="9" s="1"/>
  <c r="K326" i="10"/>
  <c r="M326" i="10" s="1"/>
  <c r="I326" i="10"/>
  <c r="D251" i="9" s="1"/>
  <c r="H326" i="10"/>
  <c r="G326" i="10"/>
  <c r="F326" i="10"/>
  <c r="E326" i="10"/>
  <c r="D326" i="10"/>
  <c r="A326" i="10"/>
  <c r="Y325" i="10"/>
  <c r="S325" i="10"/>
  <c r="P325" i="10"/>
  <c r="R325" i="10" s="1"/>
  <c r="N325" i="10"/>
  <c r="E252" i="9" s="1"/>
  <c r="K325" i="10"/>
  <c r="M325" i="10" s="1"/>
  <c r="I325" i="10"/>
  <c r="D252" i="9" s="1"/>
  <c r="H325" i="10"/>
  <c r="G325" i="10"/>
  <c r="F325" i="10"/>
  <c r="E325" i="10"/>
  <c r="D325" i="10"/>
  <c r="A325" i="10"/>
  <c r="Y324" i="10"/>
  <c r="Q324" i="10"/>
  <c r="T324" i="10" s="1"/>
  <c r="S324" i="10"/>
  <c r="P324" i="10"/>
  <c r="L324" i="10"/>
  <c r="N324" i="10"/>
  <c r="K324" i="10"/>
  <c r="J324" i="10"/>
  <c r="I324" i="10"/>
  <c r="H324" i="10"/>
  <c r="G324" i="10"/>
  <c r="F324" i="10"/>
  <c r="E324" i="10"/>
  <c r="Y323" i="10"/>
  <c r="Q323" i="10"/>
  <c r="S323" i="10"/>
  <c r="P323" i="10"/>
  <c r="O323" i="10"/>
  <c r="M323" i="10"/>
  <c r="L323" i="10"/>
  <c r="N323" i="10"/>
  <c r="K323" i="10"/>
  <c r="J323" i="10"/>
  <c r="I323" i="10"/>
  <c r="H323" i="10"/>
  <c r="G323" i="10"/>
  <c r="F323" i="10"/>
  <c r="E323" i="10"/>
  <c r="Y322" i="10"/>
  <c r="T322" i="10"/>
  <c r="R322" i="10"/>
  <c r="Q322" i="10"/>
  <c r="S322" i="10"/>
  <c r="P322" i="10"/>
  <c r="O322" i="10"/>
  <c r="M322" i="10"/>
  <c r="L322" i="10"/>
  <c r="N322" i="10"/>
  <c r="K322" i="10"/>
  <c r="J322" i="10"/>
  <c r="I322" i="10"/>
  <c r="H322" i="10"/>
  <c r="G322" i="10"/>
  <c r="F322" i="10"/>
  <c r="E322" i="10"/>
  <c r="Y321" i="10"/>
  <c r="T321" i="10"/>
  <c r="R321" i="10"/>
  <c r="Q321" i="10"/>
  <c r="S321" i="10"/>
  <c r="P321" i="10"/>
  <c r="L321" i="10"/>
  <c r="O321" i="10" s="1"/>
  <c r="N321" i="10"/>
  <c r="K321" i="10"/>
  <c r="J321" i="10"/>
  <c r="I321" i="10"/>
  <c r="H321" i="10"/>
  <c r="G321" i="10"/>
  <c r="F321" i="10"/>
  <c r="E321" i="10"/>
  <c r="Y320" i="10"/>
  <c r="Q320" i="10"/>
  <c r="T320" i="10" s="1"/>
  <c r="S320" i="10"/>
  <c r="P320" i="10"/>
  <c r="L320" i="10"/>
  <c r="N320" i="10"/>
  <c r="K320" i="10"/>
  <c r="J320" i="10"/>
  <c r="I320" i="10"/>
  <c r="H320" i="10"/>
  <c r="G320" i="10"/>
  <c r="F320" i="10"/>
  <c r="E320" i="10"/>
  <c r="Y319" i="10"/>
  <c r="Q319" i="10"/>
  <c r="S319" i="10"/>
  <c r="P319" i="10"/>
  <c r="O319" i="10"/>
  <c r="M319" i="10"/>
  <c r="L319" i="10"/>
  <c r="N319" i="10"/>
  <c r="K319" i="10"/>
  <c r="J319" i="10"/>
  <c r="I319" i="10"/>
  <c r="H319" i="10"/>
  <c r="G319" i="10"/>
  <c r="F319" i="10"/>
  <c r="E319" i="10"/>
  <c r="Y318" i="10"/>
  <c r="T318" i="10"/>
  <c r="R318" i="10"/>
  <c r="Q318" i="10"/>
  <c r="S318" i="10"/>
  <c r="P318" i="10"/>
  <c r="O318" i="10"/>
  <c r="M318" i="10"/>
  <c r="L318" i="10"/>
  <c r="N318" i="10"/>
  <c r="K318" i="10"/>
  <c r="J318" i="10"/>
  <c r="I318" i="10"/>
  <c r="H318" i="10"/>
  <c r="G318" i="10"/>
  <c r="F318" i="10"/>
  <c r="E318" i="10"/>
  <c r="Y317" i="10"/>
  <c r="T317" i="10"/>
  <c r="R317" i="10"/>
  <c r="Q317" i="10"/>
  <c r="S317" i="10"/>
  <c r="P317" i="10"/>
  <c r="L317" i="10"/>
  <c r="O317" i="10" s="1"/>
  <c r="N317" i="10"/>
  <c r="K317" i="10"/>
  <c r="J317" i="10"/>
  <c r="I317" i="10"/>
  <c r="H317" i="10"/>
  <c r="G317" i="10"/>
  <c r="F317" i="10"/>
  <c r="E317" i="10"/>
  <c r="Y316" i="10"/>
  <c r="Q316" i="10"/>
  <c r="T316" i="10" s="1"/>
  <c r="S316" i="10"/>
  <c r="P316" i="10"/>
  <c r="L316" i="10"/>
  <c r="N316" i="10"/>
  <c r="K316" i="10"/>
  <c r="J316" i="10"/>
  <c r="I316" i="10"/>
  <c r="H316" i="10"/>
  <c r="G316" i="10"/>
  <c r="F316" i="10"/>
  <c r="E316" i="10"/>
  <c r="Y315" i="10"/>
  <c r="Q315" i="10"/>
  <c r="S315" i="10"/>
  <c r="P315" i="10"/>
  <c r="O315" i="10"/>
  <c r="M315" i="10"/>
  <c r="L315" i="10"/>
  <c r="N315" i="10"/>
  <c r="K315" i="10"/>
  <c r="J315" i="10"/>
  <c r="I315" i="10"/>
  <c r="H315" i="10"/>
  <c r="G315" i="10"/>
  <c r="F315" i="10"/>
  <c r="E315" i="10"/>
  <c r="Y314" i="10"/>
  <c r="T314" i="10"/>
  <c r="R314" i="10"/>
  <c r="Q314" i="10"/>
  <c r="S314" i="10"/>
  <c r="P314" i="10"/>
  <c r="O314" i="10"/>
  <c r="M314" i="10"/>
  <c r="L314" i="10"/>
  <c r="N314" i="10"/>
  <c r="K314" i="10"/>
  <c r="J314" i="10"/>
  <c r="I314" i="10"/>
  <c r="H314" i="10"/>
  <c r="G314" i="10"/>
  <c r="F314" i="10"/>
  <c r="E314" i="10"/>
  <c r="Y313" i="10"/>
  <c r="T313" i="10"/>
  <c r="R313" i="10"/>
  <c r="Q313" i="10"/>
  <c r="S313" i="10"/>
  <c r="P313" i="10"/>
  <c r="L313" i="10"/>
  <c r="O313" i="10" s="1"/>
  <c r="N313" i="10"/>
  <c r="K313" i="10"/>
  <c r="J313" i="10"/>
  <c r="I313" i="10"/>
  <c r="H313" i="10"/>
  <c r="G313" i="10"/>
  <c r="F313" i="10"/>
  <c r="E313" i="10"/>
  <c r="Y312" i="10"/>
  <c r="Q312" i="10"/>
  <c r="T312" i="10" s="1"/>
  <c r="S312" i="10"/>
  <c r="P312" i="10"/>
  <c r="L312" i="10"/>
  <c r="N312" i="10"/>
  <c r="K312" i="10"/>
  <c r="J312" i="10"/>
  <c r="I312" i="10"/>
  <c r="H312" i="10"/>
  <c r="G312" i="10"/>
  <c r="F312" i="10"/>
  <c r="E312" i="10"/>
  <c r="Y311" i="10"/>
  <c r="Q311" i="10"/>
  <c r="S311" i="10"/>
  <c r="P311" i="10"/>
  <c r="O311" i="10"/>
  <c r="M311" i="10"/>
  <c r="L311" i="10"/>
  <c r="N311" i="10"/>
  <c r="K311" i="10"/>
  <c r="J311" i="10"/>
  <c r="I311" i="10"/>
  <c r="H311" i="10"/>
  <c r="G311" i="10"/>
  <c r="F311" i="10"/>
  <c r="E311" i="10"/>
  <c r="Y310" i="10"/>
  <c r="S310" i="10"/>
  <c r="T310" i="10" s="1"/>
  <c r="P310" i="10"/>
  <c r="N310" i="10"/>
  <c r="O310" i="10" s="1"/>
  <c r="K310" i="10"/>
  <c r="I310" i="10"/>
  <c r="R310" i="10" s="1"/>
  <c r="H310" i="10"/>
  <c r="G310" i="10"/>
  <c r="F310" i="10"/>
  <c r="E310" i="10"/>
  <c r="D310" i="10"/>
  <c r="A310" i="10"/>
  <c r="Y309" i="10"/>
  <c r="T309" i="10"/>
  <c r="R309" i="10"/>
  <c r="Q309" i="10"/>
  <c r="S309" i="10"/>
  <c r="P309" i="10"/>
  <c r="O309" i="10"/>
  <c r="M309" i="10"/>
  <c r="L309" i="10"/>
  <c r="N309" i="10"/>
  <c r="K309" i="10"/>
  <c r="J309" i="10"/>
  <c r="I309" i="10"/>
  <c r="H309" i="10"/>
  <c r="G309" i="10"/>
  <c r="F309" i="10"/>
  <c r="E309" i="10"/>
  <c r="Y308" i="10"/>
  <c r="T308" i="10"/>
  <c r="R308" i="10"/>
  <c r="Q308" i="10"/>
  <c r="S308" i="10"/>
  <c r="P308" i="10"/>
  <c r="L308" i="10"/>
  <c r="O308" i="10" s="1"/>
  <c r="N308" i="10"/>
  <c r="K308" i="10"/>
  <c r="J308" i="10"/>
  <c r="I308" i="10"/>
  <c r="H308" i="10"/>
  <c r="G308" i="10"/>
  <c r="F308" i="10"/>
  <c r="E308" i="10"/>
  <c r="Y307" i="10"/>
  <c r="Q307" i="10"/>
  <c r="T307" i="10" s="1"/>
  <c r="S307" i="10"/>
  <c r="P307" i="10"/>
  <c r="L307" i="10"/>
  <c r="N307" i="10"/>
  <c r="K307" i="10"/>
  <c r="J307" i="10"/>
  <c r="I307" i="10"/>
  <c r="H307" i="10"/>
  <c r="G307" i="10"/>
  <c r="F307" i="10"/>
  <c r="E307" i="10"/>
  <c r="Y306" i="10"/>
  <c r="Q306" i="10"/>
  <c r="S306" i="10"/>
  <c r="P306" i="10"/>
  <c r="O306" i="10"/>
  <c r="M306" i="10"/>
  <c r="L306" i="10"/>
  <c r="N306" i="10"/>
  <c r="K306" i="10"/>
  <c r="J306" i="10"/>
  <c r="I306" i="10"/>
  <c r="H306" i="10"/>
  <c r="G306" i="10"/>
  <c r="F306" i="10"/>
  <c r="E306" i="10"/>
  <c r="Y305" i="10"/>
  <c r="T305" i="10"/>
  <c r="R305" i="10"/>
  <c r="Q305" i="10"/>
  <c r="S305" i="10"/>
  <c r="P305" i="10"/>
  <c r="O305" i="10"/>
  <c r="M305" i="10"/>
  <c r="L305" i="10"/>
  <c r="N305" i="10"/>
  <c r="K305" i="10"/>
  <c r="J305" i="10"/>
  <c r="I305" i="10"/>
  <c r="H305" i="10"/>
  <c r="G305" i="10"/>
  <c r="F305" i="10"/>
  <c r="E305" i="10"/>
  <c r="Y304" i="10"/>
  <c r="T304" i="10"/>
  <c r="S304" i="10"/>
  <c r="P304" i="10"/>
  <c r="N304" i="10"/>
  <c r="K304" i="10"/>
  <c r="M304" i="10" s="1"/>
  <c r="I304" i="10"/>
  <c r="O304" i="10" s="1"/>
  <c r="H304" i="10"/>
  <c r="G304" i="10"/>
  <c r="F304" i="10"/>
  <c r="E304" i="10"/>
  <c r="D304" i="10"/>
  <c r="A304" i="10"/>
  <c r="Y303" i="10"/>
  <c r="T303" i="10"/>
  <c r="R303" i="10"/>
  <c r="Q303" i="10"/>
  <c r="S303" i="10"/>
  <c r="P303" i="10"/>
  <c r="L303" i="10"/>
  <c r="O303" i="10" s="1"/>
  <c r="N303" i="10"/>
  <c r="K303" i="10"/>
  <c r="J303" i="10"/>
  <c r="I303" i="10"/>
  <c r="H303" i="10"/>
  <c r="G303" i="10"/>
  <c r="F303" i="10"/>
  <c r="E303" i="10"/>
  <c r="Y302" i="10"/>
  <c r="Q302" i="10"/>
  <c r="T302" i="10" s="1"/>
  <c r="S302" i="10"/>
  <c r="P302" i="10"/>
  <c r="L302" i="10"/>
  <c r="N302" i="10"/>
  <c r="K302" i="10"/>
  <c r="J302" i="10"/>
  <c r="I302" i="10"/>
  <c r="H302" i="10"/>
  <c r="G302" i="10"/>
  <c r="F302" i="10"/>
  <c r="E302" i="10"/>
  <c r="Y301" i="10"/>
  <c r="Q301" i="10"/>
  <c r="S301" i="10"/>
  <c r="P301" i="10"/>
  <c r="O301" i="10"/>
  <c r="M301" i="10"/>
  <c r="L301" i="10"/>
  <c r="N301" i="10"/>
  <c r="K301" i="10"/>
  <c r="J301" i="10"/>
  <c r="I301" i="10"/>
  <c r="H301" i="10"/>
  <c r="G301" i="10"/>
  <c r="F301" i="10"/>
  <c r="E301" i="10"/>
  <c r="Y300" i="10"/>
  <c r="T300" i="10"/>
  <c r="R300" i="10"/>
  <c r="Q300" i="10"/>
  <c r="S300" i="10"/>
  <c r="P300" i="10"/>
  <c r="O300" i="10"/>
  <c r="M300" i="10"/>
  <c r="L300" i="10"/>
  <c r="N300" i="10"/>
  <c r="K300" i="10"/>
  <c r="J300" i="10"/>
  <c r="I300" i="10"/>
  <c r="H300" i="10"/>
  <c r="G300" i="10"/>
  <c r="F300" i="10"/>
  <c r="E300" i="10"/>
  <c r="Y299" i="10"/>
  <c r="T299" i="10"/>
  <c r="R299" i="10"/>
  <c r="Q299" i="10"/>
  <c r="S299" i="10"/>
  <c r="P299" i="10"/>
  <c r="L299" i="10"/>
  <c r="N299" i="10"/>
  <c r="K299" i="10"/>
  <c r="J299" i="10"/>
  <c r="I299" i="10"/>
  <c r="H299" i="10"/>
  <c r="G299" i="10"/>
  <c r="F299" i="10"/>
  <c r="E299" i="10"/>
  <c r="Y298" i="10"/>
  <c r="S298" i="10"/>
  <c r="R298" i="10"/>
  <c r="P298" i="10"/>
  <c r="N298" i="10"/>
  <c r="E256" i="9" s="1"/>
  <c r="K298" i="10"/>
  <c r="M298" i="10" s="1"/>
  <c r="I298" i="10"/>
  <c r="D256" i="9" s="1"/>
  <c r="H298" i="10"/>
  <c r="G298" i="10"/>
  <c r="F298" i="10"/>
  <c r="E298" i="10"/>
  <c r="D298" i="10"/>
  <c r="A298" i="10"/>
  <c r="Y297" i="10"/>
  <c r="Q297" i="10"/>
  <c r="S297" i="10"/>
  <c r="P297" i="10"/>
  <c r="M297" i="10"/>
  <c r="L297" i="10"/>
  <c r="O297" i="10" s="1"/>
  <c r="N297" i="10"/>
  <c r="K297" i="10"/>
  <c r="J297" i="10"/>
  <c r="I297" i="10"/>
  <c r="H297" i="10"/>
  <c r="G297" i="10"/>
  <c r="F297" i="10"/>
  <c r="E297" i="10"/>
  <c r="Y296" i="10"/>
  <c r="Q296" i="10"/>
  <c r="T296" i="10" s="1"/>
  <c r="S296" i="10"/>
  <c r="P296" i="10"/>
  <c r="O296" i="10"/>
  <c r="M296" i="10"/>
  <c r="L296" i="10"/>
  <c r="N296" i="10"/>
  <c r="K296" i="10"/>
  <c r="J296" i="10"/>
  <c r="I296" i="10"/>
  <c r="H296" i="10"/>
  <c r="G296" i="10"/>
  <c r="F296" i="10"/>
  <c r="E296" i="10"/>
  <c r="Y295" i="10"/>
  <c r="T295" i="10"/>
  <c r="R295" i="10"/>
  <c r="Q295" i="10"/>
  <c r="S295" i="10"/>
  <c r="P295" i="10"/>
  <c r="O295" i="10"/>
  <c r="M295" i="10"/>
  <c r="L295" i="10"/>
  <c r="N295" i="10"/>
  <c r="K295" i="10"/>
  <c r="J295" i="10"/>
  <c r="I295" i="10"/>
  <c r="H295" i="10"/>
  <c r="G295" i="10"/>
  <c r="F295" i="10"/>
  <c r="E295" i="10"/>
  <c r="Y294" i="10"/>
  <c r="T294" i="10"/>
  <c r="R294" i="10"/>
  <c r="Q294" i="10"/>
  <c r="S294" i="10"/>
  <c r="P294" i="10"/>
  <c r="L294" i="10"/>
  <c r="N294" i="10"/>
  <c r="K294" i="10"/>
  <c r="J294" i="10"/>
  <c r="I294" i="10"/>
  <c r="H294" i="10"/>
  <c r="G294" i="10"/>
  <c r="F294" i="10"/>
  <c r="E294" i="10"/>
  <c r="Y293" i="10"/>
  <c r="S293" i="10"/>
  <c r="R293" i="10"/>
  <c r="P293" i="10"/>
  <c r="N293" i="10"/>
  <c r="E242" i="9" s="1"/>
  <c r="K293" i="10"/>
  <c r="M293" i="10" s="1"/>
  <c r="I293" i="10"/>
  <c r="D242" i="9" s="1"/>
  <c r="H293" i="10"/>
  <c r="G293" i="10"/>
  <c r="F293" i="10"/>
  <c r="E293" i="10"/>
  <c r="D293" i="10"/>
  <c r="A293" i="10"/>
  <c r="Y292" i="10"/>
  <c r="S292" i="10"/>
  <c r="R292" i="10"/>
  <c r="P292" i="10"/>
  <c r="N292" i="10"/>
  <c r="K292" i="10"/>
  <c r="M292" i="10" s="1"/>
  <c r="I292" i="10"/>
  <c r="T292" i="10" s="1"/>
  <c r="H292" i="10"/>
  <c r="G292" i="10"/>
  <c r="F292" i="10"/>
  <c r="E292" i="10"/>
  <c r="D292" i="10"/>
  <c r="A292" i="10"/>
  <c r="Y291" i="10"/>
  <c r="S291" i="10"/>
  <c r="R291" i="10"/>
  <c r="P291" i="10"/>
  <c r="N291" i="10"/>
  <c r="E228" i="9" s="1"/>
  <c r="K291" i="10"/>
  <c r="M291" i="10" s="1"/>
  <c r="I291" i="10"/>
  <c r="D228" i="9" s="1"/>
  <c r="H291" i="10"/>
  <c r="G291" i="10"/>
  <c r="F291" i="10"/>
  <c r="E291" i="10"/>
  <c r="D291" i="10"/>
  <c r="A291" i="10"/>
  <c r="Y290" i="10"/>
  <c r="S290" i="10"/>
  <c r="R290" i="10"/>
  <c r="P290" i="10"/>
  <c r="N290" i="10"/>
  <c r="E248" i="9" s="1"/>
  <c r="K290" i="10"/>
  <c r="M290" i="10" s="1"/>
  <c r="I290" i="10"/>
  <c r="D248" i="9" s="1"/>
  <c r="H290" i="10"/>
  <c r="G290" i="10"/>
  <c r="F290" i="10"/>
  <c r="E290" i="10"/>
  <c r="D290" i="10"/>
  <c r="A290" i="10"/>
  <c r="Y289" i="10"/>
  <c r="S289" i="10"/>
  <c r="R289" i="10"/>
  <c r="P289" i="10"/>
  <c r="N289" i="10"/>
  <c r="E249" i="9" s="1"/>
  <c r="K289" i="10"/>
  <c r="M289" i="10" s="1"/>
  <c r="I289" i="10"/>
  <c r="D249" i="9" s="1"/>
  <c r="H289" i="10"/>
  <c r="G289" i="10"/>
  <c r="F289" i="10"/>
  <c r="E289" i="10"/>
  <c r="D289" i="10"/>
  <c r="A289" i="10"/>
  <c r="Y288" i="10"/>
  <c r="S288" i="10"/>
  <c r="R288" i="10"/>
  <c r="P288" i="10"/>
  <c r="N288" i="10"/>
  <c r="E260" i="9" s="1"/>
  <c r="K288" i="10"/>
  <c r="M288" i="10" s="1"/>
  <c r="I288" i="10"/>
  <c r="D260" i="9" s="1"/>
  <c r="H288" i="10"/>
  <c r="G288" i="10"/>
  <c r="F288" i="10"/>
  <c r="E288" i="10"/>
  <c r="D288" i="10"/>
  <c r="A288" i="10"/>
  <c r="Y287" i="10"/>
  <c r="S287" i="10"/>
  <c r="P287" i="10"/>
  <c r="R287" i="10" s="1"/>
  <c r="N287" i="10"/>
  <c r="E246" i="9" s="1"/>
  <c r="K287" i="10"/>
  <c r="M287" i="10" s="1"/>
  <c r="I287" i="10"/>
  <c r="D246" i="9" s="1"/>
  <c r="H287" i="10"/>
  <c r="G287" i="10"/>
  <c r="F287" i="10"/>
  <c r="E287" i="10"/>
  <c r="D287" i="10"/>
  <c r="A287" i="10"/>
  <c r="Y286" i="10"/>
  <c r="T286" i="10"/>
  <c r="Q286" i="10"/>
  <c r="R286" i="10" s="1"/>
  <c r="S286" i="10"/>
  <c r="P286" i="10"/>
  <c r="M286" i="10"/>
  <c r="L286" i="10"/>
  <c r="O286" i="10" s="1"/>
  <c r="N286" i="10"/>
  <c r="K286" i="10"/>
  <c r="J286" i="10"/>
  <c r="I286" i="10"/>
  <c r="H286" i="10"/>
  <c r="G286" i="10"/>
  <c r="F286" i="10"/>
  <c r="E286" i="10"/>
  <c r="Y285" i="10"/>
  <c r="R285" i="10"/>
  <c r="Q285" i="10"/>
  <c r="T285" i="10" s="1"/>
  <c r="S285" i="10"/>
  <c r="P285" i="10"/>
  <c r="O285" i="10"/>
  <c r="F205" i="9" s="1"/>
  <c r="M285" i="10"/>
  <c r="L285" i="10"/>
  <c r="N285" i="10"/>
  <c r="E205" i="9" s="1"/>
  <c r="K285" i="10"/>
  <c r="J285" i="10"/>
  <c r="I285" i="10"/>
  <c r="D205" i="9" s="1"/>
  <c r="H285" i="10"/>
  <c r="G285" i="10"/>
  <c r="F285" i="10"/>
  <c r="E285" i="10"/>
  <c r="Y284" i="10"/>
  <c r="T284" i="10"/>
  <c r="Q284" i="10"/>
  <c r="R284" i="10" s="1"/>
  <c r="S284" i="10"/>
  <c r="P284" i="10"/>
  <c r="O284" i="10"/>
  <c r="F206" i="9" s="1"/>
  <c r="M284" i="10"/>
  <c r="L284" i="10"/>
  <c r="N284" i="10"/>
  <c r="E206" i="9" s="1"/>
  <c r="K284" i="10"/>
  <c r="J284" i="10"/>
  <c r="I284" i="10"/>
  <c r="D206" i="9" s="1"/>
  <c r="H284" i="10"/>
  <c r="G284" i="10"/>
  <c r="F284" i="10"/>
  <c r="E284" i="10"/>
  <c r="Y283" i="10"/>
  <c r="T283" i="10"/>
  <c r="R283" i="10"/>
  <c r="Q283" i="10"/>
  <c r="S283" i="10"/>
  <c r="P283" i="10"/>
  <c r="O283" i="10"/>
  <c r="F210" i="9" s="1"/>
  <c r="L283" i="10"/>
  <c r="M283" i="10" s="1"/>
  <c r="N283" i="10"/>
  <c r="E210" i="9" s="1"/>
  <c r="K283" i="10"/>
  <c r="J283" i="10"/>
  <c r="I283" i="10"/>
  <c r="D210" i="9" s="1"/>
  <c r="H283" i="10"/>
  <c r="G283" i="10"/>
  <c r="F283" i="10"/>
  <c r="E283" i="10"/>
  <c r="Y282" i="10"/>
  <c r="Q282" i="10"/>
  <c r="R282" i="10" s="1"/>
  <c r="S282" i="10"/>
  <c r="P282" i="10"/>
  <c r="L282" i="10"/>
  <c r="O282" i="10" s="1"/>
  <c r="F213" i="9" s="1"/>
  <c r="N282" i="10"/>
  <c r="E213" i="9" s="1"/>
  <c r="K282" i="10"/>
  <c r="J282" i="10"/>
  <c r="I282" i="10"/>
  <c r="D213" i="9" s="1"/>
  <c r="H282" i="10"/>
  <c r="G282" i="10"/>
  <c r="F282" i="10"/>
  <c r="E282" i="10"/>
  <c r="Y281" i="10"/>
  <c r="R281" i="10"/>
  <c r="Q281" i="10"/>
  <c r="T281" i="10" s="1"/>
  <c r="S281" i="10"/>
  <c r="P281" i="10"/>
  <c r="O281" i="10"/>
  <c r="F214" i="9" s="1"/>
  <c r="L281" i="10"/>
  <c r="M281" i="10" s="1"/>
  <c r="N281" i="10"/>
  <c r="E214" i="9" s="1"/>
  <c r="K281" i="10"/>
  <c r="J281" i="10"/>
  <c r="I281" i="10"/>
  <c r="D214" i="9" s="1"/>
  <c r="H281" i="10"/>
  <c r="G281" i="10"/>
  <c r="F281" i="10"/>
  <c r="E281" i="10"/>
  <c r="Y280" i="10"/>
  <c r="T280" i="10"/>
  <c r="Q280" i="10"/>
  <c r="R280" i="10" s="1"/>
  <c r="S280" i="10"/>
  <c r="P280" i="10"/>
  <c r="O280" i="10"/>
  <c r="M280" i="10"/>
  <c r="L280" i="10"/>
  <c r="N280" i="10"/>
  <c r="K280" i="10"/>
  <c r="J280" i="10"/>
  <c r="I280" i="10"/>
  <c r="H280" i="10"/>
  <c r="G280" i="10"/>
  <c r="F280" i="10"/>
  <c r="E280" i="10"/>
  <c r="Y279" i="10"/>
  <c r="T279" i="10"/>
  <c r="R279" i="10"/>
  <c r="Q279" i="10"/>
  <c r="S279" i="10"/>
  <c r="P279" i="10"/>
  <c r="O279" i="10"/>
  <c r="L279" i="10"/>
  <c r="M279" i="10" s="1"/>
  <c r="N279" i="10"/>
  <c r="K279" i="10"/>
  <c r="J279" i="10"/>
  <c r="I279" i="10"/>
  <c r="H279" i="10"/>
  <c r="G279" i="10"/>
  <c r="F279" i="10"/>
  <c r="E279" i="10"/>
  <c r="Y278" i="10"/>
  <c r="S278" i="10"/>
  <c r="P278" i="10"/>
  <c r="R278" i="10" s="1"/>
  <c r="N278" i="10"/>
  <c r="E255" i="9" s="1"/>
  <c r="K278" i="10"/>
  <c r="M278" i="10" s="1"/>
  <c r="I278" i="10"/>
  <c r="D255" i="9" s="1"/>
  <c r="H278" i="10"/>
  <c r="G278" i="10"/>
  <c r="F278" i="10"/>
  <c r="E278" i="10"/>
  <c r="D278" i="10"/>
  <c r="A278" i="10"/>
  <c r="Y277" i="10"/>
  <c r="S277" i="10"/>
  <c r="P277" i="10"/>
  <c r="R277" i="10" s="1"/>
  <c r="N277" i="10"/>
  <c r="E226" i="9" s="1"/>
  <c r="K277" i="10"/>
  <c r="M277" i="10" s="1"/>
  <c r="I277" i="10"/>
  <c r="D226" i="9" s="1"/>
  <c r="H277" i="10"/>
  <c r="G277" i="10"/>
  <c r="F277" i="10"/>
  <c r="E277" i="10"/>
  <c r="D277" i="10"/>
  <c r="A277" i="10"/>
  <c r="Y276" i="10"/>
  <c r="S276" i="10"/>
  <c r="P276" i="10"/>
  <c r="R276" i="10" s="1"/>
  <c r="N276" i="10"/>
  <c r="E227" i="9" s="1"/>
  <c r="K276" i="10"/>
  <c r="M276" i="10" s="1"/>
  <c r="I276" i="10"/>
  <c r="D227" i="9" s="1"/>
  <c r="H276" i="10"/>
  <c r="G276" i="10"/>
  <c r="F276" i="10"/>
  <c r="E276" i="10"/>
  <c r="D276" i="10"/>
  <c r="A276" i="10"/>
  <c r="Y275" i="10"/>
  <c r="S275" i="10"/>
  <c r="P275" i="10"/>
  <c r="R275" i="10" s="1"/>
  <c r="N275" i="10"/>
  <c r="E229" i="9" s="1"/>
  <c r="K275" i="10"/>
  <c r="M275" i="10" s="1"/>
  <c r="I275" i="10"/>
  <c r="D229" i="9" s="1"/>
  <c r="H275" i="10"/>
  <c r="G275" i="10"/>
  <c r="F275" i="10"/>
  <c r="E275" i="10"/>
  <c r="D275" i="10"/>
  <c r="A275" i="10"/>
  <c r="Y274" i="10"/>
  <c r="S274" i="10"/>
  <c r="P274" i="10"/>
  <c r="R274" i="10" s="1"/>
  <c r="N274" i="10"/>
  <c r="E240" i="9" s="1"/>
  <c r="K274" i="10"/>
  <c r="M274" i="10" s="1"/>
  <c r="I274" i="10"/>
  <c r="D240" i="9" s="1"/>
  <c r="H274" i="10"/>
  <c r="G274" i="10"/>
  <c r="F274" i="10"/>
  <c r="E274" i="10"/>
  <c r="D274" i="10"/>
  <c r="A274" i="10"/>
  <c r="Y273" i="10"/>
  <c r="S273" i="10"/>
  <c r="P273" i="10"/>
  <c r="R273" i="10" s="1"/>
  <c r="N273" i="10"/>
  <c r="E257" i="9" s="1"/>
  <c r="K273" i="10"/>
  <c r="M273" i="10" s="1"/>
  <c r="I273" i="10"/>
  <c r="D257" i="9" s="1"/>
  <c r="H273" i="10"/>
  <c r="G273" i="10"/>
  <c r="F273" i="10"/>
  <c r="E273" i="10"/>
  <c r="D273" i="10"/>
  <c r="A273" i="10"/>
  <c r="Y272" i="10"/>
  <c r="T272" i="10"/>
  <c r="Q272" i="10"/>
  <c r="R272" i="10" s="1"/>
  <c r="S272" i="10"/>
  <c r="P272" i="10"/>
  <c r="M272" i="10"/>
  <c r="L272" i="10"/>
  <c r="O272" i="10" s="1"/>
  <c r="N272" i="10"/>
  <c r="K272" i="10"/>
  <c r="J272" i="10"/>
  <c r="I272" i="10"/>
  <c r="H272" i="10"/>
  <c r="G272" i="10"/>
  <c r="F272" i="10"/>
  <c r="E272" i="10"/>
  <c r="Y271" i="10"/>
  <c r="R271" i="10"/>
  <c r="Q271" i="10"/>
  <c r="T271" i="10" s="1"/>
  <c r="S271" i="10"/>
  <c r="P271" i="10"/>
  <c r="O271" i="10"/>
  <c r="F207" i="9" s="1"/>
  <c r="M271" i="10"/>
  <c r="L271" i="10"/>
  <c r="N271" i="10"/>
  <c r="E207" i="9" s="1"/>
  <c r="K271" i="10"/>
  <c r="J271" i="10"/>
  <c r="I271" i="10"/>
  <c r="D207" i="9" s="1"/>
  <c r="H271" i="10"/>
  <c r="G271" i="10"/>
  <c r="F271" i="10"/>
  <c r="E271" i="10"/>
  <c r="Y270" i="10"/>
  <c r="T270" i="10"/>
  <c r="R270" i="10"/>
  <c r="Q270" i="10"/>
  <c r="S270" i="10"/>
  <c r="P270" i="10"/>
  <c r="O270" i="10"/>
  <c r="F212" i="9" s="1"/>
  <c r="M270" i="10"/>
  <c r="L270" i="10"/>
  <c r="N270" i="10"/>
  <c r="E212" i="9" s="1"/>
  <c r="K270" i="10"/>
  <c r="J270" i="10"/>
  <c r="I270" i="10"/>
  <c r="D212" i="9" s="1"/>
  <c r="H270" i="10"/>
  <c r="G270" i="10"/>
  <c r="F270" i="10"/>
  <c r="E270" i="10"/>
  <c r="Y269" i="10"/>
  <c r="T269" i="10"/>
  <c r="R269" i="10"/>
  <c r="Q269" i="10"/>
  <c r="S269" i="10"/>
  <c r="P269" i="10"/>
  <c r="O269" i="10"/>
  <c r="F216" i="9" s="1"/>
  <c r="L269" i="10"/>
  <c r="M269" i="10" s="1"/>
  <c r="N269" i="10"/>
  <c r="E216" i="9" s="1"/>
  <c r="K269" i="10"/>
  <c r="J269" i="10"/>
  <c r="I269" i="10"/>
  <c r="D216" i="9" s="1"/>
  <c r="H269" i="10"/>
  <c r="G269" i="10"/>
  <c r="F269" i="10"/>
  <c r="E269" i="10"/>
  <c r="Y268" i="10"/>
  <c r="T268" i="10"/>
  <c r="Q268" i="10"/>
  <c r="R268" i="10" s="1"/>
  <c r="S268" i="10"/>
  <c r="P268" i="10"/>
  <c r="M268" i="10"/>
  <c r="L268" i="10"/>
  <c r="O268" i="10" s="1"/>
  <c r="F220" i="9" s="1"/>
  <c r="N268" i="10"/>
  <c r="E220" i="9" s="1"/>
  <c r="K268" i="10"/>
  <c r="J268" i="10"/>
  <c r="I268" i="10"/>
  <c r="D220" i="9" s="1"/>
  <c r="H268" i="10"/>
  <c r="G268" i="10"/>
  <c r="F268" i="10"/>
  <c r="E268" i="10"/>
  <c r="Y267" i="10"/>
  <c r="T267" i="10"/>
  <c r="R267" i="10"/>
  <c r="Q267" i="10"/>
  <c r="S267" i="10"/>
  <c r="P267" i="10"/>
  <c r="O267" i="10"/>
  <c r="F222" i="9" s="1"/>
  <c r="M267" i="10"/>
  <c r="L267" i="10"/>
  <c r="N267" i="10"/>
  <c r="E222" i="9" s="1"/>
  <c r="K267" i="10"/>
  <c r="J267" i="10"/>
  <c r="I267" i="10"/>
  <c r="D222" i="9" s="1"/>
  <c r="H267" i="10"/>
  <c r="G267" i="10"/>
  <c r="F267" i="10"/>
  <c r="E267" i="10"/>
  <c r="Y266" i="10"/>
  <c r="T266" i="10"/>
  <c r="R266" i="10"/>
  <c r="Q266" i="10"/>
  <c r="S266" i="10"/>
  <c r="P266" i="10"/>
  <c r="L266" i="10"/>
  <c r="N266" i="10"/>
  <c r="K266" i="10"/>
  <c r="J266" i="10"/>
  <c r="I266" i="10"/>
  <c r="H266" i="10"/>
  <c r="G266" i="10"/>
  <c r="F266" i="10"/>
  <c r="E266" i="10"/>
  <c r="Y265" i="10"/>
  <c r="Q265" i="10"/>
  <c r="S265" i="10"/>
  <c r="P265" i="10"/>
  <c r="M265" i="10"/>
  <c r="L265" i="10"/>
  <c r="O265" i="10" s="1"/>
  <c r="N265" i="10"/>
  <c r="K265" i="10"/>
  <c r="J265" i="10"/>
  <c r="I265" i="10"/>
  <c r="H265" i="10"/>
  <c r="G265" i="10"/>
  <c r="F265" i="10"/>
  <c r="E265" i="10"/>
  <c r="Y264" i="10"/>
  <c r="S264" i="10"/>
  <c r="T264" i="10" s="1"/>
  <c r="R264" i="10"/>
  <c r="P264" i="10"/>
  <c r="N264" i="10"/>
  <c r="M264" i="10"/>
  <c r="K264" i="10"/>
  <c r="I264" i="10"/>
  <c r="D230" i="9" s="1"/>
  <c r="H264" i="10"/>
  <c r="G264" i="10"/>
  <c r="F264" i="10"/>
  <c r="E264" i="10"/>
  <c r="D264" i="10"/>
  <c r="A264" i="10"/>
  <c r="Y263" i="10"/>
  <c r="R263" i="10"/>
  <c r="Q263" i="10"/>
  <c r="T263" i="10" s="1"/>
  <c r="S263" i="10"/>
  <c r="P263" i="10"/>
  <c r="O263" i="10"/>
  <c r="M263" i="10"/>
  <c r="L263" i="10"/>
  <c r="N263" i="10"/>
  <c r="K263" i="10"/>
  <c r="J263" i="10"/>
  <c r="I263" i="10"/>
  <c r="H263" i="10"/>
  <c r="G263" i="10"/>
  <c r="F263" i="10"/>
  <c r="E263" i="10"/>
  <c r="Y262" i="10"/>
  <c r="T262" i="10"/>
  <c r="R262" i="10"/>
  <c r="Q262" i="10"/>
  <c r="S262" i="10"/>
  <c r="P262" i="10"/>
  <c r="O262" i="10"/>
  <c r="F219" i="9" s="1"/>
  <c r="M262" i="10"/>
  <c r="L262" i="10"/>
  <c r="N262" i="10"/>
  <c r="E219" i="9" s="1"/>
  <c r="K262" i="10"/>
  <c r="J262" i="10"/>
  <c r="I262" i="10"/>
  <c r="D219" i="9" s="1"/>
  <c r="H262" i="10"/>
  <c r="G262" i="10"/>
  <c r="F262" i="10"/>
  <c r="E262" i="10"/>
  <c r="Y261" i="10"/>
  <c r="T261" i="10"/>
  <c r="R261" i="10"/>
  <c r="Q261" i="10"/>
  <c r="S261" i="10"/>
  <c r="P261" i="10"/>
  <c r="L261" i="10"/>
  <c r="N261" i="10"/>
  <c r="E236" i="9" s="1"/>
  <c r="K261" i="10"/>
  <c r="J261" i="10"/>
  <c r="I261" i="10"/>
  <c r="D236" i="9" s="1"/>
  <c r="H261" i="10"/>
  <c r="G261" i="10"/>
  <c r="F261" i="10"/>
  <c r="E261" i="10"/>
  <c r="Y260" i="10"/>
  <c r="Q260" i="10"/>
  <c r="S260" i="10"/>
  <c r="P260" i="10"/>
  <c r="M260" i="10"/>
  <c r="L260" i="10"/>
  <c r="O260" i="10" s="1"/>
  <c r="N260" i="10"/>
  <c r="E259" i="9" s="1"/>
  <c r="K260" i="10"/>
  <c r="J260" i="10"/>
  <c r="I260" i="10"/>
  <c r="D259" i="9" s="1"/>
  <c r="H260" i="10"/>
  <c r="G260" i="10"/>
  <c r="F260" i="10"/>
  <c r="E260" i="10"/>
  <c r="Y259" i="10"/>
  <c r="S259" i="10"/>
  <c r="T259" i="10" s="1"/>
  <c r="R259" i="10"/>
  <c r="P259" i="10"/>
  <c r="N259" i="10"/>
  <c r="M259" i="10"/>
  <c r="K259" i="10"/>
  <c r="I259" i="10"/>
  <c r="D250" i="9" s="1"/>
  <c r="H259" i="10"/>
  <c r="G259" i="10"/>
  <c r="F259" i="10"/>
  <c r="E259" i="10"/>
  <c r="D259" i="10"/>
  <c r="A259" i="10"/>
  <c r="Y258" i="10"/>
  <c r="S258" i="10"/>
  <c r="T258" i="10" s="1"/>
  <c r="R258" i="10"/>
  <c r="P258" i="10"/>
  <c r="N258" i="10"/>
  <c r="M258" i="10"/>
  <c r="K258" i="10"/>
  <c r="I258" i="10"/>
  <c r="D254" i="9" s="1"/>
  <c r="H258" i="10"/>
  <c r="G258" i="10"/>
  <c r="F258" i="10"/>
  <c r="E258" i="10"/>
  <c r="D258" i="10"/>
  <c r="A258" i="10"/>
  <c r="Y257" i="10"/>
  <c r="S257" i="10"/>
  <c r="T257" i="10" s="1"/>
  <c r="R257" i="10"/>
  <c r="P257" i="10"/>
  <c r="N257" i="10"/>
  <c r="M257" i="10"/>
  <c r="K257" i="10"/>
  <c r="I257" i="10"/>
  <c r="D253" i="9" s="1"/>
  <c r="H257" i="10"/>
  <c r="G257" i="10"/>
  <c r="F257" i="10"/>
  <c r="E257" i="10"/>
  <c r="D257" i="10"/>
  <c r="A257" i="10"/>
  <c r="Y256" i="10"/>
  <c r="R256" i="10"/>
  <c r="Q256" i="10"/>
  <c r="T256" i="10" s="1"/>
  <c r="S256" i="10"/>
  <c r="P256" i="10"/>
  <c r="O256" i="10"/>
  <c r="M256" i="10"/>
  <c r="L256" i="10"/>
  <c r="N256" i="10"/>
  <c r="K256" i="10"/>
  <c r="J256" i="10"/>
  <c r="I256" i="10"/>
  <c r="H256" i="10"/>
  <c r="G256" i="10"/>
  <c r="F256" i="10"/>
  <c r="E256" i="10"/>
  <c r="Y255" i="10"/>
  <c r="T255" i="10"/>
  <c r="R255" i="10"/>
  <c r="Q255" i="10"/>
  <c r="S255" i="10"/>
  <c r="P255" i="10"/>
  <c r="O255" i="10"/>
  <c r="F204" i="9" s="1"/>
  <c r="M255" i="10"/>
  <c r="L255" i="10"/>
  <c r="N255" i="10"/>
  <c r="E204" i="9" s="1"/>
  <c r="K255" i="10"/>
  <c r="J255" i="10"/>
  <c r="I255" i="10"/>
  <c r="D204" i="9" s="1"/>
  <c r="H255" i="10"/>
  <c r="G255" i="10"/>
  <c r="F255" i="10"/>
  <c r="E255" i="10"/>
  <c r="Y254" i="10"/>
  <c r="T254" i="10"/>
  <c r="R254" i="10"/>
  <c r="Q254" i="10"/>
  <c r="S254" i="10"/>
  <c r="P254" i="10"/>
  <c r="L254" i="10"/>
  <c r="N254" i="10"/>
  <c r="E208" i="9" s="1"/>
  <c r="K254" i="10"/>
  <c r="J254" i="10"/>
  <c r="I254" i="10"/>
  <c r="D208" i="9" s="1"/>
  <c r="H254" i="10"/>
  <c r="G254" i="10"/>
  <c r="F254" i="10"/>
  <c r="E254" i="10"/>
  <c r="Y253" i="10"/>
  <c r="Q253" i="10"/>
  <c r="S253" i="10"/>
  <c r="P253" i="10"/>
  <c r="M253" i="10"/>
  <c r="L253" i="10"/>
  <c r="O253" i="10" s="1"/>
  <c r="F211" i="9" s="1"/>
  <c r="N253" i="10"/>
  <c r="E211" i="9" s="1"/>
  <c r="K253" i="10"/>
  <c r="J253" i="10"/>
  <c r="I253" i="10"/>
  <c r="D211" i="9" s="1"/>
  <c r="H253" i="10"/>
  <c r="G253" i="10"/>
  <c r="F253" i="10"/>
  <c r="E253" i="10"/>
  <c r="Y252" i="10"/>
  <c r="R252" i="10"/>
  <c r="Q252" i="10"/>
  <c r="T252" i="10" s="1"/>
  <c r="S252" i="10"/>
  <c r="P252" i="10"/>
  <c r="O252" i="10"/>
  <c r="M252" i="10"/>
  <c r="L252" i="10"/>
  <c r="N252" i="10"/>
  <c r="E215" i="9" s="1"/>
  <c r="K252" i="10"/>
  <c r="J252" i="10"/>
  <c r="I252" i="10"/>
  <c r="D215" i="9" s="1"/>
  <c r="H252" i="10"/>
  <c r="G252" i="10"/>
  <c r="F252" i="10"/>
  <c r="E252" i="10"/>
  <c r="Y251" i="10"/>
  <c r="T251" i="10"/>
  <c r="R251" i="10"/>
  <c r="Q251" i="10"/>
  <c r="S251" i="10"/>
  <c r="P251" i="10"/>
  <c r="O251" i="10"/>
  <c r="F217" i="9" s="1"/>
  <c r="M251" i="10"/>
  <c r="L251" i="10"/>
  <c r="N251" i="10"/>
  <c r="E217" i="9" s="1"/>
  <c r="K251" i="10"/>
  <c r="J251" i="10"/>
  <c r="I251" i="10"/>
  <c r="D217" i="9" s="1"/>
  <c r="H251" i="10"/>
  <c r="G251" i="10"/>
  <c r="F251" i="10"/>
  <c r="E251" i="10"/>
  <c r="Y250" i="10"/>
  <c r="T250" i="10"/>
  <c r="R250" i="10"/>
  <c r="Q250" i="10"/>
  <c r="S250" i="10"/>
  <c r="P250" i="10"/>
  <c r="L250" i="10"/>
  <c r="N250" i="10"/>
  <c r="E221" i="9" s="1"/>
  <c r="K250" i="10"/>
  <c r="J250" i="10"/>
  <c r="I250" i="10"/>
  <c r="D221" i="9" s="1"/>
  <c r="H250" i="10"/>
  <c r="G250" i="10"/>
  <c r="F250" i="10"/>
  <c r="E250" i="10"/>
  <c r="Y249" i="10"/>
  <c r="Q249" i="10"/>
  <c r="S249" i="10"/>
  <c r="P249" i="10"/>
  <c r="M249" i="10"/>
  <c r="L249" i="10"/>
  <c r="O249" i="10" s="1"/>
  <c r="F232" i="9" s="1"/>
  <c r="N249" i="10"/>
  <c r="E232" i="9" s="1"/>
  <c r="K249" i="10"/>
  <c r="J249" i="10"/>
  <c r="I249" i="10"/>
  <c r="D232" i="9" s="1"/>
  <c r="H249" i="10"/>
  <c r="G249" i="10"/>
  <c r="F249" i="10"/>
  <c r="E249" i="10"/>
  <c r="Y248" i="10"/>
  <c r="R248" i="10"/>
  <c r="Q248" i="10"/>
  <c r="T248" i="10" s="1"/>
  <c r="S248" i="10"/>
  <c r="P248" i="10"/>
  <c r="O248" i="10"/>
  <c r="M248" i="10"/>
  <c r="L248" i="10"/>
  <c r="N248" i="10"/>
  <c r="E233" i="9" s="1"/>
  <c r="K248" i="10"/>
  <c r="J248" i="10"/>
  <c r="I248" i="10"/>
  <c r="D233" i="9" s="1"/>
  <c r="H248" i="10"/>
  <c r="G248" i="10"/>
  <c r="F248" i="10"/>
  <c r="E248" i="10"/>
  <c r="Y247" i="10"/>
  <c r="T247" i="10"/>
  <c r="R247" i="10"/>
  <c r="Q247" i="10"/>
  <c r="S247" i="10"/>
  <c r="P247" i="10"/>
  <c r="O247" i="10"/>
  <c r="F235" i="9" s="1"/>
  <c r="M247" i="10"/>
  <c r="L247" i="10"/>
  <c r="N247" i="10"/>
  <c r="E235" i="9" s="1"/>
  <c r="K247" i="10"/>
  <c r="J247" i="10"/>
  <c r="I247" i="10"/>
  <c r="D235" i="9" s="1"/>
  <c r="H247" i="10"/>
  <c r="G247" i="10"/>
  <c r="F247" i="10"/>
  <c r="E247" i="10"/>
  <c r="Y246" i="10"/>
  <c r="T246" i="10"/>
  <c r="R246" i="10"/>
  <c r="Q246" i="10"/>
  <c r="S246" i="10"/>
  <c r="P246" i="10"/>
  <c r="L246" i="10"/>
  <c r="N246" i="10"/>
  <c r="E239" i="9" s="1"/>
  <c r="K246" i="10"/>
  <c r="J246" i="10"/>
  <c r="I246" i="10"/>
  <c r="D239" i="9" s="1"/>
  <c r="H246" i="10"/>
  <c r="G246" i="10"/>
  <c r="F246" i="10"/>
  <c r="E246" i="10"/>
  <c r="Y245" i="10"/>
  <c r="Q245" i="10"/>
  <c r="S245" i="10"/>
  <c r="P245" i="10"/>
  <c r="M245" i="10"/>
  <c r="L245" i="10"/>
  <c r="O245" i="10" s="1"/>
  <c r="F241" i="9" s="1"/>
  <c r="N245" i="10"/>
  <c r="E241" i="9" s="1"/>
  <c r="K245" i="10"/>
  <c r="J245" i="10"/>
  <c r="I245" i="10"/>
  <c r="D241" i="9" s="1"/>
  <c r="H245" i="10"/>
  <c r="G245" i="10"/>
  <c r="F245" i="10"/>
  <c r="E245" i="10"/>
  <c r="Y244" i="10"/>
  <c r="R244" i="10"/>
  <c r="Q244" i="10"/>
  <c r="T244" i="10" s="1"/>
  <c r="S244" i="10"/>
  <c r="P244" i="10"/>
  <c r="O244" i="10"/>
  <c r="M244" i="10"/>
  <c r="L244" i="10"/>
  <c r="N244" i="10"/>
  <c r="E244" i="9" s="1"/>
  <c r="K244" i="10"/>
  <c r="J244" i="10"/>
  <c r="I244" i="10"/>
  <c r="D244" i="9" s="1"/>
  <c r="H244" i="10"/>
  <c r="G244" i="10"/>
  <c r="F244" i="10"/>
  <c r="E244" i="10"/>
  <c r="Y243" i="10"/>
  <c r="T243" i="10"/>
  <c r="R243" i="10"/>
  <c r="Q243" i="10"/>
  <c r="S243" i="10"/>
  <c r="P243" i="10"/>
  <c r="O243" i="10"/>
  <c r="F258" i="9" s="1"/>
  <c r="M243" i="10"/>
  <c r="L243" i="10"/>
  <c r="N243" i="10"/>
  <c r="E258" i="9" s="1"/>
  <c r="K243" i="10"/>
  <c r="J243" i="10"/>
  <c r="I243" i="10"/>
  <c r="D258" i="9" s="1"/>
  <c r="H243" i="10"/>
  <c r="G243" i="10"/>
  <c r="F243" i="10"/>
  <c r="E243" i="10"/>
  <c r="Y242" i="10"/>
  <c r="S242" i="10"/>
  <c r="P242" i="10"/>
  <c r="R242" i="10" s="1"/>
  <c r="N242" i="10"/>
  <c r="E234" i="9" s="1"/>
  <c r="K242" i="10"/>
  <c r="M242" i="10" s="1"/>
  <c r="I242" i="10"/>
  <c r="D234" i="9" s="1"/>
  <c r="H242" i="10"/>
  <c r="G242" i="10"/>
  <c r="F242" i="10"/>
  <c r="E242" i="10"/>
  <c r="D242" i="10"/>
  <c r="A242" i="10"/>
  <c r="Y241" i="10"/>
  <c r="T241" i="10"/>
  <c r="R241" i="10"/>
  <c r="Q241" i="10"/>
  <c r="S241" i="10"/>
  <c r="P241" i="10"/>
  <c r="L241" i="10"/>
  <c r="N241" i="10"/>
  <c r="K241" i="10"/>
  <c r="J241" i="10"/>
  <c r="I241" i="10"/>
  <c r="H241" i="10"/>
  <c r="G241" i="10"/>
  <c r="F241" i="10"/>
  <c r="E241" i="10"/>
  <c r="Y240" i="10"/>
  <c r="Q240" i="10"/>
  <c r="S240" i="10"/>
  <c r="P240" i="10"/>
  <c r="M240" i="10"/>
  <c r="L240" i="10"/>
  <c r="O240" i="10" s="1"/>
  <c r="N240" i="10"/>
  <c r="K240" i="10"/>
  <c r="J240" i="10"/>
  <c r="I240" i="10"/>
  <c r="H240" i="10"/>
  <c r="G240" i="10"/>
  <c r="F240" i="10"/>
  <c r="E240" i="10"/>
  <c r="Y239" i="10"/>
  <c r="R239" i="10"/>
  <c r="Q239" i="10"/>
  <c r="T239" i="10" s="1"/>
  <c r="S239" i="10"/>
  <c r="P239" i="10"/>
  <c r="O239" i="10"/>
  <c r="M239" i="10"/>
  <c r="L239" i="10"/>
  <c r="N239" i="10"/>
  <c r="K239" i="10"/>
  <c r="J239" i="10"/>
  <c r="I239" i="10"/>
  <c r="H239" i="10"/>
  <c r="G239" i="10"/>
  <c r="F239" i="10"/>
  <c r="E239" i="10"/>
  <c r="Y238" i="10"/>
  <c r="T238" i="10"/>
  <c r="R238" i="10"/>
  <c r="Q238" i="10"/>
  <c r="S238" i="10"/>
  <c r="P238" i="10"/>
  <c r="O238" i="10"/>
  <c r="M238" i="10"/>
  <c r="L238" i="10"/>
  <c r="N238" i="10"/>
  <c r="K238" i="10"/>
  <c r="J238" i="10"/>
  <c r="I238" i="10"/>
  <c r="H238" i="10"/>
  <c r="G238" i="10"/>
  <c r="F238" i="10"/>
  <c r="E238" i="10"/>
  <c r="Y237" i="10"/>
  <c r="T237" i="10"/>
  <c r="R237" i="10"/>
  <c r="Q237" i="10"/>
  <c r="S237" i="10"/>
  <c r="P237" i="10"/>
  <c r="L237" i="10"/>
  <c r="N237" i="10"/>
  <c r="K237" i="10"/>
  <c r="J237" i="10"/>
  <c r="I237" i="10"/>
  <c r="H237" i="10"/>
  <c r="G237" i="10"/>
  <c r="F237" i="10"/>
  <c r="E237" i="10"/>
  <c r="Y236" i="10"/>
  <c r="S236" i="10"/>
  <c r="R236" i="10"/>
  <c r="P236" i="10"/>
  <c r="N236" i="10"/>
  <c r="E245" i="9" s="1"/>
  <c r="M236" i="10"/>
  <c r="K236" i="10"/>
  <c r="I236" i="10"/>
  <c r="D245" i="9" s="1"/>
  <c r="H236" i="10"/>
  <c r="G236" i="10"/>
  <c r="F236" i="10"/>
  <c r="E236" i="10"/>
  <c r="D236" i="10"/>
  <c r="A236" i="10"/>
  <c r="Y235" i="10"/>
  <c r="Q235" i="10"/>
  <c r="S235" i="10"/>
  <c r="P235" i="10"/>
  <c r="M235" i="10"/>
  <c r="L235" i="10"/>
  <c r="O235" i="10" s="1"/>
  <c r="N235" i="10"/>
  <c r="E199" i="9" s="1"/>
  <c r="K235" i="10"/>
  <c r="J235" i="10"/>
  <c r="I235" i="10"/>
  <c r="H235" i="10"/>
  <c r="G235" i="10"/>
  <c r="F235" i="10"/>
  <c r="E235" i="10"/>
  <c r="Y234" i="10"/>
  <c r="R234" i="10"/>
  <c r="Q234" i="10"/>
  <c r="T234" i="10" s="1"/>
  <c r="S234" i="10"/>
  <c r="P234" i="10"/>
  <c r="O234" i="10"/>
  <c r="M234" i="10"/>
  <c r="L234" i="10"/>
  <c r="N234" i="10"/>
  <c r="E203" i="9" s="1"/>
  <c r="K234" i="10"/>
  <c r="J234" i="10"/>
  <c r="I234" i="10"/>
  <c r="H234" i="10"/>
  <c r="G234" i="10"/>
  <c r="F234" i="10"/>
  <c r="E234" i="10"/>
  <c r="Y233" i="10"/>
  <c r="T233" i="10"/>
  <c r="R233" i="10"/>
  <c r="Q233" i="10"/>
  <c r="S233" i="10"/>
  <c r="P233" i="10"/>
  <c r="O233" i="10"/>
  <c r="M233" i="10"/>
  <c r="L233" i="10"/>
  <c r="N233" i="10"/>
  <c r="E209" i="9" s="1"/>
  <c r="K233" i="10"/>
  <c r="J233" i="10"/>
  <c r="I233" i="10"/>
  <c r="H233" i="10"/>
  <c r="G233" i="10"/>
  <c r="F233" i="10"/>
  <c r="E233" i="10"/>
  <c r="Y232" i="10"/>
  <c r="T232" i="10"/>
  <c r="R232" i="10"/>
  <c r="Q232" i="10"/>
  <c r="S232" i="10"/>
  <c r="P232" i="10"/>
  <c r="L232" i="10"/>
  <c r="N232" i="10"/>
  <c r="E218" i="9" s="1"/>
  <c r="K232" i="10"/>
  <c r="J232" i="10"/>
  <c r="I232" i="10"/>
  <c r="D218" i="9" s="1"/>
  <c r="H232" i="10"/>
  <c r="G232" i="10"/>
  <c r="F232" i="10"/>
  <c r="E232" i="10"/>
  <c r="Y231" i="10"/>
  <c r="Q231" i="10"/>
  <c r="S231" i="10"/>
  <c r="P231" i="10"/>
  <c r="M231" i="10"/>
  <c r="L231" i="10"/>
  <c r="O231" i="10" s="1"/>
  <c r="N231" i="10"/>
  <c r="E231" i="9" s="1"/>
  <c r="K231" i="10"/>
  <c r="J231" i="10"/>
  <c r="I231" i="10"/>
  <c r="H231" i="10"/>
  <c r="G231" i="10"/>
  <c r="F231" i="10"/>
  <c r="E231" i="10"/>
  <c r="G230" i="10"/>
  <c r="A230" i="10"/>
  <c r="Y229" i="10"/>
  <c r="S229" i="10"/>
  <c r="P229" i="10"/>
  <c r="R229" i="10" s="1"/>
  <c r="N229" i="10"/>
  <c r="E195" i="9" s="1"/>
  <c r="K229" i="10"/>
  <c r="M229" i="10" s="1"/>
  <c r="I229" i="10"/>
  <c r="D195" i="9" s="1"/>
  <c r="H229" i="10"/>
  <c r="G229" i="10"/>
  <c r="F229" i="10"/>
  <c r="E229" i="10"/>
  <c r="D229" i="10"/>
  <c r="A229" i="10"/>
  <c r="Y228" i="10"/>
  <c r="T228" i="10"/>
  <c r="R228" i="10"/>
  <c r="Q228" i="10"/>
  <c r="S228" i="10"/>
  <c r="P228" i="10"/>
  <c r="L228" i="10"/>
  <c r="N228" i="10"/>
  <c r="K228" i="10"/>
  <c r="J228" i="10"/>
  <c r="I228" i="10"/>
  <c r="H228" i="10"/>
  <c r="G228" i="10"/>
  <c r="F228" i="10"/>
  <c r="E228" i="10"/>
  <c r="Y227" i="10"/>
  <c r="Q227" i="10"/>
  <c r="S227" i="10"/>
  <c r="P227" i="10"/>
  <c r="M227" i="10"/>
  <c r="L227" i="10"/>
  <c r="O227" i="10" s="1"/>
  <c r="F184" i="9" s="1"/>
  <c r="N227" i="10"/>
  <c r="E184" i="9" s="1"/>
  <c r="K227" i="10"/>
  <c r="J227" i="10"/>
  <c r="I227" i="10"/>
  <c r="D184" i="9" s="1"/>
  <c r="H227" i="10"/>
  <c r="G227" i="10"/>
  <c r="F227" i="10"/>
  <c r="E227" i="10"/>
  <c r="Y226" i="10"/>
  <c r="R226" i="10"/>
  <c r="Q226" i="10"/>
  <c r="T226" i="10" s="1"/>
  <c r="S226" i="10"/>
  <c r="P226" i="10"/>
  <c r="O226" i="10"/>
  <c r="F185" i="9" s="1"/>
  <c r="M226" i="10"/>
  <c r="L226" i="10"/>
  <c r="N226" i="10"/>
  <c r="E185" i="9" s="1"/>
  <c r="K226" i="10"/>
  <c r="J226" i="10"/>
  <c r="I226" i="10"/>
  <c r="D185" i="9" s="1"/>
  <c r="H226" i="10"/>
  <c r="G226" i="10"/>
  <c r="F226" i="10"/>
  <c r="E226" i="10"/>
  <c r="Y225" i="10"/>
  <c r="T225" i="10"/>
  <c r="R225" i="10"/>
  <c r="Q225" i="10"/>
  <c r="S225" i="10"/>
  <c r="P225" i="10"/>
  <c r="O225" i="10"/>
  <c r="F186" i="9" s="1"/>
  <c r="M225" i="10"/>
  <c r="L225" i="10"/>
  <c r="N225" i="10"/>
  <c r="E186" i="9" s="1"/>
  <c r="K225" i="10"/>
  <c r="J225" i="10"/>
  <c r="I225" i="10"/>
  <c r="D186" i="9" s="1"/>
  <c r="H225" i="10"/>
  <c r="G225" i="10"/>
  <c r="F225" i="10"/>
  <c r="E225" i="10"/>
  <c r="Y224" i="10"/>
  <c r="T224" i="10"/>
  <c r="R224" i="10"/>
  <c r="Q224" i="10"/>
  <c r="S224" i="10"/>
  <c r="P224" i="10"/>
  <c r="L224" i="10"/>
  <c r="N224" i="10"/>
  <c r="E188" i="9" s="1"/>
  <c r="K224" i="10"/>
  <c r="J224" i="10"/>
  <c r="I224" i="10"/>
  <c r="D188" i="9" s="1"/>
  <c r="H224" i="10"/>
  <c r="G224" i="10"/>
  <c r="F224" i="10"/>
  <c r="E224" i="10"/>
  <c r="Y223" i="10"/>
  <c r="Q223" i="10"/>
  <c r="S223" i="10"/>
  <c r="P223" i="10"/>
  <c r="M223" i="10"/>
  <c r="L223" i="10"/>
  <c r="O223" i="10" s="1"/>
  <c r="F189" i="9" s="1"/>
  <c r="N223" i="10"/>
  <c r="E189" i="9" s="1"/>
  <c r="K223" i="10"/>
  <c r="J223" i="10"/>
  <c r="I223" i="10"/>
  <c r="D189" i="9" s="1"/>
  <c r="H223" i="10"/>
  <c r="G223" i="10"/>
  <c r="F223" i="10"/>
  <c r="E223" i="10"/>
  <c r="Y222" i="10"/>
  <c r="R222" i="10"/>
  <c r="Q222" i="10"/>
  <c r="T222" i="10" s="1"/>
  <c r="S222" i="10"/>
  <c r="P222" i="10"/>
  <c r="O222" i="10"/>
  <c r="F191" i="9" s="1"/>
  <c r="M222" i="10"/>
  <c r="L222" i="10"/>
  <c r="N222" i="10"/>
  <c r="E191" i="9" s="1"/>
  <c r="K222" i="10"/>
  <c r="J222" i="10"/>
  <c r="I222" i="10"/>
  <c r="D191" i="9" s="1"/>
  <c r="H222" i="10"/>
  <c r="G222" i="10"/>
  <c r="F222" i="10"/>
  <c r="E222" i="10"/>
  <c r="Y221" i="10"/>
  <c r="T221" i="10"/>
  <c r="R221" i="10"/>
  <c r="Q221" i="10"/>
  <c r="S221" i="10"/>
  <c r="P221" i="10"/>
  <c r="O221" i="10"/>
  <c r="F194" i="9" s="1"/>
  <c r="M221" i="10"/>
  <c r="L221" i="10"/>
  <c r="N221" i="10"/>
  <c r="E194" i="9" s="1"/>
  <c r="K221" i="10"/>
  <c r="J221" i="10"/>
  <c r="I221" i="10"/>
  <c r="D194" i="9" s="1"/>
  <c r="H221" i="10"/>
  <c r="G221" i="10"/>
  <c r="F221" i="10"/>
  <c r="E221" i="10"/>
  <c r="Y220" i="10"/>
  <c r="T220" i="10"/>
  <c r="R220" i="10"/>
  <c r="Q220" i="10"/>
  <c r="S220" i="10"/>
  <c r="P220" i="10"/>
  <c r="L220" i="10"/>
  <c r="N220" i="10"/>
  <c r="E180" i="9" s="1"/>
  <c r="K220" i="10"/>
  <c r="J220" i="10"/>
  <c r="I220" i="10"/>
  <c r="D180" i="9" s="1"/>
  <c r="H220" i="10"/>
  <c r="G220" i="10"/>
  <c r="F220" i="10"/>
  <c r="E220" i="10"/>
  <c r="Y219" i="10"/>
  <c r="Q219" i="10"/>
  <c r="S219" i="10"/>
  <c r="P219" i="10"/>
  <c r="M219" i="10"/>
  <c r="L219" i="10"/>
  <c r="O219" i="10" s="1"/>
  <c r="F183" i="9" s="1"/>
  <c r="N219" i="10"/>
  <c r="E183" i="9" s="1"/>
  <c r="K219" i="10"/>
  <c r="J219" i="10"/>
  <c r="I219" i="10"/>
  <c r="D183" i="9" s="1"/>
  <c r="H219" i="10"/>
  <c r="G219" i="10"/>
  <c r="F219" i="10"/>
  <c r="E219" i="10"/>
  <c r="Y218" i="10"/>
  <c r="R218" i="10"/>
  <c r="Q218" i="10"/>
  <c r="T218" i="10" s="1"/>
  <c r="S218" i="10"/>
  <c r="P218" i="10"/>
  <c r="O218" i="10"/>
  <c r="F187" i="9" s="1"/>
  <c r="M218" i="10"/>
  <c r="L218" i="10"/>
  <c r="N218" i="10"/>
  <c r="E187" i="9" s="1"/>
  <c r="K218" i="10"/>
  <c r="J218" i="10"/>
  <c r="I218" i="10"/>
  <c r="D187" i="9" s="1"/>
  <c r="H218" i="10"/>
  <c r="G218" i="10"/>
  <c r="F218" i="10"/>
  <c r="E218" i="10"/>
  <c r="Y217" i="10"/>
  <c r="T217" i="10"/>
  <c r="R217" i="10"/>
  <c r="Q217" i="10"/>
  <c r="S217" i="10"/>
  <c r="P217" i="10"/>
  <c r="O217" i="10"/>
  <c r="F190" i="9" s="1"/>
  <c r="M217" i="10"/>
  <c r="L217" i="10"/>
  <c r="N217" i="10"/>
  <c r="E190" i="9" s="1"/>
  <c r="K217" i="10"/>
  <c r="J217" i="10"/>
  <c r="I217" i="10"/>
  <c r="D190" i="9" s="1"/>
  <c r="H217" i="10"/>
  <c r="G217" i="10"/>
  <c r="F217" i="10"/>
  <c r="E217" i="10"/>
  <c r="G216" i="10"/>
  <c r="A216" i="10"/>
  <c r="G215" i="10"/>
  <c r="A215" i="10"/>
  <c r="Y214" i="10"/>
  <c r="T214" i="10"/>
  <c r="R214" i="10"/>
  <c r="Q214" i="10"/>
  <c r="S214" i="10"/>
  <c r="P214" i="10"/>
  <c r="L214" i="10"/>
  <c r="N214" i="10"/>
  <c r="K214" i="10"/>
  <c r="J214" i="10"/>
  <c r="I214" i="10"/>
  <c r="H214" i="10"/>
  <c r="G214" i="10"/>
  <c r="F214" i="10"/>
  <c r="E214" i="10"/>
  <c r="Y213" i="10"/>
  <c r="Q213" i="10"/>
  <c r="S213" i="10"/>
  <c r="P213" i="10"/>
  <c r="M213" i="10"/>
  <c r="L213" i="10"/>
  <c r="O213" i="10" s="1"/>
  <c r="N213" i="10"/>
  <c r="E167" i="9" s="1"/>
  <c r="K213" i="10"/>
  <c r="J213" i="10"/>
  <c r="I213" i="10"/>
  <c r="H213" i="10"/>
  <c r="G213" i="10"/>
  <c r="F213" i="10"/>
  <c r="E213" i="10"/>
  <c r="Y212" i="10"/>
  <c r="R212" i="10"/>
  <c r="Q212" i="10"/>
  <c r="T212" i="10" s="1"/>
  <c r="S212" i="10"/>
  <c r="P212" i="10"/>
  <c r="O212" i="10"/>
  <c r="F165" i="9" s="1"/>
  <c r="M212" i="10"/>
  <c r="L212" i="10"/>
  <c r="N212" i="10"/>
  <c r="E165" i="9" s="1"/>
  <c r="K212" i="10"/>
  <c r="J212" i="10"/>
  <c r="I212" i="10"/>
  <c r="D165" i="9" s="1"/>
  <c r="H212" i="10"/>
  <c r="G212" i="10"/>
  <c r="F212" i="10"/>
  <c r="E212" i="10"/>
  <c r="Y211" i="10"/>
  <c r="T211" i="10"/>
  <c r="R211" i="10"/>
  <c r="Q211" i="10"/>
  <c r="S211" i="10"/>
  <c r="P211" i="10"/>
  <c r="O211" i="10"/>
  <c r="F166" i="9" s="1"/>
  <c r="M211" i="10"/>
  <c r="L211" i="10"/>
  <c r="N211" i="10"/>
  <c r="E166" i="9" s="1"/>
  <c r="K211" i="10"/>
  <c r="J211" i="10"/>
  <c r="I211" i="10"/>
  <c r="D166" i="9" s="1"/>
  <c r="H211" i="10"/>
  <c r="G211" i="10"/>
  <c r="F211" i="10"/>
  <c r="E211" i="10"/>
  <c r="G210" i="10"/>
  <c r="A210" i="10"/>
  <c r="Y209" i="10"/>
  <c r="S209" i="10"/>
  <c r="T209" i="10" s="1"/>
  <c r="R209" i="10"/>
  <c r="P209" i="10"/>
  <c r="N209" i="10"/>
  <c r="M209" i="10"/>
  <c r="K209" i="10"/>
  <c r="I209" i="10"/>
  <c r="D147" i="9" s="1"/>
  <c r="H209" i="10"/>
  <c r="G209" i="10"/>
  <c r="F209" i="10"/>
  <c r="E209" i="10"/>
  <c r="D209" i="10"/>
  <c r="A209" i="10"/>
  <c r="Y208" i="10"/>
  <c r="R208" i="10"/>
  <c r="Q208" i="10"/>
  <c r="T208" i="10" s="1"/>
  <c r="S208" i="10"/>
  <c r="P208" i="10"/>
  <c r="O208" i="10"/>
  <c r="M208" i="10"/>
  <c r="L208" i="10"/>
  <c r="N208" i="10"/>
  <c r="K208" i="10"/>
  <c r="J208" i="10"/>
  <c r="I208" i="10"/>
  <c r="H208" i="10"/>
  <c r="G208" i="10"/>
  <c r="F208" i="10"/>
  <c r="E208" i="10"/>
  <c r="Y207" i="10"/>
  <c r="T207" i="10"/>
  <c r="R207" i="10"/>
  <c r="Q207" i="10"/>
  <c r="S207" i="10"/>
  <c r="P207" i="10"/>
  <c r="O207" i="10"/>
  <c r="F92" i="9" s="1"/>
  <c r="M207" i="10"/>
  <c r="L207" i="10"/>
  <c r="N207" i="10"/>
  <c r="E92" i="9" s="1"/>
  <c r="K207" i="10"/>
  <c r="J207" i="10"/>
  <c r="I207" i="10"/>
  <c r="D92" i="9" s="1"/>
  <c r="H207" i="10"/>
  <c r="G207" i="10"/>
  <c r="F207" i="10"/>
  <c r="E207" i="10"/>
  <c r="Y206" i="10"/>
  <c r="T206" i="10"/>
  <c r="R206" i="10"/>
  <c r="Q206" i="10"/>
  <c r="S206" i="10"/>
  <c r="P206" i="10"/>
  <c r="L206" i="10"/>
  <c r="N206" i="10"/>
  <c r="E138" i="9" s="1"/>
  <c r="K206" i="10"/>
  <c r="J206" i="10"/>
  <c r="I206" i="10"/>
  <c r="D138" i="9" s="1"/>
  <c r="H206" i="10"/>
  <c r="G206" i="10"/>
  <c r="F206" i="10"/>
  <c r="E206" i="10"/>
  <c r="Y205" i="10"/>
  <c r="S205" i="10"/>
  <c r="R205" i="10"/>
  <c r="P205" i="10"/>
  <c r="N205" i="10"/>
  <c r="E98" i="9" s="1"/>
  <c r="M205" i="10"/>
  <c r="K205" i="10"/>
  <c r="I205" i="10"/>
  <c r="D98" i="9" s="1"/>
  <c r="H205" i="10"/>
  <c r="G205" i="10"/>
  <c r="F205" i="10"/>
  <c r="E205" i="10"/>
  <c r="D205" i="10"/>
  <c r="A205" i="10"/>
  <c r="Y204" i="10"/>
  <c r="S204" i="10"/>
  <c r="R204" i="10"/>
  <c r="P204" i="10"/>
  <c r="N204" i="10"/>
  <c r="E139" i="9" s="1"/>
  <c r="M204" i="10"/>
  <c r="K204" i="10"/>
  <c r="I204" i="10"/>
  <c r="D139" i="9" s="1"/>
  <c r="H204" i="10"/>
  <c r="G204" i="10"/>
  <c r="F204" i="10"/>
  <c r="E204" i="10"/>
  <c r="D204" i="10"/>
  <c r="A204" i="10"/>
  <c r="Y203" i="10"/>
  <c r="Q203" i="10"/>
  <c r="S203" i="10"/>
  <c r="P203" i="10"/>
  <c r="M203" i="10"/>
  <c r="L203" i="10"/>
  <c r="O203" i="10" s="1"/>
  <c r="N203" i="10"/>
  <c r="K203" i="10"/>
  <c r="J203" i="10"/>
  <c r="I203" i="10"/>
  <c r="H203" i="10"/>
  <c r="G203" i="10"/>
  <c r="F203" i="10"/>
  <c r="E203" i="10"/>
  <c r="Y202" i="10"/>
  <c r="R202" i="10"/>
  <c r="Q202" i="10"/>
  <c r="T202" i="10" s="1"/>
  <c r="S202" i="10"/>
  <c r="P202" i="10"/>
  <c r="O202" i="10"/>
  <c r="F103" i="9" s="1"/>
  <c r="M202" i="10"/>
  <c r="L202" i="10"/>
  <c r="N202" i="10"/>
  <c r="E103" i="9" s="1"/>
  <c r="K202" i="10"/>
  <c r="J202" i="10"/>
  <c r="I202" i="10"/>
  <c r="D103" i="9" s="1"/>
  <c r="H202" i="10"/>
  <c r="G202" i="10"/>
  <c r="F202" i="10"/>
  <c r="E202" i="10"/>
  <c r="Y201" i="10"/>
  <c r="T201" i="10"/>
  <c r="R201" i="10"/>
  <c r="Q201" i="10"/>
  <c r="S201" i="10"/>
  <c r="P201" i="10"/>
  <c r="O201" i="10"/>
  <c r="F126" i="9" s="1"/>
  <c r="M201" i="10"/>
  <c r="L201" i="10"/>
  <c r="N201" i="10"/>
  <c r="E126" i="9" s="1"/>
  <c r="K201" i="10"/>
  <c r="J201" i="10"/>
  <c r="I201" i="10"/>
  <c r="D126" i="9" s="1"/>
  <c r="H201" i="10"/>
  <c r="G201" i="10"/>
  <c r="F201" i="10"/>
  <c r="E201" i="10"/>
  <c r="Y200" i="10"/>
  <c r="S200" i="10"/>
  <c r="P200" i="10"/>
  <c r="R200" i="10" s="1"/>
  <c r="N200" i="10"/>
  <c r="E113" i="9" s="1"/>
  <c r="K200" i="10"/>
  <c r="M200" i="10" s="1"/>
  <c r="I200" i="10"/>
  <c r="D113" i="9" s="1"/>
  <c r="H200" i="10"/>
  <c r="G200" i="10"/>
  <c r="F200" i="10"/>
  <c r="E200" i="10"/>
  <c r="D200" i="10"/>
  <c r="A200" i="10"/>
  <c r="Y199" i="10"/>
  <c r="S199" i="10"/>
  <c r="P199" i="10"/>
  <c r="O199" i="10"/>
  <c r="N199" i="10"/>
  <c r="K199" i="10"/>
  <c r="M199" i="10" s="1"/>
  <c r="I199" i="10"/>
  <c r="T199" i="10" s="1"/>
  <c r="H199" i="10"/>
  <c r="G199" i="10"/>
  <c r="F199" i="10"/>
  <c r="E199" i="10"/>
  <c r="D199" i="10"/>
  <c r="A199" i="10"/>
  <c r="Y198" i="10"/>
  <c r="T198" i="10"/>
  <c r="S198" i="10"/>
  <c r="P198" i="10"/>
  <c r="O198" i="10"/>
  <c r="N198" i="10"/>
  <c r="K198" i="10"/>
  <c r="M198" i="10" s="1"/>
  <c r="I198" i="10"/>
  <c r="H198" i="10"/>
  <c r="G198" i="10"/>
  <c r="F198" i="10"/>
  <c r="E198" i="10"/>
  <c r="D198" i="10"/>
  <c r="A198" i="10"/>
  <c r="Y197" i="10"/>
  <c r="S197" i="10"/>
  <c r="P197" i="10"/>
  <c r="O197" i="10"/>
  <c r="N197" i="10"/>
  <c r="K197" i="10"/>
  <c r="M197" i="10" s="1"/>
  <c r="I197" i="10"/>
  <c r="T197" i="10" s="1"/>
  <c r="H197" i="10"/>
  <c r="G197" i="10"/>
  <c r="F197" i="10"/>
  <c r="E197" i="10"/>
  <c r="D197" i="10"/>
  <c r="A197" i="10"/>
  <c r="Y196" i="10"/>
  <c r="T196" i="10"/>
  <c r="R196" i="10"/>
  <c r="Q196" i="10"/>
  <c r="S196" i="10"/>
  <c r="P196" i="10"/>
  <c r="L196" i="10"/>
  <c r="N196" i="10"/>
  <c r="K196" i="10"/>
  <c r="J196" i="10"/>
  <c r="I196" i="10"/>
  <c r="H196" i="10"/>
  <c r="G196" i="10"/>
  <c r="F196" i="10"/>
  <c r="E196" i="10"/>
  <c r="Y195" i="10"/>
  <c r="Q195" i="10"/>
  <c r="S195" i="10"/>
  <c r="P195" i="10"/>
  <c r="L195" i="10"/>
  <c r="O195" i="10" s="1"/>
  <c r="N195" i="10"/>
  <c r="K195" i="10"/>
  <c r="J195" i="10"/>
  <c r="I195" i="10"/>
  <c r="H195" i="10"/>
  <c r="G195" i="10"/>
  <c r="F195" i="10"/>
  <c r="E195" i="10"/>
  <c r="Y194" i="10"/>
  <c r="R194" i="10"/>
  <c r="Q194" i="10"/>
  <c r="T194" i="10" s="1"/>
  <c r="S194" i="10"/>
  <c r="P194" i="10"/>
  <c r="O194" i="10"/>
  <c r="M194" i="10"/>
  <c r="L194" i="10"/>
  <c r="N194" i="10"/>
  <c r="K194" i="10"/>
  <c r="J194" i="10"/>
  <c r="I194" i="10"/>
  <c r="H194" i="10"/>
  <c r="G194" i="10"/>
  <c r="F194" i="10"/>
  <c r="E194" i="10"/>
  <c r="Y193" i="10"/>
  <c r="T193" i="10"/>
  <c r="R193" i="10"/>
  <c r="Q193" i="10"/>
  <c r="S193" i="10"/>
  <c r="P193" i="10"/>
  <c r="O193" i="10"/>
  <c r="M193" i="10"/>
  <c r="L193" i="10"/>
  <c r="N193" i="10"/>
  <c r="K193" i="10"/>
  <c r="J193" i="10"/>
  <c r="I193" i="10"/>
  <c r="H193" i="10"/>
  <c r="G193" i="10"/>
  <c r="F193" i="10"/>
  <c r="E193" i="10"/>
  <c r="Y192" i="10"/>
  <c r="T192" i="10"/>
  <c r="R192" i="10"/>
  <c r="Q192" i="10"/>
  <c r="S192" i="10"/>
  <c r="P192" i="10"/>
  <c r="L192" i="10"/>
  <c r="N192" i="10"/>
  <c r="K192" i="10"/>
  <c r="J192" i="10"/>
  <c r="I192" i="10"/>
  <c r="H192" i="10"/>
  <c r="G192" i="10"/>
  <c r="F192" i="10"/>
  <c r="E192" i="10"/>
  <c r="Y191" i="10"/>
  <c r="Q191" i="10"/>
  <c r="S191" i="10"/>
  <c r="P191" i="10"/>
  <c r="L191" i="10"/>
  <c r="O191" i="10" s="1"/>
  <c r="N191" i="10"/>
  <c r="K191" i="10"/>
  <c r="J191" i="10"/>
  <c r="I191" i="10"/>
  <c r="H191" i="10"/>
  <c r="G191" i="10"/>
  <c r="F191" i="10"/>
  <c r="E191" i="10"/>
  <c r="Y190" i="10"/>
  <c r="S190" i="10"/>
  <c r="T190" i="10" s="1"/>
  <c r="R190" i="10"/>
  <c r="P190" i="10"/>
  <c r="N190" i="10"/>
  <c r="M190" i="10"/>
  <c r="K190" i="10"/>
  <c r="I190" i="10"/>
  <c r="D145" i="9" s="1"/>
  <c r="H190" i="10"/>
  <c r="G190" i="10"/>
  <c r="F190" i="10"/>
  <c r="E190" i="10"/>
  <c r="D190" i="10"/>
  <c r="A190" i="10"/>
  <c r="Y189" i="10"/>
  <c r="S189" i="10"/>
  <c r="T189" i="10" s="1"/>
  <c r="R189" i="10"/>
  <c r="P189" i="10"/>
  <c r="N189" i="10"/>
  <c r="M189" i="10"/>
  <c r="K189" i="10"/>
  <c r="I189" i="10"/>
  <c r="D121" i="9" s="1"/>
  <c r="H189" i="10"/>
  <c r="G189" i="10"/>
  <c r="F189" i="10"/>
  <c r="E189" i="10"/>
  <c r="D189" i="10"/>
  <c r="A189" i="10"/>
  <c r="Y188" i="10"/>
  <c r="R188" i="10"/>
  <c r="Q188" i="10"/>
  <c r="T188" i="10" s="1"/>
  <c r="S188" i="10"/>
  <c r="P188" i="10"/>
  <c r="O188" i="10"/>
  <c r="M188" i="10"/>
  <c r="L188" i="10"/>
  <c r="N188" i="10"/>
  <c r="K188" i="10"/>
  <c r="J188" i="10"/>
  <c r="I188" i="10"/>
  <c r="H188" i="10"/>
  <c r="G188" i="10"/>
  <c r="F188" i="10"/>
  <c r="E188" i="10"/>
  <c r="Y187" i="10"/>
  <c r="T187" i="10"/>
  <c r="R187" i="10"/>
  <c r="Q187" i="10"/>
  <c r="S187" i="10"/>
  <c r="P187" i="10"/>
  <c r="O187" i="10"/>
  <c r="F74" i="9" s="1"/>
  <c r="M187" i="10"/>
  <c r="L187" i="10"/>
  <c r="N187" i="10"/>
  <c r="E74" i="9" s="1"/>
  <c r="K187" i="10"/>
  <c r="J187" i="10"/>
  <c r="I187" i="10"/>
  <c r="D74" i="9" s="1"/>
  <c r="H187" i="10"/>
  <c r="G187" i="10"/>
  <c r="F187" i="10"/>
  <c r="E187" i="10"/>
  <c r="Y186" i="10"/>
  <c r="T186" i="10"/>
  <c r="R186" i="10"/>
  <c r="Q186" i="10"/>
  <c r="S186" i="10"/>
  <c r="P186" i="10"/>
  <c r="L186" i="10"/>
  <c r="N186" i="10"/>
  <c r="K186" i="10"/>
  <c r="J186" i="10"/>
  <c r="I186" i="10"/>
  <c r="H186" i="10"/>
  <c r="G186" i="10"/>
  <c r="F186" i="10"/>
  <c r="E186" i="10"/>
  <c r="Y185" i="10"/>
  <c r="Q185" i="10"/>
  <c r="S185" i="10"/>
  <c r="P185" i="10"/>
  <c r="L185" i="10"/>
  <c r="O185" i="10" s="1"/>
  <c r="F79" i="9" s="1"/>
  <c r="N185" i="10"/>
  <c r="E79" i="9" s="1"/>
  <c r="K185" i="10"/>
  <c r="J185" i="10"/>
  <c r="I185" i="10"/>
  <c r="D79" i="9" s="1"/>
  <c r="H185" i="10"/>
  <c r="G185" i="10"/>
  <c r="F185" i="10"/>
  <c r="E185" i="10"/>
  <c r="Y184" i="10"/>
  <c r="R184" i="10"/>
  <c r="Q184" i="10"/>
  <c r="T184" i="10" s="1"/>
  <c r="S184" i="10"/>
  <c r="P184" i="10"/>
  <c r="O184" i="10"/>
  <c r="F86" i="9" s="1"/>
  <c r="M184" i="10"/>
  <c r="L184" i="10"/>
  <c r="N184" i="10"/>
  <c r="E86" i="9" s="1"/>
  <c r="K184" i="10"/>
  <c r="J184" i="10"/>
  <c r="I184" i="10"/>
  <c r="D86" i="9" s="1"/>
  <c r="H184" i="10"/>
  <c r="G184" i="10"/>
  <c r="F184" i="10"/>
  <c r="E184" i="10"/>
  <c r="Y183" i="10"/>
  <c r="T183" i="10"/>
  <c r="R183" i="10"/>
  <c r="Q183" i="10"/>
  <c r="S183" i="10"/>
  <c r="P183" i="10"/>
  <c r="O183" i="10"/>
  <c r="M183" i="10"/>
  <c r="L183" i="10"/>
  <c r="N183" i="10"/>
  <c r="K183" i="10"/>
  <c r="J183" i="10"/>
  <c r="I183" i="10"/>
  <c r="H183" i="10"/>
  <c r="G183" i="10"/>
  <c r="F183" i="10"/>
  <c r="E183" i="10"/>
  <c r="Y182" i="10"/>
  <c r="T182" i="10"/>
  <c r="R182" i="10"/>
  <c r="Q182" i="10"/>
  <c r="S182" i="10"/>
  <c r="P182" i="10"/>
  <c r="L182" i="10"/>
  <c r="N182" i="10"/>
  <c r="E116" i="9" s="1"/>
  <c r="K182" i="10"/>
  <c r="J182" i="10"/>
  <c r="I182" i="10"/>
  <c r="D116" i="9" s="1"/>
  <c r="H182" i="10"/>
  <c r="G182" i="10"/>
  <c r="F182" i="10"/>
  <c r="E182" i="10"/>
  <c r="Y181" i="10"/>
  <c r="S181" i="10"/>
  <c r="P181" i="10"/>
  <c r="R181" i="10" s="1"/>
  <c r="N181" i="10"/>
  <c r="E95" i="9" s="1"/>
  <c r="M181" i="10"/>
  <c r="K181" i="10"/>
  <c r="I181" i="10"/>
  <c r="D95" i="9" s="1"/>
  <c r="H181" i="10"/>
  <c r="G181" i="10"/>
  <c r="F181" i="10"/>
  <c r="E181" i="10"/>
  <c r="D181" i="10"/>
  <c r="A181" i="10"/>
  <c r="Y180" i="10"/>
  <c r="Q180" i="10"/>
  <c r="S180" i="10"/>
  <c r="P180" i="10"/>
  <c r="L180" i="10"/>
  <c r="O180" i="10" s="1"/>
  <c r="N180" i="10"/>
  <c r="K180" i="10"/>
  <c r="J180" i="10"/>
  <c r="I180" i="10"/>
  <c r="H180" i="10"/>
  <c r="G180" i="10"/>
  <c r="F180" i="10"/>
  <c r="E180" i="10"/>
  <c r="Y179" i="10"/>
  <c r="R179" i="10"/>
  <c r="Q179" i="10"/>
  <c r="T179" i="10" s="1"/>
  <c r="S179" i="10"/>
  <c r="P179" i="10"/>
  <c r="O179" i="10"/>
  <c r="M179" i="10"/>
  <c r="L179" i="10"/>
  <c r="N179" i="10"/>
  <c r="K179" i="10"/>
  <c r="J179" i="10"/>
  <c r="I179" i="10"/>
  <c r="H179" i="10"/>
  <c r="G179" i="10"/>
  <c r="F179" i="10"/>
  <c r="E179" i="10"/>
  <c r="Y178" i="10"/>
  <c r="T178" i="10"/>
  <c r="R178" i="10"/>
  <c r="Q178" i="10"/>
  <c r="S178" i="10"/>
  <c r="P178" i="10"/>
  <c r="O178" i="10"/>
  <c r="F122" i="9" s="1"/>
  <c r="M178" i="10"/>
  <c r="L178" i="10"/>
  <c r="N178" i="10"/>
  <c r="E122" i="9" s="1"/>
  <c r="K178" i="10"/>
  <c r="J178" i="10"/>
  <c r="I178" i="10"/>
  <c r="D122" i="9" s="1"/>
  <c r="H178" i="10"/>
  <c r="G178" i="10"/>
  <c r="F178" i="10"/>
  <c r="E178" i="10"/>
  <c r="Y177" i="10"/>
  <c r="T177" i="10"/>
  <c r="R177" i="10"/>
  <c r="Q177" i="10"/>
  <c r="S177" i="10"/>
  <c r="P177" i="10"/>
  <c r="L177" i="10"/>
  <c r="N177" i="10"/>
  <c r="E128" i="9" s="1"/>
  <c r="K177" i="10"/>
  <c r="J177" i="10"/>
  <c r="I177" i="10"/>
  <c r="D128" i="9" s="1"/>
  <c r="H177" i="10"/>
  <c r="G177" i="10"/>
  <c r="F177" i="10"/>
  <c r="E177" i="10"/>
  <c r="Y176" i="10"/>
  <c r="Q176" i="10"/>
  <c r="S176" i="10"/>
  <c r="P176" i="10"/>
  <c r="L176" i="10"/>
  <c r="O176" i="10" s="1"/>
  <c r="F130" i="9" s="1"/>
  <c r="N176" i="10"/>
  <c r="E130" i="9" s="1"/>
  <c r="K176" i="10"/>
  <c r="J176" i="10"/>
  <c r="I176" i="10"/>
  <c r="D130" i="9" s="1"/>
  <c r="H176" i="10"/>
  <c r="G176" i="10"/>
  <c r="F176" i="10"/>
  <c r="E176" i="10"/>
  <c r="Y175" i="10"/>
  <c r="S175" i="10"/>
  <c r="T175" i="10" s="1"/>
  <c r="R175" i="10"/>
  <c r="P175" i="10"/>
  <c r="N175" i="10"/>
  <c r="M175" i="10"/>
  <c r="K175" i="10"/>
  <c r="I175" i="10"/>
  <c r="D112" i="9" s="1"/>
  <c r="H175" i="10"/>
  <c r="G175" i="10"/>
  <c r="F175" i="10"/>
  <c r="E175" i="10"/>
  <c r="D175" i="10"/>
  <c r="A175" i="10"/>
  <c r="Y174" i="10"/>
  <c r="S174" i="10"/>
  <c r="T174" i="10" s="1"/>
  <c r="R174" i="10"/>
  <c r="P174" i="10"/>
  <c r="N174" i="10"/>
  <c r="M174" i="10"/>
  <c r="K174" i="10"/>
  <c r="I174" i="10"/>
  <c r="H174" i="10"/>
  <c r="G174" i="10"/>
  <c r="F174" i="10"/>
  <c r="E174" i="10"/>
  <c r="D174" i="10"/>
  <c r="A174" i="10"/>
  <c r="Y173" i="10"/>
  <c r="S173" i="10"/>
  <c r="T173" i="10" s="1"/>
  <c r="R173" i="10"/>
  <c r="P173" i="10"/>
  <c r="N173" i="10"/>
  <c r="M173" i="10"/>
  <c r="K173" i="10"/>
  <c r="I173" i="10"/>
  <c r="H173" i="10"/>
  <c r="G173" i="10"/>
  <c r="F173" i="10"/>
  <c r="E173" i="10"/>
  <c r="D173" i="10"/>
  <c r="A173" i="10"/>
  <c r="Y172" i="10"/>
  <c r="S172" i="10"/>
  <c r="T172" i="10" s="1"/>
  <c r="R172" i="10"/>
  <c r="P172" i="10"/>
  <c r="N172" i="10"/>
  <c r="M172" i="10"/>
  <c r="K172" i="10"/>
  <c r="I172" i="10"/>
  <c r="H172" i="10"/>
  <c r="G172" i="10"/>
  <c r="F172" i="10"/>
  <c r="E172" i="10"/>
  <c r="D172" i="10"/>
  <c r="A172" i="10"/>
  <c r="Y171" i="10"/>
  <c r="R171" i="10"/>
  <c r="Q171" i="10"/>
  <c r="T171" i="10" s="1"/>
  <c r="S171" i="10"/>
  <c r="P171" i="10"/>
  <c r="O171" i="10"/>
  <c r="M171" i="10"/>
  <c r="L171" i="10"/>
  <c r="N171" i="10"/>
  <c r="K171" i="10"/>
  <c r="J171" i="10"/>
  <c r="I171" i="10"/>
  <c r="H171" i="10"/>
  <c r="G171" i="10"/>
  <c r="F171" i="10"/>
  <c r="E171" i="10"/>
  <c r="Y170" i="10"/>
  <c r="T170" i="10"/>
  <c r="R170" i="10"/>
  <c r="Q170" i="10"/>
  <c r="S170" i="10"/>
  <c r="P170" i="10"/>
  <c r="O170" i="10"/>
  <c r="M170" i="10"/>
  <c r="L170" i="10"/>
  <c r="N170" i="10"/>
  <c r="K170" i="10"/>
  <c r="J170" i="10"/>
  <c r="I170" i="10"/>
  <c r="H170" i="10"/>
  <c r="G170" i="10"/>
  <c r="F170" i="10"/>
  <c r="E170" i="10"/>
  <c r="Y169" i="10"/>
  <c r="T169" i="10"/>
  <c r="R169" i="10"/>
  <c r="Q169" i="10"/>
  <c r="S169" i="10"/>
  <c r="P169" i="10"/>
  <c r="L169" i="10"/>
  <c r="N169" i="10"/>
  <c r="E83" i="9" s="1"/>
  <c r="K169" i="10"/>
  <c r="J169" i="10"/>
  <c r="I169" i="10"/>
  <c r="D83" i="9" s="1"/>
  <c r="H169" i="10"/>
  <c r="G169" i="10"/>
  <c r="F169" i="10"/>
  <c r="E169" i="10"/>
  <c r="Y168" i="10"/>
  <c r="Q168" i="10"/>
  <c r="S168" i="10"/>
  <c r="P168" i="10"/>
  <c r="L168" i="10"/>
  <c r="O168" i="10" s="1"/>
  <c r="N168" i="10"/>
  <c r="K168" i="10"/>
  <c r="J168" i="10"/>
  <c r="I168" i="10"/>
  <c r="H168" i="10"/>
  <c r="G168" i="10"/>
  <c r="F168" i="10"/>
  <c r="E168" i="10"/>
  <c r="Y167" i="10"/>
  <c r="R167" i="10"/>
  <c r="Q167" i="10"/>
  <c r="T167" i="10" s="1"/>
  <c r="S167" i="10"/>
  <c r="P167" i="10"/>
  <c r="O167" i="10"/>
  <c r="M167" i="10"/>
  <c r="L167" i="10"/>
  <c r="N167" i="10"/>
  <c r="K167" i="10"/>
  <c r="J167" i="10"/>
  <c r="I167" i="10"/>
  <c r="H167" i="10"/>
  <c r="G167" i="10"/>
  <c r="F167" i="10"/>
  <c r="E167" i="10"/>
  <c r="Y166" i="10"/>
  <c r="T166" i="10"/>
  <c r="R166" i="10"/>
  <c r="Q166" i="10"/>
  <c r="S166" i="10"/>
  <c r="P166" i="10"/>
  <c r="O166" i="10"/>
  <c r="M166" i="10"/>
  <c r="L166" i="10"/>
  <c r="N166" i="10"/>
  <c r="E115" i="9" s="1"/>
  <c r="K166" i="10"/>
  <c r="J166" i="10"/>
  <c r="I166" i="10"/>
  <c r="H166" i="10"/>
  <c r="G166" i="10"/>
  <c r="F166" i="10"/>
  <c r="E166" i="10"/>
  <c r="Y165" i="10"/>
  <c r="S165" i="10"/>
  <c r="P165" i="10"/>
  <c r="O165" i="10"/>
  <c r="F155" i="9" s="1"/>
  <c r="N165" i="10"/>
  <c r="E155" i="9" s="1"/>
  <c r="K165" i="10"/>
  <c r="M165" i="10" s="1"/>
  <c r="I165" i="10"/>
  <c r="D155" i="9" s="1"/>
  <c r="H165" i="10"/>
  <c r="G165" i="10"/>
  <c r="F165" i="10"/>
  <c r="E165" i="10"/>
  <c r="D165" i="10"/>
  <c r="A165" i="10"/>
  <c r="Y164" i="10"/>
  <c r="T164" i="10"/>
  <c r="S164" i="10"/>
  <c r="P164" i="10"/>
  <c r="O164" i="10"/>
  <c r="F154" i="9" s="1"/>
  <c r="N164" i="10"/>
  <c r="E154" i="9" s="1"/>
  <c r="K164" i="10"/>
  <c r="M164" i="10" s="1"/>
  <c r="I164" i="10"/>
  <c r="D154" i="9" s="1"/>
  <c r="H164" i="10"/>
  <c r="G164" i="10"/>
  <c r="F164" i="10"/>
  <c r="E164" i="10"/>
  <c r="D164" i="10"/>
  <c r="A164" i="10"/>
  <c r="Y163" i="10"/>
  <c r="T163" i="10"/>
  <c r="R163" i="10"/>
  <c r="Q163" i="10"/>
  <c r="S163" i="10"/>
  <c r="P163" i="10"/>
  <c r="L163" i="10"/>
  <c r="N163" i="10"/>
  <c r="K163" i="10"/>
  <c r="J163" i="10"/>
  <c r="I163" i="10"/>
  <c r="H163" i="10"/>
  <c r="G163" i="10"/>
  <c r="F163" i="10"/>
  <c r="E163" i="10"/>
  <c r="Y162" i="10"/>
  <c r="Q162" i="10"/>
  <c r="S162" i="10"/>
  <c r="P162" i="10"/>
  <c r="L162" i="10"/>
  <c r="O162" i="10" s="1"/>
  <c r="N162" i="10"/>
  <c r="K162" i="10"/>
  <c r="J162" i="10"/>
  <c r="I162" i="10"/>
  <c r="H162" i="10"/>
  <c r="G162" i="10"/>
  <c r="F162" i="10"/>
  <c r="E162" i="10"/>
  <c r="Y161" i="10"/>
  <c r="R161" i="10"/>
  <c r="Q161" i="10"/>
  <c r="T161" i="10" s="1"/>
  <c r="S161" i="10"/>
  <c r="P161" i="10"/>
  <c r="O161" i="10"/>
  <c r="M161" i="10"/>
  <c r="L161" i="10"/>
  <c r="N161" i="10"/>
  <c r="K161" i="10"/>
  <c r="J161" i="10"/>
  <c r="I161" i="10"/>
  <c r="H161" i="10"/>
  <c r="G161" i="10"/>
  <c r="F161" i="10"/>
  <c r="E161" i="10"/>
  <c r="Y160" i="10"/>
  <c r="T160" i="10"/>
  <c r="R160" i="10"/>
  <c r="Q160" i="10"/>
  <c r="S160" i="10"/>
  <c r="P160" i="10"/>
  <c r="O160" i="10"/>
  <c r="M160" i="10"/>
  <c r="L160" i="10"/>
  <c r="N160" i="10"/>
  <c r="K160" i="10"/>
  <c r="J160" i="10"/>
  <c r="I160" i="10"/>
  <c r="H160" i="10"/>
  <c r="G160" i="10"/>
  <c r="F160" i="10"/>
  <c r="E160" i="10"/>
  <c r="Y159" i="10"/>
  <c r="T159" i="10"/>
  <c r="S159" i="10"/>
  <c r="P159" i="10"/>
  <c r="O159" i="10"/>
  <c r="F127" i="9" s="1"/>
  <c r="N159" i="10"/>
  <c r="E127" i="9" s="1"/>
  <c r="K159" i="10"/>
  <c r="M159" i="10" s="1"/>
  <c r="I159" i="10"/>
  <c r="D127" i="9" s="1"/>
  <c r="H159" i="10"/>
  <c r="G159" i="10"/>
  <c r="F159" i="10"/>
  <c r="E159" i="10"/>
  <c r="D159" i="10"/>
  <c r="A159" i="10"/>
  <c r="Y158" i="10"/>
  <c r="T158" i="10"/>
  <c r="S158" i="10"/>
  <c r="P158" i="10"/>
  <c r="O158" i="10"/>
  <c r="N158" i="10"/>
  <c r="K158" i="10"/>
  <c r="M158" i="10" s="1"/>
  <c r="I158" i="10"/>
  <c r="H158" i="10"/>
  <c r="G158" i="10"/>
  <c r="F158" i="10"/>
  <c r="E158" i="10"/>
  <c r="D158" i="10"/>
  <c r="A158" i="10"/>
  <c r="Y157" i="10"/>
  <c r="T157" i="10"/>
  <c r="R157" i="10"/>
  <c r="Q157" i="10"/>
  <c r="S157" i="10"/>
  <c r="P157" i="10"/>
  <c r="L157" i="10"/>
  <c r="N157" i="10"/>
  <c r="K157" i="10"/>
  <c r="J157" i="10"/>
  <c r="I157" i="10"/>
  <c r="H157" i="10"/>
  <c r="G157" i="10"/>
  <c r="F157" i="10"/>
  <c r="E157" i="10"/>
  <c r="Y156" i="10"/>
  <c r="Q156" i="10"/>
  <c r="S156" i="10"/>
  <c r="P156" i="10"/>
  <c r="L156" i="10"/>
  <c r="O156" i="10" s="1"/>
  <c r="N156" i="10"/>
  <c r="K156" i="10"/>
  <c r="J156" i="10"/>
  <c r="I156" i="10"/>
  <c r="H156" i="10"/>
  <c r="G156" i="10"/>
  <c r="F156" i="10"/>
  <c r="E156" i="10"/>
  <c r="Y155" i="10"/>
  <c r="R155" i="10"/>
  <c r="Q155" i="10"/>
  <c r="T155" i="10" s="1"/>
  <c r="S155" i="10"/>
  <c r="P155" i="10"/>
  <c r="O155" i="10"/>
  <c r="M155" i="10"/>
  <c r="L155" i="10"/>
  <c r="N155" i="10"/>
  <c r="K155" i="10"/>
  <c r="J155" i="10"/>
  <c r="I155" i="10"/>
  <c r="H155" i="10"/>
  <c r="G155" i="10"/>
  <c r="F155" i="10"/>
  <c r="E155" i="10"/>
  <c r="Y154" i="10"/>
  <c r="T154" i="10"/>
  <c r="R154" i="10"/>
  <c r="Q154" i="10"/>
  <c r="S154" i="10"/>
  <c r="P154" i="10"/>
  <c r="O154" i="10"/>
  <c r="F106" i="9" s="1"/>
  <c r="M154" i="10"/>
  <c r="L154" i="10"/>
  <c r="N154" i="10"/>
  <c r="E106" i="9" s="1"/>
  <c r="K154" i="10"/>
  <c r="J154" i="10"/>
  <c r="I154" i="10"/>
  <c r="D106" i="9" s="1"/>
  <c r="H154" i="10"/>
  <c r="G154" i="10"/>
  <c r="F154" i="10"/>
  <c r="E154" i="10"/>
  <c r="Y153" i="10"/>
  <c r="T153" i="10"/>
  <c r="Q153" i="10"/>
  <c r="R153" i="10" s="1"/>
  <c r="S153" i="10"/>
  <c r="P153" i="10"/>
  <c r="L153" i="10"/>
  <c r="N153" i="10"/>
  <c r="E124" i="9" s="1"/>
  <c r="K153" i="10"/>
  <c r="J153" i="10"/>
  <c r="I153" i="10"/>
  <c r="D124" i="9" s="1"/>
  <c r="H153" i="10"/>
  <c r="G153" i="10"/>
  <c r="F153" i="10"/>
  <c r="E153" i="10"/>
  <c r="Y152" i="10"/>
  <c r="Q152" i="10"/>
  <c r="S152" i="10"/>
  <c r="P152" i="10"/>
  <c r="M152" i="10"/>
  <c r="L152" i="10"/>
  <c r="O152" i="10" s="1"/>
  <c r="F131" i="9" s="1"/>
  <c r="N152" i="10"/>
  <c r="E131" i="9" s="1"/>
  <c r="K152" i="10"/>
  <c r="J152" i="10"/>
  <c r="I152" i="10"/>
  <c r="D131" i="9" s="1"/>
  <c r="H152" i="10"/>
  <c r="G152" i="10"/>
  <c r="F152" i="10"/>
  <c r="E152" i="10"/>
  <c r="Y151" i="10"/>
  <c r="Q151" i="10"/>
  <c r="T151" i="10" s="1"/>
  <c r="S151" i="10"/>
  <c r="P151" i="10"/>
  <c r="O151" i="10"/>
  <c r="F132" i="9" s="1"/>
  <c r="M151" i="10"/>
  <c r="L151" i="10"/>
  <c r="N151" i="10"/>
  <c r="E132" i="9" s="1"/>
  <c r="K151" i="10"/>
  <c r="J151" i="10"/>
  <c r="I151" i="10"/>
  <c r="D132" i="9" s="1"/>
  <c r="H151" i="10"/>
  <c r="G151" i="10"/>
  <c r="F151" i="10"/>
  <c r="E151" i="10"/>
  <c r="Y150" i="10"/>
  <c r="S150" i="10"/>
  <c r="T150" i="10" s="1"/>
  <c r="P150" i="10"/>
  <c r="R150" i="10" s="1"/>
  <c r="N150" i="10"/>
  <c r="E110" i="9" s="1"/>
  <c r="K150" i="10"/>
  <c r="M150" i="10" s="1"/>
  <c r="I150" i="10"/>
  <c r="D110" i="9" s="1"/>
  <c r="H150" i="10"/>
  <c r="G150" i="10"/>
  <c r="F150" i="10"/>
  <c r="E150" i="10"/>
  <c r="D150" i="10"/>
  <c r="A150" i="10"/>
  <c r="Y149" i="10"/>
  <c r="S149" i="10"/>
  <c r="T149" i="10" s="1"/>
  <c r="P149" i="10"/>
  <c r="R149" i="10" s="1"/>
  <c r="N149" i="10"/>
  <c r="E118" i="9" s="1"/>
  <c r="K149" i="10"/>
  <c r="M149" i="10" s="1"/>
  <c r="I149" i="10"/>
  <c r="D118" i="9" s="1"/>
  <c r="H149" i="10"/>
  <c r="G149" i="10"/>
  <c r="F149" i="10"/>
  <c r="E149" i="10"/>
  <c r="D149" i="10"/>
  <c r="A149" i="10"/>
  <c r="Y148" i="10"/>
  <c r="S148" i="10"/>
  <c r="T148" i="10" s="1"/>
  <c r="P148" i="10"/>
  <c r="R148" i="10" s="1"/>
  <c r="N148" i="10"/>
  <c r="E107" i="9" s="1"/>
  <c r="K148" i="10"/>
  <c r="M148" i="10" s="1"/>
  <c r="I148" i="10"/>
  <c r="D107" i="9" s="1"/>
  <c r="H148" i="10"/>
  <c r="G148" i="10"/>
  <c r="F148" i="10"/>
  <c r="E148" i="10"/>
  <c r="D148" i="10"/>
  <c r="A148" i="10"/>
  <c r="Y147" i="10"/>
  <c r="T147" i="10"/>
  <c r="R147" i="10"/>
  <c r="Q147" i="10"/>
  <c r="S147" i="10"/>
  <c r="P147" i="10"/>
  <c r="L147" i="10"/>
  <c r="O147" i="10" s="1"/>
  <c r="N147" i="10"/>
  <c r="K147" i="10"/>
  <c r="J147" i="10"/>
  <c r="I147" i="10"/>
  <c r="H147" i="10"/>
  <c r="G147" i="10"/>
  <c r="F147" i="10"/>
  <c r="E147" i="10"/>
  <c r="Y146" i="10"/>
  <c r="Q146" i="10"/>
  <c r="T146" i="10" s="1"/>
  <c r="S146" i="10"/>
  <c r="P146" i="10"/>
  <c r="M146" i="10"/>
  <c r="L146" i="10"/>
  <c r="O146" i="10" s="1"/>
  <c r="N146" i="10"/>
  <c r="K146" i="10"/>
  <c r="J146" i="10"/>
  <c r="I146" i="10"/>
  <c r="H146" i="10"/>
  <c r="G146" i="10"/>
  <c r="F146" i="10"/>
  <c r="E146" i="10"/>
  <c r="Y145" i="10"/>
  <c r="R145" i="10"/>
  <c r="Q145" i="10"/>
  <c r="T145" i="10" s="1"/>
  <c r="S145" i="10"/>
  <c r="P145" i="10"/>
  <c r="O145" i="10"/>
  <c r="L145" i="10"/>
  <c r="M145" i="10" s="1"/>
  <c r="N145" i="10"/>
  <c r="K145" i="10"/>
  <c r="J145" i="10"/>
  <c r="I145" i="10"/>
  <c r="H145" i="10"/>
  <c r="G145" i="10"/>
  <c r="F145" i="10"/>
  <c r="E145" i="10"/>
  <c r="Y144" i="10"/>
  <c r="S144" i="10"/>
  <c r="P144" i="10"/>
  <c r="N144" i="10"/>
  <c r="K144" i="10"/>
  <c r="I144" i="10"/>
  <c r="R144" i="10" s="1"/>
  <c r="H144" i="10"/>
  <c r="G144" i="10"/>
  <c r="F144" i="10"/>
  <c r="E144" i="10"/>
  <c r="D144" i="10"/>
  <c r="A144" i="10"/>
  <c r="Y143" i="10"/>
  <c r="S143" i="10"/>
  <c r="P143" i="10"/>
  <c r="N143" i="10"/>
  <c r="E144" i="9" s="1"/>
  <c r="K143" i="10"/>
  <c r="I143" i="10"/>
  <c r="D144" i="9" s="1"/>
  <c r="H143" i="10"/>
  <c r="G143" i="10"/>
  <c r="F143" i="10"/>
  <c r="E143" i="10"/>
  <c r="D143" i="10"/>
  <c r="A143" i="10"/>
  <c r="Y142" i="10"/>
  <c r="S142" i="10"/>
  <c r="P142" i="10"/>
  <c r="N142" i="10"/>
  <c r="E101" i="9" s="1"/>
  <c r="K142" i="10"/>
  <c r="I142" i="10"/>
  <c r="D101" i="9" s="1"/>
  <c r="H142" i="10"/>
  <c r="G142" i="10"/>
  <c r="F142" i="10"/>
  <c r="E142" i="10"/>
  <c r="D142" i="10"/>
  <c r="A142" i="10"/>
  <c r="Y141" i="10"/>
  <c r="T141" i="10"/>
  <c r="Q141" i="10"/>
  <c r="R141" i="10" s="1"/>
  <c r="S141" i="10"/>
  <c r="P141" i="10"/>
  <c r="O141" i="10"/>
  <c r="M141" i="10"/>
  <c r="L141" i="10"/>
  <c r="N141" i="10"/>
  <c r="K141" i="10"/>
  <c r="J141" i="10"/>
  <c r="I141" i="10"/>
  <c r="H141" i="10"/>
  <c r="G141" i="10"/>
  <c r="F141" i="10"/>
  <c r="E141" i="10"/>
  <c r="Y140" i="10"/>
  <c r="T140" i="10"/>
  <c r="R140" i="10"/>
  <c r="Q140" i="10"/>
  <c r="S140" i="10"/>
  <c r="P140" i="10"/>
  <c r="L140" i="10"/>
  <c r="O140" i="10" s="1"/>
  <c r="F89" i="9" s="1"/>
  <c r="N140" i="10"/>
  <c r="E89" i="9" s="1"/>
  <c r="K140" i="10"/>
  <c r="J140" i="10"/>
  <c r="I140" i="10"/>
  <c r="D89" i="9" s="1"/>
  <c r="H140" i="10"/>
  <c r="G140" i="10"/>
  <c r="F140" i="10"/>
  <c r="E140" i="10"/>
  <c r="Y139" i="10"/>
  <c r="Q139" i="10"/>
  <c r="T139" i="10" s="1"/>
  <c r="S139" i="10"/>
  <c r="P139" i="10"/>
  <c r="M139" i="10"/>
  <c r="L139" i="10"/>
  <c r="O139" i="10" s="1"/>
  <c r="N139" i="10"/>
  <c r="K139" i="10"/>
  <c r="J139" i="10"/>
  <c r="I139" i="10"/>
  <c r="H139" i="10"/>
  <c r="G139" i="10"/>
  <c r="F139" i="10"/>
  <c r="E139" i="10"/>
  <c r="Y138" i="10"/>
  <c r="R138" i="10"/>
  <c r="Q138" i="10"/>
  <c r="T138" i="10" s="1"/>
  <c r="S138" i="10"/>
  <c r="P138" i="10"/>
  <c r="O138" i="10"/>
  <c r="F96" i="9" s="1"/>
  <c r="L138" i="10"/>
  <c r="M138" i="10" s="1"/>
  <c r="N138" i="10"/>
  <c r="E96" i="9" s="1"/>
  <c r="K138" i="10"/>
  <c r="J138" i="10"/>
  <c r="I138" i="10"/>
  <c r="D96" i="9" s="1"/>
  <c r="H138" i="10"/>
  <c r="G138" i="10"/>
  <c r="F138" i="10"/>
  <c r="E138" i="10"/>
  <c r="Y137" i="10"/>
  <c r="T137" i="10"/>
  <c r="Q137" i="10"/>
  <c r="R137" i="10" s="1"/>
  <c r="S137" i="10"/>
  <c r="P137" i="10"/>
  <c r="O137" i="10"/>
  <c r="M137" i="10"/>
  <c r="L137" i="10"/>
  <c r="N137" i="10"/>
  <c r="K137" i="10"/>
  <c r="J137" i="10"/>
  <c r="I137" i="10"/>
  <c r="H137" i="10"/>
  <c r="G137" i="10"/>
  <c r="F137" i="10"/>
  <c r="E137" i="10"/>
  <c r="Y136" i="10"/>
  <c r="S136" i="10"/>
  <c r="T136" i="10" s="1"/>
  <c r="P136" i="10"/>
  <c r="R136" i="10" s="1"/>
  <c r="N136" i="10"/>
  <c r="E125" i="9" s="1"/>
  <c r="K136" i="10"/>
  <c r="M136" i="10" s="1"/>
  <c r="I136" i="10"/>
  <c r="D125" i="9" s="1"/>
  <c r="H136" i="10"/>
  <c r="G136" i="10"/>
  <c r="F136" i="10"/>
  <c r="E136" i="10"/>
  <c r="D136" i="10"/>
  <c r="A136" i="10"/>
  <c r="Y135" i="10"/>
  <c r="T135" i="10"/>
  <c r="R135" i="10"/>
  <c r="Q135" i="10"/>
  <c r="S135" i="10"/>
  <c r="P135" i="10"/>
  <c r="L135" i="10"/>
  <c r="O135" i="10" s="1"/>
  <c r="N135" i="10"/>
  <c r="K135" i="10"/>
  <c r="J135" i="10"/>
  <c r="I135" i="10"/>
  <c r="H135" i="10"/>
  <c r="G135" i="10"/>
  <c r="F135" i="10"/>
  <c r="E135" i="10"/>
  <c r="Y134" i="10"/>
  <c r="Q134" i="10"/>
  <c r="T134" i="10" s="1"/>
  <c r="S134" i="10"/>
  <c r="P134" i="10"/>
  <c r="M134" i="10"/>
  <c r="L134" i="10"/>
  <c r="O134" i="10" s="1"/>
  <c r="F91" i="9" s="1"/>
  <c r="N134" i="10"/>
  <c r="E91" i="9" s="1"/>
  <c r="K134" i="10"/>
  <c r="J134" i="10"/>
  <c r="I134" i="10"/>
  <c r="H134" i="10"/>
  <c r="G134" i="10"/>
  <c r="F134" i="10"/>
  <c r="E134" i="10"/>
  <c r="Y133" i="10"/>
  <c r="R133" i="10"/>
  <c r="Q133" i="10"/>
  <c r="T133" i="10" s="1"/>
  <c r="S133" i="10"/>
  <c r="P133" i="10"/>
  <c r="O133" i="10"/>
  <c r="F146" i="9" s="1"/>
  <c r="L133" i="10"/>
  <c r="M133" i="10" s="1"/>
  <c r="N133" i="10"/>
  <c r="E146" i="9" s="1"/>
  <c r="K133" i="10"/>
  <c r="J133" i="10"/>
  <c r="I133" i="10"/>
  <c r="D146" i="9" s="1"/>
  <c r="H133" i="10"/>
  <c r="G133" i="10"/>
  <c r="F133" i="10"/>
  <c r="E133" i="10"/>
  <c r="Y132" i="10"/>
  <c r="T132" i="10"/>
  <c r="Q132" i="10"/>
  <c r="R132" i="10" s="1"/>
  <c r="S132" i="10"/>
  <c r="P132" i="10"/>
  <c r="O132" i="10"/>
  <c r="M132" i="10"/>
  <c r="L132" i="10"/>
  <c r="N132" i="10"/>
  <c r="K132" i="10"/>
  <c r="J132" i="10"/>
  <c r="I132" i="10"/>
  <c r="H132" i="10"/>
  <c r="G132" i="10"/>
  <c r="F132" i="10"/>
  <c r="E132" i="10"/>
  <c r="Y131" i="10"/>
  <c r="S131" i="10"/>
  <c r="T131" i="10" s="1"/>
  <c r="P131" i="10"/>
  <c r="R131" i="10" s="1"/>
  <c r="N131" i="10"/>
  <c r="O131" i="10" s="1"/>
  <c r="K131" i="10"/>
  <c r="M131" i="10" s="1"/>
  <c r="I131" i="10"/>
  <c r="H131" i="10"/>
  <c r="G131" i="10"/>
  <c r="F131" i="10"/>
  <c r="E131" i="10"/>
  <c r="D131" i="10"/>
  <c r="A131" i="10"/>
  <c r="Y130" i="10"/>
  <c r="T130" i="10"/>
  <c r="R130" i="10"/>
  <c r="Q130" i="10"/>
  <c r="S130" i="10"/>
  <c r="P130" i="10"/>
  <c r="L130" i="10"/>
  <c r="O130" i="10" s="1"/>
  <c r="N130" i="10"/>
  <c r="K130" i="10"/>
  <c r="J130" i="10"/>
  <c r="I130" i="10"/>
  <c r="H130" i="10"/>
  <c r="G130" i="10"/>
  <c r="F130" i="10"/>
  <c r="E130" i="10"/>
  <c r="Y129" i="10"/>
  <c r="S129" i="10"/>
  <c r="R129" i="10"/>
  <c r="P129" i="10"/>
  <c r="N129" i="10"/>
  <c r="E140" i="9" s="1"/>
  <c r="M129" i="10"/>
  <c r="K129" i="10"/>
  <c r="I129" i="10"/>
  <c r="H129" i="10"/>
  <c r="G129" i="10"/>
  <c r="F129" i="10"/>
  <c r="E129" i="10"/>
  <c r="D129" i="10"/>
  <c r="A129" i="10"/>
  <c r="Y128" i="10"/>
  <c r="S128" i="10"/>
  <c r="R128" i="10"/>
  <c r="P128" i="10"/>
  <c r="N128" i="10"/>
  <c r="E123" i="9" s="1"/>
  <c r="M128" i="10"/>
  <c r="K128" i="10"/>
  <c r="I128" i="10"/>
  <c r="D123" i="9" s="1"/>
  <c r="H128" i="10"/>
  <c r="G128" i="10"/>
  <c r="F128" i="10"/>
  <c r="E128" i="10"/>
  <c r="D128" i="10"/>
  <c r="A128" i="10"/>
  <c r="Y127" i="10"/>
  <c r="Q127" i="10"/>
  <c r="T127" i="10" s="1"/>
  <c r="S127" i="10"/>
  <c r="P127" i="10"/>
  <c r="M127" i="10"/>
  <c r="L127" i="10"/>
  <c r="O127" i="10" s="1"/>
  <c r="N127" i="10"/>
  <c r="K127" i="10"/>
  <c r="J127" i="10"/>
  <c r="I127" i="10"/>
  <c r="H127" i="10"/>
  <c r="G127" i="10"/>
  <c r="F127" i="10"/>
  <c r="E127" i="10"/>
  <c r="Y126" i="10"/>
  <c r="R126" i="10"/>
  <c r="Q126" i="10"/>
  <c r="T126" i="10" s="1"/>
  <c r="S126" i="10"/>
  <c r="P126" i="10"/>
  <c r="O126" i="10"/>
  <c r="F100" i="9" s="1"/>
  <c r="L126" i="10"/>
  <c r="M126" i="10" s="1"/>
  <c r="N126" i="10"/>
  <c r="E100" i="9" s="1"/>
  <c r="K126" i="10"/>
  <c r="J126" i="10"/>
  <c r="I126" i="10"/>
  <c r="D100" i="9" s="1"/>
  <c r="H126" i="10"/>
  <c r="G126" i="10"/>
  <c r="F126" i="10"/>
  <c r="E126" i="10"/>
  <c r="Y125" i="10"/>
  <c r="T125" i="10"/>
  <c r="Q125" i="10"/>
  <c r="R125" i="10" s="1"/>
  <c r="S125" i="10"/>
  <c r="P125" i="10"/>
  <c r="O125" i="10"/>
  <c r="F136" i="9" s="1"/>
  <c r="M125" i="10"/>
  <c r="L125" i="10"/>
  <c r="N125" i="10"/>
  <c r="E136" i="9" s="1"/>
  <c r="K125" i="10"/>
  <c r="J125" i="10"/>
  <c r="I125" i="10"/>
  <c r="D136" i="9" s="1"/>
  <c r="H125" i="10"/>
  <c r="G125" i="10"/>
  <c r="F125" i="10"/>
  <c r="E125" i="10"/>
  <c r="Y124" i="10"/>
  <c r="T124" i="10"/>
  <c r="R124" i="10"/>
  <c r="Q124" i="10"/>
  <c r="S124" i="10"/>
  <c r="P124" i="10"/>
  <c r="L124" i="10"/>
  <c r="O124" i="10" s="1"/>
  <c r="F137" i="9" s="1"/>
  <c r="N124" i="10"/>
  <c r="E137" i="9" s="1"/>
  <c r="K124" i="10"/>
  <c r="J124" i="10"/>
  <c r="I124" i="10"/>
  <c r="D137" i="9" s="1"/>
  <c r="H124" i="10"/>
  <c r="G124" i="10"/>
  <c r="F124" i="10"/>
  <c r="E124" i="10"/>
  <c r="Y123" i="10"/>
  <c r="S123" i="10"/>
  <c r="R123" i="10"/>
  <c r="P123" i="10"/>
  <c r="N123" i="10"/>
  <c r="E160" i="9" s="1"/>
  <c r="M123" i="10"/>
  <c r="K123" i="10"/>
  <c r="I123" i="10"/>
  <c r="D160" i="9" s="1"/>
  <c r="H123" i="10"/>
  <c r="G123" i="10"/>
  <c r="F123" i="10"/>
  <c r="E123" i="10"/>
  <c r="D123" i="10"/>
  <c r="A123" i="10"/>
  <c r="Y122" i="10"/>
  <c r="Q122" i="10"/>
  <c r="T122" i="10" s="1"/>
  <c r="S122" i="10"/>
  <c r="P122" i="10"/>
  <c r="M122" i="10"/>
  <c r="L122" i="10"/>
  <c r="O122" i="10" s="1"/>
  <c r="N122" i="10"/>
  <c r="K122" i="10"/>
  <c r="J122" i="10"/>
  <c r="I122" i="10"/>
  <c r="H122" i="10"/>
  <c r="G122" i="10"/>
  <c r="F122" i="10"/>
  <c r="E122" i="10"/>
  <c r="Y121" i="10"/>
  <c r="R121" i="10"/>
  <c r="Q121" i="10"/>
  <c r="T121" i="10" s="1"/>
  <c r="S121" i="10"/>
  <c r="P121" i="10"/>
  <c r="O121" i="10"/>
  <c r="F72" i="9" s="1"/>
  <c r="L121" i="10"/>
  <c r="M121" i="10" s="1"/>
  <c r="N121" i="10"/>
  <c r="E72" i="9" s="1"/>
  <c r="K121" i="10"/>
  <c r="J121" i="10"/>
  <c r="I121" i="10"/>
  <c r="D72" i="9" s="1"/>
  <c r="H121" i="10"/>
  <c r="G121" i="10"/>
  <c r="F121" i="10"/>
  <c r="E121" i="10"/>
  <c r="Y120" i="10"/>
  <c r="T120" i="10"/>
  <c r="Q120" i="10"/>
  <c r="R120" i="10" s="1"/>
  <c r="S120" i="10"/>
  <c r="P120" i="10"/>
  <c r="O120" i="10"/>
  <c r="F76" i="9" s="1"/>
  <c r="M120" i="10"/>
  <c r="L120" i="10"/>
  <c r="N120" i="10"/>
  <c r="E76" i="9" s="1"/>
  <c r="K120" i="10"/>
  <c r="J120" i="10"/>
  <c r="I120" i="10"/>
  <c r="D76" i="9" s="1"/>
  <c r="H120" i="10"/>
  <c r="G120" i="10"/>
  <c r="F120" i="10"/>
  <c r="E120" i="10"/>
  <c r="Y119" i="10"/>
  <c r="T119" i="10"/>
  <c r="R119" i="10"/>
  <c r="Q119" i="10"/>
  <c r="S119" i="10"/>
  <c r="P119" i="10"/>
  <c r="L119" i="10"/>
  <c r="O119" i="10" s="1"/>
  <c r="F109" i="9" s="1"/>
  <c r="N119" i="10"/>
  <c r="E109" i="9" s="1"/>
  <c r="K119" i="10"/>
  <c r="J119" i="10"/>
  <c r="I119" i="10"/>
  <c r="D109" i="9" s="1"/>
  <c r="H119" i="10"/>
  <c r="G119" i="10"/>
  <c r="F119" i="10"/>
  <c r="E119" i="10"/>
  <c r="Y118" i="10"/>
  <c r="Q118" i="10"/>
  <c r="T118" i="10" s="1"/>
  <c r="S118" i="10"/>
  <c r="P118" i="10"/>
  <c r="M118" i="10"/>
  <c r="L118" i="10"/>
  <c r="O118" i="10" s="1"/>
  <c r="F129" i="9" s="1"/>
  <c r="N118" i="10"/>
  <c r="E129" i="9" s="1"/>
  <c r="K118" i="10"/>
  <c r="J118" i="10"/>
  <c r="I118" i="10"/>
  <c r="D129" i="9" s="1"/>
  <c r="H118" i="10"/>
  <c r="G118" i="10"/>
  <c r="F118" i="10"/>
  <c r="E118" i="10"/>
  <c r="Y117" i="10"/>
  <c r="S117" i="10"/>
  <c r="T117" i="10" s="1"/>
  <c r="P117" i="10"/>
  <c r="R117" i="10" s="1"/>
  <c r="N117" i="10"/>
  <c r="E159" i="9" s="1"/>
  <c r="K117" i="10"/>
  <c r="M117" i="10" s="1"/>
  <c r="I117" i="10"/>
  <c r="D159" i="9" s="1"/>
  <c r="H117" i="10"/>
  <c r="G117" i="10"/>
  <c r="F117" i="10"/>
  <c r="E117" i="10"/>
  <c r="D117" i="10"/>
  <c r="A117" i="10"/>
  <c r="Y116" i="10"/>
  <c r="R116" i="10"/>
  <c r="Q116" i="10"/>
  <c r="T116" i="10" s="1"/>
  <c r="S116" i="10"/>
  <c r="P116" i="10"/>
  <c r="O116" i="10"/>
  <c r="L116" i="10"/>
  <c r="M116" i="10" s="1"/>
  <c r="N116" i="10"/>
  <c r="K116" i="10"/>
  <c r="J116" i="10"/>
  <c r="I116" i="10"/>
  <c r="H116" i="10"/>
  <c r="G116" i="10"/>
  <c r="F116" i="10"/>
  <c r="E116" i="10"/>
  <c r="Y115" i="10"/>
  <c r="T115" i="10"/>
  <c r="Q115" i="10"/>
  <c r="R115" i="10" s="1"/>
  <c r="S115" i="10"/>
  <c r="P115" i="10"/>
  <c r="O115" i="10"/>
  <c r="F85" i="9" s="1"/>
  <c r="M115" i="10"/>
  <c r="L115" i="10"/>
  <c r="N115" i="10"/>
  <c r="E85" i="9" s="1"/>
  <c r="K115" i="10"/>
  <c r="J115" i="10"/>
  <c r="I115" i="10"/>
  <c r="D85" i="9" s="1"/>
  <c r="H115" i="10"/>
  <c r="G115" i="10"/>
  <c r="F115" i="10"/>
  <c r="E115" i="10"/>
  <c r="Y114" i="10"/>
  <c r="T114" i="10"/>
  <c r="R114" i="10"/>
  <c r="Q114" i="10"/>
  <c r="S114" i="10"/>
  <c r="P114" i="10"/>
  <c r="L114" i="10"/>
  <c r="O114" i="10" s="1"/>
  <c r="F87" i="9" s="1"/>
  <c r="N114" i="10"/>
  <c r="E87" i="9" s="1"/>
  <c r="K114" i="10"/>
  <c r="J114" i="10"/>
  <c r="I114" i="10"/>
  <c r="D87" i="9" s="1"/>
  <c r="H114" i="10"/>
  <c r="G114" i="10"/>
  <c r="F114" i="10"/>
  <c r="E114" i="10"/>
  <c r="Y113" i="10"/>
  <c r="Q113" i="10"/>
  <c r="T113" i="10" s="1"/>
  <c r="S113" i="10"/>
  <c r="P113" i="10"/>
  <c r="M113" i="10"/>
  <c r="L113" i="10"/>
  <c r="O113" i="10" s="1"/>
  <c r="F156" i="9" s="1"/>
  <c r="N113" i="10"/>
  <c r="E156" i="9" s="1"/>
  <c r="K113" i="10"/>
  <c r="J113" i="10"/>
  <c r="I113" i="10"/>
  <c r="D156" i="9" s="1"/>
  <c r="H113" i="10"/>
  <c r="G113" i="10"/>
  <c r="F113" i="10"/>
  <c r="E113" i="10"/>
  <c r="Y112" i="10"/>
  <c r="S112" i="10"/>
  <c r="T112" i="10" s="1"/>
  <c r="P112" i="10"/>
  <c r="R112" i="10" s="1"/>
  <c r="N112" i="10"/>
  <c r="E151" i="9" s="1"/>
  <c r="K112" i="10"/>
  <c r="M112" i="10" s="1"/>
  <c r="I112" i="10"/>
  <c r="D151" i="9" s="1"/>
  <c r="H112" i="10"/>
  <c r="G112" i="10"/>
  <c r="F112" i="10"/>
  <c r="E112" i="10"/>
  <c r="D112" i="10"/>
  <c r="A112" i="10"/>
  <c r="Y111" i="10"/>
  <c r="R111" i="10"/>
  <c r="Q111" i="10"/>
  <c r="T111" i="10" s="1"/>
  <c r="S111" i="10"/>
  <c r="P111" i="10"/>
  <c r="O111" i="10"/>
  <c r="L111" i="10"/>
  <c r="M111" i="10" s="1"/>
  <c r="N111" i="10"/>
  <c r="K111" i="10"/>
  <c r="J111" i="10"/>
  <c r="I111" i="10"/>
  <c r="H111" i="10"/>
  <c r="G111" i="10"/>
  <c r="F111" i="10"/>
  <c r="E111" i="10"/>
  <c r="Y110" i="10"/>
  <c r="T110" i="10"/>
  <c r="Q110" i="10"/>
  <c r="R110" i="10" s="1"/>
  <c r="S110" i="10"/>
  <c r="P110" i="10"/>
  <c r="O110" i="10"/>
  <c r="M110" i="10"/>
  <c r="L110" i="10"/>
  <c r="N110" i="10"/>
  <c r="K110" i="10"/>
  <c r="J110" i="10"/>
  <c r="I110" i="10"/>
  <c r="H110" i="10"/>
  <c r="G110" i="10"/>
  <c r="F110" i="10"/>
  <c r="E110" i="10"/>
  <c r="Y109" i="10"/>
  <c r="T109" i="10"/>
  <c r="R109" i="10"/>
  <c r="Q109" i="10"/>
  <c r="S109" i="10"/>
  <c r="P109" i="10"/>
  <c r="L109" i="10"/>
  <c r="O109" i="10" s="1"/>
  <c r="N109" i="10"/>
  <c r="K109" i="10"/>
  <c r="J109" i="10"/>
  <c r="I109" i="10"/>
  <c r="H109" i="10"/>
  <c r="G109" i="10"/>
  <c r="F109" i="10"/>
  <c r="E109" i="10"/>
  <c r="Y108" i="10"/>
  <c r="S108" i="10"/>
  <c r="R108" i="10"/>
  <c r="P108" i="10"/>
  <c r="N108" i="10"/>
  <c r="E153" i="9" s="1"/>
  <c r="M108" i="10"/>
  <c r="K108" i="10"/>
  <c r="I108" i="10"/>
  <c r="D153" i="9" s="1"/>
  <c r="H108" i="10"/>
  <c r="G108" i="10"/>
  <c r="F108" i="10"/>
  <c r="E108" i="10"/>
  <c r="D108" i="10"/>
  <c r="A108" i="10"/>
  <c r="Y107" i="10"/>
  <c r="S107" i="10"/>
  <c r="R107" i="10"/>
  <c r="P107" i="10"/>
  <c r="N107" i="10"/>
  <c r="E120" i="9" s="1"/>
  <c r="M107" i="10"/>
  <c r="K107" i="10"/>
  <c r="I107" i="10"/>
  <c r="D120" i="9" s="1"/>
  <c r="H107" i="10"/>
  <c r="G107" i="10"/>
  <c r="F107" i="10"/>
  <c r="E107" i="10"/>
  <c r="D107" i="10"/>
  <c r="A107" i="10"/>
  <c r="Y106" i="10"/>
  <c r="S106" i="10"/>
  <c r="R106" i="10"/>
  <c r="P106" i="10"/>
  <c r="N106" i="10"/>
  <c r="E119" i="9" s="1"/>
  <c r="M106" i="10"/>
  <c r="K106" i="10"/>
  <c r="I106" i="10"/>
  <c r="D119" i="9" s="1"/>
  <c r="H106" i="10"/>
  <c r="G106" i="10"/>
  <c r="F106" i="10"/>
  <c r="E106" i="10"/>
  <c r="D106" i="10"/>
  <c r="A106" i="10"/>
  <c r="Y105" i="10"/>
  <c r="Q105" i="10"/>
  <c r="T105" i="10" s="1"/>
  <c r="S105" i="10"/>
  <c r="P105" i="10"/>
  <c r="M105" i="10"/>
  <c r="L105" i="10"/>
  <c r="O105" i="10" s="1"/>
  <c r="N105" i="10"/>
  <c r="K105" i="10"/>
  <c r="J105" i="10"/>
  <c r="I105" i="10"/>
  <c r="H105" i="10"/>
  <c r="G105" i="10"/>
  <c r="F105" i="10"/>
  <c r="E105" i="10"/>
  <c r="Y104" i="10"/>
  <c r="R104" i="10"/>
  <c r="Q104" i="10"/>
  <c r="T104" i="10" s="1"/>
  <c r="S104" i="10"/>
  <c r="P104" i="10"/>
  <c r="O104" i="10"/>
  <c r="L104" i="10"/>
  <c r="M104" i="10" s="1"/>
  <c r="N104" i="10"/>
  <c r="K104" i="10"/>
  <c r="J104" i="10"/>
  <c r="I104" i="10"/>
  <c r="H104" i="10"/>
  <c r="G104" i="10"/>
  <c r="F104" i="10"/>
  <c r="E104" i="10"/>
  <c r="Y103" i="10"/>
  <c r="T103" i="10"/>
  <c r="Q103" i="10"/>
  <c r="R103" i="10" s="1"/>
  <c r="S103" i="10"/>
  <c r="P103" i="10"/>
  <c r="O103" i="10"/>
  <c r="F78" i="9" s="1"/>
  <c r="M103" i="10"/>
  <c r="L103" i="10"/>
  <c r="N103" i="10"/>
  <c r="E78" i="9" s="1"/>
  <c r="K103" i="10"/>
  <c r="J103" i="10"/>
  <c r="I103" i="10"/>
  <c r="D78" i="9" s="1"/>
  <c r="H103" i="10"/>
  <c r="G103" i="10"/>
  <c r="F103" i="10"/>
  <c r="E103" i="10"/>
  <c r="Y102" i="10"/>
  <c r="T102" i="10"/>
  <c r="R102" i="10"/>
  <c r="Q102" i="10"/>
  <c r="S102" i="10"/>
  <c r="P102" i="10"/>
  <c r="L102" i="10"/>
  <c r="O102" i="10" s="1"/>
  <c r="N102" i="10"/>
  <c r="K102" i="10"/>
  <c r="J102" i="10"/>
  <c r="I102" i="10"/>
  <c r="H102" i="10"/>
  <c r="G102" i="10"/>
  <c r="F102" i="10"/>
  <c r="E102" i="10"/>
  <c r="Y101" i="10"/>
  <c r="Q101" i="10"/>
  <c r="T101" i="10" s="1"/>
  <c r="S101" i="10"/>
  <c r="P101" i="10"/>
  <c r="M101" i="10"/>
  <c r="L101" i="10"/>
  <c r="O101" i="10" s="1"/>
  <c r="F114" i="9" s="1"/>
  <c r="N101" i="10"/>
  <c r="E114" i="9" s="1"/>
  <c r="K101" i="10"/>
  <c r="J101" i="10"/>
  <c r="I101" i="10"/>
  <c r="D114" i="9" s="1"/>
  <c r="H101" i="10"/>
  <c r="G101" i="10"/>
  <c r="F101" i="10"/>
  <c r="E101" i="10"/>
  <c r="Y100" i="10"/>
  <c r="R100" i="10"/>
  <c r="Q100" i="10"/>
  <c r="T100" i="10" s="1"/>
  <c r="S100" i="10"/>
  <c r="P100" i="10"/>
  <c r="O100" i="10"/>
  <c r="L100" i="10"/>
  <c r="M100" i="10" s="1"/>
  <c r="N100" i="10"/>
  <c r="K100" i="10"/>
  <c r="J100" i="10"/>
  <c r="I100" i="10"/>
  <c r="H100" i="10"/>
  <c r="G100" i="10"/>
  <c r="F100" i="10"/>
  <c r="E100" i="10"/>
  <c r="Y99" i="10"/>
  <c r="S99" i="10"/>
  <c r="P99" i="10"/>
  <c r="N99" i="10"/>
  <c r="E158" i="9" s="1"/>
  <c r="K99" i="10"/>
  <c r="I99" i="10"/>
  <c r="D158" i="9" s="1"/>
  <c r="H99" i="10"/>
  <c r="G99" i="10"/>
  <c r="F99" i="10"/>
  <c r="E99" i="10"/>
  <c r="D99" i="10"/>
  <c r="A99" i="10"/>
  <c r="Y98" i="10"/>
  <c r="S98" i="10"/>
  <c r="P98" i="10"/>
  <c r="N98" i="10"/>
  <c r="E157" i="9" s="1"/>
  <c r="K98" i="10"/>
  <c r="I98" i="10"/>
  <c r="D157" i="9" s="1"/>
  <c r="H98" i="10"/>
  <c r="G98" i="10"/>
  <c r="F98" i="10"/>
  <c r="E98" i="10"/>
  <c r="D98" i="10"/>
  <c r="A98" i="10"/>
  <c r="Y97" i="10"/>
  <c r="T97" i="10"/>
  <c r="Q97" i="10"/>
  <c r="R97" i="10" s="1"/>
  <c r="S97" i="10"/>
  <c r="P97" i="10"/>
  <c r="O97" i="10"/>
  <c r="M97" i="10"/>
  <c r="L97" i="10"/>
  <c r="N97" i="10"/>
  <c r="K97" i="10"/>
  <c r="J97" i="10"/>
  <c r="I97" i="10"/>
  <c r="H97" i="10"/>
  <c r="G97" i="10"/>
  <c r="F97" i="10"/>
  <c r="E97" i="10"/>
  <c r="Y96" i="10"/>
  <c r="T96" i="10"/>
  <c r="R96" i="10"/>
  <c r="Q96" i="10"/>
  <c r="S96" i="10"/>
  <c r="P96" i="10"/>
  <c r="L96" i="10"/>
  <c r="O96" i="10" s="1"/>
  <c r="N96" i="10"/>
  <c r="E75" i="9" s="1"/>
  <c r="K96" i="10"/>
  <c r="J96" i="10"/>
  <c r="I96" i="10"/>
  <c r="D75" i="9" s="1"/>
  <c r="H96" i="10"/>
  <c r="G96" i="10"/>
  <c r="F96" i="10"/>
  <c r="E96" i="10"/>
  <c r="Y95" i="10"/>
  <c r="Q95" i="10"/>
  <c r="T95" i="10" s="1"/>
  <c r="S95" i="10"/>
  <c r="P95" i="10"/>
  <c r="M95" i="10"/>
  <c r="L95" i="10"/>
  <c r="O95" i="10" s="1"/>
  <c r="F84" i="9" s="1"/>
  <c r="N95" i="10"/>
  <c r="E84" i="9" s="1"/>
  <c r="K95" i="10"/>
  <c r="J95" i="10"/>
  <c r="I95" i="10"/>
  <c r="D84" i="9" s="1"/>
  <c r="H95" i="10"/>
  <c r="G95" i="10"/>
  <c r="F95" i="10"/>
  <c r="E95" i="10"/>
  <c r="Y94" i="10"/>
  <c r="R94" i="10"/>
  <c r="Q94" i="10"/>
  <c r="T94" i="10" s="1"/>
  <c r="S94" i="10"/>
  <c r="P94" i="10"/>
  <c r="O94" i="10"/>
  <c r="F88" i="9" s="1"/>
  <c r="L94" i="10"/>
  <c r="M94" i="10" s="1"/>
  <c r="N94" i="10"/>
  <c r="E88" i="9" s="1"/>
  <c r="K94" i="10"/>
  <c r="J94" i="10"/>
  <c r="I94" i="10"/>
  <c r="D88" i="9" s="1"/>
  <c r="H94" i="10"/>
  <c r="G94" i="10"/>
  <c r="F94" i="10"/>
  <c r="E94" i="10"/>
  <c r="Y93" i="10"/>
  <c r="T93" i="10"/>
  <c r="Q93" i="10"/>
  <c r="R93" i="10" s="1"/>
  <c r="S93" i="10"/>
  <c r="P93" i="10"/>
  <c r="O93" i="10"/>
  <c r="F97" i="9" s="1"/>
  <c r="M93" i="10"/>
  <c r="L93" i="10"/>
  <c r="N93" i="10"/>
  <c r="E97" i="9" s="1"/>
  <c r="K93" i="10"/>
  <c r="J93" i="10"/>
  <c r="I93" i="10"/>
  <c r="D97" i="9" s="1"/>
  <c r="H93" i="10"/>
  <c r="G93" i="10"/>
  <c r="F93" i="10"/>
  <c r="E93" i="10"/>
  <c r="Y92" i="10"/>
  <c r="T92" i="10"/>
  <c r="R92" i="10"/>
  <c r="Q92" i="10"/>
  <c r="S92" i="10"/>
  <c r="P92" i="10"/>
  <c r="L92" i="10"/>
  <c r="O92" i="10" s="1"/>
  <c r="F102" i="9" s="1"/>
  <c r="N92" i="10"/>
  <c r="E102" i="9" s="1"/>
  <c r="K92" i="10"/>
  <c r="J92" i="10"/>
  <c r="I92" i="10"/>
  <c r="D102" i="9" s="1"/>
  <c r="H92" i="10"/>
  <c r="G92" i="10"/>
  <c r="F92" i="10"/>
  <c r="E92" i="10"/>
  <c r="Y91" i="10"/>
  <c r="Q91" i="10"/>
  <c r="T91" i="10" s="1"/>
  <c r="S91" i="10"/>
  <c r="P91" i="10"/>
  <c r="M91" i="10"/>
  <c r="L91" i="10"/>
  <c r="O91" i="10" s="1"/>
  <c r="F104" i="9" s="1"/>
  <c r="N91" i="10"/>
  <c r="E104" i="9" s="1"/>
  <c r="K91" i="10"/>
  <c r="J91" i="10"/>
  <c r="I91" i="10"/>
  <c r="D104" i="9" s="1"/>
  <c r="H91" i="10"/>
  <c r="G91" i="10"/>
  <c r="F91" i="10"/>
  <c r="E91" i="10"/>
  <c r="Y90" i="10"/>
  <c r="R90" i="10"/>
  <c r="Q90" i="10"/>
  <c r="T90" i="10" s="1"/>
  <c r="S90" i="10"/>
  <c r="P90" i="10"/>
  <c r="O90" i="10"/>
  <c r="F105" i="9" s="1"/>
  <c r="L90" i="10"/>
  <c r="M90" i="10" s="1"/>
  <c r="N90" i="10"/>
  <c r="E105" i="9" s="1"/>
  <c r="K90" i="10"/>
  <c r="J90" i="10"/>
  <c r="I90" i="10"/>
  <c r="D105" i="9" s="1"/>
  <c r="H90" i="10"/>
  <c r="G90" i="10"/>
  <c r="F90" i="10"/>
  <c r="E90" i="10"/>
  <c r="Y89" i="10"/>
  <c r="T89" i="10"/>
  <c r="Q89" i="10"/>
  <c r="R89" i="10" s="1"/>
  <c r="S89" i="10"/>
  <c r="P89" i="10"/>
  <c r="O89" i="10"/>
  <c r="F111" i="9" s="1"/>
  <c r="M89" i="10"/>
  <c r="L89" i="10"/>
  <c r="N89" i="10"/>
  <c r="E111" i="9" s="1"/>
  <c r="K89" i="10"/>
  <c r="J89" i="10"/>
  <c r="I89" i="10"/>
  <c r="D111" i="9" s="1"/>
  <c r="H89" i="10"/>
  <c r="G89" i="10"/>
  <c r="F89" i="10"/>
  <c r="E89" i="10"/>
  <c r="Y88" i="10"/>
  <c r="T88" i="10"/>
  <c r="R88" i="10"/>
  <c r="Q88" i="10"/>
  <c r="S88" i="10"/>
  <c r="P88" i="10"/>
  <c r="L88" i="10"/>
  <c r="O88" i="10" s="1"/>
  <c r="F133" i="9" s="1"/>
  <c r="N88" i="10"/>
  <c r="E133" i="9" s="1"/>
  <c r="K88" i="10"/>
  <c r="J88" i="10"/>
  <c r="I88" i="10"/>
  <c r="D133" i="9" s="1"/>
  <c r="H88" i="10"/>
  <c r="G88" i="10"/>
  <c r="F88" i="10"/>
  <c r="E88" i="10"/>
  <c r="Y87" i="10"/>
  <c r="Q87" i="10"/>
  <c r="T87" i="10" s="1"/>
  <c r="S87" i="10"/>
  <c r="P87" i="10"/>
  <c r="M87" i="10"/>
  <c r="L87" i="10"/>
  <c r="O87" i="10" s="1"/>
  <c r="F135" i="9" s="1"/>
  <c r="N87" i="10"/>
  <c r="E135" i="9" s="1"/>
  <c r="K87" i="10"/>
  <c r="J87" i="10"/>
  <c r="I87" i="10"/>
  <c r="D135" i="9" s="1"/>
  <c r="H87" i="10"/>
  <c r="G87" i="10"/>
  <c r="F87" i="10"/>
  <c r="E87" i="10"/>
  <c r="Y86" i="10"/>
  <c r="R86" i="10"/>
  <c r="Q86" i="10"/>
  <c r="T86" i="10" s="1"/>
  <c r="S86" i="10"/>
  <c r="P86" i="10"/>
  <c r="O86" i="10"/>
  <c r="F143" i="9" s="1"/>
  <c r="L86" i="10"/>
  <c r="M86" i="10" s="1"/>
  <c r="N86" i="10"/>
  <c r="E143" i="9" s="1"/>
  <c r="K86" i="10"/>
  <c r="J86" i="10"/>
  <c r="I86" i="10"/>
  <c r="D143" i="9" s="1"/>
  <c r="H86" i="10"/>
  <c r="G86" i="10"/>
  <c r="F86" i="10"/>
  <c r="E86" i="10"/>
  <c r="Y85" i="10"/>
  <c r="T85" i="10"/>
  <c r="Q85" i="10"/>
  <c r="R85" i="10" s="1"/>
  <c r="S85" i="10"/>
  <c r="P85" i="10"/>
  <c r="O85" i="10"/>
  <c r="F150" i="9" s="1"/>
  <c r="M85" i="10"/>
  <c r="L85" i="10"/>
  <c r="N85" i="10"/>
  <c r="E150" i="9" s="1"/>
  <c r="K85" i="10"/>
  <c r="J85" i="10"/>
  <c r="I85" i="10"/>
  <c r="D150" i="9" s="1"/>
  <c r="H85" i="10"/>
  <c r="G85" i="10"/>
  <c r="F85" i="10"/>
  <c r="E85" i="10"/>
  <c r="Y84" i="10"/>
  <c r="S84" i="10"/>
  <c r="T84" i="10" s="1"/>
  <c r="P84" i="10"/>
  <c r="R84" i="10" s="1"/>
  <c r="N84" i="10"/>
  <c r="E152" i="9" s="1"/>
  <c r="K84" i="10"/>
  <c r="M84" i="10" s="1"/>
  <c r="I84" i="10"/>
  <c r="D152" i="9" s="1"/>
  <c r="H84" i="10"/>
  <c r="G84" i="10"/>
  <c r="F84" i="10"/>
  <c r="E84" i="10"/>
  <c r="D84" i="10"/>
  <c r="A84" i="10"/>
  <c r="Y83" i="10"/>
  <c r="T83" i="10"/>
  <c r="R83" i="10"/>
  <c r="Q83" i="10"/>
  <c r="S83" i="10"/>
  <c r="P83" i="10"/>
  <c r="L83" i="10"/>
  <c r="O83" i="10" s="1"/>
  <c r="N83" i="10"/>
  <c r="K83" i="10"/>
  <c r="J83" i="10"/>
  <c r="I83" i="10"/>
  <c r="H83" i="10"/>
  <c r="G83" i="10"/>
  <c r="F83" i="10"/>
  <c r="E83" i="10"/>
  <c r="Y82" i="10"/>
  <c r="Q82" i="10"/>
  <c r="T82" i="10" s="1"/>
  <c r="S82" i="10"/>
  <c r="P82" i="10"/>
  <c r="M82" i="10"/>
  <c r="L82" i="10"/>
  <c r="O82" i="10" s="1"/>
  <c r="F71" i="9" s="1"/>
  <c r="N82" i="10"/>
  <c r="E71" i="9" s="1"/>
  <c r="K82" i="10"/>
  <c r="J82" i="10"/>
  <c r="I82" i="10"/>
  <c r="D71" i="9" s="1"/>
  <c r="H82" i="10"/>
  <c r="G82" i="10"/>
  <c r="F82" i="10"/>
  <c r="E82" i="10"/>
  <c r="Y81" i="10"/>
  <c r="R81" i="10"/>
  <c r="Q81" i="10"/>
  <c r="T81" i="10" s="1"/>
  <c r="S81" i="10"/>
  <c r="P81" i="10"/>
  <c r="O81" i="10"/>
  <c r="F80" i="9" s="1"/>
  <c r="M81" i="10"/>
  <c r="L81" i="10"/>
  <c r="N81" i="10"/>
  <c r="E80" i="9" s="1"/>
  <c r="K81" i="10"/>
  <c r="J81" i="10"/>
  <c r="I81" i="10"/>
  <c r="D80" i="9" s="1"/>
  <c r="H81" i="10"/>
  <c r="G81" i="10"/>
  <c r="F81" i="10"/>
  <c r="E81" i="10"/>
  <c r="Y80" i="10"/>
  <c r="T80" i="10"/>
  <c r="Q80" i="10"/>
  <c r="R80" i="10" s="1"/>
  <c r="S80" i="10"/>
  <c r="P80" i="10"/>
  <c r="O80" i="10"/>
  <c r="M80" i="10"/>
  <c r="L80" i="10"/>
  <c r="N80" i="10"/>
  <c r="E81" i="9" s="1"/>
  <c r="K80" i="10"/>
  <c r="J80" i="10"/>
  <c r="I80" i="10"/>
  <c r="H80" i="10"/>
  <c r="G80" i="10"/>
  <c r="F80" i="10"/>
  <c r="E80" i="10"/>
  <c r="Y79" i="10"/>
  <c r="T79" i="10"/>
  <c r="R79" i="10"/>
  <c r="Q79" i="10"/>
  <c r="S79" i="10"/>
  <c r="P79" i="10"/>
  <c r="L79" i="10"/>
  <c r="O79" i="10" s="1"/>
  <c r="F82" i="9" s="1"/>
  <c r="N79" i="10"/>
  <c r="E82" i="9" s="1"/>
  <c r="K79" i="10"/>
  <c r="J79" i="10"/>
  <c r="I79" i="10"/>
  <c r="D82" i="9" s="1"/>
  <c r="H79" i="10"/>
  <c r="G79" i="10"/>
  <c r="F79" i="10"/>
  <c r="E79" i="10"/>
  <c r="Y78" i="10"/>
  <c r="Q78" i="10"/>
  <c r="T78" i="10" s="1"/>
  <c r="S78" i="10"/>
  <c r="P78" i="10"/>
  <c r="M78" i="10"/>
  <c r="L78" i="10"/>
  <c r="O78" i="10" s="1"/>
  <c r="N78" i="10"/>
  <c r="E90" i="9" s="1"/>
  <c r="K78" i="10"/>
  <c r="J78" i="10"/>
  <c r="I78" i="10"/>
  <c r="H78" i="10"/>
  <c r="G78" i="10"/>
  <c r="F78" i="10"/>
  <c r="E78" i="10"/>
  <c r="Y77" i="10"/>
  <c r="R77" i="10"/>
  <c r="Q77" i="10"/>
  <c r="T77" i="10" s="1"/>
  <c r="S77" i="10"/>
  <c r="P77" i="10"/>
  <c r="O77" i="10"/>
  <c r="F117" i="9" s="1"/>
  <c r="L77" i="10"/>
  <c r="M77" i="10" s="1"/>
  <c r="N77" i="10"/>
  <c r="E117" i="9" s="1"/>
  <c r="K77" i="10"/>
  <c r="J77" i="10"/>
  <c r="I77" i="10"/>
  <c r="D117" i="9" s="1"/>
  <c r="H77" i="10"/>
  <c r="G77" i="10"/>
  <c r="F77" i="10"/>
  <c r="E77" i="10"/>
  <c r="Y76" i="10"/>
  <c r="S76" i="10"/>
  <c r="P76" i="10"/>
  <c r="N76" i="10"/>
  <c r="E148" i="9" s="1"/>
  <c r="K76" i="10"/>
  <c r="I76" i="10"/>
  <c r="D148" i="9" s="1"/>
  <c r="H76" i="10"/>
  <c r="G76" i="10"/>
  <c r="F76" i="10"/>
  <c r="E76" i="10"/>
  <c r="D76" i="10"/>
  <c r="A76" i="10"/>
  <c r="Y75" i="10"/>
  <c r="T75" i="10"/>
  <c r="Q75" i="10"/>
  <c r="R75" i="10" s="1"/>
  <c r="S75" i="10"/>
  <c r="P75" i="10"/>
  <c r="O75" i="10"/>
  <c r="M75" i="10"/>
  <c r="L75" i="10"/>
  <c r="N75" i="10"/>
  <c r="E68" i="9" s="1"/>
  <c r="K75" i="10"/>
  <c r="J75" i="10"/>
  <c r="I75" i="10"/>
  <c r="H75" i="10"/>
  <c r="G75" i="10"/>
  <c r="F75" i="10"/>
  <c r="E75" i="10"/>
  <c r="Y74" i="10"/>
  <c r="T74" i="10"/>
  <c r="R74" i="10"/>
  <c r="Q74" i="10"/>
  <c r="S74" i="10"/>
  <c r="P74" i="10"/>
  <c r="L74" i="10"/>
  <c r="O74" i="10" s="1"/>
  <c r="F73" i="9" s="1"/>
  <c r="N74" i="10"/>
  <c r="E73" i="9" s="1"/>
  <c r="K74" i="10"/>
  <c r="J74" i="10"/>
  <c r="I74" i="10"/>
  <c r="D73" i="9" s="1"/>
  <c r="H74" i="10"/>
  <c r="G74" i="10"/>
  <c r="F74" i="10"/>
  <c r="E74" i="10"/>
  <c r="Y73" i="10"/>
  <c r="Q73" i="10"/>
  <c r="T73" i="10" s="1"/>
  <c r="S73" i="10"/>
  <c r="P73" i="10"/>
  <c r="M73" i="10"/>
  <c r="L73" i="10"/>
  <c r="O73" i="10" s="1"/>
  <c r="F77" i="9" s="1"/>
  <c r="N73" i="10"/>
  <c r="E77" i="9" s="1"/>
  <c r="K73" i="10"/>
  <c r="J73" i="10"/>
  <c r="I73" i="10"/>
  <c r="D77" i="9" s="1"/>
  <c r="H73" i="10"/>
  <c r="G73" i="10"/>
  <c r="F73" i="10"/>
  <c r="E73" i="10"/>
  <c r="Y72" i="10"/>
  <c r="R72" i="10"/>
  <c r="Q72" i="10"/>
  <c r="T72" i="10" s="1"/>
  <c r="S72" i="10"/>
  <c r="P72" i="10"/>
  <c r="O72" i="10"/>
  <c r="F99" i="9" s="1"/>
  <c r="M72" i="10"/>
  <c r="L72" i="10"/>
  <c r="N72" i="10"/>
  <c r="E99" i="9" s="1"/>
  <c r="K72" i="10"/>
  <c r="J72" i="10"/>
  <c r="I72" i="10"/>
  <c r="D99" i="9" s="1"/>
  <c r="H72" i="10"/>
  <c r="G72" i="10"/>
  <c r="F72" i="10"/>
  <c r="E72" i="10"/>
  <c r="Y71" i="10"/>
  <c r="T71" i="10"/>
  <c r="Q71" i="10"/>
  <c r="R71" i="10" s="1"/>
  <c r="S71" i="10"/>
  <c r="P71" i="10"/>
  <c r="O71" i="10"/>
  <c r="F108" i="9" s="1"/>
  <c r="M71" i="10"/>
  <c r="L71" i="10"/>
  <c r="N71" i="10"/>
  <c r="E108" i="9" s="1"/>
  <c r="K71" i="10"/>
  <c r="J71" i="10"/>
  <c r="I71" i="10"/>
  <c r="D108" i="9" s="1"/>
  <c r="H71" i="10"/>
  <c r="G71" i="10"/>
  <c r="F71" i="10"/>
  <c r="E71" i="10"/>
  <c r="Y70" i="10"/>
  <c r="T70" i="10"/>
  <c r="R70" i="10"/>
  <c r="Q70" i="10"/>
  <c r="S70" i="10"/>
  <c r="P70" i="10"/>
  <c r="L70" i="10"/>
  <c r="O70" i="10" s="1"/>
  <c r="F134" i="9" s="1"/>
  <c r="N70" i="10"/>
  <c r="E134" i="9" s="1"/>
  <c r="K70" i="10"/>
  <c r="J70" i="10"/>
  <c r="I70" i="10"/>
  <c r="D134" i="9" s="1"/>
  <c r="H70" i="10"/>
  <c r="G70" i="10"/>
  <c r="F70" i="10"/>
  <c r="E70" i="10"/>
  <c r="Y69" i="10"/>
  <c r="Q69" i="10"/>
  <c r="T69" i="10" s="1"/>
  <c r="S69" i="10"/>
  <c r="P69" i="10"/>
  <c r="M69" i="10"/>
  <c r="L69" i="10"/>
  <c r="O69" i="10" s="1"/>
  <c r="F149" i="9" s="1"/>
  <c r="N69" i="10"/>
  <c r="E149" i="9" s="1"/>
  <c r="K69" i="10"/>
  <c r="J69" i="10"/>
  <c r="I69" i="10"/>
  <c r="D149" i="9" s="1"/>
  <c r="H69" i="10"/>
  <c r="G69" i="10"/>
  <c r="F69" i="10"/>
  <c r="E69" i="10"/>
  <c r="G68" i="10"/>
  <c r="A68" i="10"/>
  <c r="Y67" i="10"/>
  <c r="T67" i="10"/>
  <c r="R67" i="10"/>
  <c r="Q67" i="10"/>
  <c r="S67" i="10"/>
  <c r="P67" i="10"/>
  <c r="L67" i="10"/>
  <c r="O67" i="10" s="1"/>
  <c r="N67" i="10"/>
  <c r="K67" i="10"/>
  <c r="J67" i="10"/>
  <c r="I67" i="10"/>
  <c r="H67" i="10"/>
  <c r="G67" i="10"/>
  <c r="F67" i="10"/>
  <c r="E67" i="10"/>
  <c r="Y66" i="10"/>
  <c r="Q66" i="10"/>
  <c r="T66" i="10" s="1"/>
  <c r="S66" i="10"/>
  <c r="P66" i="10"/>
  <c r="M66" i="10"/>
  <c r="L66" i="10"/>
  <c r="O66" i="10" s="1"/>
  <c r="N66" i="10"/>
  <c r="K66" i="10"/>
  <c r="J66" i="10"/>
  <c r="I66" i="10"/>
  <c r="H66" i="10"/>
  <c r="G66" i="10"/>
  <c r="F66" i="10"/>
  <c r="E66" i="10"/>
  <c r="Y65" i="10"/>
  <c r="R65" i="10"/>
  <c r="Q65" i="10"/>
  <c r="T65" i="10" s="1"/>
  <c r="S65" i="10"/>
  <c r="P65" i="10"/>
  <c r="O65" i="10"/>
  <c r="M65" i="10"/>
  <c r="L65" i="10"/>
  <c r="N65" i="10"/>
  <c r="K65" i="10"/>
  <c r="J65" i="10"/>
  <c r="I65" i="10"/>
  <c r="H65" i="10"/>
  <c r="G65" i="10"/>
  <c r="F65" i="10"/>
  <c r="E65" i="10"/>
  <c r="Y64" i="10"/>
  <c r="T64" i="10"/>
  <c r="R64" i="10"/>
  <c r="Q64" i="10"/>
  <c r="S64" i="10"/>
  <c r="P64" i="10"/>
  <c r="O64" i="10"/>
  <c r="M64" i="10"/>
  <c r="L64" i="10"/>
  <c r="N64" i="10"/>
  <c r="K64" i="10"/>
  <c r="J64" i="10"/>
  <c r="I64" i="10"/>
  <c r="H64" i="10"/>
  <c r="G64" i="10"/>
  <c r="F64" i="10"/>
  <c r="E64" i="10"/>
  <c r="Y63" i="10"/>
  <c r="T63" i="10"/>
  <c r="R63" i="10"/>
  <c r="Q63" i="10"/>
  <c r="S63" i="10"/>
  <c r="P63" i="10"/>
  <c r="L63" i="10"/>
  <c r="O63" i="10" s="1"/>
  <c r="N63" i="10"/>
  <c r="K63" i="10"/>
  <c r="J63" i="10"/>
  <c r="I63" i="10"/>
  <c r="H63" i="10"/>
  <c r="G63" i="10"/>
  <c r="F63" i="10"/>
  <c r="E63" i="10"/>
  <c r="Y62" i="10"/>
  <c r="Q62" i="10"/>
  <c r="T62" i="10" s="1"/>
  <c r="S62" i="10"/>
  <c r="P62" i="10"/>
  <c r="M62" i="10"/>
  <c r="L62" i="10"/>
  <c r="O62" i="10" s="1"/>
  <c r="N62" i="10"/>
  <c r="K62" i="10"/>
  <c r="J62" i="10"/>
  <c r="I62" i="10"/>
  <c r="H62" i="10"/>
  <c r="G62" i="10"/>
  <c r="F62" i="10"/>
  <c r="E62" i="10"/>
  <c r="Y61" i="10"/>
  <c r="R61" i="10"/>
  <c r="Q61" i="10"/>
  <c r="T61" i="10" s="1"/>
  <c r="S61" i="10"/>
  <c r="P61" i="10"/>
  <c r="O61" i="10"/>
  <c r="M61" i="10"/>
  <c r="L61" i="10"/>
  <c r="N61" i="10"/>
  <c r="K61" i="10"/>
  <c r="J61" i="10"/>
  <c r="I61" i="10"/>
  <c r="H61" i="10"/>
  <c r="G61" i="10"/>
  <c r="F61" i="10"/>
  <c r="E61" i="10"/>
  <c r="Y60" i="10"/>
  <c r="T60" i="10"/>
  <c r="R60" i="10"/>
  <c r="Q60" i="10"/>
  <c r="S60" i="10"/>
  <c r="P60" i="10"/>
  <c r="O60" i="10"/>
  <c r="M60" i="10"/>
  <c r="L60" i="10"/>
  <c r="N60" i="10"/>
  <c r="K60" i="10"/>
  <c r="J60" i="10"/>
  <c r="I60" i="10"/>
  <c r="H60" i="10"/>
  <c r="G60" i="10"/>
  <c r="F60" i="10"/>
  <c r="E60" i="10"/>
  <c r="Y59" i="10"/>
  <c r="T59" i="10"/>
  <c r="R59" i="10"/>
  <c r="Q59" i="10"/>
  <c r="S59" i="10"/>
  <c r="P59" i="10"/>
  <c r="L59" i="10"/>
  <c r="O59" i="10" s="1"/>
  <c r="F54" i="9" s="1"/>
  <c r="N59" i="10"/>
  <c r="E54" i="9" s="1"/>
  <c r="K59" i="10"/>
  <c r="J59" i="10"/>
  <c r="I59" i="10"/>
  <c r="D54" i="9" s="1"/>
  <c r="H59" i="10"/>
  <c r="G59" i="10"/>
  <c r="F59" i="10"/>
  <c r="E59" i="10"/>
  <c r="Y58" i="10"/>
  <c r="Q58" i="10"/>
  <c r="T58" i="10" s="1"/>
  <c r="S58" i="10"/>
  <c r="P58" i="10"/>
  <c r="M58" i="10"/>
  <c r="L58" i="10"/>
  <c r="O58" i="10" s="1"/>
  <c r="F57" i="9" s="1"/>
  <c r="N58" i="10"/>
  <c r="E57" i="9" s="1"/>
  <c r="K58" i="10"/>
  <c r="J58" i="10"/>
  <c r="I58" i="10"/>
  <c r="D57" i="9" s="1"/>
  <c r="H58" i="10"/>
  <c r="G58" i="10"/>
  <c r="F58" i="10"/>
  <c r="E58" i="10"/>
  <c r="Y57" i="10"/>
  <c r="R57" i="10"/>
  <c r="Q57" i="10"/>
  <c r="T57" i="10" s="1"/>
  <c r="S57" i="10"/>
  <c r="P57" i="10"/>
  <c r="O57" i="10"/>
  <c r="M57" i="10"/>
  <c r="L57" i="10"/>
  <c r="N57" i="10"/>
  <c r="K57" i="10"/>
  <c r="J57" i="10"/>
  <c r="I57" i="10"/>
  <c r="H57" i="10"/>
  <c r="G57" i="10"/>
  <c r="F57" i="10"/>
  <c r="E57" i="10"/>
  <c r="Y56" i="10"/>
  <c r="T56" i="10"/>
  <c r="R56" i="10"/>
  <c r="Q56" i="10"/>
  <c r="S56" i="10"/>
  <c r="P56" i="10"/>
  <c r="O56" i="10"/>
  <c r="F58" i="9" s="1"/>
  <c r="M56" i="10"/>
  <c r="L56" i="10"/>
  <c r="N56" i="10"/>
  <c r="E58" i="9" s="1"/>
  <c r="K56" i="10"/>
  <c r="J56" i="10"/>
  <c r="I56" i="10"/>
  <c r="D58" i="9" s="1"/>
  <c r="H56" i="10"/>
  <c r="G56" i="10"/>
  <c r="F56" i="10"/>
  <c r="E56" i="10"/>
  <c r="Y55" i="10"/>
  <c r="T55" i="10"/>
  <c r="R55" i="10"/>
  <c r="Q55" i="10"/>
  <c r="S55" i="10"/>
  <c r="P55" i="10"/>
  <c r="L55" i="10"/>
  <c r="O55" i="10" s="1"/>
  <c r="N55" i="10"/>
  <c r="K55" i="10"/>
  <c r="J55" i="10"/>
  <c r="I55" i="10"/>
  <c r="H55" i="10"/>
  <c r="G55" i="10"/>
  <c r="F55" i="10"/>
  <c r="E55" i="10"/>
  <c r="Y54" i="10"/>
  <c r="Q54" i="10"/>
  <c r="T54" i="10" s="1"/>
  <c r="S54" i="10"/>
  <c r="P54" i="10"/>
  <c r="M54" i="10"/>
  <c r="L54" i="10"/>
  <c r="O54" i="10" s="1"/>
  <c r="N54" i="10"/>
  <c r="K54" i="10"/>
  <c r="J54" i="10"/>
  <c r="I54" i="10"/>
  <c r="H54" i="10"/>
  <c r="G54" i="10"/>
  <c r="F54" i="10"/>
  <c r="E54" i="10"/>
  <c r="Y53" i="10"/>
  <c r="R53" i="10"/>
  <c r="Q53" i="10"/>
  <c r="T53" i="10" s="1"/>
  <c r="S53" i="10"/>
  <c r="P53" i="10"/>
  <c r="O53" i="10"/>
  <c r="M53" i="10"/>
  <c r="L53" i="10"/>
  <c r="N53" i="10"/>
  <c r="K53" i="10"/>
  <c r="J53" i="10"/>
  <c r="I53" i="10"/>
  <c r="H53" i="10"/>
  <c r="G53" i="10"/>
  <c r="F53" i="10"/>
  <c r="E53" i="10"/>
  <c r="Y52" i="10"/>
  <c r="T52" i="10"/>
  <c r="R52" i="10"/>
  <c r="Q52" i="10"/>
  <c r="S52" i="10"/>
  <c r="P52" i="10"/>
  <c r="O52" i="10"/>
  <c r="M52" i="10"/>
  <c r="L52" i="10"/>
  <c r="N52" i="10"/>
  <c r="K52" i="10"/>
  <c r="J52" i="10"/>
  <c r="I52" i="10"/>
  <c r="H52" i="10"/>
  <c r="G52" i="10"/>
  <c r="F52" i="10"/>
  <c r="E52" i="10"/>
  <c r="Y51" i="10"/>
  <c r="T51" i="10"/>
  <c r="R51" i="10"/>
  <c r="Q51" i="10"/>
  <c r="S51" i="10"/>
  <c r="P51" i="10"/>
  <c r="L51" i="10"/>
  <c r="O51" i="10" s="1"/>
  <c r="N51" i="10"/>
  <c r="K51" i="10"/>
  <c r="J51" i="10"/>
  <c r="I51" i="10"/>
  <c r="H51" i="10"/>
  <c r="G51" i="10"/>
  <c r="F51" i="10"/>
  <c r="E51" i="10"/>
  <c r="Y50" i="10"/>
  <c r="Q50" i="10"/>
  <c r="T50" i="10" s="1"/>
  <c r="S50" i="10"/>
  <c r="P50" i="10"/>
  <c r="M50" i="10"/>
  <c r="L50" i="10"/>
  <c r="O50" i="10" s="1"/>
  <c r="F60" i="9" s="1"/>
  <c r="N50" i="10"/>
  <c r="E60" i="9" s="1"/>
  <c r="K50" i="10"/>
  <c r="J50" i="10"/>
  <c r="I50" i="10"/>
  <c r="D60" i="9" s="1"/>
  <c r="H50" i="10"/>
  <c r="G50" i="10"/>
  <c r="F50" i="10"/>
  <c r="E50" i="10"/>
  <c r="Y49" i="10"/>
  <c r="R49" i="10"/>
  <c r="Q49" i="10"/>
  <c r="T49" i="10" s="1"/>
  <c r="S49" i="10"/>
  <c r="P49" i="10"/>
  <c r="O49" i="10"/>
  <c r="M49" i="10"/>
  <c r="L49" i="10"/>
  <c r="N49" i="10"/>
  <c r="K49" i="10"/>
  <c r="J49" i="10"/>
  <c r="I49" i="10"/>
  <c r="H49" i="10"/>
  <c r="G49" i="10"/>
  <c r="F49" i="10"/>
  <c r="E49" i="10"/>
  <c r="Y48" i="10"/>
  <c r="T48" i="10"/>
  <c r="R48" i="10"/>
  <c r="Q48" i="10"/>
  <c r="S48" i="10"/>
  <c r="P48" i="10"/>
  <c r="O48" i="10"/>
  <c r="M48" i="10"/>
  <c r="L48" i="10"/>
  <c r="N48" i="10"/>
  <c r="K48" i="10"/>
  <c r="J48" i="10"/>
  <c r="I48" i="10"/>
  <c r="H48" i="10"/>
  <c r="G48" i="10"/>
  <c r="F48" i="10"/>
  <c r="E48" i="10"/>
  <c r="Y47" i="10"/>
  <c r="T47" i="10"/>
  <c r="R47" i="10"/>
  <c r="Q47" i="10"/>
  <c r="S47" i="10"/>
  <c r="P47" i="10"/>
  <c r="L47" i="10"/>
  <c r="O47" i="10" s="1"/>
  <c r="N47" i="10"/>
  <c r="K47" i="10"/>
  <c r="J47" i="10"/>
  <c r="I47" i="10"/>
  <c r="H47" i="10"/>
  <c r="G47" i="10"/>
  <c r="F47" i="10"/>
  <c r="E47" i="10"/>
  <c r="Y46" i="10"/>
  <c r="Q46" i="10"/>
  <c r="T46" i="10" s="1"/>
  <c r="S46" i="10"/>
  <c r="P46" i="10"/>
  <c r="M46" i="10"/>
  <c r="L46" i="10"/>
  <c r="O46" i="10" s="1"/>
  <c r="F51" i="9" s="1"/>
  <c r="N46" i="10"/>
  <c r="E51" i="9" s="1"/>
  <c r="K46" i="10"/>
  <c r="J46" i="10"/>
  <c r="I46" i="10"/>
  <c r="H46" i="10"/>
  <c r="G46" i="10"/>
  <c r="F46" i="10"/>
  <c r="E46" i="10"/>
  <c r="Y45" i="10"/>
  <c r="R45" i="10"/>
  <c r="Q45" i="10"/>
  <c r="T45" i="10" s="1"/>
  <c r="S45" i="10"/>
  <c r="P45" i="10"/>
  <c r="O45" i="10"/>
  <c r="F55" i="9" s="1"/>
  <c r="M45" i="10"/>
  <c r="L45" i="10"/>
  <c r="N45" i="10"/>
  <c r="E55" i="9" s="1"/>
  <c r="K45" i="10"/>
  <c r="J45" i="10"/>
  <c r="I45" i="10"/>
  <c r="D55" i="9" s="1"/>
  <c r="H45" i="10"/>
  <c r="G45" i="10"/>
  <c r="F45" i="10"/>
  <c r="E45" i="10"/>
  <c r="Y44" i="10"/>
  <c r="T44" i="10"/>
  <c r="R44" i="10"/>
  <c r="Q44" i="10"/>
  <c r="S44" i="10"/>
  <c r="P44" i="10"/>
  <c r="O44" i="10"/>
  <c r="F56" i="9" s="1"/>
  <c r="M44" i="10"/>
  <c r="L44" i="10"/>
  <c r="N44" i="10"/>
  <c r="E56" i="9" s="1"/>
  <c r="K44" i="10"/>
  <c r="J44" i="10"/>
  <c r="I44" i="10"/>
  <c r="D56" i="9" s="1"/>
  <c r="H44" i="10"/>
  <c r="G44" i="10"/>
  <c r="F44" i="10"/>
  <c r="E44" i="10"/>
  <c r="Y43" i="10"/>
  <c r="T43" i="10"/>
  <c r="R43" i="10"/>
  <c r="Q43" i="10"/>
  <c r="S43" i="10"/>
  <c r="P43" i="10"/>
  <c r="L43" i="10"/>
  <c r="O43" i="10" s="1"/>
  <c r="F59" i="9" s="1"/>
  <c r="N43" i="10"/>
  <c r="E59" i="9" s="1"/>
  <c r="K43" i="10"/>
  <c r="J43" i="10"/>
  <c r="I43" i="10"/>
  <c r="D59" i="9" s="1"/>
  <c r="H43" i="10"/>
  <c r="G43" i="10"/>
  <c r="F43" i="10"/>
  <c r="E43" i="10"/>
  <c r="Y42" i="10"/>
  <c r="Q42" i="10"/>
  <c r="T42" i="10" s="1"/>
  <c r="S42" i="10"/>
  <c r="P42" i="10"/>
  <c r="M42" i="10"/>
  <c r="L42" i="10"/>
  <c r="O42" i="10" s="1"/>
  <c r="F63" i="9" s="1"/>
  <c r="N42" i="10"/>
  <c r="E63" i="9" s="1"/>
  <c r="K42" i="10"/>
  <c r="J42" i="10"/>
  <c r="I42" i="10"/>
  <c r="H42" i="10"/>
  <c r="G42" i="10"/>
  <c r="F42" i="10"/>
  <c r="E42" i="10"/>
  <c r="Y41" i="10"/>
  <c r="R41" i="10"/>
  <c r="Q41" i="10"/>
  <c r="T41" i="10" s="1"/>
  <c r="S41" i="10"/>
  <c r="P41" i="10"/>
  <c r="O41" i="10"/>
  <c r="M41" i="10"/>
  <c r="L41" i="10"/>
  <c r="N41" i="10"/>
  <c r="E64" i="9" s="1"/>
  <c r="K41" i="10"/>
  <c r="J41" i="10"/>
  <c r="I41" i="10"/>
  <c r="D64" i="9" s="1"/>
  <c r="H41" i="10"/>
  <c r="G41" i="10"/>
  <c r="F41" i="10"/>
  <c r="E41" i="10"/>
  <c r="G40" i="10"/>
  <c r="A40" i="10"/>
  <c r="G39" i="10"/>
  <c r="A39" i="10"/>
  <c r="Y38" i="10"/>
  <c r="S38" i="10"/>
  <c r="P38" i="10"/>
  <c r="N38" i="10"/>
  <c r="E37" i="9" s="1"/>
  <c r="K38" i="10"/>
  <c r="I38" i="10"/>
  <c r="D37" i="9" s="1"/>
  <c r="H38" i="10"/>
  <c r="G38" i="10"/>
  <c r="F38" i="10"/>
  <c r="E38" i="10"/>
  <c r="D38" i="10"/>
  <c r="A38" i="10"/>
  <c r="Y37" i="10"/>
  <c r="T37" i="10"/>
  <c r="R37" i="10"/>
  <c r="Q37" i="10"/>
  <c r="S37" i="10"/>
  <c r="P37" i="10"/>
  <c r="O37" i="10"/>
  <c r="M37" i="10"/>
  <c r="L37" i="10"/>
  <c r="N37" i="10"/>
  <c r="K37" i="10"/>
  <c r="J37" i="10"/>
  <c r="I37" i="10"/>
  <c r="H37" i="10"/>
  <c r="G37" i="10"/>
  <c r="F37" i="10"/>
  <c r="E37" i="10"/>
  <c r="Y36" i="10"/>
  <c r="T36" i="10"/>
  <c r="R36" i="10"/>
  <c r="Q36" i="10"/>
  <c r="S36" i="10"/>
  <c r="P36" i="10"/>
  <c r="L36" i="10"/>
  <c r="O36" i="10" s="1"/>
  <c r="F20" i="9" s="1"/>
  <c r="N36" i="10"/>
  <c r="E20" i="9" s="1"/>
  <c r="K36" i="10"/>
  <c r="J36" i="10"/>
  <c r="I36" i="10"/>
  <c r="D20" i="9" s="1"/>
  <c r="H36" i="10"/>
  <c r="G36" i="10"/>
  <c r="F36" i="10"/>
  <c r="E36" i="10"/>
  <c r="Y35" i="10"/>
  <c r="Q35" i="10"/>
  <c r="T35" i="10" s="1"/>
  <c r="S35" i="10"/>
  <c r="P35" i="10"/>
  <c r="M35" i="10"/>
  <c r="L35" i="10"/>
  <c r="O35" i="10" s="1"/>
  <c r="F34" i="9" s="1"/>
  <c r="N35" i="10"/>
  <c r="E34" i="9" s="1"/>
  <c r="K35" i="10"/>
  <c r="J35" i="10"/>
  <c r="I35" i="10"/>
  <c r="D34" i="9" s="1"/>
  <c r="H35" i="10"/>
  <c r="G35" i="10"/>
  <c r="F35" i="10"/>
  <c r="E35" i="10"/>
  <c r="Y34" i="10"/>
  <c r="R34" i="10"/>
  <c r="Q34" i="10"/>
  <c r="T34" i="10" s="1"/>
  <c r="S34" i="10"/>
  <c r="P34" i="10"/>
  <c r="O34" i="10"/>
  <c r="F35" i="9" s="1"/>
  <c r="M34" i="10"/>
  <c r="L34" i="10"/>
  <c r="N34" i="10"/>
  <c r="E35" i="9" s="1"/>
  <c r="K34" i="10"/>
  <c r="J34" i="10"/>
  <c r="I34" i="10"/>
  <c r="D35" i="9" s="1"/>
  <c r="H34" i="10"/>
  <c r="G34" i="10"/>
  <c r="F34" i="10"/>
  <c r="E34" i="10"/>
  <c r="Y33" i="10"/>
  <c r="T33" i="10"/>
  <c r="R33" i="10"/>
  <c r="Q33" i="10"/>
  <c r="S33" i="10"/>
  <c r="P33" i="10"/>
  <c r="O33" i="10"/>
  <c r="F38" i="9" s="1"/>
  <c r="M33" i="10"/>
  <c r="L33" i="10"/>
  <c r="N33" i="10"/>
  <c r="E38" i="9" s="1"/>
  <c r="K33" i="10"/>
  <c r="J33" i="10"/>
  <c r="I33" i="10"/>
  <c r="D38" i="9" s="1"/>
  <c r="H33" i="10"/>
  <c r="G33" i="10"/>
  <c r="F33" i="10"/>
  <c r="E33" i="10"/>
  <c r="Y32" i="10"/>
  <c r="S32" i="10"/>
  <c r="P32" i="10"/>
  <c r="R32" i="10" s="1"/>
  <c r="N32" i="10"/>
  <c r="K32" i="10"/>
  <c r="M32" i="10" s="1"/>
  <c r="I32" i="10"/>
  <c r="T32" i="10" s="1"/>
  <c r="H32" i="10"/>
  <c r="G32" i="10"/>
  <c r="F32" i="10"/>
  <c r="E32" i="10"/>
  <c r="D32" i="10"/>
  <c r="A32" i="10"/>
  <c r="Y31" i="10"/>
  <c r="T31" i="10"/>
  <c r="R31" i="10"/>
  <c r="Q31" i="10"/>
  <c r="S31" i="10"/>
  <c r="P31" i="10"/>
  <c r="L31" i="10"/>
  <c r="O31" i="10" s="1"/>
  <c r="N31" i="10"/>
  <c r="K31" i="10"/>
  <c r="J31" i="10"/>
  <c r="I31" i="10"/>
  <c r="H31" i="10"/>
  <c r="G31" i="10"/>
  <c r="F31" i="10"/>
  <c r="E31" i="10"/>
  <c r="Y30" i="10"/>
  <c r="S30" i="10"/>
  <c r="R30" i="10"/>
  <c r="P30" i="10"/>
  <c r="N30" i="10"/>
  <c r="E36" i="9" s="1"/>
  <c r="M30" i="10"/>
  <c r="K30" i="10"/>
  <c r="I30" i="10"/>
  <c r="H30" i="10"/>
  <c r="G30" i="10"/>
  <c r="F30" i="10"/>
  <c r="E30" i="10"/>
  <c r="D30" i="10"/>
  <c r="A30" i="10"/>
  <c r="Y29" i="10"/>
  <c r="Q29" i="10"/>
  <c r="T29" i="10" s="1"/>
  <c r="S29" i="10"/>
  <c r="P29" i="10"/>
  <c r="M29" i="10"/>
  <c r="L29" i="10"/>
  <c r="O29" i="10" s="1"/>
  <c r="N29" i="10"/>
  <c r="K29" i="10"/>
  <c r="J29" i="10"/>
  <c r="I29" i="10"/>
  <c r="H29" i="10"/>
  <c r="G29" i="10"/>
  <c r="F29" i="10"/>
  <c r="E29" i="10"/>
  <c r="Y28" i="10"/>
  <c r="R28" i="10"/>
  <c r="Q28" i="10"/>
  <c r="T28" i="10" s="1"/>
  <c r="S28" i="10"/>
  <c r="P28" i="10"/>
  <c r="O28" i="10"/>
  <c r="F31" i="9" s="1"/>
  <c r="M28" i="10"/>
  <c r="L28" i="10"/>
  <c r="N28" i="10"/>
  <c r="E31" i="9" s="1"/>
  <c r="K28" i="10"/>
  <c r="J28" i="10"/>
  <c r="I28" i="10"/>
  <c r="D31" i="9" s="1"/>
  <c r="H28" i="10"/>
  <c r="G28" i="10"/>
  <c r="F28" i="10"/>
  <c r="E28" i="10"/>
  <c r="Y27" i="10"/>
  <c r="T27" i="10"/>
  <c r="R27" i="10"/>
  <c r="Q27" i="10"/>
  <c r="S27" i="10"/>
  <c r="P27" i="10"/>
  <c r="O27" i="10"/>
  <c r="F33" i="9" s="1"/>
  <c r="M27" i="10"/>
  <c r="L27" i="10"/>
  <c r="N27" i="10"/>
  <c r="E33" i="9" s="1"/>
  <c r="K27" i="10"/>
  <c r="J27" i="10"/>
  <c r="I27" i="10"/>
  <c r="D33" i="9" s="1"/>
  <c r="H27" i="10"/>
  <c r="G27" i="10"/>
  <c r="F27" i="10"/>
  <c r="E27" i="10"/>
  <c r="Y26" i="10"/>
  <c r="S26" i="10"/>
  <c r="P26" i="10"/>
  <c r="R26" i="10" s="1"/>
  <c r="N26" i="10"/>
  <c r="E30" i="9" s="1"/>
  <c r="K26" i="10"/>
  <c r="M26" i="10" s="1"/>
  <c r="I26" i="10"/>
  <c r="D30" i="9" s="1"/>
  <c r="H26" i="10"/>
  <c r="G26" i="10"/>
  <c r="F26" i="10"/>
  <c r="E26" i="10"/>
  <c r="D26" i="10"/>
  <c r="A26" i="10"/>
  <c r="Y25" i="10"/>
  <c r="T25" i="10"/>
  <c r="R25" i="10"/>
  <c r="Q25" i="10"/>
  <c r="S25" i="10"/>
  <c r="P25" i="10"/>
  <c r="L25" i="10"/>
  <c r="O25" i="10" s="1"/>
  <c r="N25" i="10"/>
  <c r="K25" i="10"/>
  <c r="J25" i="10"/>
  <c r="I25" i="10"/>
  <c r="H25" i="10"/>
  <c r="G25" i="10"/>
  <c r="F25" i="10"/>
  <c r="E25" i="10"/>
  <c r="Y24" i="10"/>
  <c r="Q24" i="10"/>
  <c r="T24" i="10" s="1"/>
  <c r="S24" i="10"/>
  <c r="P24" i="10"/>
  <c r="M24" i="10"/>
  <c r="L24" i="10"/>
  <c r="O24" i="10" s="1"/>
  <c r="F18" i="9" s="1"/>
  <c r="N24" i="10"/>
  <c r="E18" i="9" s="1"/>
  <c r="K24" i="10"/>
  <c r="J24" i="10"/>
  <c r="I24" i="10"/>
  <c r="D18" i="9" s="1"/>
  <c r="H24" i="10"/>
  <c r="G24" i="10"/>
  <c r="F24" i="10"/>
  <c r="E24" i="10"/>
  <c r="Y23" i="10"/>
  <c r="R23" i="10"/>
  <c r="Q23" i="10"/>
  <c r="T23" i="10" s="1"/>
  <c r="S23" i="10"/>
  <c r="P23" i="10"/>
  <c r="O23" i="10"/>
  <c r="M23" i="10"/>
  <c r="L23" i="10"/>
  <c r="N23" i="10"/>
  <c r="K23" i="10"/>
  <c r="J23" i="10"/>
  <c r="I23" i="10"/>
  <c r="H23" i="10"/>
  <c r="G23" i="10"/>
  <c r="F23" i="10"/>
  <c r="E23" i="10"/>
  <c r="Y22" i="10"/>
  <c r="T22" i="10"/>
  <c r="R22" i="10"/>
  <c r="Q22" i="10"/>
  <c r="S22" i="10"/>
  <c r="P22" i="10"/>
  <c r="O22" i="10"/>
  <c r="F23" i="9" s="1"/>
  <c r="M22" i="10"/>
  <c r="L22" i="10"/>
  <c r="N22" i="10"/>
  <c r="E23" i="9" s="1"/>
  <c r="K22" i="10"/>
  <c r="J22" i="10"/>
  <c r="I22" i="10"/>
  <c r="D23" i="9" s="1"/>
  <c r="H22" i="10"/>
  <c r="G22" i="10"/>
  <c r="F22" i="10"/>
  <c r="E22" i="10"/>
  <c r="Y21" i="10"/>
  <c r="T21" i="10"/>
  <c r="R21" i="10"/>
  <c r="Q21" i="10"/>
  <c r="S21" i="10"/>
  <c r="P21" i="10"/>
  <c r="L21" i="10"/>
  <c r="O21" i="10" s="1"/>
  <c r="F24" i="9" s="1"/>
  <c r="N21" i="10"/>
  <c r="E24" i="9" s="1"/>
  <c r="K21" i="10"/>
  <c r="J21" i="10"/>
  <c r="I21" i="10"/>
  <c r="D24" i="9" s="1"/>
  <c r="H21" i="10"/>
  <c r="G21" i="10"/>
  <c r="F21" i="10"/>
  <c r="E21" i="10"/>
  <c r="Y20" i="10"/>
  <c r="Q20" i="10"/>
  <c r="T20" i="10" s="1"/>
  <c r="S20" i="10"/>
  <c r="P20" i="10"/>
  <c r="M20" i="10"/>
  <c r="L20" i="10"/>
  <c r="O20" i="10" s="1"/>
  <c r="N20" i="10"/>
  <c r="K20" i="10"/>
  <c r="J20" i="10"/>
  <c r="I20" i="10"/>
  <c r="H20" i="10"/>
  <c r="G20" i="10"/>
  <c r="F20" i="10"/>
  <c r="E20" i="10"/>
  <c r="Y19" i="10"/>
  <c r="R19" i="10"/>
  <c r="Q19" i="10"/>
  <c r="T19" i="10" s="1"/>
  <c r="S19" i="10"/>
  <c r="P19" i="10"/>
  <c r="O19" i="10"/>
  <c r="M19" i="10"/>
  <c r="L19" i="10"/>
  <c r="N19" i="10"/>
  <c r="K19" i="10"/>
  <c r="J19" i="10"/>
  <c r="I19" i="10"/>
  <c r="H19" i="10"/>
  <c r="G19" i="10"/>
  <c r="F19" i="10"/>
  <c r="E19" i="10"/>
  <c r="Y18" i="10"/>
  <c r="T18" i="10"/>
  <c r="R18" i="10"/>
  <c r="Q18" i="10"/>
  <c r="S18" i="10"/>
  <c r="P18" i="10"/>
  <c r="O18" i="10"/>
  <c r="M18" i="10"/>
  <c r="L18" i="10"/>
  <c r="N18" i="10"/>
  <c r="K18" i="10"/>
  <c r="J18" i="10"/>
  <c r="I18" i="10"/>
  <c r="H18" i="10"/>
  <c r="G18" i="10"/>
  <c r="F18" i="10"/>
  <c r="E18" i="10"/>
  <c r="Y17" i="10"/>
  <c r="S17" i="10"/>
  <c r="P17" i="10"/>
  <c r="R17" i="10" s="1"/>
  <c r="N17" i="10"/>
  <c r="E32" i="9" s="1"/>
  <c r="K17" i="10"/>
  <c r="M17" i="10" s="1"/>
  <c r="I17" i="10"/>
  <c r="D32" i="9" s="1"/>
  <c r="H17" i="10"/>
  <c r="G17" i="10"/>
  <c r="F17" i="10"/>
  <c r="E17" i="10"/>
  <c r="D17" i="10"/>
  <c r="A17" i="10"/>
  <c r="Y16" i="10"/>
  <c r="T16" i="10"/>
  <c r="R16" i="10"/>
  <c r="Q16" i="10"/>
  <c r="S16" i="10"/>
  <c r="P16" i="10"/>
  <c r="L16" i="10"/>
  <c r="O16" i="10" s="1"/>
  <c r="F15" i="9" s="1"/>
  <c r="E16" i="9" s="1"/>
  <c r="N16" i="10"/>
  <c r="E15" i="9" s="1"/>
  <c r="K16" i="10"/>
  <c r="J16" i="10"/>
  <c r="I16" i="10"/>
  <c r="D15" i="9" s="1"/>
  <c r="H16" i="10"/>
  <c r="G16" i="10"/>
  <c r="F16" i="10"/>
  <c r="E16" i="10"/>
  <c r="Y15" i="10"/>
  <c r="Q15" i="10"/>
  <c r="T15" i="10" s="1"/>
  <c r="S15" i="10"/>
  <c r="P15" i="10"/>
  <c r="M15" i="10"/>
  <c r="L15" i="10"/>
  <c r="O15" i="10" s="1"/>
  <c r="F19" i="9" s="1"/>
  <c r="N15" i="10"/>
  <c r="E19" i="9" s="1"/>
  <c r="K15" i="10"/>
  <c r="J15" i="10"/>
  <c r="I15" i="10"/>
  <c r="D19" i="9" s="1"/>
  <c r="H15" i="10"/>
  <c r="G15" i="10"/>
  <c r="F15" i="10"/>
  <c r="E15" i="10"/>
  <c r="Y14" i="10"/>
  <c r="R14" i="10"/>
  <c r="Q14" i="10"/>
  <c r="T14" i="10" s="1"/>
  <c r="S14" i="10"/>
  <c r="P14" i="10"/>
  <c r="O14" i="10"/>
  <c r="F21" i="9" s="1"/>
  <c r="M14" i="10"/>
  <c r="L14" i="10"/>
  <c r="N14" i="10"/>
  <c r="E21" i="9" s="1"/>
  <c r="K14" i="10"/>
  <c r="J14" i="10"/>
  <c r="I14" i="10"/>
  <c r="D21" i="9" s="1"/>
  <c r="H14" i="10"/>
  <c r="G14" i="10"/>
  <c r="F14" i="10"/>
  <c r="E14" i="10"/>
  <c r="Y13" i="10"/>
  <c r="T13" i="10"/>
  <c r="R13" i="10"/>
  <c r="Q13" i="10"/>
  <c r="S13" i="10"/>
  <c r="P13" i="10"/>
  <c r="O13" i="10"/>
  <c r="M13" i="10"/>
  <c r="L13" i="10"/>
  <c r="N13" i="10"/>
  <c r="E22" i="9" s="1"/>
  <c r="K13" i="10"/>
  <c r="J13" i="10"/>
  <c r="I13" i="10"/>
  <c r="H13" i="10"/>
  <c r="G13" i="10"/>
  <c r="F13" i="10"/>
  <c r="E13" i="10"/>
  <c r="Y12" i="10"/>
  <c r="T12" i="10"/>
  <c r="R12" i="10"/>
  <c r="Q12" i="10"/>
  <c r="S12" i="10"/>
  <c r="P12" i="10"/>
  <c r="L12" i="10"/>
  <c r="O12" i="10" s="1"/>
  <c r="N12" i="10"/>
  <c r="E25" i="9" s="1"/>
  <c r="K12" i="10"/>
  <c r="J12" i="10"/>
  <c r="I12" i="10"/>
  <c r="D25" i="9" s="1"/>
  <c r="H12" i="10"/>
  <c r="G12" i="10"/>
  <c r="F12" i="10"/>
  <c r="E12" i="10"/>
  <c r="Y11" i="10"/>
  <c r="Q11" i="10"/>
  <c r="T11" i="10" s="1"/>
  <c r="S11" i="10"/>
  <c r="P11" i="10"/>
  <c r="M11" i="10"/>
  <c r="L11" i="10"/>
  <c r="O11" i="10" s="1"/>
  <c r="F26" i="9" s="1"/>
  <c r="N11" i="10"/>
  <c r="E26" i="9" s="1"/>
  <c r="K11" i="10"/>
  <c r="J11" i="10"/>
  <c r="I11" i="10"/>
  <c r="D26" i="9" s="1"/>
  <c r="H11" i="10"/>
  <c r="G11" i="10"/>
  <c r="F11" i="10"/>
  <c r="E11" i="10"/>
  <c r="Y10" i="10"/>
  <c r="R10" i="10"/>
  <c r="Q10" i="10"/>
  <c r="T10" i="10" s="1"/>
  <c r="S10" i="10"/>
  <c r="P10" i="10"/>
  <c r="O10" i="10"/>
  <c r="F29" i="9" s="1"/>
  <c r="M10" i="10"/>
  <c r="L10" i="10"/>
  <c r="N10" i="10"/>
  <c r="E29" i="9" s="1"/>
  <c r="K10" i="10"/>
  <c r="J10" i="10"/>
  <c r="I10" i="10"/>
  <c r="D29" i="9" s="1"/>
  <c r="H10" i="10"/>
  <c r="G10" i="10"/>
  <c r="F10" i="10"/>
  <c r="E10" i="10"/>
  <c r="G9" i="10"/>
  <c r="A9" i="10"/>
  <c r="Y8" i="10"/>
  <c r="Q8" i="10"/>
  <c r="T8" i="10" s="1"/>
  <c r="S8" i="10"/>
  <c r="P8" i="10"/>
  <c r="M8" i="10"/>
  <c r="L8" i="10"/>
  <c r="O8" i="10" s="1"/>
  <c r="F11" i="9" s="1"/>
  <c r="N8" i="10"/>
  <c r="E11" i="9" s="1"/>
  <c r="K8" i="10"/>
  <c r="J8" i="10"/>
  <c r="I8" i="10"/>
  <c r="D11" i="9" s="1"/>
  <c r="H8" i="10"/>
  <c r="G8" i="10"/>
  <c r="F8" i="10"/>
  <c r="E8" i="10"/>
  <c r="G7" i="10"/>
  <c r="A7" i="10"/>
  <c r="G6" i="10"/>
  <c r="A6" i="10"/>
  <c r="G89" i="8"/>
  <c r="C89" i="8"/>
  <c r="G86" i="8"/>
  <c r="C86" i="8"/>
  <c r="G83" i="8"/>
  <c r="C83" i="8"/>
  <c r="G80" i="8"/>
  <c r="D57" i="8"/>
  <c r="I76" i="8"/>
  <c r="D59" i="8" s="1"/>
  <c r="H76" i="8"/>
  <c r="G76" i="8"/>
  <c r="F76" i="8"/>
  <c r="E76" i="8"/>
  <c r="D76" i="8"/>
  <c r="I75" i="8"/>
  <c r="H75" i="8"/>
  <c r="G75" i="8"/>
  <c r="F75" i="8"/>
  <c r="E75" i="8"/>
  <c r="D75" i="8"/>
  <c r="J75" i="8"/>
  <c r="C75" i="8"/>
  <c r="B75" i="8"/>
  <c r="I74" i="8"/>
  <c r="H74" i="8"/>
  <c r="G74" i="8"/>
  <c r="F74" i="8"/>
  <c r="E74" i="8"/>
  <c r="D74" i="8"/>
  <c r="J74" i="8"/>
  <c r="C74" i="8"/>
  <c r="B74" i="8"/>
  <c r="I73" i="8"/>
  <c r="H73" i="8"/>
  <c r="G73" i="8"/>
  <c r="F73" i="8"/>
  <c r="E73" i="8"/>
  <c r="D73" i="8"/>
  <c r="J73" i="8"/>
  <c r="C73" i="8"/>
  <c r="B73" i="8"/>
  <c r="I72" i="8"/>
  <c r="H72" i="8"/>
  <c r="J72" i="8" s="1"/>
  <c r="G72" i="8"/>
  <c r="F72" i="8"/>
  <c r="E72" i="8"/>
  <c r="D72" i="8"/>
  <c r="C72" i="8"/>
  <c r="B72" i="8"/>
  <c r="I71" i="8"/>
  <c r="H71" i="8"/>
  <c r="G71" i="8"/>
  <c r="F71" i="8"/>
  <c r="E71" i="8"/>
  <c r="D71" i="8"/>
  <c r="J71" i="8"/>
  <c r="C71" i="8"/>
  <c r="B71" i="8"/>
  <c r="I70" i="8"/>
  <c r="H70" i="8"/>
  <c r="G70" i="8"/>
  <c r="F70" i="8"/>
  <c r="E70" i="8"/>
  <c r="D70" i="8"/>
  <c r="J70" i="8"/>
  <c r="C70" i="8"/>
  <c r="B70" i="8"/>
  <c r="I69" i="8"/>
  <c r="H69" i="8"/>
  <c r="G69" i="8"/>
  <c r="F69" i="8"/>
  <c r="E69" i="8"/>
  <c r="D69" i="8"/>
  <c r="J69" i="8"/>
  <c r="C69" i="8"/>
  <c r="B69" i="8"/>
  <c r="I68" i="8"/>
  <c r="H68" i="8"/>
  <c r="J68" i="8" s="1"/>
  <c r="G68" i="8"/>
  <c r="F68" i="8"/>
  <c r="E68" i="8"/>
  <c r="D68" i="8"/>
  <c r="C68" i="8"/>
  <c r="B68" i="8"/>
  <c r="E61" i="8"/>
  <c r="D61" i="8"/>
  <c r="B55" i="8"/>
  <c r="B52" i="8"/>
  <c r="B49" i="8"/>
  <c r="A46" i="8"/>
  <c r="G44" i="8"/>
  <c r="C44" i="8"/>
  <c r="G41" i="8"/>
  <c r="C41" i="8"/>
  <c r="G38" i="8"/>
  <c r="C38" i="8"/>
  <c r="G35" i="8"/>
  <c r="I31" i="8"/>
  <c r="D14" i="8" s="1"/>
  <c r="H31" i="8"/>
  <c r="D12" i="8" s="1"/>
  <c r="G31" i="8"/>
  <c r="F31" i="8"/>
  <c r="E31" i="8"/>
  <c r="D31" i="8"/>
  <c r="I30" i="8"/>
  <c r="H30" i="8"/>
  <c r="G30" i="8"/>
  <c r="F30" i="8"/>
  <c r="E30" i="8"/>
  <c r="D30" i="8"/>
  <c r="J30" i="8"/>
  <c r="C30" i="8"/>
  <c r="B30" i="8"/>
  <c r="I29" i="8"/>
  <c r="H29" i="8"/>
  <c r="G29" i="8"/>
  <c r="F29" i="8"/>
  <c r="E29" i="8"/>
  <c r="D29" i="8"/>
  <c r="J29" i="8"/>
  <c r="C29" i="8"/>
  <c r="B29" i="8"/>
  <c r="I28" i="8"/>
  <c r="H28" i="8"/>
  <c r="J28" i="8" s="1"/>
  <c r="G28" i="8"/>
  <c r="F28" i="8"/>
  <c r="E28" i="8"/>
  <c r="D28" i="8"/>
  <c r="C28" i="8"/>
  <c r="B28" i="8"/>
  <c r="I27" i="8"/>
  <c r="H27" i="8"/>
  <c r="G27" i="8"/>
  <c r="F27" i="8"/>
  <c r="E27" i="8"/>
  <c r="D27" i="8"/>
  <c r="J27" i="8"/>
  <c r="C27" i="8"/>
  <c r="B27" i="8"/>
  <c r="I26" i="8"/>
  <c r="H26" i="8"/>
  <c r="J26" i="8" s="1"/>
  <c r="G26" i="8"/>
  <c r="F26" i="8"/>
  <c r="E26" i="8"/>
  <c r="D26" i="8"/>
  <c r="C26" i="8"/>
  <c r="B26" i="8"/>
  <c r="I25" i="8"/>
  <c r="H25" i="8"/>
  <c r="G25" i="8"/>
  <c r="F25" i="8"/>
  <c r="E25" i="8"/>
  <c r="D25" i="8"/>
  <c r="J25" i="8"/>
  <c r="C25" i="8"/>
  <c r="B25" i="8"/>
  <c r="I24" i="8"/>
  <c r="H24" i="8"/>
  <c r="J24" i="8" s="1"/>
  <c r="G24" i="8"/>
  <c r="F24" i="8"/>
  <c r="E24" i="8"/>
  <c r="D24" i="8"/>
  <c r="C24" i="8"/>
  <c r="B24" i="8"/>
  <c r="I23" i="8"/>
  <c r="H23" i="8"/>
  <c r="G23" i="8"/>
  <c r="F23" i="8"/>
  <c r="E23" i="8"/>
  <c r="D23" i="8"/>
  <c r="J23" i="8"/>
  <c r="C23" i="8"/>
  <c r="B23" i="8"/>
  <c r="E16" i="8"/>
  <c r="D16" i="8"/>
  <c r="B10" i="8"/>
  <c r="B7" i="8"/>
  <c r="B4" i="8"/>
  <c r="A1" i="8"/>
  <c r="D318" i="7"/>
  <c r="C318" i="7"/>
  <c r="B318" i="7"/>
  <c r="A317" i="7"/>
  <c r="D316" i="7"/>
  <c r="C316" i="7"/>
  <c r="B316" i="7"/>
  <c r="D315" i="7"/>
  <c r="C315" i="7"/>
  <c r="B315" i="7"/>
  <c r="D314" i="7"/>
  <c r="C314" i="7"/>
  <c r="B314" i="7"/>
  <c r="D313" i="7"/>
  <c r="C313" i="7"/>
  <c r="B313" i="7"/>
  <c r="D312" i="7"/>
  <c r="C312" i="7"/>
  <c r="B312" i="7"/>
  <c r="D311" i="7"/>
  <c r="C311" i="7"/>
  <c r="B311" i="7"/>
  <c r="D310" i="7"/>
  <c r="C310" i="7"/>
  <c r="B310" i="7"/>
  <c r="A309" i="7"/>
  <c r="D308" i="7"/>
  <c r="C308" i="7"/>
  <c r="B308" i="7"/>
  <c r="D307" i="7"/>
  <c r="C307" i="7"/>
  <c r="B307" i="7"/>
  <c r="D306" i="7"/>
  <c r="C306" i="7"/>
  <c r="B306" i="7"/>
  <c r="D305" i="7"/>
  <c r="C305" i="7"/>
  <c r="B305" i="7"/>
  <c r="D304" i="7"/>
  <c r="C304" i="7"/>
  <c r="B304" i="7"/>
  <c r="D303" i="7"/>
  <c r="C303" i="7"/>
  <c r="B303" i="7"/>
  <c r="D302" i="7"/>
  <c r="C302" i="7"/>
  <c r="B302" i="7"/>
  <c r="D301" i="7"/>
  <c r="C301" i="7"/>
  <c r="B301" i="7"/>
  <c r="D300" i="7"/>
  <c r="C300" i="7"/>
  <c r="B300" i="7"/>
  <c r="D299" i="7"/>
  <c r="C299" i="7"/>
  <c r="B299" i="7"/>
  <c r="D298" i="7"/>
  <c r="C298" i="7"/>
  <c r="B298" i="7"/>
  <c r="A297" i="7"/>
  <c r="A296" i="7"/>
  <c r="D295" i="7"/>
  <c r="C295" i="7"/>
  <c r="B295" i="7"/>
  <c r="D294" i="7"/>
  <c r="C294" i="7"/>
  <c r="B294" i="7"/>
  <c r="D293" i="7"/>
  <c r="C293" i="7"/>
  <c r="B293" i="7"/>
  <c r="A292" i="7"/>
  <c r="D291" i="7"/>
  <c r="C291" i="7"/>
  <c r="B291" i="7"/>
  <c r="D290" i="7"/>
  <c r="C290" i="7"/>
  <c r="B290" i="7"/>
  <c r="D289" i="7"/>
  <c r="C289" i="7"/>
  <c r="B289" i="7"/>
  <c r="D288" i="7"/>
  <c r="C288" i="7"/>
  <c r="B288" i="7"/>
  <c r="D287" i="7"/>
  <c r="C287" i="7"/>
  <c r="B287" i="7"/>
  <c r="D286" i="7"/>
  <c r="C286" i="7"/>
  <c r="B286" i="7"/>
  <c r="D285" i="7"/>
  <c r="C285" i="7"/>
  <c r="B285" i="7"/>
  <c r="D284" i="7"/>
  <c r="C284" i="7"/>
  <c r="B284" i="7"/>
  <c r="D283" i="7"/>
  <c r="C283" i="7"/>
  <c r="B283" i="7"/>
  <c r="D282" i="7"/>
  <c r="C282" i="7"/>
  <c r="B282" i="7"/>
  <c r="A281" i="7"/>
  <c r="D280" i="7"/>
  <c r="C280" i="7"/>
  <c r="B280" i="7"/>
  <c r="D279" i="7"/>
  <c r="C279" i="7"/>
  <c r="B279" i="7"/>
  <c r="D278" i="7"/>
  <c r="C278" i="7"/>
  <c r="B278" i="7"/>
  <c r="D277" i="7"/>
  <c r="C277" i="7"/>
  <c r="B277" i="7"/>
  <c r="D276" i="7"/>
  <c r="C276" i="7"/>
  <c r="B276" i="7"/>
  <c r="D275" i="7"/>
  <c r="C275" i="7"/>
  <c r="B275" i="7"/>
  <c r="D274" i="7"/>
  <c r="C274" i="7"/>
  <c r="B274" i="7"/>
  <c r="D273" i="7"/>
  <c r="C273" i="7"/>
  <c r="B273" i="7"/>
  <c r="D272" i="7"/>
  <c r="C272" i="7"/>
  <c r="B272" i="7"/>
  <c r="D271" i="7"/>
  <c r="C271" i="7"/>
  <c r="B271" i="7"/>
  <c r="D270" i="7"/>
  <c r="C270" i="7"/>
  <c r="B270" i="7"/>
  <c r="D269" i="7"/>
  <c r="C269" i="7"/>
  <c r="B269" i="7"/>
  <c r="D268" i="7"/>
  <c r="C268" i="7"/>
  <c r="B268" i="7"/>
  <c r="D267" i="7"/>
  <c r="C267" i="7"/>
  <c r="B267" i="7"/>
  <c r="A266" i="7"/>
  <c r="D265" i="7"/>
  <c r="C265" i="7"/>
  <c r="B265" i="7"/>
  <c r="D264" i="7"/>
  <c r="C264" i="7"/>
  <c r="B264" i="7"/>
  <c r="D263" i="7"/>
  <c r="C263" i="7"/>
  <c r="B263" i="7"/>
  <c r="D262" i="7"/>
  <c r="C262" i="7"/>
  <c r="B262" i="7"/>
  <c r="D261" i="7"/>
  <c r="C261" i="7"/>
  <c r="B261" i="7"/>
  <c r="D260" i="7"/>
  <c r="C260" i="7"/>
  <c r="B260" i="7"/>
  <c r="D259" i="7"/>
  <c r="C259" i="7"/>
  <c r="B259" i="7"/>
  <c r="D258" i="7"/>
  <c r="C258" i="7"/>
  <c r="B258" i="7"/>
  <c r="D257" i="7"/>
  <c r="C257" i="7"/>
  <c r="B257" i="7"/>
  <c r="D256" i="7"/>
  <c r="C256" i="7"/>
  <c r="B256" i="7"/>
  <c r="D255" i="7"/>
  <c r="C255" i="7"/>
  <c r="B255" i="7"/>
  <c r="D254" i="7"/>
  <c r="C254" i="7"/>
  <c r="B254" i="7"/>
  <c r="D253" i="7"/>
  <c r="C253" i="7"/>
  <c r="B253" i="7"/>
  <c r="D252" i="7"/>
  <c r="C252" i="7"/>
  <c r="B252" i="7"/>
  <c r="D251" i="7"/>
  <c r="C251" i="7"/>
  <c r="B251" i="7"/>
  <c r="D250" i="7"/>
  <c r="C250" i="7"/>
  <c r="B250" i="7"/>
  <c r="D249" i="7"/>
  <c r="C249" i="7"/>
  <c r="B249" i="7"/>
  <c r="D248" i="7"/>
  <c r="C248" i="7"/>
  <c r="B248" i="7"/>
  <c r="D247" i="7"/>
  <c r="C247" i="7"/>
  <c r="B247" i="7"/>
  <c r="D246" i="7"/>
  <c r="C246" i="7"/>
  <c r="B246" i="7"/>
  <c r="D245" i="7"/>
  <c r="C245" i="7"/>
  <c r="B245" i="7"/>
  <c r="D244" i="7"/>
  <c r="C244" i="7"/>
  <c r="B244" i="7"/>
  <c r="D243" i="7"/>
  <c r="C243" i="7"/>
  <c r="B243" i="7"/>
  <c r="D242" i="7"/>
  <c r="C242" i="7"/>
  <c r="B242" i="7"/>
  <c r="D241" i="7"/>
  <c r="C241" i="7"/>
  <c r="B241" i="7"/>
  <c r="A240" i="7"/>
  <c r="D239" i="7"/>
  <c r="C239" i="7"/>
  <c r="B239" i="7"/>
  <c r="D238" i="7"/>
  <c r="C238" i="7"/>
  <c r="B238" i="7"/>
  <c r="D237" i="7"/>
  <c r="C237" i="7"/>
  <c r="B237" i="7"/>
  <c r="D236" i="7"/>
  <c r="C236" i="7"/>
  <c r="B236" i="7"/>
  <c r="A235" i="7"/>
  <c r="A234" i="7"/>
  <c r="D233" i="7"/>
  <c r="C233" i="7"/>
  <c r="B233" i="7"/>
  <c r="D232" i="7"/>
  <c r="C232" i="7"/>
  <c r="B232" i="7"/>
  <c r="D231" i="7"/>
  <c r="C231" i="7"/>
  <c r="B231" i="7"/>
  <c r="D230" i="7"/>
  <c r="C230" i="7"/>
  <c r="B230" i="7"/>
  <c r="D229" i="7"/>
  <c r="C229" i="7"/>
  <c r="B229" i="7"/>
  <c r="D228" i="7"/>
  <c r="C228" i="7"/>
  <c r="B228" i="7"/>
  <c r="D227" i="7"/>
  <c r="C227" i="7"/>
  <c r="B227" i="7"/>
  <c r="D226" i="7"/>
  <c r="C226" i="7"/>
  <c r="B226" i="7"/>
  <c r="D225" i="7"/>
  <c r="C225" i="7"/>
  <c r="B225" i="7"/>
  <c r="D224" i="7"/>
  <c r="C224" i="7"/>
  <c r="B224" i="7"/>
  <c r="D223" i="7"/>
  <c r="C223" i="7"/>
  <c r="B223" i="7"/>
  <c r="D222" i="7"/>
  <c r="C222" i="7"/>
  <c r="B222" i="7"/>
  <c r="D221" i="7"/>
  <c r="C221" i="7"/>
  <c r="B221" i="7"/>
  <c r="D220" i="7"/>
  <c r="C220" i="7"/>
  <c r="B220" i="7"/>
  <c r="D219" i="7"/>
  <c r="C219" i="7"/>
  <c r="B219" i="7"/>
  <c r="D218" i="7"/>
  <c r="C218" i="7"/>
  <c r="B218" i="7"/>
  <c r="D217" i="7"/>
  <c r="C217" i="7"/>
  <c r="B217" i="7"/>
  <c r="D216" i="7"/>
  <c r="C216" i="7"/>
  <c r="B216" i="7"/>
  <c r="D215" i="7"/>
  <c r="C215" i="7"/>
  <c r="B215" i="7"/>
  <c r="D214" i="7"/>
  <c r="C214" i="7"/>
  <c r="B214" i="7"/>
  <c r="D213" i="7"/>
  <c r="C213" i="7"/>
  <c r="B213" i="7"/>
  <c r="D212" i="7"/>
  <c r="C212" i="7"/>
  <c r="B212" i="7"/>
  <c r="D211" i="7"/>
  <c r="C211" i="7"/>
  <c r="B211" i="7"/>
  <c r="D210" i="7"/>
  <c r="C210" i="7"/>
  <c r="B210" i="7"/>
  <c r="D209" i="7"/>
  <c r="C209" i="7"/>
  <c r="B209" i="7"/>
  <c r="D208" i="7"/>
  <c r="C208" i="7"/>
  <c r="B208" i="7"/>
  <c r="D207" i="7"/>
  <c r="C207" i="7"/>
  <c r="B207" i="7"/>
  <c r="D206" i="7"/>
  <c r="C206" i="7"/>
  <c r="B206" i="7"/>
  <c r="D205" i="7"/>
  <c r="C205" i="7"/>
  <c r="B205" i="7"/>
  <c r="D204" i="7"/>
  <c r="C204" i="7"/>
  <c r="B204" i="7"/>
  <c r="D203" i="7"/>
  <c r="C203" i="7"/>
  <c r="B203" i="7"/>
  <c r="D202" i="7"/>
  <c r="C202" i="7"/>
  <c r="B202" i="7"/>
  <c r="A201" i="7"/>
  <c r="D200" i="7"/>
  <c r="C200" i="7"/>
  <c r="B200" i="7"/>
  <c r="D199" i="7"/>
  <c r="C199" i="7"/>
  <c r="B199" i="7"/>
  <c r="A198" i="7"/>
  <c r="A197" i="7"/>
  <c r="D196" i="7"/>
  <c r="C196" i="7"/>
  <c r="B196" i="7"/>
  <c r="D195" i="7"/>
  <c r="C195" i="7"/>
  <c r="B195" i="7"/>
  <c r="D194" i="7"/>
  <c r="C194" i="7"/>
  <c r="B194" i="7"/>
  <c r="D193" i="7"/>
  <c r="C193" i="7"/>
  <c r="B193" i="7"/>
  <c r="D192" i="7"/>
  <c r="C192" i="7"/>
  <c r="B192" i="7"/>
  <c r="D191" i="7"/>
  <c r="C191" i="7"/>
  <c r="B191" i="7"/>
  <c r="D190" i="7"/>
  <c r="C190" i="7"/>
  <c r="B190" i="7"/>
  <c r="D189" i="7"/>
  <c r="C189" i="7"/>
  <c r="B189" i="7"/>
  <c r="D188" i="7"/>
  <c r="C188" i="7"/>
  <c r="B188" i="7"/>
  <c r="D187" i="7"/>
  <c r="C187" i="7"/>
  <c r="B187" i="7"/>
  <c r="D186" i="7"/>
  <c r="C186" i="7"/>
  <c r="B186" i="7"/>
  <c r="A185" i="7"/>
  <c r="D184" i="7"/>
  <c r="C184" i="7"/>
  <c r="B184" i="7"/>
  <c r="D183" i="7"/>
  <c r="C183" i="7"/>
  <c r="B183" i="7"/>
  <c r="D182" i="7"/>
  <c r="C182" i="7"/>
  <c r="B182" i="7"/>
  <c r="D181" i="7"/>
  <c r="C181" i="7"/>
  <c r="B181" i="7"/>
  <c r="D180" i="7"/>
  <c r="C180" i="7"/>
  <c r="B180" i="7"/>
  <c r="D179" i="7"/>
  <c r="C179" i="7"/>
  <c r="B179" i="7"/>
  <c r="D178" i="7"/>
  <c r="C178" i="7"/>
  <c r="B178" i="7"/>
  <c r="D177" i="7"/>
  <c r="C177" i="7"/>
  <c r="B177" i="7"/>
  <c r="D176" i="7"/>
  <c r="C176" i="7"/>
  <c r="B176" i="7"/>
  <c r="D175" i="7"/>
  <c r="C175" i="7"/>
  <c r="B175" i="7"/>
  <c r="D174" i="7"/>
  <c r="C174" i="7"/>
  <c r="B174" i="7"/>
  <c r="D173" i="7"/>
  <c r="C173" i="7"/>
  <c r="B173" i="7"/>
  <c r="D172" i="7"/>
  <c r="C172" i="7"/>
  <c r="B172" i="7"/>
  <c r="D171" i="7"/>
  <c r="C171" i="7"/>
  <c r="B171" i="7"/>
  <c r="D170" i="7"/>
  <c r="C170" i="7"/>
  <c r="B170" i="7"/>
  <c r="D169" i="7"/>
  <c r="C169" i="7"/>
  <c r="B169" i="7"/>
  <c r="D168" i="7"/>
  <c r="C168" i="7"/>
  <c r="B168" i="7"/>
  <c r="D167" i="7"/>
  <c r="C167" i="7"/>
  <c r="B167" i="7"/>
  <c r="D166" i="7"/>
  <c r="C166" i="7"/>
  <c r="B166" i="7"/>
  <c r="D165" i="7"/>
  <c r="C165" i="7"/>
  <c r="B165" i="7"/>
  <c r="D164" i="7"/>
  <c r="C164" i="7"/>
  <c r="B164" i="7"/>
  <c r="D163" i="7"/>
  <c r="C163" i="7"/>
  <c r="B163" i="7"/>
  <c r="D162" i="7"/>
  <c r="C162" i="7"/>
  <c r="B162" i="7"/>
  <c r="D161" i="7"/>
  <c r="C161" i="7"/>
  <c r="B161" i="7"/>
  <c r="D160" i="7"/>
  <c r="C160" i="7"/>
  <c r="B160" i="7"/>
  <c r="D159" i="7"/>
  <c r="C159" i="7"/>
  <c r="B159" i="7"/>
  <c r="D158" i="7"/>
  <c r="C158" i="7"/>
  <c r="B158" i="7"/>
  <c r="A157" i="7"/>
  <c r="A156" i="7"/>
  <c r="D155" i="7"/>
  <c r="C155" i="7"/>
  <c r="B155" i="7"/>
  <c r="D154" i="7"/>
  <c r="C154" i="7"/>
  <c r="B154" i="7"/>
  <c r="D153" i="7"/>
  <c r="C153" i="7"/>
  <c r="B153" i="7"/>
  <c r="D152" i="7"/>
  <c r="C152" i="7"/>
  <c r="B152" i="7"/>
  <c r="D151" i="7"/>
  <c r="C151" i="7"/>
  <c r="B151" i="7"/>
  <c r="D150" i="7"/>
  <c r="C150" i="7"/>
  <c r="B150" i="7"/>
  <c r="D149" i="7"/>
  <c r="C149" i="7"/>
  <c r="B149" i="7"/>
  <c r="D148" i="7"/>
  <c r="C148" i="7"/>
  <c r="B148" i="7"/>
  <c r="D147" i="7"/>
  <c r="C147" i="7"/>
  <c r="B147" i="7"/>
  <c r="D146" i="7"/>
  <c r="C146" i="7"/>
  <c r="B146" i="7"/>
  <c r="D145" i="7"/>
  <c r="C145" i="7"/>
  <c r="B145" i="7"/>
  <c r="D144" i="7"/>
  <c r="C144" i="7"/>
  <c r="B144" i="7"/>
  <c r="D143" i="7"/>
  <c r="C143" i="7"/>
  <c r="B143" i="7"/>
  <c r="D142" i="7"/>
  <c r="C142" i="7"/>
  <c r="B142" i="7"/>
  <c r="D141" i="7"/>
  <c r="C141" i="7"/>
  <c r="B141" i="7"/>
  <c r="D140" i="7"/>
  <c r="C140" i="7"/>
  <c r="B140" i="7"/>
  <c r="D139" i="7"/>
  <c r="C139" i="7"/>
  <c r="B139" i="7"/>
  <c r="D138" i="7"/>
  <c r="C138" i="7"/>
  <c r="B138" i="7"/>
  <c r="D137" i="7"/>
  <c r="C137" i="7"/>
  <c r="B137" i="7"/>
  <c r="D136" i="7"/>
  <c r="C136" i="7"/>
  <c r="B136" i="7"/>
  <c r="D135" i="7"/>
  <c r="C135" i="7"/>
  <c r="B135" i="7"/>
  <c r="D134" i="7"/>
  <c r="C134" i="7"/>
  <c r="B134" i="7"/>
  <c r="D133" i="7"/>
  <c r="C133" i="7"/>
  <c r="B133" i="7"/>
  <c r="D132" i="7"/>
  <c r="C132" i="7"/>
  <c r="B132" i="7"/>
  <c r="D131" i="7"/>
  <c r="C131" i="7"/>
  <c r="B131" i="7"/>
  <c r="D130" i="7"/>
  <c r="C130" i="7"/>
  <c r="B130" i="7"/>
  <c r="D129" i="7"/>
  <c r="C129" i="7"/>
  <c r="B129" i="7"/>
  <c r="D128" i="7"/>
  <c r="C128" i="7"/>
  <c r="B128" i="7"/>
  <c r="D127" i="7"/>
  <c r="C127" i="7"/>
  <c r="B127" i="7"/>
  <c r="D126" i="7"/>
  <c r="C126" i="7"/>
  <c r="B126" i="7"/>
  <c r="D125" i="7"/>
  <c r="C125" i="7"/>
  <c r="B125" i="7"/>
  <c r="D124" i="7"/>
  <c r="C124" i="7"/>
  <c r="B124" i="7"/>
  <c r="D123" i="7"/>
  <c r="C123" i="7"/>
  <c r="B123" i="7"/>
  <c r="D122" i="7"/>
  <c r="C122" i="7"/>
  <c r="B122" i="7"/>
  <c r="A121" i="7"/>
  <c r="D120" i="7"/>
  <c r="C120" i="7"/>
  <c r="B120" i="7"/>
  <c r="D119" i="7"/>
  <c r="C119" i="7"/>
  <c r="B119" i="7"/>
  <c r="D118" i="7"/>
  <c r="C118" i="7"/>
  <c r="B118" i="7"/>
  <c r="D117" i="7"/>
  <c r="C117" i="7"/>
  <c r="B117" i="7"/>
  <c r="A116" i="7"/>
  <c r="A115" i="7"/>
  <c r="D114" i="7"/>
  <c r="C114" i="7"/>
  <c r="B114" i="7"/>
  <c r="D113" i="7"/>
  <c r="C113" i="7"/>
  <c r="B113" i="7"/>
  <c r="D112" i="7"/>
  <c r="C112" i="7"/>
  <c r="B112" i="7"/>
  <c r="D111" i="7"/>
  <c r="C111" i="7"/>
  <c r="B111" i="7"/>
  <c r="A110" i="7"/>
  <c r="D109" i="7"/>
  <c r="C109" i="7"/>
  <c r="B109" i="7"/>
  <c r="D108" i="7"/>
  <c r="C108" i="7"/>
  <c r="B108" i="7"/>
  <c r="D107" i="7"/>
  <c r="C107" i="7"/>
  <c r="B107" i="7"/>
  <c r="D106" i="7"/>
  <c r="C106" i="7"/>
  <c r="B106" i="7"/>
  <c r="D105" i="7"/>
  <c r="C105" i="7"/>
  <c r="B105" i="7"/>
  <c r="D104" i="7"/>
  <c r="C104" i="7"/>
  <c r="B104" i="7"/>
  <c r="D103" i="7"/>
  <c r="C103" i="7"/>
  <c r="B103" i="7"/>
  <c r="D102" i="7"/>
  <c r="C102" i="7"/>
  <c r="B102" i="7"/>
  <c r="D101" i="7"/>
  <c r="C101" i="7"/>
  <c r="B101" i="7"/>
  <c r="D100" i="7"/>
  <c r="C100" i="7"/>
  <c r="B100" i="7"/>
  <c r="D99" i="7"/>
  <c r="C99" i="7"/>
  <c r="B99" i="7"/>
  <c r="D98" i="7"/>
  <c r="C98" i="7"/>
  <c r="B98" i="7"/>
  <c r="D97" i="7"/>
  <c r="C97" i="7"/>
  <c r="B97" i="7"/>
  <c r="D96" i="7"/>
  <c r="C96" i="7"/>
  <c r="B96" i="7"/>
  <c r="D95" i="7"/>
  <c r="C95" i="7"/>
  <c r="B95" i="7"/>
  <c r="D94" i="7"/>
  <c r="C94" i="7"/>
  <c r="B94" i="7"/>
  <c r="D93" i="7"/>
  <c r="C93" i="7"/>
  <c r="B93" i="7"/>
  <c r="D92" i="7"/>
  <c r="C92" i="7"/>
  <c r="B92" i="7"/>
  <c r="D91" i="7"/>
  <c r="C91" i="7"/>
  <c r="B91" i="7"/>
  <c r="D90" i="7"/>
  <c r="C90" i="7"/>
  <c r="B90" i="7"/>
  <c r="D89" i="7"/>
  <c r="C89" i="7"/>
  <c r="B89" i="7"/>
  <c r="D88" i="7"/>
  <c r="C88" i="7"/>
  <c r="B88" i="7"/>
  <c r="D87" i="7"/>
  <c r="C87" i="7"/>
  <c r="B87" i="7"/>
  <c r="D86" i="7"/>
  <c r="C86" i="7"/>
  <c r="B86" i="7"/>
  <c r="D85" i="7"/>
  <c r="C85" i="7"/>
  <c r="B85" i="7"/>
  <c r="D84" i="7"/>
  <c r="C84" i="7"/>
  <c r="B84" i="7"/>
  <c r="D83" i="7"/>
  <c r="C83" i="7"/>
  <c r="B83" i="7"/>
  <c r="D82" i="7"/>
  <c r="C82" i="7"/>
  <c r="B82" i="7"/>
  <c r="D81" i="7"/>
  <c r="C81" i="7"/>
  <c r="B81" i="7"/>
  <c r="D80" i="7"/>
  <c r="C80" i="7"/>
  <c r="B80" i="7"/>
  <c r="D79" i="7"/>
  <c r="C79" i="7"/>
  <c r="B79" i="7"/>
  <c r="D78" i="7"/>
  <c r="C78" i="7"/>
  <c r="B78" i="7"/>
  <c r="D77" i="7"/>
  <c r="C77" i="7"/>
  <c r="B77" i="7"/>
  <c r="D76" i="7"/>
  <c r="C76" i="7"/>
  <c r="B76" i="7"/>
  <c r="D75" i="7"/>
  <c r="C75" i="7"/>
  <c r="B75" i="7"/>
  <c r="D74" i="7"/>
  <c r="C74" i="7"/>
  <c r="B74" i="7"/>
  <c r="D73" i="7"/>
  <c r="C73" i="7"/>
  <c r="B73" i="7"/>
  <c r="D72" i="7"/>
  <c r="C72" i="7"/>
  <c r="B72" i="7"/>
  <c r="D71" i="7"/>
  <c r="C71" i="7"/>
  <c r="B71" i="7"/>
  <c r="D70" i="7"/>
  <c r="C70" i="7"/>
  <c r="B70" i="7"/>
  <c r="D69" i="7"/>
  <c r="C69" i="7"/>
  <c r="B69" i="7"/>
  <c r="D68" i="7"/>
  <c r="C68" i="7"/>
  <c r="B68" i="7"/>
  <c r="D67" i="7"/>
  <c r="C67" i="7"/>
  <c r="B67" i="7"/>
  <c r="D66" i="7"/>
  <c r="C66" i="7"/>
  <c r="B66" i="7"/>
  <c r="D65" i="7"/>
  <c r="C65" i="7"/>
  <c r="B65" i="7"/>
  <c r="D64" i="7"/>
  <c r="C64" i="7"/>
  <c r="B64" i="7"/>
  <c r="D63" i="7"/>
  <c r="C63" i="7"/>
  <c r="B63" i="7"/>
  <c r="D62" i="7"/>
  <c r="C62" i="7"/>
  <c r="B62" i="7"/>
  <c r="D61" i="7"/>
  <c r="C61" i="7"/>
  <c r="B61" i="7"/>
  <c r="D60" i="7"/>
  <c r="C60" i="7"/>
  <c r="B60" i="7"/>
  <c r="D59" i="7"/>
  <c r="C59" i="7"/>
  <c r="B59" i="7"/>
  <c r="D58" i="7"/>
  <c r="C58" i="7"/>
  <c r="B58" i="7"/>
  <c r="D57" i="7"/>
  <c r="C57" i="7"/>
  <c r="B57" i="7"/>
  <c r="D56" i="7"/>
  <c r="C56" i="7"/>
  <c r="B56" i="7"/>
  <c r="D55" i="7"/>
  <c r="C55" i="7"/>
  <c r="B55" i="7"/>
  <c r="A54" i="7"/>
  <c r="D53" i="7"/>
  <c r="C53" i="7"/>
  <c r="B53" i="7"/>
  <c r="D52" i="7"/>
  <c r="C52" i="7"/>
  <c r="B52" i="7"/>
  <c r="D51" i="7"/>
  <c r="C51" i="7"/>
  <c r="B51" i="7"/>
  <c r="D50" i="7"/>
  <c r="C50" i="7"/>
  <c r="B50" i="7"/>
  <c r="D49" i="7"/>
  <c r="C49" i="7"/>
  <c r="B49" i="7"/>
  <c r="D48" i="7"/>
  <c r="C48" i="7"/>
  <c r="B48" i="7"/>
  <c r="D47" i="7"/>
  <c r="C47" i="7"/>
  <c r="B47" i="7"/>
  <c r="D46" i="7"/>
  <c r="C46" i="7"/>
  <c r="B46" i="7"/>
  <c r="D45" i="7"/>
  <c r="C45" i="7"/>
  <c r="B45" i="7"/>
  <c r="D44" i="7"/>
  <c r="C44" i="7"/>
  <c r="B44" i="7"/>
  <c r="D43" i="7"/>
  <c r="C43" i="7"/>
  <c r="B43" i="7"/>
  <c r="D42" i="7"/>
  <c r="C42" i="7"/>
  <c r="B42" i="7"/>
  <c r="D41" i="7"/>
  <c r="C41" i="7"/>
  <c r="B41" i="7"/>
  <c r="D40" i="7"/>
  <c r="C40" i="7"/>
  <c r="B40" i="7"/>
  <c r="D39" i="7"/>
  <c r="C39" i="7"/>
  <c r="B39" i="7"/>
  <c r="D38" i="7"/>
  <c r="C38" i="7"/>
  <c r="B38" i="7"/>
  <c r="D37" i="7"/>
  <c r="C37" i="7"/>
  <c r="B37" i="7"/>
  <c r="D36" i="7"/>
  <c r="C36" i="7"/>
  <c r="B36" i="7"/>
  <c r="D35" i="7"/>
  <c r="C35" i="7"/>
  <c r="B35" i="7"/>
  <c r="A34" i="7"/>
  <c r="A33" i="7"/>
  <c r="D32" i="7"/>
  <c r="C32" i="7"/>
  <c r="B32" i="7"/>
  <c r="D31" i="7"/>
  <c r="C31" i="7"/>
  <c r="B31" i="7"/>
  <c r="D30" i="7"/>
  <c r="C30" i="7"/>
  <c r="B30" i="7"/>
  <c r="D29" i="7"/>
  <c r="C29" i="7"/>
  <c r="B29" i="7"/>
  <c r="D28" i="7"/>
  <c r="C28" i="7"/>
  <c r="B28" i="7"/>
  <c r="D27" i="7"/>
  <c r="C27" i="7"/>
  <c r="B27" i="7"/>
  <c r="D26" i="7"/>
  <c r="C26" i="7"/>
  <c r="B26" i="7"/>
  <c r="D25" i="7"/>
  <c r="C25" i="7"/>
  <c r="B25" i="7"/>
  <c r="D24" i="7"/>
  <c r="C24" i="7"/>
  <c r="B24" i="7"/>
  <c r="D23" i="7"/>
  <c r="C23" i="7"/>
  <c r="B23" i="7"/>
  <c r="A22" i="7"/>
  <c r="D21" i="7"/>
  <c r="C21" i="7"/>
  <c r="B21" i="7"/>
  <c r="A20" i="7"/>
  <c r="A19" i="7"/>
  <c r="A12" i="7"/>
  <c r="A11" i="7"/>
  <c r="A1" i="7"/>
  <c r="H1704" i="6"/>
  <c r="H1701" i="6"/>
  <c r="C1704" i="6"/>
  <c r="C1701" i="6"/>
  <c r="J26" i="6"/>
  <c r="J25" i="6"/>
  <c r="J24" i="6"/>
  <c r="J23" i="6"/>
  <c r="J21" i="6" s="1"/>
  <c r="J22" i="6"/>
  <c r="I27" i="6"/>
  <c r="I26" i="6"/>
  <c r="I25" i="6"/>
  <c r="I24" i="6"/>
  <c r="I23" i="6"/>
  <c r="I22" i="6"/>
  <c r="I1697" i="6"/>
  <c r="J1697" i="6"/>
  <c r="A1696" i="6"/>
  <c r="I1693" i="6"/>
  <c r="J1693" i="6"/>
  <c r="H1692" i="6"/>
  <c r="J1692" i="6"/>
  <c r="A1692" i="6"/>
  <c r="Z1688" i="6"/>
  <c r="K1688" i="6"/>
  <c r="J1689" i="6" s="1"/>
  <c r="J1688" i="6"/>
  <c r="I1688" i="6"/>
  <c r="H1688" i="6"/>
  <c r="G1688" i="6"/>
  <c r="F1688" i="6"/>
  <c r="V1688" i="6"/>
  <c r="T1688" i="6"/>
  <c r="R1688" i="6"/>
  <c r="U1688" i="6"/>
  <c r="S1688" i="6"/>
  <c r="Q1688" i="6"/>
  <c r="E1688" i="6"/>
  <c r="D1688" i="6"/>
  <c r="B1688" i="6"/>
  <c r="A1687" i="6"/>
  <c r="I1685" i="6"/>
  <c r="J1685" i="6"/>
  <c r="I1684" i="6"/>
  <c r="J1684" i="6"/>
  <c r="AQ1683" i="6"/>
  <c r="A1683" i="6"/>
  <c r="I1681" i="6"/>
  <c r="J1681" i="6"/>
  <c r="I1680" i="6"/>
  <c r="J1680" i="6"/>
  <c r="A1679" i="6"/>
  <c r="O1676" i="6"/>
  <c r="H1676" i="6"/>
  <c r="J1676" i="6"/>
  <c r="K1675" i="6"/>
  <c r="P1676" i="6" s="1"/>
  <c r="J1675" i="6"/>
  <c r="I1675" i="6"/>
  <c r="H1675" i="6"/>
  <c r="G1675" i="6"/>
  <c r="F1675" i="6"/>
  <c r="V1675" i="6"/>
  <c r="T1675" i="6"/>
  <c r="R1675" i="6"/>
  <c r="U1675" i="6"/>
  <c r="S1675" i="6"/>
  <c r="Q1675" i="6"/>
  <c r="E1675" i="6"/>
  <c r="D1675" i="6"/>
  <c r="B1675" i="6"/>
  <c r="O1673" i="6"/>
  <c r="H1673" i="6"/>
  <c r="K1672" i="6"/>
  <c r="J1672" i="6"/>
  <c r="I1672" i="6"/>
  <c r="H1672" i="6"/>
  <c r="G1672" i="6"/>
  <c r="F1672" i="6"/>
  <c r="V1672" i="6"/>
  <c r="T1672" i="6"/>
  <c r="R1672" i="6"/>
  <c r="U1672" i="6"/>
  <c r="S1672" i="6"/>
  <c r="Q1672" i="6"/>
  <c r="E1672" i="6"/>
  <c r="D1672" i="6"/>
  <c r="B1672" i="6"/>
  <c r="H1670" i="6"/>
  <c r="P1670" i="6"/>
  <c r="J1670" i="6"/>
  <c r="K1669" i="6"/>
  <c r="J1669" i="6"/>
  <c r="I1669" i="6"/>
  <c r="O1670" i="6" s="1"/>
  <c r="H1669" i="6"/>
  <c r="G1669" i="6"/>
  <c r="F1669" i="6"/>
  <c r="V1669" i="6"/>
  <c r="T1669" i="6"/>
  <c r="R1669" i="6"/>
  <c r="U1669" i="6"/>
  <c r="S1669" i="6"/>
  <c r="Q1669" i="6"/>
  <c r="E1669" i="6"/>
  <c r="D1669" i="6"/>
  <c r="B1669" i="6"/>
  <c r="P1667" i="6"/>
  <c r="J1667" i="6"/>
  <c r="K1666" i="6"/>
  <c r="J1666" i="6"/>
  <c r="I1666" i="6"/>
  <c r="H1666" i="6"/>
  <c r="G1666" i="6"/>
  <c r="F1666" i="6"/>
  <c r="V1666" i="6"/>
  <c r="T1666" i="6"/>
  <c r="R1666" i="6"/>
  <c r="U1666" i="6"/>
  <c r="S1666" i="6"/>
  <c r="Q1666" i="6"/>
  <c r="E1666" i="6"/>
  <c r="D1666" i="6"/>
  <c r="B1666" i="6"/>
  <c r="O1664" i="6"/>
  <c r="H1664" i="6"/>
  <c r="J1664" i="6"/>
  <c r="K1663" i="6"/>
  <c r="P1664" i="6" s="1"/>
  <c r="J1663" i="6"/>
  <c r="I1663" i="6"/>
  <c r="H1663" i="6"/>
  <c r="G1663" i="6"/>
  <c r="F1663" i="6"/>
  <c r="V1663" i="6"/>
  <c r="T1663" i="6"/>
  <c r="R1663" i="6"/>
  <c r="U1663" i="6"/>
  <c r="S1663" i="6"/>
  <c r="Q1663" i="6"/>
  <c r="E1663" i="6"/>
  <c r="D1663" i="6"/>
  <c r="B1663" i="6"/>
  <c r="O1661" i="6"/>
  <c r="H1661" i="6"/>
  <c r="K1660" i="6"/>
  <c r="J1660" i="6"/>
  <c r="I1660" i="6"/>
  <c r="H1660" i="6"/>
  <c r="G1660" i="6"/>
  <c r="F1660" i="6"/>
  <c r="V1660" i="6"/>
  <c r="T1660" i="6"/>
  <c r="R1660" i="6"/>
  <c r="U1660" i="6"/>
  <c r="S1660" i="6"/>
  <c r="Q1660" i="6"/>
  <c r="E1660" i="6"/>
  <c r="D1660" i="6"/>
  <c r="B1660" i="6"/>
  <c r="H1658" i="6"/>
  <c r="P1658" i="6"/>
  <c r="J1658" i="6"/>
  <c r="K1657" i="6"/>
  <c r="J1657" i="6"/>
  <c r="I1657" i="6"/>
  <c r="O1658" i="6" s="1"/>
  <c r="H1657" i="6"/>
  <c r="G1657" i="6"/>
  <c r="F1657" i="6"/>
  <c r="V1657" i="6"/>
  <c r="T1657" i="6"/>
  <c r="R1657" i="6"/>
  <c r="U1657" i="6"/>
  <c r="S1657" i="6"/>
  <c r="Q1657" i="6"/>
  <c r="E1657" i="6"/>
  <c r="D1657" i="6"/>
  <c r="B1657" i="6"/>
  <c r="A1656" i="6"/>
  <c r="I1654" i="6"/>
  <c r="J1654" i="6"/>
  <c r="I1653" i="6"/>
  <c r="J1653" i="6"/>
  <c r="A1652" i="6"/>
  <c r="H1648" i="6"/>
  <c r="J1648" i="6"/>
  <c r="I1646" i="6"/>
  <c r="H1646" i="6"/>
  <c r="G1646" i="6"/>
  <c r="E1646" i="6"/>
  <c r="K1645" i="6"/>
  <c r="J1645" i="6"/>
  <c r="I1645" i="6"/>
  <c r="E1645" i="6"/>
  <c r="J1644" i="6"/>
  <c r="I1644" i="6"/>
  <c r="E1644" i="6"/>
  <c r="K1643" i="6"/>
  <c r="J1643" i="6"/>
  <c r="I1643" i="6"/>
  <c r="H1647" i="6" s="1"/>
  <c r="H1643" i="6"/>
  <c r="G1643" i="6"/>
  <c r="F1643" i="6"/>
  <c r="K1642" i="6"/>
  <c r="J1642" i="6"/>
  <c r="I1642" i="6"/>
  <c r="O1649" i="6" s="1"/>
  <c r="H1642" i="6"/>
  <c r="G1642" i="6"/>
  <c r="F1642" i="6"/>
  <c r="V1641" i="6"/>
  <c r="T1641" i="6"/>
  <c r="R1641" i="6"/>
  <c r="K1644" i="6" s="1"/>
  <c r="U1641" i="6"/>
  <c r="S1641" i="6"/>
  <c r="Q1641" i="6"/>
  <c r="E1641" i="6"/>
  <c r="D1641" i="6"/>
  <c r="H1638" i="6"/>
  <c r="J1638" i="6"/>
  <c r="I1636" i="6"/>
  <c r="H1636" i="6"/>
  <c r="G1636" i="6"/>
  <c r="E1636" i="6"/>
  <c r="J1635" i="6"/>
  <c r="I1635" i="6"/>
  <c r="E1635" i="6"/>
  <c r="J1634" i="6"/>
  <c r="E1634" i="6"/>
  <c r="K1633" i="6"/>
  <c r="J1633" i="6"/>
  <c r="H1633" i="6"/>
  <c r="I1633" i="6"/>
  <c r="F1633" i="6"/>
  <c r="V1633" i="6"/>
  <c r="T1633" i="6"/>
  <c r="R1633" i="6"/>
  <c r="U1633" i="6"/>
  <c r="S1633" i="6"/>
  <c r="Q1633" i="6"/>
  <c r="I1634" i="6" s="1"/>
  <c r="E1633" i="6"/>
  <c r="D1633" i="6"/>
  <c r="B1633" i="6"/>
  <c r="K1632" i="6"/>
  <c r="J1632" i="6"/>
  <c r="H1632" i="6"/>
  <c r="I1632" i="6"/>
  <c r="F1632" i="6"/>
  <c r="V1632" i="6"/>
  <c r="T1632" i="6"/>
  <c r="K1635" i="6" s="1"/>
  <c r="R1632" i="6"/>
  <c r="U1632" i="6"/>
  <c r="S1632" i="6"/>
  <c r="Q1632" i="6"/>
  <c r="E1632" i="6"/>
  <c r="D1632" i="6"/>
  <c r="B1632" i="6"/>
  <c r="K1631" i="6"/>
  <c r="J1631" i="6"/>
  <c r="I1631" i="6"/>
  <c r="H1631" i="6"/>
  <c r="G1631" i="6"/>
  <c r="F1631" i="6"/>
  <c r="K1630" i="6"/>
  <c r="J1630" i="6"/>
  <c r="I1630" i="6"/>
  <c r="H1630" i="6"/>
  <c r="G1630" i="6"/>
  <c r="F1630" i="6"/>
  <c r="V1629" i="6"/>
  <c r="T1629" i="6"/>
  <c r="R1629" i="6"/>
  <c r="K1634" i="6" s="1"/>
  <c r="U1629" i="6"/>
  <c r="S1629" i="6"/>
  <c r="Q1629" i="6"/>
  <c r="E1629" i="6"/>
  <c r="D1629" i="6"/>
  <c r="H1626" i="6"/>
  <c r="J1626" i="6"/>
  <c r="I1624" i="6"/>
  <c r="H1624" i="6"/>
  <c r="G1624" i="6"/>
  <c r="E1624" i="6"/>
  <c r="J1623" i="6"/>
  <c r="I1623" i="6"/>
  <c r="E1623" i="6"/>
  <c r="K1622" i="6"/>
  <c r="J1622" i="6"/>
  <c r="I1622" i="6"/>
  <c r="E1622" i="6"/>
  <c r="J1621" i="6"/>
  <c r="I1621" i="6"/>
  <c r="E1621" i="6"/>
  <c r="K1620" i="6"/>
  <c r="J1620" i="6"/>
  <c r="I1620" i="6"/>
  <c r="H1620" i="6"/>
  <c r="G1620" i="6"/>
  <c r="F1620" i="6"/>
  <c r="K1619" i="6"/>
  <c r="J1619" i="6"/>
  <c r="I1619" i="6"/>
  <c r="H1619" i="6"/>
  <c r="G1619" i="6"/>
  <c r="F1619" i="6"/>
  <c r="K1618" i="6"/>
  <c r="J1618" i="6"/>
  <c r="I1618" i="6"/>
  <c r="H1625" i="6" s="1"/>
  <c r="H1618" i="6"/>
  <c r="G1618" i="6"/>
  <c r="F1618" i="6"/>
  <c r="K1617" i="6"/>
  <c r="J1617" i="6"/>
  <c r="I1617" i="6"/>
  <c r="O1627" i="6" s="1"/>
  <c r="H1617" i="6"/>
  <c r="G1617" i="6"/>
  <c r="F1617" i="6"/>
  <c r="V1616" i="6"/>
  <c r="K1623" i="6" s="1"/>
  <c r="T1616" i="6"/>
  <c r="R1616" i="6"/>
  <c r="K1621" i="6" s="1"/>
  <c r="U1616" i="6"/>
  <c r="S1616" i="6"/>
  <c r="Q1616" i="6"/>
  <c r="E1616" i="6"/>
  <c r="D1616" i="6"/>
  <c r="B1616" i="6"/>
  <c r="H1613" i="6"/>
  <c r="J1613" i="6"/>
  <c r="I1611" i="6"/>
  <c r="H1611" i="6"/>
  <c r="G1611" i="6"/>
  <c r="E1611" i="6"/>
  <c r="J1610" i="6"/>
  <c r="E1610" i="6"/>
  <c r="J1609" i="6"/>
  <c r="E1609" i="6"/>
  <c r="J1608" i="6"/>
  <c r="E1608" i="6"/>
  <c r="K1607" i="6"/>
  <c r="J1607" i="6"/>
  <c r="H1607" i="6"/>
  <c r="I1607" i="6"/>
  <c r="F1607" i="6"/>
  <c r="V1607" i="6"/>
  <c r="T1607" i="6"/>
  <c r="R1607" i="6"/>
  <c r="U1607" i="6"/>
  <c r="S1607" i="6"/>
  <c r="I1609" i="6" s="1"/>
  <c r="Q1607" i="6"/>
  <c r="E1607" i="6"/>
  <c r="D1607" i="6"/>
  <c r="B1607" i="6"/>
  <c r="K1606" i="6"/>
  <c r="J1606" i="6"/>
  <c r="H1606" i="6"/>
  <c r="I1606" i="6"/>
  <c r="F1606" i="6"/>
  <c r="V1606" i="6"/>
  <c r="T1606" i="6"/>
  <c r="R1606" i="6"/>
  <c r="U1606" i="6"/>
  <c r="I1610" i="6" s="1"/>
  <c r="S1606" i="6"/>
  <c r="Q1606" i="6"/>
  <c r="E1606" i="6"/>
  <c r="D1606" i="6"/>
  <c r="B1606" i="6"/>
  <c r="K1605" i="6"/>
  <c r="J1605" i="6"/>
  <c r="I1605" i="6"/>
  <c r="H1605" i="6"/>
  <c r="G1605" i="6"/>
  <c r="F1605" i="6"/>
  <c r="K1604" i="6"/>
  <c r="J1604" i="6"/>
  <c r="I1604" i="6"/>
  <c r="H1604" i="6"/>
  <c r="G1604" i="6"/>
  <c r="F1604" i="6"/>
  <c r="K1603" i="6"/>
  <c r="J1603" i="6"/>
  <c r="I1603" i="6"/>
  <c r="H1603" i="6"/>
  <c r="G1603" i="6"/>
  <c r="F1603" i="6"/>
  <c r="K1602" i="6"/>
  <c r="J1602" i="6"/>
  <c r="I1602" i="6"/>
  <c r="H1602" i="6"/>
  <c r="G1602" i="6"/>
  <c r="F1602" i="6"/>
  <c r="V1601" i="6"/>
  <c r="T1601" i="6"/>
  <c r="K1609" i="6" s="1"/>
  <c r="R1601" i="6"/>
  <c r="U1601" i="6"/>
  <c r="S1601" i="6"/>
  <c r="Q1601" i="6"/>
  <c r="I1608" i="6" s="1"/>
  <c r="H1614" i="6" s="1"/>
  <c r="E1601" i="6"/>
  <c r="D1601" i="6"/>
  <c r="H1598" i="6"/>
  <c r="J1598" i="6"/>
  <c r="I1596" i="6"/>
  <c r="H1596" i="6"/>
  <c r="G1596" i="6"/>
  <c r="E1596" i="6"/>
  <c r="J1595" i="6"/>
  <c r="E1595" i="6"/>
  <c r="J1594" i="6"/>
  <c r="E1594" i="6"/>
  <c r="J1593" i="6"/>
  <c r="E1593" i="6"/>
  <c r="K1592" i="6"/>
  <c r="J1592" i="6"/>
  <c r="H1592" i="6"/>
  <c r="I1592" i="6"/>
  <c r="F1592" i="6"/>
  <c r="V1592" i="6"/>
  <c r="T1592" i="6"/>
  <c r="R1592" i="6"/>
  <c r="U1592" i="6"/>
  <c r="S1592" i="6"/>
  <c r="Q1592" i="6"/>
  <c r="I1593" i="6" s="1"/>
  <c r="E1592" i="6"/>
  <c r="D1592" i="6"/>
  <c r="B1592" i="6"/>
  <c r="K1591" i="6"/>
  <c r="J1591" i="6"/>
  <c r="H1591" i="6"/>
  <c r="I1591" i="6"/>
  <c r="F1591" i="6"/>
  <c r="V1591" i="6"/>
  <c r="T1591" i="6"/>
  <c r="R1591" i="6"/>
  <c r="U1591" i="6"/>
  <c r="S1591" i="6"/>
  <c r="Q1591" i="6"/>
  <c r="E1591" i="6"/>
  <c r="D1591" i="6"/>
  <c r="B1591" i="6"/>
  <c r="K1590" i="6"/>
  <c r="J1590" i="6"/>
  <c r="I1590" i="6"/>
  <c r="H1590" i="6"/>
  <c r="G1590" i="6"/>
  <c r="F1590" i="6"/>
  <c r="K1589" i="6"/>
  <c r="J1589" i="6"/>
  <c r="I1589" i="6"/>
  <c r="H1589" i="6"/>
  <c r="G1589" i="6"/>
  <c r="F1589" i="6"/>
  <c r="K1588" i="6"/>
  <c r="J1588" i="6"/>
  <c r="I1588" i="6"/>
  <c r="H1588" i="6"/>
  <c r="G1588" i="6"/>
  <c r="F1588" i="6"/>
  <c r="V1587" i="6"/>
  <c r="T1587" i="6"/>
  <c r="K1594" i="6" s="1"/>
  <c r="R1587" i="6"/>
  <c r="U1587" i="6"/>
  <c r="I1595" i="6" s="1"/>
  <c r="S1587" i="6"/>
  <c r="Q1587" i="6"/>
  <c r="E1587" i="6"/>
  <c r="D1587" i="6"/>
  <c r="A1586" i="6"/>
  <c r="A1584" i="6"/>
  <c r="I1582" i="6"/>
  <c r="J1582" i="6"/>
  <c r="I1581" i="6"/>
  <c r="J1581" i="6"/>
  <c r="A1580" i="6"/>
  <c r="I1578" i="6"/>
  <c r="J1578" i="6"/>
  <c r="I1577" i="6"/>
  <c r="J1577" i="6"/>
  <c r="A1576" i="6"/>
  <c r="O1573" i="6"/>
  <c r="H1573" i="6"/>
  <c r="H1572" i="6"/>
  <c r="H1571" i="6"/>
  <c r="J1572" i="6"/>
  <c r="J1571" i="6"/>
  <c r="K1570" i="6"/>
  <c r="P1573" i="6" s="1"/>
  <c r="J1570" i="6"/>
  <c r="I1570" i="6"/>
  <c r="H1570" i="6"/>
  <c r="G1570" i="6"/>
  <c r="F1570" i="6"/>
  <c r="V1569" i="6"/>
  <c r="T1569" i="6"/>
  <c r="R1569" i="6"/>
  <c r="U1569" i="6"/>
  <c r="S1569" i="6"/>
  <c r="Q1569" i="6"/>
  <c r="E1569" i="6"/>
  <c r="D1569" i="6"/>
  <c r="B1569" i="6"/>
  <c r="O1567" i="6"/>
  <c r="H1567" i="6"/>
  <c r="H1566" i="6"/>
  <c r="P1567" i="6"/>
  <c r="J1566" i="6"/>
  <c r="K1564" i="6"/>
  <c r="J1564" i="6"/>
  <c r="I1564" i="6"/>
  <c r="H1565" i="6" s="1"/>
  <c r="H1564" i="6"/>
  <c r="G1564" i="6"/>
  <c r="F1564" i="6"/>
  <c r="V1563" i="6"/>
  <c r="T1563" i="6"/>
  <c r="R1563" i="6"/>
  <c r="U1563" i="6"/>
  <c r="S1563" i="6"/>
  <c r="Q1563" i="6"/>
  <c r="E1563" i="6"/>
  <c r="D1563" i="6"/>
  <c r="B1563" i="6"/>
  <c r="H1561" i="6"/>
  <c r="H1560" i="6"/>
  <c r="J1560" i="6"/>
  <c r="J1558" i="6"/>
  <c r="I1558" i="6"/>
  <c r="H1559" i="6" s="1"/>
  <c r="E1558" i="6"/>
  <c r="K1557" i="6"/>
  <c r="J1557" i="6"/>
  <c r="I1557" i="6"/>
  <c r="H1557" i="6"/>
  <c r="G1557" i="6"/>
  <c r="F1557" i="6"/>
  <c r="K1556" i="6"/>
  <c r="J1556" i="6"/>
  <c r="I1556" i="6"/>
  <c r="O1561" i="6" s="1"/>
  <c r="H1576" i="6" s="1"/>
  <c r="H1556" i="6"/>
  <c r="G1556" i="6"/>
  <c r="F1556" i="6"/>
  <c r="V1555" i="6"/>
  <c r="K1558" i="6" s="1"/>
  <c r="J1561" i="6" s="1"/>
  <c r="T1555" i="6"/>
  <c r="R1555" i="6"/>
  <c r="U1555" i="6"/>
  <c r="S1555" i="6"/>
  <c r="Q1555" i="6"/>
  <c r="E1555" i="6"/>
  <c r="D1555" i="6"/>
  <c r="B1555" i="6"/>
  <c r="A1554" i="6"/>
  <c r="I1552" i="6"/>
  <c r="J1552" i="6"/>
  <c r="I1551" i="6"/>
  <c r="J1551" i="6"/>
  <c r="A1550" i="6"/>
  <c r="H1546" i="6"/>
  <c r="J1546" i="6"/>
  <c r="I1544" i="6"/>
  <c r="H1544" i="6"/>
  <c r="G1544" i="6"/>
  <c r="E1544" i="6"/>
  <c r="K1543" i="6"/>
  <c r="J1543" i="6"/>
  <c r="E1543" i="6"/>
  <c r="K1542" i="6"/>
  <c r="J1542" i="6"/>
  <c r="E1542" i="6"/>
  <c r="K1541" i="6"/>
  <c r="J1541" i="6"/>
  <c r="H1541" i="6"/>
  <c r="I1541" i="6"/>
  <c r="F1541" i="6"/>
  <c r="V1541" i="6"/>
  <c r="T1541" i="6"/>
  <c r="R1541" i="6"/>
  <c r="U1541" i="6"/>
  <c r="S1541" i="6"/>
  <c r="Q1541" i="6"/>
  <c r="I1542" i="6" s="1"/>
  <c r="E1541" i="6"/>
  <c r="D1541" i="6"/>
  <c r="B1541" i="6"/>
  <c r="K1540" i="6"/>
  <c r="J1540" i="6"/>
  <c r="I1540" i="6"/>
  <c r="H1547" i="6" s="1"/>
  <c r="H1540" i="6"/>
  <c r="G1540" i="6"/>
  <c r="F1540" i="6"/>
  <c r="K1539" i="6"/>
  <c r="J1539" i="6"/>
  <c r="I1539" i="6"/>
  <c r="H1539" i="6"/>
  <c r="G1539" i="6"/>
  <c r="F1539" i="6"/>
  <c r="V1538" i="6"/>
  <c r="T1538" i="6"/>
  <c r="R1538" i="6"/>
  <c r="U1538" i="6"/>
  <c r="S1538" i="6"/>
  <c r="I1543" i="6" s="1"/>
  <c r="Q1538" i="6"/>
  <c r="E1538" i="6"/>
  <c r="D1538" i="6"/>
  <c r="H1535" i="6"/>
  <c r="J1535" i="6"/>
  <c r="I1533" i="6"/>
  <c r="H1533" i="6"/>
  <c r="G1533" i="6"/>
  <c r="E1533" i="6"/>
  <c r="J1532" i="6"/>
  <c r="I1532" i="6"/>
  <c r="E1532" i="6"/>
  <c r="J1531" i="6"/>
  <c r="E1531" i="6"/>
  <c r="J1530" i="6"/>
  <c r="E1530" i="6"/>
  <c r="K1529" i="6"/>
  <c r="J1529" i="6"/>
  <c r="H1529" i="6"/>
  <c r="I1529" i="6"/>
  <c r="F1529" i="6"/>
  <c r="V1529" i="6"/>
  <c r="T1529" i="6"/>
  <c r="R1529" i="6"/>
  <c r="U1529" i="6"/>
  <c r="S1529" i="6"/>
  <c r="Q1529" i="6"/>
  <c r="I1530" i="6" s="1"/>
  <c r="E1529" i="6"/>
  <c r="D1529" i="6"/>
  <c r="B1529" i="6"/>
  <c r="K1528" i="6"/>
  <c r="J1528" i="6"/>
  <c r="I1528" i="6"/>
  <c r="H1528" i="6"/>
  <c r="G1528" i="6"/>
  <c r="F1528" i="6"/>
  <c r="K1527" i="6"/>
  <c r="J1527" i="6"/>
  <c r="I1527" i="6"/>
  <c r="H1527" i="6"/>
  <c r="G1527" i="6"/>
  <c r="F1527" i="6"/>
  <c r="K1526" i="6"/>
  <c r="J1526" i="6"/>
  <c r="I1526" i="6"/>
  <c r="H1526" i="6"/>
  <c r="G1526" i="6"/>
  <c r="F1526" i="6"/>
  <c r="K1525" i="6"/>
  <c r="J1525" i="6"/>
  <c r="I1525" i="6"/>
  <c r="H1525" i="6"/>
  <c r="G1525" i="6"/>
  <c r="F1525" i="6"/>
  <c r="V1524" i="6"/>
  <c r="K1532" i="6" s="1"/>
  <c r="T1524" i="6"/>
  <c r="R1524" i="6"/>
  <c r="K1530" i="6" s="1"/>
  <c r="U1524" i="6"/>
  <c r="S1524" i="6"/>
  <c r="I1531" i="6" s="1"/>
  <c r="Q1524" i="6"/>
  <c r="E1524" i="6"/>
  <c r="D1524" i="6"/>
  <c r="H1521" i="6"/>
  <c r="J1521" i="6"/>
  <c r="I1519" i="6"/>
  <c r="H1519" i="6"/>
  <c r="G1519" i="6"/>
  <c r="E1519" i="6"/>
  <c r="K1518" i="6"/>
  <c r="J1518" i="6"/>
  <c r="E1518" i="6"/>
  <c r="J1517" i="6"/>
  <c r="E1517" i="6"/>
  <c r="K1516" i="6"/>
  <c r="J1516" i="6"/>
  <c r="E1516" i="6"/>
  <c r="K1515" i="6"/>
  <c r="J1515" i="6"/>
  <c r="H1515" i="6"/>
  <c r="I1515" i="6"/>
  <c r="F1515" i="6"/>
  <c r="V1515" i="6"/>
  <c r="T1515" i="6"/>
  <c r="R1515" i="6"/>
  <c r="U1515" i="6"/>
  <c r="S1515" i="6"/>
  <c r="Q1515" i="6"/>
  <c r="E1515" i="6"/>
  <c r="D1515" i="6"/>
  <c r="B1515" i="6"/>
  <c r="K1514" i="6"/>
  <c r="J1514" i="6"/>
  <c r="H1514" i="6"/>
  <c r="I1514" i="6"/>
  <c r="F1514" i="6"/>
  <c r="V1514" i="6"/>
  <c r="T1514" i="6"/>
  <c r="K1517" i="6" s="1"/>
  <c r="R1514" i="6"/>
  <c r="U1514" i="6"/>
  <c r="S1514" i="6"/>
  <c r="Q1514" i="6"/>
  <c r="E1514" i="6"/>
  <c r="D1514" i="6"/>
  <c r="B1514" i="6"/>
  <c r="K1513" i="6"/>
  <c r="J1513" i="6"/>
  <c r="I1513" i="6"/>
  <c r="H1513" i="6"/>
  <c r="G1513" i="6"/>
  <c r="F1513" i="6"/>
  <c r="K1512" i="6"/>
  <c r="J1512" i="6"/>
  <c r="I1512" i="6"/>
  <c r="H1512" i="6"/>
  <c r="G1512" i="6"/>
  <c r="F1512" i="6"/>
  <c r="K1511" i="6"/>
  <c r="P1522" i="6" s="1"/>
  <c r="J1511" i="6"/>
  <c r="I1511" i="6"/>
  <c r="H1511" i="6"/>
  <c r="G1511" i="6"/>
  <c r="F1511" i="6"/>
  <c r="K1510" i="6"/>
  <c r="J1510" i="6"/>
  <c r="I1510" i="6"/>
  <c r="H1510" i="6"/>
  <c r="G1510" i="6"/>
  <c r="F1510" i="6"/>
  <c r="V1509" i="6"/>
  <c r="T1509" i="6"/>
  <c r="R1509" i="6"/>
  <c r="U1509" i="6"/>
  <c r="S1509" i="6"/>
  <c r="I1517" i="6" s="1"/>
  <c r="Q1509" i="6"/>
  <c r="I1516" i="6" s="1"/>
  <c r="E1509" i="6"/>
  <c r="D1509" i="6"/>
  <c r="H1506" i="6"/>
  <c r="J1506" i="6"/>
  <c r="I1504" i="6"/>
  <c r="H1504" i="6"/>
  <c r="G1504" i="6"/>
  <c r="E1504" i="6"/>
  <c r="J1503" i="6"/>
  <c r="E1503" i="6"/>
  <c r="K1502" i="6"/>
  <c r="J1502" i="6"/>
  <c r="E1502" i="6"/>
  <c r="K1501" i="6"/>
  <c r="J1501" i="6"/>
  <c r="E1501" i="6"/>
  <c r="K1500" i="6"/>
  <c r="J1500" i="6"/>
  <c r="H1500" i="6"/>
  <c r="I1500" i="6"/>
  <c r="F1500" i="6"/>
  <c r="V1500" i="6"/>
  <c r="T1500" i="6"/>
  <c r="R1500" i="6"/>
  <c r="U1500" i="6"/>
  <c r="S1500" i="6"/>
  <c r="Q1500" i="6"/>
  <c r="E1500" i="6"/>
  <c r="D1500" i="6"/>
  <c r="B1500" i="6"/>
  <c r="K1499" i="6"/>
  <c r="J1499" i="6"/>
  <c r="H1499" i="6"/>
  <c r="I1499" i="6"/>
  <c r="F1499" i="6"/>
  <c r="V1499" i="6"/>
  <c r="T1499" i="6"/>
  <c r="R1499" i="6"/>
  <c r="U1499" i="6"/>
  <c r="I1503" i="6" s="1"/>
  <c r="S1499" i="6"/>
  <c r="Q1499" i="6"/>
  <c r="E1499" i="6"/>
  <c r="D1499" i="6"/>
  <c r="B1499" i="6"/>
  <c r="K1498" i="6"/>
  <c r="J1498" i="6"/>
  <c r="I1498" i="6"/>
  <c r="H1498" i="6"/>
  <c r="G1498" i="6"/>
  <c r="F1498" i="6"/>
  <c r="K1497" i="6"/>
  <c r="J1497" i="6"/>
  <c r="I1497" i="6"/>
  <c r="H1497" i="6"/>
  <c r="G1497" i="6"/>
  <c r="F1497" i="6"/>
  <c r="K1496" i="6"/>
  <c r="J1496" i="6"/>
  <c r="I1496" i="6"/>
  <c r="H1496" i="6"/>
  <c r="G1496" i="6"/>
  <c r="F1496" i="6"/>
  <c r="K1495" i="6"/>
  <c r="J1505" i="6" s="1"/>
  <c r="J1495" i="6"/>
  <c r="I1495" i="6"/>
  <c r="H1495" i="6"/>
  <c r="G1495" i="6"/>
  <c r="F1495" i="6"/>
  <c r="V1494" i="6"/>
  <c r="K1503" i="6" s="1"/>
  <c r="T1494" i="6"/>
  <c r="R1494" i="6"/>
  <c r="U1494" i="6"/>
  <c r="S1494" i="6"/>
  <c r="I1502" i="6" s="1"/>
  <c r="Q1494" i="6"/>
  <c r="E1494" i="6"/>
  <c r="D1494" i="6"/>
  <c r="A1493" i="6"/>
  <c r="I1491" i="6"/>
  <c r="J1491" i="6"/>
  <c r="I1490" i="6"/>
  <c r="J1490" i="6"/>
  <c r="A1489" i="6"/>
  <c r="H1485" i="6"/>
  <c r="J1485" i="6"/>
  <c r="I1483" i="6"/>
  <c r="H1483" i="6"/>
  <c r="G1483" i="6"/>
  <c r="E1483" i="6"/>
  <c r="K1482" i="6"/>
  <c r="J1482" i="6"/>
  <c r="E1482" i="6"/>
  <c r="J1481" i="6"/>
  <c r="E1481" i="6"/>
  <c r="K1480" i="6"/>
  <c r="J1480" i="6"/>
  <c r="E1480" i="6"/>
  <c r="K1479" i="6"/>
  <c r="J1479" i="6"/>
  <c r="H1479" i="6"/>
  <c r="I1479" i="6"/>
  <c r="F1479" i="6"/>
  <c r="V1479" i="6"/>
  <c r="T1479" i="6"/>
  <c r="R1479" i="6"/>
  <c r="U1479" i="6"/>
  <c r="S1479" i="6"/>
  <c r="Q1479" i="6"/>
  <c r="E1479" i="6"/>
  <c r="D1479" i="6"/>
  <c r="B1479" i="6"/>
  <c r="K1478" i="6"/>
  <c r="J1478" i="6"/>
  <c r="H1478" i="6"/>
  <c r="I1478" i="6"/>
  <c r="F1478" i="6"/>
  <c r="V1478" i="6"/>
  <c r="T1478" i="6"/>
  <c r="R1478" i="6"/>
  <c r="U1478" i="6"/>
  <c r="S1478" i="6"/>
  <c r="Q1478" i="6"/>
  <c r="E1478" i="6"/>
  <c r="D1478" i="6"/>
  <c r="B1478" i="6"/>
  <c r="K1477" i="6"/>
  <c r="J1477" i="6"/>
  <c r="H1477" i="6"/>
  <c r="I1477" i="6"/>
  <c r="F1477" i="6"/>
  <c r="V1477" i="6"/>
  <c r="T1477" i="6"/>
  <c r="R1477" i="6"/>
  <c r="U1477" i="6"/>
  <c r="S1477" i="6"/>
  <c r="Q1477" i="6"/>
  <c r="E1477" i="6"/>
  <c r="D1477" i="6"/>
  <c r="B1477" i="6"/>
  <c r="K1476" i="6"/>
  <c r="J1476" i="6"/>
  <c r="H1476" i="6"/>
  <c r="I1476" i="6"/>
  <c r="F1476" i="6"/>
  <c r="V1476" i="6"/>
  <c r="T1476" i="6"/>
  <c r="R1476" i="6"/>
  <c r="U1476" i="6"/>
  <c r="S1476" i="6"/>
  <c r="Q1476" i="6"/>
  <c r="E1476" i="6"/>
  <c r="D1476" i="6"/>
  <c r="B1476" i="6"/>
  <c r="K1475" i="6"/>
  <c r="J1475" i="6"/>
  <c r="H1475" i="6"/>
  <c r="I1475" i="6"/>
  <c r="F1475" i="6"/>
  <c r="V1475" i="6"/>
  <c r="T1475" i="6"/>
  <c r="R1475" i="6"/>
  <c r="U1475" i="6"/>
  <c r="S1475" i="6"/>
  <c r="Q1475" i="6"/>
  <c r="E1475" i="6"/>
  <c r="D1475" i="6"/>
  <c r="B1475" i="6"/>
  <c r="K1474" i="6"/>
  <c r="J1474" i="6"/>
  <c r="H1474" i="6"/>
  <c r="I1474" i="6"/>
  <c r="F1474" i="6"/>
  <c r="V1474" i="6"/>
  <c r="T1474" i="6"/>
  <c r="R1474" i="6"/>
  <c r="U1474" i="6"/>
  <c r="S1474" i="6"/>
  <c r="Q1474" i="6"/>
  <c r="E1474" i="6"/>
  <c r="D1474" i="6"/>
  <c r="B1474" i="6"/>
  <c r="K1473" i="6"/>
  <c r="J1473" i="6"/>
  <c r="H1473" i="6"/>
  <c r="I1473" i="6"/>
  <c r="F1473" i="6"/>
  <c r="V1473" i="6"/>
  <c r="T1473" i="6"/>
  <c r="R1473" i="6"/>
  <c r="U1473" i="6"/>
  <c r="S1473" i="6"/>
  <c r="Q1473" i="6"/>
  <c r="E1473" i="6"/>
  <c r="D1473" i="6"/>
  <c r="B1473" i="6"/>
  <c r="K1472" i="6"/>
  <c r="J1472" i="6"/>
  <c r="H1472" i="6"/>
  <c r="I1472" i="6"/>
  <c r="F1472" i="6"/>
  <c r="V1472" i="6"/>
  <c r="T1472" i="6"/>
  <c r="K1481" i="6" s="1"/>
  <c r="R1472" i="6"/>
  <c r="U1472" i="6"/>
  <c r="S1472" i="6"/>
  <c r="Q1472" i="6"/>
  <c r="E1472" i="6"/>
  <c r="D1472" i="6"/>
  <c r="B1472" i="6"/>
  <c r="K1471" i="6"/>
  <c r="J1471" i="6"/>
  <c r="I1471" i="6"/>
  <c r="H1471" i="6"/>
  <c r="G1471" i="6"/>
  <c r="F1471" i="6"/>
  <c r="K1470" i="6"/>
  <c r="J1470" i="6"/>
  <c r="I1470" i="6"/>
  <c r="H1470" i="6"/>
  <c r="G1470" i="6"/>
  <c r="F1470" i="6"/>
  <c r="K1469" i="6"/>
  <c r="P1486" i="6" s="1"/>
  <c r="J1469" i="6"/>
  <c r="I1469" i="6"/>
  <c r="H1469" i="6"/>
  <c r="G1469" i="6"/>
  <c r="F1469" i="6"/>
  <c r="K1468" i="6"/>
  <c r="J1468" i="6"/>
  <c r="I1468" i="6"/>
  <c r="H1468" i="6"/>
  <c r="G1468" i="6"/>
  <c r="F1468" i="6"/>
  <c r="V1467" i="6"/>
  <c r="T1467" i="6"/>
  <c r="R1467" i="6"/>
  <c r="U1467" i="6"/>
  <c r="I1482" i="6" s="1"/>
  <c r="S1467" i="6"/>
  <c r="I1481" i="6" s="1"/>
  <c r="Q1467" i="6"/>
  <c r="E1467" i="6"/>
  <c r="D1467" i="6"/>
  <c r="H1464" i="6"/>
  <c r="J1464" i="6"/>
  <c r="I1462" i="6"/>
  <c r="H1462" i="6"/>
  <c r="G1462" i="6"/>
  <c r="E1462" i="6"/>
  <c r="J1461" i="6"/>
  <c r="E1461" i="6"/>
  <c r="K1460" i="6"/>
  <c r="J1460" i="6"/>
  <c r="E1460" i="6"/>
  <c r="K1459" i="6"/>
  <c r="J1459" i="6"/>
  <c r="E1459" i="6"/>
  <c r="K1458" i="6"/>
  <c r="J1458" i="6"/>
  <c r="H1458" i="6"/>
  <c r="I1458" i="6"/>
  <c r="F1458" i="6"/>
  <c r="V1458" i="6"/>
  <c r="T1458" i="6"/>
  <c r="R1458" i="6"/>
  <c r="U1458" i="6"/>
  <c r="S1458" i="6"/>
  <c r="Q1458" i="6"/>
  <c r="E1458" i="6"/>
  <c r="D1458" i="6"/>
  <c r="B1458" i="6"/>
  <c r="K1457" i="6"/>
  <c r="J1457" i="6"/>
  <c r="H1457" i="6"/>
  <c r="I1457" i="6"/>
  <c r="F1457" i="6"/>
  <c r="V1457" i="6"/>
  <c r="T1457" i="6"/>
  <c r="R1457" i="6"/>
  <c r="U1457" i="6"/>
  <c r="S1457" i="6"/>
  <c r="Q1457" i="6"/>
  <c r="E1457" i="6"/>
  <c r="D1457" i="6"/>
  <c r="B1457" i="6"/>
  <c r="K1456" i="6"/>
  <c r="J1456" i="6"/>
  <c r="H1456" i="6"/>
  <c r="I1456" i="6"/>
  <c r="F1456" i="6"/>
  <c r="V1456" i="6"/>
  <c r="T1456" i="6"/>
  <c r="R1456" i="6"/>
  <c r="U1456" i="6"/>
  <c r="S1456" i="6"/>
  <c r="Q1456" i="6"/>
  <c r="E1456" i="6"/>
  <c r="D1456" i="6"/>
  <c r="B1456" i="6"/>
  <c r="K1455" i="6"/>
  <c r="J1455" i="6"/>
  <c r="H1455" i="6"/>
  <c r="I1455" i="6"/>
  <c r="F1455" i="6"/>
  <c r="V1455" i="6"/>
  <c r="T1455" i="6"/>
  <c r="R1455" i="6"/>
  <c r="U1455" i="6"/>
  <c r="I1461" i="6" s="1"/>
  <c r="S1455" i="6"/>
  <c r="Q1455" i="6"/>
  <c r="E1455" i="6"/>
  <c r="D1455" i="6"/>
  <c r="B1455" i="6"/>
  <c r="K1454" i="6"/>
  <c r="J1454" i="6"/>
  <c r="I1454" i="6"/>
  <c r="H1454" i="6"/>
  <c r="G1454" i="6"/>
  <c r="F1454" i="6"/>
  <c r="K1453" i="6"/>
  <c r="J1453" i="6"/>
  <c r="I1453" i="6"/>
  <c r="H1453" i="6"/>
  <c r="G1453" i="6"/>
  <c r="F1453" i="6"/>
  <c r="K1452" i="6"/>
  <c r="J1452" i="6"/>
  <c r="I1452" i="6"/>
  <c r="H1452" i="6"/>
  <c r="G1452" i="6"/>
  <c r="F1452" i="6"/>
  <c r="K1451" i="6"/>
  <c r="J1465" i="6" s="1"/>
  <c r="J1451" i="6"/>
  <c r="I1451" i="6"/>
  <c r="H1451" i="6"/>
  <c r="G1451" i="6"/>
  <c r="F1451" i="6"/>
  <c r="V1450" i="6"/>
  <c r="K1461" i="6" s="1"/>
  <c r="T1450" i="6"/>
  <c r="R1450" i="6"/>
  <c r="U1450" i="6"/>
  <c r="S1450" i="6"/>
  <c r="I1460" i="6" s="1"/>
  <c r="Q1450" i="6"/>
  <c r="E1450" i="6"/>
  <c r="D1450" i="6"/>
  <c r="A1449" i="6"/>
  <c r="I1447" i="6"/>
  <c r="J1447" i="6"/>
  <c r="I1446" i="6"/>
  <c r="J1446" i="6"/>
  <c r="A1445" i="6"/>
  <c r="H1441" i="6"/>
  <c r="J1441" i="6"/>
  <c r="I1439" i="6"/>
  <c r="H1439" i="6"/>
  <c r="G1439" i="6"/>
  <c r="E1439" i="6"/>
  <c r="K1438" i="6"/>
  <c r="J1438" i="6"/>
  <c r="E1438" i="6"/>
  <c r="J1437" i="6"/>
  <c r="E1437" i="6"/>
  <c r="K1436" i="6"/>
  <c r="P1442" i="6" s="1"/>
  <c r="J1436" i="6"/>
  <c r="E1436" i="6"/>
  <c r="K1435" i="6"/>
  <c r="J1435" i="6"/>
  <c r="H1435" i="6"/>
  <c r="I1435" i="6"/>
  <c r="F1435" i="6"/>
  <c r="V1435" i="6"/>
  <c r="T1435" i="6"/>
  <c r="R1435" i="6"/>
  <c r="U1435" i="6"/>
  <c r="S1435" i="6"/>
  <c r="Q1435" i="6"/>
  <c r="E1435" i="6"/>
  <c r="D1435" i="6"/>
  <c r="B1435" i="6"/>
  <c r="K1434" i="6"/>
  <c r="J1434" i="6"/>
  <c r="H1434" i="6"/>
  <c r="I1434" i="6"/>
  <c r="F1434" i="6"/>
  <c r="V1434" i="6"/>
  <c r="T1434" i="6"/>
  <c r="K1437" i="6" s="1"/>
  <c r="R1434" i="6"/>
  <c r="U1434" i="6"/>
  <c r="S1434" i="6"/>
  <c r="Q1434" i="6"/>
  <c r="E1434" i="6"/>
  <c r="D1434" i="6"/>
  <c r="B1434" i="6"/>
  <c r="K1433" i="6"/>
  <c r="J1433" i="6"/>
  <c r="H1433" i="6"/>
  <c r="I1433" i="6"/>
  <c r="F1433" i="6"/>
  <c r="V1433" i="6"/>
  <c r="T1433" i="6"/>
  <c r="R1433" i="6"/>
  <c r="U1433" i="6"/>
  <c r="S1433" i="6"/>
  <c r="Q1433" i="6"/>
  <c r="E1433" i="6"/>
  <c r="D1433" i="6"/>
  <c r="B1433" i="6"/>
  <c r="K1432" i="6"/>
  <c r="J1432" i="6"/>
  <c r="I1432" i="6"/>
  <c r="H1432" i="6"/>
  <c r="G1432" i="6"/>
  <c r="F1432" i="6"/>
  <c r="K1431" i="6"/>
  <c r="J1431" i="6"/>
  <c r="I1431" i="6"/>
  <c r="H1431" i="6"/>
  <c r="G1431" i="6"/>
  <c r="F1431" i="6"/>
  <c r="K1430" i="6"/>
  <c r="J1430" i="6"/>
  <c r="I1430" i="6"/>
  <c r="H1430" i="6"/>
  <c r="G1430" i="6"/>
  <c r="F1430" i="6"/>
  <c r="K1429" i="6"/>
  <c r="J1429" i="6"/>
  <c r="I1429" i="6"/>
  <c r="H1429" i="6"/>
  <c r="G1429" i="6"/>
  <c r="F1429" i="6"/>
  <c r="V1428" i="6"/>
  <c r="T1428" i="6"/>
  <c r="R1428" i="6"/>
  <c r="U1428" i="6"/>
  <c r="I1438" i="6" s="1"/>
  <c r="S1428" i="6"/>
  <c r="I1437" i="6" s="1"/>
  <c r="Q1428" i="6"/>
  <c r="E1428" i="6"/>
  <c r="D1428" i="6"/>
  <c r="H1425" i="6"/>
  <c r="J1425" i="6"/>
  <c r="I1423" i="6"/>
  <c r="H1423" i="6"/>
  <c r="G1423" i="6"/>
  <c r="E1423" i="6"/>
  <c r="J1422" i="6"/>
  <c r="I1422" i="6"/>
  <c r="E1422" i="6"/>
  <c r="J1421" i="6"/>
  <c r="E1421" i="6"/>
  <c r="J1420" i="6"/>
  <c r="E1420" i="6"/>
  <c r="K1419" i="6"/>
  <c r="J1419" i="6"/>
  <c r="H1419" i="6"/>
  <c r="I1419" i="6"/>
  <c r="F1419" i="6"/>
  <c r="V1419" i="6"/>
  <c r="T1419" i="6"/>
  <c r="R1419" i="6"/>
  <c r="U1419" i="6"/>
  <c r="S1419" i="6"/>
  <c r="Q1419" i="6"/>
  <c r="I1420" i="6" s="1"/>
  <c r="E1419" i="6"/>
  <c r="D1419" i="6"/>
  <c r="B1419" i="6"/>
  <c r="K1418" i="6"/>
  <c r="J1418" i="6"/>
  <c r="I1418" i="6"/>
  <c r="H1418" i="6"/>
  <c r="G1418" i="6"/>
  <c r="F1418" i="6"/>
  <c r="K1417" i="6"/>
  <c r="J1417" i="6"/>
  <c r="I1417" i="6"/>
  <c r="H1417" i="6"/>
  <c r="G1417" i="6"/>
  <c r="F1417" i="6"/>
  <c r="K1416" i="6"/>
  <c r="J1416" i="6"/>
  <c r="I1416" i="6"/>
  <c r="H1416" i="6"/>
  <c r="G1416" i="6"/>
  <c r="F1416" i="6"/>
  <c r="K1415" i="6"/>
  <c r="J1415" i="6"/>
  <c r="I1415" i="6"/>
  <c r="H1415" i="6"/>
  <c r="G1415" i="6"/>
  <c r="F1415" i="6"/>
  <c r="V1414" i="6"/>
  <c r="K1422" i="6" s="1"/>
  <c r="T1414" i="6"/>
  <c r="R1414" i="6"/>
  <c r="K1420" i="6" s="1"/>
  <c r="U1414" i="6"/>
  <c r="S1414" i="6"/>
  <c r="I1421" i="6" s="1"/>
  <c r="Q1414" i="6"/>
  <c r="E1414" i="6"/>
  <c r="D1414" i="6"/>
  <c r="O1412" i="6"/>
  <c r="H1411" i="6"/>
  <c r="J1411" i="6"/>
  <c r="I1409" i="6"/>
  <c r="H1409" i="6"/>
  <c r="G1409" i="6"/>
  <c r="E1409" i="6"/>
  <c r="K1408" i="6"/>
  <c r="J1408" i="6"/>
  <c r="E1408" i="6"/>
  <c r="K1407" i="6"/>
  <c r="J1407" i="6"/>
  <c r="E1407" i="6"/>
  <c r="J1406" i="6"/>
  <c r="E1406" i="6"/>
  <c r="K1405" i="6"/>
  <c r="J1405" i="6"/>
  <c r="H1405" i="6"/>
  <c r="I1405" i="6"/>
  <c r="F1405" i="6"/>
  <c r="V1405" i="6"/>
  <c r="T1405" i="6"/>
  <c r="R1405" i="6"/>
  <c r="U1405" i="6"/>
  <c r="S1405" i="6"/>
  <c r="Q1405" i="6"/>
  <c r="I1406" i="6" s="1"/>
  <c r="E1405" i="6"/>
  <c r="D1405" i="6"/>
  <c r="B1405" i="6"/>
  <c r="K1404" i="6"/>
  <c r="J1404" i="6"/>
  <c r="I1404" i="6"/>
  <c r="H1404" i="6"/>
  <c r="G1404" i="6"/>
  <c r="F1404" i="6"/>
  <c r="K1403" i="6"/>
  <c r="J1403" i="6"/>
  <c r="I1403" i="6"/>
  <c r="H1403" i="6"/>
  <c r="G1403" i="6"/>
  <c r="F1403" i="6"/>
  <c r="K1402" i="6"/>
  <c r="J1402" i="6"/>
  <c r="I1402" i="6"/>
  <c r="H1402" i="6"/>
  <c r="G1402" i="6"/>
  <c r="F1402" i="6"/>
  <c r="K1401" i="6"/>
  <c r="J1401" i="6"/>
  <c r="I1401" i="6"/>
  <c r="H1401" i="6"/>
  <c r="G1401" i="6"/>
  <c r="F1401" i="6"/>
  <c r="V1400" i="6"/>
  <c r="T1400" i="6"/>
  <c r="R1400" i="6"/>
  <c r="K1406" i="6" s="1"/>
  <c r="U1400" i="6"/>
  <c r="I1408" i="6" s="1"/>
  <c r="S1400" i="6"/>
  <c r="I1407" i="6" s="1"/>
  <c r="Q1400" i="6"/>
  <c r="E1400" i="6"/>
  <c r="D1400" i="6"/>
  <c r="H1397" i="6"/>
  <c r="J1397" i="6"/>
  <c r="I1395" i="6"/>
  <c r="H1395" i="6"/>
  <c r="G1395" i="6"/>
  <c r="E1395" i="6"/>
  <c r="J1394" i="6"/>
  <c r="E1394" i="6"/>
  <c r="J1393" i="6"/>
  <c r="E1393" i="6"/>
  <c r="K1392" i="6"/>
  <c r="J1392" i="6"/>
  <c r="H1392" i="6"/>
  <c r="I1392" i="6"/>
  <c r="F1392" i="6"/>
  <c r="V1392" i="6"/>
  <c r="T1392" i="6"/>
  <c r="R1392" i="6"/>
  <c r="U1392" i="6"/>
  <c r="S1392" i="6"/>
  <c r="Q1392" i="6"/>
  <c r="I1393" i="6" s="1"/>
  <c r="E1392" i="6"/>
  <c r="D1392" i="6"/>
  <c r="B1392" i="6"/>
  <c r="K1391" i="6"/>
  <c r="J1391" i="6"/>
  <c r="H1391" i="6"/>
  <c r="I1391" i="6"/>
  <c r="F1391" i="6"/>
  <c r="V1391" i="6"/>
  <c r="T1391" i="6"/>
  <c r="R1391" i="6"/>
  <c r="U1391" i="6"/>
  <c r="S1391" i="6"/>
  <c r="Q1391" i="6"/>
  <c r="E1391" i="6"/>
  <c r="D1391" i="6"/>
  <c r="B1391" i="6"/>
  <c r="K1390" i="6"/>
  <c r="J1390" i="6"/>
  <c r="I1390" i="6"/>
  <c r="H1390" i="6"/>
  <c r="G1390" i="6"/>
  <c r="F1390" i="6"/>
  <c r="V1389" i="6"/>
  <c r="T1389" i="6"/>
  <c r="R1389" i="6"/>
  <c r="K1393" i="6" s="1"/>
  <c r="U1389" i="6"/>
  <c r="S1389" i="6"/>
  <c r="I1394" i="6" s="1"/>
  <c r="Q1389" i="6"/>
  <c r="E1389" i="6"/>
  <c r="D1389" i="6"/>
  <c r="H1386" i="6"/>
  <c r="J1386" i="6"/>
  <c r="I1384" i="6"/>
  <c r="H1384" i="6"/>
  <c r="G1384" i="6"/>
  <c r="E1384" i="6"/>
  <c r="K1383" i="6"/>
  <c r="J1383" i="6"/>
  <c r="E1383" i="6"/>
  <c r="K1382" i="6"/>
  <c r="J1382" i="6"/>
  <c r="E1382" i="6"/>
  <c r="J1381" i="6"/>
  <c r="E1381" i="6"/>
  <c r="K1380" i="6"/>
  <c r="J1380" i="6"/>
  <c r="H1380" i="6"/>
  <c r="I1380" i="6"/>
  <c r="F1380" i="6"/>
  <c r="V1380" i="6"/>
  <c r="T1380" i="6"/>
  <c r="R1380" i="6"/>
  <c r="U1380" i="6"/>
  <c r="S1380" i="6"/>
  <c r="Q1380" i="6"/>
  <c r="E1380" i="6"/>
  <c r="D1380" i="6"/>
  <c r="B1380" i="6"/>
  <c r="K1379" i="6"/>
  <c r="J1379" i="6"/>
  <c r="H1379" i="6"/>
  <c r="I1379" i="6"/>
  <c r="F1379" i="6"/>
  <c r="V1379" i="6"/>
  <c r="T1379" i="6"/>
  <c r="R1379" i="6"/>
  <c r="U1379" i="6"/>
  <c r="S1379" i="6"/>
  <c r="Q1379" i="6"/>
  <c r="E1379" i="6"/>
  <c r="D1379" i="6"/>
  <c r="B1379" i="6"/>
  <c r="K1378" i="6"/>
  <c r="J1378" i="6"/>
  <c r="H1378" i="6"/>
  <c r="I1378" i="6"/>
  <c r="F1378" i="6"/>
  <c r="V1378" i="6"/>
  <c r="T1378" i="6"/>
  <c r="R1378" i="6"/>
  <c r="U1378" i="6"/>
  <c r="S1378" i="6"/>
  <c r="Q1378" i="6"/>
  <c r="I1381" i="6" s="1"/>
  <c r="E1378" i="6"/>
  <c r="D1378" i="6"/>
  <c r="B1378" i="6"/>
  <c r="K1377" i="6"/>
  <c r="J1377" i="6"/>
  <c r="I1377" i="6"/>
  <c r="H1377" i="6"/>
  <c r="G1377" i="6"/>
  <c r="F1377" i="6"/>
  <c r="K1376" i="6"/>
  <c r="J1376" i="6"/>
  <c r="I1376" i="6"/>
  <c r="H1376" i="6"/>
  <c r="G1376" i="6"/>
  <c r="F1376" i="6"/>
  <c r="K1375" i="6"/>
  <c r="J1375" i="6"/>
  <c r="I1375" i="6"/>
  <c r="H1375" i="6"/>
  <c r="G1375" i="6"/>
  <c r="F1375" i="6"/>
  <c r="K1374" i="6"/>
  <c r="J1374" i="6"/>
  <c r="I1374" i="6"/>
  <c r="H1374" i="6"/>
  <c r="G1374" i="6"/>
  <c r="F1374" i="6"/>
  <c r="V1373" i="6"/>
  <c r="T1373" i="6"/>
  <c r="R1373" i="6"/>
  <c r="K1381" i="6" s="1"/>
  <c r="U1373" i="6"/>
  <c r="S1373" i="6"/>
  <c r="I1382" i="6" s="1"/>
  <c r="Q1373" i="6"/>
  <c r="E1373" i="6"/>
  <c r="D1373" i="6"/>
  <c r="H1370" i="6"/>
  <c r="J1370" i="6"/>
  <c r="I1368" i="6"/>
  <c r="H1368" i="6"/>
  <c r="G1368" i="6"/>
  <c r="E1368" i="6"/>
  <c r="J1367" i="6"/>
  <c r="E1367" i="6"/>
  <c r="J1366" i="6"/>
  <c r="E1366" i="6"/>
  <c r="J1365" i="6"/>
  <c r="E1365" i="6"/>
  <c r="K1364" i="6"/>
  <c r="J1364" i="6"/>
  <c r="H1364" i="6"/>
  <c r="I1364" i="6"/>
  <c r="F1364" i="6"/>
  <c r="V1364" i="6"/>
  <c r="T1364" i="6"/>
  <c r="R1364" i="6"/>
  <c r="U1364" i="6"/>
  <c r="S1364" i="6"/>
  <c r="Q1364" i="6"/>
  <c r="E1364" i="6"/>
  <c r="D1364" i="6"/>
  <c r="B1364" i="6"/>
  <c r="K1363" i="6"/>
  <c r="J1363" i="6"/>
  <c r="H1363" i="6"/>
  <c r="I1363" i="6"/>
  <c r="F1363" i="6"/>
  <c r="V1363" i="6"/>
  <c r="T1363" i="6"/>
  <c r="R1363" i="6"/>
  <c r="U1363" i="6"/>
  <c r="S1363" i="6"/>
  <c r="Q1363" i="6"/>
  <c r="E1363" i="6"/>
  <c r="D1363" i="6"/>
  <c r="B1363" i="6"/>
  <c r="K1362" i="6"/>
  <c r="J1362" i="6"/>
  <c r="H1362" i="6"/>
  <c r="I1362" i="6"/>
  <c r="F1362" i="6"/>
  <c r="V1362" i="6"/>
  <c r="T1362" i="6"/>
  <c r="R1362" i="6"/>
  <c r="U1362" i="6"/>
  <c r="S1362" i="6"/>
  <c r="Q1362" i="6"/>
  <c r="E1362" i="6"/>
  <c r="D1362" i="6"/>
  <c r="B1362" i="6"/>
  <c r="K1361" i="6"/>
  <c r="J1361" i="6"/>
  <c r="H1361" i="6"/>
  <c r="I1361" i="6"/>
  <c r="F1361" i="6"/>
  <c r="V1361" i="6"/>
  <c r="T1361" i="6"/>
  <c r="R1361" i="6"/>
  <c r="U1361" i="6"/>
  <c r="S1361" i="6"/>
  <c r="Q1361" i="6"/>
  <c r="E1361" i="6"/>
  <c r="D1361" i="6"/>
  <c r="B1361" i="6"/>
  <c r="K1360" i="6"/>
  <c r="J1360" i="6"/>
  <c r="H1360" i="6"/>
  <c r="I1360" i="6"/>
  <c r="F1360" i="6"/>
  <c r="V1360" i="6"/>
  <c r="T1360" i="6"/>
  <c r="R1360" i="6"/>
  <c r="U1360" i="6"/>
  <c r="S1360" i="6"/>
  <c r="Q1360" i="6"/>
  <c r="E1360" i="6"/>
  <c r="D1360" i="6"/>
  <c r="B1360" i="6"/>
  <c r="K1359" i="6"/>
  <c r="J1359" i="6"/>
  <c r="H1359" i="6"/>
  <c r="I1359" i="6"/>
  <c r="F1359" i="6"/>
  <c r="V1359" i="6"/>
  <c r="T1359" i="6"/>
  <c r="R1359" i="6"/>
  <c r="U1359" i="6"/>
  <c r="S1359" i="6"/>
  <c r="Q1359" i="6"/>
  <c r="E1359" i="6"/>
  <c r="D1359" i="6"/>
  <c r="B1359" i="6"/>
  <c r="K1358" i="6"/>
  <c r="J1358" i="6"/>
  <c r="H1358" i="6"/>
  <c r="I1358" i="6"/>
  <c r="F1358" i="6"/>
  <c r="V1358" i="6"/>
  <c r="T1358" i="6"/>
  <c r="R1358" i="6"/>
  <c r="U1358" i="6"/>
  <c r="S1358" i="6"/>
  <c r="Q1358" i="6"/>
  <c r="E1358" i="6"/>
  <c r="D1358" i="6"/>
  <c r="B1358" i="6"/>
  <c r="K1357" i="6"/>
  <c r="J1357" i="6"/>
  <c r="H1357" i="6"/>
  <c r="I1357" i="6"/>
  <c r="F1357" i="6"/>
  <c r="V1357" i="6"/>
  <c r="T1357" i="6"/>
  <c r="R1357" i="6"/>
  <c r="U1357" i="6"/>
  <c r="I1367" i="6" s="1"/>
  <c r="S1357" i="6"/>
  <c r="Q1357" i="6"/>
  <c r="E1357" i="6"/>
  <c r="D1357" i="6"/>
  <c r="B1357" i="6"/>
  <c r="K1356" i="6"/>
  <c r="J1356" i="6"/>
  <c r="H1356" i="6"/>
  <c r="I1356" i="6"/>
  <c r="F1356" i="6"/>
  <c r="V1356" i="6"/>
  <c r="T1356" i="6"/>
  <c r="R1356" i="6"/>
  <c r="U1356" i="6"/>
  <c r="S1356" i="6"/>
  <c r="Q1356" i="6"/>
  <c r="I1365" i="6" s="1"/>
  <c r="E1356" i="6"/>
  <c r="D1356" i="6"/>
  <c r="B1356" i="6"/>
  <c r="K1355" i="6"/>
  <c r="J1355" i="6"/>
  <c r="I1355" i="6"/>
  <c r="H1355" i="6"/>
  <c r="G1355" i="6"/>
  <c r="F1355" i="6"/>
  <c r="K1354" i="6"/>
  <c r="J1354" i="6"/>
  <c r="I1354" i="6"/>
  <c r="H1354" i="6"/>
  <c r="G1354" i="6"/>
  <c r="F1354" i="6"/>
  <c r="K1353" i="6"/>
  <c r="J1353" i="6"/>
  <c r="I1353" i="6"/>
  <c r="H1353" i="6"/>
  <c r="G1353" i="6"/>
  <c r="F1353" i="6"/>
  <c r="K1352" i="6"/>
  <c r="J1352" i="6"/>
  <c r="I1352" i="6"/>
  <c r="H1352" i="6"/>
  <c r="G1352" i="6"/>
  <c r="F1352" i="6"/>
  <c r="V1351" i="6"/>
  <c r="K1367" i="6" s="1"/>
  <c r="T1351" i="6"/>
  <c r="R1351" i="6"/>
  <c r="K1365" i="6" s="1"/>
  <c r="U1351" i="6"/>
  <c r="S1351" i="6"/>
  <c r="I1366" i="6" s="1"/>
  <c r="Q1351" i="6"/>
  <c r="E1351" i="6"/>
  <c r="D1351" i="6"/>
  <c r="A1350" i="6"/>
  <c r="I1348" i="6"/>
  <c r="J1348" i="6"/>
  <c r="I1347" i="6"/>
  <c r="J1347" i="6"/>
  <c r="A1346" i="6"/>
  <c r="H1342" i="6"/>
  <c r="J1342" i="6"/>
  <c r="I1340" i="6"/>
  <c r="H1340" i="6"/>
  <c r="G1340" i="6"/>
  <c r="E1340" i="6"/>
  <c r="K1339" i="6"/>
  <c r="J1339" i="6"/>
  <c r="E1339" i="6"/>
  <c r="K1338" i="6"/>
  <c r="J1338" i="6"/>
  <c r="E1338" i="6"/>
  <c r="J1337" i="6"/>
  <c r="I1337" i="6"/>
  <c r="E1337" i="6"/>
  <c r="K1336" i="6"/>
  <c r="J1336" i="6"/>
  <c r="I1336" i="6"/>
  <c r="H1336" i="6"/>
  <c r="G1336" i="6"/>
  <c r="F1336" i="6"/>
  <c r="K1335" i="6"/>
  <c r="J1335" i="6"/>
  <c r="I1335" i="6"/>
  <c r="O1343" i="6" s="1"/>
  <c r="H1335" i="6"/>
  <c r="G1335" i="6"/>
  <c r="F1335" i="6"/>
  <c r="K1334" i="6"/>
  <c r="J1334" i="6"/>
  <c r="I1334" i="6"/>
  <c r="H1334" i="6"/>
  <c r="G1334" i="6"/>
  <c r="F1334" i="6"/>
  <c r="V1333" i="6"/>
  <c r="T1333" i="6"/>
  <c r="R1333" i="6"/>
  <c r="K1337" i="6" s="1"/>
  <c r="U1333" i="6"/>
  <c r="I1339" i="6" s="1"/>
  <c r="S1333" i="6"/>
  <c r="I1338" i="6" s="1"/>
  <c r="Q1333" i="6"/>
  <c r="E1333" i="6"/>
  <c r="D1333" i="6"/>
  <c r="H1330" i="6"/>
  <c r="J1330" i="6"/>
  <c r="I1328" i="6"/>
  <c r="H1328" i="6"/>
  <c r="G1328" i="6"/>
  <c r="E1328" i="6"/>
  <c r="J1327" i="6"/>
  <c r="I1327" i="6"/>
  <c r="E1327" i="6"/>
  <c r="J1326" i="6"/>
  <c r="E1326" i="6"/>
  <c r="J1325" i="6"/>
  <c r="I1325" i="6"/>
  <c r="E1325" i="6"/>
  <c r="K1324" i="6"/>
  <c r="J1324" i="6"/>
  <c r="I1324" i="6"/>
  <c r="H1324" i="6"/>
  <c r="G1324" i="6"/>
  <c r="F1324" i="6"/>
  <c r="K1323" i="6"/>
  <c r="J1323" i="6"/>
  <c r="I1323" i="6"/>
  <c r="H1323" i="6"/>
  <c r="G1323" i="6"/>
  <c r="F1323" i="6"/>
  <c r="K1322" i="6"/>
  <c r="J1322" i="6"/>
  <c r="I1322" i="6"/>
  <c r="H1322" i="6"/>
  <c r="G1322" i="6"/>
  <c r="F1322" i="6"/>
  <c r="V1321" i="6"/>
  <c r="K1327" i="6" s="1"/>
  <c r="T1321" i="6"/>
  <c r="K1326" i="6" s="1"/>
  <c r="R1321" i="6"/>
  <c r="K1325" i="6" s="1"/>
  <c r="U1321" i="6"/>
  <c r="S1321" i="6"/>
  <c r="I1326" i="6" s="1"/>
  <c r="Q1321" i="6"/>
  <c r="E1321" i="6"/>
  <c r="D1321" i="6"/>
  <c r="O1319" i="6"/>
  <c r="H1318" i="6"/>
  <c r="J1318" i="6"/>
  <c r="I1316" i="6"/>
  <c r="H1316" i="6"/>
  <c r="G1316" i="6"/>
  <c r="E1316" i="6"/>
  <c r="K1315" i="6"/>
  <c r="J1315" i="6"/>
  <c r="E1315" i="6"/>
  <c r="J1314" i="6"/>
  <c r="I1314" i="6"/>
  <c r="E1314" i="6"/>
  <c r="K1313" i="6"/>
  <c r="J1313" i="6"/>
  <c r="I1313" i="6"/>
  <c r="H1313" i="6"/>
  <c r="G1313" i="6"/>
  <c r="F1313" i="6"/>
  <c r="V1312" i="6"/>
  <c r="T1312" i="6"/>
  <c r="R1312" i="6"/>
  <c r="K1314" i="6" s="1"/>
  <c r="U1312" i="6"/>
  <c r="S1312" i="6"/>
  <c r="I1315" i="6" s="1"/>
  <c r="Q1312" i="6"/>
  <c r="E1312" i="6"/>
  <c r="D1312" i="6"/>
  <c r="B1312" i="6"/>
  <c r="H1309" i="6"/>
  <c r="J1310" i="6"/>
  <c r="J1309" i="6"/>
  <c r="I1307" i="6"/>
  <c r="H1307" i="6"/>
  <c r="G1307" i="6"/>
  <c r="E1307" i="6"/>
  <c r="J1306" i="6"/>
  <c r="E1306" i="6"/>
  <c r="J1305" i="6"/>
  <c r="E1305" i="6"/>
  <c r="K1304" i="6"/>
  <c r="J1304" i="6"/>
  <c r="I1304" i="6"/>
  <c r="H1304" i="6"/>
  <c r="G1304" i="6"/>
  <c r="F1304" i="6"/>
  <c r="V1303" i="6"/>
  <c r="T1303" i="6"/>
  <c r="K1306" i="6" s="1"/>
  <c r="R1303" i="6"/>
  <c r="K1305" i="6" s="1"/>
  <c r="U1303" i="6"/>
  <c r="S1303" i="6"/>
  <c r="I1306" i="6" s="1"/>
  <c r="Q1303" i="6"/>
  <c r="I1305" i="6" s="1"/>
  <c r="H1310" i="6" s="1"/>
  <c r="E1303" i="6"/>
  <c r="D1303" i="6"/>
  <c r="B1303" i="6"/>
  <c r="A1302" i="6"/>
  <c r="A1300" i="6"/>
  <c r="I1298" i="6"/>
  <c r="J1298" i="6"/>
  <c r="I1297" i="6"/>
  <c r="J1297" i="6"/>
  <c r="A1296" i="6"/>
  <c r="I1294" i="6"/>
  <c r="J1294" i="6"/>
  <c r="I1293" i="6"/>
  <c r="J1293" i="6"/>
  <c r="A1292" i="6"/>
  <c r="H1288" i="6"/>
  <c r="J1288" i="6"/>
  <c r="I1286" i="6"/>
  <c r="H1286" i="6"/>
  <c r="G1286" i="6"/>
  <c r="E1286" i="6"/>
  <c r="J1285" i="6"/>
  <c r="E1285" i="6"/>
  <c r="J1284" i="6"/>
  <c r="E1284" i="6"/>
  <c r="J1283" i="6"/>
  <c r="E1283" i="6"/>
  <c r="K1282" i="6"/>
  <c r="J1282" i="6"/>
  <c r="H1282" i="6"/>
  <c r="I1282" i="6"/>
  <c r="F1282" i="6"/>
  <c r="V1282" i="6"/>
  <c r="T1282" i="6"/>
  <c r="R1282" i="6"/>
  <c r="U1282" i="6"/>
  <c r="I1285" i="6" s="1"/>
  <c r="S1282" i="6"/>
  <c r="Q1282" i="6"/>
  <c r="I1283" i="6" s="1"/>
  <c r="E1282" i="6"/>
  <c r="D1282" i="6"/>
  <c r="B1282" i="6"/>
  <c r="K1281" i="6"/>
  <c r="J1281" i="6"/>
  <c r="I1281" i="6"/>
  <c r="H1281" i="6"/>
  <c r="G1281" i="6"/>
  <c r="F1281" i="6"/>
  <c r="K1280" i="6"/>
  <c r="J1280" i="6"/>
  <c r="I1280" i="6"/>
  <c r="H1280" i="6"/>
  <c r="G1280" i="6"/>
  <c r="F1280" i="6"/>
  <c r="K1279" i="6"/>
  <c r="J1279" i="6"/>
  <c r="I1279" i="6"/>
  <c r="H1279" i="6"/>
  <c r="G1279" i="6"/>
  <c r="F1279" i="6"/>
  <c r="K1278" i="6"/>
  <c r="J1278" i="6"/>
  <c r="I1278" i="6"/>
  <c r="H1278" i="6"/>
  <c r="G1278" i="6"/>
  <c r="F1278" i="6"/>
  <c r="V1277" i="6"/>
  <c r="K1285" i="6" s="1"/>
  <c r="T1277" i="6"/>
  <c r="R1277" i="6"/>
  <c r="K1283" i="6" s="1"/>
  <c r="U1277" i="6"/>
  <c r="S1277" i="6"/>
  <c r="I1284" i="6" s="1"/>
  <c r="Q1277" i="6"/>
  <c r="E1277" i="6"/>
  <c r="D1277" i="6"/>
  <c r="B1277" i="6"/>
  <c r="H1274" i="6"/>
  <c r="J1274" i="6"/>
  <c r="I1272" i="6"/>
  <c r="H1272" i="6"/>
  <c r="G1272" i="6"/>
  <c r="E1272" i="6"/>
  <c r="K1271" i="6"/>
  <c r="J1271" i="6"/>
  <c r="E1271" i="6"/>
  <c r="J1270" i="6"/>
  <c r="E1270" i="6"/>
  <c r="J1269" i="6"/>
  <c r="E1269" i="6"/>
  <c r="K1268" i="6"/>
  <c r="J1268" i="6"/>
  <c r="H1268" i="6"/>
  <c r="I1268" i="6"/>
  <c r="F1268" i="6"/>
  <c r="V1268" i="6"/>
  <c r="T1268" i="6"/>
  <c r="R1268" i="6"/>
  <c r="U1268" i="6"/>
  <c r="S1268" i="6"/>
  <c r="Q1268" i="6"/>
  <c r="E1268" i="6"/>
  <c r="D1268" i="6"/>
  <c r="B1268" i="6"/>
  <c r="K1267" i="6"/>
  <c r="J1267" i="6"/>
  <c r="I1267" i="6"/>
  <c r="H1267" i="6"/>
  <c r="G1267" i="6"/>
  <c r="F1267" i="6"/>
  <c r="K1266" i="6"/>
  <c r="J1266" i="6"/>
  <c r="I1266" i="6"/>
  <c r="H1266" i="6"/>
  <c r="G1266" i="6"/>
  <c r="F1266" i="6"/>
  <c r="K1265" i="6"/>
  <c r="J1265" i="6"/>
  <c r="I1265" i="6"/>
  <c r="H1265" i="6"/>
  <c r="G1265" i="6"/>
  <c r="F1265" i="6"/>
  <c r="K1264" i="6"/>
  <c r="J1264" i="6"/>
  <c r="I1264" i="6"/>
  <c r="H1264" i="6"/>
  <c r="G1264" i="6"/>
  <c r="F1264" i="6"/>
  <c r="V1263" i="6"/>
  <c r="T1263" i="6"/>
  <c r="K1270" i="6" s="1"/>
  <c r="R1263" i="6"/>
  <c r="K1269" i="6" s="1"/>
  <c r="J1273" i="6" s="1"/>
  <c r="U1263" i="6"/>
  <c r="I1271" i="6" s="1"/>
  <c r="S1263" i="6"/>
  <c r="I1270" i="6" s="1"/>
  <c r="Q1263" i="6"/>
  <c r="I1269" i="6" s="1"/>
  <c r="H1273" i="6" s="1"/>
  <c r="E1263" i="6"/>
  <c r="D1263" i="6"/>
  <c r="B1263" i="6"/>
  <c r="H1260" i="6"/>
  <c r="J1260" i="6"/>
  <c r="I1258" i="6"/>
  <c r="H1258" i="6"/>
  <c r="G1258" i="6"/>
  <c r="E1258" i="6"/>
  <c r="K1257" i="6"/>
  <c r="J1257" i="6"/>
  <c r="E1257" i="6"/>
  <c r="K1256" i="6"/>
  <c r="J1256" i="6"/>
  <c r="E1256" i="6"/>
  <c r="K1255" i="6"/>
  <c r="P1261" i="6" s="1"/>
  <c r="J1255" i="6"/>
  <c r="E1255" i="6"/>
  <c r="K1254" i="6"/>
  <c r="J1254" i="6"/>
  <c r="H1254" i="6"/>
  <c r="I1254" i="6"/>
  <c r="F1254" i="6"/>
  <c r="V1254" i="6"/>
  <c r="T1254" i="6"/>
  <c r="R1254" i="6"/>
  <c r="U1254" i="6"/>
  <c r="S1254" i="6"/>
  <c r="Q1254" i="6"/>
  <c r="I1255" i="6" s="1"/>
  <c r="E1254" i="6"/>
  <c r="D1254" i="6"/>
  <c r="B1254" i="6"/>
  <c r="K1253" i="6"/>
  <c r="J1253" i="6"/>
  <c r="I1253" i="6"/>
  <c r="H1253" i="6"/>
  <c r="G1253" i="6"/>
  <c r="F1253" i="6"/>
  <c r="K1252" i="6"/>
  <c r="J1252" i="6"/>
  <c r="I1252" i="6"/>
  <c r="H1252" i="6"/>
  <c r="G1252" i="6"/>
  <c r="F1252" i="6"/>
  <c r="K1251" i="6"/>
  <c r="J1251" i="6"/>
  <c r="I1251" i="6"/>
  <c r="H1251" i="6"/>
  <c r="G1251" i="6"/>
  <c r="F1251" i="6"/>
  <c r="K1250" i="6"/>
  <c r="J1250" i="6"/>
  <c r="I1250" i="6"/>
  <c r="H1250" i="6"/>
  <c r="G1250" i="6"/>
  <c r="F1250" i="6"/>
  <c r="V1249" i="6"/>
  <c r="T1249" i="6"/>
  <c r="R1249" i="6"/>
  <c r="U1249" i="6"/>
  <c r="I1257" i="6" s="1"/>
  <c r="S1249" i="6"/>
  <c r="I1256" i="6" s="1"/>
  <c r="Q1249" i="6"/>
  <c r="E1249" i="6"/>
  <c r="D1249" i="6"/>
  <c r="B1249" i="6"/>
  <c r="H1246" i="6"/>
  <c r="J1246" i="6"/>
  <c r="I1244" i="6"/>
  <c r="H1244" i="6"/>
  <c r="G1244" i="6"/>
  <c r="E1244" i="6"/>
  <c r="J1243" i="6"/>
  <c r="E1243" i="6"/>
  <c r="J1242" i="6"/>
  <c r="E1242" i="6"/>
  <c r="J1241" i="6"/>
  <c r="E1241" i="6"/>
  <c r="K1240" i="6"/>
  <c r="J1240" i="6"/>
  <c r="H1240" i="6"/>
  <c r="I1240" i="6"/>
  <c r="F1240" i="6"/>
  <c r="V1240" i="6"/>
  <c r="T1240" i="6"/>
  <c r="R1240" i="6"/>
  <c r="U1240" i="6"/>
  <c r="S1240" i="6"/>
  <c r="Q1240" i="6"/>
  <c r="E1240" i="6"/>
  <c r="D1240" i="6"/>
  <c r="B1240" i="6"/>
  <c r="K1239" i="6"/>
  <c r="J1239" i="6"/>
  <c r="H1239" i="6"/>
  <c r="I1239" i="6"/>
  <c r="F1239" i="6"/>
  <c r="V1239" i="6"/>
  <c r="T1239" i="6"/>
  <c r="R1239" i="6"/>
  <c r="U1239" i="6"/>
  <c r="S1239" i="6"/>
  <c r="Q1239" i="6"/>
  <c r="E1239" i="6"/>
  <c r="D1239" i="6"/>
  <c r="B1239" i="6"/>
  <c r="K1238" i="6"/>
  <c r="J1238" i="6"/>
  <c r="H1238" i="6"/>
  <c r="I1238" i="6"/>
  <c r="F1238" i="6"/>
  <c r="V1238" i="6"/>
  <c r="T1238" i="6"/>
  <c r="R1238" i="6"/>
  <c r="U1238" i="6"/>
  <c r="S1238" i="6"/>
  <c r="I1242" i="6" s="1"/>
  <c r="Q1238" i="6"/>
  <c r="E1238" i="6"/>
  <c r="D1238" i="6"/>
  <c r="B1238" i="6"/>
  <c r="K1237" i="6"/>
  <c r="J1237" i="6"/>
  <c r="H1237" i="6"/>
  <c r="I1237" i="6"/>
  <c r="F1237" i="6"/>
  <c r="V1237" i="6"/>
  <c r="T1237" i="6"/>
  <c r="R1237" i="6"/>
  <c r="U1237" i="6"/>
  <c r="I1243" i="6" s="1"/>
  <c r="S1237" i="6"/>
  <c r="Q1237" i="6"/>
  <c r="E1237" i="6"/>
  <c r="D1237" i="6"/>
  <c r="B1237" i="6"/>
  <c r="K1236" i="6"/>
  <c r="J1236" i="6"/>
  <c r="I1236" i="6"/>
  <c r="H1236" i="6"/>
  <c r="G1236" i="6"/>
  <c r="F1236" i="6"/>
  <c r="K1235" i="6"/>
  <c r="J1235" i="6"/>
  <c r="I1235" i="6"/>
  <c r="H1235" i="6"/>
  <c r="G1235" i="6"/>
  <c r="F1235" i="6"/>
  <c r="K1234" i="6"/>
  <c r="J1234" i="6"/>
  <c r="I1234" i="6"/>
  <c r="H1234" i="6"/>
  <c r="G1234" i="6"/>
  <c r="F1234" i="6"/>
  <c r="K1233" i="6"/>
  <c r="J1233" i="6"/>
  <c r="I1233" i="6"/>
  <c r="O1247" i="6" s="1"/>
  <c r="H1233" i="6"/>
  <c r="G1233" i="6"/>
  <c r="F1233" i="6"/>
  <c r="V1232" i="6"/>
  <c r="K1243" i="6" s="1"/>
  <c r="T1232" i="6"/>
  <c r="K1242" i="6" s="1"/>
  <c r="R1232" i="6"/>
  <c r="U1232" i="6"/>
  <c r="S1232" i="6"/>
  <c r="Q1232" i="6"/>
  <c r="I1241" i="6" s="1"/>
  <c r="H1247" i="6" s="1"/>
  <c r="E1232" i="6"/>
  <c r="D1232" i="6"/>
  <c r="B1232" i="6"/>
  <c r="H1229" i="6"/>
  <c r="J1229" i="6"/>
  <c r="I1227" i="6"/>
  <c r="H1227" i="6"/>
  <c r="G1227" i="6"/>
  <c r="E1227" i="6"/>
  <c r="K1226" i="6"/>
  <c r="J1226" i="6"/>
  <c r="E1226" i="6"/>
  <c r="K1225" i="6"/>
  <c r="J1225" i="6"/>
  <c r="E1225" i="6"/>
  <c r="J1224" i="6"/>
  <c r="E1224" i="6"/>
  <c r="K1223" i="6"/>
  <c r="J1223" i="6"/>
  <c r="H1223" i="6"/>
  <c r="I1223" i="6"/>
  <c r="F1223" i="6"/>
  <c r="V1223" i="6"/>
  <c r="T1223" i="6"/>
  <c r="R1223" i="6"/>
  <c r="U1223" i="6"/>
  <c r="S1223" i="6"/>
  <c r="Q1223" i="6"/>
  <c r="I1224" i="6" s="1"/>
  <c r="E1223" i="6"/>
  <c r="D1223" i="6"/>
  <c r="B1223" i="6"/>
  <c r="K1222" i="6"/>
  <c r="J1222" i="6"/>
  <c r="I1222" i="6"/>
  <c r="H1222" i="6"/>
  <c r="G1222" i="6"/>
  <c r="F1222" i="6"/>
  <c r="K1221" i="6"/>
  <c r="J1221" i="6"/>
  <c r="I1221" i="6"/>
  <c r="H1221" i="6"/>
  <c r="G1221" i="6"/>
  <c r="F1221" i="6"/>
  <c r="K1220" i="6"/>
  <c r="J1220" i="6"/>
  <c r="I1220" i="6"/>
  <c r="H1220" i="6"/>
  <c r="G1220" i="6"/>
  <c r="F1220" i="6"/>
  <c r="K1219" i="6"/>
  <c r="J1219" i="6"/>
  <c r="I1219" i="6"/>
  <c r="H1219" i="6"/>
  <c r="G1219" i="6"/>
  <c r="F1219" i="6"/>
  <c r="V1218" i="6"/>
  <c r="T1218" i="6"/>
  <c r="R1218" i="6"/>
  <c r="K1224" i="6" s="1"/>
  <c r="U1218" i="6"/>
  <c r="I1226" i="6" s="1"/>
  <c r="S1218" i="6"/>
  <c r="I1225" i="6" s="1"/>
  <c r="Q1218" i="6"/>
  <c r="E1218" i="6"/>
  <c r="D1218" i="6"/>
  <c r="B1218" i="6"/>
  <c r="H1215" i="6"/>
  <c r="J1215" i="6"/>
  <c r="I1213" i="6"/>
  <c r="H1213" i="6"/>
  <c r="G1213" i="6"/>
  <c r="E1213" i="6"/>
  <c r="J1212" i="6"/>
  <c r="E1212" i="6"/>
  <c r="J1211" i="6"/>
  <c r="E1211" i="6"/>
  <c r="J1210" i="6"/>
  <c r="E1210" i="6"/>
  <c r="K1209" i="6"/>
  <c r="J1209" i="6"/>
  <c r="H1209" i="6"/>
  <c r="I1209" i="6"/>
  <c r="F1209" i="6"/>
  <c r="V1209" i="6"/>
  <c r="T1209" i="6"/>
  <c r="R1209" i="6"/>
  <c r="U1209" i="6"/>
  <c r="S1209" i="6"/>
  <c r="Q1209" i="6"/>
  <c r="I1210" i="6" s="1"/>
  <c r="E1209" i="6"/>
  <c r="D1209" i="6"/>
  <c r="B1209" i="6"/>
  <c r="K1208" i="6"/>
  <c r="J1208" i="6"/>
  <c r="I1208" i="6"/>
  <c r="H1208" i="6"/>
  <c r="G1208" i="6"/>
  <c r="F1208" i="6"/>
  <c r="K1207" i="6"/>
  <c r="J1207" i="6"/>
  <c r="I1207" i="6"/>
  <c r="H1207" i="6"/>
  <c r="G1207" i="6"/>
  <c r="F1207" i="6"/>
  <c r="K1206" i="6"/>
  <c r="J1206" i="6"/>
  <c r="I1206" i="6"/>
  <c r="H1206" i="6"/>
  <c r="G1206" i="6"/>
  <c r="F1206" i="6"/>
  <c r="K1205" i="6"/>
  <c r="J1205" i="6"/>
  <c r="I1205" i="6"/>
  <c r="H1205" i="6"/>
  <c r="G1205" i="6"/>
  <c r="F1205" i="6"/>
  <c r="V1204" i="6"/>
  <c r="T1204" i="6"/>
  <c r="K1211" i="6" s="1"/>
  <c r="R1204" i="6"/>
  <c r="K1210" i="6" s="1"/>
  <c r="U1204" i="6"/>
  <c r="I1212" i="6" s="1"/>
  <c r="S1204" i="6"/>
  <c r="Q1204" i="6"/>
  <c r="E1204" i="6"/>
  <c r="D1204" i="6"/>
  <c r="B1204" i="6"/>
  <c r="H1201" i="6"/>
  <c r="J1201" i="6"/>
  <c r="I1199" i="6"/>
  <c r="H1199" i="6"/>
  <c r="G1199" i="6"/>
  <c r="E1199" i="6"/>
  <c r="J1198" i="6"/>
  <c r="I1198" i="6"/>
  <c r="E1198" i="6"/>
  <c r="J1197" i="6"/>
  <c r="I1197" i="6"/>
  <c r="E1197" i="6"/>
  <c r="J1196" i="6"/>
  <c r="E1196" i="6"/>
  <c r="K1195" i="6"/>
  <c r="J1195" i="6"/>
  <c r="H1195" i="6"/>
  <c r="I1195" i="6"/>
  <c r="F1195" i="6"/>
  <c r="V1195" i="6"/>
  <c r="T1195" i="6"/>
  <c r="R1195" i="6"/>
  <c r="U1195" i="6"/>
  <c r="S1195" i="6"/>
  <c r="Q1195" i="6"/>
  <c r="I1196" i="6" s="1"/>
  <c r="E1195" i="6"/>
  <c r="D1195" i="6"/>
  <c r="B1195" i="6"/>
  <c r="K1194" i="6"/>
  <c r="J1194" i="6"/>
  <c r="I1194" i="6"/>
  <c r="H1194" i="6"/>
  <c r="G1194" i="6"/>
  <c r="F1194" i="6"/>
  <c r="K1193" i="6"/>
  <c r="J1193" i="6"/>
  <c r="I1193" i="6"/>
  <c r="H1193" i="6"/>
  <c r="G1193" i="6"/>
  <c r="F1193" i="6"/>
  <c r="K1192" i="6"/>
  <c r="J1192" i="6"/>
  <c r="I1192" i="6"/>
  <c r="H1192" i="6"/>
  <c r="G1192" i="6"/>
  <c r="F1192" i="6"/>
  <c r="K1191" i="6"/>
  <c r="J1191" i="6"/>
  <c r="I1191" i="6"/>
  <c r="H1191" i="6"/>
  <c r="G1191" i="6"/>
  <c r="F1191" i="6"/>
  <c r="V1190" i="6"/>
  <c r="K1198" i="6" s="1"/>
  <c r="T1190" i="6"/>
  <c r="K1197" i="6" s="1"/>
  <c r="R1190" i="6"/>
  <c r="K1196" i="6" s="1"/>
  <c r="U1190" i="6"/>
  <c r="S1190" i="6"/>
  <c r="Q1190" i="6"/>
  <c r="E1190" i="6"/>
  <c r="D1190" i="6"/>
  <c r="B1190" i="6"/>
  <c r="H1187" i="6"/>
  <c r="J1187" i="6"/>
  <c r="I1185" i="6"/>
  <c r="H1185" i="6"/>
  <c r="G1185" i="6"/>
  <c r="E1185" i="6"/>
  <c r="J1184" i="6"/>
  <c r="E1184" i="6"/>
  <c r="J1183" i="6"/>
  <c r="E1183" i="6"/>
  <c r="J1182" i="6"/>
  <c r="E1182" i="6"/>
  <c r="K1181" i="6"/>
  <c r="J1181" i="6"/>
  <c r="H1181" i="6"/>
  <c r="I1181" i="6"/>
  <c r="F1181" i="6"/>
  <c r="V1181" i="6"/>
  <c r="T1181" i="6"/>
  <c r="R1181" i="6"/>
  <c r="U1181" i="6"/>
  <c r="S1181" i="6"/>
  <c r="Q1181" i="6"/>
  <c r="E1181" i="6"/>
  <c r="D1181" i="6"/>
  <c r="B1181" i="6"/>
  <c r="K1180" i="6"/>
  <c r="J1180" i="6"/>
  <c r="H1180" i="6"/>
  <c r="I1180" i="6"/>
  <c r="F1180" i="6"/>
  <c r="V1180" i="6"/>
  <c r="K1184" i="6" s="1"/>
  <c r="T1180" i="6"/>
  <c r="R1180" i="6"/>
  <c r="U1180" i="6"/>
  <c r="S1180" i="6"/>
  <c r="Q1180" i="6"/>
  <c r="E1180" i="6"/>
  <c r="D1180" i="6"/>
  <c r="B1180" i="6"/>
  <c r="K1179" i="6"/>
  <c r="J1179" i="6"/>
  <c r="H1179" i="6"/>
  <c r="I1179" i="6"/>
  <c r="F1179" i="6"/>
  <c r="V1179" i="6"/>
  <c r="T1179" i="6"/>
  <c r="R1179" i="6"/>
  <c r="U1179" i="6"/>
  <c r="S1179" i="6"/>
  <c r="Q1179" i="6"/>
  <c r="E1179" i="6"/>
  <c r="D1179" i="6"/>
  <c r="B1179" i="6"/>
  <c r="K1178" i="6"/>
  <c r="J1178" i="6"/>
  <c r="I1178" i="6"/>
  <c r="H1178" i="6"/>
  <c r="G1178" i="6"/>
  <c r="F1178" i="6"/>
  <c r="K1177" i="6"/>
  <c r="J1177" i="6"/>
  <c r="I1177" i="6"/>
  <c r="H1177" i="6"/>
  <c r="G1177" i="6"/>
  <c r="F1177" i="6"/>
  <c r="K1176" i="6"/>
  <c r="J1176" i="6"/>
  <c r="I1176" i="6"/>
  <c r="H1176" i="6"/>
  <c r="G1176" i="6"/>
  <c r="F1176" i="6"/>
  <c r="K1175" i="6"/>
  <c r="J1175" i="6"/>
  <c r="I1175" i="6"/>
  <c r="H1175" i="6"/>
  <c r="G1175" i="6"/>
  <c r="F1175" i="6"/>
  <c r="V1174" i="6"/>
  <c r="T1174" i="6"/>
  <c r="K1183" i="6" s="1"/>
  <c r="R1174" i="6"/>
  <c r="U1174" i="6"/>
  <c r="I1184" i="6" s="1"/>
  <c r="S1174" i="6"/>
  <c r="I1183" i="6" s="1"/>
  <c r="Q1174" i="6"/>
  <c r="I1182" i="6" s="1"/>
  <c r="H1186" i="6" s="1"/>
  <c r="E1174" i="6"/>
  <c r="D1174" i="6"/>
  <c r="B1174" i="6"/>
  <c r="H1171" i="6"/>
  <c r="J1171" i="6"/>
  <c r="I1169" i="6"/>
  <c r="H1169" i="6"/>
  <c r="G1169" i="6"/>
  <c r="E1169" i="6"/>
  <c r="K1168" i="6"/>
  <c r="J1168" i="6"/>
  <c r="E1168" i="6"/>
  <c r="K1167" i="6"/>
  <c r="J1167" i="6"/>
  <c r="E1167" i="6"/>
  <c r="K1166" i="6"/>
  <c r="J1166" i="6"/>
  <c r="H1166" i="6"/>
  <c r="I1166" i="6"/>
  <c r="F1166" i="6"/>
  <c r="V1166" i="6"/>
  <c r="T1166" i="6"/>
  <c r="R1166" i="6"/>
  <c r="U1166" i="6"/>
  <c r="S1166" i="6"/>
  <c r="Q1166" i="6"/>
  <c r="E1166" i="6"/>
  <c r="D1166" i="6"/>
  <c r="B1166" i="6"/>
  <c r="K1165" i="6"/>
  <c r="J1165" i="6"/>
  <c r="I1165" i="6"/>
  <c r="H1165" i="6"/>
  <c r="G1165" i="6"/>
  <c r="F1165" i="6"/>
  <c r="V1164" i="6"/>
  <c r="T1164" i="6"/>
  <c r="R1164" i="6"/>
  <c r="U1164" i="6"/>
  <c r="S1164" i="6"/>
  <c r="I1168" i="6" s="1"/>
  <c r="Q1164" i="6"/>
  <c r="I1167" i="6" s="1"/>
  <c r="E1164" i="6"/>
  <c r="D1164" i="6"/>
  <c r="B1164" i="6"/>
  <c r="H1161" i="6"/>
  <c r="J1161" i="6"/>
  <c r="I1159" i="6"/>
  <c r="H1159" i="6"/>
  <c r="G1159" i="6"/>
  <c r="E1159" i="6"/>
  <c r="J1158" i="6"/>
  <c r="E1158" i="6"/>
  <c r="J1157" i="6"/>
  <c r="E1157" i="6"/>
  <c r="J1156" i="6"/>
  <c r="E1156" i="6"/>
  <c r="K1155" i="6"/>
  <c r="J1155" i="6"/>
  <c r="H1155" i="6"/>
  <c r="I1155" i="6"/>
  <c r="F1155" i="6"/>
  <c r="V1155" i="6"/>
  <c r="T1155" i="6"/>
  <c r="R1155" i="6"/>
  <c r="K1156" i="6" s="1"/>
  <c r="U1155" i="6"/>
  <c r="S1155" i="6"/>
  <c r="Q1155" i="6"/>
  <c r="E1155" i="6"/>
  <c r="D1155" i="6"/>
  <c r="B1155" i="6"/>
  <c r="K1154" i="6"/>
  <c r="J1154" i="6"/>
  <c r="H1154" i="6"/>
  <c r="I1154" i="6"/>
  <c r="F1154" i="6"/>
  <c r="V1154" i="6"/>
  <c r="T1154" i="6"/>
  <c r="K1157" i="6" s="1"/>
  <c r="R1154" i="6"/>
  <c r="U1154" i="6"/>
  <c r="S1154" i="6"/>
  <c r="Q1154" i="6"/>
  <c r="E1154" i="6"/>
  <c r="D1154" i="6"/>
  <c r="B1154" i="6"/>
  <c r="K1153" i="6"/>
  <c r="J1153" i="6"/>
  <c r="I1153" i="6"/>
  <c r="H1153" i="6"/>
  <c r="G1153" i="6"/>
  <c r="F1153" i="6"/>
  <c r="K1152" i="6"/>
  <c r="J1152" i="6"/>
  <c r="I1152" i="6"/>
  <c r="H1152" i="6"/>
  <c r="G1152" i="6"/>
  <c r="F1152" i="6"/>
  <c r="K1151" i="6"/>
  <c r="J1151" i="6"/>
  <c r="I1151" i="6"/>
  <c r="H1151" i="6"/>
  <c r="G1151" i="6"/>
  <c r="F1151" i="6"/>
  <c r="K1150" i="6"/>
  <c r="J1150" i="6"/>
  <c r="I1150" i="6"/>
  <c r="H1150" i="6"/>
  <c r="G1150" i="6"/>
  <c r="F1150" i="6"/>
  <c r="V1149" i="6"/>
  <c r="T1149" i="6"/>
  <c r="R1149" i="6"/>
  <c r="U1149" i="6"/>
  <c r="I1158" i="6" s="1"/>
  <c r="S1149" i="6"/>
  <c r="Q1149" i="6"/>
  <c r="I1156" i="6" s="1"/>
  <c r="E1149" i="6"/>
  <c r="D1149" i="6"/>
  <c r="B1149" i="6"/>
  <c r="H1146" i="6"/>
  <c r="J1146" i="6"/>
  <c r="I1144" i="6"/>
  <c r="H1144" i="6"/>
  <c r="G1144" i="6"/>
  <c r="E1144" i="6"/>
  <c r="J1143" i="6"/>
  <c r="E1143" i="6"/>
  <c r="J1142" i="6"/>
  <c r="E1142" i="6"/>
  <c r="J1141" i="6"/>
  <c r="E1141" i="6"/>
  <c r="K1140" i="6"/>
  <c r="J1140" i="6"/>
  <c r="H1140" i="6"/>
  <c r="I1140" i="6"/>
  <c r="F1140" i="6"/>
  <c r="V1140" i="6"/>
  <c r="T1140" i="6"/>
  <c r="R1140" i="6"/>
  <c r="U1140" i="6"/>
  <c r="S1140" i="6"/>
  <c r="Q1140" i="6"/>
  <c r="E1140" i="6"/>
  <c r="D1140" i="6"/>
  <c r="B1140" i="6"/>
  <c r="K1139" i="6"/>
  <c r="J1139" i="6"/>
  <c r="H1139" i="6"/>
  <c r="I1139" i="6"/>
  <c r="F1139" i="6"/>
  <c r="V1139" i="6"/>
  <c r="T1139" i="6"/>
  <c r="R1139" i="6"/>
  <c r="U1139" i="6"/>
  <c r="I1143" i="6" s="1"/>
  <c r="S1139" i="6"/>
  <c r="Q1139" i="6"/>
  <c r="E1139" i="6"/>
  <c r="D1139" i="6"/>
  <c r="B1139" i="6"/>
  <c r="K1138" i="6"/>
  <c r="J1138" i="6"/>
  <c r="H1138" i="6"/>
  <c r="I1138" i="6"/>
  <c r="F1138" i="6"/>
  <c r="V1138" i="6"/>
  <c r="T1138" i="6"/>
  <c r="R1138" i="6"/>
  <c r="U1138" i="6"/>
  <c r="S1138" i="6"/>
  <c r="Q1138" i="6"/>
  <c r="I1141" i="6" s="1"/>
  <c r="E1138" i="6"/>
  <c r="D1138" i="6"/>
  <c r="B1138" i="6"/>
  <c r="K1137" i="6"/>
  <c r="J1137" i="6"/>
  <c r="I1137" i="6"/>
  <c r="H1137" i="6"/>
  <c r="G1137" i="6"/>
  <c r="F1137" i="6"/>
  <c r="K1136" i="6"/>
  <c r="J1136" i="6"/>
  <c r="I1136" i="6"/>
  <c r="H1136" i="6"/>
  <c r="G1136" i="6"/>
  <c r="F1136" i="6"/>
  <c r="K1135" i="6"/>
  <c r="J1135" i="6"/>
  <c r="I1135" i="6"/>
  <c r="H1135" i="6"/>
  <c r="G1135" i="6"/>
  <c r="F1135" i="6"/>
  <c r="K1134" i="6"/>
  <c r="J1134" i="6"/>
  <c r="I1134" i="6"/>
  <c r="H1134" i="6"/>
  <c r="G1134" i="6"/>
  <c r="F1134" i="6"/>
  <c r="V1133" i="6"/>
  <c r="K1143" i="6" s="1"/>
  <c r="T1133" i="6"/>
  <c r="R1133" i="6"/>
  <c r="K1141" i="6" s="1"/>
  <c r="U1133" i="6"/>
  <c r="S1133" i="6"/>
  <c r="I1142" i="6" s="1"/>
  <c r="Q1133" i="6"/>
  <c r="E1133" i="6"/>
  <c r="D1133" i="6"/>
  <c r="B1133" i="6"/>
  <c r="H1130" i="6"/>
  <c r="J1130" i="6"/>
  <c r="I1128" i="6"/>
  <c r="H1128" i="6"/>
  <c r="G1128" i="6"/>
  <c r="E1128" i="6"/>
  <c r="K1127" i="6"/>
  <c r="J1127" i="6"/>
  <c r="E1127" i="6"/>
  <c r="J1126" i="6"/>
  <c r="E1126" i="6"/>
  <c r="J1125" i="6"/>
  <c r="E1125" i="6"/>
  <c r="K1124" i="6"/>
  <c r="J1124" i="6"/>
  <c r="H1124" i="6"/>
  <c r="I1124" i="6"/>
  <c r="F1124" i="6"/>
  <c r="V1124" i="6"/>
  <c r="T1124" i="6"/>
  <c r="R1124" i="6"/>
  <c r="U1124" i="6"/>
  <c r="S1124" i="6"/>
  <c r="Q1124" i="6"/>
  <c r="E1124" i="6"/>
  <c r="D1124" i="6"/>
  <c r="B1124" i="6"/>
  <c r="K1123" i="6"/>
  <c r="J1123" i="6"/>
  <c r="I1123" i="6"/>
  <c r="H1123" i="6"/>
  <c r="G1123" i="6"/>
  <c r="F1123" i="6"/>
  <c r="K1122" i="6"/>
  <c r="J1122" i="6"/>
  <c r="I1122" i="6"/>
  <c r="H1122" i="6"/>
  <c r="G1122" i="6"/>
  <c r="F1122" i="6"/>
  <c r="K1121" i="6"/>
  <c r="J1121" i="6"/>
  <c r="I1121" i="6"/>
  <c r="H1121" i="6"/>
  <c r="G1121" i="6"/>
  <c r="F1121" i="6"/>
  <c r="K1120" i="6"/>
  <c r="J1120" i="6"/>
  <c r="I1120" i="6"/>
  <c r="H1120" i="6"/>
  <c r="G1120" i="6"/>
  <c r="F1120" i="6"/>
  <c r="V1119" i="6"/>
  <c r="T1119" i="6"/>
  <c r="K1126" i="6" s="1"/>
  <c r="R1119" i="6"/>
  <c r="K1125" i="6" s="1"/>
  <c r="U1119" i="6"/>
  <c r="S1119" i="6"/>
  <c r="I1126" i="6" s="1"/>
  <c r="Q1119" i="6"/>
  <c r="I1125" i="6" s="1"/>
  <c r="E1119" i="6"/>
  <c r="D1119" i="6"/>
  <c r="A1118" i="6"/>
  <c r="I1116" i="6"/>
  <c r="J1116" i="6"/>
  <c r="I1115" i="6"/>
  <c r="J1115" i="6"/>
  <c r="A1114" i="6"/>
  <c r="H1110" i="6"/>
  <c r="J1110" i="6"/>
  <c r="I1108" i="6"/>
  <c r="H1108" i="6"/>
  <c r="G1108" i="6"/>
  <c r="E1108" i="6"/>
  <c r="J1107" i="6"/>
  <c r="E1107" i="6"/>
  <c r="J1106" i="6"/>
  <c r="I1106" i="6"/>
  <c r="E1106" i="6"/>
  <c r="K1105" i="6"/>
  <c r="J1105" i="6"/>
  <c r="I1105" i="6"/>
  <c r="H1105" i="6"/>
  <c r="G1105" i="6"/>
  <c r="F1105" i="6"/>
  <c r="V1104" i="6"/>
  <c r="T1104" i="6"/>
  <c r="K1107" i="6" s="1"/>
  <c r="J1111" i="6" s="1"/>
  <c r="R1104" i="6"/>
  <c r="K1106" i="6" s="1"/>
  <c r="U1104" i="6"/>
  <c r="S1104" i="6"/>
  <c r="I1107" i="6" s="1"/>
  <c r="Q1104" i="6"/>
  <c r="E1104" i="6"/>
  <c r="D1104" i="6"/>
  <c r="B1104" i="6"/>
  <c r="H1101" i="6"/>
  <c r="J1101" i="6"/>
  <c r="I1099" i="6"/>
  <c r="H1099" i="6"/>
  <c r="G1099" i="6"/>
  <c r="E1099" i="6"/>
  <c r="K1098" i="6"/>
  <c r="J1098" i="6"/>
  <c r="E1098" i="6"/>
  <c r="J1097" i="6"/>
  <c r="I1097" i="6"/>
  <c r="E1097" i="6"/>
  <c r="K1096" i="6"/>
  <c r="J1096" i="6"/>
  <c r="I1096" i="6"/>
  <c r="H1096" i="6"/>
  <c r="G1096" i="6"/>
  <c r="F1096" i="6"/>
  <c r="V1095" i="6"/>
  <c r="T1095" i="6"/>
  <c r="R1095" i="6"/>
  <c r="K1097" i="6" s="1"/>
  <c r="P1102" i="6" s="1"/>
  <c r="U1095" i="6"/>
  <c r="S1095" i="6"/>
  <c r="I1098" i="6" s="1"/>
  <c r="H1100" i="6" s="1"/>
  <c r="Q1095" i="6"/>
  <c r="E1095" i="6"/>
  <c r="D1095" i="6"/>
  <c r="B1095" i="6"/>
  <c r="A1094" i="6"/>
  <c r="A1092" i="6"/>
  <c r="I1090" i="6"/>
  <c r="J1090" i="6"/>
  <c r="I1089" i="6"/>
  <c r="J1089" i="6"/>
  <c r="A1088" i="6"/>
  <c r="I1086" i="6"/>
  <c r="J1086" i="6"/>
  <c r="I1085" i="6"/>
  <c r="J1085" i="6"/>
  <c r="A1084" i="6"/>
  <c r="O1081" i="6"/>
  <c r="H1081" i="6"/>
  <c r="K1080" i="6"/>
  <c r="P1081" i="6" s="1"/>
  <c r="J1080" i="6"/>
  <c r="I1080" i="6"/>
  <c r="H1080" i="6"/>
  <c r="G1080" i="6"/>
  <c r="F1080" i="6"/>
  <c r="V1080" i="6"/>
  <c r="T1080" i="6"/>
  <c r="R1080" i="6"/>
  <c r="U1080" i="6"/>
  <c r="S1080" i="6"/>
  <c r="Q1080" i="6"/>
  <c r="E1080" i="6"/>
  <c r="D1080" i="6"/>
  <c r="B1080" i="6"/>
  <c r="P1078" i="6"/>
  <c r="K1077" i="6"/>
  <c r="J1078" i="6" s="1"/>
  <c r="J1077" i="6"/>
  <c r="I1077" i="6"/>
  <c r="O1078" i="6" s="1"/>
  <c r="H1077" i="6"/>
  <c r="G1077" i="6"/>
  <c r="F1077" i="6"/>
  <c r="V1077" i="6"/>
  <c r="T1077" i="6"/>
  <c r="R1077" i="6"/>
  <c r="U1077" i="6"/>
  <c r="S1077" i="6"/>
  <c r="Q1077" i="6"/>
  <c r="E1077" i="6"/>
  <c r="D1077" i="6"/>
  <c r="B1077" i="6"/>
  <c r="H1075" i="6"/>
  <c r="P1075" i="6"/>
  <c r="J1075" i="6"/>
  <c r="K1074" i="6"/>
  <c r="J1074" i="6"/>
  <c r="I1074" i="6"/>
  <c r="O1075" i="6" s="1"/>
  <c r="H1074" i="6"/>
  <c r="G1074" i="6"/>
  <c r="F1074" i="6"/>
  <c r="V1074" i="6"/>
  <c r="T1074" i="6"/>
  <c r="R1074" i="6"/>
  <c r="U1074" i="6"/>
  <c r="S1074" i="6"/>
  <c r="Q1074" i="6"/>
  <c r="E1074" i="6"/>
  <c r="D1074" i="6"/>
  <c r="B1074" i="6"/>
  <c r="P1072" i="6"/>
  <c r="J1072" i="6"/>
  <c r="K1071" i="6"/>
  <c r="J1071" i="6"/>
  <c r="I1071" i="6"/>
  <c r="H1072" i="6" s="1"/>
  <c r="H1071" i="6"/>
  <c r="G1071" i="6"/>
  <c r="F1071" i="6"/>
  <c r="V1071" i="6"/>
  <c r="T1071" i="6"/>
  <c r="R1071" i="6"/>
  <c r="U1071" i="6"/>
  <c r="S1071" i="6"/>
  <c r="Q1071" i="6"/>
  <c r="E1071" i="6"/>
  <c r="D1071" i="6"/>
  <c r="B1071" i="6"/>
  <c r="O1069" i="6"/>
  <c r="H1069" i="6"/>
  <c r="K1068" i="6"/>
  <c r="P1069" i="6" s="1"/>
  <c r="J1068" i="6"/>
  <c r="I1068" i="6"/>
  <c r="H1068" i="6"/>
  <c r="G1068" i="6"/>
  <c r="F1068" i="6"/>
  <c r="V1068" i="6"/>
  <c r="T1068" i="6"/>
  <c r="R1068" i="6"/>
  <c r="U1068" i="6"/>
  <c r="S1068" i="6"/>
  <c r="Q1068" i="6"/>
  <c r="E1068" i="6"/>
  <c r="D1068" i="6"/>
  <c r="B1068" i="6"/>
  <c r="P1066" i="6"/>
  <c r="K1065" i="6"/>
  <c r="J1066" i="6" s="1"/>
  <c r="J1065" i="6"/>
  <c r="I1065" i="6"/>
  <c r="O1066" i="6" s="1"/>
  <c r="H1065" i="6"/>
  <c r="G1065" i="6"/>
  <c r="F1065" i="6"/>
  <c r="V1065" i="6"/>
  <c r="T1065" i="6"/>
  <c r="R1065" i="6"/>
  <c r="U1065" i="6"/>
  <c r="S1065" i="6"/>
  <c r="Q1065" i="6"/>
  <c r="E1065" i="6"/>
  <c r="D1065" i="6"/>
  <c r="B1065" i="6"/>
  <c r="H1063" i="6"/>
  <c r="K1062" i="6"/>
  <c r="P1063" i="6" s="1"/>
  <c r="J1062" i="6"/>
  <c r="I1062" i="6"/>
  <c r="O1063" i="6" s="1"/>
  <c r="H1062" i="6"/>
  <c r="G1062" i="6"/>
  <c r="F1062" i="6"/>
  <c r="V1062" i="6"/>
  <c r="T1062" i="6"/>
  <c r="R1062" i="6"/>
  <c r="U1062" i="6"/>
  <c r="S1062" i="6"/>
  <c r="Q1062" i="6"/>
  <c r="E1062" i="6"/>
  <c r="D1062" i="6"/>
  <c r="B1062" i="6"/>
  <c r="P1060" i="6"/>
  <c r="J1060" i="6"/>
  <c r="K1059" i="6"/>
  <c r="J1059" i="6"/>
  <c r="I1059" i="6"/>
  <c r="H1059" i="6"/>
  <c r="G1059" i="6"/>
  <c r="F1059" i="6"/>
  <c r="V1059" i="6"/>
  <c r="T1059" i="6"/>
  <c r="R1059" i="6"/>
  <c r="U1059" i="6"/>
  <c r="S1059" i="6"/>
  <c r="Q1059" i="6"/>
  <c r="E1059" i="6"/>
  <c r="D1059" i="6"/>
  <c r="B1059" i="6"/>
  <c r="P1057" i="6"/>
  <c r="J1057" i="6"/>
  <c r="K1056" i="6"/>
  <c r="J1056" i="6"/>
  <c r="I1056" i="6"/>
  <c r="O1057" i="6" s="1"/>
  <c r="H1056" i="6"/>
  <c r="G1056" i="6"/>
  <c r="F1056" i="6"/>
  <c r="V1056" i="6"/>
  <c r="T1056" i="6"/>
  <c r="R1056" i="6"/>
  <c r="U1056" i="6"/>
  <c r="S1056" i="6"/>
  <c r="Q1056" i="6"/>
  <c r="E1056" i="6"/>
  <c r="D1056" i="6"/>
  <c r="B1056" i="6"/>
  <c r="O1054" i="6"/>
  <c r="H1054" i="6"/>
  <c r="K1053" i="6"/>
  <c r="J1053" i="6"/>
  <c r="I1053" i="6"/>
  <c r="H1053" i="6"/>
  <c r="G1053" i="6"/>
  <c r="F1053" i="6"/>
  <c r="V1053" i="6"/>
  <c r="T1053" i="6"/>
  <c r="R1053" i="6"/>
  <c r="U1053" i="6"/>
  <c r="S1053" i="6"/>
  <c r="Q1053" i="6"/>
  <c r="E1053" i="6"/>
  <c r="D1053" i="6"/>
  <c r="B1053" i="6"/>
  <c r="O1051" i="6"/>
  <c r="H1051" i="6"/>
  <c r="K1050" i="6"/>
  <c r="P1051" i="6" s="1"/>
  <c r="J1050" i="6"/>
  <c r="I1050" i="6"/>
  <c r="H1050" i="6"/>
  <c r="G1050" i="6"/>
  <c r="F1050" i="6"/>
  <c r="V1050" i="6"/>
  <c r="T1050" i="6"/>
  <c r="R1050" i="6"/>
  <c r="U1050" i="6"/>
  <c r="S1050" i="6"/>
  <c r="Q1050" i="6"/>
  <c r="E1050" i="6"/>
  <c r="D1050" i="6"/>
  <c r="B1050" i="6"/>
  <c r="A1049" i="6"/>
  <c r="I1047" i="6"/>
  <c r="J1047" i="6"/>
  <c r="I1046" i="6"/>
  <c r="J1046" i="6"/>
  <c r="A1045" i="6"/>
  <c r="H1041" i="6"/>
  <c r="J1041" i="6"/>
  <c r="I1039" i="6"/>
  <c r="H1039" i="6"/>
  <c r="G1039" i="6"/>
  <c r="E1039" i="6"/>
  <c r="J1038" i="6"/>
  <c r="I1038" i="6"/>
  <c r="E1038" i="6"/>
  <c r="J1037" i="6"/>
  <c r="I1037" i="6"/>
  <c r="E1037" i="6"/>
  <c r="J1036" i="6"/>
  <c r="E1036" i="6"/>
  <c r="K1035" i="6"/>
  <c r="J1035" i="6"/>
  <c r="H1035" i="6"/>
  <c r="I1035" i="6"/>
  <c r="F1035" i="6"/>
  <c r="V1035" i="6"/>
  <c r="T1035" i="6"/>
  <c r="R1035" i="6"/>
  <c r="U1035" i="6"/>
  <c r="S1035" i="6"/>
  <c r="Q1035" i="6"/>
  <c r="I1036" i="6" s="1"/>
  <c r="E1035" i="6"/>
  <c r="D1035" i="6"/>
  <c r="B1035" i="6"/>
  <c r="K1034" i="6"/>
  <c r="J1034" i="6"/>
  <c r="I1034" i="6"/>
  <c r="H1034" i="6"/>
  <c r="G1034" i="6"/>
  <c r="F1034" i="6"/>
  <c r="K1033" i="6"/>
  <c r="J1033" i="6"/>
  <c r="I1033" i="6"/>
  <c r="H1033" i="6"/>
  <c r="G1033" i="6"/>
  <c r="F1033" i="6"/>
  <c r="K1032" i="6"/>
  <c r="J1032" i="6"/>
  <c r="I1032" i="6"/>
  <c r="H1032" i="6"/>
  <c r="G1032" i="6"/>
  <c r="F1032" i="6"/>
  <c r="K1031" i="6"/>
  <c r="J1031" i="6"/>
  <c r="I1031" i="6"/>
  <c r="H1031" i="6"/>
  <c r="G1031" i="6"/>
  <c r="F1031" i="6"/>
  <c r="V1030" i="6"/>
  <c r="K1038" i="6" s="1"/>
  <c r="T1030" i="6"/>
  <c r="K1037" i="6" s="1"/>
  <c r="R1030" i="6"/>
  <c r="K1036" i="6" s="1"/>
  <c r="U1030" i="6"/>
  <c r="S1030" i="6"/>
  <c r="Q1030" i="6"/>
  <c r="E1030" i="6"/>
  <c r="D1030" i="6"/>
  <c r="B1030" i="6"/>
  <c r="H1027" i="6"/>
  <c r="H1026" i="6"/>
  <c r="J1027" i="6"/>
  <c r="I1025" i="6"/>
  <c r="H1025" i="6"/>
  <c r="G1025" i="6"/>
  <c r="E1025" i="6"/>
  <c r="J1024" i="6"/>
  <c r="E1024" i="6"/>
  <c r="J1023" i="6"/>
  <c r="E1023" i="6"/>
  <c r="J1022" i="6"/>
  <c r="E1022" i="6"/>
  <c r="K1021" i="6"/>
  <c r="J1021" i="6"/>
  <c r="H1021" i="6"/>
  <c r="I1021" i="6"/>
  <c r="F1021" i="6"/>
  <c r="V1021" i="6"/>
  <c r="T1021" i="6"/>
  <c r="R1021" i="6"/>
  <c r="U1021" i="6"/>
  <c r="S1021" i="6"/>
  <c r="Q1021" i="6"/>
  <c r="I1022" i="6" s="1"/>
  <c r="E1021" i="6"/>
  <c r="D1021" i="6"/>
  <c r="B1021" i="6"/>
  <c r="K1020" i="6"/>
  <c r="J1020" i="6"/>
  <c r="H1020" i="6"/>
  <c r="I1020" i="6"/>
  <c r="F1020" i="6"/>
  <c r="V1020" i="6"/>
  <c r="T1020" i="6"/>
  <c r="K1023" i="6" s="1"/>
  <c r="R1020" i="6"/>
  <c r="U1020" i="6"/>
  <c r="S1020" i="6"/>
  <c r="I1023" i="6" s="1"/>
  <c r="Q1020" i="6"/>
  <c r="E1020" i="6"/>
  <c r="D1020" i="6"/>
  <c r="B1020" i="6"/>
  <c r="K1019" i="6"/>
  <c r="J1019" i="6"/>
  <c r="I1019" i="6"/>
  <c r="H1019" i="6"/>
  <c r="G1019" i="6"/>
  <c r="F1019" i="6"/>
  <c r="K1018" i="6"/>
  <c r="J1018" i="6"/>
  <c r="I1018" i="6"/>
  <c r="H1018" i="6"/>
  <c r="G1018" i="6"/>
  <c r="F1018" i="6"/>
  <c r="K1017" i="6"/>
  <c r="J1017" i="6"/>
  <c r="I1017" i="6"/>
  <c r="H1017" i="6"/>
  <c r="G1017" i="6"/>
  <c r="F1017" i="6"/>
  <c r="K1016" i="6"/>
  <c r="J1016" i="6"/>
  <c r="I1016" i="6"/>
  <c r="H1016" i="6"/>
  <c r="G1016" i="6"/>
  <c r="F1016" i="6"/>
  <c r="V1015" i="6"/>
  <c r="T1015" i="6"/>
  <c r="R1015" i="6"/>
  <c r="U1015" i="6"/>
  <c r="I1024" i="6" s="1"/>
  <c r="S1015" i="6"/>
  <c r="Q1015" i="6"/>
  <c r="E1015" i="6"/>
  <c r="D1015" i="6"/>
  <c r="B1015" i="6"/>
  <c r="H1012" i="6"/>
  <c r="J1012" i="6"/>
  <c r="I1010" i="6"/>
  <c r="H1010" i="6"/>
  <c r="G1010" i="6"/>
  <c r="E1010" i="6"/>
  <c r="J1009" i="6"/>
  <c r="I1009" i="6"/>
  <c r="E1009" i="6"/>
  <c r="J1008" i="6"/>
  <c r="I1008" i="6"/>
  <c r="E1008" i="6"/>
  <c r="J1007" i="6"/>
  <c r="E1007" i="6"/>
  <c r="K1006" i="6"/>
  <c r="J1006" i="6"/>
  <c r="H1006" i="6"/>
  <c r="I1006" i="6"/>
  <c r="F1006" i="6"/>
  <c r="V1006" i="6"/>
  <c r="T1006" i="6"/>
  <c r="R1006" i="6"/>
  <c r="U1006" i="6"/>
  <c r="S1006" i="6"/>
  <c r="Q1006" i="6"/>
  <c r="I1007" i="6" s="1"/>
  <c r="E1006" i="6"/>
  <c r="D1006" i="6"/>
  <c r="B1006" i="6"/>
  <c r="K1005" i="6"/>
  <c r="J1005" i="6"/>
  <c r="I1005" i="6"/>
  <c r="H1005" i="6"/>
  <c r="G1005" i="6"/>
  <c r="F1005" i="6"/>
  <c r="K1004" i="6"/>
  <c r="J1004" i="6"/>
  <c r="I1004" i="6"/>
  <c r="H1004" i="6"/>
  <c r="G1004" i="6"/>
  <c r="F1004" i="6"/>
  <c r="K1003" i="6"/>
  <c r="J1003" i="6"/>
  <c r="I1003" i="6"/>
  <c r="H1003" i="6"/>
  <c r="G1003" i="6"/>
  <c r="F1003" i="6"/>
  <c r="K1002" i="6"/>
  <c r="J1002" i="6"/>
  <c r="I1002" i="6"/>
  <c r="H1002" i="6"/>
  <c r="G1002" i="6"/>
  <c r="F1002" i="6"/>
  <c r="V1001" i="6"/>
  <c r="K1009" i="6" s="1"/>
  <c r="T1001" i="6"/>
  <c r="K1008" i="6" s="1"/>
  <c r="R1001" i="6"/>
  <c r="K1007" i="6" s="1"/>
  <c r="U1001" i="6"/>
  <c r="S1001" i="6"/>
  <c r="Q1001" i="6"/>
  <c r="E1001" i="6"/>
  <c r="D1001" i="6"/>
  <c r="B1001" i="6"/>
  <c r="H998" i="6"/>
  <c r="J998" i="6"/>
  <c r="I996" i="6"/>
  <c r="H996" i="6"/>
  <c r="G996" i="6"/>
  <c r="E996" i="6"/>
  <c r="J995" i="6"/>
  <c r="I995" i="6"/>
  <c r="E995" i="6"/>
  <c r="J994" i="6"/>
  <c r="E994" i="6"/>
  <c r="J993" i="6"/>
  <c r="E993" i="6"/>
  <c r="K992" i="6"/>
  <c r="J992" i="6"/>
  <c r="H992" i="6"/>
  <c r="I992" i="6"/>
  <c r="F992" i="6"/>
  <c r="V992" i="6"/>
  <c r="T992" i="6"/>
  <c r="R992" i="6"/>
  <c r="U992" i="6"/>
  <c r="S992" i="6"/>
  <c r="Q992" i="6"/>
  <c r="E992" i="6"/>
  <c r="D992" i="6"/>
  <c r="B992" i="6"/>
  <c r="K991" i="6"/>
  <c r="J991" i="6"/>
  <c r="I991" i="6"/>
  <c r="H991" i="6"/>
  <c r="G991" i="6"/>
  <c r="F991" i="6"/>
  <c r="K990" i="6"/>
  <c r="J990" i="6"/>
  <c r="I990" i="6"/>
  <c r="H990" i="6"/>
  <c r="G990" i="6"/>
  <c r="F990" i="6"/>
  <c r="K989" i="6"/>
  <c r="J989" i="6"/>
  <c r="I989" i="6"/>
  <c r="H989" i="6"/>
  <c r="G989" i="6"/>
  <c r="F989" i="6"/>
  <c r="K988" i="6"/>
  <c r="J988" i="6"/>
  <c r="I988" i="6"/>
  <c r="H988" i="6"/>
  <c r="G988" i="6"/>
  <c r="F988" i="6"/>
  <c r="V987" i="6"/>
  <c r="K995" i="6" s="1"/>
  <c r="T987" i="6"/>
  <c r="K994" i="6" s="1"/>
  <c r="R987" i="6"/>
  <c r="K993" i="6" s="1"/>
  <c r="J997" i="6" s="1"/>
  <c r="U987" i="6"/>
  <c r="S987" i="6"/>
  <c r="I994" i="6" s="1"/>
  <c r="Q987" i="6"/>
  <c r="I993" i="6" s="1"/>
  <c r="H997" i="6" s="1"/>
  <c r="E987" i="6"/>
  <c r="D987" i="6"/>
  <c r="B987" i="6"/>
  <c r="H984" i="6"/>
  <c r="J984" i="6"/>
  <c r="I982" i="6"/>
  <c r="H982" i="6"/>
  <c r="G982" i="6"/>
  <c r="E982" i="6"/>
  <c r="K981" i="6"/>
  <c r="J981" i="6"/>
  <c r="E981" i="6"/>
  <c r="K980" i="6"/>
  <c r="J980" i="6"/>
  <c r="E980" i="6"/>
  <c r="K979" i="6"/>
  <c r="P985" i="6" s="1"/>
  <c r="J979" i="6"/>
  <c r="E979" i="6"/>
  <c r="K978" i="6"/>
  <c r="J978" i="6"/>
  <c r="H978" i="6"/>
  <c r="I978" i="6"/>
  <c r="F978" i="6"/>
  <c r="V978" i="6"/>
  <c r="T978" i="6"/>
  <c r="R978" i="6"/>
  <c r="U978" i="6"/>
  <c r="S978" i="6"/>
  <c r="Q978" i="6"/>
  <c r="E978" i="6"/>
  <c r="D978" i="6"/>
  <c r="B978" i="6"/>
  <c r="K977" i="6"/>
  <c r="J977" i="6"/>
  <c r="I977" i="6"/>
  <c r="H977" i="6"/>
  <c r="G977" i="6"/>
  <c r="F977" i="6"/>
  <c r="K976" i="6"/>
  <c r="J976" i="6"/>
  <c r="I976" i="6"/>
  <c r="H976" i="6"/>
  <c r="G976" i="6"/>
  <c r="F976" i="6"/>
  <c r="K975" i="6"/>
  <c r="J975" i="6"/>
  <c r="I975" i="6"/>
  <c r="H975" i="6"/>
  <c r="G975" i="6"/>
  <c r="F975" i="6"/>
  <c r="K974" i="6"/>
  <c r="J974" i="6"/>
  <c r="I974" i="6"/>
  <c r="H974" i="6"/>
  <c r="G974" i="6"/>
  <c r="F974" i="6"/>
  <c r="V973" i="6"/>
  <c r="T973" i="6"/>
  <c r="R973" i="6"/>
  <c r="U973" i="6"/>
  <c r="I981" i="6" s="1"/>
  <c r="S973" i="6"/>
  <c r="I980" i="6" s="1"/>
  <c r="Q973" i="6"/>
  <c r="I979" i="6" s="1"/>
  <c r="E973" i="6"/>
  <c r="D973" i="6"/>
  <c r="B973" i="6"/>
  <c r="H970" i="6"/>
  <c r="J971" i="6"/>
  <c r="J970" i="6"/>
  <c r="I968" i="6"/>
  <c r="H968" i="6"/>
  <c r="G968" i="6"/>
  <c r="E968" i="6"/>
  <c r="J967" i="6"/>
  <c r="E967" i="6"/>
  <c r="K966" i="6"/>
  <c r="J966" i="6"/>
  <c r="E966" i="6"/>
  <c r="J965" i="6"/>
  <c r="E965" i="6"/>
  <c r="K964" i="6"/>
  <c r="J964" i="6"/>
  <c r="H964" i="6"/>
  <c r="I964" i="6"/>
  <c r="F964" i="6"/>
  <c r="V964" i="6"/>
  <c r="K967" i="6" s="1"/>
  <c r="T964" i="6"/>
  <c r="R964" i="6"/>
  <c r="U964" i="6"/>
  <c r="S964" i="6"/>
  <c r="Q964" i="6"/>
  <c r="I965" i="6" s="1"/>
  <c r="H971" i="6" s="1"/>
  <c r="E964" i="6"/>
  <c r="D964" i="6"/>
  <c r="B964" i="6"/>
  <c r="K963" i="6"/>
  <c r="J963" i="6"/>
  <c r="I963" i="6"/>
  <c r="H963" i="6"/>
  <c r="G963" i="6"/>
  <c r="F963" i="6"/>
  <c r="K962" i="6"/>
  <c r="J962" i="6"/>
  <c r="I962" i="6"/>
  <c r="H962" i="6"/>
  <c r="G962" i="6"/>
  <c r="F962" i="6"/>
  <c r="K961" i="6"/>
  <c r="J961" i="6"/>
  <c r="I961" i="6"/>
  <c r="H961" i="6"/>
  <c r="G961" i="6"/>
  <c r="F961" i="6"/>
  <c r="K960" i="6"/>
  <c r="J960" i="6"/>
  <c r="I960" i="6"/>
  <c r="H960" i="6"/>
  <c r="G960" i="6"/>
  <c r="F960" i="6"/>
  <c r="V959" i="6"/>
  <c r="T959" i="6"/>
  <c r="R959" i="6"/>
  <c r="K965" i="6" s="1"/>
  <c r="U959" i="6"/>
  <c r="I967" i="6" s="1"/>
  <c r="S959" i="6"/>
  <c r="I966" i="6" s="1"/>
  <c r="Q959" i="6"/>
  <c r="E959" i="6"/>
  <c r="D959" i="6"/>
  <c r="B959" i="6"/>
  <c r="H956" i="6"/>
  <c r="J956" i="6"/>
  <c r="I954" i="6"/>
  <c r="H954" i="6"/>
  <c r="G954" i="6"/>
  <c r="E954" i="6"/>
  <c r="J953" i="6"/>
  <c r="I953" i="6"/>
  <c r="E953" i="6"/>
  <c r="J952" i="6"/>
  <c r="I952" i="6"/>
  <c r="E952" i="6"/>
  <c r="J951" i="6"/>
  <c r="I951" i="6"/>
  <c r="E951" i="6"/>
  <c r="K950" i="6"/>
  <c r="J950" i="6"/>
  <c r="I950" i="6"/>
  <c r="H950" i="6"/>
  <c r="G950" i="6"/>
  <c r="F950" i="6"/>
  <c r="K949" i="6"/>
  <c r="J949" i="6"/>
  <c r="I949" i="6"/>
  <c r="H949" i="6"/>
  <c r="G949" i="6"/>
  <c r="F949" i="6"/>
  <c r="K948" i="6"/>
  <c r="J948" i="6"/>
  <c r="I948" i="6"/>
  <c r="H948" i="6"/>
  <c r="G948" i="6"/>
  <c r="F948" i="6"/>
  <c r="K947" i="6"/>
  <c r="J947" i="6"/>
  <c r="I947" i="6"/>
  <c r="O957" i="6" s="1"/>
  <c r="H947" i="6"/>
  <c r="G947" i="6"/>
  <c r="F947" i="6"/>
  <c r="V946" i="6"/>
  <c r="K953" i="6" s="1"/>
  <c r="T946" i="6"/>
  <c r="K952" i="6" s="1"/>
  <c r="R946" i="6"/>
  <c r="K951" i="6" s="1"/>
  <c r="U946" i="6"/>
  <c r="S946" i="6"/>
  <c r="Q946" i="6"/>
  <c r="E946" i="6"/>
  <c r="D946" i="6"/>
  <c r="B946" i="6"/>
  <c r="H944" i="6"/>
  <c r="H943" i="6"/>
  <c r="J943" i="6"/>
  <c r="I941" i="6"/>
  <c r="H941" i="6"/>
  <c r="G941" i="6"/>
  <c r="E941" i="6"/>
  <c r="J940" i="6"/>
  <c r="E940" i="6"/>
  <c r="J939" i="6"/>
  <c r="E939" i="6"/>
  <c r="K938" i="6"/>
  <c r="J938" i="6"/>
  <c r="H938" i="6"/>
  <c r="I938" i="6"/>
  <c r="F938" i="6"/>
  <c r="V938" i="6"/>
  <c r="T938" i="6"/>
  <c r="K940" i="6" s="1"/>
  <c r="R938" i="6"/>
  <c r="U938" i="6"/>
  <c r="S938" i="6"/>
  <c r="Q938" i="6"/>
  <c r="I939" i="6" s="1"/>
  <c r="E938" i="6"/>
  <c r="D938" i="6"/>
  <c r="B938" i="6"/>
  <c r="K937" i="6"/>
  <c r="J937" i="6"/>
  <c r="I937" i="6"/>
  <c r="H937" i="6"/>
  <c r="G937" i="6"/>
  <c r="F937" i="6"/>
  <c r="K936" i="6"/>
  <c r="J936" i="6"/>
  <c r="I936" i="6"/>
  <c r="H936" i="6"/>
  <c r="G936" i="6"/>
  <c r="F936" i="6"/>
  <c r="V935" i="6"/>
  <c r="T935" i="6"/>
  <c r="R935" i="6"/>
  <c r="K939" i="6" s="1"/>
  <c r="J944" i="6" s="1"/>
  <c r="U935" i="6"/>
  <c r="S935" i="6"/>
  <c r="I940" i="6" s="1"/>
  <c r="Q935" i="6"/>
  <c r="E935" i="6"/>
  <c r="D935" i="6"/>
  <c r="H932" i="6"/>
  <c r="J932" i="6"/>
  <c r="I930" i="6"/>
  <c r="H930" i="6"/>
  <c r="G930" i="6"/>
  <c r="E930" i="6"/>
  <c r="K929" i="6"/>
  <c r="J929" i="6"/>
  <c r="E929" i="6"/>
  <c r="J928" i="6"/>
  <c r="I928" i="6"/>
  <c r="E928" i="6"/>
  <c r="K927" i="6"/>
  <c r="J927" i="6"/>
  <c r="I927" i="6"/>
  <c r="H927" i="6"/>
  <c r="G927" i="6"/>
  <c r="F927" i="6"/>
  <c r="K926" i="6"/>
  <c r="J926" i="6"/>
  <c r="I926" i="6"/>
  <c r="H926" i="6"/>
  <c r="G926" i="6"/>
  <c r="F926" i="6"/>
  <c r="V925" i="6"/>
  <c r="T925" i="6"/>
  <c r="R925" i="6"/>
  <c r="K928" i="6" s="1"/>
  <c r="J931" i="6" s="1"/>
  <c r="U925" i="6"/>
  <c r="S925" i="6"/>
  <c r="I929" i="6" s="1"/>
  <c r="H931" i="6" s="1"/>
  <c r="Q925" i="6"/>
  <c r="E925" i="6"/>
  <c r="D925" i="6"/>
  <c r="B925" i="6"/>
  <c r="H922" i="6"/>
  <c r="J922" i="6"/>
  <c r="I920" i="6"/>
  <c r="H920" i="6"/>
  <c r="G920" i="6"/>
  <c r="E920" i="6"/>
  <c r="J919" i="6"/>
  <c r="I919" i="6"/>
  <c r="E919" i="6"/>
  <c r="J918" i="6"/>
  <c r="I918" i="6"/>
  <c r="E918" i="6"/>
  <c r="J917" i="6"/>
  <c r="I917" i="6"/>
  <c r="E917" i="6"/>
  <c r="K916" i="6"/>
  <c r="J916" i="6"/>
  <c r="I916" i="6"/>
  <c r="H916" i="6"/>
  <c r="G916" i="6"/>
  <c r="F916" i="6"/>
  <c r="K915" i="6"/>
  <c r="J915" i="6"/>
  <c r="I915" i="6"/>
  <c r="H915" i="6"/>
  <c r="G915" i="6"/>
  <c r="F915" i="6"/>
  <c r="K914" i="6"/>
  <c r="J914" i="6"/>
  <c r="I914" i="6"/>
  <c r="H914" i="6"/>
  <c r="G914" i="6"/>
  <c r="F914" i="6"/>
  <c r="K913" i="6"/>
  <c r="J913" i="6"/>
  <c r="I913" i="6"/>
  <c r="O923" i="6" s="1"/>
  <c r="H913" i="6"/>
  <c r="G913" i="6"/>
  <c r="F913" i="6"/>
  <c r="V912" i="6"/>
  <c r="K919" i="6" s="1"/>
  <c r="T912" i="6"/>
  <c r="K918" i="6" s="1"/>
  <c r="R912" i="6"/>
  <c r="K917" i="6" s="1"/>
  <c r="U912" i="6"/>
  <c r="S912" i="6"/>
  <c r="Q912" i="6"/>
  <c r="E912" i="6"/>
  <c r="D912" i="6"/>
  <c r="B912" i="6"/>
  <c r="H909" i="6"/>
  <c r="J909" i="6"/>
  <c r="I907" i="6"/>
  <c r="H907" i="6"/>
  <c r="G907" i="6"/>
  <c r="E907" i="6"/>
  <c r="J906" i="6"/>
  <c r="E906" i="6"/>
  <c r="J905" i="6"/>
  <c r="E905" i="6"/>
  <c r="K904" i="6"/>
  <c r="J904" i="6"/>
  <c r="H904" i="6"/>
  <c r="I904" i="6"/>
  <c r="F904" i="6"/>
  <c r="V904" i="6"/>
  <c r="T904" i="6"/>
  <c r="R904" i="6"/>
  <c r="U904" i="6"/>
  <c r="S904" i="6"/>
  <c r="Q904" i="6"/>
  <c r="E904" i="6"/>
  <c r="D904" i="6"/>
  <c r="B904" i="6"/>
  <c r="K903" i="6"/>
  <c r="J903" i="6"/>
  <c r="H903" i="6"/>
  <c r="I903" i="6"/>
  <c r="F903" i="6"/>
  <c r="V903" i="6"/>
  <c r="T903" i="6"/>
  <c r="R903" i="6"/>
  <c r="U903" i="6"/>
  <c r="S903" i="6"/>
  <c r="Q903" i="6"/>
  <c r="E903" i="6"/>
  <c r="D903" i="6"/>
  <c r="B903" i="6"/>
  <c r="K902" i="6"/>
  <c r="J902" i="6"/>
  <c r="I902" i="6"/>
  <c r="H902" i="6"/>
  <c r="G902" i="6"/>
  <c r="F902" i="6"/>
  <c r="K901" i="6"/>
  <c r="J901" i="6"/>
  <c r="I901" i="6"/>
  <c r="H901" i="6"/>
  <c r="G901" i="6"/>
  <c r="F901" i="6"/>
  <c r="V900" i="6"/>
  <c r="T900" i="6"/>
  <c r="K906" i="6" s="1"/>
  <c r="R900" i="6"/>
  <c r="K905" i="6" s="1"/>
  <c r="J910" i="6" s="1"/>
  <c r="U900" i="6"/>
  <c r="S900" i="6"/>
  <c r="Q900" i="6"/>
  <c r="I905" i="6" s="1"/>
  <c r="E900" i="6"/>
  <c r="D900" i="6"/>
  <c r="H897" i="6"/>
  <c r="J897" i="6"/>
  <c r="I895" i="6"/>
  <c r="H895" i="6"/>
  <c r="G895" i="6"/>
  <c r="E895" i="6"/>
  <c r="J894" i="6"/>
  <c r="E894" i="6"/>
  <c r="J893" i="6"/>
  <c r="E893" i="6"/>
  <c r="K892" i="6"/>
  <c r="J892" i="6"/>
  <c r="I892" i="6"/>
  <c r="H892" i="6"/>
  <c r="G892" i="6"/>
  <c r="F892" i="6"/>
  <c r="K891" i="6"/>
  <c r="J891" i="6"/>
  <c r="I891" i="6"/>
  <c r="H891" i="6"/>
  <c r="G891" i="6"/>
  <c r="F891" i="6"/>
  <c r="V890" i="6"/>
  <c r="T890" i="6"/>
  <c r="K894" i="6" s="1"/>
  <c r="R890" i="6"/>
  <c r="K893" i="6" s="1"/>
  <c r="J898" i="6" s="1"/>
  <c r="U890" i="6"/>
  <c r="S890" i="6"/>
  <c r="I894" i="6" s="1"/>
  <c r="Q890" i="6"/>
  <c r="I893" i="6" s="1"/>
  <c r="H898" i="6" s="1"/>
  <c r="E890" i="6"/>
  <c r="D890" i="6"/>
  <c r="B890" i="6"/>
  <c r="H887" i="6"/>
  <c r="P888" i="6"/>
  <c r="J887" i="6"/>
  <c r="I885" i="6"/>
  <c r="H885" i="6"/>
  <c r="G885" i="6"/>
  <c r="E885" i="6"/>
  <c r="J884" i="6"/>
  <c r="E884" i="6"/>
  <c r="K883" i="6"/>
  <c r="J883" i="6"/>
  <c r="E883" i="6"/>
  <c r="K882" i="6"/>
  <c r="J882" i="6"/>
  <c r="E882" i="6"/>
  <c r="K881" i="6"/>
  <c r="J881" i="6"/>
  <c r="I881" i="6"/>
  <c r="H881" i="6"/>
  <c r="G881" i="6"/>
  <c r="F881" i="6"/>
  <c r="K880" i="6"/>
  <c r="J880" i="6"/>
  <c r="I880" i="6"/>
  <c r="H880" i="6"/>
  <c r="G880" i="6"/>
  <c r="F880" i="6"/>
  <c r="K879" i="6"/>
  <c r="J879" i="6"/>
  <c r="I879" i="6"/>
  <c r="H879" i="6"/>
  <c r="G879" i="6"/>
  <c r="F879" i="6"/>
  <c r="K878" i="6"/>
  <c r="J878" i="6"/>
  <c r="I878" i="6"/>
  <c r="H878" i="6"/>
  <c r="G878" i="6"/>
  <c r="F878" i="6"/>
  <c r="V877" i="6"/>
  <c r="K884" i="6" s="1"/>
  <c r="T877" i="6"/>
  <c r="R877" i="6"/>
  <c r="U877" i="6"/>
  <c r="I884" i="6" s="1"/>
  <c r="S877" i="6"/>
  <c r="I883" i="6" s="1"/>
  <c r="Q877" i="6"/>
  <c r="I882" i="6" s="1"/>
  <c r="E877" i="6"/>
  <c r="D877" i="6"/>
  <c r="B877" i="6"/>
  <c r="H874" i="6"/>
  <c r="J874" i="6"/>
  <c r="I872" i="6"/>
  <c r="H872" i="6"/>
  <c r="G872" i="6"/>
  <c r="E872" i="6"/>
  <c r="J871" i="6"/>
  <c r="E871" i="6"/>
  <c r="J870" i="6"/>
  <c r="I870" i="6"/>
  <c r="E870" i="6"/>
  <c r="J869" i="6"/>
  <c r="I869" i="6"/>
  <c r="E869" i="6"/>
  <c r="K868" i="6"/>
  <c r="J868" i="6"/>
  <c r="I868" i="6"/>
  <c r="H868" i="6"/>
  <c r="G868" i="6"/>
  <c r="F868" i="6"/>
  <c r="K867" i="6"/>
  <c r="J867" i="6"/>
  <c r="I867" i="6"/>
  <c r="H867" i="6"/>
  <c r="G867" i="6"/>
  <c r="F867" i="6"/>
  <c r="K866" i="6"/>
  <c r="J866" i="6"/>
  <c r="I866" i="6"/>
  <c r="H866" i="6"/>
  <c r="G866" i="6"/>
  <c r="F866" i="6"/>
  <c r="K865" i="6"/>
  <c r="J865" i="6"/>
  <c r="I865" i="6"/>
  <c r="O875" i="6" s="1"/>
  <c r="H865" i="6"/>
  <c r="G865" i="6"/>
  <c r="F865" i="6"/>
  <c r="V864" i="6"/>
  <c r="K871" i="6" s="1"/>
  <c r="J873" i="6" s="1"/>
  <c r="T864" i="6"/>
  <c r="K870" i="6" s="1"/>
  <c r="R864" i="6"/>
  <c r="K869" i="6" s="1"/>
  <c r="U864" i="6"/>
  <c r="I871" i="6" s="1"/>
  <c r="H873" i="6" s="1"/>
  <c r="S864" i="6"/>
  <c r="Q864" i="6"/>
  <c r="E864" i="6"/>
  <c r="D864" i="6"/>
  <c r="B864" i="6"/>
  <c r="H861" i="6"/>
  <c r="J861" i="6"/>
  <c r="I859" i="6"/>
  <c r="H859" i="6"/>
  <c r="G859" i="6"/>
  <c r="E859" i="6"/>
  <c r="J858" i="6"/>
  <c r="I858" i="6"/>
  <c r="E858" i="6"/>
  <c r="J857" i="6"/>
  <c r="I857" i="6"/>
  <c r="E857" i="6"/>
  <c r="J856" i="6"/>
  <c r="I856" i="6"/>
  <c r="E856" i="6"/>
  <c r="K855" i="6"/>
  <c r="J855" i="6"/>
  <c r="I855" i="6"/>
  <c r="H855" i="6"/>
  <c r="G855" i="6"/>
  <c r="F855" i="6"/>
  <c r="K854" i="6"/>
  <c r="J854" i="6"/>
  <c r="I854" i="6"/>
  <c r="H854" i="6"/>
  <c r="G854" i="6"/>
  <c r="F854" i="6"/>
  <c r="K853" i="6"/>
  <c r="J853" i="6"/>
  <c r="I853" i="6"/>
  <c r="H853" i="6"/>
  <c r="G853" i="6"/>
  <c r="F853" i="6"/>
  <c r="K852" i="6"/>
  <c r="J852" i="6"/>
  <c r="I852" i="6"/>
  <c r="H860" i="6" s="1"/>
  <c r="H852" i="6"/>
  <c r="G852" i="6"/>
  <c r="F852" i="6"/>
  <c r="V851" i="6"/>
  <c r="K858" i="6" s="1"/>
  <c r="T851" i="6"/>
  <c r="K857" i="6" s="1"/>
  <c r="R851" i="6"/>
  <c r="K856" i="6" s="1"/>
  <c r="U851" i="6"/>
  <c r="S851" i="6"/>
  <c r="Q851" i="6"/>
  <c r="E851" i="6"/>
  <c r="D851" i="6"/>
  <c r="B851" i="6"/>
  <c r="H848" i="6"/>
  <c r="J848" i="6"/>
  <c r="I846" i="6"/>
  <c r="H846" i="6"/>
  <c r="G846" i="6"/>
  <c r="E846" i="6"/>
  <c r="J845" i="6"/>
  <c r="E845" i="6"/>
  <c r="J844" i="6"/>
  <c r="E844" i="6"/>
  <c r="K843" i="6"/>
  <c r="J843" i="6"/>
  <c r="E843" i="6"/>
  <c r="K842" i="6"/>
  <c r="J842" i="6"/>
  <c r="I842" i="6"/>
  <c r="H842" i="6"/>
  <c r="G842" i="6"/>
  <c r="F842" i="6"/>
  <c r="K841" i="6"/>
  <c r="J841" i="6"/>
  <c r="I841" i="6"/>
  <c r="H841" i="6"/>
  <c r="G841" i="6"/>
  <c r="F841" i="6"/>
  <c r="K840" i="6"/>
  <c r="J840" i="6"/>
  <c r="I840" i="6"/>
  <c r="H840" i="6"/>
  <c r="G840" i="6"/>
  <c r="F840" i="6"/>
  <c r="K839" i="6"/>
  <c r="J839" i="6"/>
  <c r="I839" i="6"/>
  <c r="H839" i="6"/>
  <c r="G839" i="6"/>
  <c r="F839" i="6"/>
  <c r="V838" i="6"/>
  <c r="K845" i="6" s="1"/>
  <c r="J849" i="6" s="1"/>
  <c r="T838" i="6"/>
  <c r="K844" i="6" s="1"/>
  <c r="R838" i="6"/>
  <c r="U838" i="6"/>
  <c r="I845" i="6" s="1"/>
  <c r="S838" i="6"/>
  <c r="I844" i="6" s="1"/>
  <c r="Q838" i="6"/>
  <c r="I843" i="6" s="1"/>
  <c r="H849" i="6" s="1"/>
  <c r="E838" i="6"/>
  <c r="D838" i="6"/>
  <c r="B838" i="6"/>
  <c r="H835" i="6"/>
  <c r="J835" i="6"/>
  <c r="I833" i="6"/>
  <c r="H833" i="6"/>
  <c r="G833" i="6"/>
  <c r="E833" i="6"/>
  <c r="J832" i="6"/>
  <c r="E832" i="6"/>
  <c r="K831" i="6"/>
  <c r="J831" i="6"/>
  <c r="E831" i="6"/>
  <c r="K830" i="6"/>
  <c r="J830" i="6"/>
  <c r="E830" i="6"/>
  <c r="K829" i="6"/>
  <c r="J829" i="6"/>
  <c r="I829" i="6"/>
  <c r="H829" i="6"/>
  <c r="G829" i="6"/>
  <c r="F829" i="6"/>
  <c r="K828" i="6"/>
  <c r="J828" i="6"/>
  <c r="I828" i="6"/>
  <c r="H828" i="6"/>
  <c r="G828" i="6"/>
  <c r="F828" i="6"/>
  <c r="K827" i="6"/>
  <c r="J827" i="6"/>
  <c r="I827" i="6"/>
  <c r="H827" i="6"/>
  <c r="G827" i="6"/>
  <c r="F827" i="6"/>
  <c r="K826" i="6"/>
  <c r="J836" i="6" s="1"/>
  <c r="J826" i="6"/>
  <c r="I826" i="6"/>
  <c r="H826" i="6"/>
  <c r="G826" i="6"/>
  <c r="F826" i="6"/>
  <c r="V825" i="6"/>
  <c r="K832" i="6" s="1"/>
  <c r="T825" i="6"/>
  <c r="R825" i="6"/>
  <c r="U825" i="6"/>
  <c r="I832" i="6" s="1"/>
  <c r="S825" i="6"/>
  <c r="I831" i="6" s="1"/>
  <c r="Q825" i="6"/>
  <c r="I830" i="6" s="1"/>
  <c r="E825" i="6"/>
  <c r="D825" i="6"/>
  <c r="B825" i="6"/>
  <c r="A824" i="6"/>
  <c r="A822" i="6"/>
  <c r="I820" i="6"/>
  <c r="J820" i="6"/>
  <c r="I819" i="6"/>
  <c r="J819" i="6"/>
  <c r="A818" i="6"/>
  <c r="I816" i="6"/>
  <c r="J816" i="6"/>
  <c r="I815" i="6"/>
  <c r="J815" i="6"/>
  <c r="A814" i="6"/>
  <c r="H810" i="6"/>
  <c r="J810" i="6"/>
  <c r="I808" i="6"/>
  <c r="H808" i="6"/>
  <c r="G808" i="6"/>
  <c r="E808" i="6"/>
  <c r="J807" i="6"/>
  <c r="I807" i="6"/>
  <c r="H809" i="6" s="1"/>
  <c r="E807" i="6"/>
  <c r="J806" i="6"/>
  <c r="I806" i="6"/>
  <c r="E806" i="6"/>
  <c r="J805" i="6"/>
  <c r="I805" i="6"/>
  <c r="E805" i="6"/>
  <c r="K804" i="6"/>
  <c r="J804" i="6"/>
  <c r="I804" i="6"/>
  <c r="H804" i="6"/>
  <c r="G804" i="6"/>
  <c r="F804" i="6"/>
  <c r="K803" i="6"/>
  <c r="J803" i="6"/>
  <c r="I803" i="6"/>
  <c r="H803" i="6"/>
  <c r="G803" i="6"/>
  <c r="F803" i="6"/>
  <c r="K802" i="6"/>
  <c r="J802" i="6"/>
  <c r="I802" i="6"/>
  <c r="H802" i="6"/>
  <c r="G802" i="6"/>
  <c r="F802" i="6"/>
  <c r="K801" i="6"/>
  <c r="J801" i="6"/>
  <c r="I801" i="6"/>
  <c r="O811" i="6" s="1"/>
  <c r="H801" i="6"/>
  <c r="G801" i="6"/>
  <c r="F801" i="6"/>
  <c r="V800" i="6"/>
  <c r="K807" i="6" s="1"/>
  <c r="T800" i="6"/>
  <c r="K806" i="6" s="1"/>
  <c r="R800" i="6"/>
  <c r="K805" i="6" s="1"/>
  <c r="U800" i="6"/>
  <c r="S800" i="6"/>
  <c r="Q800" i="6"/>
  <c r="E800" i="6"/>
  <c r="D800" i="6"/>
  <c r="H797" i="6"/>
  <c r="H796" i="6"/>
  <c r="J797" i="6"/>
  <c r="I795" i="6"/>
  <c r="H795" i="6"/>
  <c r="G795" i="6"/>
  <c r="E795" i="6"/>
  <c r="K794" i="6"/>
  <c r="J794" i="6"/>
  <c r="E794" i="6"/>
  <c r="K793" i="6"/>
  <c r="J793" i="6"/>
  <c r="E793" i="6"/>
  <c r="K792" i="6"/>
  <c r="J792" i="6"/>
  <c r="E792" i="6"/>
  <c r="K791" i="6"/>
  <c r="J791" i="6"/>
  <c r="H791" i="6"/>
  <c r="I791" i="6"/>
  <c r="F791" i="6"/>
  <c r="V791" i="6"/>
  <c r="T791" i="6"/>
  <c r="R791" i="6"/>
  <c r="U791" i="6"/>
  <c r="I794" i="6" s="1"/>
  <c r="S791" i="6"/>
  <c r="Q791" i="6"/>
  <c r="E791" i="6"/>
  <c r="D791" i="6"/>
  <c r="B791" i="6"/>
  <c r="K790" i="6"/>
  <c r="J790" i="6"/>
  <c r="I790" i="6"/>
  <c r="H790" i="6"/>
  <c r="G790" i="6"/>
  <c r="F790" i="6"/>
  <c r="K789" i="6"/>
  <c r="J789" i="6"/>
  <c r="I789" i="6"/>
  <c r="H789" i="6"/>
  <c r="G789" i="6"/>
  <c r="F789" i="6"/>
  <c r="K788" i="6"/>
  <c r="J788" i="6"/>
  <c r="I788" i="6"/>
  <c r="H788" i="6"/>
  <c r="G788" i="6"/>
  <c r="F788" i="6"/>
  <c r="K787" i="6"/>
  <c r="J787" i="6"/>
  <c r="I787" i="6"/>
  <c r="H787" i="6"/>
  <c r="G787" i="6"/>
  <c r="F787" i="6"/>
  <c r="V786" i="6"/>
  <c r="T786" i="6"/>
  <c r="R786" i="6"/>
  <c r="U786" i="6"/>
  <c r="S786" i="6"/>
  <c r="I793" i="6" s="1"/>
  <c r="Q786" i="6"/>
  <c r="I792" i="6" s="1"/>
  <c r="E786" i="6"/>
  <c r="D786" i="6"/>
  <c r="H783" i="6"/>
  <c r="J783" i="6"/>
  <c r="I781" i="6"/>
  <c r="H781" i="6"/>
  <c r="G781" i="6"/>
  <c r="E781" i="6"/>
  <c r="J780" i="6"/>
  <c r="I780" i="6"/>
  <c r="E780" i="6"/>
  <c r="J779" i="6"/>
  <c r="I779" i="6"/>
  <c r="E779" i="6"/>
  <c r="J778" i="6"/>
  <c r="E778" i="6"/>
  <c r="K777" i="6"/>
  <c r="J777" i="6"/>
  <c r="H777" i="6"/>
  <c r="I777" i="6"/>
  <c r="F777" i="6"/>
  <c r="V777" i="6"/>
  <c r="T777" i="6"/>
  <c r="R777" i="6"/>
  <c r="U777" i="6"/>
  <c r="S777" i="6"/>
  <c r="Q777" i="6"/>
  <c r="I778" i="6" s="1"/>
  <c r="E777" i="6"/>
  <c r="D777" i="6"/>
  <c r="B777" i="6"/>
  <c r="K776" i="6"/>
  <c r="J776" i="6"/>
  <c r="H776" i="6"/>
  <c r="I776" i="6"/>
  <c r="F776" i="6"/>
  <c r="V776" i="6"/>
  <c r="T776" i="6"/>
  <c r="R776" i="6"/>
  <c r="U776" i="6"/>
  <c r="S776" i="6"/>
  <c r="Q776" i="6"/>
  <c r="E776" i="6"/>
  <c r="D776" i="6"/>
  <c r="B776" i="6"/>
  <c r="K775" i="6"/>
  <c r="J775" i="6"/>
  <c r="I775" i="6"/>
  <c r="H775" i="6"/>
  <c r="G775" i="6"/>
  <c r="F775" i="6"/>
  <c r="K774" i="6"/>
  <c r="J774" i="6"/>
  <c r="I774" i="6"/>
  <c r="H774" i="6"/>
  <c r="G774" i="6"/>
  <c r="F774" i="6"/>
  <c r="K773" i="6"/>
  <c r="J773" i="6"/>
  <c r="I773" i="6"/>
  <c r="H773" i="6"/>
  <c r="G773" i="6"/>
  <c r="F773" i="6"/>
  <c r="K772" i="6"/>
  <c r="J772" i="6"/>
  <c r="I772" i="6"/>
  <c r="H772" i="6"/>
  <c r="G772" i="6"/>
  <c r="F772" i="6"/>
  <c r="V771" i="6"/>
  <c r="K780" i="6" s="1"/>
  <c r="T771" i="6"/>
  <c r="K779" i="6" s="1"/>
  <c r="R771" i="6"/>
  <c r="K778" i="6" s="1"/>
  <c r="U771" i="6"/>
  <c r="S771" i="6"/>
  <c r="Q771" i="6"/>
  <c r="E771" i="6"/>
  <c r="D771" i="6"/>
  <c r="H768" i="6"/>
  <c r="J768" i="6"/>
  <c r="I766" i="6"/>
  <c r="H766" i="6"/>
  <c r="G766" i="6"/>
  <c r="E766" i="6"/>
  <c r="J765" i="6"/>
  <c r="I765" i="6"/>
  <c r="E765" i="6"/>
  <c r="J764" i="6"/>
  <c r="E764" i="6"/>
  <c r="J763" i="6"/>
  <c r="E763" i="6"/>
  <c r="K762" i="6"/>
  <c r="J762" i="6"/>
  <c r="H762" i="6"/>
  <c r="I762" i="6"/>
  <c r="F762" i="6"/>
  <c r="V762" i="6"/>
  <c r="T762" i="6"/>
  <c r="K764" i="6" s="1"/>
  <c r="R762" i="6"/>
  <c r="U762" i="6"/>
  <c r="S762" i="6"/>
  <c r="Q762" i="6"/>
  <c r="I763" i="6" s="1"/>
  <c r="E762" i="6"/>
  <c r="D762" i="6"/>
  <c r="B762" i="6"/>
  <c r="K761" i="6"/>
  <c r="J761" i="6"/>
  <c r="I761" i="6"/>
  <c r="H761" i="6"/>
  <c r="G761" i="6"/>
  <c r="F761" i="6"/>
  <c r="K760" i="6"/>
  <c r="J760" i="6"/>
  <c r="I760" i="6"/>
  <c r="H760" i="6"/>
  <c r="G760" i="6"/>
  <c r="F760" i="6"/>
  <c r="K759" i="6"/>
  <c r="J759" i="6"/>
  <c r="I759" i="6"/>
  <c r="H759" i="6"/>
  <c r="G759" i="6"/>
  <c r="F759" i="6"/>
  <c r="K758" i="6"/>
  <c r="J758" i="6"/>
  <c r="I758" i="6"/>
  <c r="H758" i="6"/>
  <c r="G758" i="6"/>
  <c r="F758" i="6"/>
  <c r="V757" i="6"/>
  <c r="K765" i="6" s="1"/>
  <c r="T757" i="6"/>
  <c r="R757" i="6"/>
  <c r="K763" i="6" s="1"/>
  <c r="U757" i="6"/>
  <c r="S757" i="6"/>
  <c r="I764" i="6" s="1"/>
  <c r="Q757" i="6"/>
  <c r="E757" i="6"/>
  <c r="D757" i="6"/>
  <c r="H754" i="6"/>
  <c r="J754" i="6"/>
  <c r="I752" i="6"/>
  <c r="H752" i="6"/>
  <c r="G752" i="6"/>
  <c r="E752" i="6"/>
  <c r="K751" i="6"/>
  <c r="J751" i="6"/>
  <c r="E751" i="6"/>
  <c r="K750" i="6"/>
  <c r="J750" i="6"/>
  <c r="E750" i="6"/>
  <c r="K749" i="6"/>
  <c r="P755" i="6" s="1"/>
  <c r="J749" i="6"/>
  <c r="E749" i="6"/>
  <c r="K748" i="6"/>
  <c r="J748" i="6"/>
  <c r="H748" i="6"/>
  <c r="I748" i="6"/>
  <c r="F748" i="6"/>
  <c r="V748" i="6"/>
  <c r="T748" i="6"/>
  <c r="R748" i="6"/>
  <c r="U748" i="6"/>
  <c r="I751" i="6" s="1"/>
  <c r="S748" i="6"/>
  <c r="Q748" i="6"/>
  <c r="E748" i="6"/>
  <c r="D748" i="6"/>
  <c r="B748" i="6"/>
  <c r="K747" i="6"/>
  <c r="J747" i="6"/>
  <c r="I747" i="6"/>
  <c r="H747" i="6"/>
  <c r="G747" i="6"/>
  <c r="F747" i="6"/>
  <c r="K746" i="6"/>
  <c r="J746" i="6"/>
  <c r="I746" i="6"/>
  <c r="H746" i="6"/>
  <c r="G746" i="6"/>
  <c r="F746" i="6"/>
  <c r="K745" i="6"/>
  <c r="J745" i="6"/>
  <c r="I745" i="6"/>
  <c r="O755" i="6" s="1"/>
  <c r="H745" i="6"/>
  <c r="G745" i="6"/>
  <c r="F745" i="6"/>
  <c r="K744" i="6"/>
  <c r="J744" i="6"/>
  <c r="I744" i="6"/>
  <c r="H744" i="6"/>
  <c r="G744" i="6"/>
  <c r="F744" i="6"/>
  <c r="V743" i="6"/>
  <c r="T743" i="6"/>
  <c r="R743" i="6"/>
  <c r="U743" i="6"/>
  <c r="S743" i="6"/>
  <c r="I750" i="6" s="1"/>
  <c r="Q743" i="6"/>
  <c r="I749" i="6" s="1"/>
  <c r="E743" i="6"/>
  <c r="D743" i="6"/>
  <c r="H740" i="6"/>
  <c r="J740" i="6"/>
  <c r="I738" i="6"/>
  <c r="H738" i="6"/>
  <c r="G738" i="6"/>
  <c r="E738" i="6"/>
  <c r="J737" i="6"/>
  <c r="I737" i="6"/>
  <c r="E737" i="6"/>
  <c r="J736" i="6"/>
  <c r="E736" i="6"/>
  <c r="J735" i="6"/>
  <c r="E735" i="6"/>
  <c r="K734" i="6"/>
  <c r="J734" i="6"/>
  <c r="H734" i="6"/>
  <c r="I734" i="6"/>
  <c r="F734" i="6"/>
  <c r="V734" i="6"/>
  <c r="T734" i="6"/>
  <c r="K736" i="6" s="1"/>
  <c r="R734" i="6"/>
  <c r="U734" i="6"/>
  <c r="S734" i="6"/>
  <c r="Q734" i="6"/>
  <c r="I735" i="6" s="1"/>
  <c r="E734" i="6"/>
  <c r="D734" i="6"/>
  <c r="B734" i="6"/>
  <c r="K733" i="6"/>
  <c r="J733" i="6"/>
  <c r="I733" i="6"/>
  <c r="H733" i="6"/>
  <c r="G733" i="6"/>
  <c r="F733" i="6"/>
  <c r="K732" i="6"/>
  <c r="J732" i="6"/>
  <c r="I732" i="6"/>
  <c r="H732" i="6"/>
  <c r="G732" i="6"/>
  <c r="F732" i="6"/>
  <c r="K731" i="6"/>
  <c r="J731" i="6"/>
  <c r="I731" i="6"/>
  <c r="H731" i="6"/>
  <c r="G731" i="6"/>
  <c r="F731" i="6"/>
  <c r="K730" i="6"/>
  <c r="J730" i="6"/>
  <c r="I730" i="6"/>
  <c r="H730" i="6"/>
  <c r="G730" i="6"/>
  <c r="F730" i="6"/>
  <c r="V729" i="6"/>
  <c r="K737" i="6" s="1"/>
  <c r="T729" i="6"/>
  <c r="R729" i="6"/>
  <c r="K735" i="6" s="1"/>
  <c r="U729" i="6"/>
  <c r="S729" i="6"/>
  <c r="I736" i="6" s="1"/>
  <c r="Q729" i="6"/>
  <c r="E729" i="6"/>
  <c r="D729" i="6"/>
  <c r="H726" i="6"/>
  <c r="J726" i="6"/>
  <c r="I724" i="6"/>
  <c r="H724" i="6"/>
  <c r="G724" i="6"/>
  <c r="E724" i="6"/>
  <c r="K723" i="6"/>
  <c r="J723" i="6"/>
  <c r="E723" i="6"/>
  <c r="K722" i="6"/>
  <c r="J722" i="6"/>
  <c r="E722" i="6"/>
  <c r="J721" i="6"/>
  <c r="E721" i="6"/>
  <c r="K720" i="6"/>
  <c r="J720" i="6"/>
  <c r="H720" i="6"/>
  <c r="I720" i="6"/>
  <c r="F720" i="6"/>
  <c r="V720" i="6"/>
  <c r="T720" i="6"/>
  <c r="R720" i="6"/>
  <c r="U720" i="6"/>
  <c r="S720" i="6"/>
  <c r="Q720" i="6"/>
  <c r="E720" i="6"/>
  <c r="D720" i="6"/>
  <c r="B720" i="6"/>
  <c r="K719" i="6"/>
  <c r="J719" i="6"/>
  <c r="H719" i="6"/>
  <c r="I719" i="6"/>
  <c r="F719" i="6"/>
  <c r="V719" i="6"/>
  <c r="T719" i="6"/>
  <c r="R719" i="6"/>
  <c r="U719" i="6"/>
  <c r="S719" i="6"/>
  <c r="Q719" i="6"/>
  <c r="E719" i="6"/>
  <c r="D719" i="6"/>
  <c r="B719" i="6"/>
  <c r="K718" i="6"/>
  <c r="J718" i="6"/>
  <c r="H718" i="6"/>
  <c r="I718" i="6"/>
  <c r="F718" i="6"/>
  <c r="V718" i="6"/>
  <c r="T718" i="6"/>
  <c r="R718" i="6"/>
  <c r="U718" i="6"/>
  <c r="S718" i="6"/>
  <c r="Q718" i="6"/>
  <c r="E718" i="6"/>
  <c r="D718" i="6"/>
  <c r="B718" i="6"/>
  <c r="K717" i="6"/>
  <c r="J717" i="6"/>
  <c r="I717" i="6"/>
  <c r="H717" i="6"/>
  <c r="G717" i="6"/>
  <c r="F717" i="6"/>
  <c r="K716" i="6"/>
  <c r="J716" i="6"/>
  <c r="I716" i="6"/>
  <c r="H716" i="6"/>
  <c r="G716" i="6"/>
  <c r="F716" i="6"/>
  <c r="K715" i="6"/>
  <c r="J715" i="6"/>
  <c r="I715" i="6"/>
  <c r="H715" i="6"/>
  <c r="G715" i="6"/>
  <c r="F715" i="6"/>
  <c r="K714" i="6"/>
  <c r="J714" i="6"/>
  <c r="I714" i="6"/>
  <c r="H714" i="6"/>
  <c r="G714" i="6"/>
  <c r="F714" i="6"/>
  <c r="V713" i="6"/>
  <c r="T713" i="6"/>
  <c r="R713" i="6"/>
  <c r="K721" i="6" s="1"/>
  <c r="U713" i="6"/>
  <c r="S713" i="6"/>
  <c r="I722" i="6" s="1"/>
  <c r="Q713" i="6"/>
  <c r="I721" i="6" s="1"/>
  <c r="E713" i="6"/>
  <c r="D713" i="6"/>
  <c r="H710" i="6"/>
  <c r="J710" i="6"/>
  <c r="I708" i="6"/>
  <c r="H708" i="6"/>
  <c r="G708" i="6"/>
  <c r="E708" i="6"/>
  <c r="J707" i="6"/>
  <c r="E707" i="6"/>
  <c r="J706" i="6"/>
  <c r="E706" i="6"/>
  <c r="J705" i="6"/>
  <c r="E705" i="6"/>
  <c r="K704" i="6"/>
  <c r="J704" i="6"/>
  <c r="H704" i="6"/>
  <c r="I704" i="6"/>
  <c r="F704" i="6"/>
  <c r="V704" i="6"/>
  <c r="T704" i="6"/>
  <c r="R704" i="6"/>
  <c r="U704" i="6"/>
  <c r="S704" i="6"/>
  <c r="Q704" i="6"/>
  <c r="E704" i="6"/>
  <c r="D704" i="6"/>
  <c r="B704" i="6"/>
  <c r="K703" i="6"/>
  <c r="J703" i="6"/>
  <c r="H703" i="6"/>
  <c r="I703" i="6"/>
  <c r="F703" i="6"/>
  <c r="V703" i="6"/>
  <c r="T703" i="6"/>
  <c r="R703" i="6"/>
  <c r="U703" i="6"/>
  <c r="S703" i="6"/>
  <c r="Q703" i="6"/>
  <c r="E703" i="6"/>
  <c r="D703" i="6"/>
  <c r="B703" i="6"/>
  <c r="K702" i="6"/>
  <c r="J702" i="6"/>
  <c r="H702" i="6"/>
  <c r="I702" i="6"/>
  <c r="F702" i="6"/>
  <c r="V702" i="6"/>
  <c r="T702" i="6"/>
  <c r="R702" i="6"/>
  <c r="U702" i="6"/>
  <c r="S702" i="6"/>
  <c r="Q702" i="6"/>
  <c r="E702" i="6"/>
  <c r="D702" i="6"/>
  <c r="B702" i="6"/>
  <c r="K701" i="6"/>
  <c r="J701" i="6"/>
  <c r="H701" i="6"/>
  <c r="I701" i="6"/>
  <c r="F701" i="6"/>
  <c r="V701" i="6"/>
  <c r="T701" i="6"/>
  <c r="R701" i="6"/>
  <c r="U701" i="6"/>
  <c r="S701" i="6"/>
  <c r="Q701" i="6"/>
  <c r="E701" i="6"/>
  <c r="D701" i="6"/>
  <c r="B701" i="6"/>
  <c r="K700" i="6"/>
  <c r="J700" i="6"/>
  <c r="H700" i="6"/>
  <c r="I700" i="6"/>
  <c r="F700" i="6"/>
  <c r="V700" i="6"/>
  <c r="T700" i="6"/>
  <c r="R700" i="6"/>
  <c r="U700" i="6"/>
  <c r="S700" i="6"/>
  <c r="Q700" i="6"/>
  <c r="E700" i="6"/>
  <c r="D700" i="6"/>
  <c r="B700" i="6"/>
  <c r="K699" i="6"/>
  <c r="J699" i="6"/>
  <c r="H699" i="6"/>
  <c r="I699" i="6"/>
  <c r="F699" i="6"/>
  <c r="V699" i="6"/>
  <c r="T699" i="6"/>
  <c r="R699" i="6"/>
  <c r="U699" i="6"/>
  <c r="I707" i="6" s="1"/>
  <c r="S699" i="6"/>
  <c r="Q699" i="6"/>
  <c r="E699" i="6"/>
  <c r="D699" i="6"/>
  <c r="B699" i="6"/>
  <c r="K698" i="6"/>
  <c r="J698" i="6"/>
  <c r="H698" i="6"/>
  <c r="I698" i="6"/>
  <c r="F698" i="6"/>
  <c r="V698" i="6"/>
  <c r="T698" i="6"/>
  <c r="R698" i="6"/>
  <c r="U698" i="6"/>
  <c r="S698" i="6"/>
  <c r="Q698" i="6"/>
  <c r="I705" i="6" s="1"/>
  <c r="E698" i="6"/>
  <c r="D698" i="6"/>
  <c r="B698" i="6"/>
  <c r="K697" i="6"/>
  <c r="J697" i="6"/>
  <c r="I697" i="6"/>
  <c r="H697" i="6"/>
  <c r="G697" i="6"/>
  <c r="F697" i="6"/>
  <c r="K696" i="6"/>
  <c r="J696" i="6"/>
  <c r="I696" i="6"/>
  <c r="H696" i="6"/>
  <c r="G696" i="6"/>
  <c r="F696" i="6"/>
  <c r="K695" i="6"/>
  <c r="J695" i="6"/>
  <c r="I695" i="6"/>
  <c r="H695" i="6"/>
  <c r="G695" i="6"/>
  <c r="F695" i="6"/>
  <c r="K694" i="6"/>
  <c r="J694" i="6"/>
  <c r="I694" i="6"/>
  <c r="H694" i="6"/>
  <c r="G694" i="6"/>
  <c r="F694" i="6"/>
  <c r="V693" i="6"/>
  <c r="K707" i="6" s="1"/>
  <c r="T693" i="6"/>
  <c r="R693" i="6"/>
  <c r="K705" i="6" s="1"/>
  <c r="U693" i="6"/>
  <c r="S693" i="6"/>
  <c r="I706" i="6" s="1"/>
  <c r="Q693" i="6"/>
  <c r="E693" i="6"/>
  <c r="D693" i="6"/>
  <c r="H690" i="6"/>
  <c r="J690" i="6"/>
  <c r="I688" i="6"/>
  <c r="H688" i="6"/>
  <c r="G688" i="6"/>
  <c r="E688" i="6"/>
  <c r="K687" i="6"/>
  <c r="J687" i="6"/>
  <c r="E687" i="6"/>
  <c r="K686" i="6"/>
  <c r="J686" i="6"/>
  <c r="E686" i="6"/>
  <c r="J685" i="6"/>
  <c r="E685" i="6"/>
  <c r="K684" i="6"/>
  <c r="J684" i="6"/>
  <c r="H684" i="6"/>
  <c r="I684" i="6"/>
  <c r="F684" i="6"/>
  <c r="V684" i="6"/>
  <c r="T684" i="6"/>
  <c r="R684" i="6"/>
  <c r="U684" i="6"/>
  <c r="S684" i="6"/>
  <c r="Q684" i="6"/>
  <c r="E684" i="6"/>
  <c r="D684" i="6"/>
  <c r="B684" i="6"/>
  <c r="K683" i="6"/>
  <c r="J683" i="6"/>
  <c r="I683" i="6"/>
  <c r="H683" i="6"/>
  <c r="G683" i="6"/>
  <c r="F683" i="6"/>
  <c r="K682" i="6"/>
  <c r="J682" i="6"/>
  <c r="I682" i="6"/>
  <c r="H682" i="6"/>
  <c r="G682" i="6"/>
  <c r="F682" i="6"/>
  <c r="K681" i="6"/>
  <c r="J681" i="6"/>
  <c r="I681" i="6"/>
  <c r="H681" i="6"/>
  <c r="G681" i="6"/>
  <c r="F681" i="6"/>
  <c r="K680" i="6"/>
  <c r="J680" i="6"/>
  <c r="I680" i="6"/>
  <c r="H680" i="6"/>
  <c r="G680" i="6"/>
  <c r="F680" i="6"/>
  <c r="V679" i="6"/>
  <c r="T679" i="6"/>
  <c r="R679" i="6"/>
  <c r="K685" i="6" s="1"/>
  <c r="U679" i="6"/>
  <c r="S679" i="6"/>
  <c r="I686" i="6" s="1"/>
  <c r="Q679" i="6"/>
  <c r="I685" i="6" s="1"/>
  <c r="E679" i="6"/>
  <c r="D679" i="6"/>
  <c r="H676" i="6"/>
  <c r="J676" i="6"/>
  <c r="I674" i="6"/>
  <c r="H674" i="6"/>
  <c r="G674" i="6"/>
  <c r="E674" i="6"/>
  <c r="J673" i="6"/>
  <c r="E673" i="6"/>
  <c r="J672" i="6"/>
  <c r="E672" i="6"/>
  <c r="J671" i="6"/>
  <c r="E671" i="6"/>
  <c r="K670" i="6"/>
  <c r="J670" i="6"/>
  <c r="H670" i="6"/>
  <c r="I670" i="6"/>
  <c r="F670" i="6"/>
  <c r="V670" i="6"/>
  <c r="T670" i="6"/>
  <c r="R670" i="6"/>
  <c r="U670" i="6"/>
  <c r="S670" i="6"/>
  <c r="Q670" i="6"/>
  <c r="E670" i="6"/>
  <c r="D670" i="6"/>
  <c r="B670" i="6"/>
  <c r="K669" i="6"/>
  <c r="J669" i="6"/>
  <c r="H669" i="6"/>
  <c r="I669" i="6"/>
  <c r="F669" i="6"/>
  <c r="V669" i="6"/>
  <c r="T669" i="6"/>
  <c r="R669" i="6"/>
  <c r="U669" i="6"/>
  <c r="I673" i="6" s="1"/>
  <c r="S669" i="6"/>
  <c r="Q669" i="6"/>
  <c r="E669" i="6"/>
  <c r="D669" i="6"/>
  <c r="B669" i="6"/>
  <c r="K668" i="6"/>
  <c r="J668" i="6"/>
  <c r="H668" i="6"/>
  <c r="I668" i="6"/>
  <c r="F668" i="6"/>
  <c r="V668" i="6"/>
  <c r="T668" i="6"/>
  <c r="R668" i="6"/>
  <c r="U668" i="6"/>
  <c r="S668" i="6"/>
  <c r="Q668" i="6"/>
  <c r="I671" i="6" s="1"/>
  <c r="E668" i="6"/>
  <c r="D668" i="6"/>
  <c r="B668" i="6"/>
  <c r="K667" i="6"/>
  <c r="J667" i="6"/>
  <c r="I667" i="6"/>
  <c r="H667" i="6"/>
  <c r="G667" i="6"/>
  <c r="F667" i="6"/>
  <c r="K666" i="6"/>
  <c r="J666" i="6"/>
  <c r="I666" i="6"/>
  <c r="H666" i="6"/>
  <c r="G666" i="6"/>
  <c r="F666" i="6"/>
  <c r="K665" i="6"/>
  <c r="J665" i="6"/>
  <c r="I665" i="6"/>
  <c r="H665" i="6"/>
  <c r="G665" i="6"/>
  <c r="F665" i="6"/>
  <c r="K664" i="6"/>
  <c r="J664" i="6"/>
  <c r="I664" i="6"/>
  <c r="H664" i="6"/>
  <c r="G664" i="6"/>
  <c r="F664" i="6"/>
  <c r="V663" i="6"/>
  <c r="K673" i="6" s="1"/>
  <c r="T663" i="6"/>
  <c r="R663" i="6"/>
  <c r="K671" i="6" s="1"/>
  <c r="U663" i="6"/>
  <c r="S663" i="6"/>
  <c r="I672" i="6" s="1"/>
  <c r="Q663" i="6"/>
  <c r="E663" i="6"/>
  <c r="D663" i="6"/>
  <c r="H660" i="6"/>
  <c r="J660" i="6"/>
  <c r="I658" i="6"/>
  <c r="H658" i="6"/>
  <c r="G658" i="6"/>
  <c r="E658" i="6"/>
  <c r="K657" i="6"/>
  <c r="J657" i="6"/>
  <c r="E657" i="6"/>
  <c r="K656" i="6"/>
  <c r="J656" i="6"/>
  <c r="E656" i="6"/>
  <c r="J655" i="6"/>
  <c r="E655" i="6"/>
  <c r="K654" i="6"/>
  <c r="J654" i="6"/>
  <c r="H654" i="6"/>
  <c r="I654" i="6"/>
  <c r="F654" i="6"/>
  <c r="V654" i="6"/>
  <c r="T654" i="6"/>
  <c r="R654" i="6"/>
  <c r="U654" i="6"/>
  <c r="S654" i="6"/>
  <c r="Q654" i="6"/>
  <c r="E654" i="6"/>
  <c r="D654" i="6"/>
  <c r="B654" i="6"/>
  <c r="K653" i="6"/>
  <c r="J653" i="6"/>
  <c r="I653" i="6"/>
  <c r="H653" i="6"/>
  <c r="G653" i="6"/>
  <c r="F653" i="6"/>
  <c r="K652" i="6"/>
  <c r="J652" i="6"/>
  <c r="I652" i="6"/>
  <c r="H652" i="6"/>
  <c r="G652" i="6"/>
  <c r="F652" i="6"/>
  <c r="K651" i="6"/>
  <c r="J651" i="6"/>
  <c r="I651" i="6"/>
  <c r="H651" i="6"/>
  <c r="G651" i="6"/>
  <c r="F651" i="6"/>
  <c r="K650" i="6"/>
  <c r="J650" i="6"/>
  <c r="I650" i="6"/>
  <c r="H650" i="6"/>
  <c r="G650" i="6"/>
  <c r="F650" i="6"/>
  <c r="V649" i="6"/>
  <c r="T649" i="6"/>
  <c r="R649" i="6"/>
  <c r="K655" i="6" s="1"/>
  <c r="U649" i="6"/>
  <c r="S649" i="6"/>
  <c r="I656" i="6" s="1"/>
  <c r="Q649" i="6"/>
  <c r="I655" i="6" s="1"/>
  <c r="E649" i="6"/>
  <c r="D649" i="6"/>
  <c r="H646" i="6"/>
  <c r="J646" i="6"/>
  <c r="I644" i="6"/>
  <c r="H644" i="6"/>
  <c r="G644" i="6"/>
  <c r="E644" i="6"/>
  <c r="J643" i="6"/>
  <c r="I643" i="6"/>
  <c r="E643" i="6"/>
  <c r="J642" i="6"/>
  <c r="E642" i="6"/>
  <c r="J641" i="6"/>
  <c r="E641" i="6"/>
  <c r="K640" i="6"/>
  <c r="J640" i="6"/>
  <c r="H640" i="6"/>
  <c r="I640" i="6"/>
  <c r="F640" i="6"/>
  <c r="V640" i="6"/>
  <c r="T640" i="6"/>
  <c r="R640" i="6"/>
  <c r="U640" i="6"/>
  <c r="S640" i="6"/>
  <c r="Q640" i="6"/>
  <c r="I641" i="6" s="1"/>
  <c r="E640" i="6"/>
  <c r="D640" i="6"/>
  <c r="B640" i="6"/>
  <c r="K639" i="6"/>
  <c r="J639" i="6"/>
  <c r="I639" i="6"/>
  <c r="H639" i="6"/>
  <c r="G639" i="6"/>
  <c r="F639" i="6"/>
  <c r="K638" i="6"/>
  <c r="J638" i="6"/>
  <c r="I638" i="6"/>
  <c r="H638" i="6"/>
  <c r="G638" i="6"/>
  <c r="F638" i="6"/>
  <c r="K637" i="6"/>
  <c r="J637" i="6"/>
  <c r="I637" i="6"/>
  <c r="H637" i="6"/>
  <c r="G637" i="6"/>
  <c r="F637" i="6"/>
  <c r="K636" i="6"/>
  <c r="J636" i="6"/>
  <c r="I636" i="6"/>
  <c r="H636" i="6"/>
  <c r="G636" i="6"/>
  <c r="F636" i="6"/>
  <c r="V635" i="6"/>
  <c r="K643" i="6" s="1"/>
  <c r="T635" i="6"/>
  <c r="R635" i="6"/>
  <c r="K641" i="6" s="1"/>
  <c r="U635" i="6"/>
  <c r="S635" i="6"/>
  <c r="I642" i="6" s="1"/>
  <c r="Q635" i="6"/>
  <c r="E635" i="6"/>
  <c r="D635" i="6"/>
  <c r="A634" i="6"/>
  <c r="I632" i="6"/>
  <c r="J632" i="6"/>
  <c r="I631" i="6"/>
  <c r="J631" i="6"/>
  <c r="A630" i="6"/>
  <c r="H626" i="6"/>
  <c r="J626" i="6"/>
  <c r="I624" i="6"/>
  <c r="H624" i="6"/>
  <c r="G624" i="6"/>
  <c r="E624" i="6"/>
  <c r="K623" i="6"/>
  <c r="J623" i="6"/>
  <c r="E623" i="6"/>
  <c r="K622" i="6"/>
  <c r="J622" i="6"/>
  <c r="E622" i="6"/>
  <c r="J621" i="6"/>
  <c r="E621" i="6"/>
  <c r="K620" i="6"/>
  <c r="J620" i="6"/>
  <c r="H620" i="6"/>
  <c r="I620" i="6"/>
  <c r="F620" i="6"/>
  <c r="V620" i="6"/>
  <c r="T620" i="6"/>
  <c r="R620" i="6"/>
  <c r="U620" i="6"/>
  <c r="S620" i="6"/>
  <c r="Q620" i="6"/>
  <c r="E620" i="6"/>
  <c r="D620" i="6"/>
  <c r="B620" i="6"/>
  <c r="K619" i="6"/>
  <c r="J619" i="6"/>
  <c r="I619" i="6"/>
  <c r="H619" i="6"/>
  <c r="G619" i="6"/>
  <c r="F619" i="6"/>
  <c r="K618" i="6"/>
  <c r="J618" i="6"/>
  <c r="I618" i="6"/>
  <c r="H618" i="6"/>
  <c r="G618" i="6"/>
  <c r="F618" i="6"/>
  <c r="K617" i="6"/>
  <c r="J617" i="6"/>
  <c r="I617" i="6"/>
  <c r="H617" i="6"/>
  <c r="G617" i="6"/>
  <c r="F617" i="6"/>
  <c r="K616" i="6"/>
  <c r="J616" i="6"/>
  <c r="I616" i="6"/>
  <c r="H616" i="6"/>
  <c r="G616" i="6"/>
  <c r="F616" i="6"/>
  <c r="V615" i="6"/>
  <c r="T615" i="6"/>
  <c r="R615" i="6"/>
  <c r="K621" i="6" s="1"/>
  <c r="U615" i="6"/>
  <c r="S615" i="6"/>
  <c r="I622" i="6" s="1"/>
  <c r="Q615" i="6"/>
  <c r="I621" i="6" s="1"/>
  <c r="E615" i="6"/>
  <c r="D615" i="6"/>
  <c r="H612" i="6"/>
  <c r="J612" i="6"/>
  <c r="I610" i="6"/>
  <c r="H610" i="6"/>
  <c r="G610" i="6"/>
  <c r="E610" i="6"/>
  <c r="J609" i="6"/>
  <c r="I609" i="6"/>
  <c r="E609" i="6"/>
  <c r="J608" i="6"/>
  <c r="I608" i="6"/>
  <c r="E608" i="6"/>
  <c r="J607" i="6"/>
  <c r="E607" i="6"/>
  <c r="K606" i="6"/>
  <c r="J606" i="6"/>
  <c r="H606" i="6"/>
  <c r="I606" i="6"/>
  <c r="F606" i="6"/>
  <c r="V606" i="6"/>
  <c r="T606" i="6"/>
  <c r="R606" i="6"/>
  <c r="U606" i="6"/>
  <c r="S606" i="6"/>
  <c r="Q606" i="6"/>
  <c r="I607" i="6" s="1"/>
  <c r="E606" i="6"/>
  <c r="D606" i="6"/>
  <c r="B606" i="6"/>
  <c r="K605" i="6"/>
  <c r="J605" i="6"/>
  <c r="I605" i="6"/>
  <c r="H605" i="6"/>
  <c r="G605" i="6"/>
  <c r="F605" i="6"/>
  <c r="K604" i="6"/>
  <c r="J604" i="6"/>
  <c r="I604" i="6"/>
  <c r="H604" i="6"/>
  <c r="G604" i="6"/>
  <c r="F604" i="6"/>
  <c r="K603" i="6"/>
  <c r="J603" i="6"/>
  <c r="I603" i="6"/>
  <c r="H603" i="6"/>
  <c r="G603" i="6"/>
  <c r="F603" i="6"/>
  <c r="V602" i="6"/>
  <c r="K609" i="6" s="1"/>
  <c r="T602" i="6"/>
  <c r="K608" i="6" s="1"/>
  <c r="R602" i="6"/>
  <c r="K607" i="6" s="1"/>
  <c r="U602" i="6"/>
  <c r="S602" i="6"/>
  <c r="Q602" i="6"/>
  <c r="E602" i="6"/>
  <c r="D602" i="6"/>
  <c r="A601" i="6"/>
  <c r="A599" i="6"/>
  <c r="I597" i="6"/>
  <c r="J597" i="6"/>
  <c r="I596" i="6"/>
  <c r="J596" i="6"/>
  <c r="A595" i="6"/>
  <c r="I593" i="6"/>
  <c r="J593" i="6"/>
  <c r="I592" i="6"/>
  <c r="J592" i="6"/>
  <c r="A591" i="6"/>
  <c r="H587" i="6"/>
  <c r="J587" i="6"/>
  <c r="K585" i="6"/>
  <c r="J586" i="6" s="1"/>
  <c r="J585" i="6"/>
  <c r="I585" i="6"/>
  <c r="H585" i="6"/>
  <c r="G585" i="6"/>
  <c r="F585" i="6"/>
  <c r="V584" i="6"/>
  <c r="T584" i="6"/>
  <c r="R584" i="6"/>
  <c r="U584" i="6"/>
  <c r="S584" i="6"/>
  <c r="Q584" i="6"/>
  <c r="E584" i="6"/>
  <c r="D584" i="6"/>
  <c r="B584" i="6"/>
  <c r="O582" i="6"/>
  <c r="H582" i="6"/>
  <c r="H581" i="6"/>
  <c r="H580" i="6"/>
  <c r="J582" i="6"/>
  <c r="J581" i="6"/>
  <c r="J580" i="6"/>
  <c r="K579" i="6"/>
  <c r="P582" i="6" s="1"/>
  <c r="J579" i="6"/>
  <c r="I579" i="6"/>
  <c r="H579" i="6"/>
  <c r="G579" i="6"/>
  <c r="F579" i="6"/>
  <c r="V578" i="6"/>
  <c r="T578" i="6"/>
  <c r="R578" i="6"/>
  <c r="U578" i="6"/>
  <c r="S578" i="6"/>
  <c r="Q578" i="6"/>
  <c r="E578" i="6"/>
  <c r="D578" i="6"/>
  <c r="B578" i="6"/>
  <c r="O576" i="6"/>
  <c r="H575" i="6"/>
  <c r="P576" i="6"/>
  <c r="J575" i="6"/>
  <c r="K573" i="6"/>
  <c r="J573" i="6"/>
  <c r="I573" i="6"/>
  <c r="H576" i="6" s="1"/>
  <c r="H573" i="6"/>
  <c r="G573" i="6"/>
  <c r="F573" i="6"/>
  <c r="V572" i="6"/>
  <c r="T572" i="6"/>
  <c r="R572" i="6"/>
  <c r="U572" i="6"/>
  <c r="S572" i="6"/>
  <c r="Q572" i="6"/>
  <c r="E572" i="6"/>
  <c r="D572" i="6"/>
  <c r="B572" i="6"/>
  <c r="H570" i="6"/>
  <c r="H569" i="6"/>
  <c r="J569" i="6"/>
  <c r="J567" i="6"/>
  <c r="E567" i="6"/>
  <c r="K566" i="6"/>
  <c r="J566" i="6"/>
  <c r="I566" i="6"/>
  <c r="H566" i="6"/>
  <c r="G566" i="6"/>
  <c r="F566" i="6"/>
  <c r="K565" i="6"/>
  <c r="P570" i="6" s="1"/>
  <c r="J565" i="6"/>
  <c r="I565" i="6"/>
  <c r="H565" i="6"/>
  <c r="G565" i="6"/>
  <c r="F565" i="6"/>
  <c r="V564" i="6"/>
  <c r="K567" i="6" s="1"/>
  <c r="J568" i="6" s="1"/>
  <c r="T564" i="6"/>
  <c r="R564" i="6"/>
  <c r="U564" i="6"/>
  <c r="I567" i="6" s="1"/>
  <c r="H568" i="6" s="1"/>
  <c r="S564" i="6"/>
  <c r="Q564" i="6"/>
  <c r="E564" i="6"/>
  <c r="D564" i="6"/>
  <c r="B564" i="6"/>
  <c r="A563" i="6"/>
  <c r="I561" i="6"/>
  <c r="J561" i="6"/>
  <c r="I560" i="6"/>
  <c r="J560" i="6"/>
  <c r="A559" i="6"/>
  <c r="H555" i="6"/>
  <c r="J555" i="6"/>
  <c r="I553" i="6"/>
  <c r="H553" i="6"/>
  <c r="G553" i="6"/>
  <c r="E553" i="6"/>
  <c r="K552" i="6"/>
  <c r="J552" i="6"/>
  <c r="E552" i="6"/>
  <c r="K551" i="6"/>
  <c r="J551" i="6"/>
  <c r="E551" i="6"/>
  <c r="K550" i="6"/>
  <c r="P556" i="6" s="1"/>
  <c r="J550" i="6"/>
  <c r="E550" i="6"/>
  <c r="K549" i="6"/>
  <c r="J549" i="6"/>
  <c r="H549" i="6"/>
  <c r="I549" i="6"/>
  <c r="F549" i="6"/>
  <c r="V549" i="6"/>
  <c r="T549" i="6"/>
  <c r="R549" i="6"/>
  <c r="U549" i="6"/>
  <c r="S549" i="6"/>
  <c r="Q549" i="6"/>
  <c r="E549" i="6"/>
  <c r="D549" i="6"/>
  <c r="B549" i="6"/>
  <c r="K548" i="6"/>
  <c r="J548" i="6"/>
  <c r="I548" i="6"/>
  <c r="H548" i="6"/>
  <c r="G548" i="6"/>
  <c r="F548" i="6"/>
  <c r="K547" i="6"/>
  <c r="J547" i="6"/>
  <c r="I547" i="6"/>
  <c r="H547" i="6"/>
  <c r="G547" i="6"/>
  <c r="F547" i="6"/>
  <c r="K546" i="6"/>
  <c r="J546" i="6"/>
  <c r="I546" i="6"/>
  <c r="H546" i="6"/>
  <c r="G546" i="6"/>
  <c r="F546" i="6"/>
  <c r="K545" i="6"/>
  <c r="J545" i="6"/>
  <c r="I545" i="6"/>
  <c r="H545" i="6"/>
  <c r="G545" i="6"/>
  <c r="F545" i="6"/>
  <c r="V544" i="6"/>
  <c r="T544" i="6"/>
  <c r="R544" i="6"/>
  <c r="U544" i="6"/>
  <c r="I552" i="6" s="1"/>
  <c r="S544" i="6"/>
  <c r="I551" i="6" s="1"/>
  <c r="Q544" i="6"/>
  <c r="I550" i="6" s="1"/>
  <c r="O556" i="6" s="1"/>
  <c r="E544" i="6"/>
  <c r="D544" i="6"/>
  <c r="B544" i="6"/>
  <c r="H541" i="6"/>
  <c r="J541" i="6"/>
  <c r="I539" i="6"/>
  <c r="H539" i="6"/>
  <c r="G539" i="6"/>
  <c r="E539" i="6"/>
  <c r="J538" i="6"/>
  <c r="E538" i="6"/>
  <c r="J537" i="6"/>
  <c r="E537" i="6"/>
  <c r="K536" i="6"/>
  <c r="J536" i="6"/>
  <c r="H536" i="6"/>
  <c r="I536" i="6"/>
  <c r="F536" i="6"/>
  <c r="V536" i="6"/>
  <c r="T536" i="6"/>
  <c r="R536" i="6"/>
  <c r="U536" i="6"/>
  <c r="S536" i="6"/>
  <c r="Q536" i="6"/>
  <c r="E536" i="6"/>
  <c r="D536" i="6"/>
  <c r="B536" i="6"/>
  <c r="K535" i="6"/>
  <c r="J535" i="6"/>
  <c r="H535" i="6"/>
  <c r="I535" i="6"/>
  <c r="F535" i="6"/>
  <c r="V535" i="6"/>
  <c r="T535" i="6"/>
  <c r="R535" i="6"/>
  <c r="U535" i="6"/>
  <c r="S535" i="6"/>
  <c r="Q535" i="6"/>
  <c r="E535" i="6"/>
  <c r="D535" i="6"/>
  <c r="B535" i="6"/>
  <c r="K534" i="6"/>
  <c r="J534" i="6"/>
  <c r="I534" i="6"/>
  <c r="H534" i="6"/>
  <c r="G534" i="6"/>
  <c r="F534" i="6"/>
  <c r="K533" i="6"/>
  <c r="J533" i="6"/>
  <c r="I533" i="6"/>
  <c r="H533" i="6"/>
  <c r="G533" i="6"/>
  <c r="F533" i="6"/>
  <c r="V532" i="6"/>
  <c r="T532" i="6"/>
  <c r="K538" i="6" s="1"/>
  <c r="R532" i="6"/>
  <c r="K537" i="6" s="1"/>
  <c r="J542" i="6" s="1"/>
  <c r="U532" i="6"/>
  <c r="S532" i="6"/>
  <c r="I538" i="6" s="1"/>
  <c r="Q532" i="6"/>
  <c r="I537" i="6" s="1"/>
  <c r="H542" i="6" s="1"/>
  <c r="E532" i="6"/>
  <c r="D532" i="6"/>
  <c r="B532" i="6"/>
  <c r="H529" i="6"/>
  <c r="J529" i="6"/>
  <c r="I527" i="6"/>
  <c r="H527" i="6"/>
  <c r="G527" i="6"/>
  <c r="E527" i="6"/>
  <c r="K526" i="6"/>
  <c r="J526" i="6"/>
  <c r="E526" i="6"/>
  <c r="J525" i="6"/>
  <c r="E525" i="6"/>
  <c r="J524" i="6"/>
  <c r="E524" i="6"/>
  <c r="K523" i="6"/>
  <c r="J523" i="6"/>
  <c r="H523" i="6"/>
  <c r="I523" i="6"/>
  <c r="F523" i="6"/>
  <c r="V523" i="6"/>
  <c r="T523" i="6"/>
  <c r="R523" i="6"/>
  <c r="U523" i="6"/>
  <c r="S523" i="6"/>
  <c r="Q523" i="6"/>
  <c r="E523" i="6"/>
  <c r="D523" i="6"/>
  <c r="B523" i="6"/>
  <c r="K522" i="6"/>
  <c r="J522" i="6"/>
  <c r="H522" i="6"/>
  <c r="I522" i="6"/>
  <c r="F522" i="6"/>
  <c r="V522" i="6"/>
  <c r="T522" i="6"/>
  <c r="K525" i="6" s="1"/>
  <c r="R522" i="6"/>
  <c r="U522" i="6"/>
  <c r="S522" i="6"/>
  <c r="Q522" i="6"/>
  <c r="E522" i="6"/>
  <c r="D522" i="6"/>
  <c r="B522" i="6"/>
  <c r="K521" i="6"/>
  <c r="J521" i="6"/>
  <c r="H521" i="6"/>
  <c r="I521" i="6"/>
  <c r="F521" i="6"/>
  <c r="V521" i="6"/>
  <c r="T521" i="6"/>
  <c r="R521" i="6"/>
  <c r="U521" i="6"/>
  <c r="S521" i="6"/>
  <c r="Q521" i="6"/>
  <c r="E521" i="6"/>
  <c r="D521" i="6"/>
  <c r="B521" i="6"/>
  <c r="K520" i="6"/>
  <c r="J520" i="6"/>
  <c r="I520" i="6"/>
  <c r="H520" i="6"/>
  <c r="G520" i="6"/>
  <c r="F520" i="6"/>
  <c r="K519" i="6"/>
  <c r="J519" i="6"/>
  <c r="I519" i="6"/>
  <c r="H519" i="6"/>
  <c r="G519" i="6"/>
  <c r="F519" i="6"/>
  <c r="K518" i="6"/>
  <c r="J518" i="6"/>
  <c r="I518" i="6"/>
  <c r="H518" i="6"/>
  <c r="G518" i="6"/>
  <c r="F518" i="6"/>
  <c r="K517" i="6"/>
  <c r="J517" i="6"/>
  <c r="I517" i="6"/>
  <c r="H517" i="6"/>
  <c r="G517" i="6"/>
  <c r="F517" i="6"/>
  <c r="V516" i="6"/>
  <c r="T516" i="6"/>
  <c r="R516" i="6"/>
  <c r="K524" i="6" s="1"/>
  <c r="U516" i="6"/>
  <c r="S516" i="6"/>
  <c r="I525" i="6" s="1"/>
  <c r="Q516" i="6"/>
  <c r="E516" i="6"/>
  <c r="D516" i="6"/>
  <c r="H513" i="6"/>
  <c r="J513" i="6"/>
  <c r="I511" i="6"/>
  <c r="H511" i="6"/>
  <c r="G511" i="6"/>
  <c r="E511" i="6"/>
  <c r="J510" i="6"/>
  <c r="I510" i="6"/>
  <c r="E510" i="6"/>
  <c r="J509" i="6"/>
  <c r="I509" i="6"/>
  <c r="E509" i="6"/>
  <c r="J508" i="6"/>
  <c r="E508" i="6"/>
  <c r="K507" i="6"/>
  <c r="J507" i="6"/>
  <c r="H507" i="6"/>
  <c r="I507" i="6"/>
  <c r="F507" i="6"/>
  <c r="V507" i="6"/>
  <c r="T507" i="6"/>
  <c r="R507" i="6"/>
  <c r="U507" i="6"/>
  <c r="S507" i="6"/>
  <c r="Q507" i="6"/>
  <c r="I508" i="6" s="1"/>
  <c r="E507" i="6"/>
  <c r="D507" i="6"/>
  <c r="B507" i="6"/>
  <c r="K506" i="6"/>
  <c r="J506" i="6"/>
  <c r="H506" i="6"/>
  <c r="I506" i="6"/>
  <c r="F506" i="6"/>
  <c r="V506" i="6"/>
  <c r="T506" i="6"/>
  <c r="R506" i="6"/>
  <c r="U506" i="6"/>
  <c r="S506" i="6"/>
  <c r="Q506" i="6"/>
  <c r="E506" i="6"/>
  <c r="D506" i="6"/>
  <c r="B506" i="6"/>
  <c r="K505" i="6"/>
  <c r="J505" i="6"/>
  <c r="I505" i="6"/>
  <c r="H505" i="6"/>
  <c r="G505" i="6"/>
  <c r="F505" i="6"/>
  <c r="K504" i="6"/>
  <c r="J504" i="6"/>
  <c r="I504" i="6"/>
  <c r="H504" i="6"/>
  <c r="G504" i="6"/>
  <c r="F504" i="6"/>
  <c r="K503" i="6"/>
  <c r="J503" i="6"/>
  <c r="I503" i="6"/>
  <c r="H503" i="6"/>
  <c r="G503" i="6"/>
  <c r="F503" i="6"/>
  <c r="K502" i="6"/>
  <c r="J502" i="6"/>
  <c r="I502" i="6"/>
  <c r="H502" i="6"/>
  <c r="G502" i="6"/>
  <c r="F502" i="6"/>
  <c r="V501" i="6"/>
  <c r="K510" i="6" s="1"/>
  <c r="T501" i="6"/>
  <c r="R501" i="6"/>
  <c r="K508" i="6" s="1"/>
  <c r="U501" i="6"/>
  <c r="S501" i="6"/>
  <c r="Q501" i="6"/>
  <c r="E501" i="6"/>
  <c r="D501" i="6"/>
  <c r="H498" i="6"/>
  <c r="J498" i="6"/>
  <c r="I496" i="6"/>
  <c r="H496" i="6"/>
  <c r="G496" i="6"/>
  <c r="E496" i="6"/>
  <c r="J495" i="6"/>
  <c r="I495" i="6"/>
  <c r="E495" i="6"/>
  <c r="J494" i="6"/>
  <c r="E494" i="6"/>
  <c r="J493" i="6"/>
  <c r="E493" i="6"/>
  <c r="K492" i="6"/>
  <c r="J492" i="6"/>
  <c r="H492" i="6"/>
  <c r="I492" i="6"/>
  <c r="F492" i="6"/>
  <c r="V492" i="6"/>
  <c r="T492" i="6"/>
  <c r="R492" i="6"/>
  <c r="U492" i="6"/>
  <c r="S492" i="6"/>
  <c r="Q492" i="6"/>
  <c r="I493" i="6" s="1"/>
  <c r="E492" i="6"/>
  <c r="D492" i="6"/>
  <c r="B492" i="6"/>
  <c r="K491" i="6"/>
  <c r="J491" i="6"/>
  <c r="I491" i="6"/>
  <c r="H491" i="6"/>
  <c r="G491" i="6"/>
  <c r="F491" i="6"/>
  <c r="K490" i="6"/>
  <c r="J490" i="6"/>
  <c r="I490" i="6"/>
  <c r="H490" i="6"/>
  <c r="G490" i="6"/>
  <c r="F490" i="6"/>
  <c r="K489" i="6"/>
  <c r="J489" i="6"/>
  <c r="I489" i="6"/>
  <c r="H489" i="6"/>
  <c r="G489" i="6"/>
  <c r="F489" i="6"/>
  <c r="K488" i="6"/>
  <c r="J497" i="6" s="1"/>
  <c r="J488" i="6"/>
  <c r="I488" i="6"/>
  <c r="H488" i="6"/>
  <c r="G488" i="6"/>
  <c r="F488" i="6"/>
  <c r="V487" i="6"/>
  <c r="K495" i="6" s="1"/>
  <c r="T487" i="6"/>
  <c r="K494" i="6" s="1"/>
  <c r="R487" i="6"/>
  <c r="K493" i="6" s="1"/>
  <c r="U487" i="6"/>
  <c r="S487" i="6"/>
  <c r="I494" i="6" s="1"/>
  <c r="Q487" i="6"/>
  <c r="E487" i="6"/>
  <c r="D487" i="6"/>
  <c r="H484" i="6"/>
  <c r="J484" i="6"/>
  <c r="I482" i="6"/>
  <c r="H482" i="6"/>
  <c r="G482" i="6"/>
  <c r="E482" i="6"/>
  <c r="K481" i="6"/>
  <c r="J481" i="6"/>
  <c r="E481" i="6"/>
  <c r="K480" i="6"/>
  <c r="J480" i="6"/>
  <c r="E480" i="6"/>
  <c r="K479" i="6"/>
  <c r="P485" i="6" s="1"/>
  <c r="J479" i="6"/>
  <c r="E479" i="6"/>
  <c r="K478" i="6"/>
  <c r="J478" i="6"/>
  <c r="H478" i="6"/>
  <c r="I478" i="6"/>
  <c r="F478" i="6"/>
  <c r="V478" i="6"/>
  <c r="T478" i="6"/>
  <c r="R478" i="6"/>
  <c r="U478" i="6"/>
  <c r="S478" i="6"/>
  <c r="Q478" i="6"/>
  <c r="E478" i="6"/>
  <c r="D478" i="6"/>
  <c r="B478" i="6"/>
  <c r="K477" i="6"/>
  <c r="J477" i="6"/>
  <c r="H477" i="6"/>
  <c r="I477" i="6"/>
  <c r="F477" i="6"/>
  <c r="V477" i="6"/>
  <c r="T477" i="6"/>
  <c r="R477" i="6"/>
  <c r="U477" i="6"/>
  <c r="S477" i="6"/>
  <c r="Q477" i="6"/>
  <c r="E477" i="6"/>
  <c r="D477" i="6"/>
  <c r="B477" i="6"/>
  <c r="K476" i="6"/>
  <c r="J476" i="6"/>
  <c r="H476" i="6"/>
  <c r="I476" i="6"/>
  <c r="F476" i="6"/>
  <c r="V476" i="6"/>
  <c r="T476" i="6"/>
  <c r="R476" i="6"/>
  <c r="U476" i="6"/>
  <c r="S476" i="6"/>
  <c r="Q476" i="6"/>
  <c r="E476" i="6"/>
  <c r="D476" i="6"/>
  <c r="B476" i="6"/>
  <c r="K475" i="6"/>
  <c r="J475" i="6"/>
  <c r="I475" i="6"/>
  <c r="H475" i="6"/>
  <c r="G475" i="6"/>
  <c r="F475" i="6"/>
  <c r="K474" i="6"/>
  <c r="J474" i="6"/>
  <c r="I474" i="6"/>
  <c r="H474" i="6"/>
  <c r="G474" i="6"/>
  <c r="F474" i="6"/>
  <c r="K473" i="6"/>
  <c r="J473" i="6"/>
  <c r="I473" i="6"/>
  <c r="H473" i="6"/>
  <c r="G473" i="6"/>
  <c r="F473" i="6"/>
  <c r="K472" i="6"/>
  <c r="J472" i="6"/>
  <c r="I472" i="6"/>
  <c r="H472" i="6"/>
  <c r="G472" i="6"/>
  <c r="F472" i="6"/>
  <c r="V471" i="6"/>
  <c r="T471" i="6"/>
  <c r="R471" i="6"/>
  <c r="U471" i="6"/>
  <c r="I481" i="6" s="1"/>
  <c r="S471" i="6"/>
  <c r="I480" i="6" s="1"/>
  <c r="Q471" i="6"/>
  <c r="E471" i="6"/>
  <c r="D471" i="6"/>
  <c r="H468" i="6"/>
  <c r="J468" i="6"/>
  <c r="I466" i="6"/>
  <c r="H466" i="6"/>
  <c r="G466" i="6"/>
  <c r="E466" i="6"/>
  <c r="J465" i="6"/>
  <c r="I465" i="6"/>
  <c r="E465" i="6"/>
  <c r="J464" i="6"/>
  <c r="E464" i="6"/>
  <c r="J463" i="6"/>
  <c r="E463" i="6"/>
  <c r="K462" i="6"/>
  <c r="J462" i="6"/>
  <c r="H462" i="6"/>
  <c r="I462" i="6"/>
  <c r="F462" i="6"/>
  <c r="V462" i="6"/>
  <c r="T462" i="6"/>
  <c r="R462" i="6"/>
  <c r="U462" i="6"/>
  <c r="S462" i="6"/>
  <c r="Q462" i="6"/>
  <c r="I463" i="6" s="1"/>
  <c r="E462" i="6"/>
  <c r="D462" i="6"/>
  <c r="B462" i="6"/>
  <c r="K461" i="6"/>
  <c r="J461" i="6"/>
  <c r="I461" i="6"/>
  <c r="H461" i="6"/>
  <c r="G461" i="6"/>
  <c r="F461" i="6"/>
  <c r="K460" i="6"/>
  <c r="J460" i="6"/>
  <c r="I460" i="6"/>
  <c r="H460" i="6"/>
  <c r="G460" i="6"/>
  <c r="F460" i="6"/>
  <c r="K459" i="6"/>
  <c r="J459" i="6"/>
  <c r="I459" i="6"/>
  <c r="H459" i="6"/>
  <c r="G459" i="6"/>
  <c r="F459" i="6"/>
  <c r="K458" i="6"/>
  <c r="J458" i="6"/>
  <c r="I458" i="6"/>
  <c r="H458" i="6"/>
  <c r="G458" i="6"/>
  <c r="F458" i="6"/>
  <c r="V457" i="6"/>
  <c r="K465" i="6" s="1"/>
  <c r="T457" i="6"/>
  <c r="K464" i="6" s="1"/>
  <c r="R457" i="6"/>
  <c r="K463" i="6" s="1"/>
  <c r="U457" i="6"/>
  <c r="S457" i="6"/>
  <c r="I464" i="6" s="1"/>
  <c r="Q457" i="6"/>
  <c r="E457" i="6"/>
  <c r="D457" i="6"/>
  <c r="H454" i="6"/>
  <c r="J454" i="6"/>
  <c r="I452" i="6"/>
  <c r="H452" i="6"/>
  <c r="G452" i="6"/>
  <c r="E452" i="6"/>
  <c r="J451" i="6"/>
  <c r="E451" i="6"/>
  <c r="K450" i="6"/>
  <c r="J450" i="6"/>
  <c r="E450" i="6"/>
  <c r="K449" i="6"/>
  <c r="P455" i="6" s="1"/>
  <c r="J449" i="6"/>
  <c r="E449" i="6"/>
  <c r="K448" i="6"/>
  <c r="J448" i="6"/>
  <c r="H448" i="6"/>
  <c r="I448" i="6"/>
  <c r="F448" i="6"/>
  <c r="V448" i="6"/>
  <c r="T448" i="6"/>
  <c r="R448" i="6"/>
  <c r="U448" i="6"/>
  <c r="S448" i="6"/>
  <c r="Q448" i="6"/>
  <c r="E448" i="6"/>
  <c r="D448" i="6"/>
  <c r="B448" i="6"/>
  <c r="K447" i="6"/>
  <c r="J447" i="6"/>
  <c r="H447" i="6"/>
  <c r="I447" i="6"/>
  <c r="F447" i="6"/>
  <c r="V447" i="6"/>
  <c r="T447" i="6"/>
  <c r="R447" i="6"/>
  <c r="U447" i="6"/>
  <c r="S447" i="6"/>
  <c r="Q447" i="6"/>
  <c r="E447" i="6"/>
  <c r="D447" i="6"/>
  <c r="B447" i="6"/>
  <c r="K446" i="6"/>
  <c r="J446" i="6"/>
  <c r="I446" i="6"/>
  <c r="H446" i="6"/>
  <c r="G446" i="6"/>
  <c r="F446" i="6"/>
  <c r="K445" i="6"/>
  <c r="J445" i="6"/>
  <c r="I445" i="6"/>
  <c r="H445" i="6"/>
  <c r="G445" i="6"/>
  <c r="F445" i="6"/>
  <c r="K444" i="6"/>
  <c r="J444" i="6"/>
  <c r="I444" i="6"/>
  <c r="H444" i="6"/>
  <c r="G444" i="6"/>
  <c r="F444" i="6"/>
  <c r="K443" i="6"/>
  <c r="J443" i="6"/>
  <c r="I443" i="6"/>
  <c r="H443" i="6"/>
  <c r="G443" i="6"/>
  <c r="F443" i="6"/>
  <c r="V442" i="6"/>
  <c r="K451" i="6" s="1"/>
  <c r="T442" i="6"/>
  <c r="R442" i="6"/>
  <c r="U442" i="6"/>
  <c r="I451" i="6" s="1"/>
  <c r="S442" i="6"/>
  <c r="I450" i="6" s="1"/>
  <c r="Q442" i="6"/>
  <c r="I449" i="6" s="1"/>
  <c r="E442" i="6"/>
  <c r="D442" i="6"/>
  <c r="B442" i="6"/>
  <c r="H439" i="6"/>
  <c r="J439" i="6"/>
  <c r="I437" i="6"/>
  <c r="H437" i="6"/>
  <c r="G437" i="6"/>
  <c r="E437" i="6"/>
  <c r="J436" i="6"/>
  <c r="E436" i="6"/>
  <c r="J435" i="6"/>
  <c r="E435" i="6"/>
  <c r="J434" i="6"/>
  <c r="E434" i="6"/>
  <c r="K433" i="6"/>
  <c r="J433" i="6"/>
  <c r="H433" i="6"/>
  <c r="I433" i="6"/>
  <c r="F433" i="6"/>
  <c r="V433" i="6"/>
  <c r="T433" i="6"/>
  <c r="R433" i="6"/>
  <c r="U433" i="6"/>
  <c r="S433" i="6"/>
  <c r="Q433" i="6"/>
  <c r="E433" i="6"/>
  <c r="D433" i="6"/>
  <c r="B433" i="6"/>
  <c r="K432" i="6"/>
  <c r="J432" i="6"/>
  <c r="H432" i="6"/>
  <c r="I432" i="6"/>
  <c r="F432" i="6"/>
  <c r="V432" i="6"/>
  <c r="T432" i="6"/>
  <c r="R432" i="6"/>
  <c r="U432" i="6"/>
  <c r="S432" i="6"/>
  <c r="Q432" i="6"/>
  <c r="E432" i="6"/>
  <c r="D432" i="6"/>
  <c r="B432" i="6"/>
  <c r="K431" i="6"/>
  <c r="J431" i="6"/>
  <c r="H431" i="6"/>
  <c r="I431" i="6"/>
  <c r="F431" i="6"/>
  <c r="V431" i="6"/>
  <c r="T431" i="6"/>
  <c r="R431" i="6"/>
  <c r="U431" i="6"/>
  <c r="S431" i="6"/>
  <c r="Q431" i="6"/>
  <c r="E431" i="6"/>
  <c r="D431" i="6"/>
  <c r="B431" i="6"/>
  <c r="K430" i="6"/>
  <c r="J430" i="6"/>
  <c r="I430" i="6"/>
  <c r="H430" i="6"/>
  <c r="G430" i="6"/>
  <c r="F430" i="6"/>
  <c r="K429" i="6"/>
  <c r="J429" i="6"/>
  <c r="I429" i="6"/>
  <c r="H429" i="6"/>
  <c r="G429" i="6"/>
  <c r="F429" i="6"/>
  <c r="K428" i="6"/>
  <c r="J428" i="6"/>
  <c r="I428" i="6"/>
  <c r="H428" i="6"/>
  <c r="G428" i="6"/>
  <c r="F428" i="6"/>
  <c r="K427" i="6"/>
  <c r="J427" i="6"/>
  <c r="I427" i="6"/>
  <c r="H427" i="6"/>
  <c r="G427" i="6"/>
  <c r="F427" i="6"/>
  <c r="V426" i="6"/>
  <c r="K436" i="6" s="1"/>
  <c r="T426" i="6"/>
  <c r="K435" i="6" s="1"/>
  <c r="R426" i="6"/>
  <c r="U426" i="6"/>
  <c r="I436" i="6" s="1"/>
  <c r="S426" i="6"/>
  <c r="I435" i="6" s="1"/>
  <c r="Q426" i="6"/>
  <c r="I434" i="6" s="1"/>
  <c r="H438" i="6" s="1"/>
  <c r="E426" i="6"/>
  <c r="D426" i="6"/>
  <c r="H423" i="6"/>
  <c r="J423" i="6"/>
  <c r="I421" i="6"/>
  <c r="H421" i="6"/>
  <c r="G421" i="6"/>
  <c r="E421" i="6"/>
  <c r="J420" i="6"/>
  <c r="E420" i="6"/>
  <c r="J419" i="6"/>
  <c r="E419" i="6"/>
  <c r="J418" i="6"/>
  <c r="E418" i="6"/>
  <c r="K417" i="6"/>
  <c r="J417" i="6"/>
  <c r="H417" i="6"/>
  <c r="I417" i="6"/>
  <c r="F417" i="6"/>
  <c r="V417" i="6"/>
  <c r="T417" i="6"/>
  <c r="R417" i="6"/>
  <c r="U417" i="6"/>
  <c r="S417" i="6"/>
  <c r="Q417" i="6"/>
  <c r="E417" i="6"/>
  <c r="D417" i="6"/>
  <c r="B417" i="6"/>
  <c r="K416" i="6"/>
  <c r="J416" i="6"/>
  <c r="H416" i="6"/>
  <c r="I416" i="6"/>
  <c r="F416" i="6"/>
  <c r="V416" i="6"/>
  <c r="T416" i="6"/>
  <c r="R416" i="6"/>
  <c r="U416" i="6"/>
  <c r="S416" i="6"/>
  <c r="Q416" i="6"/>
  <c r="E416" i="6"/>
  <c r="D416" i="6"/>
  <c r="B416" i="6"/>
  <c r="K415" i="6"/>
  <c r="J415" i="6"/>
  <c r="H415" i="6"/>
  <c r="I415" i="6"/>
  <c r="F415" i="6"/>
  <c r="V415" i="6"/>
  <c r="T415" i="6"/>
  <c r="R415" i="6"/>
  <c r="U415" i="6"/>
  <c r="S415" i="6"/>
  <c r="Q415" i="6"/>
  <c r="E415" i="6"/>
  <c r="D415" i="6"/>
  <c r="B415" i="6"/>
  <c r="K414" i="6"/>
  <c r="J414" i="6"/>
  <c r="I414" i="6"/>
  <c r="H414" i="6"/>
  <c r="G414" i="6"/>
  <c r="F414" i="6"/>
  <c r="K413" i="6"/>
  <c r="J413" i="6"/>
  <c r="I413" i="6"/>
  <c r="H413" i="6"/>
  <c r="G413" i="6"/>
  <c r="F413" i="6"/>
  <c r="K412" i="6"/>
  <c r="J412" i="6"/>
  <c r="I412" i="6"/>
  <c r="H412" i="6"/>
  <c r="G412" i="6"/>
  <c r="F412" i="6"/>
  <c r="K411" i="6"/>
  <c r="J411" i="6"/>
  <c r="I411" i="6"/>
  <c r="H411" i="6"/>
  <c r="G411" i="6"/>
  <c r="F411" i="6"/>
  <c r="V410" i="6"/>
  <c r="K420" i="6" s="1"/>
  <c r="T410" i="6"/>
  <c r="K419" i="6" s="1"/>
  <c r="R410" i="6"/>
  <c r="U410" i="6"/>
  <c r="I420" i="6" s="1"/>
  <c r="S410" i="6"/>
  <c r="I419" i="6" s="1"/>
  <c r="H424" i="6" s="1"/>
  <c r="Q410" i="6"/>
  <c r="I418" i="6" s="1"/>
  <c r="E410" i="6"/>
  <c r="D410" i="6"/>
  <c r="H407" i="6"/>
  <c r="J407" i="6"/>
  <c r="I405" i="6"/>
  <c r="H405" i="6"/>
  <c r="G405" i="6"/>
  <c r="E405" i="6"/>
  <c r="J404" i="6"/>
  <c r="E404" i="6"/>
  <c r="J403" i="6"/>
  <c r="E403" i="6"/>
  <c r="J402" i="6"/>
  <c r="E402" i="6"/>
  <c r="K401" i="6"/>
  <c r="J401" i="6"/>
  <c r="H401" i="6"/>
  <c r="I401" i="6"/>
  <c r="F401" i="6"/>
  <c r="V401" i="6"/>
  <c r="T401" i="6"/>
  <c r="R401" i="6"/>
  <c r="U401" i="6"/>
  <c r="S401" i="6"/>
  <c r="Q401" i="6"/>
  <c r="E401" i="6"/>
  <c r="D401" i="6"/>
  <c r="B401" i="6"/>
  <c r="K400" i="6"/>
  <c r="J400" i="6"/>
  <c r="I400" i="6"/>
  <c r="H400" i="6"/>
  <c r="G400" i="6"/>
  <c r="F400" i="6"/>
  <c r="K399" i="6"/>
  <c r="J399" i="6"/>
  <c r="I399" i="6"/>
  <c r="H399" i="6"/>
  <c r="G399" i="6"/>
  <c r="F399" i="6"/>
  <c r="K398" i="6"/>
  <c r="J398" i="6"/>
  <c r="I398" i="6"/>
  <c r="H398" i="6"/>
  <c r="G398" i="6"/>
  <c r="F398" i="6"/>
  <c r="K397" i="6"/>
  <c r="J397" i="6"/>
  <c r="I397" i="6"/>
  <c r="H397" i="6"/>
  <c r="G397" i="6"/>
  <c r="F397" i="6"/>
  <c r="V396" i="6"/>
  <c r="K404" i="6" s="1"/>
  <c r="T396" i="6"/>
  <c r="K403" i="6" s="1"/>
  <c r="R396" i="6"/>
  <c r="U396" i="6"/>
  <c r="I404" i="6" s="1"/>
  <c r="S396" i="6"/>
  <c r="I403" i="6" s="1"/>
  <c r="Q396" i="6"/>
  <c r="I402" i="6" s="1"/>
  <c r="H406" i="6" s="1"/>
  <c r="E396" i="6"/>
  <c r="D396" i="6"/>
  <c r="H393" i="6"/>
  <c r="J393" i="6"/>
  <c r="I391" i="6"/>
  <c r="H391" i="6"/>
  <c r="G391" i="6"/>
  <c r="E391" i="6"/>
  <c r="J390" i="6"/>
  <c r="E390" i="6"/>
  <c r="J389" i="6"/>
  <c r="E389" i="6"/>
  <c r="K388" i="6"/>
  <c r="J388" i="6"/>
  <c r="H388" i="6"/>
  <c r="I388" i="6"/>
  <c r="F388" i="6"/>
  <c r="V388" i="6"/>
  <c r="T388" i="6"/>
  <c r="R388" i="6"/>
  <c r="U388" i="6"/>
  <c r="S388" i="6"/>
  <c r="Q388" i="6"/>
  <c r="E388" i="6"/>
  <c r="D388" i="6"/>
  <c r="B388" i="6"/>
  <c r="K387" i="6"/>
  <c r="J387" i="6"/>
  <c r="I387" i="6"/>
  <c r="H387" i="6"/>
  <c r="G387" i="6"/>
  <c r="F387" i="6"/>
  <c r="V386" i="6"/>
  <c r="T386" i="6"/>
  <c r="K390" i="6" s="1"/>
  <c r="R386" i="6"/>
  <c r="K389" i="6" s="1"/>
  <c r="J394" i="6" s="1"/>
  <c r="U386" i="6"/>
  <c r="S386" i="6"/>
  <c r="I390" i="6" s="1"/>
  <c r="H394" i="6" s="1"/>
  <c r="Q386" i="6"/>
  <c r="I389" i="6" s="1"/>
  <c r="E386" i="6"/>
  <c r="D386" i="6"/>
  <c r="B386" i="6"/>
  <c r="H383" i="6"/>
  <c r="J383" i="6"/>
  <c r="I381" i="6"/>
  <c r="H381" i="6"/>
  <c r="G381" i="6"/>
  <c r="E381" i="6"/>
  <c r="K380" i="6"/>
  <c r="J380" i="6"/>
  <c r="E380" i="6"/>
  <c r="K379" i="6"/>
  <c r="J379" i="6"/>
  <c r="E379" i="6"/>
  <c r="K378" i="6"/>
  <c r="J378" i="6"/>
  <c r="H378" i="6"/>
  <c r="I378" i="6"/>
  <c r="F378" i="6"/>
  <c r="V378" i="6"/>
  <c r="T378" i="6"/>
  <c r="R378" i="6"/>
  <c r="U378" i="6"/>
  <c r="S378" i="6"/>
  <c r="Q378" i="6"/>
  <c r="E378" i="6"/>
  <c r="D378" i="6"/>
  <c r="B378" i="6"/>
  <c r="K377" i="6"/>
  <c r="J377" i="6"/>
  <c r="H377" i="6"/>
  <c r="I377" i="6"/>
  <c r="F377" i="6"/>
  <c r="V377" i="6"/>
  <c r="T377" i="6"/>
  <c r="R377" i="6"/>
  <c r="U377" i="6"/>
  <c r="S377" i="6"/>
  <c r="Q377" i="6"/>
  <c r="E377" i="6"/>
  <c r="D377" i="6"/>
  <c r="B377" i="6"/>
  <c r="K376" i="6"/>
  <c r="P384" i="6" s="1"/>
  <c r="J376" i="6"/>
  <c r="I376" i="6"/>
  <c r="H376" i="6"/>
  <c r="G376" i="6"/>
  <c r="F376" i="6"/>
  <c r="K375" i="6"/>
  <c r="J375" i="6"/>
  <c r="I375" i="6"/>
  <c r="H375" i="6"/>
  <c r="G375" i="6"/>
  <c r="F375" i="6"/>
  <c r="V374" i="6"/>
  <c r="T374" i="6"/>
  <c r="R374" i="6"/>
  <c r="U374" i="6"/>
  <c r="S374" i="6"/>
  <c r="I380" i="6" s="1"/>
  <c r="Q374" i="6"/>
  <c r="I379" i="6" s="1"/>
  <c r="O384" i="6" s="1"/>
  <c r="E374" i="6"/>
  <c r="D374" i="6"/>
  <c r="H371" i="6"/>
  <c r="J371" i="6"/>
  <c r="I369" i="6"/>
  <c r="H369" i="6"/>
  <c r="G369" i="6"/>
  <c r="E369" i="6"/>
  <c r="K368" i="6"/>
  <c r="J368" i="6"/>
  <c r="E368" i="6"/>
  <c r="K367" i="6"/>
  <c r="J367" i="6"/>
  <c r="E367" i="6"/>
  <c r="J366" i="6"/>
  <c r="E366" i="6"/>
  <c r="K365" i="6"/>
  <c r="J365" i="6"/>
  <c r="H365" i="6"/>
  <c r="I365" i="6"/>
  <c r="F365" i="6"/>
  <c r="V365" i="6"/>
  <c r="T365" i="6"/>
  <c r="R365" i="6"/>
  <c r="U365" i="6"/>
  <c r="S365" i="6"/>
  <c r="Q365" i="6"/>
  <c r="E365" i="6"/>
  <c r="D365" i="6"/>
  <c r="B365" i="6"/>
  <c r="K364" i="6"/>
  <c r="J364" i="6"/>
  <c r="I364" i="6"/>
  <c r="H364" i="6"/>
  <c r="G364" i="6"/>
  <c r="F364" i="6"/>
  <c r="K363" i="6"/>
  <c r="J363" i="6"/>
  <c r="I363" i="6"/>
  <c r="H363" i="6"/>
  <c r="G363" i="6"/>
  <c r="F363" i="6"/>
  <c r="K362" i="6"/>
  <c r="J362" i="6"/>
  <c r="I362" i="6"/>
  <c r="H362" i="6"/>
  <c r="G362" i="6"/>
  <c r="F362" i="6"/>
  <c r="K361" i="6"/>
  <c r="J361" i="6"/>
  <c r="I361" i="6"/>
  <c r="H361" i="6"/>
  <c r="G361" i="6"/>
  <c r="F361" i="6"/>
  <c r="V360" i="6"/>
  <c r="T360" i="6"/>
  <c r="R360" i="6"/>
  <c r="K366" i="6" s="1"/>
  <c r="U360" i="6"/>
  <c r="S360" i="6"/>
  <c r="I367" i="6" s="1"/>
  <c r="Q360" i="6"/>
  <c r="I366" i="6" s="1"/>
  <c r="E360" i="6"/>
  <c r="D360" i="6"/>
  <c r="H357" i="6"/>
  <c r="J357" i="6"/>
  <c r="I355" i="6"/>
  <c r="H355" i="6"/>
  <c r="G355" i="6"/>
  <c r="E355" i="6"/>
  <c r="J354" i="6"/>
  <c r="I354" i="6"/>
  <c r="E354" i="6"/>
  <c r="J353" i="6"/>
  <c r="I353" i="6"/>
  <c r="E353" i="6"/>
  <c r="J352" i="6"/>
  <c r="E352" i="6"/>
  <c r="K351" i="6"/>
  <c r="J351" i="6"/>
  <c r="H351" i="6"/>
  <c r="I351" i="6"/>
  <c r="F351" i="6"/>
  <c r="V351" i="6"/>
  <c r="T351" i="6"/>
  <c r="R351" i="6"/>
  <c r="U351" i="6"/>
  <c r="S351" i="6"/>
  <c r="Q351" i="6"/>
  <c r="I352" i="6" s="1"/>
  <c r="E351" i="6"/>
  <c r="D351" i="6"/>
  <c r="B351" i="6"/>
  <c r="K350" i="6"/>
  <c r="J350" i="6"/>
  <c r="I350" i="6"/>
  <c r="H350" i="6"/>
  <c r="G350" i="6"/>
  <c r="F350" i="6"/>
  <c r="K349" i="6"/>
  <c r="J349" i="6"/>
  <c r="I349" i="6"/>
  <c r="H349" i="6"/>
  <c r="G349" i="6"/>
  <c r="F349" i="6"/>
  <c r="K348" i="6"/>
  <c r="J348" i="6"/>
  <c r="I348" i="6"/>
  <c r="H348" i="6"/>
  <c r="G348" i="6"/>
  <c r="F348" i="6"/>
  <c r="K347" i="6"/>
  <c r="J347" i="6"/>
  <c r="I347" i="6"/>
  <c r="H347" i="6"/>
  <c r="G347" i="6"/>
  <c r="F347" i="6"/>
  <c r="V346" i="6"/>
  <c r="K354" i="6" s="1"/>
  <c r="T346" i="6"/>
  <c r="K353" i="6" s="1"/>
  <c r="R346" i="6"/>
  <c r="K352" i="6" s="1"/>
  <c r="U346" i="6"/>
  <c r="S346" i="6"/>
  <c r="Q346" i="6"/>
  <c r="E346" i="6"/>
  <c r="D346" i="6"/>
  <c r="H343" i="6"/>
  <c r="J343" i="6"/>
  <c r="I341" i="6"/>
  <c r="H341" i="6"/>
  <c r="G341" i="6"/>
  <c r="E341" i="6"/>
  <c r="J340" i="6"/>
  <c r="E340" i="6"/>
  <c r="K339" i="6"/>
  <c r="J339" i="6"/>
  <c r="E339" i="6"/>
  <c r="K338" i="6"/>
  <c r="J338" i="6"/>
  <c r="E338" i="6"/>
  <c r="K337" i="6"/>
  <c r="J337" i="6"/>
  <c r="H337" i="6"/>
  <c r="I337" i="6"/>
  <c r="F337" i="6"/>
  <c r="V337" i="6"/>
  <c r="T337" i="6"/>
  <c r="R337" i="6"/>
  <c r="U337" i="6"/>
  <c r="S337" i="6"/>
  <c r="Q337" i="6"/>
  <c r="E337" i="6"/>
  <c r="D337" i="6"/>
  <c r="B337" i="6"/>
  <c r="K336" i="6"/>
  <c r="J336" i="6"/>
  <c r="I336" i="6"/>
  <c r="H336" i="6"/>
  <c r="G336" i="6"/>
  <c r="F336" i="6"/>
  <c r="K335" i="6"/>
  <c r="J335" i="6"/>
  <c r="I335" i="6"/>
  <c r="H335" i="6"/>
  <c r="G335" i="6"/>
  <c r="F335" i="6"/>
  <c r="K334" i="6"/>
  <c r="J334" i="6"/>
  <c r="I334" i="6"/>
  <c r="H334" i="6"/>
  <c r="G334" i="6"/>
  <c r="F334" i="6"/>
  <c r="V333" i="6"/>
  <c r="K340" i="6" s="1"/>
  <c r="T333" i="6"/>
  <c r="R333" i="6"/>
  <c r="U333" i="6"/>
  <c r="S333" i="6"/>
  <c r="I339" i="6" s="1"/>
  <c r="Q333" i="6"/>
  <c r="I338" i="6" s="1"/>
  <c r="E333" i="6"/>
  <c r="D333" i="6"/>
  <c r="H330" i="6"/>
  <c r="J330" i="6"/>
  <c r="I328" i="6"/>
  <c r="H328" i="6"/>
  <c r="G328" i="6"/>
  <c r="E328" i="6"/>
  <c r="K327" i="6"/>
  <c r="J327" i="6"/>
  <c r="E327" i="6"/>
  <c r="K326" i="6"/>
  <c r="J326" i="6"/>
  <c r="E326" i="6"/>
  <c r="J325" i="6"/>
  <c r="E325" i="6"/>
  <c r="K324" i="6"/>
  <c r="J324" i="6"/>
  <c r="H324" i="6"/>
  <c r="I324" i="6"/>
  <c r="F324" i="6"/>
  <c r="V324" i="6"/>
  <c r="T324" i="6"/>
  <c r="R324" i="6"/>
  <c r="U324" i="6"/>
  <c r="S324" i="6"/>
  <c r="Q324" i="6"/>
  <c r="E324" i="6"/>
  <c r="D324" i="6"/>
  <c r="B324" i="6"/>
  <c r="K323" i="6"/>
  <c r="J323" i="6"/>
  <c r="H323" i="6"/>
  <c r="I323" i="6"/>
  <c r="F323" i="6"/>
  <c r="V323" i="6"/>
  <c r="T323" i="6"/>
  <c r="R323" i="6"/>
  <c r="U323" i="6"/>
  <c r="S323" i="6"/>
  <c r="Q323" i="6"/>
  <c r="E323" i="6"/>
  <c r="D323" i="6"/>
  <c r="B323" i="6"/>
  <c r="K322" i="6"/>
  <c r="J322" i="6"/>
  <c r="H322" i="6"/>
  <c r="I322" i="6"/>
  <c r="F322" i="6"/>
  <c r="V322" i="6"/>
  <c r="T322" i="6"/>
  <c r="R322" i="6"/>
  <c r="U322" i="6"/>
  <c r="S322" i="6"/>
  <c r="Q322" i="6"/>
  <c r="E322" i="6"/>
  <c r="D322" i="6"/>
  <c r="B322" i="6"/>
  <c r="K321" i="6"/>
  <c r="J321" i="6"/>
  <c r="I321" i="6"/>
  <c r="H321" i="6"/>
  <c r="G321" i="6"/>
  <c r="F321" i="6"/>
  <c r="K320" i="6"/>
  <c r="J320" i="6"/>
  <c r="I320" i="6"/>
  <c r="H320" i="6"/>
  <c r="G320" i="6"/>
  <c r="F320" i="6"/>
  <c r="K319" i="6"/>
  <c r="J319" i="6"/>
  <c r="I319" i="6"/>
  <c r="H319" i="6"/>
  <c r="G319" i="6"/>
  <c r="F319" i="6"/>
  <c r="K318" i="6"/>
  <c r="J318" i="6"/>
  <c r="I318" i="6"/>
  <c r="H318" i="6"/>
  <c r="G318" i="6"/>
  <c r="F318" i="6"/>
  <c r="V317" i="6"/>
  <c r="T317" i="6"/>
  <c r="R317" i="6"/>
  <c r="K325" i="6" s="1"/>
  <c r="U317" i="6"/>
  <c r="S317" i="6"/>
  <c r="I326" i="6" s="1"/>
  <c r="Q317" i="6"/>
  <c r="I325" i="6" s="1"/>
  <c r="E317" i="6"/>
  <c r="D317" i="6"/>
  <c r="H314" i="6"/>
  <c r="J314" i="6"/>
  <c r="I312" i="6"/>
  <c r="H312" i="6"/>
  <c r="G312" i="6"/>
  <c r="E312" i="6"/>
  <c r="J311" i="6"/>
  <c r="E311" i="6"/>
  <c r="J310" i="6"/>
  <c r="I310" i="6"/>
  <c r="E310" i="6"/>
  <c r="J309" i="6"/>
  <c r="E309" i="6"/>
  <c r="K308" i="6"/>
  <c r="J308" i="6"/>
  <c r="H308" i="6"/>
  <c r="I308" i="6"/>
  <c r="F308" i="6"/>
  <c r="V308" i="6"/>
  <c r="T308" i="6"/>
  <c r="R308" i="6"/>
  <c r="U308" i="6"/>
  <c r="S308" i="6"/>
  <c r="Q308" i="6"/>
  <c r="I309" i="6" s="1"/>
  <c r="E308" i="6"/>
  <c r="D308" i="6"/>
  <c r="B308" i="6"/>
  <c r="K307" i="6"/>
  <c r="J307" i="6"/>
  <c r="H307" i="6"/>
  <c r="I307" i="6"/>
  <c r="F307" i="6"/>
  <c r="V307" i="6"/>
  <c r="T307" i="6"/>
  <c r="R307" i="6"/>
  <c r="U307" i="6"/>
  <c r="I311" i="6" s="1"/>
  <c r="S307" i="6"/>
  <c r="Q307" i="6"/>
  <c r="E307" i="6"/>
  <c r="D307" i="6"/>
  <c r="B307" i="6"/>
  <c r="K306" i="6"/>
  <c r="J306" i="6"/>
  <c r="I306" i="6"/>
  <c r="H306" i="6"/>
  <c r="G306" i="6"/>
  <c r="F306" i="6"/>
  <c r="K305" i="6"/>
  <c r="J305" i="6"/>
  <c r="I305" i="6"/>
  <c r="H305" i="6"/>
  <c r="G305" i="6"/>
  <c r="F305" i="6"/>
  <c r="K304" i="6"/>
  <c r="J304" i="6"/>
  <c r="I304" i="6"/>
  <c r="H304" i="6"/>
  <c r="G304" i="6"/>
  <c r="F304" i="6"/>
  <c r="K303" i="6"/>
  <c r="J303" i="6"/>
  <c r="I303" i="6"/>
  <c r="H303" i="6"/>
  <c r="G303" i="6"/>
  <c r="F303" i="6"/>
  <c r="V302" i="6"/>
  <c r="K311" i="6" s="1"/>
  <c r="T302" i="6"/>
  <c r="R302" i="6"/>
  <c r="K309" i="6" s="1"/>
  <c r="U302" i="6"/>
  <c r="S302" i="6"/>
  <c r="Q302" i="6"/>
  <c r="E302" i="6"/>
  <c r="D302" i="6"/>
  <c r="H299" i="6"/>
  <c r="J299" i="6"/>
  <c r="I297" i="6"/>
  <c r="H297" i="6"/>
  <c r="G297" i="6"/>
  <c r="E297" i="6"/>
  <c r="J296" i="6"/>
  <c r="I296" i="6"/>
  <c r="E296" i="6"/>
  <c r="J295" i="6"/>
  <c r="I295" i="6"/>
  <c r="E295" i="6"/>
  <c r="J294" i="6"/>
  <c r="E294" i="6"/>
  <c r="K293" i="6"/>
  <c r="J293" i="6"/>
  <c r="H293" i="6"/>
  <c r="I293" i="6"/>
  <c r="F293" i="6"/>
  <c r="V293" i="6"/>
  <c r="T293" i="6"/>
  <c r="R293" i="6"/>
  <c r="U293" i="6"/>
  <c r="S293" i="6"/>
  <c r="Q293" i="6"/>
  <c r="I294" i="6" s="1"/>
  <c r="E293" i="6"/>
  <c r="D293" i="6"/>
  <c r="B293" i="6"/>
  <c r="K292" i="6"/>
  <c r="J292" i="6"/>
  <c r="I292" i="6"/>
  <c r="H292" i="6"/>
  <c r="G292" i="6"/>
  <c r="F292" i="6"/>
  <c r="K291" i="6"/>
  <c r="J291" i="6"/>
  <c r="I291" i="6"/>
  <c r="H291" i="6"/>
  <c r="G291" i="6"/>
  <c r="F291" i="6"/>
  <c r="K290" i="6"/>
  <c r="J290" i="6"/>
  <c r="I290" i="6"/>
  <c r="H290" i="6"/>
  <c r="G290" i="6"/>
  <c r="F290" i="6"/>
  <c r="K289" i="6"/>
  <c r="J289" i="6"/>
  <c r="I289" i="6"/>
  <c r="H289" i="6"/>
  <c r="G289" i="6"/>
  <c r="F289" i="6"/>
  <c r="V288" i="6"/>
  <c r="K296" i="6" s="1"/>
  <c r="T288" i="6"/>
  <c r="K295" i="6" s="1"/>
  <c r="R288" i="6"/>
  <c r="K294" i="6" s="1"/>
  <c r="U288" i="6"/>
  <c r="S288" i="6"/>
  <c r="Q288" i="6"/>
  <c r="E288" i="6"/>
  <c r="D288" i="6"/>
  <c r="H285" i="6"/>
  <c r="J285" i="6"/>
  <c r="I283" i="6"/>
  <c r="H283" i="6"/>
  <c r="G283" i="6"/>
  <c r="E283" i="6"/>
  <c r="K282" i="6"/>
  <c r="J282" i="6"/>
  <c r="E282" i="6"/>
  <c r="K281" i="6"/>
  <c r="J281" i="6"/>
  <c r="E281" i="6"/>
  <c r="J280" i="6"/>
  <c r="E280" i="6"/>
  <c r="K279" i="6"/>
  <c r="J279" i="6"/>
  <c r="H279" i="6"/>
  <c r="I279" i="6"/>
  <c r="F279" i="6"/>
  <c r="V279" i="6"/>
  <c r="T279" i="6"/>
  <c r="R279" i="6"/>
  <c r="U279" i="6"/>
  <c r="S279" i="6"/>
  <c r="Q279" i="6"/>
  <c r="E279" i="6"/>
  <c r="D279" i="6"/>
  <c r="B279" i="6"/>
  <c r="K278" i="6"/>
  <c r="J278" i="6"/>
  <c r="I278" i="6"/>
  <c r="H278" i="6"/>
  <c r="G278" i="6"/>
  <c r="F278" i="6"/>
  <c r="K277" i="6"/>
  <c r="J277" i="6"/>
  <c r="I277" i="6"/>
  <c r="H277" i="6"/>
  <c r="G277" i="6"/>
  <c r="F277" i="6"/>
  <c r="K276" i="6"/>
  <c r="J276" i="6"/>
  <c r="I276" i="6"/>
  <c r="H276" i="6"/>
  <c r="G276" i="6"/>
  <c r="F276" i="6"/>
  <c r="K275" i="6"/>
  <c r="J275" i="6"/>
  <c r="I275" i="6"/>
  <c r="H275" i="6"/>
  <c r="G275" i="6"/>
  <c r="F275" i="6"/>
  <c r="V274" i="6"/>
  <c r="T274" i="6"/>
  <c r="R274" i="6"/>
  <c r="K280" i="6" s="1"/>
  <c r="U274" i="6"/>
  <c r="S274" i="6"/>
  <c r="I281" i="6" s="1"/>
  <c r="Q274" i="6"/>
  <c r="I280" i="6" s="1"/>
  <c r="E274" i="6"/>
  <c r="D274" i="6"/>
  <c r="B274" i="6"/>
  <c r="A273" i="6"/>
  <c r="I271" i="6"/>
  <c r="J271" i="6"/>
  <c r="I270" i="6"/>
  <c r="J270" i="6"/>
  <c r="A269" i="6"/>
  <c r="H265" i="6"/>
  <c r="J265" i="6"/>
  <c r="I263" i="6"/>
  <c r="H263" i="6"/>
  <c r="G263" i="6"/>
  <c r="E263" i="6"/>
  <c r="J262" i="6"/>
  <c r="E262" i="6"/>
  <c r="J261" i="6"/>
  <c r="E261" i="6"/>
  <c r="J260" i="6"/>
  <c r="E260" i="6"/>
  <c r="K259" i="6"/>
  <c r="J259" i="6"/>
  <c r="I259" i="6"/>
  <c r="H259" i="6"/>
  <c r="G259" i="6"/>
  <c r="F259" i="6"/>
  <c r="K258" i="6"/>
  <c r="J258" i="6"/>
  <c r="I258" i="6"/>
  <c r="H258" i="6"/>
  <c r="G258" i="6"/>
  <c r="F258" i="6"/>
  <c r="K257" i="6"/>
  <c r="J257" i="6"/>
  <c r="I257" i="6"/>
  <c r="H257" i="6"/>
  <c r="G257" i="6"/>
  <c r="F257" i="6"/>
  <c r="V256" i="6"/>
  <c r="K262" i="6" s="1"/>
  <c r="T256" i="6"/>
  <c r="K261" i="6" s="1"/>
  <c r="R256" i="6"/>
  <c r="K260" i="6" s="1"/>
  <c r="J266" i="6" s="1"/>
  <c r="U256" i="6"/>
  <c r="I262" i="6" s="1"/>
  <c r="S256" i="6"/>
  <c r="I261" i="6" s="1"/>
  <c r="Q256" i="6"/>
  <c r="I260" i="6" s="1"/>
  <c r="H266" i="6" s="1"/>
  <c r="E256" i="6"/>
  <c r="D256" i="6"/>
  <c r="B256" i="6"/>
  <c r="H253" i="6"/>
  <c r="J253" i="6"/>
  <c r="I251" i="6"/>
  <c r="H251" i="6"/>
  <c r="G251" i="6"/>
  <c r="E251" i="6"/>
  <c r="J250" i="6"/>
  <c r="I250" i="6"/>
  <c r="E250" i="6"/>
  <c r="J249" i="6"/>
  <c r="E249" i="6"/>
  <c r="K248" i="6"/>
  <c r="J248" i="6"/>
  <c r="H248" i="6"/>
  <c r="I248" i="6"/>
  <c r="F248" i="6"/>
  <c r="V248" i="6"/>
  <c r="T248" i="6"/>
  <c r="R248" i="6"/>
  <c r="U248" i="6"/>
  <c r="S248" i="6"/>
  <c r="Q248" i="6"/>
  <c r="I249" i="6" s="1"/>
  <c r="E248" i="6"/>
  <c r="D248" i="6"/>
  <c r="K247" i="6"/>
  <c r="J247" i="6"/>
  <c r="I247" i="6"/>
  <c r="H247" i="6"/>
  <c r="G247" i="6"/>
  <c r="F247" i="6"/>
  <c r="V246" i="6"/>
  <c r="T246" i="6"/>
  <c r="K250" i="6" s="1"/>
  <c r="R246" i="6"/>
  <c r="K249" i="6" s="1"/>
  <c r="U246" i="6"/>
  <c r="S246" i="6"/>
  <c r="Q246" i="6"/>
  <c r="E246" i="6"/>
  <c r="D246" i="6"/>
  <c r="B246" i="6"/>
  <c r="H243" i="6"/>
  <c r="J243" i="6"/>
  <c r="I241" i="6"/>
  <c r="H241" i="6"/>
  <c r="G241" i="6"/>
  <c r="E241" i="6"/>
  <c r="J240" i="6"/>
  <c r="I240" i="6"/>
  <c r="E240" i="6"/>
  <c r="J239" i="6"/>
  <c r="E239" i="6"/>
  <c r="K238" i="6"/>
  <c r="J238" i="6"/>
  <c r="H238" i="6"/>
  <c r="I238" i="6"/>
  <c r="F238" i="6"/>
  <c r="V238" i="6"/>
  <c r="T238" i="6"/>
  <c r="R238" i="6"/>
  <c r="U238" i="6"/>
  <c r="S238" i="6"/>
  <c r="Q238" i="6"/>
  <c r="I239" i="6" s="1"/>
  <c r="E238" i="6"/>
  <c r="D238" i="6"/>
  <c r="B238" i="6"/>
  <c r="K237" i="6"/>
  <c r="J237" i="6"/>
  <c r="I237" i="6"/>
  <c r="H237" i="6"/>
  <c r="G237" i="6"/>
  <c r="F237" i="6"/>
  <c r="V236" i="6"/>
  <c r="T236" i="6"/>
  <c r="K240" i="6" s="1"/>
  <c r="R236" i="6"/>
  <c r="K239" i="6" s="1"/>
  <c r="U236" i="6"/>
  <c r="S236" i="6"/>
  <c r="Q236" i="6"/>
  <c r="E236" i="6"/>
  <c r="D236" i="6"/>
  <c r="B236" i="6"/>
  <c r="H233" i="6"/>
  <c r="J233" i="6"/>
  <c r="I231" i="6"/>
  <c r="H231" i="6"/>
  <c r="G231" i="6"/>
  <c r="E231" i="6"/>
  <c r="J230" i="6"/>
  <c r="E230" i="6"/>
  <c r="J229" i="6"/>
  <c r="E229" i="6"/>
  <c r="J228" i="6"/>
  <c r="E228" i="6"/>
  <c r="K227" i="6"/>
  <c r="J227" i="6"/>
  <c r="H227" i="6"/>
  <c r="I227" i="6"/>
  <c r="F227" i="6"/>
  <c r="V227" i="6"/>
  <c r="T227" i="6"/>
  <c r="R227" i="6"/>
  <c r="U227" i="6"/>
  <c r="S227" i="6"/>
  <c r="Q227" i="6"/>
  <c r="E227" i="6"/>
  <c r="D227" i="6"/>
  <c r="B227" i="6"/>
  <c r="K226" i="6"/>
  <c r="J226" i="6"/>
  <c r="I226" i="6"/>
  <c r="H226" i="6"/>
  <c r="G226" i="6"/>
  <c r="F226" i="6"/>
  <c r="K225" i="6"/>
  <c r="J225" i="6"/>
  <c r="I225" i="6"/>
  <c r="H225" i="6"/>
  <c r="G225" i="6"/>
  <c r="F225" i="6"/>
  <c r="K224" i="6"/>
  <c r="J224" i="6"/>
  <c r="I224" i="6"/>
  <c r="H224" i="6"/>
  <c r="G224" i="6"/>
  <c r="F224" i="6"/>
  <c r="V223" i="6"/>
  <c r="T223" i="6"/>
  <c r="K229" i="6" s="1"/>
  <c r="R223" i="6"/>
  <c r="K228" i="6" s="1"/>
  <c r="U223" i="6"/>
  <c r="I230" i="6" s="1"/>
  <c r="S223" i="6"/>
  <c r="Q223" i="6"/>
  <c r="I228" i="6" s="1"/>
  <c r="E223" i="6"/>
  <c r="D223" i="6"/>
  <c r="B223" i="6"/>
  <c r="H220" i="6"/>
  <c r="J220" i="6"/>
  <c r="I218" i="6"/>
  <c r="H218" i="6"/>
  <c r="G218" i="6"/>
  <c r="E218" i="6"/>
  <c r="J217" i="6"/>
  <c r="E217" i="6"/>
  <c r="K216" i="6"/>
  <c r="J216" i="6"/>
  <c r="E216" i="6"/>
  <c r="K215" i="6"/>
  <c r="J215" i="6"/>
  <c r="E215" i="6"/>
  <c r="K214" i="6"/>
  <c r="J214" i="6"/>
  <c r="H214" i="6"/>
  <c r="I214" i="6"/>
  <c r="F214" i="6"/>
  <c r="V214" i="6"/>
  <c r="T214" i="6"/>
  <c r="R214" i="6"/>
  <c r="U214" i="6"/>
  <c r="S214" i="6"/>
  <c r="Q214" i="6"/>
  <c r="E214" i="6"/>
  <c r="D214" i="6"/>
  <c r="B214" i="6"/>
  <c r="K213" i="6"/>
  <c r="J213" i="6"/>
  <c r="I213" i="6"/>
  <c r="H213" i="6"/>
  <c r="G213" i="6"/>
  <c r="F213" i="6"/>
  <c r="K212" i="6"/>
  <c r="J212" i="6"/>
  <c r="I212" i="6"/>
  <c r="H212" i="6"/>
  <c r="G212" i="6"/>
  <c r="F212" i="6"/>
  <c r="K211" i="6"/>
  <c r="J211" i="6"/>
  <c r="I211" i="6"/>
  <c r="H211" i="6"/>
  <c r="G211" i="6"/>
  <c r="F211" i="6"/>
  <c r="V210" i="6"/>
  <c r="K217" i="6" s="1"/>
  <c r="T210" i="6"/>
  <c r="R210" i="6"/>
  <c r="U210" i="6"/>
  <c r="S210" i="6"/>
  <c r="I216" i="6" s="1"/>
  <c r="Q210" i="6"/>
  <c r="I215" i="6" s="1"/>
  <c r="E210" i="6"/>
  <c r="D210" i="6"/>
  <c r="H207" i="6"/>
  <c r="J207" i="6"/>
  <c r="I205" i="6"/>
  <c r="H205" i="6"/>
  <c r="G205" i="6"/>
  <c r="E205" i="6"/>
  <c r="K204" i="6"/>
  <c r="J204" i="6"/>
  <c r="E204" i="6"/>
  <c r="K203" i="6"/>
  <c r="J203" i="6"/>
  <c r="E203" i="6"/>
  <c r="K202" i="6"/>
  <c r="J202" i="6"/>
  <c r="E202" i="6"/>
  <c r="K201" i="6"/>
  <c r="J201" i="6"/>
  <c r="I201" i="6"/>
  <c r="H201" i="6"/>
  <c r="G201" i="6"/>
  <c r="F201" i="6"/>
  <c r="K200" i="6"/>
  <c r="J200" i="6"/>
  <c r="I200" i="6"/>
  <c r="H200" i="6"/>
  <c r="G200" i="6"/>
  <c r="F200" i="6"/>
  <c r="K199" i="6"/>
  <c r="P208" i="6" s="1"/>
  <c r="J199" i="6"/>
  <c r="I199" i="6"/>
  <c r="H199" i="6"/>
  <c r="G199" i="6"/>
  <c r="F199" i="6"/>
  <c r="K198" i="6"/>
  <c r="J198" i="6"/>
  <c r="I198" i="6"/>
  <c r="H198" i="6"/>
  <c r="G198" i="6"/>
  <c r="F198" i="6"/>
  <c r="V197" i="6"/>
  <c r="T197" i="6"/>
  <c r="R197" i="6"/>
  <c r="U197" i="6"/>
  <c r="I204" i="6" s="1"/>
  <c r="O208" i="6" s="1"/>
  <c r="S197" i="6"/>
  <c r="I203" i="6" s="1"/>
  <c r="Q197" i="6"/>
  <c r="I202" i="6" s="1"/>
  <c r="E197" i="6"/>
  <c r="D197" i="6"/>
  <c r="H194" i="6"/>
  <c r="J194" i="6"/>
  <c r="I192" i="6"/>
  <c r="H192" i="6"/>
  <c r="G192" i="6"/>
  <c r="E192" i="6"/>
  <c r="K191" i="6"/>
  <c r="J191" i="6"/>
  <c r="E191" i="6"/>
  <c r="K190" i="6"/>
  <c r="J190" i="6"/>
  <c r="E190" i="6"/>
  <c r="K189" i="6"/>
  <c r="P195" i="6" s="1"/>
  <c r="J189" i="6"/>
  <c r="E189" i="6"/>
  <c r="K188" i="6"/>
  <c r="J188" i="6"/>
  <c r="H188" i="6"/>
  <c r="I188" i="6"/>
  <c r="F188" i="6"/>
  <c r="V188" i="6"/>
  <c r="T188" i="6"/>
  <c r="R188" i="6"/>
  <c r="U188" i="6"/>
  <c r="S188" i="6"/>
  <c r="Q188" i="6"/>
  <c r="E188" i="6"/>
  <c r="D188" i="6"/>
  <c r="B188" i="6"/>
  <c r="K187" i="6"/>
  <c r="J187" i="6"/>
  <c r="I187" i="6"/>
  <c r="H187" i="6"/>
  <c r="G187" i="6"/>
  <c r="F187" i="6"/>
  <c r="K186" i="6"/>
  <c r="J186" i="6"/>
  <c r="I186" i="6"/>
  <c r="H186" i="6"/>
  <c r="G186" i="6"/>
  <c r="F186" i="6"/>
  <c r="K185" i="6"/>
  <c r="J195" i="6" s="1"/>
  <c r="J185" i="6"/>
  <c r="I185" i="6"/>
  <c r="H185" i="6"/>
  <c r="G185" i="6"/>
  <c r="F185" i="6"/>
  <c r="V184" i="6"/>
  <c r="T184" i="6"/>
  <c r="R184" i="6"/>
  <c r="U184" i="6"/>
  <c r="I191" i="6" s="1"/>
  <c r="S184" i="6"/>
  <c r="I190" i="6" s="1"/>
  <c r="Q184" i="6"/>
  <c r="I189" i="6" s="1"/>
  <c r="O195" i="6" s="1"/>
  <c r="E184" i="6"/>
  <c r="D184" i="6"/>
  <c r="B184" i="6"/>
  <c r="H181" i="6"/>
  <c r="J181" i="6"/>
  <c r="I179" i="6"/>
  <c r="H179" i="6"/>
  <c r="G179" i="6"/>
  <c r="E179" i="6"/>
  <c r="J178" i="6"/>
  <c r="E178" i="6"/>
  <c r="J177" i="6"/>
  <c r="E177" i="6"/>
  <c r="J176" i="6"/>
  <c r="E176" i="6"/>
  <c r="K175" i="6"/>
  <c r="J175" i="6"/>
  <c r="H175" i="6"/>
  <c r="I175" i="6"/>
  <c r="F175" i="6"/>
  <c r="V175" i="6"/>
  <c r="T175" i="6"/>
  <c r="R175" i="6"/>
  <c r="U175" i="6"/>
  <c r="S175" i="6"/>
  <c r="Q175" i="6"/>
  <c r="E175" i="6"/>
  <c r="D175" i="6"/>
  <c r="B175" i="6"/>
  <c r="K174" i="6"/>
  <c r="J174" i="6"/>
  <c r="I174" i="6"/>
  <c r="H174" i="6"/>
  <c r="G174" i="6"/>
  <c r="F174" i="6"/>
  <c r="K173" i="6"/>
  <c r="J173" i="6"/>
  <c r="I173" i="6"/>
  <c r="H173" i="6"/>
  <c r="G173" i="6"/>
  <c r="F173" i="6"/>
  <c r="K172" i="6"/>
  <c r="J172" i="6"/>
  <c r="I172" i="6"/>
  <c r="H172" i="6"/>
  <c r="G172" i="6"/>
  <c r="F172" i="6"/>
  <c r="V171" i="6"/>
  <c r="K178" i="6" s="1"/>
  <c r="T171" i="6"/>
  <c r="K177" i="6" s="1"/>
  <c r="R171" i="6"/>
  <c r="U171" i="6"/>
  <c r="I178" i="6" s="1"/>
  <c r="H180" i="6" s="1"/>
  <c r="S171" i="6"/>
  <c r="I177" i="6" s="1"/>
  <c r="Q171" i="6"/>
  <c r="I176" i="6" s="1"/>
  <c r="E171" i="6"/>
  <c r="D171" i="6"/>
  <c r="B171" i="6"/>
  <c r="H168" i="6"/>
  <c r="J168" i="6"/>
  <c r="I166" i="6"/>
  <c r="H166" i="6"/>
  <c r="G166" i="6"/>
  <c r="E166" i="6"/>
  <c r="J165" i="6"/>
  <c r="E165" i="6"/>
  <c r="J164" i="6"/>
  <c r="E164" i="6"/>
  <c r="K163" i="6"/>
  <c r="J163" i="6"/>
  <c r="H163" i="6"/>
  <c r="I163" i="6"/>
  <c r="F163" i="6"/>
  <c r="V163" i="6"/>
  <c r="T163" i="6"/>
  <c r="K165" i="6" s="1"/>
  <c r="R163" i="6"/>
  <c r="U163" i="6"/>
  <c r="S163" i="6"/>
  <c r="Q163" i="6"/>
  <c r="I164" i="6" s="1"/>
  <c r="E163" i="6"/>
  <c r="D163" i="6"/>
  <c r="B163" i="6"/>
  <c r="K162" i="6"/>
  <c r="J162" i="6"/>
  <c r="I162" i="6"/>
  <c r="H162" i="6"/>
  <c r="G162" i="6"/>
  <c r="F162" i="6"/>
  <c r="V161" i="6"/>
  <c r="T161" i="6"/>
  <c r="R161" i="6"/>
  <c r="K164" i="6" s="1"/>
  <c r="J167" i="6" s="1"/>
  <c r="U161" i="6"/>
  <c r="S161" i="6"/>
  <c r="I165" i="6" s="1"/>
  <c r="Q161" i="6"/>
  <c r="E161" i="6"/>
  <c r="D161" i="6"/>
  <c r="B161" i="6"/>
  <c r="H158" i="6"/>
  <c r="J158" i="6"/>
  <c r="I156" i="6"/>
  <c r="H156" i="6"/>
  <c r="G156" i="6"/>
  <c r="E156" i="6"/>
  <c r="J155" i="6"/>
  <c r="E155" i="6"/>
  <c r="J154" i="6"/>
  <c r="I154" i="6"/>
  <c r="E154" i="6"/>
  <c r="K153" i="6"/>
  <c r="J153" i="6"/>
  <c r="I153" i="6"/>
  <c r="H153" i="6"/>
  <c r="G153" i="6"/>
  <c r="F153" i="6"/>
  <c r="V152" i="6"/>
  <c r="T152" i="6"/>
  <c r="K155" i="6" s="1"/>
  <c r="R152" i="6"/>
  <c r="K154" i="6" s="1"/>
  <c r="U152" i="6"/>
  <c r="S152" i="6"/>
  <c r="I155" i="6" s="1"/>
  <c r="Q152" i="6"/>
  <c r="E152" i="6"/>
  <c r="D152" i="6"/>
  <c r="B152" i="6"/>
  <c r="H149" i="6"/>
  <c r="J149" i="6"/>
  <c r="I147" i="6"/>
  <c r="H147" i="6"/>
  <c r="G147" i="6"/>
  <c r="E147" i="6"/>
  <c r="J146" i="6"/>
  <c r="E146" i="6"/>
  <c r="J145" i="6"/>
  <c r="E145" i="6"/>
  <c r="K144" i="6"/>
  <c r="J144" i="6"/>
  <c r="I144" i="6"/>
  <c r="H144" i="6"/>
  <c r="G144" i="6"/>
  <c r="F144" i="6"/>
  <c r="V143" i="6"/>
  <c r="T143" i="6"/>
  <c r="K146" i="6" s="1"/>
  <c r="R143" i="6"/>
  <c r="K145" i="6" s="1"/>
  <c r="J148" i="6" s="1"/>
  <c r="U143" i="6"/>
  <c r="S143" i="6"/>
  <c r="I146" i="6" s="1"/>
  <c r="Q143" i="6"/>
  <c r="I145" i="6" s="1"/>
  <c r="H148" i="6" s="1"/>
  <c r="E143" i="6"/>
  <c r="D143" i="6"/>
  <c r="B143" i="6"/>
  <c r="H140" i="6"/>
  <c r="J140" i="6"/>
  <c r="I138" i="6"/>
  <c r="H138" i="6"/>
  <c r="G138" i="6"/>
  <c r="E138" i="6"/>
  <c r="J137" i="6"/>
  <c r="E137" i="6"/>
  <c r="K136" i="6"/>
  <c r="J136" i="6"/>
  <c r="E136" i="6"/>
  <c r="K135" i="6"/>
  <c r="J135" i="6"/>
  <c r="E135" i="6"/>
  <c r="K134" i="6"/>
  <c r="J134" i="6"/>
  <c r="I134" i="6"/>
  <c r="H134" i="6"/>
  <c r="G134" i="6"/>
  <c r="F134" i="6"/>
  <c r="K133" i="6"/>
  <c r="J133" i="6"/>
  <c r="I133" i="6"/>
  <c r="H133" i="6"/>
  <c r="G133" i="6"/>
  <c r="F133" i="6"/>
  <c r="K132" i="6"/>
  <c r="J132" i="6"/>
  <c r="I132" i="6"/>
  <c r="H132" i="6"/>
  <c r="G132" i="6"/>
  <c r="F132" i="6"/>
  <c r="K131" i="6"/>
  <c r="J131" i="6"/>
  <c r="I131" i="6"/>
  <c r="H131" i="6"/>
  <c r="G131" i="6"/>
  <c r="F131" i="6"/>
  <c r="V130" i="6"/>
  <c r="K137" i="6" s="1"/>
  <c r="T130" i="6"/>
  <c r="R130" i="6"/>
  <c r="U130" i="6"/>
  <c r="I137" i="6" s="1"/>
  <c r="S130" i="6"/>
  <c r="I136" i="6" s="1"/>
  <c r="Q130" i="6"/>
  <c r="I135" i="6" s="1"/>
  <c r="E130" i="6"/>
  <c r="D130" i="6"/>
  <c r="A129" i="6"/>
  <c r="A127" i="6"/>
  <c r="I125" i="6"/>
  <c r="J125" i="6"/>
  <c r="I124" i="6"/>
  <c r="J124" i="6"/>
  <c r="A123" i="6"/>
  <c r="I121" i="6"/>
  <c r="J121" i="6"/>
  <c r="I120" i="6"/>
  <c r="J120" i="6"/>
  <c r="A119" i="6"/>
  <c r="H115" i="6"/>
  <c r="J115" i="6"/>
  <c r="I113" i="6"/>
  <c r="H113" i="6"/>
  <c r="G113" i="6"/>
  <c r="E113" i="6"/>
  <c r="K112" i="6"/>
  <c r="J112" i="6"/>
  <c r="E112" i="6"/>
  <c r="J111" i="6"/>
  <c r="E111" i="6"/>
  <c r="K110" i="6"/>
  <c r="J110" i="6"/>
  <c r="E110" i="6"/>
  <c r="K109" i="6"/>
  <c r="J109" i="6"/>
  <c r="H109" i="6"/>
  <c r="I109" i="6"/>
  <c r="F109" i="6"/>
  <c r="V109" i="6"/>
  <c r="T109" i="6"/>
  <c r="R109" i="6"/>
  <c r="U109" i="6"/>
  <c r="S109" i="6"/>
  <c r="Q109" i="6"/>
  <c r="E109" i="6"/>
  <c r="D109" i="6"/>
  <c r="B109" i="6"/>
  <c r="K108" i="6"/>
  <c r="J108" i="6"/>
  <c r="I108" i="6"/>
  <c r="H108" i="6"/>
  <c r="G108" i="6"/>
  <c r="F108" i="6"/>
  <c r="K107" i="6"/>
  <c r="J107" i="6"/>
  <c r="I107" i="6"/>
  <c r="H107" i="6"/>
  <c r="G107" i="6"/>
  <c r="F107" i="6"/>
  <c r="K106" i="6"/>
  <c r="J106" i="6"/>
  <c r="I106" i="6"/>
  <c r="H106" i="6"/>
  <c r="G106" i="6"/>
  <c r="F106" i="6"/>
  <c r="K105" i="6"/>
  <c r="J105" i="6"/>
  <c r="I105" i="6"/>
  <c r="H105" i="6"/>
  <c r="G105" i="6"/>
  <c r="F105" i="6"/>
  <c r="C104" i="6"/>
  <c r="V103" i="6"/>
  <c r="T103" i="6"/>
  <c r="K111" i="6" s="1"/>
  <c r="R103" i="6"/>
  <c r="U103" i="6"/>
  <c r="I112" i="6" s="1"/>
  <c r="S103" i="6"/>
  <c r="I111" i="6" s="1"/>
  <c r="Q103" i="6"/>
  <c r="I110" i="6" s="1"/>
  <c r="E103" i="6"/>
  <c r="D103" i="6"/>
  <c r="H100" i="6"/>
  <c r="J100" i="6"/>
  <c r="I98" i="6"/>
  <c r="H98" i="6"/>
  <c r="G98" i="6"/>
  <c r="E98" i="6"/>
  <c r="J97" i="6"/>
  <c r="E97" i="6"/>
  <c r="J96" i="6"/>
  <c r="E96" i="6"/>
  <c r="K95" i="6"/>
  <c r="J95" i="6"/>
  <c r="H95" i="6"/>
  <c r="I95" i="6"/>
  <c r="F95" i="6"/>
  <c r="V95" i="6"/>
  <c r="T95" i="6"/>
  <c r="R95" i="6"/>
  <c r="U95" i="6"/>
  <c r="S95" i="6"/>
  <c r="I97" i="6" s="1"/>
  <c r="Q95" i="6"/>
  <c r="E95" i="6"/>
  <c r="D95" i="6"/>
  <c r="K94" i="6"/>
  <c r="J94" i="6"/>
  <c r="I94" i="6"/>
  <c r="H94" i="6"/>
  <c r="G94" i="6"/>
  <c r="F94" i="6"/>
  <c r="V93" i="6"/>
  <c r="T93" i="6"/>
  <c r="K97" i="6" s="1"/>
  <c r="R93" i="6"/>
  <c r="K96" i="6" s="1"/>
  <c r="U93" i="6"/>
  <c r="S93" i="6"/>
  <c r="Q93" i="6"/>
  <c r="I96" i="6" s="1"/>
  <c r="E93" i="6"/>
  <c r="D93" i="6"/>
  <c r="H90" i="6"/>
  <c r="J90" i="6"/>
  <c r="I88" i="6"/>
  <c r="H88" i="6"/>
  <c r="G88" i="6"/>
  <c r="E88" i="6"/>
  <c r="J87" i="6"/>
  <c r="E87" i="6"/>
  <c r="J86" i="6"/>
  <c r="E86" i="6"/>
  <c r="K85" i="6"/>
  <c r="J85" i="6"/>
  <c r="H85" i="6"/>
  <c r="I85" i="6"/>
  <c r="F85" i="6"/>
  <c r="V85" i="6"/>
  <c r="T85" i="6"/>
  <c r="R85" i="6"/>
  <c r="U85" i="6"/>
  <c r="S85" i="6"/>
  <c r="Q85" i="6"/>
  <c r="I86" i="6" s="1"/>
  <c r="E85" i="6"/>
  <c r="D85" i="6"/>
  <c r="B85" i="6"/>
  <c r="K84" i="6"/>
  <c r="J84" i="6"/>
  <c r="I84" i="6"/>
  <c r="H84" i="6"/>
  <c r="G84" i="6"/>
  <c r="F84" i="6"/>
  <c r="K83" i="6"/>
  <c r="J83" i="6"/>
  <c r="I83" i="6"/>
  <c r="H83" i="6"/>
  <c r="G83" i="6"/>
  <c r="F83" i="6"/>
  <c r="V82" i="6"/>
  <c r="T82" i="6"/>
  <c r="K87" i="6" s="1"/>
  <c r="R82" i="6"/>
  <c r="K86" i="6" s="1"/>
  <c r="U82" i="6"/>
  <c r="S82" i="6"/>
  <c r="I87" i="6" s="1"/>
  <c r="Q82" i="6"/>
  <c r="E82" i="6"/>
  <c r="D82" i="6"/>
  <c r="H79" i="6"/>
  <c r="J79" i="6"/>
  <c r="I77" i="6"/>
  <c r="H77" i="6"/>
  <c r="G77" i="6"/>
  <c r="E77" i="6"/>
  <c r="K76" i="6"/>
  <c r="J76" i="6"/>
  <c r="E76" i="6"/>
  <c r="K75" i="6"/>
  <c r="J75" i="6"/>
  <c r="E75" i="6"/>
  <c r="J74" i="6"/>
  <c r="E74" i="6"/>
  <c r="K73" i="6"/>
  <c r="J73" i="6"/>
  <c r="H73" i="6"/>
  <c r="I73" i="6"/>
  <c r="F73" i="6"/>
  <c r="V73" i="6"/>
  <c r="T73" i="6"/>
  <c r="R73" i="6"/>
  <c r="U73" i="6"/>
  <c r="S73" i="6"/>
  <c r="Q73" i="6"/>
  <c r="E73" i="6"/>
  <c r="D73" i="6"/>
  <c r="B73" i="6"/>
  <c r="K72" i="6"/>
  <c r="J72" i="6"/>
  <c r="I72" i="6"/>
  <c r="H72" i="6"/>
  <c r="G72" i="6"/>
  <c r="F72" i="6"/>
  <c r="K71" i="6"/>
  <c r="J71" i="6"/>
  <c r="I71" i="6"/>
  <c r="H71" i="6"/>
  <c r="G71" i="6"/>
  <c r="F71" i="6"/>
  <c r="K70" i="6"/>
  <c r="J70" i="6"/>
  <c r="I70" i="6"/>
  <c r="H70" i="6"/>
  <c r="G70" i="6"/>
  <c r="F70" i="6"/>
  <c r="K69" i="6"/>
  <c r="J69" i="6"/>
  <c r="I69" i="6"/>
  <c r="H69" i="6"/>
  <c r="G69" i="6"/>
  <c r="F69" i="6"/>
  <c r="V68" i="6"/>
  <c r="T68" i="6"/>
  <c r="R68" i="6"/>
  <c r="K74" i="6" s="1"/>
  <c r="U68" i="6"/>
  <c r="I76" i="6" s="1"/>
  <c r="S68" i="6"/>
  <c r="I75" i="6" s="1"/>
  <c r="Q68" i="6"/>
  <c r="I74" i="6" s="1"/>
  <c r="E68" i="6"/>
  <c r="D68" i="6"/>
  <c r="H65" i="6"/>
  <c r="J65" i="6"/>
  <c r="I63" i="6"/>
  <c r="H63" i="6"/>
  <c r="G63" i="6"/>
  <c r="E63" i="6"/>
  <c r="J62" i="6"/>
  <c r="I62" i="6"/>
  <c r="E62" i="6"/>
  <c r="J61" i="6"/>
  <c r="E61" i="6"/>
  <c r="J60" i="6"/>
  <c r="E60" i="6"/>
  <c r="K59" i="6"/>
  <c r="J59" i="6"/>
  <c r="H59" i="6"/>
  <c r="I59" i="6"/>
  <c r="F59" i="6"/>
  <c r="V59" i="6"/>
  <c r="T59" i="6"/>
  <c r="R59" i="6"/>
  <c r="U59" i="6"/>
  <c r="S59" i="6"/>
  <c r="Q59" i="6"/>
  <c r="I60" i="6" s="1"/>
  <c r="E59" i="6"/>
  <c r="D59" i="6"/>
  <c r="B59" i="6"/>
  <c r="K58" i="6"/>
  <c r="J58" i="6"/>
  <c r="I58" i="6"/>
  <c r="H58" i="6"/>
  <c r="G58" i="6"/>
  <c r="F58" i="6"/>
  <c r="K57" i="6"/>
  <c r="J57" i="6"/>
  <c r="I57" i="6"/>
  <c r="H57" i="6"/>
  <c r="G57" i="6"/>
  <c r="F57" i="6"/>
  <c r="K56" i="6"/>
  <c r="J56" i="6"/>
  <c r="I56" i="6"/>
  <c r="H56" i="6"/>
  <c r="G56" i="6"/>
  <c r="F56" i="6"/>
  <c r="K55" i="6"/>
  <c r="J55" i="6"/>
  <c r="I55" i="6"/>
  <c r="H55" i="6"/>
  <c r="G55" i="6"/>
  <c r="F55" i="6"/>
  <c r="V54" i="6"/>
  <c r="K62" i="6" s="1"/>
  <c r="T54" i="6"/>
  <c r="K61" i="6" s="1"/>
  <c r="R54" i="6"/>
  <c r="K60" i="6" s="1"/>
  <c r="U54" i="6"/>
  <c r="S54" i="6"/>
  <c r="I61" i="6" s="1"/>
  <c r="Q54" i="6"/>
  <c r="E54" i="6"/>
  <c r="D54" i="6"/>
  <c r="A53" i="6"/>
  <c r="I51" i="6"/>
  <c r="J51" i="6"/>
  <c r="I50" i="6"/>
  <c r="J50" i="6"/>
  <c r="A49" i="6"/>
  <c r="H45" i="6"/>
  <c r="J45" i="6"/>
  <c r="I43" i="6"/>
  <c r="H43" i="6"/>
  <c r="G43" i="6"/>
  <c r="E43" i="6"/>
  <c r="K42" i="6"/>
  <c r="J42" i="6"/>
  <c r="E42" i="6"/>
  <c r="J41" i="6"/>
  <c r="E41" i="6"/>
  <c r="K40" i="6"/>
  <c r="J40" i="6"/>
  <c r="I40" i="6"/>
  <c r="H40" i="6"/>
  <c r="G40" i="6"/>
  <c r="F40" i="6"/>
  <c r="V39" i="6"/>
  <c r="T39" i="6"/>
  <c r="R39" i="6"/>
  <c r="K41" i="6" s="1"/>
  <c r="U39" i="6"/>
  <c r="S39" i="6"/>
  <c r="I42" i="6" s="1"/>
  <c r="Q39" i="6"/>
  <c r="I41" i="6" s="1"/>
  <c r="E39" i="6"/>
  <c r="D39" i="6"/>
  <c r="B39" i="6"/>
  <c r="A38" i="6"/>
  <c r="A36" i="6"/>
  <c r="A18" i="6"/>
  <c r="A13" i="6"/>
  <c r="G6" i="6"/>
  <c r="B6" i="6"/>
  <c r="A1" i="6"/>
  <c r="E12" i="9" l="1"/>
  <c r="E42" i="9"/>
  <c r="F25" i="9"/>
  <c r="F90" i="9"/>
  <c r="E52" i="9"/>
  <c r="E61" i="9"/>
  <c r="O38" i="10"/>
  <c r="F37" i="9" s="1"/>
  <c r="T38" i="10"/>
  <c r="T98" i="10"/>
  <c r="O142" i="10"/>
  <c r="O143" i="10"/>
  <c r="F144" i="9" s="1"/>
  <c r="O144" i="10"/>
  <c r="T144" i="10"/>
  <c r="O157" i="10"/>
  <c r="M157" i="10"/>
  <c r="T162" i="10"/>
  <c r="R162" i="10"/>
  <c r="O232" i="10"/>
  <c r="F218" i="9" s="1"/>
  <c r="M232" i="10"/>
  <c r="O246" i="10"/>
  <c r="F239" i="9" s="1"/>
  <c r="M246" i="10"/>
  <c r="T249" i="10"/>
  <c r="R249" i="10"/>
  <c r="O254" i="10"/>
  <c r="M254" i="10"/>
  <c r="O261" i="10"/>
  <c r="M261" i="10"/>
  <c r="O266" i="10"/>
  <c r="M266" i="10"/>
  <c r="T306" i="10"/>
  <c r="R306" i="10"/>
  <c r="T311" i="10"/>
  <c r="R311" i="10"/>
  <c r="T315" i="10"/>
  <c r="R315" i="10"/>
  <c r="T319" i="10"/>
  <c r="R319" i="10"/>
  <c r="T323" i="10"/>
  <c r="R323" i="10"/>
  <c r="T329" i="10"/>
  <c r="R329" i="10"/>
  <c r="E278" i="9"/>
  <c r="O360" i="10"/>
  <c r="F278" i="9" s="1"/>
  <c r="D329" i="9"/>
  <c r="O408" i="10"/>
  <c r="F329" i="9" s="1"/>
  <c r="T408" i="10"/>
  <c r="R8" i="10"/>
  <c r="R11" i="10"/>
  <c r="M12" i="10"/>
  <c r="D22" i="9"/>
  <c r="R15" i="10"/>
  <c r="M16" i="10"/>
  <c r="R20" i="10"/>
  <c r="M21" i="10"/>
  <c r="R24" i="10"/>
  <c r="M25" i="10"/>
  <c r="R29" i="10"/>
  <c r="M31" i="10"/>
  <c r="R35" i="10"/>
  <c r="M36" i="10"/>
  <c r="R42" i="10"/>
  <c r="M43" i="10"/>
  <c r="R46" i="10"/>
  <c r="M47" i="10"/>
  <c r="R50" i="10"/>
  <c r="M51" i="10"/>
  <c r="R54" i="10"/>
  <c r="M55" i="10"/>
  <c r="R58" i="10"/>
  <c r="M59" i="10"/>
  <c r="R62" i="10"/>
  <c r="M63" i="10"/>
  <c r="R66" i="10"/>
  <c r="M67" i="10"/>
  <c r="R69" i="10"/>
  <c r="M70" i="10"/>
  <c r="R73" i="10"/>
  <c r="M74" i="10"/>
  <c r="D68" i="9"/>
  <c r="R78" i="10"/>
  <c r="M79" i="10"/>
  <c r="D81" i="9"/>
  <c r="R82" i="10"/>
  <c r="M83" i="10"/>
  <c r="R87" i="10"/>
  <c r="M88" i="10"/>
  <c r="R91" i="10"/>
  <c r="M92" i="10"/>
  <c r="R95" i="10"/>
  <c r="M96" i="10"/>
  <c r="R101" i="10"/>
  <c r="M102" i="10"/>
  <c r="R105" i="10"/>
  <c r="M109" i="10"/>
  <c r="O112" i="10"/>
  <c r="F151" i="9" s="1"/>
  <c r="R113" i="10"/>
  <c r="M114" i="10"/>
  <c r="O117" i="10"/>
  <c r="F159" i="9" s="1"/>
  <c r="R118" i="10"/>
  <c r="M119" i="10"/>
  <c r="R122" i="10"/>
  <c r="M124" i="10"/>
  <c r="R127" i="10"/>
  <c r="M130" i="10"/>
  <c r="R134" i="10"/>
  <c r="M135" i="10"/>
  <c r="R139" i="10"/>
  <c r="M140" i="10"/>
  <c r="R146" i="10"/>
  <c r="M147" i="10"/>
  <c r="T152" i="10"/>
  <c r="R152" i="10"/>
  <c r="R158" i="10"/>
  <c r="M162" i="10"/>
  <c r="R165" i="10"/>
  <c r="E142" i="9"/>
  <c r="O172" i="10"/>
  <c r="F142" i="9" s="1"/>
  <c r="E161" i="9"/>
  <c r="O174" i="10"/>
  <c r="F161" i="9" s="1"/>
  <c r="M176" i="10"/>
  <c r="E121" i="9"/>
  <c r="O189" i="10"/>
  <c r="F121" i="9" s="1"/>
  <c r="M191" i="10"/>
  <c r="R197" i="10"/>
  <c r="R199" i="10"/>
  <c r="E147" i="9"/>
  <c r="O209" i="10"/>
  <c r="F147" i="9" s="1"/>
  <c r="T213" i="10"/>
  <c r="R213" i="10"/>
  <c r="O220" i="10"/>
  <c r="M220" i="10"/>
  <c r="T223" i="10"/>
  <c r="R223" i="10"/>
  <c r="O228" i="10"/>
  <c r="M228" i="10"/>
  <c r="E253" i="9"/>
  <c r="O257" i="10"/>
  <c r="F253" i="9" s="1"/>
  <c r="E250" i="9"/>
  <c r="O259" i="10"/>
  <c r="F250" i="9" s="1"/>
  <c r="E230" i="9"/>
  <c r="O264" i="10"/>
  <c r="F230" i="9" s="1"/>
  <c r="O302" i="10"/>
  <c r="M302" i="10"/>
  <c r="E334" i="9"/>
  <c r="O390" i="10"/>
  <c r="F334" i="9" s="1"/>
  <c r="E335" i="9"/>
  <c r="O391" i="10"/>
  <c r="F335" i="9" s="1"/>
  <c r="E336" i="9"/>
  <c r="O392" i="10"/>
  <c r="F336" i="9" s="1"/>
  <c r="O98" i="10"/>
  <c r="F157" i="9" s="1"/>
  <c r="O99" i="10"/>
  <c r="F158" i="9" s="1"/>
  <c r="T99" i="10"/>
  <c r="T142" i="10"/>
  <c r="T143" i="10"/>
  <c r="O169" i="10"/>
  <c r="F83" i="9" s="1"/>
  <c r="M169" i="10"/>
  <c r="O206" i="10"/>
  <c r="F138" i="9" s="1"/>
  <c r="M206" i="10"/>
  <c r="T235" i="10"/>
  <c r="R235" i="10"/>
  <c r="O237" i="10"/>
  <c r="M237" i="10"/>
  <c r="T240" i="10"/>
  <c r="R240" i="10"/>
  <c r="D36" i="9"/>
  <c r="O30" i="10"/>
  <c r="T30" i="10"/>
  <c r="M38" i="10"/>
  <c r="R38" i="10"/>
  <c r="M76" i="10"/>
  <c r="R76" i="10"/>
  <c r="M98" i="10"/>
  <c r="R98" i="10"/>
  <c r="M99" i="10"/>
  <c r="R99" i="10"/>
  <c r="O106" i="10"/>
  <c r="F119" i="9" s="1"/>
  <c r="T106" i="10"/>
  <c r="O107" i="10"/>
  <c r="F120" i="9" s="1"/>
  <c r="T107" i="10"/>
  <c r="O108" i="10"/>
  <c r="F153" i="9" s="1"/>
  <c r="T108" i="10"/>
  <c r="O123" i="10"/>
  <c r="F160" i="9" s="1"/>
  <c r="T123" i="10"/>
  <c r="O128" i="10"/>
  <c r="F123" i="9" s="1"/>
  <c r="T128" i="10"/>
  <c r="D140" i="9"/>
  <c r="O129" i="10"/>
  <c r="F140" i="9" s="1"/>
  <c r="T129" i="10"/>
  <c r="M142" i="10"/>
  <c r="R142" i="10"/>
  <c r="M143" i="10"/>
  <c r="R143" i="10"/>
  <c r="M144" i="10"/>
  <c r="T156" i="10"/>
  <c r="R156" i="10"/>
  <c r="O163" i="10"/>
  <c r="M163" i="10"/>
  <c r="T168" i="10"/>
  <c r="R168" i="10"/>
  <c r="O177" i="10"/>
  <c r="F128" i="9" s="1"/>
  <c r="M177" i="10"/>
  <c r="T180" i="10"/>
  <c r="R180" i="10"/>
  <c r="O182" i="10"/>
  <c r="F116" i="9" s="1"/>
  <c r="M182" i="10"/>
  <c r="T185" i="10"/>
  <c r="R185" i="10"/>
  <c r="O192" i="10"/>
  <c r="M192" i="10"/>
  <c r="T195" i="10"/>
  <c r="R195" i="10"/>
  <c r="T203" i="10"/>
  <c r="R203" i="10"/>
  <c r="T231" i="10"/>
  <c r="R231" i="10"/>
  <c r="F203" i="9"/>
  <c r="O241" i="10"/>
  <c r="F199" i="9" s="1"/>
  <c r="E200" i="9" s="1"/>
  <c r="M241" i="10"/>
  <c r="T245" i="10"/>
  <c r="R245" i="10"/>
  <c r="O250" i="10"/>
  <c r="F221" i="9" s="1"/>
  <c r="M250" i="10"/>
  <c r="T253" i="10"/>
  <c r="R253" i="10"/>
  <c r="F259" i="9"/>
  <c r="T260" i="10"/>
  <c r="R260" i="10"/>
  <c r="T265" i="10"/>
  <c r="R265" i="10"/>
  <c r="E340" i="9"/>
  <c r="O410" i="10"/>
  <c r="F340" i="9" s="1"/>
  <c r="E332" i="9"/>
  <c r="O411" i="10"/>
  <c r="F332" i="9" s="1"/>
  <c r="E331" i="9"/>
  <c r="O412" i="10"/>
  <c r="F331" i="9" s="1"/>
  <c r="E341" i="9"/>
  <c r="O413" i="10"/>
  <c r="F341" i="9" s="1"/>
  <c r="O447" i="10"/>
  <c r="F388" i="9" s="1"/>
  <c r="M447" i="10"/>
  <c r="T452" i="10"/>
  <c r="R452" i="10"/>
  <c r="D412" i="9"/>
  <c r="O455" i="10"/>
  <c r="F412" i="9" s="1"/>
  <c r="T455" i="10"/>
  <c r="D411" i="9"/>
  <c r="O459" i="10"/>
  <c r="F411" i="9" s="1"/>
  <c r="T459" i="10"/>
  <c r="E401" i="9"/>
  <c r="O468" i="10"/>
  <c r="F401" i="9" s="1"/>
  <c r="E394" i="9"/>
  <c r="O469" i="10"/>
  <c r="F394" i="9" s="1"/>
  <c r="E396" i="9"/>
  <c r="O470" i="10"/>
  <c r="F396" i="9" s="1"/>
  <c r="D405" i="9"/>
  <c r="O497" i="10"/>
  <c r="F405" i="9" s="1"/>
  <c r="T497" i="10"/>
  <c r="D514" i="9"/>
  <c r="R573" i="10"/>
  <c r="M573" i="10"/>
  <c r="O573" i="10"/>
  <c r="F514" i="9" s="1"/>
  <c r="T573" i="10"/>
  <c r="F64" i="9"/>
  <c r="O76" i="10"/>
  <c r="F148" i="9" s="1"/>
  <c r="T76" i="10"/>
  <c r="T176" i="10"/>
  <c r="R176" i="10"/>
  <c r="O186" i="10"/>
  <c r="F75" i="9" s="1"/>
  <c r="M186" i="10"/>
  <c r="T191" i="10"/>
  <c r="R191" i="10"/>
  <c r="O196" i="10"/>
  <c r="F68" i="9" s="1"/>
  <c r="M196" i="10"/>
  <c r="F22" i="9"/>
  <c r="E27" i="9" s="1"/>
  <c r="O17" i="10"/>
  <c r="F32" i="9" s="1"/>
  <c r="T17" i="10"/>
  <c r="O26" i="10"/>
  <c r="F30" i="9" s="1"/>
  <c r="T26" i="10"/>
  <c r="O32" i="10"/>
  <c r="D63" i="9"/>
  <c r="D51" i="9"/>
  <c r="D90" i="9"/>
  <c r="F81" i="9"/>
  <c r="O84" i="10"/>
  <c r="F152" i="9" s="1"/>
  <c r="D91" i="9"/>
  <c r="O136" i="10"/>
  <c r="F125" i="9" s="1"/>
  <c r="O148" i="10"/>
  <c r="F107" i="9" s="1"/>
  <c r="O149" i="10"/>
  <c r="F118" i="9" s="1"/>
  <c r="O150" i="10"/>
  <c r="F110" i="9" s="1"/>
  <c r="R151" i="10"/>
  <c r="O153" i="10"/>
  <c r="F124" i="9" s="1"/>
  <c r="M153" i="10"/>
  <c r="M156" i="10"/>
  <c r="R159" i="10"/>
  <c r="R164" i="10"/>
  <c r="T165" i="10"/>
  <c r="F115" i="9"/>
  <c r="M168" i="10"/>
  <c r="E141" i="9"/>
  <c r="O173" i="10"/>
  <c r="F141" i="9" s="1"/>
  <c r="E112" i="9"/>
  <c r="O175" i="10"/>
  <c r="F112" i="9" s="1"/>
  <c r="M180" i="10"/>
  <c r="M185" i="10"/>
  <c r="E145" i="9"/>
  <c r="O190" i="10"/>
  <c r="F145" i="9" s="1"/>
  <c r="M195" i="10"/>
  <c r="R198" i="10"/>
  <c r="O214" i="10"/>
  <c r="F167" i="9" s="1"/>
  <c r="E168" i="9" s="1"/>
  <c r="M214" i="10"/>
  <c r="T219" i="10"/>
  <c r="R219" i="10"/>
  <c r="O224" i="10"/>
  <c r="F188" i="9" s="1"/>
  <c r="M224" i="10"/>
  <c r="T227" i="10"/>
  <c r="R227" i="10"/>
  <c r="E254" i="9"/>
  <c r="O258" i="10"/>
  <c r="F254" i="9" s="1"/>
  <c r="E315" i="9"/>
  <c r="D325" i="9"/>
  <c r="O388" i="10"/>
  <c r="F325" i="9" s="1"/>
  <c r="T388" i="10"/>
  <c r="R408" i="10"/>
  <c r="D115" i="9"/>
  <c r="D142" i="9"/>
  <c r="D141" i="9"/>
  <c r="D161" i="9"/>
  <c r="D209" i="9"/>
  <c r="O294" i="10"/>
  <c r="M294" i="10"/>
  <c r="T297" i="10"/>
  <c r="R297" i="10"/>
  <c r="O299" i="10"/>
  <c r="F231" i="9" s="1"/>
  <c r="M299" i="10"/>
  <c r="O335" i="10"/>
  <c r="M335" i="10"/>
  <c r="O341" i="10"/>
  <c r="F283" i="9" s="1"/>
  <c r="M341" i="10"/>
  <c r="O345" i="10"/>
  <c r="M345" i="10"/>
  <c r="O351" i="10"/>
  <c r="M351" i="10"/>
  <c r="O356" i="10"/>
  <c r="M356" i="10"/>
  <c r="T361" i="10"/>
  <c r="R361" i="10"/>
  <c r="O363" i="10"/>
  <c r="M363" i="10"/>
  <c r="R367" i="10"/>
  <c r="M388" i="10"/>
  <c r="T393" i="10"/>
  <c r="R393" i="10"/>
  <c r="R398" i="10"/>
  <c r="E322" i="9"/>
  <c r="O400" i="10"/>
  <c r="F322" i="9" s="1"/>
  <c r="E326" i="9"/>
  <c r="O401" i="10"/>
  <c r="F326" i="9" s="1"/>
  <c r="E338" i="9"/>
  <c r="O402" i="10"/>
  <c r="F338" i="9" s="1"/>
  <c r="M408" i="10"/>
  <c r="T414" i="10"/>
  <c r="R414" i="10"/>
  <c r="O416" i="10"/>
  <c r="M416" i="10"/>
  <c r="T423" i="10"/>
  <c r="R423" i="10"/>
  <c r="T427" i="10"/>
  <c r="R427" i="10"/>
  <c r="T431" i="10"/>
  <c r="R431" i="10"/>
  <c r="T435" i="10"/>
  <c r="R435" i="10"/>
  <c r="T439" i="10"/>
  <c r="R439" i="10"/>
  <c r="O443" i="10"/>
  <c r="F397" i="9" s="1"/>
  <c r="M443" i="10"/>
  <c r="O452" i="10"/>
  <c r="F379" i="9" s="1"/>
  <c r="M452" i="10"/>
  <c r="R457" i="10"/>
  <c r="R461" i="10"/>
  <c r="O181" i="10"/>
  <c r="F95" i="9" s="1"/>
  <c r="T181" i="10"/>
  <c r="O204" i="10"/>
  <c r="F139" i="9" s="1"/>
  <c r="T204" i="10"/>
  <c r="O205" i="10"/>
  <c r="F98" i="9" s="1"/>
  <c r="T205" i="10"/>
  <c r="D203" i="9"/>
  <c r="O236" i="10"/>
  <c r="F245" i="9" s="1"/>
  <c r="T236" i="10"/>
  <c r="T301" i="10"/>
  <c r="R301" i="10"/>
  <c r="R304" i="10"/>
  <c r="O307" i="10"/>
  <c r="F209" i="9" s="1"/>
  <c r="M307" i="10"/>
  <c r="O312" i="10"/>
  <c r="F244" i="9" s="1"/>
  <c r="M312" i="10"/>
  <c r="O316" i="10"/>
  <c r="F233" i="9" s="1"/>
  <c r="M316" i="10"/>
  <c r="O320" i="10"/>
  <c r="F215" i="9" s="1"/>
  <c r="M320" i="10"/>
  <c r="O324" i="10"/>
  <c r="M324" i="10"/>
  <c r="O330" i="10"/>
  <c r="M330" i="10"/>
  <c r="E277" i="9"/>
  <c r="O348" i="10"/>
  <c r="F277" i="9" s="1"/>
  <c r="E284" i="9"/>
  <c r="O349" i="10"/>
  <c r="F284" i="9" s="1"/>
  <c r="E285" i="9"/>
  <c r="O354" i="10"/>
  <c r="F285" i="9" s="1"/>
  <c r="T403" i="10"/>
  <c r="R403" i="10"/>
  <c r="O405" i="10"/>
  <c r="F318" i="9" s="1"/>
  <c r="M405" i="10"/>
  <c r="F391" i="9"/>
  <c r="T446" i="10"/>
  <c r="R446" i="10"/>
  <c r="O449" i="10"/>
  <c r="F386" i="9" s="1"/>
  <c r="M449" i="10"/>
  <c r="D408" i="9"/>
  <c r="O457" i="10"/>
  <c r="F408" i="9" s="1"/>
  <c r="T457" i="10"/>
  <c r="D413" i="9"/>
  <c r="O461" i="10"/>
  <c r="F413" i="9" s="1"/>
  <c r="T461" i="10"/>
  <c r="E437" i="9"/>
  <c r="O517" i="10"/>
  <c r="F437" i="9" s="1"/>
  <c r="E440" i="9"/>
  <c r="O518" i="10"/>
  <c r="F440" i="9" s="1"/>
  <c r="E441" i="9"/>
  <c r="O519" i="10"/>
  <c r="F441" i="9" s="1"/>
  <c r="E434" i="9"/>
  <c r="O520" i="10"/>
  <c r="F434" i="9" s="1"/>
  <c r="E435" i="9"/>
  <c r="O521" i="10"/>
  <c r="F435" i="9" s="1"/>
  <c r="E445" i="9"/>
  <c r="O522" i="10"/>
  <c r="F445" i="9" s="1"/>
  <c r="E442" i="9"/>
  <c r="O523" i="10"/>
  <c r="F442" i="9" s="1"/>
  <c r="E446" i="9"/>
  <c r="O524" i="10"/>
  <c r="F446" i="9" s="1"/>
  <c r="O529" i="10"/>
  <c r="F463" i="9" s="1"/>
  <c r="M529" i="10"/>
  <c r="O533" i="10"/>
  <c r="F455" i="9" s="1"/>
  <c r="M533" i="10"/>
  <c r="O553" i="10"/>
  <c r="F460" i="9" s="1"/>
  <c r="M553" i="10"/>
  <c r="O559" i="10"/>
  <c r="M559" i="10"/>
  <c r="D515" i="9"/>
  <c r="R579" i="10"/>
  <c r="M579" i="10"/>
  <c r="O579" i="10"/>
  <c r="F515" i="9" s="1"/>
  <c r="T579" i="10"/>
  <c r="O200" i="10"/>
  <c r="F113" i="9" s="1"/>
  <c r="T200" i="10"/>
  <c r="D167" i="9"/>
  <c r="O229" i="10"/>
  <c r="F195" i="9" s="1"/>
  <c r="E196" i="9" s="1"/>
  <c r="T229" i="10"/>
  <c r="D231" i="9"/>
  <c r="D199" i="9"/>
  <c r="O242" i="10"/>
  <c r="F234" i="9" s="1"/>
  <c r="T242" i="10"/>
  <c r="O273" i="10"/>
  <c r="F257" i="9" s="1"/>
  <c r="T273" i="10"/>
  <c r="O274" i="10"/>
  <c r="F240" i="9" s="1"/>
  <c r="T274" i="10"/>
  <c r="O275" i="10"/>
  <c r="F229" i="9" s="1"/>
  <c r="T275" i="10"/>
  <c r="O276" i="10"/>
  <c r="F227" i="9" s="1"/>
  <c r="T276" i="10"/>
  <c r="O277" i="10"/>
  <c r="T277" i="10"/>
  <c r="O278" i="10"/>
  <c r="F255" i="9" s="1"/>
  <c r="T278" i="10"/>
  <c r="M282" i="10"/>
  <c r="T282" i="10"/>
  <c r="O287" i="10"/>
  <c r="F246" i="9" s="1"/>
  <c r="T287" i="10"/>
  <c r="R296" i="10"/>
  <c r="T334" i="10"/>
  <c r="R334" i="10"/>
  <c r="F273" i="9"/>
  <c r="T340" i="10"/>
  <c r="R340" i="10"/>
  <c r="T344" i="10"/>
  <c r="R344" i="10"/>
  <c r="T350" i="10"/>
  <c r="R350" i="10"/>
  <c r="T355" i="10"/>
  <c r="R355" i="10"/>
  <c r="R358" i="10"/>
  <c r="R366" i="10"/>
  <c r="T367" i="10"/>
  <c r="O396" i="10"/>
  <c r="F333" i="9" s="1"/>
  <c r="M396" i="10"/>
  <c r="T398" i="10"/>
  <c r="R419" i="10"/>
  <c r="O424" i="10"/>
  <c r="F370" i="9" s="1"/>
  <c r="M424" i="10"/>
  <c r="O428" i="10"/>
  <c r="F368" i="9" s="1"/>
  <c r="M428" i="10"/>
  <c r="O432" i="10"/>
  <c r="F364" i="9" s="1"/>
  <c r="M432" i="10"/>
  <c r="O436" i="10"/>
  <c r="F357" i="9" s="1"/>
  <c r="M436" i="10"/>
  <c r="O440" i="10"/>
  <c r="F354" i="9" s="1"/>
  <c r="M440" i="10"/>
  <c r="T442" i="10"/>
  <c r="R442" i="10"/>
  <c r="R455" i="10"/>
  <c r="R459" i="10"/>
  <c r="R497" i="10"/>
  <c r="D318" i="9"/>
  <c r="M455" i="10"/>
  <c r="M457" i="10"/>
  <c r="M459" i="10"/>
  <c r="M461" i="10"/>
  <c r="O465" i="10"/>
  <c r="F398" i="9" s="1"/>
  <c r="M465" i="10"/>
  <c r="T471" i="10"/>
  <c r="R471" i="10"/>
  <c r="O478" i="10"/>
  <c r="F392" i="9" s="1"/>
  <c r="M478" i="10"/>
  <c r="T481" i="10"/>
  <c r="R481" i="10"/>
  <c r="O491" i="10"/>
  <c r="M491" i="10"/>
  <c r="T494" i="10"/>
  <c r="R494" i="10"/>
  <c r="M497" i="10"/>
  <c r="T499" i="10"/>
  <c r="R499" i="10"/>
  <c r="O514" i="10"/>
  <c r="F443" i="9" s="1"/>
  <c r="M514" i="10"/>
  <c r="O549" i="10"/>
  <c r="F466" i="9" s="1"/>
  <c r="M549" i="10"/>
  <c r="D481" i="9"/>
  <c r="R561" i="10"/>
  <c r="M561" i="10"/>
  <c r="O564" i="10"/>
  <c r="F486" i="9" s="1"/>
  <c r="M564" i="10"/>
  <c r="O570" i="10"/>
  <c r="F505" i="9" s="1"/>
  <c r="M570" i="10"/>
  <c r="O576" i="10"/>
  <c r="F503" i="9" s="1"/>
  <c r="M576" i="10"/>
  <c r="T582" i="10"/>
  <c r="R582" i="10"/>
  <c r="R302" i="10"/>
  <c r="M303" i="10"/>
  <c r="R307" i="10"/>
  <c r="M308" i="10"/>
  <c r="R312" i="10"/>
  <c r="M313" i="10"/>
  <c r="R316" i="10"/>
  <c r="M317" i="10"/>
  <c r="R320" i="10"/>
  <c r="M321" i="10"/>
  <c r="R324" i="10"/>
  <c r="M327" i="10"/>
  <c r="R330" i="10"/>
  <c r="M332" i="10"/>
  <c r="R335" i="10"/>
  <c r="M336" i="10"/>
  <c r="D273" i="9"/>
  <c r="R341" i="10"/>
  <c r="M342" i="10"/>
  <c r="R345" i="10"/>
  <c r="M346" i="10"/>
  <c r="R351" i="10"/>
  <c r="M352" i="10"/>
  <c r="R356" i="10"/>
  <c r="M357" i="10"/>
  <c r="O362" i="10"/>
  <c r="F279" i="9" s="1"/>
  <c r="R363" i="10"/>
  <c r="M365" i="10"/>
  <c r="M384" i="10"/>
  <c r="M387" i="10"/>
  <c r="O394" i="10"/>
  <c r="F328" i="9" s="1"/>
  <c r="O395" i="10"/>
  <c r="F321" i="9" s="1"/>
  <c r="R396" i="10"/>
  <c r="M397" i="10"/>
  <c r="O404" i="10"/>
  <c r="F323" i="9" s="1"/>
  <c r="R405" i="10"/>
  <c r="M407" i="10"/>
  <c r="O415" i="10"/>
  <c r="F330" i="9" s="1"/>
  <c r="R416" i="10"/>
  <c r="M418" i="10"/>
  <c r="D370" i="9"/>
  <c r="R424" i="10"/>
  <c r="M425" i="10"/>
  <c r="R428" i="10"/>
  <c r="M429" i="10"/>
  <c r="R432" i="10"/>
  <c r="M433" i="10"/>
  <c r="R436" i="10"/>
  <c r="M437" i="10"/>
  <c r="R440" i="10"/>
  <c r="R443" i="10"/>
  <c r="M444" i="10"/>
  <c r="R447" i="10"/>
  <c r="M448" i="10"/>
  <c r="T448" i="10"/>
  <c r="F380" i="9"/>
  <c r="R451" i="10"/>
  <c r="O453" i="10"/>
  <c r="F375" i="9" s="1"/>
  <c r="E376" i="9" s="1"/>
  <c r="M453" i="10"/>
  <c r="R454" i="10"/>
  <c r="R456" i="10"/>
  <c r="R458" i="10"/>
  <c r="R460" i="10"/>
  <c r="R462" i="10"/>
  <c r="E416" i="9"/>
  <c r="O503" i="10"/>
  <c r="F416" i="9" s="1"/>
  <c r="E418" i="9"/>
  <c r="O504" i="10"/>
  <c r="F418" i="9" s="1"/>
  <c r="E422" i="9"/>
  <c r="O505" i="10"/>
  <c r="F422" i="9" s="1"/>
  <c r="T528" i="10"/>
  <c r="R528" i="10"/>
  <c r="T532" i="10"/>
  <c r="R532" i="10"/>
  <c r="F453" i="9"/>
  <c r="E456" i="9" s="1"/>
  <c r="T536" i="10"/>
  <c r="R536" i="10"/>
  <c r="D476" i="9"/>
  <c r="O540" i="10"/>
  <c r="F476" i="9" s="1"/>
  <c r="M540" i="10"/>
  <c r="T552" i="10"/>
  <c r="R552" i="10"/>
  <c r="T556" i="10"/>
  <c r="R556" i="10"/>
  <c r="D510" i="9"/>
  <c r="R572" i="10"/>
  <c r="M572" i="10"/>
  <c r="D511" i="9"/>
  <c r="R578" i="10"/>
  <c r="M578" i="10"/>
  <c r="D512" i="9"/>
  <c r="R580" i="10"/>
  <c r="M580" i="10"/>
  <c r="O288" i="10"/>
  <c r="F260" i="9" s="1"/>
  <c r="T288" i="10"/>
  <c r="O289" i="10"/>
  <c r="F249" i="9" s="1"/>
  <c r="T289" i="10"/>
  <c r="O290" i="10"/>
  <c r="F248" i="9" s="1"/>
  <c r="T290" i="10"/>
  <c r="O291" i="10"/>
  <c r="F228" i="9" s="1"/>
  <c r="T291" i="10"/>
  <c r="O292" i="10"/>
  <c r="O293" i="10"/>
  <c r="F242" i="9" s="1"/>
  <c r="T293" i="10"/>
  <c r="O298" i="10"/>
  <c r="F256" i="9" s="1"/>
  <c r="T298" i="10"/>
  <c r="M310" i="10"/>
  <c r="O325" i="10"/>
  <c r="F252" i="9" s="1"/>
  <c r="T325" i="10"/>
  <c r="O326" i="10"/>
  <c r="F251" i="9" s="1"/>
  <c r="O331" i="10"/>
  <c r="F238" i="9" s="1"/>
  <c r="M348" i="10"/>
  <c r="R348" i="10"/>
  <c r="M349" i="10"/>
  <c r="R349" i="10"/>
  <c r="M354" i="10"/>
  <c r="R354" i="10"/>
  <c r="M360" i="10"/>
  <c r="R360" i="10"/>
  <c r="O364" i="10"/>
  <c r="F286" i="9" s="1"/>
  <c r="T364" i="10"/>
  <c r="M369" i="10"/>
  <c r="O371" i="10"/>
  <c r="F290" i="9" s="1"/>
  <c r="T371" i="10"/>
  <c r="O372" i="10"/>
  <c r="F291" i="9" s="1"/>
  <c r="T372" i="10"/>
  <c r="O373" i="10"/>
  <c r="F301" i="9" s="1"/>
  <c r="T373" i="10"/>
  <c r="O374" i="10"/>
  <c r="F292" i="9" s="1"/>
  <c r="T374" i="10"/>
  <c r="O375" i="10"/>
  <c r="F293" i="9" s="1"/>
  <c r="O376" i="10"/>
  <c r="F294" i="9" s="1"/>
  <c r="O377" i="10"/>
  <c r="F295" i="9" s="1"/>
  <c r="O378" i="10"/>
  <c r="F296" i="9" s="1"/>
  <c r="O379" i="10"/>
  <c r="F297" i="9" s="1"/>
  <c r="O380" i="10"/>
  <c r="F298" i="9" s="1"/>
  <c r="O406" i="10"/>
  <c r="F339" i="9" s="1"/>
  <c r="T406" i="10"/>
  <c r="O417" i="10"/>
  <c r="F327" i="9" s="1"/>
  <c r="T417" i="10"/>
  <c r="D354" i="9"/>
  <c r="T464" i="10"/>
  <c r="R464" i="10"/>
  <c r="O474" i="10"/>
  <c r="F403" i="9" s="1"/>
  <c r="M474" i="10"/>
  <c r="T477" i="10"/>
  <c r="R477" i="10"/>
  <c r="O482" i="10"/>
  <c r="F381" i="9" s="1"/>
  <c r="M482" i="10"/>
  <c r="F378" i="9"/>
  <c r="T485" i="10"/>
  <c r="R485" i="10"/>
  <c r="O487" i="10"/>
  <c r="F421" i="9" s="1"/>
  <c r="M487" i="10"/>
  <c r="T490" i="10"/>
  <c r="R490" i="10"/>
  <c r="O495" i="10"/>
  <c r="M495" i="10"/>
  <c r="O500" i="10"/>
  <c r="F419" i="9" s="1"/>
  <c r="M500" i="10"/>
  <c r="F431" i="9"/>
  <c r="E432" i="9" s="1"/>
  <c r="T509" i="10"/>
  <c r="R509" i="10"/>
  <c r="E479" i="9"/>
  <c r="O543" i="10"/>
  <c r="F479" i="9" s="1"/>
  <c r="E471" i="9"/>
  <c r="O544" i="10"/>
  <c r="F471" i="9" s="1"/>
  <c r="E472" i="9"/>
  <c r="O545" i="10"/>
  <c r="F472" i="9" s="1"/>
  <c r="E475" i="9"/>
  <c r="O546" i="10"/>
  <c r="F475" i="9" s="1"/>
  <c r="E473" i="9"/>
  <c r="O547" i="10"/>
  <c r="F473" i="9" s="1"/>
  <c r="T548" i="10"/>
  <c r="R548" i="10"/>
  <c r="T561" i="10"/>
  <c r="D474" i="9"/>
  <c r="R562" i="10"/>
  <c r="M562" i="10"/>
  <c r="T569" i="10"/>
  <c r="R569" i="10"/>
  <c r="T575" i="10"/>
  <c r="R575" i="10"/>
  <c r="O583" i="10"/>
  <c r="M583" i="10"/>
  <c r="F395" i="9"/>
  <c r="D443" i="9"/>
  <c r="F428" i="9"/>
  <c r="E429" i="9" s="1"/>
  <c r="F465" i="9"/>
  <c r="F450" i="9"/>
  <c r="E451" i="9" s="1"/>
  <c r="D500" i="9"/>
  <c r="D381" i="9"/>
  <c r="R465" i="10"/>
  <c r="M466" i="10"/>
  <c r="O472" i="10"/>
  <c r="F406" i="9" s="1"/>
  <c r="O473" i="10"/>
  <c r="F417" i="9" s="1"/>
  <c r="R474" i="10"/>
  <c r="M475" i="10"/>
  <c r="R478" i="10"/>
  <c r="M479" i="10"/>
  <c r="R482" i="10"/>
  <c r="M483" i="10"/>
  <c r="D378" i="9"/>
  <c r="O486" i="10"/>
  <c r="F404" i="9" s="1"/>
  <c r="R487" i="10"/>
  <c r="M488" i="10"/>
  <c r="R491" i="10"/>
  <c r="M492" i="10"/>
  <c r="R495" i="10"/>
  <c r="M496" i="10"/>
  <c r="R500" i="10"/>
  <c r="M501" i="10"/>
  <c r="M507" i="10"/>
  <c r="O510" i="10"/>
  <c r="F436" i="9" s="1"/>
  <c r="O511" i="10"/>
  <c r="F438" i="9" s="1"/>
  <c r="O512" i="10"/>
  <c r="F439" i="9" s="1"/>
  <c r="O513" i="10"/>
  <c r="F444" i="9" s="1"/>
  <c r="R514" i="10"/>
  <c r="M515" i="10"/>
  <c r="O537" i="10"/>
  <c r="F477" i="9" s="1"/>
  <c r="T537" i="10"/>
  <c r="O538" i="10"/>
  <c r="F478" i="9" s="1"/>
  <c r="T538" i="10"/>
  <c r="O539" i="10"/>
  <c r="F470" i="9" s="1"/>
  <c r="T539" i="10"/>
  <c r="O557" i="10"/>
  <c r="F480" i="9" s="1"/>
  <c r="T557" i="10"/>
  <c r="O558" i="10"/>
  <c r="F469" i="9" s="1"/>
  <c r="T558" i="10"/>
  <c r="D428" i="9"/>
  <c r="D450" i="9"/>
  <c r="E488" i="9"/>
  <c r="F500" i="9"/>
  <c r="O584" i="10"/>
  <c r="F516" i="9" s="1"/>
  <c r="O585" i="10"/>
  <c r="F517" i="9" s="1"/>
  <c r="O589" i="10"/>
  <c r="F528" i="9" s="1"/>
  <c r="O590" i="10"/>
  <c r="F529" i="9" s="1"/>
  <c r="O591" i="10"/>
  <c r="F521" i="9" s="1"/>
  <c r="O592" i="10"/>
  <c r="F522" i="9" s="1"/>
  <c r="O593" i="10"/>
  <c r="F523" i="9" s="1"/>
  <c r="O594" i="10"/>
  <c r="F524" i="9" s="1"/>
  <c r="O595" i="10"/>
  <c r="F525" i="9" s="1"/>
  <c r="J46" i="6"/>
  <c r="J89" i="6"/>
  <c r="H46" i="6"/>
  <c r="H44" i="6"/>
  <c r="O46" i="6"/>
  <c r="H64" i="6"/>
  <c r="J64" i="6"/>
  <c r="O150" i="6"/>
  <c r="P331" i="6"/>
  <c r="P661" i="6"/>
  <c r="P727" i="6"/>
  <c r="J80" i="6"/>
  <c r="H80" i="6"/>
  <c r="P91" i="6"/>
  <c r="J99" i="6"/>
  <c r="H141" i="6"/>
  <c r="J141" i="6"/>
  <c r="H157" i="6"/>
  <c r="P169" i="6"/>
  <c r="H167" i="6"/>
  <c r="P221" i="6"/>
  <c r="P66" i="6"/>
  <c r="H101" i="6"/>
  <c r="O101" i="6"/>
  <c r="P150" i="6"/>
  <c r="P344" i="6"/>
  <c r="P691" i="6"/>
  <c r="H89" i="6"/>
  <c r="H99" i="6"/>
  <c r="J116" i="6"/>
  <c r="H116" i="6"/>
  <c r="J157" i="6"/>
  <c r="J159" i="6"/>
  <c r="P159" i="6"/>
  <c r="H169" i="6"/>
  <c r="P141" i="6"/>
  <c r="J286" i="6"/>
  <c r="J284" i="6"/>
  <c r="J540" i="6"/>
  <c r="J627" i="6"/>
  <c r="J625" i="6"/>
  <c r="H755" i="6"/>
  <c r="H782" i="6"/>
  <c r="J1131" i="6"/>
  <c r="J1129" i="6"/>
  <c r="P1131" i="6"/>
  <c r="J101" i="6"/>
  <c r="J66" i="6"/>
  <c r="H66" i="6"/>
  <c r="J78" i="6"/>
  <c r="H78" i="6"/>
  <c r="J91" i="6"/>
  <c r="H91" i="6"/>
  <c r="P101" i="6"/>
  <c r="J114" i="6"/>
  <c r="H114" i="6"/>
  <c r="J139" i="6"/>
  <c r="H139" i="6"/>
  <c r="H159" i="6"/>
  <c r="K176" i="6"/>
  <c r="J180" i="6" s="1"/>
  <c r="J208" i="6"/>
  <c r="I217" i="6"/>
  <c r="H221" i="6" s="1"/>
  <c r="O221" i="6"/>
  <c r="H242" i="6"/>
  <c r="H298" i="6"/>
  <c r="O300" i="6"/>
  <c r="H300" i="6"/>
  <c r="K310" i="6"/>
  <c r="I340" i="6"/>
  <c r="O344" i="6" s="1"/>
  <c r="H356" i="6"/>
  <c r="O358" i="6"/>
  <c r="H358" i="6"/>
  <c r="H384" i="6"/>
  <c r="H382" i="6"/>
  <c r="H455" i="6"/>
  <c r="H453" i="6"/>
  <c r="J485" i="6"/>
  <c r="J483" i="6"/>
  <c r="I524" i="6"/>
  <c r="O530" i="6" s="1"/>
  <c r="J556" i="6"/>
  <c r="J554" i="6"/>
  <c r="O570" i="6"/>
  <c r="J570" i="6"/>
  <c r="H586" i="6"/>
  <c r="O588" i="6"/>
  <c r="H588" i="6"/>
  <c r="J611" i="6"/>
  <c r="P613" i="6"/>
  <c r="J613" i="6"/>
  <c r="I657" i="6"/>
  <c r="O661" i="6" s="1"/>
  <c r="I687" i="6"/>
  <c r="H691" i="6" s="1"/>
  <c r="I723" i="6"/>
  <c r="H727" i="6" s="1"/>
  <c r="J739" i="6"/>
  <c r="J767" i="6"/>
  <c r="J798" i="6"/>
  <c r="P798" i="6"/>
  <c r="J796" i="6"/>
  <c r="P836" i="6"/>
  <c r="H847" i="6"/>
  <c r="P849" i="6"/>
  <c r="J942" i="6"/>
  <c r="H1424" i="6"/>
  <c r="O1426" i="6"/>
  <c r="H1426" i="6"/>
  <c r="P46" i="6"/>
  <c r="O80" i="6"/>
  <c r="P116" i="6"/>
  <c r="O116" i="6"/>
  <c r="O141" i="6"/>
  <c r="J252" i="6"/>
  <c r="J372" i="6"/>
  <c r="J370" i="6"/>
  <c r="H392" i="6"/>
  <c r="O408" i="6"/>
  <c r="H422" i="6"/>
  <c r="O440" i="6"/>
  <c r="J467" i="6"/>
  <c r="J530" i="6"/>
  <c r="J528" i="6"/>
  <c r="J44" i="6"/>
  <c r="O66" i="6"/>
  <c r="O91" i="6"/>
  <c r="J150" i="6"/>
  <c r="H150" i="6"/>
  <c r="O159" i="6"/>
  <c r="J169" i="6"/>
  <c r="H195" i="6"/>
  <c r="H193" i="6"/>
  <c r="J221" i="6"/>
  <c r="I229" i="6"/>
  <c r="H234" i="6" s="1"/>
  <c r="K230" i="6"/>
  <c r="J234" i="6" s="1"/>
  <c r="H232" i="6"/>
  <c r="H252" i="6"/>
  <c r="H264" i="6"/>
  <c r="H313" i="6"/>
  <c r="I327" i="6"/>
  <c r="H331" i="6" s="1"/>
  <c r="J344" i="6"/>
  <c r="J392" i="6"/>
  <c r="K402" i="6"/>
  <c r="J406" i="6" s="1"/>
  <c r="P408" i="6"/>
  <c r="K418" i="6"/>
  <c r="J424" i="6" s="1"/>
  <c r="J422" i="6"/>
  <c r="K434" i="6"/>
  <c r="J438" i="6" s="1"/>
  <c r="P440" i="6"/>
  <c r="O455" i="6"/>
  <c r="H467" i="6"/>
  <c r="O469" i="6"/>
  <c r="H469" i="6"/>
  <c r="I479" i="6"/>
  <c r="O485" i="6" s="1"/>
  <c r="H497" i="6"/>
  <c r="O499" i="6"/>
  <c r="H499" i="6"/>
  <c r="K509" i="6"/>
  <c r="J512" i="6" s="1"/>
  <c r="H540" i="6"/>
  <c r="J576" i="6"/>
  <c r="J574" i="6"/>
  <c r="K642" i="6"/>
  <c r="J645" i="6" s="1"/>
  <c r="J661" i="6"/>
  <c r="J659" i="6"/>
  <c r="K672" i="6"/>
  <c r="J675" i="6" s="1"/>
  <c r="J691" i="6"/>
  <c r="J689" i="6"/>
  <c r="K706" i="6"/>
  <c r="J709" i="6" s="1"/>
  <c r="J727" i="6"/>
  <c r="J725" i="6"/>
  <c r="J755" i="6"/>
  <c r="J753" i="6"/>
  <c r="J782" i="6"/>
  <c r="P784" i="6"/>
  <c r="J784" i="6"/>
  <c r="P1042" i="6"/>
  <c r="H1228" i="6"/>
  <c r="O1230" i="6"/>
  <c r="P80" i="6"/>
  <c r="J232" i="6"/>
  <c r="J264" i="6"/>
  <c r="J313" i="6"/>
  <c r="P315" i="6"/>
  <c r="J315" i="6"/>
  <c r="H344" i="6"/>
  <c r="H342" i="6"/>
  <c r="O169" i="6"/>
  <c r="O182" i="6"/>
  <c r="H208" i="6"/>
  <c r="H206" i="6"/>
  <c r="J242" i="6"/>
  <c r="P244" i="6"/>
  <c r="J244" i="6"/>
  <c r="I282" i="6"/>
  <c r="H286" i="6" s="1"/>
  <c r="P286" i="6"/>
  <c r="J298" i="6"/>
  <c r="J331" i="6"/>
  <c r="J329" i="6"/>
  <c r="J356" i="6"/>
  <c r="I368" i="6"/>
  <c r="O372" i="6" s="1"/>
  <c r="P372" i="6"/>
  <c r="J384" i="6"/>
  <c r="J455" i="6"/>
  <c r="H485" i="6"/>
  <c r="H512" i="6"/>
  <c r="I526" i="6"/>
  <c r="H530" i="6" s="1"/>
  <c r="P530" i="6"/>
  <c r="H556" i="6"/>
  <c r="H611" i="6"/>
  <c r="I623" i="6"/>
  <c r="O627" i="6" s="1"/>
  <c r="P627" i="6"/>
  <c r="H645" i="6"/>
  <c r="O647" i="6"/>
  <c r="H647" i="6"/>
  <c r="H675" i="6"/>
  <c r="O677" i="6"/>
  <c r="H677" i="6"/>
  <c r="H709" i="6"/>
  <c r="O711" i="6"/>
  <c r="H711" i="6"/>
  <c r="H739" i="6"/>
  <c r="O741" i="6"/>
  <c r="H741" i="6"/>
  <c r="H767" i="6"/>
  <c r="O769" i="6"/>
  <c r="H769" i="6"/>
  <c r="O933" i="6"/>
  <c r="J193" i="6"/>
  <c r="J206" i="6"/>
  <c r="J219" i="6"/>
  <c r="P234" i="6"/>
  <c r="O234" i="6"/>
  <c r="H244" i="6"/>
  <c r="J254" i="6"/>
  <c r="H254" i="6"/>
  <c r="P266" i="6"/>
  <c r="O266" i="6"/>
  <c r="H284" i="6"/>
  <c r="J300" i="6"/>
  <c r="H315" i="6"/>
  <c r="H329" i="6"/>
  <c r="J342" i="6"/>
  <c r="J358" i="6"/>
  <c r="H370" i="6"/>
  <c r="J382" i="6"/>
  <c r="P394" i="6"/>
  <c r="O394" i="6"/>
  <c r="P424" i="6"/>
  <c r="O424" i="6"/>
  <c r="J453" i="6"/>
  <c r="J469" i="6"/>
  <c r="H483" i="6"/>
  <c r="J499" i="6"/>
  <c r="H514" i="6"/>
  <c r="H528" i="6"/>
  <c r="P542" i="6"/>
  <c r="O542" i="6"/>
  <c r="H554" i="6"/>
  <c r="H574" i="6"/>
  <c r="J588" i="6"/>
  <c r="H613" i="6"/>
  <c r="H625" i="6"/>
  <c r="J647" i="6"/>
  <c r="H659" i="6"/>
  <c r="J677" i="6"/>
  <c r="H689" i="6"/>
  <c r="J711" i="6"/>
  <c r="H725" i="6"/>
  <c r="J741" i="6"/>
  <c r="H753" i="6"/>
  <c r="J769" i="6"/>
  <c r="H784" i="6"/>
  <c r="H888" i="6"/>
  <c r="H886" i="6"/>
  <c r="J896" i="6"/>
  <c r="J908" i="6"/>
  <c r="H969" i="6"/>
  <c r="J985" i="6"/>
  <c r="J983" i="6"/>
  <c r="H985" i="6"/>
  <c r="H983" i="6"/>
  <c r="P999" i="6"/>
  <c r="H1011" i="6"/>
  <c r="O1013" i="6"/>
  <c r="H1013" i="6"/>
  <c r="J1011" i="6"/>
  <c r="J1013" i="6"/>
  <c r="K1022" i="6"/>
  <c r="P1028" i="6" s="1"/>
  <c r="O1111" i="6"/>
  <c r="H1111" i="6"/>
  <c r="J182" i="6"/>
  <c r="H182" i="6"/>
  <c r="O244" i="6"/>
  <c r="P254" i="6"/>
  <c r="O254" i="6"/>
  <c r="P300" i="6"/>
  <c r="O315" i="6"/>
  <c r="P358" i="6"/>
  <c r="J408" i="6"/>
  <c r="H408" i="6"/>
  <c r="J440" i="6"/>
  <c r="H440" i="6"/>
  <c r="P469" i="6"/>
  <c r="P499" i="6"/>
  <c r="O514" i="6"/>
  <c r="P588" i="6"/>
  <c r="J591" i="6" s="1"/>
  <c r="O613" i="6"/>
  <c r="P647" i="6"/>
  <c r="P677" i="6"/>
  <c r="P711" i="6"/>
  <c r="P741" i="6"/>
  <c r="P769" i="6"/>
  <c r="O784" i="6"/>
  <c r="O798" i="6"/>
  <c r="H798" i="6"/>
  <c r="H836" i="6"/>
  <c r="H834" i="6"/>
  <c r="J834" i="6"/>
  <c r="J847" i="6"/>
  <c r="J860" i="6"/>
  <c r="P862" i="6"/>
  <c r="J862" i="6"/>
  <c r="H862" i="6"/>
  <c r="P875" i="6"/>
  <c r="O888" i="6"/>
  <c r="J921" i="6"/>
  <c r="P923" i="6"/>
  <c r="J923" i="6"/>
  <c r="H921" i="6"/>
  <c r="H923" i="6"/>
  <c r="P933" i="6"/>
  <c r="H942" i="6"/>
  <c r="O985" i="6"/>
  <c r="H1040" i="6"/>
  <c r="O1042" i="6"/>
  <c r="H1042" i="6"/>
  <c r="J1040" i="6"/>
  <c r="J1042" i="6"/>
  <c r="P1054" i="6"/>
  <c r="J1084" i="6" s="1"/>
  <c r="J1054" i="6"/>
  <c r="O1060" i="6"/>
  <c r="H1060" i="6"/>
  <c r="H1109" i="6"/>
  <c r="P1230" i="6"/>
  <c r="P811" i="6"/>
  <c r="J811" i="6"/>
  <c r="J809" i="6"/>
  <c r="O836" i="6"/>
  <c r="J888" i="6"/>
  <c r="H896" i="6"/>
  <c r="I906" i="6"/>
  <c r="H910" i="6" s="1"/>
  <c r="H908" i="6"/>
  <c r="J955" i="6"/>
  <c r="P957" i="6"/>
  <c r="J957" i="6"/>
  <c r="H955" i="6"/>
  <c r="H957" i="6"/>
  <c r="J969" i="6"/>
  <c r="O971" i="6"/>
  <c r="O999" i="6"/>
  <c r="P1013" i="6"/>
  <c r="K1024" i="6"/>
  <c r="O1028" i="6"/>
  <c r="H1145" i="6"/>
  <c r="O1147" i="6"/>
  <c r="H1147" i="6"/>
  <c r="J1172" i="6"/>
  <c r="P1172" i="6"/>
  <c r="O849" i="6"/>
  <c r="J886" i="6"/>
  <c r="P898" i="6"/>
  <c r="O898" i="6"/>
  <c r="P910" i="6"/>
  <c r="O910" i="6"/>
  <c r="P944" i="6"/>
  <c r="O944" i="6"/>
  <c r="P971" i="6"/>
  <c r="H1066" i="6"/>
  <c r="H1078" i="6"/>
  <c r="J1102" i="6"/>
  <c r="J1109" i="6"/>
  <c r="H1172" i="6"/>
  <c r="H1170" i="6"/>
  <c r="H1200" i="6"/>
  <c r="O1202" i="6"/>
  <c r="H1202" i="6"/>
  <c r="J1200" i="6"/>
  <c r="J1261" i="6"/>
  <c r="J1259" i="6"/>
  <c r="H1261" i="6"/>
  <c r="P1275" i="6"/>
  <c r="O1275" i="6"/>
  <c r="H1287" i="6"/>
  <c r="O1289" i="6"/>
  <c r="H1289" i="6"/>
  <c r="H1308" i="6"/>
  <c r="P1319" i="6"/>
  <c r="P1387" i="6"/>
  <c r="P1412" i="6"/>
  <c r="H811" i="6"/>
  <c r="O862" i="6"/>
  <c r="J875" i="6"/>
  <c r="H875" i="6"/>
  <c r="J933" i="6"/>
  <c r="H933" i="6"/>
  <c r="J999" i="6"/>
  <c r="H999" i="6"/>
  <c r="J1028" i="6"/>
  <c r="H1028" i="6"/>
  <c r="J1051" i="6"/>
  <c r="H1057" i="6"/>
  <c r="J1063" i="6"/>
  <c r="J1069" i="6"/>
  <c r="O1072" i="6"/>
  <c r="H1084" i="6" s="1"/>
  <c r="J1081" i="6"/>
  <c r="J1100" i="6"/>
  <c r="P1111" i="6"/>
  <c r="J1114" i="6" s="1"/>
  <c r="I1157" i="6"/>
  <c r="H1160" i="6" s="1"/>
  <c r="K1158" i="6"/>
  <c r="J1160" i="6" s="1"/>
  <c r="O1162" i="6"/>
  <c r="K1182" i="6"/>
  <c r="J1186" i="6" s="1"/>
  <c r="P1188" i="6"/>
  <c r="O1188" i="6"/>
  <c r="J1230" i="6"/>
  <c r="J1228" i="6"/>
  <c r="H1230" i="6"/>
  <c r="K1241" i="6"/>
  <c r="J1247" i="6" s="1"/>
  <c r="H1245" i="6"/>
  <c r="O1261" i="6"/>
  <c r="H1329" i="6"/>
  <c r="O1331" i="6"/>
  <c r="H1331" i="6"/>
  <c r="P1507" i="6"/>
  <c r="O1639" i="6"/>
  <c r="H1102" i="6"/>
  <c r="O1102" i="6"/>
  <c r="I1127" i="6"/>
  <c r="O1131" i="6" s="1"/>
  <c r="H1292" i="6" s="1"/>
  <c r="K1142" i="6"/>
  <c r="P1147" i="6" s="1"/>
  <c r="J1170" i="6"/>
  <c r="O1172" i="6"/>
  <c r="P1202" i="6"/>
  <c r="I1211" i="6"/>
  <c r="H1214" i="6" s="1"/>
  <c r="K1212" i="6"/>
  <c r="J1216" i="6" s="1"/>
  <c r="J1214" i="6"/>
  <c r="H1259" i="6"/>
  <c r="P1465" i="6"/>
  <c r="J1489" i="6" s="1"/>
  <c r="H1534" i="6"/>
  <c r="O1536" i="6"/>
  <c r="H1536" i="6"/>
  <c r="J29" i="6"/>
  <c r="J1698" i="6"/>
  <c r="J1694" i="6"/>
  <c r="J1202" i="6"/>
  <c r="O1216" i="6"/>
  <c r="P1247" i="6"/>
  <c r="J1319" i="6"/>
  <c r="J1317" i="6"/>
  <c r="H1343" i="6"/>
  <c r="I1383" i="6"/>
  <c r="O1387" i="6" s="1"/>
  <c r="J1396" i="6"/>
  <c r="H1412" i="6"/>
  <c r="H1442" i="6"/>
  <c r="I1436" i="6"/>
  <c r="O1442" i="6" s="1"/>
  <c r="I1459" i="6"/>
  <c r="H1465" i="6" s="1"/>
  <c r="J1486" i="6"/>
  <c r="I1501" i="6"/>
  <c r="J1520" i="6"/>
  <c r="I1518" i="6"/>
  <c r="O1522" i="6" s="1"/>
  <c r="H1545" i="6"/>
  <c r="O1547" i="6"/>
  <c r="I1594" i="6"/>
  <c r="H1599" i="6" s="1"/>
  <c r="K1595" i="6"/>
  <c r="H1597" i="6"/>
  <c r="K1610" i="6"/>
  <c r="O1614" i="6"/>
  <c r="P1661" i="6"/>
  <c r="J1679" i="6" s="1"/>
  <c r="J1661" i="6"/>
  <c r="H1689" i="6"/>
  <c r="Y1688" i="6"/>
  <c r="I21" i="6"/>
  <c r="J1162" i="6"/>
  <c r="H1162" i="6"/>
  <c r="J1188" i="6"/>
  <c r="H1188" i="6"/>
  <c r="J1275" i="6"/>
  <c r="H1275" i="6"/>
  <c r="J1289" i="6"/>
  <c r="J1308" i="6"/>
  <c r="P1310" i="6"/>
  <c r="J1329" i="6"/>
  <c r="K1366" i="6"/>
  <c r="J1369" i="6" s="1"/>
  <c r="J1387" i="6"/>
  <c r="J1385" i="6"/>
  <c r="K1394" i="6"/>
  <c r="I1480" i="6"/>
  <c r="O1486" i="6" s="1"/>
  <c r="H1507" i="6"/>
  <c r="H1505" i="6"/>
  <c r="J1507" i="6"/>
  <c r="J1559" i="6"/>
  <c r="J1567" i="6"/>
  <c r="J1565" i="6"/>
  <c r="J1625" i="6"/>
  <c r="P1627" i="6"/>
  <c r="J1627" i="6"/>
  <c r="J1637" i="6"/>
  <c r="P1639" i="6"/>
  <c r="J1639" i="6"/>
  <c r="H1637" i="6"/>
  <c r="J1647" i="6"/>
  <c r="P1649" i="6"/>
  <c r="J1649" i="6"/>
  <c r="O1667" i="6"/>
  <c r="H1679" i="6" s="1"/>
  <c r="H1667" i="6"/>
  <c r="K1284" i="6"/>
  <c r="J1287" i="6" s="1"/>
  <c r="H1319" i="6"/>
  <c r="J1343" i="6"/>
  <c r="J1341" i="6"/>
  <c r="P1343" i="6"/>
  <c r="H1369" i="6"/>
  <c r="O1371" i="6"/>
  <c r="H1371" i="6"/>
  <c r="H1396" i="6"/>
  <c r="O1398" i="6"/>
  <c r="H1398" i="6"/>
  <c r="J1412" i="6"/>
  <c r="J1410" i="6"/>
  <c r="K1421" i="6"/>
  <c r="J1426" i="6" s="1"/>
  <c r="J1442" i="6"/>
  <c r="J1440" i="6"/>
  <c r="H1486" i="6"/>
  <c r="H1484" i="6"/>
  <c r="O1507" i="6"/>
  <c r="H1520" i="6"/>
  <c r="J1522" i="6"/>
  <c r="K1531" i="6"/>
  <c r="J1534" i="6" s="1"/>
  <c r="J1547" i="6"/>
  <c r="J1545" i="6"/>
  <c r="P1547" i="6"/>
  <c r="K1593" i="6"/>
  <c r="P1599" i="6" s="1"/>
  <c r="K1608" i="6"/>
  <c r="J1614" i="6" s="1"/>
  <c r="H1612" i="6"/>
  <c r="P1673" i="6"/>
  <c r="J1673" i="6"/>
  <c r="O1310" i="6"/>
  <c r="H1317" i="6"/>
  <c r="J1331" i="6"/>
  <c r="H1341" i="6"/>
  <c r="J1371" i="6"/>
  <c r="H1385" i="6"/>
  <c r="J1398" i="6"/>
  <c r="H1410" i="6"/>
  <c r="H1440" i="6"/>
  <c r="J1463" i="6"/>
  <c r="J1484" i="6"/>
  <c r="J1536" i="6"/>
  <c r="P1561" i="6"/>
  <c r="J1576" i="6" s="1"/>
  <c r="O1599" i="6"/>
  <c r="P1614" i="6"/>
  <c r="H1627" i="6"/>
  <c r="H1639" i="6"/>
  <c r="H1649" i="6"/>
  <c r="P1331" i="6"/>
  <c r="P1371" i="6"/>
  <c r="P1398" i="6"/>
  <c r="J1573" i="6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772" i="4"/>
  <c r="A773" i="4"/>
  <c r="A774" i="4"/>
  <c r="A775" i="4"/>
  <c r="A776" i="4"/>
  <c r="A777" i="4"/>
  <c r="A778" i="4"/>
  <c r="A779" i="4"/>
  <c r="A780" i="4"/>
  <c r="A781" i="4"/>
  <c r="A782" i="4"/>
  <c r="A783" i="4"/>
  <c r="A784" i="4"/>
  <c r="A785" i="4"/>
  <c r="A786" i="4"/>
  <c r="A787" i="4"/>
  <c r="A788" i="4"/>
  <c r="A789" i="4"/>
  <c r="A790" i="4"/>
  <c r="A791" i="4"/>
  <c r="A792" i="4"/>
  <c r="A793" i="4"/>
  <c r="A794" i="4"/>
  <c r="A795" i="4"/>
  <c r="A796" i="4"/>
  <c r="A797" i="4"/>
  <c r="A798" i="4"/>
  <c r="A799" i="4"/>
  <c r="A800" i="4"/>
  <c r="A801" i="4"/>
  <c r="A802" i="4"/>
  <c r="A803" i="4"/>
  <c r="A804" i="4"/>
  <c r="A805" i="4"/>
  <c r="A806" i="4"/>
  <c r="A807" i="4"/>
  <c r="A808" i="4"/>
  <c r="A809" i="4"/>
  <c r="A810" i="4"/>
  <c r="A811" i="4"/>
  <c r="A812" i="4"/>
  <c r="A813" i="4"/>
  <c r="A814" i="4"/>
  <c r="A815" i="4"/>
  <c r="A816" i="4"/>
  <c r="A817" i="4"/>
  <c r="A818" i="4"/>
  <c r="A819" i="4"/>
  <c r="A820" i="4"/>
  <c r="A821" i="4"/>
  <c r="A822" i="4"/>
  <c r="A823" i="4"/>
  <c r="A824" i="4"/>
  <c r="A825" i="4"/>
  <c r="A826" i="4"/>
  <c r="A827" i="4"/>
  <c r="A828" i="4"/>
  <c r="A829" i="4"/>
  <c r="A830" i="4"/>
  <c r="A831" i="4"/>
  <c r="A832" i="4"/>
  <c r="A833" i="4"/>
  <c r="A834" i="4"/>
  <c r="A835" i="4"/>
  <c r="A836" i="4"/>
  <c r="A837" i="4"/>
  <c r="A838" i="4"/>
  <c r="A839" i="4"/>
  <c r="A840" i="4"/>
  <c r="A841" i="4"/>
  <c r="A842" i="4"/>
  <c r="A843" i="4"/>
  <c r="A844" i="4"/>
  <c r="A845" i="4"/>
  <c r="A846" i="4"/>
  <c r="A847" i="4"/>
  <c r="A848" i="4"/>
  <c r="A849" i="4"/>
  <c r="A850" i="4"/>
  <c r="A851" i="4"/>
  <c r="A852" i="4"/>
  <c r="A853" i="4"/>
  <c r="A854" i="4"/>
  <c r="A855" i="4"/>
  <c r="A856" i="4"/>
  <c r="A857" i="4"/>
  <c r="A858" i="4"/>
  <c r="A859" i="4"/>
  <c r="A860" i="4"/>
  <c r="A861" i="4"/>
  <c r="A862" i="4"/>
  <c r="A863" i="4"/>
  <c r="A864" i="4"/>
  <c r="A865" i="4"/>
  <c r="A866" i="4"/>
  <c r="A867" i="4"/>
  <c r="A868" i="4"/>
  <c r="A869" i="4"/>
  <c r="A870" i="4"/>
  <c r="A871" i="4"/>
  <c r="A872" i="4"/>
  <c r="A873" i="4"/>
  <c r="A874" i="4"/>
  <c r="A875" i="4"/>
  <c r="A876" i="4"/>
  <c r="A877" i="4"/>
  <c r="A878" i="4"/>
  <c r="A879" i="4"/>
  <c r="A880" i="4"/>
  <c r="A881" i="4"/>
  <c r="A882" i="4"/>
  <c r="A883" i="4"/>
  <c r="A884" i="4"/>
  <c r="A885" i="4"/>
  <c r="A886" i="4"/>
  <c r="A887" i="4"/>
  <c r="A888" i="4"/>
  <c r="A889" i="4"/>
  <c r="A890" i="4"/>
  <c r="A891" i="4"/>
  <c r="A892" i="4"/>
  <c r="A893" i="4"/>
  <c r="A894" i="4"/>
  <c r="A895" i="4"/>
  <c r="A896" i="4"/>
  <c r="A897" i="4"/>
  <c r="A898" i="4"/>
  <c r="A899" i="4"/>
  <c r="A900" i="4"/>
  <c r="A901" i="4"/>
  <c r="A902" i="4"/>
  <c r="A903" i="4"/>
  <c r="A904" i="4"/>
  <c r="A905" i="4"/>
  <c r="A906" i="4"/>
  <c r="A907" i="4"/>
  <c r="A908" i="4"/>
  <c r="A909" i="4"/>
  <c r="A910" i="4"/>
  <c r="A911" i="4"/>
  <c r="A912" i="4"/>
  <c r="A913" i="4"/>
  <c r="A914" i="4"/>
  <c r="A915" i="4"/>
  <c r="A916" i="4"/>
  <c r="A917" i="4"/>
  <c r="A918" i="4"/>
  <c r="A919" i="4"/>
  <c r="A920" i="4"/>
  <c r="A921" i="4"/>
  <c r="A922" i="4"/>
  <c r="A923" i="4"/>
  <c r="A924" i="4"/>
  <c r="A925" i="4"/>
  <c r="A926" i="4"/>
  <c r="A927" i="4"/>
  <c r="A928" i="4"/>
  <c r="A929" i="4"/>
  <c r="A930" i="4"/>
  <c r="A931" i="4"/>
  <c r="A932" i="4"/>
  <c r="A933" i="4"/>
  <c r="A934" i="4"/>
  <c r="A935" i="4"/>
  <c r="A936" i="4"/>
  <c r="A937" i="4"/>
  <c r="A938" i="4"/>
  <c r="A939" i="4"/>
  <c r="A940" i="4"/>
  <c r="A941" i="4"/>
  <c r="A942" i="4"/>
  <c r="A943" i="4"/>
  <c r="A944" i="4"/>
  <c r="A945" i="4"/>
  <c r="A946" i="4"/>
  <c r="A947" i="4"/>
  <c r="A948" i="4"/>
  <c r="A949" i="4"/>
  <c r="A950" i="4"/>
  <c r="A951" i="4"/>
  <c r="A952" i="4"/>
  <c r="A953" i="4"/>
  <c r="A954" i="4"/>
  <c r="A955" i="4"/>
  <c r="A956" i="4"/>
  <c r="A957" i="4"/>
  <c r="A958" i="4"/>
  <c r="A959" i="4"/>
  <c r="A960" i="4"/>
  <c r="A961" i="4"/>
  <c r="A962" i="4"/>
  <c r="A963" i="4"/>
  <c r="A964" i="4"/>
  <c r="A965" i="4"/>
  <c r="A966" i="4"/>
  <c r="A967" i="4"/>
  <c r="A968" i="4"/>
  <c r="A969" i="4"/>
  <c r="A970" i="4"/>
  <c r="A971" i="4"/>
  <c r="A972" i="4"/>
  <c r="A973" i="4"/>
  <c r="A974" i="4"/>
  <c r="A975" i="4"/>
  <c r="A976" i="4"/>
  <c r="A977" i="4"/>
  <c r="A978" i="4"/>
  <c r="A979" i="4"/>
  <c r="A980" i="4"/>
  <c r="A981" i="4"/>
  <c r="A982" i="4"/>
  <c r="A983" i="4"/>
  <c r="A984" i="4"/>
  <c r="A985" i="4"/>
  <c r="A986" i="4"/>
  <c r="A987" i="4"/>
  <c r="A988" i="4"/>
  <c r="A989" i="4"/>
  <c r="A990" i="4"/>
  <c r="A991" i="4"/>
  <c r="A992" i="4"/>
  <c r="A993" i="4"/>
  <c r="A994" i="4"/>
  <c r="A995" i="4"/>
  <c r="A996" i="4"/>
  <c r="A997" i="4"/>
  <c r="A998" i="4"/>
  <c r="A999" i="4"/>
  <c r="A1000" i="4"/>
  <c r="A1001" i="4"/>
  <c r="A1002" i="4"/>
  <c r="A1003" i="4"/>
  <c r="A1004" i="4"/>
  <c r="A1005" i="4"/>
  <c r="A1006" i="4"/>
  <c r="A1007" i="4"/>
  <c r="A1008" i="4"/>
  <c r="A1009" i="4"/>
  <c r="A1010" i="4"/>
  <c r="A1011" i="4"/>
  <c r="A1012" i="4"/>
  <c r="A1013" i="4"/>
  <c r="A1014" i="4"/>
  <c r="A1015" i="4"/>
  <c r="A1016" i="4"/>
  <c r="A1017" i="4"/>
  <c r="A1018" i="4"/>
  <c r="A1019" i="4"/>
  <c r="A1020" i="4"/>
  <c r="A1021" i="4"/>
  <c r="A1022" i="4"/>
  <c r="A1023" i="4"/>
  <c r="A1024" i="4"/>
  <c r="A1025" i="4"/>
  <c r="A1026" i="4"/>
  <c r="A1027" i="4"/>
  <c r="A1028" i="4"/>
  <c r="A1029" i="4"/>
  <c r="A1030" i="4"/>
  <c r="A1031" i="4"/>
  <c r="A1032" i="4"/>
  <c r="A1033" i="4"/>
  <c r="A1034" i="4"/>
  <c r="A1035" i="4"/>
  <c r="A1036" i="4"/>
  <c r="A1037" i="4"/>
  <c r="A1038" i="4"/>
  <c r="A1039" i="4"/>
  <c r="A1040" i="4"/>
  <c r="A1041" i="4"/>
  <c r="A1042" i="4"/>
  <c r="A1043" i="4"/>
  <c r="A1044" i="4"/>
  <c r="A1045" i="4"/>
  <c r="A1046" i="4"/>
  <c r="A1047" i="4"/>
  <c r="A1048" i="4"/>
  <c r="A1049" i="4"/>
  <c r="A1050" i="4"/>
  <c r="A1051" i="4"/>
  <c r="A1052" i="4"/>
  <c r="A1053" i="4"/>
  <c r="A1054" i="4"/>
  <c r="A1055" i="4"/>
  <c r="A1056" i="4"/>
  <c r="A1057" i="4"/>
  <c r="A1058" i="4"/>
  <c r="A1059" i="4"/>
  <c r="A1060" i="4"/>
  <c r="A1061" i="4"/>
  <c r="A1062" i="4"/>
  <c r="A1063" i="4"/>
  <c r="A1064" i="4"/>
  <c r="A1" i="3"/>
  <c r="Y1" i="3"/>
  <c r="CX1" i="3" s="1"/>
  <c r="CY1" i="3"/>
  <c r="CZ1" i="3"/>
  <c r="DA1" i="3"/>
  <c r="DB1" i="3"/>
  <c r="DC1" i="3"/>
  <c r="A2" i="3"/>
  <c r="Y2" i="3"/>
  <c r="CX2" i="3" s="1"/>
  <c r="CY2" i="3"/>
  <c r="CZ2" i="3"/>
  <c r="DB2" i="3" s="1"/>
  <c r="DA2" i="3"/>
  <c r="DC2" i="3"/>
  <c r="A3" i="3"/>
  <c r="Y3" i="3"/>
  <c r="CX3" i="3"/>
  <c r="DI3" i="3" s="1"/>
  <c r="DJ3" i="3" s="1"/>
  <c r="CY3" i="3"/>
  <c r="CZ3" i="3"/>
  <c r="DA3" i="3"/>
  <c r="DB3" i="3"/>
  <c r="DC3" i="3"/>
  <c r="DH3" i="3"/>
  <c r="A4" i="3"/>
  <c r="Y4" i="3"/>
  <c r="CX4" i="3" s="1"/>
  <c r="CY4" i="3"/>
  <c r="CZ4" i="3"/>
  <c r="DA4" i="3"/>
  <c r="DB4" i="3"/>
  <c r="DC4" i="3"/>
  <c r="A5" i="3"/>
  <c r="Y5" i="3"/>
  <c r="CX5" i="3" s="1"/>
  <c r="CY5" i="3"/>
  <c r="CZ5" i="3"/>
  <c r="DB5" i="3" s="1"/>
  <c r="DA5" i="3"/>
  <c r="DC5" i="3"/>
  <c r="A6" i="3"/>
  <c r="Y6" i="3"/>
  <c r="CX6" i="3" s="1"/>
  <c r="CY6" i="3"/>
  <c r="CZ6" i="3"/>
  <c r="DB6" i="3" s="1"/>
  <c r="DA6" i="3"/>
  <c r="DC6" i="3"/>
  <c r="A7" i="3"/>
  <c r="Y7" i="3"/>
  <c r="CX7" i="3"/>
  <c r="DI7" i="3" s="1"/>
  <c r="CY7" i="3"/>
  <c r="CZ7" i="3"/>
  <c r="DA7" i="3"/>
  <c r="DB7" i="3"/>
  <c r="DC7" i="3"/>
  <c r="DH7" i="3"/>
  <c r="A8" i="3"/>
  <c r="Y8" i="3"/>
  <c r="CX8" i="3" s="1"/>
  <c r="CY8" i="3"/>
  <c r="CZ8" i="3"/>
  <c r="DA8" i="3"/>
  <c r="DB8" i="3"/>
  <c r="DC8" i="3"/>
  <c r="A9" i="3"/>
  <c r="Y9" i="3"/>
  <c r="CX9" i="3" s="1"/>
  <c r="CY9" i="3"/>
  <c r="CZ9" i="3"/>
  <c r="DB9" i="3" s="1"/>
  <c r="DA9" i="3"/>
  <c r="DC9" i="3"/>
  <c r="A10" i="3"/>
  <c r="Y10" i="3"/>
  <c r="CX10" i="3" s="1"/>
  <c r="CY10" i="3"/>
  <c r="CZ10" i="3"/>
  <c r="DB10" i="3" s="1"/>
  <c r="DA10" i="3"/>
  <c r="DC10" i="3"/>
  <c r="A11" i="3"/>
  <c r="Y11" i="3"/>
  <c r="CX11" i="3"/>
  <c r="DI11" i="3" s="1"/>
  <c r="DJ11" i="3" s="1"/>
  <c r="CY11" i="3"/>
  <c r="CZ11" i="3"/>
  <c r="DA11" i="3"/>
  <c r="DB11" i="3"/>
  <c r="DC11" i="3"/>
  <c r="DH11" i="3"/>
  <c r="A12" i="3"/>
  <c r="Y12" i="3"/>
  <c r="CX12" i="3" s="1"/>
  <c r="CY12" i="3"/>
  <c r="CZ12" i="3"/>
  <c r="DA12" i="3"/>
  <c r="DB12" i="3"/>
  <c r="DC12" i="3"/>
  <c r="A13" i="3"/>
  <c r="Y13" i="3"/>
  <c r="CX13" i="3" s="1"/>
  <c r="CY13" i="3"/>
  <c r="CZ13" i="3"/>
  <c r="DB13" i="3" s="1"/>
  <c r="DA13" i="3"/>
  <c r="DC13" i="3"/>
  <c r="A14" i="3"/>
  <c r="Y14" i="3"/>
  <c r="CX14" i="3" s="1"/>
  <c r="CY14" i="3"/>
  <c r="CZ14" i="3"/>
  <c r="DB14" i="3" s="1"/>
  <c r="DA14" i="3"/>
  <c r="DC14" i="3"/>
  <c r="A15" i="3"/>
  <c r="Y15" i="3"/>
  <c r="CX15" i="3"/>
  <c r="DI15" i="3" s="1"/>
  <c r="CY15" i="3"/>
  <c r="CZ15" i="3"/>
  <c r="DA15" i="3"/>
  <c r="DB15" i="3"/>
  <c r="DC15" i="3"/>
  <c r="DH15" i="3"/>
  <c r="A16" i="3"/>
  <c r="Y16" i="3"/>
  <c r="CX16" i="3" s="1"/>
  <c r="CY16" i="3"/>
  <c r="CZ16" i="3"/>
  <c r="DA16" i="3"/>
  <c r="DB16" i="3"/>
  <c r="DC16" i="3"/>
  <c r="A17" i="3"/>
  <c r="Y17" i="3"/>
  <c r="CX17" i="3" s="1"/>
  <c r="CY17" i="3"/>
  <c r="CZ17" i="3"/>
  <c r="DB17" i="3" s="1"/>
  <c r="DA17" i="3"/>
  <c r="DC17" i="3"/>
  <c r="A18" i="3"/>
  <c r="Y18" i="3"/>
  <c r="CX18" i="3" s="1"/>
  <c r="CY18" i="3"/>
  <c r="CZ18" i="3"/>
  <c r="DB18" i="3" s="1"/>
  <c r="DA18" i="3"/>
  <c r="DC18" i="3"/>
  <c r="A19" i="3"/>
  <c r="Y19" i="3"/>
  <c r="CX19" i="3"/>
  <c r="DI19" i="3" s="1"/>
  <c r="DJ19" i="3" s="1"/>
  <c r="CY19" i="3"/>
  <c r="CZ19" i="3"/>
  <c r="DA19" i="3"/>
  <c r="DB19" i="3"/>
  <c r="DC19" i="3"/>
  <c r="DH19" i="3"/>
  <c r="A20" i="3"/>
  <c r="Y20" i="3"/>
  <c r="CX20" i="3" s="1"/>
  <c r="CY20" i="3"/>
  <c r="CZ20" i="3"/>
  <c r="DA20" i="3"/>
  <c r="DB20" i="3"/>
  <c r="DC20" i="3"/>
  <c r="A21" i="3"/>
  <c r="Y21" i="3"/>
  <c r="CX21" i="3" s="1"/>
  <c r="CY21" i="3"/>
  <c r="CZ21" i="3"/>
  <c r="DB21" i="3" s="1"/>
  <c r="DA21" i="3"/>
  <c r="DC21" i="3"/>
  <c r="A22" i="3"/>
  <c r="Y22" i="3"/>
  <c r="CX22" i="3" s="1"/>
  <c r="CY22" i="3"/>
  <c r="CZ22" i="3"/>
  <c r="DB22" i="3" s="1"/>
  <c r="DA22" i="3"/>
  <c r="DC22" i="3"/>
  <c r="A23" i="3"/>
  <c r="Y23" i="3"/>
  <c r="CX23" i="3"/>
  <c r="DI23" i="3" s="1"/>
  <c r="CY23" i="3"/>
  <c r="CZ23" i="3"/>
  <c r="DA23" i="3"/>
  <c r="DB23" i="3"/>
  <c r="DC23" i="3"/>
  <c r="DH23" i="3"/>
  <c r="A24" i="3"/>
  <c r="Y24" i="3"/>
  <c r="CX24" i="3" s="1"/>
  <c r="CY24" i="3"/>
  <c r="CZ24" i="3"/>
  <c r="DA24" i="3"/>
  <c r="DB24" i="3"/>
  <c r="DC24" i="3"/>
  <c r="A25" i="3"/>
  <c r="Y25" i="3"/>
  <c r="CX25" i="3" s="1"/>
  <c r="CY25" i="3"/>
  <c r="CZ25" i="3"/>
  <c r="DB25" i="3" s="1"/>
  <c r="DA25" i="3"/>
  <c r="DC25" i="3"/>
  <c r="A26" i="3"/>
  <c r="Y26" i="3"/>
  <c r="CX26" i="3" s="1"/>
  <c r="CY26" i="3"/>
  <c r="CZ26" i="3"/>
  <c r="DB26" i="3" s="1"/>
  <c r="DA26" i="3"/>
  <c r="DC26" i="3"/>
  <c r="A27" i="3"/>
  <c r="Y27" i="3"/>
  <c r="CX27" i="3"/>
  <c r="DI27" i="3" s="1"/>
  <c r="CY27" i="3"/>
  <c r="CZ27" i="3"/>
  <c r="DA27" i="3"/>
  <c r="DB27" i="3"/>
  <c r="DC27" i="3"/>
  <c r="DH27" i="3"/>
  <c r="A28" i="3"/>
  <c r="Y28" i="3"/>
  <c r="CX28" i="3" s="1"/>
  <c r="CY28" i="3"/>
  <c r="CZ28" i="3"/>
  <c r="DA28" i="3"/>
  <c r="DB28" i="3"/>
  <c r="DC28" i="3"/>
  <c r="A29" i="3"/>
  <c r="Y29" i="3"/>
  <c r="CX29" i="3" s="1"/>
  <c r="CY29" i="3"/>
  <c r="CZ29" i="3"/>
  <c r="DB29" i="3" s="1"/>
  <c r="DA29" i="3"/>
  <c r="DC29" i="3"/>
  <c r="A30" i="3"/>
  <c r="Y30" i="3"/>
  <c r="CX30" i="3" s="1"/>
  <c r="CY30" i="3"/>
  <c r="CZ30" i="3"/>
  <c r="DB30" i="3" s="1"/>
  <c r="DA30" i="3"/>
  <c r="DC30" i="3"/>
  <c r="A31" i="3"/>
  <c r="Y31" i="3"/>
  <c r="CX31" i="3"/>
  <c r="DI31" i="3" s="1"/>
  <c r="CY31" i="3"/>
  <c r="CZ31" i="3"/>
  <c r="DA31" i="3"/>
  <c r="DB31" i="3"/>
  <c r="DC31" i="3"/>
  <c r="DH31" i="3"/>
  <c r="A32" i="3"/>
  <c r="Y32" i="3"/>
  <c r="CX32" i="3" s="1"/>
  <c r="CY32" i="3"/>
  <c r="CZ32" i="3"/>
  <c r="DA32" i="3"/>
  <c r="DB32" i="3"/>
  <c r="DC32" i="3"/>
  <c r="A33" i="3"/>
  <c r="Y33" i="3"/>
  <c r="CX33" i="3" s="1"/>
  <c r="CY33" i="3"/>
  <c r="CZ33" i="3"/>
  <c r="DB33" i="3" s="1"/>
  <c r="DA33" i="3"/>
  <c r="DC33" i="3"/>
  <c r="A34" i="3"/>
  <c r="Y34" i="3"/>
  <c r="CX34" i="3" s="1"/>
  <c r="CY34" i="3"/>
  <c r="CZ34" i="3"/>
  <c r="DB34" i="3" s="1"/>
  <c r="DA34" i="3"/>
  <c r="DC34" i="3"/>
  <c r="A35" i="3"/>
  <c r="Y35" i="3"/>
  <c r="CX35" i="3"/>
  <c r="DI35" i="3" s="1"/>
  <c r="CY35" i="3"/>
  <c r="CZ35" i="3"/>
  <c r="DA35" i="3"/>
  <c r="DB35" i="3"/>
  <c r="DC35" i="3"/>
  <c r="DH35" i="3"/>
  <c r="A36" i="3"/>
  <c r="Y36" i="3"/>
  <c r="CX36" i="3" s="1"/>
  <c r="CY36" i="3"/>
  <c r="CZ36" i="3"/>
  <c r="DA36" i="3"/>
  <c r="DB36" i="3"/>
  <c r="DC36" i="3"/>
  <c r="DG36" i="3"/>
  <c r="A37" i="3"/>
  <c r="Y37" i="3"/>
  <c r="CX37" i="3" s="1"/>
  <c r="CY37" i="3"/>
  <c r="CZ37" i="3"/>
  <c r="DB37" i="3" s="1"/>
  <c r="DA37" i="3"/>
  <c r="DC37" i="3"/>
  <c r="DF37" i="3"/>
  <c r="A38" i="3"/>
  <c r="Y38" i="3"/>
  <c r="CX38" i="3" s="1"/>
  <c r="CY38" i="3"/>
  <c r="CZ38" i="3"/>
  <c r="DB38" i="3" s="1"/>
  <c r="DA38" i="3"/>
  <c r="DC38" i="3"/>
  <c r="DI38" i="3"/>
  <c r="A39" i="3"/>
  <c r="Y39" i="3"/>
  <c r="CX39" i="3"/>
  <c r="CY39" i="3"/>
  <c r="CZ39" i="3"/>
  <c r="DA39" i="3"/>
  <c r="DB39" i="3"/>
  <c r="DC39" i="3"/>
  <c r="DH39" i="3"/>
  <c r="A40" i="3"/>
  <c r="Y40" i="3"/>
  <c r="CX40" i="3" s="1"/>
  <c r="CY40" i="3"/>
  <c r="CZ40" i="3"/>
  <c r="DA40" i="3"/>
  <c r="DB40" i="3"/>
  <c r="DC40" i="3"/>
  <c r="DG40" i="3"/>
  <c r="A41" i="3"/>
  <c r="Y41" i="3"/>
  <c r="CX41" i="3" s="1"/>
  <c r="CY41" i="3"/>
  <c r="CZ41" i="3"/>
  <c r="DB41" i="3" s="1"/>
  <c r="DA41" i="3"/>
  <c r="DC41" i="3"/>
  <c r="DF41" i="3"/>
  <c r="A42" i="3"/>
  <c r="Y42" i="3"/>
  <c r="CX42" i="3"/>
  <c r="DG42" i="3" s="1"/>
  <c r="CY42" i="3"/>
  <c r="CZ42" i="3"/>
  <c r="DB42" i="3" s="1"/>
  <c r="DA42" i="3"/>
  <c r="DC42" i="3"/>
  <c r="DF42" i="3"/>
  <c r="DH42" i="3"/>
  <c r="DI42" i="3"/>
  <c r="DJ42" i="3"/>
  <c r="A43" i="3"/>
  <c r="Y43" i="3"/>
  <c r="CX43" i="3"/>
  <c r="CY43" i="3"/>
  <c r="CZ43" i="3"/>
  <c r="DA43" i="3"/>
  <c r="DB43" i="3"/>
  <c r="DC43" i="3"/>
  <c r="DH43" i="3"/>
  <c r="A44" i="3"/>
  <c r="Y44" i="3"/>
  <c r="CX44" i="3" s="1"/>
  <c r="CY44" i="3"/>
  <c r="CZ44" i="3"/>
  <c r="DA44" i="3"/>
  <c r="DB44" i="3"/>
  <c r="DC44" i="3"/>
  <c r="DG44" i="3"/>
  <c r="A45" i="3"/>
  <c r="Y45" i="3"/>
  <c r="CX45" i="3" s="1"/>
  <c r="CY45" i="3"/>
  <c r="CZ45" i="3"/>
  <c r="DB45" i="3" s="1"/>
  <c r="DA45" i="3"/>
  <c r="DC45" i="3"/>
  <c r="DF45" i="3"/>
  <c r="DG45" i="3"/>
  <c r="A46" i="3"/>
  <c r="Y46" i="3"/>
  <c r="CX46" i="3"/>
  <c r="DG46" i="3" s="1"/>
  <c r="CY46" i="3"/>
  <c r="CZ46" i="3"/>
  <c r="DB46" i="3" s="1"/>
  <c r="DA46" i="3"/>
  <c r="DC46" i="3"/>
  <c r="DF46" i="3"/>
  <c r="DH46" i="3"/>
  <c r="DI46" i="3"/>
  <c r="DJ46" i="3"/>
  <c r="A47" i="3"/>
  <c r="Y47" i="3"/>
  <c r="CX47" i="3"/>
  <c r="DH47" i="3" s="1"/>
  <c r="CY47" i="3"/>
  <c r="CZ47" i="3"/>
  <c r="DA47" i="3"/>
  <c r="DB47" i="3"/>
  <c r="DC47" i="3"/>
  <c r="A48" i="3"/>
  <c r="Y48" i="3"/>
  <c r="CX48" i="3" s="1"/>
  <c r="DG48" i="3" s="1"/>
  <c r="CY48" i="3"/>
  <c r="CZ48" i="3"/>
  <c r="DB48" i="3" s="1"/>
  <c r="DA48" i="3"/>
  <c r="DC48" i="3"/>
  <c r="A49" i="3"/>
  <c r="Y49" i="3"/>
  <c r="CY49" i="3"/>
  <c r="CZ49" i="3"/>
  <c r="DB49" i="3" s="1"/>
  <c r="DA49" i="3"/>
  <c r="DC49" i="3"/>
  <c r="A50" i="3"/>
  <c r="Y50" i="3"/>
  <c r="CY50" i="3"/>
  <c r="CZ50" i="3"/>
  <c r="DA50" i="3"/>
  <c r="DB50" i="3"/>
  <c r="DC50" i="3"/>
  <c r="A51" i="3"/>
  <c r="Y51" i="3"/>
  <c r="CY51" i="3"/>
  <c r="CZ51" i="3"/>
  <c r="DB51" i="3" s="1"/>
  <c r="DA51" i="3"/>
  <c r="DC51" i="3"/>
  <c r="A52" i="3"/>
  <c r="Y52" i="3"/>
  <c r="CY52" i="3"/>
  <c r="CZ52" i="3"/>
  <c r="DB52" i="3" s="1"/>
  <c r="DA52" i="3"/>
  <c r="DC52" i="3"/>
  <c r="A53" i="3"/>
  <c r="Y53" i="3"/>
  <c r="CY53" i="3"/>
  <c r="CZ53" i="3"/>
  <c r="DA53" i="3"/>
  <c r="DB53" i="3"/>
  <c r="DC53" i="3"/>
  <c r="A54" i="3"/>
  <c r="Y54" i="3"/>
  <c r="CY54" i="3"/>
  <c r="CZ54" i="3"/>
  <c r="DA54" i="3"/>
  <c r="DB54" i="3"/>
  <c r="DC54" i="3"/>
  <c r="A55" i="3"/>
  <c r="Y55" i="3"/>
  <c r="CY55" i="3"/>
  <c r="CZ55" i="3"/>
  <c r="DB55" i="3" s="1"/>
  <c r="DA55" i="3"/>
  <c r="DC55" i="3"/>
  <c r="A56" i="3"/>
  <c r="Y56" i="3"/>
  <c r="CY56" i="3"/>
  <c r="CZ56" i="3"/>
  <c r="DB56" i="3" s="1"/>
  <c r="DA56" i="3"/>
  <c r="DC56" i="3"/>
  <c r="A57" i="3"/>
  <c r="Y57" i="3"/>
  <c r="CY57" i="3"/>
  <c r="CZ57" i="3"/>
  <c r="DA57" i="3"/>
  <c r="DB57" i="3"/>
  <c r="DC57" i="3"/>
  <c r="A58" i="3"/>
  <c r="Y58" i="3"/>
  <c r="CY58" i="3"/>
  <c r="CZ58" i="3"/>
  <c r="DA58" i="3"/>
  <c r="DB58" i="3"/>
  <c r="DC58" i="3"/>
  <c r="A59" i="3"/>
  <c r="Y59" i="3"/>
  <c r="CY59" i="3"/>
  <c r="CZ59" i="3"/>
  <c r="DB59" i="3" s="1"/>
  <c r="DA59" i="3"/>
  <c r="DC59" i="3"/>
  <c r="A60" i="3"/>
  <c r="Y60" i="3"/>
  <c r="CY60" i="3"/>
  <c r="CZ60" i="3"/>
  <c r="DB60" i="3" s="1"/>
  <c r="DA60" i="3"/>
  <c r="DC60" i="3"/>
  <c r="A61" i="3"/>
  <c r="Y61" i="3"/>
  <c r="CX61" i="3"/>
  <c r="DH61" i="3" s="1"/>
  <c r="CY61" i="3"/>
  <c r="CZ61" i="3"/>
  <c r="DA61" i="3"/>
  <c r="DB61" i="3"/>
  <c r="DC61" i="3"/>
  <c r="A62" i="3"/>
  <c r="Y62" i="3"/>
  <c r="CX62" i="3"/>
  <c r="CY62" i="3"/>
  <c r="CZ62" i="3"/>
  <c r="DA62" i="3"/>
  <c r="DB62" i="3"/>
  <c r="DC62" i="3"/>
  <c r="DG62" i="3"/>
  <c r="DJ62" i="3" s="1"/>
  <c r="A63" i="3"/>
  <c r="Y63" i="3"/>
  <c r="CX63" i="3" s="1"/>
  <c r="DG63" i="3" s="1"/>
  <c r="DJ63" i="3" s="1"/>
  <c r="CY63" i="3"/>
  <c r="CZ63" i="3"/>
  <c r="DB63" i="3" s="1"/>
  <c r="DA63" i="3"/>
  <c r="DC63" i="3"/>
  <c r="DF63" i="3"/>
  <c r="A64" i="3"/>
  <c r="Y64" i="3"/>
  <c r="CX64" i="3" s="1"/>
  <c r="DF64" i="3" s="1"/>
  <c r="CY64" i="3"/>
  <c r="CZ64" i="3"/>
  <c r="DB64" i="3" s="1"/>
  <c r="DA64" i="3"/>
  <c r="DC64" i="3"/>
  <c r="A65" i="3"/>
  <c r="Y65" i="3"/>
  <c r="CX65" i="3"/>
  <c r="CY65" i="3"/>
  <c r="CZ65" i="3"/>
  <c r="DA65" i="3"/>
  <c r="DB65" i="3"/>
  <c r="DC65" i="3"/>
  <c r="DH65" i="3"/>
  <c r="A66" i="3"/>
  <c r="Y66" i="3"/>
  <c r="CX66" i="3"/>
  <c r="DG66" i="3" s="1"/>
  <c r="CY66" i="3"/>
  <c r="CZ66" i="3"/>
  <c r="DA66" i="3"/>
  <c r="DB66" i="3"/>
  <c r="DC66" i="3"/>
  <c r="A67" i="3"/>
  <c r="Y67" i="3"/>
  <c r="CX67" i="3" s="1"/>
  <c r="CY67" i="3"/>
  <c r="CZ67" i="3"/>
  <c r="DB67" i="3" s="1"/>
  <c r="DA67" i="3"/>
  <c r="DC67" i="3"/>
  <c r="DF67" i="3"/>
  <c r="DG67" i="3"/>
  <c r="A68" i="3"/>
  <c r="Y68" i="3"/>
  <c r="CX68" i="3" s="1"/>
  <c r="CY68" i="3"/>
  <c r="CZ68" i="3"/>
  <c r="DB68" i="3" s="1"/>
  <c r="DA68" i="3"/>
  <c r="DC68" i="3"/>
  <c r="DF68" i="3"/>
  <c r="DI68" i="3"/>
  <c r="A69" i="3"/>
  <c r="Y69" i="3"/>
  <c r="CX69" i="3"/>
  <c r="DH69" i="3" s="1"/>
  <c r="CY69" i="3"/>
  <c r="CZ69" i="3"/>
  <c r="DA69" i="3"/>
  <c r="DB69" i="3"/>
  <c r="DC69" i="3"/>
  <c r="A70" i="3"/>
  <c r="Y70" i="3"/>
  <c r="CX70" i="3"/>
  <c r="CY70" i="3"/>
  <c r="CZ70" i="3"/>
  <c r="DA70" i="3"/>
  <c r="DB70" i="3"/>
  <c r="DC70" i="3"/>
  <c r="DG70" i="3"/>
  <c r="DJ70" i="3" s="1"/>
  <c r="A71" i="3"/>
  <c r="Y71" i="3"/>
  <c r="CX71" i="3" s="1"/>
  <c r="DG71" i="3" s="1"/>
  <c r="CY71" i="3"/>
  <c r="CZ71" i="3"/>
  <c r="DB71" i="3" s="1"/>
  <c r="DA71" i="3"/>
  <c r="DC71" i="3"/>
  <c r="DF71" i="3"/>
  <c r="DJ71" i="3" s="1"/>
  <c r="A72" i="3"/>
  <c r="Y72" i="3"/>
  <c r="CX72" i="3"/>
  <c r="DG72" i="3" s="1"/>
  <c r="CY72" i="3"/>
  <c r="CZ72" i="3"/>
  <c r="DB72" i="3" s="1"/>
  <c r="DA72" i="3"/>
  <c r="DC72" i="3"/>
  <c r="DF72" i="3"/>
  <c r="DJ72" i="3" s="1"/>
  <c r="DH72" i="3"/>
  <c r="DI72" i="3"/>
  <c r="A73" i="3"/>
  <c r="Y73" i="3"/>
  <c r="CX73" i="3"/>
  <c r="DH73" i="3" s="1"/>
  <c r="CY73" i="3"/>
  <c r="CZ73" i="3"/>
  <c r="DA73" i="3"/>
  <c r="DB73" i="3"/>
  <c r="DC73" i="3"/>
  <c r="A74" i="3"/>
  <c r="Y74" i="3"/>
  <c r="CX74" i="3"/>
  <c r="CY74" i="3"/>
  <c r="CZ74" i="3"/>
  <c r="DA74" i="3"/>
  <c r="DB74" i="3"/>
  <c r="DC74" i="3"/>
  <c r="DG74" i="3"/>
  <c r="A75" i="3"/>
  <c r="Y75" i="3"/>
  <c r="CX75" i="3" s="1"/>
  <c r="DG75" i="3" s="1"/>
  <c r="CY75" i="3"/>
  <c r="CZ75" i="3"/>
  <c r="DB75" i="3" s="1"/>
  <c r="DA75" i="3"/>
  <c r="DC75" i="3"/>
  <c r="DF75" i="3"/>
  <c r="A76" i="3"/>
  <c r="Y76" i="3"/>
  <c r="CX76" i="3"/>
  <c r="DG76" i="3" s="1"/>
  <c r="CY76" i="3"/>
  <c r="CZ76" i="3"/>
  <c r="DB76" i="3" s="1"/>
  <c r="DA76" i="3"/>
  <c r="DC76" i="3"/>
  <c r="DF76" i="3"/>
  <c r="DH76" i="3"/>
  <c r="DI76" i="3"/>
  <c r="DJ76" i="3" s="1"/>
  <c r="A77" i="3"/>
  <c r="Y77" i="3"/>
  <c r="CX77" i="3"/>
  <c r="DH77" i="3" s="1"/>
  <c r="CY77" i="3"/>
  <c r="CZ77" i="3"/>
  <c r="DA77" i="3"/>
  <c r="DB77" i="3"/>
  <c r="DC77" i="3"/>
  <c r="A78" i="3"/>
  <c r="Y78" i="3"/>
  <c r="CX78" i="3"/>
  <c r="CY78" i="3"/>
  <c r="CZ78" i="3"/>
  <c r="DA78" i="3"/>
  <c r="DB78" i="3"/>
  <c r="DC78" i="3"/>
  <c r="DG78" i="3"/>
  <c r="A79" i="3"/>
  <c r="Y79" i="3"/>
  <c r="CX79" i="3" s="1"/>
  <c r="DG79" i="3" s="1"/>
  <c r="CY79" i="3"/>
  <c r="CZ79" i="3"/>
  <c r="DB79" i="3" s="1"/>
  <c r="DA79" i="3"/>
  <c r="DC79" i="3"/>
  <c r="DF79" i="3"/>
  <c r="A80" i="3"/>
  <c r="Y80" i="3"/>
  <c r="CX80" i="3"/>
  <c r="DG80" i="3" s="1"/>
  <c r="CY80" i="3"/>
  <c r="CZ80" i="3"/>
  <c r="DB80" i="3" s="1"/>
  <c r="DA80" i="3"/>
  <c r="DC80" i="3"/>
  <c r="DF80" i="3"/>
  <c r="DJ80" i="3" s="1"/>
  <c r="DH80" i="3"/>
  <c r="DI80" i="3"/>
  <c r="A81" i="3"/>
  <c r="Y81" i="3"/>
  <c r="CX81" i="3"/>
  <c r="DH81" i="3" s="1"/>
  <c r="CY81" i="3"/>
  <c r="CZ81" i="3"/>
  <c r="DA81" i="3"/>
  <c r="DB81" i="3"/>
  <c r="DC81" i="3"/>
  <c r="A82" i="3"/>
  <c r="Y82" i="3"/>
  <c r="CX82" i="3"/>
  <c r="CY82" i="3"/>
  <c r="CZ82" i="3"/>
  <c r="DA82" i="3"/>
  <c r="DB82" i="3"/>
  <c r="DC82" i="3"/>
  <c r="DG82" i="3"/>
  <c r="DJ82" i="3" s="1"/>
  <c r="A83" i="3"/>
  <c r="Y83" i="3"/>
  <c r="CX83" i="3" s="1"/>
  <c r="DG83" i="3" s="1"/>
  <c r="CY83" i="3"/>
  <c r="CZ83" i="3"/>
  <c r="DB83" i="3" s="1"/>
  <c r="DA83" i="3"/>
  <c r="DC83" i="3"/>
  <c r="DF83" i="3"/>
  <c r="DJ83" i="3" s="1"/>
  <c r="A84" i="3"/>
  <c r="Y84" i="3"/>
  <c r="CX84" i="3"/>
  <c r="DG84" i="3" s="1"/>
  <c r="CY84" i="3"/>
  <c r="CZ84" i="3"/>
  <c r="DB84" i="3" s="1"/>
  <c r="DA84" i="3"/>
  <c r="DC84" i="3"/>
  <c r="DF84" i="3"/>
  <c r="DH84" i="3"/>
  <c r="DI84" i="3"/>
  <c r="DJ84" i="3" s="1"/>
  <c r="A85" i="3"/>
  <c r="Y85" i="3"/>
  <c r="CX85" i="3"/>
  <c r="DH85" i="3" s="1"/>
  <c r="CY85" i="3"/>
  <c r="CZ85" i="3"/>
  <c r="DA85" i="3"/>
  <c r="DB85" i="3"/>
  <c r="DC85" i="3"/>
  <c r="A86" i="3"/>
  <c r="Y86" i="3"/>
  <c r="CX86" i="3"/>
  <c r="CY86" i="3"/>
  <c r="CZ86" i="3"/>
  <c r="DA86" i="3"/>
  <c r="DB86" i="3"/>
  <c r="DC86" i="3"/>
  <c r="DG86" i="3"/>
  <c r="A87" i="3"/>
  <c r="Y87" i="3"/>
  <c r="CX87" i="3" s="1"/>
  <c r="DG87" i="3" s="1"/>
  <c r="CY87" i="3"/>
  <c r="CZ87" i="3"/>
  <c r="DB87" i="3" s="1"/>
  <c r="DA87" i="3"/>
  <c r="DC87" i="3"/>
  <c r="DF87" i="3"/>
  <c r="A88" i="3"/>
  <c r="Y88" i="3"/>
  <c r="CX88" i="3"/>
  <c r="DG88" i="3" s="1"/>
  <c r="CY88" i="3"/>
  <c r="CZ88" i="3"/>
  <c r="DB88" i="3" s="1"/>
  <c r="DA88" i="3"/>
  <c r="DC88" i="3"/>
  <c r="DF88" i="3"/>
  <c r="DH88" i="3"/>
  <c r="DI88" i="3"/>
  <c r="DJ88" i="3"/>
  <c r="A89" i="3"/>
  <c r="Y89" i="3"/>
  <c r="CX89" i="3"/>
  <c r="CY89" i="3"/>
  <c r="CZ89" i="3"/>
  <c r="DA89" i="3"/>
  <c r="DB89" i="3"/>
  <c r="DC89" i="3"/>
  <c r="A90" i="3"/>
  <c r="Y90" i="3"/>
  <c r="CX90" i="3"/>
  <c r="CY90" i="3"/>
  <c r="CZ90" i="3"/>
  <c r="DA90" i="3"/>
  <c r="DB90" i="3"/>
  <c r="DC90" i="3"/>
  <c r="DG90" i="3"/>
  <c r="A91" i="3"/>
  <c r="Y91" i="3"/>
  <c r="CX91" i="3" s="1"/>
  <c r="DG91" i="3" s="1"/>
  <c r="DJ91" i="3" s="1"/>
  <c r="CY91" i="3"/>
  <c r="CZ91" i="3"/>
  <c r="DB91" i="3" s="1"/>
  <c r="DA91" i="3"/>
  <c r="DC91" i="3"/>
  <c r="DF91" i="3"/>
  <c r="A92" i="3"/>
  <c r="Y92" i="3"/>
  <c r="CX92" i="3"/>
  <c r="DG92" i="3" s="1"/>
  <c r="CY92" i="3"/>
  <c r="CZ92" i="3"/>
  <c r="DB92" i="3" s="1"/>
  <c r="DA92" i="3"/>
  <c r="DC92" i="3"/>
  <c r="DF92" i="3"/>
  <c r="DJ92" i="3" s="1"/>
  <c r="DH92" i="3"/>
  <c r="DI92" i="3"/>
  <c r="A93" i="3"/>
  <c r="Y93" i="3"/>
  <c r="CX93" i="3"/>
  <c r="CY93" i="3"/>
  <c r="CZ93" i="3"/>
  <c r="DA93" i="3"/>
  <c r="DB93" i="3"/>
  <c r="DC93" i="3"/>
  <c r="A94" i="3"/>
  <c r="Y94" i="3"/>
  <c r="CX94" i="3"/>
  <c r="CY94" i="3"/>
  <c r="CZ94" i="3"/>
  <c r="DA94" i="3"/>
  <c r="DB94" i="3"/>
  <c r="DC94" i="3"/>
  <c r="DG94" i="3"/>
  <c r="DJ94" i="3" s="1"/>
  <c r="A95" i="3"/>
  <c r="Y95" i="3"/>
  <c r="CX95" i="3" s="1"/>
  <c r="DG95" i="3" s="1"/>
  <c r="CY95" i="3"/>
  <c r="CZ95" i="3"/>
  <c r="DB95" i="3" s="1"/>
  <c r="DA95" i="3"/>
  <c r="DC95" i="3"/>
  <c r="DF95" i="3"/>
  <c r="DJ95" i="3" s="1"/>
  <c r="A96" i="3"/>
  <c r="Y96" i="3"/>
  <c r="CX96" i="3" s="1"/>
  <c r="CY96" i="3"/>
  <c r="CZ96" i="3"/>
  <c r="DB96" i="3" s="1"/>
  <c r="DA96" i="3"/>
  <c r="DC96" i="3"/>
  <c r="A97" i="3"/>
  <c r="Y97" i="3"/>
  <c r="CX97" i="3"/>
  <c r="CY97" i="3"/>
  <c r="CZ97" i="3"/>
  <c r="DA97" i="3"/>
  <c r="DB97" i="3"/>
  <c r="DC97" i="3"/>
  <c r="DH97" i="3"/>
  <c r="A98" i="3"/>
  <c r="Y98" i="3"/>
  <c r="CX98" i="3"/>
  <c r="CY98" i="3"/>
  <c r="CZ98" i="3"/>
  <c r="DA98" i="3"/>
  <c r="DB98" i="3"/>
  <c r="DC98" i="3"/>
  <c r="A99" i="3"/>
  <c r="Y99" i="3"/>
  <c r="CX99" i="3" s="1"/>
  <c r="CY99" i="3"/>
  <c r="CZ99" i="3"/>
  <c r="DB99" i="3" s="1"/>
  <c r="DA99" i="3"/>
  <c r="DC99" i="3"/>
  <c r="DF99" i="3"/>
  <c r="DG99" i="3"/>
  <c r="DJ99" i="3"/>
  <c r="A100" i="3"/>
  <c r="Y100" i="3"/>
  <c r="CX100" i="3" s="1"/>
  <c r="DG100" i="3" s="1"/>
  <c r="CY100" i="3"/>
  <c r="CZ100" i="3"/>
  <c r="DB100" i="3" s="1"/>
  <c r="DA100" i="3"/>
  <c r="DC100" i="3"/>
  <c r="DF100" i="3"/>
  <c r="DJ100" i="3" s="1"/>
  <c r="DH100" i="3"/>
  <c r="DI100" i="3"/>
  <c r="A101" i="3"/>
  <c r="Y101" i="3"/>
  <c r="CX101" i="3"/>
  <c r="DF101" i="3" s="1"/>
  <c r="CY101" i="3"/>
  <c r="CZ101" i="3"/>
  <c r="DA101" i="3"/>
  <c r="DB101" i="3"/>
  <c r="DC101" i="3"/>
  <c r="DH101" i="3"/>
  <c r="DI101" i="3"/>
  <c r="DJ101" i="3" s="1"/>
  <c r="A102" i="3"/>
  <c r="Y102" i="3"/>
  <c r="CX102" i="3"/>
  <c r="DH102" i="3" s="1"/>
  <c r="CY102" i="3"/>
  <c r="CZ102" i="3"/>
  <c r="DA102" i="3"/>
  <c r="DB102" i="3"/>
  <c r="DC102" i="3"/>
  <c r="A103" i="3"/>
  <c r="Y103" i="3"/>
  <c r="CX103" i="3" s="1"/>
  <c r="CY103" i="3"/>
  <c r="CZ103" i="3"/>
  <c r="DB103" i="3" s="1"/>
  <c r="DA103" i="3"/>
  <c r="DC103" i="3"/>
  <c r="DG103" i="3"/>
  <c r="DJ103" i="3" s="1"/>
  <c r="A104" i="3"/>
  <c r="Y104" i="3"/>
  <c r="CX104" i="3"/>
  <c r="DG104" i="3" s="1"/>
  <c r="CY104" i="3"/>
  <c r="CZ104" i="3"/>
  <c r="DB104" i="3" s="1"/>
  <c r="DA104" i="3"/>
  <c r="DC104" i="3"/>
  <c r="DF104" i="3"/>
  <c r="DJ104" i="3" s="1"/>
  <c r="DH104" i="3"/>
  <c r="DI104" i="3"/>
  <c r="A105" i="3"/>
  <c r="Y105" i="3"/>
  <c r="CX105" i="3"/>
  <c r="DF105" i="3" s="1"/>
  <c r="CY105" i="3"/>
  <c r="CZ105" i="3"/>
  <c r="DA105" i="3"/>
  <c r="DB105" i="3"/>
  <c r="DC105" i="3"/>
  <c r="DH105" i="3"/>
  <c r="DI105" i="3"/>
  <c r="DJ105" i="3" s="1"/>
  <c r="A106" i="3"/>
  <c r="Y106" i="3"/>
  <c r="CX106" i="3"/>
  <c r="DH106" i="3" s="1"/>
  <c r="CY106" i="3"/>
  <c r="CZ106" i="3"/>
  <c r="DA106" i="3"/>
  <c r="DB106" i="3"/>
  <c r="DC106" i="3"/>
  <c r="A107" i="3"/>
  <c r="Y107" i="3"/>
  <c r="CX107" i="3" s="1"/>
  <c r="DG107" i="3" s="1"/>
  <c r="DJ107" i="3" s="1"/>
  <c r="CY107" i="3"/>
  <c r="CZ107" i="3"/>
  <c r="DB107" i="3" s="1"/>
  <c r="DA107" i="3"/>
  <c r="DC107" i="3"/>
  <c r="A108" i="3"/>
  <c r="Y108" i="3"/>
  <c r="CX108" i="3"/>
  <c r="DG108" i="3" s="1"/>
  <c r="CY108" i="3"/>
  <c r="CZ108" i="3"/>
  <c r="DB108" i="3" s="1"/>
  <c r="DA108" i="3"/>
  <c r="DC108" i="3"/>
  <c r="DF108" i="3"/>
  <c r="DH108" i="3"/>
  <c r="DI108" i="3"/>
  <c r="DJ108" i="3"/>
  <c r="A109" i="3"/>
  <c r="Y109" i="3"/>
  <c r="CX109" i="3"/>
  <c r="DF109" i="3" s="1"/>
  <c r="CY109" i="3"/>
  <c r="CZ109" i="3"/>
  <c r="DA109" i="3"/>
  <c r="DB109" i="3"/>
  <c r="DC109" i="3"/>
  <c r="DH109" i="3"/>
  <c r="DI109" i="3"/>
  <c r="DJ109" i="3" s="1"/>
  <c r="A110" i="3"/>
  <c r="Y110" i="3"/>
  <c r="CX110" i="3"/>
  <c r="CY110" i="3"/>
  <c r="CZ110" i="3"/>
  <c r="DA110" i="3"/>
  <c r="DB110" i="3"/>
  <c r="DC110" i="3"/>
  <c r="DH110" i="3"/>
  <c r="A111" i="3"/>
  <c r="Y111" i="3"/>
  <c r="CX111" i="3" s="1"/>
  <c r="CY111" i="3"/>
  <c r="CZ111" i="3"/>
  <c r="DB111" i="3" s="1"/>
  <c r="DA111" i="3"/>
  <c r="DC111" i="3"/>
  <c r="DG111" i="3"/>
  <c r="DJ111" i="3" s="1"/>
  <c r="A112" i="3"/>
  <c r="Y112" i="3"/>
  <c r="CX112" i="3"/>
  <c r="DG112" i="3" s="1"/>
  <c r="CY112" i="3"/>
  <c r="CZ112" i="3"/>
  <c r="DB112" i="3" s="1"/>
  <c r="DA112" i="3"/>
  <c r="DC112" i="3"/>
  <c r="DF112" i="3"/>
  <c r="DJ112" i="3" s="1"/>
  <c r="DH112" i="3"/>
  <c r="DI112" i="3"/>
  <c r="A113" i="3"/>
  <c r="Y113" i="3"/>
  <c r="CX113" i="3"/>
  <c r="DH113" i="3" s="1"/>
  <c r="CY113" i="3"/>
  <c r="CZ113" i="3"/>
  <c r="DA113" i="3"/>
  <c r="DB113" i="3"/>
  <c r="DC113" i="3"/>
  <c r="A114" i="3"/>
  <c r="Y114" i="3"/>
  <c r="CX114" i="3"/>
  <c r="CY114" i="3"/>
  <c r="CZ114" i="3"/>
  <c r="DA114" i="3"/>
  <c r="DB114" i="3"/>
  <c r="DC114" i="3"/>
  <c r="DG114" i="3"/>
  <c r="DJ114" i="3" s="1"/>
  <c r="A115" i="3"/>
  <c r="Y115" i="3"/>
  <c r="CX115" i="3" s="1"/>
  <c r="DG115" i="3" s="1"/>
  <c r="DJ115" i="3" s="1"/>
  <c r="CY115" i="3"/>
  <c r="CZ115" i="3"/>
  <c r="DB115" i="3" s="1"/>
  <c r="DA115" i="3"/>
  <c r="DC115" i="3"/>
  <c r="DF115" i="3"/>
  <c r="A116" i="3"/>
  <c r="Y116" i="3"/>
  <c r="CX116" i="3"/>
  <c r="DG116" i="3" s="1"/>
  <c r="CY116" i="3"/>
  <c r="CZ116" i="3"/>
  <c r="DB116" i="3" s="1"/>
  <c r="DA116" i="3"/>
  <c r="DC116" i="3"/>
  <c r="DF116" i="3"/>
  <c r="DJ116" i="3" s="1"/>
  <c r="DH116" i="3"/>
  <c r="DI116" i="3"/>
  <c r="A117" i="3"/>
  <c r="Y117" i="3"/>
  <c r="CX117" i="3"/>
  <c r="DH117" i="3" s="1"/>
  <c r="CY117" i="3"/>
  <c r="CZ117" i="3"/>
  <c r="DA117" i="3"/>
  <c r="DB117" i="3"/>
  <c r="DC117" i="3"/>
  <c r="A118" i="3"/>
  <c r="Y118" i="3"/>
  <c r="CX118" i="3"/>
  <c r="CY118" i="3"/>
  <c r="CZ118" i="3"/>
  <c r="DA118" i="3"/>
  <c r="DB118" i="3"/>
  <c r="DC118" i="3"/>
  <c r="DG118" i="3"/>
  <c r="A119" i="3"/>
  <c r="Y119" i="3"/>
  <c r="CX119" i="3" s="1"/>
  <c r="DG119" i="3" s="1"/>
  <c r="CY119" i="3"/>
  <c r="CZ119" i="3"/>
  <c r="DB119" i="3" s="1"/>
  <c r="DA119" i="3"/>
  <c r="DC119" i="3"/>
  <c r="DF119" i="3"/>
  <c r="A120" i="3"/>
  <c r="Y120" i="3"/>
  <c r="CX120" i="3"/>
  <c r="DG120" i="3" s="1"/>
  <c r="CY120" i="3"/>
  <c r="CZ120" i="3"/>
  <c r="DB120" i="3" s="1"/>
  <c r="DA120" i="3"/>
  <c r="DC120" i="3"/>
  <c r="DF120" i="3"/>
  <c r="DJ120" i="3" s="1"/>
  <c r="DH120" i="3"/>
  <c r="DI120" i="3"/>
  <c r="A121" i="3"/>
  <c r="Y121" i="3"/>
  <c r="CX121" i="3"/>
  <c r="DH121" i="3" s="1"/>
  <c r="CY121" i="3"/>
  <c r="CZ121" i="3"/>
  <c r="DA121" i="3"/>
  <c r="DB121" i="3"/>
  <c r="DC121" i="3"/>
  <c r="A122" i="3"/>
  <c r="Y122" i="3"/>
  <c r="CX122" i="3"/>
  <c r="CY122" i="3"/>
  <c r="CZ122" i="3"/>
  <c r="DA122" i="3"/>
  <c r="DB122" i="3"/>
  <c r="DC122" i="3"/>
  <c r="DG122" i="3"/>
  <c r="A123" i="3"/>
  <c r="Y123" i="3"/>
  <c r="CX123" i="3" s="1"/>
  <c r="DG123" i="3" s="1"/>
  <c r="CY123" i="3"/>
  <c r="CZ123" i="3"/>
  <c r="DB123" i="3" s="1"/>
  <c r="DA123" i="3"/>
  <c r="DC123" i="3"/>
  <c r="DF123" i="3"/>
  <c r="A124" i="3"/>
  <c r="Y124" i="3"/>
  <c r="CX124" i="3"/>
  <c r="DG124" i="3" s="1"/>
  <c r="CY124" i="3"/>
  <c r="CZ124" i="3"/>
  <c r="DB124" i="3" s="1"/>
  <c r="DA124" i="3"/>
  <c r="DC124" i="3"/>
  <c r="DF124" i="3"/>
  <c r="DJ124" i="3" s="1"/>
  <c r="DH124" i="3"/>
  <c r="DI124" i="3"/>
  <c r="A125" i="3"/>
  <c r="Y125" i="3"/>
  <c r="CX125" i="3"/>
  <c r="DH125" i="3" s="1"/>
  <c r="CY125" i="3"/>
  <c r="CZ125" i="3"/>
  <c r="DA125" i="3"/>
  <c r="DB125" i="3"/>
  <c r="DC125" i="3"/>
  <c r="A126" i="3"/>
  <c r="Y126" i="3"/>
  <c r="CX126" i="3"/>
  <c r="CY126" i="3"/>
  <c r="CZ126" i="3"/>
  <c r="DA126" i="3"/>
  <c r="DB126" i="3"/>
  <c r="DC126" i="3"/>
  <c r="DG126" i="3"/>
  <c r="DJ126" i="3" s="1"/>
  <c r="A127" i="3"/>
  <c r="Y127" i="3"/>
  <c r="CX127" i="3" s="1"/>
  <c r="DG127" i="3" s="1"/>
  <c r="CY127" i="3"/>
  <c r="CZ127" i="3"/>
  <c r="DB127" i="3" s="1"/>
  <c r="DA127" i="3"/>
  <c r="DC127" i="3"/>
  <c r="DF127" i="3"/>
  <c r="A128" i="3"/>
  <c r="Y128" i="3"/>
  <c r="CX128" i="3"/>
  <c r="DG128" i="3" s="1"/>
  <c r="CY128" i="3"/>
  <c r="CZ128" i="3"/>
  <c r="DB128" i="3" s="1"/>
  <c r="DA128" i="3"/>
  <c r="DC128" i="3"/>
  <c r="DF128" i="3"/>
  <c r="DH128" i="3"/>
  <c r="DI128" i="3"/>
  <c r="DJ128" i="3"/>
  <c r="A129" i="3"/>
  <c r="Y129" i="3"/>
  <c r="CX129" i="3"/>
  <c r="DH129" i="3" s="1"/>
  <c r="CY129" i="3"/>
  <c r="CZ129" i="3"/>
  <c r="DA129" i="3"/>
  <c r="DB129" i="3"/>
  <c r="DC129" i="3"/>
  <c r="A130" i="3"/>
  <c r="Y130" i="3"/>
  <c r="CX130" i="3"/>
  <c r="CY130" i="3"/>
  <c r="CZ130" i="3"/>
  <c r="DA130" i="3"/>
  <c r="DB130" i="3"/>
  <c r="DC130" i="3"/>
  <c r="DG130" i="3"/>
  <c r="DJ130" i="3" s="1"/>
  <c r="A131" i="3"/>
  <c r="Y131" i="3"/>
  <c r="CX131" i="3" s="1"/>
  <c r="DG131" i="3" s="1"/>
  <c r="DJ131" i="3" s="1"/>
  <c r="CY131" i="3"/>
  <c r="CZ131" i="3"/>
  <c r="DB131" i="3" s="1"/>
  <c r="DA131" i="3"/>
  <c r="DC131" i="3"/>
  <c r="DF131" i="3"/>
  <c r="A132" i="3"/>
  <c r="Y132" i="3"/>
  <c r="CX132" i="3"/>
  <c r="DG132" i="3" s="1"/>
  <c r="CY132" i="3"/>
  <c r="CZ132" i="3"/>
  <c r="DB132" i="3" s="1"/>
  <c r="DA132" i="3"/>
  <c r="DC132" i="3"/>
  <c r="DF132" i="3"/>
  <c r="DJ132" i="3" s="1"/>
  <c r="DH132" i="3"/>
  <c r="DI132" i="3"/>
  <c r="A133" i="3"/>
  <c r="Y133" i="3"/>
  <c r="CX133" i="3"/>
  <c r="DH133" i="3" s="1"/>
  <c r="CY133" i="3"/>
  <c r="CZ133" i="3"/>
  <c r="DA133" i="3"/>
  <c r="DB133" i="3"/>
  <c r="DC133" i="3"/>
  <c r="A134" i="3"/>
  <c r="Y134" i="3"/>
  <c r="CX134" i="3"/>
  <c r="CY134" i="3"/>
  <c r="CZ134" i="3"/>
  <c r="DA134" i="3"/>
  <c r="DB134" i="3"/>
  <c r="DC134" i="3"/>
  <c r="DG134" i="3"/>
  <c r="A135" i="3"/>
  <c r="Y135" i="3"/>
  <c r="CX135" i="3" s="1"/>
  <c r="DG135" i="3" s="1"/>
  <c r="CY135" i="3"/>
  <c r="CZ135" i="3"/>
  <c r="DB135" i="3" s="1"/>
  <c r="DA135" i="3"/>
  <c r="DC135" i="3"/>
  <c r="DF135" i="3"/>
  <c r="DJ135" i="3" s="1"/>
  <c r="A136" i="3"/>
  <c r="Y136" i="3"/>
  <c r="CX136" i="3"/>
  <c r="DG136" i="3" s="1"/>
  <c r="CY136" i="3"/>
  <c r="CZ136" i="3"/>
  <c r="DB136" i="3" s="1"/>
  <c r="DA136" i="3"/>
  <c r="DC136" i="3"/>
  <c r="DF136" i="3"/>
  <c r="DJ136" i="3" s="1"/>
  <c r="DH136" i="3"/>
  <c r="DI136" i="3"/>
  <c r="A137" i="3"/>
  <c r="Y137" i="3"/>
  <c r="CX137" i="3"/>
  <c r="DH137" i="3" s="1"/>
  <c r="CY137" i="3"/>
  <c r="CZ137" i="3"/>
  <c r="DA137" i="3"/>
  <c r="DB137" i="3"/>
  <c r="DC137" i="3"/>
  <c r="A138" i="3"/>
  <c r="Y138" i="3"/>
  <c r="CX138" i="3"/>
  <c r="CY138" i="3"/>
  <c r="CZ138" i="3"/>
  <c r="DA138" i="3"/>
  <c r="DB138" i="3"/>
  <c r="DC138" i="3"/>
  <c r="DG138" i="3"/>
  <c r="DJ138" i="3" s="1"/>
  <c r="A139" i="3"/>
  <c r="Y139" i="3"/>
  <c r="CX139" i="3" s="1"/>
  <c r="DG139" i="3" s="1"/>
  <c r="DJ139" i="3" s="1"/>
  <c r="CY139" i="3"/>
  <c r="CZ139" i="3"/>
  <c r="DB139" i="3" s="1"/>
  <c r="DA139" i="3"/>
  <c r="DC139" i="3"/>
  <c r="DF139" i="3"/>
  <c r="A140" i="3"/>
  <c r="Y140" i="3"/>
  <c r="CX140" i="3"/>
  <c r="DG140" i="3" s="1"/>
  <c r="CY140" i="3"/>
  <c r="CZ140" i="3"/>
  <c r="DB140" i="3" s="1"/>
  <c r="DA140" i="3"/>
  <c r="DC140" i="3"/>
  <c r="DF140" i="3"/>
  <c r="DJ140" i="3" s="1"/>
  <c r="DH140" i="3"/>
  <c r="DI140" i="3"/>
  <c r="A141" i="3"/>
  <c r="Y141" i="3"/>
  <c r="CX141" i="3"/>
  <c r="DH141" i="3" s="1"/>
  <c r="CY141" i="3"/>
  <c r="CZ141" i="3"/>
  <c r="DA141" i="3"/>
  <c r="DB141" i="3"/>
  <c r="DC141" i="3"/>
  <c r="A142" i="3"/>
  <c r="Y142" i="3"/>
  <c r="CX142" i="3"/>
  <c r="CY142" i="3"/>
  <c r="CZ142" i="3"/>
  <c r="DA142" i="3"/>
  <c r="DB142" i="3"/>
  <c r="DC142" i="3"/>
  <c r="DG142" i="3"/>
  <c r="A143" i="3"/>
  <c r="Y143" i="3"/>
  <c r="CX143" i="3" s="1"/>
  <c r="DG143" i="3" s="1"/>
  <c r="CY143" i="3"/>
  <c r="CZ143" i="3"/>
  <c r="DB143" i="3" s="1"/>
  <c r="DA143" i="3"/>
  <c r="DC143" i="3"/>
  <c r="DF143" i="3"/>
  <c r="DJ143" i="3" s="1"/>
  <c r="A144" i="3"/>
  <c r="Y144" i="3"/>
  <c r="CX144" i="3"/>
  <c r="DG144" i="3" s="1"/>
  <c r="CY144" i="3"/>
  <c r="CZ144" i="3"/>
  <c r="DB144" i="3" s="1"/>
  <c r="DA144" i="3"/>
  <c r="DC144" i="3"/>
  <c r="DF144" i="3"/>
  <c r="DJ144" i="3" s="1"/>
  <c r="DH144" i="3"/>
  <c r="DI144" i="3"/>
  <c r="A145" i="3"/>
  <c r="Y145" i="3"/>
  <c r="CX145" i="3"/>
  <c r="DH145" i="3" s="1"/>
  <c r="CY145" i="3"/>
  <c r="CZ145" i="3"/>
  <c r="DA145" i="3"/>
  <c r="DB145" i="3"/>
  <c r="DC145" i="3"/>
  <c r="A146" i="3"/>
  <c r="Y146" i="3"/>
  <c r="CX146" i="3"/>
  <c r="CY146" i="3"/>
  <c r="CZ146" i="3"/>
  <c r="DA146" i="3"/>
  <c r="DB146" i="3"/>
  <c r="DC146" i="3"/>
  <c r="DG146" i="3"/>
  <c r="DJ146" i="3" s="1"/>
  <c r="A147" i="3"/>
  <c r="Y147" i="3"/>
  <c r="CX147" i="3" s="1"/>
  <c r="DG147" i="3" s="1"/>
  <c r="DJ147" i="3" s="1"/>
  <c r="CY147" i="3"/>
  <c r="CZ147" i="3"/>
  <c r="DB147" i="3" s="1"/>
  <c r="DA147" i="3"/>
  <c r="DC147" i="3"/>
  <c r="DF147" i="3"/>
  <c r="A148" i="3"/>
  <c r="Y148" i="3"/>
  <c r="CX148" i="3"/>
  <c r="DG148" i="3" s="1"/>
  <c r="CY148" i="3"/>
  <c r="CZ148" i="3"/>
  <c r="DB148" i="3" s="1"/>
  <c r="DA148" i="3"/>
  <c r="DC148" i="3"/>
  <c r="DF148" i="3"/>
  <c r="DH148" i="3"/>
  <c r="DI148" i="3"/>
  <c r="DJ148" i="3"/>
  <c r="A149" i="3"/>
  <c r="Y149" i="3"/>
  <c r="CX149" i="3"/>
  <c r="DH149" i="3" s="1"/>
  <c r="CY149" i="3"/>
  <c r="CZ149" i="3"/>
  <c r="DA149" i="3"/>
  <c r="DB149" i="3"/>
  <c r="DC149" i="3"/>
  <c r="A150" i="3"/>
  <c r="Y150" i="3"/>
  <c r="CX150" i="3"/>
  <c r="CY150" i="3"/>
  <c r="CZ150" i="3"/>
  <c r="DA150" i="3"/>
  <c r="DB150" i="3"/>
  <c r="DC150" i="3"/>
  <c r="DG150" i="3"/>
  <c r="DJ150" i="3" s="1"/>
  <c r="A151" i="3"/>
  <c r="Y151" i="3"/>
  <c r="CX151" i="3" s="1"/>
  <c r="DG151" i="3" s="1"/>
  <c r="CY151" i="3"/>
  <c r="CZ151" i="3"/>
  <c r="DB151" i="3" s="1"/>
  <c r="DA151" i="3"/>
  <c r="DC151" i="3"/>
  <c r="DF151" i="3"/>
  <c r="DJ151" i="3" s="1"/>
  <c r="A152" i="3"/>
  <c r="Y152" i="3"/>
  <c r="CX152" i="3"/>
  <c r="DG152" i="3" s="1"/>
  <c r="CY152" i="3"/>
  <c r="CZ152" i="3"/>
  <c r="DB152" i="3" s="1"/>
  <c r="DA152" i="3"/>
  <c r="DC152" i="3"/>
  <c r="DF152" i="3"/>
  <c r="DJ152" i="3" s="1"/>
  <c r="DH152" i="3"/>
  <c r="DI152" i="3"/>
  <c r="A153" i="3"/>
  <c r="Y153" i="3"/>
  <c r="CX153" i="3"/>
  <c r="DH153" i="3" s="1"/>
  <c r="CY153" i="3"/>
  <c r="CZ153" i="3"/>
  <c r="DA153" i="3"/>
  <c r="DB153" i="3"/>
  <c r="DC153" i="3"/>
  <c r="A154" i="3"/>
  <c r="Y154" i="3"/>
  <c r="CX154" i="3"/>
  <c r="CY154" i="3"/>
  <c r="CZ154" i="3"/>
  <c r="DA154" i="3"/>
  <c r="DB154" i="3"/>
  <c r="DC154" i="3"/>
  <c r="DG154" i="3"/>
  <c r="DJ154" i="3" s="1"/>
  <c r="A155" i="3"/>
  <c r="Y155" i="3"/>
  <c r="CX155" i="3" s="1"/>
  <c r="DG155" i="3" s="1"/>
  <c r="DJ155" i="3" s="1"/>
  <c r="CY155" i="3"/>
  <c r="CZ155" i="3"/>
  <c r="DB155" i="3" s="1"/>
  <c r="DA155" i="3"/>
  <c r="DC155" i="3"/>
  <c r="DF155" i="3"/>
  <c r="A156" i="3"/>
  <c r="Y156" i="3"/>
  <c r="CX156" i="3"/>
  <c r="DG156" i="3" s="1"/>
  <c r="CY156" i="3"/>
  <c r="CZ156" i="3"/>
  <c r="DB156" i="3" s="1"/>
  <c r="DA156" i="3"/>
  <c r="DC156" i="3"/>
  <c r="DF156" i="3"/>
  <c r="DH156" i="3"/>
  <c r="DI156" i="3"/>
  <c r="DJ156" i="3"/>
  <c r="A157" i="3"/>
  <c r="Y157" i="3"/>
  <c r="CX157" i="3"/>
  <c r="DF157" i="3" s="1"/>
  <c r="CY157" i="3"/>
  <c r="CZ157" i="3"/>
  <c r="DA157" i="3"/>
  <c r="DB157" i="3"/>
  <c r="DC157" i="3"/>
  <c r="DI157" i="3"/>
  <c r="A158" i="3"/>
  <c r="Y158" i="3"/>
  <c r="CX158" i="3"/>
  <c r="DI158" i="3" s="1"/>
  <c r="CY158" i="3"/>
  <c r="CZ158" i="3"/>
  <c r="DA158" i="3"/>
  <c r="DB158" i="3"/>
  <c r="DC158" i="3"/>
  <c r="DH158" i="3"/>
  <c r="A159" i="3"/>
  <c r="Y159" i="3"/>
  <c r="CX159" i="3" s="1"/>
  <c r="DH159" i="3" s="1"/>
  <c r="CY159" i="3"/>
  <c r="CZ159" i="3"/>
  <c r="DB159" i="3" s="1"/>
  <c r="DA159" i="3"/>
  <c r="DC159" i="3"/>
  <c r="DF159" i="3"/>
  <c r="DJ159" i="3" s="1"/>
  <c r="DG159" i="3"/>
  <c r="A160" i="3"/>
  <c r="Y160" i="3"/>
  <c r="CX160" i="3"/>
  <c r="DG160" i="3" s="1"/>
  <c r="CY160" i="3"/>
  <c r="CZ160" i="3"/>
  <c r="DB160" i="3" s="1"/>
  <c r="DA160" i="3"/>
  <c r="DC160" i="3"/>
  <c r="DF160" i="3"/>
  <c r="DJ160" i="3" s="1"/>
  <c r="DH160" i="3"/>
  <c r="DI160" i="3"/>
  <c r="A161" i="3"/>
  <c r="Y161" i="3"/>
  <c r="CX161" i="3" s="1"/>
  <c r="CY161" i="3"/>
  <c r="CZ161" i="3"/>
  <c r="DA161" i="3"/>
  <c r="DB161" i="3"/>
  <c r="DC161" i="3"/>
  <c r="A162" i="3"/>
  <c r="Y162" i="3"/>
  <c r="CX162" i="3"/>
  <c r="DI162" i="3" s="1"/>
  <c r="CY162" i="3"/>
  <c r="CZ162" i="3"/>
  <c r="DA162" i="3"/>
  <c r="DB162" i="3"/>
  <c r="DC162" i="3"/>
  <c r="DH162" i="3"/>
  <c r="A163" i="3"/>
  <c r="Y163" i="3"/>
  <c r="CX163" i="3" s="1"/>
  <c r="DH163" i="3" s="1"/>
  <c r="CY163" i="3"/>
  <c r="CZ163" i="3"/>
  <c r="DB163" i="3" s="1"/>
  <c r="DA163" i="3"/>
  <c r="DC163" i="3"/>
  <c r="DF163" i="3"/>
  <c r="A164" i="3"/>
  <c r="Y164" i="3"/>
  <c r="CX164" i="3"/>
  <c r="DG164" i="3" s="1"/>
  <c r="CY164" i="3"/>
  <c r="CZ164" i="3"/>
  <c r="DB164" i="3" s="1"/>
  <c r="DA164" i="3"/>
  <c r="DC164" i="3"/>
  <c r="DF164" i="3"/>
  <c r="DI164" i="3"/>
  <c r="DJ164" i="3"/>
  <c r="A165" i="3"/>
  <c r="Y165" i="3"/>
  <c r="CX165" i="3"/>
  <c r="DF165" i="3" s="1"/>
  <c r="DJ165" i="3" s="1"/>
  <c r="CY165" i="3"/>
  <c r="CZ165" i="3"/>
  <c r="DA165" i="3"/>
  <c r="DB165" i="3"/>
  <c r="DC165" i="3"/>
  <c r="DG165" i="3"/>
  <c r="DI165" i="3"/>
  <c r="A166" i="3"/>
  <c r="Y166" i="3"/>
  <c r="CX166" i="3" s="1"/>
  <c r="CY166" i="3"/>
  <c r="CZ166" i="3"/>
  <c r="DB166" i="3" s="1"/>
  <c r="DA166" i="3"/>
  <c r="DC166" i="3"/>
  <c r="A167" i="3"/>
  <c r="Y167" i="3"/>
  <c r="CX167" i="3" s="1"/>
  <c r="DH167" i="3" s="1"/>
  <c r="CY167" i="3"/>
  <c r="CZ167" i="3"/>
  <c r="DB167" i="3" s="1"/>
  <c r="DA167" i="3"/>
  <c r="DC167" i="3"/>
  <c r="A168" i="3"/>
  <c r="Y168" i="3"/>
  <c r="CX168" i="3"/>
  <c r="DG168" i="3" s="1"/>
  <c r="CY168" i="3"/>
  <c r="CZ168" i="3"/>
  <c r="DA168" i="3"/>
  <c r="DB168" i="3"/>
  <c r="DC168" i="3"/>
  <c r="DI168" i="3"/>
  <c r="A169" i="3"/>
  <c r="Y169" i="3"/>
  <c r="CX169" i="3"/>
  <c r="DF169" i="3" s="1"/>
  <c r="DJ169" i="3" s="1"/>
  <c r="CY169" i="3"/>
  <c r="CZ169" i="3"/>
  <c r="DA169" i="3"/>
  <c r="DB169" i="3"/>
  <c r="DC169" i="3"/>
  <c r="DI169" i="3"/>
  <c r="A170" i="3"/>
  <c r="Y170" i="3"/>
  <c r="CX170" i="3"/>
  <c r="DI170" i="3" s="1"/>
  <c r="CY170" i="3"/>
  <c r="CZ170" i="3"/>
  <c r="DB170" i="3" s="1"/>
  <c r="DA170" i="3"/>
  <c r="DC170" i="3"/>
  <c r="DF170" i="3"/>
  <c r="DJ170" i="3" s="1"/>
  <c r="DH170" i="3"/>
  <c r="A171" i="3"/>
  <c r="Y171" i="3"/>
  <c r="CX171" i="3" s="1"/>
  <c r="DH171" i="3" s="1"/>
  <c r="CY171" i="3"/>
  <c r="CZ171" i="3"/>
  <c r="DB171" i="3" s="1"/>
  <c r="DA171" i="3"/>
  <c r="DC171" i="3"/>
  <c r="DF171" i="3"/>
  <c r="DJ171" i="3" s="1"/>
  <c r="DG171" i="3"/>
  <c r="DI171" i="3"/>
  <c r="A172" i="3"/>
  <c r="Y172" i="3"/>
  <c r="CX172" i="3"/>
  <c r="DG172" i="3" s="1"/>
  <c r="CY172" i="3"/>
  <c r="CZ172" i="3"/>
  <c r="DA172" i="3"/>
  <c r="DB172" i="3"/>
  <c r="DC172" i="3"/>
  <c r="DI172" i="3"/>
  <c r="A173" i="3"/>
  <c r="Y173" i="3"/>
  <c r="CX173" i="3"/>
  <c r="DF173" i="3" s="1"/>
  <c r="DJ173" i="3" s="1"/>
  <c r="CY173" i="3"/>
  <c r="CZ173" i="3"/>
  <c r="DA173" i="3"/>
  <c r="DB173" i="3"/>
  <c r="DC173" i="3"/>
  <c r="DI173" i="3"/>
  <c r="A174" i="3"/>
  <c r="Y174" i="3"/>
  <c r="CX174" i="3"/>
  <c r="DI174" i="3" s="1"/>
  <c r="CY174" i="3"/>
  <c r="CZ174" i="3"/>
  <c r="DA174" i="3"/>
  <c r="DB174" i="3"/>
  <c r="DC174" i="3"/>
  <c r="DH174" i="3"/>
  <c r="A175" i="3"/>
  <c r="Y175" i="3"/>
  <c r="CX175" i="3" s="1"/>
  <c r="DH175" i="3" s="1"/>
  <c r="CY175" i="3"/>
  <c r="CZ175" i="3"/>
  <c r="DB175" i="3" s="1"/>
  <c r="DA175" i="3"/>
  <c r="DC175" i="3"/>
  <c r="DF175" i="3"/>
  <c r="DJ175" i="3" s="1"/>
  <c r="DG175" i="3"/>
  <c r="A176" i="3"/>
  <c r="Y176" i="3"/>
  <c r="CX176" i="3"/>
  <c r="DG176" i="3" s="1"/>
  <c r="CY176" i="3"/>
  <c r="CZ176" i="3"/>
  <c r="DB176" i="3" s="1"/>
  <c r="DA176" i="3"/>
  <c r="DC176" i="3"/>
  <c r="DF176" i="3"/>
  <c r="DH176" i="3"/>
  <c r="DI176" i="3"/>
  <c r="DJ176" i="3"/>
  <c r="A177" i="3"/>
  <c r="Y177" i="3"/>
  <c r="CX177" i="3" s="1"/>
  <c r="CY177" i="3"/>
  <c r="CZ177" i="3"/>
  <c r="DA177" i="3"/>
  <c r="DB177" i="3"/>
  <c r="DC177" i="3"/>
  <c r="A178" i="3"/>
  <c r="Y178" i="3"/>
  <c r="CX178" i="3"/>
  <c r="DG178" i="3" s="1"/>
  <c r="DJ178" i="3" s="1"/>
  <c r="CY178" i="3"/>
  <c r="CZ178" i="3"/>
  <c r="DA178" i="3"/>
  <c r="DB178" i="3"/>
  <c r="DC178" i="3"/>
  <c r="DH178" i="3"/>
  <c r="A179" i="3"/>
  <c r="Y179" i="3"/>
  <c r="CX179" i="3" s="1"/>
  <c r="CY179" i="3"/>
  <c r="CZ179" i="3"/>
  <c r="DB179" i="3" s="1"/>
  <c r="DA179" i="3"/>
  <c r="DC179" i="3"/>
  <c r="A180" i="3"/>
  <c r="Y180" i="3"/>
  <c r="CX180" i="3"/>
  <c r="DG180" i="3" s="1"/>
  <c r="CY180" i="3"/>
  <c r="CZ180" i="3"/>
  <c r="DB180" i="3" s="1"/>
  <c r="DA180" i="3"/>
  <c r="DC180" i="3"/>
  <c r="DF180" i="3"/>
  <c r="DH180" i="3"/>
  <c r="DI180" i="3"/>
  <c r="DJ180" i="3"/>
  <c r="A181" i="3"/>
  <c r="Y181" i="3"/>
  <c r="CX181" i="3"/>
  <c r="DF181" i="3" s="1"/>
  <c r="DJ181" i="3" s="1"/>
  <c r="CY181" i="3"/>
  <c r="CZ181" i="3"/>
  <c r="DA181" i="3"/>
  <c r="DB181" i="3"/>
  <c r="DC181" i="3"/>
  <c r="DH181" i="3"/>
  <c r="DI181" i="3"/>
  <c r="A182" i="3"/>
  <c r="Y182" i="3"/>
  <c r="CX182" i="3"/>
  <c r="DG182" i="3" s="1"/>
  <c r="CY182" i="3"/>
  <c r="CZ182" i="3"/>
  <c r="DA182" i="3"/>
  <c r="DB182" i="3"/>
  <c r="DC182" i="3"/>
  <c r="DH182" i="3"/>
  <c r="A183" i="3"/>
  <c r="Y183" i="3"/>
  <c r="CX183" i="3" s="1"/>
  <c r="CY183" i="3"/>
  <c r="CZ183" i="3"/>
  <c r="DB183" i="3" s="1"/>
  <c r="DA183" i="3"/>
  <c r="DC183" i="3"/>
  <c r="A184" i="3"/>
  <c r="Y184" i="3"/>
  <c r="CX184" i="3"/>
  <c r="DG184" i="3" s="1"/>
  <c r="CY184" i="3"/>
  <c r="CZ184" i="3"/>
  <c r="DB184" i="3" s="1"/>
  <c r="DA184" i="3"/>
  <c r="DC184" i="3"/>
  <c r="DF184" i="3"/>
  <c r="DH184" i="3"/>
  <c r="DI184" i="3"/>
  <c r="DJ184" i="3"/>
  <c r="A185" i="3"/>
  <c r="Y185" i="3"/>
  <c r="CX185" i="3"/>
  <c r="DF185" i="3" s="1"/>
  <c r="DJ185" i="3" s="1"/>
  <c r="CY185" i="3"/>
  <c r="CZ185" i="3"/>
  <c r="DA185" i="3"/>
  <c r="DB185" i="3"/>
  <c r="DC185" i="3"/>
  <c r="DH185" i="3"/>
  <c r="DI185" i="3"/>
  <c r="A186" i="3"/>
  <c r="Y186" i="3"/>
  <c r="CX186" i="3"/>
  <c r="DG186" i="3" s="1"/>
  <c r="CY186" i="3"/>
  <c r="CZ186" i="3"/>
  <c r="DA186" i="3"/>
  <c r="DB186" i="3"/>
  <c r="DC186" i="3"/>
  <c r="DH186" i="3"/>
  <c r="A187" i="3"/>
  <c r="Y187" i="3"/>
  <c r="CX187" i="3" s="1"/>
  <c r="CY187" i="3"/>
  <c r="CZ187" i="3"/>
  <c r="DB187" i="3" s="1"/>
  <c r="DA187" i="3"/>
  <c r="DC187" i="3"/>
  <c r="A188" i="3"/>
  <c r="Y188" i="3"/>
  <c r="CX188" i="3"/>
  <c r="DG188" i="3" s="1"/>
  <c r="CY188" i="3"/>
  <c r="CZ188" i="3"/>
  <c r="DB188" i="3" s="1"/>
  <c r="DA188" i="3"/>
  <c r="DC188" i="3"/>
  <c r="DF188" i="3"/>
  <c r="DH188" i="3"/>
  <c r="DI188" i="3"/>
  <c r="DJ188" i="3"/>
  <c r="A189" i="3"/>
  <c r="Y189" i="3"/>
  <c r="CX189" i="3"/>
  <c r="DF189" i="3" s="1"/>
  <c r="DJ189" i="3" s="1"/>
  <c r="CY189" i="3"/>
  <c r="CZ189" i="3"/>
  <c r="DA189" i="3"/>
  <c r="DB189" i="3"/>
  <c r="DC189" i="3"/>
  <c r="DH189" i="3"/>
  <c r="DI189" i="3"/>
  <c r="A190" i="3"/>
  <c r="Y190" i="3"/>
  <c r="CX190" i="3"/>
  <c r="DG190" i="3" s="1"/>
  <c r="CY190" i="3"/>
  <c r="CZ190" i="3"/>
  <c r="DA190" i="3"/>
  <c r="DB190" i="3"/>
  <c r="DC190" i="3"/>
  <c r="DH190" i="3"/>
  <c r="A191" i="3"/>
  <c r="Y191" i="3"/>
  <c r="CX191" i="3" s="1"/>
  <c r="CY191" i="3"/>
  <c r="CZ191" i="3"/>
  <c r="DB191" i="3" s="1"/>
  <c r="DA191" i="3"/>
  <c r="DC191" i="3"/>
  <c r="A192" i="3"/>
  <c r="Y192" i="3"/>
  <c r="CX192" i="3"/>
  <c r="DG192" i="3" s="1"/>
  <c r="DJ192" i="3" s="1"/>
  <c r="CY192" i="3"/>
  <c r="CZ192" i="3"/>
  <c r="DB192" i="3" s="1"/>
  <c r="DA192" i="3"/>
  <c r="DC192" i="3"/>
  <c r="DF192" i="3"/>
  <c r="DH192" i="3"/>
  <c r="DI192" i="3"/>
  <c r="A193" i="3"/>
  <c r="Y193" i="3"/>
  <c r="CX193" i="3"/>
  <c r="DF193" i="3" s="1"/>
  <c r="CY193" i="3"/>
  <c r="CZ193" i="3"/>
  <c r="DA193" i="3"/>
  <c r="DB193" i="3"/>
  <c r="DC193" i="3"/>
  <c r="DH193" i="3"/>
  <c r="DI193" i="3"/>
  <c r="A194" i="3"/>
  <c r="Y194" i="3"/>
  <c r="CX194" i="3"/>
  <c r="DG194" i="3" s="1"/>
  <c r="DJ194" i="3" s="1"/>
  <c r="CY194" i="3"/>
  <c r="CZ194" i="3"/>
  <c r="DA194" i="3"/>
  <c r="DB194" i="3"/>
  <c r="DC194" i="3"/>
  <c r="DH194" i="3"/>
  <c r="A195" i="3"/>
  <c r="Y195" i="3"/>
  <c r="CX195" i="3" s="1"/>
  <c r="CY195" i="3"/>
  <c r="CZ195" i="3"/>
  <c r="DB195" i="3" s="1"/>
  <c r="DA195" i="3"/>
  <c r="DC195" i="3"/>
  <c r="A196" i="3"/>
  <c r="Y196" i="3"/>
  <c r="CX196" i="3"/>
  <c r="DG196" i="3" s="1"/>
  <c r="CY196" i="3"/>
  <c r="CZ196" i="3"/>
  <c r="DB196" i="3" s="1"/>
  <c r="DA196" i="3"/>
  <c r="DC196" i="3"/>
  <c r="DF196" i="3"/>
  <c r="DH196" i="3"/>
  <c r="DI196" i="3"/>
  <c r="DJ196" i="3"/>
  <c r="A197" i="3"/>
  <c r="Y197" i="3"/>
  <c r="CX197" i="3"/>
  <c r="DF197" i="3" s="1"/>
  <c r="DJ197" i="3" s="1"/>
  <c r="CY197" i="3"/>
  <c r="CZ197" i="3"/>
  <c r="DA197" i="3"/>
  <c r="DB197" i="3"/>
  <c r="DC197" i="3"/>
  <c r="DH197" i="3"/>
  <c r="DI197" i="3"/>
  <c r="A198" i="3"/>
  <c r="Y198" i="3"/>
  <c r="CX198" i="3"/>
  <c r="DG198" i="3" s="1"/>
  <c r="CY198" i="3"/>
  <c r="CZ198" i="3"/>
  <c r="DA198" i="3"/>
  <c r="DB198" i="3"/>
  <c r="DC198" i="3"/>
  <c r="DH198" i="3"/>
  <c r="A199" i="3"/>
  <c r="Y199" i="3"/>
  <c r="CX199" i="3" s="1"/>
  <c r="CY199" i="3"/>
  <c r="CZ199" i="3"/>
  <c r="DB199" i="3" s="1"/>
  <c r="DA199" i="3"/>
  <c r="DC199" i="3"/>
  <c r="A200" i="3"/>
  <c r="Y200" i="3"/>
  <c r="CX200" i="3"/>
  <c r="DG200" i="3" s="1"/>
  <c r="CY200" i="3"/>
  <c r="CZ200" i="3"/>
  <c r="DB200" i="3" s="1"/>
  <c r="DA200" i="3"/>
  <c r="DC200" i="3"/>
  <c r="DF200" i="3"/>
  <c r="DH200" i="3"/>
  <c r="DI200" i="3"/>
  <c r="DJ200" i="3"/>
  <c r="A201" i="3"/>
  <c r="Y201" i="3"/>
  <c r="CX201" i="3"/>
  <c r="DF201" i="3" s="1"/>
  <c r="CY201" i="3"/>
  <c r="CZ201" i="3"/>
  <c r="DA201" i="3"/>
  <c r="DB201" i="3"/>
  <c r="DC201" i="3"/>
  <c r="DH201" i="3"/>
  <c r="DI201" i="3"/>
  <c r="A202" i="3"/>
  <c r="Y202" i="3"/>
  <c r="CX202" i="3"/>
  <c r="DG202" i="3" s="1"/>
  <c r="DJ202" i="3" s="1"/>
  <c r="CY202" i="3"/>
  <c r="CZ202" i="3"/>
  <c r="DA202" i="3"/>
  <c r="DB202" i="3"/>
  <c r="DC202" i="3"/>
  <c r="DH202" i="3"/>
  <c r="A203" i="3"/>
  <c r="Y203" i="3"/>
  <c r="CX203" i="3" s="1"/>
  <c r="CY203" i="3"/>
  <c r="CZ203" i="3"/>
  <c r="DB203" i="3" s="1"/>
  <c r="DA203" i="3"/>
  <c r="DC203" i="3"/>
  <c r="A204" i="3"/>
  <c r="Y204" i="3"/>
  <c r="CX204" i="3"/>
  <c r="DG204" i="3" s="1"/>
  <c r="CY204" i="3"/>
  <c r="CZ204" i="3"/>
  <c r="DB204" i="3" s="1"/>
  <c r="DA204" i="3"/>
  <c r="DC204" i="3"/>
  <c r="DF204" i="3"/>
  <c r="DH204" i="3"/>
  <c r="DI204" i="3"/>
  <c r="DJ204" i="3"/>
  <c r="A205" i="3"/>
  <c r="Y205" i="3"/>
  <c r="CX205" i="3"/>
  <c r="DF205" i="3" s="1"/>
  <c r="DJ205" i="3" s="1"/>
  <c r="CY205" i="3"/>
  <c r="CZ205" i="3"/>
  <c r="DA205" i="3"/>
  <c r="DB205" i="3"/>
  <c r="DC205" i="3"/>
  <c r="DH205" i="3"/>
  <c r="DI205" i="3"/>
  <c r="A206" i="3"/>
  <c r="Y206" i="3"/>
  <c r="CX206" i="3"/>
  <c r="CY206" i="3"/>
  <c r="CZ206" i="3"/>
  <c r="DA206" i="3"/>
  <c r="DB206" i="3"/>
  <c r="DC206" i="3"/>
  <c r="DH206" i="3"/>
  <c r="A207" i="3"/>
  <c r="Y207" i="3"/>
  <c r="CX207" i="3" s="1"/>
  <c r="CY207" i="3"/>
  <c r="CZ207" i="3"/>
  <c r="DB207" i="3" s="1"/>
  <c r="DA207" i="3"/>
  <c r="DC207" i="3"/>
  <c r="DG207" i="3"/>
  <c r="A208" i="3"/>
  <c r="Y208" i="3"/>
  <c r="CX208" i="3"/>
  <c r="DG208" i="3" s="1"/>
  <c r="CY208" i="3"/>
  <c r="CZ208" i="3"/>
  <c r="DB208" i="3" s="1"/>
  <c r="DA208" i="3"/>
  <c r="DC208" i="3"/>
  <c r="DF208" i="3"/>
  <c r="DJ208" i="3" s="1"/>
  <c r="DH208" i="3"/>
  <c r="DI208" i="3"/>
  <c r="A209" i="3"/>
  <c r="Y209" i="3"/>
  <c r="CX209" i="3"/>
  <c r="DF209" i="3" s="1"/>
  <c r="CY209" i="3"/>
  <c r="CZ209" i="3"/>
  <c r="DA209" i="3"/>
  <c r="DB209" i="3"/>
  <c r="DC209" i="3"/>
  <c r="DH209" i="3"/>
  <c r="DI209" i="3"/>
  <c r="DJ209" i="3" s="1"/>
  <c r="A210" i="3"/>
  <c r="Y210" i="3"/>
  <c r="CX210" i="3"/>
  <c r="CY210" i="3"/>
  <c r="CZ210" i="3"/>
  <c r="DA210" i="3"/>
  <c r="DB210" i="3"/>
  <c r="DC210" i="3"/>
  <c r="DH210" i="3"/>
  <c r="A211" i="3"/>
  <c r="Y211" i="3"/>
  <c r="CX211" i="3" s="1"/>
  <c r="CY211" i="3"/>
  <c r="CZ211" i="3"/>
  <c r="DB211" i="3" s="1"/>
  <c r="DA211" i="3"/>
  <c r="DC211" i="3"/>
  <c r="DG211" i="3"/>
  <c r="DJ211" i="3" s="1"/>
  <c r="A212" i="3"/>
  <c r="Y212" i="3"/>
  <c r="CX212" i="3"/>
  <c r="DG212" i="3" s="1"/>
  <c r="CY212" i="3"/>
  <c r="CZ212" i="3"/>
  <c r="DB212" i="3" s="1"/>
  <c r="DA212" i="3"/>
  <c r="DC212" i="3"/>
  <c r="DF212" i="3"/>
  <c r="DJ212" i="3" s="1"/>
  <c r="DH212" i="3"/>
  <c r="DI212" i="3"/>
  <c r="A213" i="3"/>
  <c r="Y213" i="3"/>
  <c r="CX213" i="3"/>
  <c r="DF213" i="3" s="1"/>
  <c r="CY213" i="3"/>
  <c r="CZ213" i="3"/>
  <c r="DA213" i="3"/>
  <c r="DB213" i="3"/>
  <c r="DC213" i="3"/>
  <c r="DH213" i="3"/>
  <c r="DI213" i="3"/>
  <c r="DJ213" i="3" s="1"/>
  <c r="A214" i="3"/>
  <c r="Y214" i="3"/>
  <c r="CX214" i="3"/>
  <c r="DH214" i="3" s="1"/>
  <c r="CY214" i="3"/>
  <c r="CZ214" i="3"/>
  <c r="DA214" i="3"/>
  <c r="DB214" i="3"/>
  <c r="DC214" i="3"/>
  <c r="A215" i="3"/>
  <c r="Y215" i="3"/>
  <c r="CX215" i="3" s="1"/>
  <c r="CY215" i="3"/>
  <c r="CZ215" i="3"/>
  <c r="DB215" i="3" s="1"/>
  <c r="DA215" i="3"/>
  <c r="DC215" i="3"/>
  <c r="DG215" i="3"/>
  <c r="DJ215" i="3" s="1"/>
  <c r="A216" i="3"/>
  <c r="Y216" i="3"/>
  <c r="CX216" i="3"/>
  <c r="DG216" i="3" s="1"/>
  <c r="CY216" i="3"/>
  <c r="CZ216" i="3"/>
  <c r="DB216" i="3" s="1"/>
  <c r="DA216" i="3"/>
  <c r="DC216" i="3"/>
  <c r="DF216" i="3"/>
  <c r="DJ216" i="3" s="1"/>
  <c r="DH216" i="3"/>
  <c r="DI216" i="3"/>
  <c r="A217" i="3"/>
  <c r="Y217" i="3"/>
  <c r="CX217" i="3"/>
  <c r="DF217" i="3" s="1"/>
  <c r="CY217" i="3"/>
  <c r="CZ217" i="3"/>
  <c r="DA217" i="3"/>
  <c r="DB217" i="3"/>
  <c r="DC217" i="3"/>
  <c r="DH217" i="3"/>
  <c r="DI217" i="3"/>
  <c r="DJ217" i="3" s="1"/>
  <c r="A218" i="3"/>
  <c r="Y218" i="3"/>
  <c r="CX218" i="3"/>
  <c r="CY218" i="3"/>
  <c r="CZ218" i="3"/>
  <c r="DA218" i="3"/>
  <c r="DB218" i="3"/>
  <c r="DC218" i="3"/>
  <c r="A219" i="3"/>
  <c r="Y219" i="3"/>
  <c r="CX219" i="3" s="1"/>
  <c r="CY219" i="3"/>
  <c r="CZ219" i="3"/>
  <c r="DB219" i="3" s="1"/>
  <c r="DA219" i="3"/>
  <c r="DC219" i="3"/>
  <c r="A220" i="3"/>
  <c r="Y220" i="3"/>
  <c r="CX220" i="3"/>
  <c r="DG220" i="3" s="1"/>
  <c r="CY220" i="3"/>
  <c r="CZ220" i="3"/>
  <c r="DB220" i="3" s="1"/>
  <c r="DA220" i="3"/>
  <c r="DC220" i="3"/>
  <c r="DF220" i="3"/>
  <c r="DH220" i="3"/>
  <c r="DI220" i="3"/>
  <c r="DJ220" i="3"/>
  <c r="A221" i="3"/>
  <c r="Y221" i="3"/>
  <c r="CX221" i="3"/>
  <c r="DF221" i="3" s="1"/>
  <c r="DJ221" i="3" s="1"/>
  <c r="CY221" i="3"/>
  <c r="CZ221" i="3"/>
  <c r="DA221" i="3"/>
  <c r="DB221" i="3"/>
  <c r="DC221" i="3"/>
  <c r="DH221" i="3"/>
  <c r="DI221" i="3"/>
  <c r="A222" i="3"/>
  <c r="Y222" i="3"/>
  <c r="CX222" i="3"/>
  <c r="CY222" i="3"/>
  <c r="CZ222" i="3"/>
  <c r="DA222" i="3"/>
  <c r="DB222" i="3"/>
  <c r="DC222" i="3"/>
  <c r="DH222" i="3"/>
  <c r="A223" i="3"/>
  <c r="Y223" i="3"/>
  <c r="CX223" i="3" s="1"/>
  <c r="CY223" i="3"/>
  <c r="CZ223" i="3"/>
  <c r="DB223" i="3" s="1"/>
  <c r="DA223" i="3"/>
  <c r="DC223" i="3"/>
  <c r="DG223" i="3"/>
  <c r="DJ223" i="3" s="1"/>
  <c r="A224" i="3"/>
  <c r="Y224" i="3"/>
  <c r="CX224" i="3"/>
  <c r="DG224" i="3" s="1"/>
  <c r="CY224" i="3"/>
  <c r="CZ224" i="3"/>
  <c r="DB224" i="3" s="1"/>
  <c r="DA224" i="3"/>
  <c r="DC224" i="3"/>
  <c r="DF224" i="3"/>
  <c r="DH224" i="3"/>
  <c r="DI224" i="3"/>
  <c r="DJ224" i="3"/>
  <c r="A225" i="3"/>
  <c r="Y225" i="3"/>
  <c r="CX225" i="3"/>
  <c r="DF225" i="3" s="1"/>
  <c r="DJ225" i="3" s="1"/>
  <c r="CY225" i="3"/>
  <c r="CZ225" i="3"/>
  <c r="DA225" i="3"/>
  <c r="DB225" i="3"/>
  <c r="DC225" i="3"/>
  <c r="DH225" i="3"/>
  <c r="DI225" i="3"/>
  <c r="A226" i="3"/>
  <c r="Y226" i="3"/>
  <c r="CX226" i="3"/>
  <c r="CY226" i="3"/>
  <c r="CZ226" i="3"/>
  <c r="DA226" i="3"/>
  <c r="DB226" i="3"/>
  <c r="DC226" i="3"/>
  <c r="DH226" i="3"/>
  <c r="A227" i="3"/>
  <c r="Y227" i="3"/>
  <c r="CX227" i="3" s="1"/>
  <c r="CY227" i="3"/>
  <c r="CZ227" i="3"/>
  <c r="DB227" i="3" s="1"/>
  <c r="DA227" i="3"/>
  <c r="DC227" i="3"/>
  <c r="DG227" i="3"/>
  <c r="A228" i="3"/>
  <c r="Y228" i="3"/>
  <c r="CX228" i="3"/>
  <c r="DG228" i="3" s="1"/>
  <c r="CY228" i="3"/>
  <c r="CZ228" i="3"/>
  <c r="DB228" i="3" s="1"/>
  <c r="DA228" i="3"/>
  <c r="DC228" i="3"/>
  <c r="DF228" i="3"/>
  <c r="DH228" i="3"/>
  <c r="DI228" i="3"/>
  <c r="DJ228" i="3"/>
  <c r="A229" i="3"/>
  <c r="Y229" i="3"/>
  <c r="CX229" i="3"/>
  <c r="CY229" i="3"/>
  <c r="CZ229" i="3"/>
  <c r="DA229" i="3"/>
  <c r="DB229" i="3"/>
  <c r="DC229" i="3"/>
  <c r="DH229" i="3"/>
  <c r="DI229" i="3"/>
  <c r="A230" i="3"/>
  <c r="Y230" i="3"/>
  <c r="CX230" i="3"/>
  <c r="DG230" i="3" s="1"/>
  <c r="CY230" i="3"/>
  <c r="CZ230" i="3"/>
  <c r="DA230" i="3"/>
  <c r="DB230" i="3"/>
  <c r="DC230" i="3"/>
  <c r="A231" i="3"/>
  <c r="Y231" i="3"/>
  <c r="CX231" i="3" s="1"/>
  <c r="CY231" i="3"/>
  <c r="CZ231" i="3"/>
  <c r="DB231" i="3" s="1"/>
  <c r="DA231" i="3"/>
  <c r="DC231" i="3"/>
  <c r="A232" i="3"/>
  <c r="Y232" i="3"/>
  <c r="CX232" i="3"/>
  <c r="DG232" i="3" s="1"/>
  <c r="CY232" i="3"/>
  <c r="CZ232" i="3"/>
  <c r="DB232" i="3" s="1"/>
  <c r="DA232" i="3"/>
  <c r="DC232" i="3"/>
  <c r="DF232" i="3"/>
  <c r="DJ232" i="3" s="1"/>
  <c r="DH232" i="3"/>
  <c r="DI232" i="3"/>
  <c r="A233" i="3"/>
  <c r="Y233" i="3"/>
  <c r="CX233" i="3"/>
  <c r="CY233" i="3"/>
  <c r="CZ233" i="3"/>
  <c r="DA233" i="3"/>
  <c r="DB233" i="3"/>
  <c r="DC233" i="3"/>
  <c r="DH233" i="3"/>
  <c r="DI233" i="3"/>
  <c r="DJ233" i="3" s="1"/>
  <c r="A234" i="3"/>
  <c r="Y234" i="3"/>
  <c r="CX234" i="3"/>
  <c r="DG234" i="3" s="1"/>
  <c r="DJ234" i="3" s="1"/>
  <c r="CY234" i="3"/>
  <c r="CZ234" i="3"/>
  <c r="DA234" i="3"/>
  <c r="DB234" i="3"/>
  <c r="DC234" i="3"/>
  <c r="A235" i="3"/>
  <c r="Y235" i="3"/>
  <c r="CX235" i="3" s="1"/>
  <c r="CY235" i="3"/>
  <c r="CZ235" i="3"/>
  <c r="DB235" i="3" s="1"/>
  <c r="DA235" i="3"/>
  <c r="DC235" i="3"/>
  <c r="A236" i="3"/>
  <c r="Y236" i="3"/>
  <c r="CX236" i="3"/>
  <c r="DG236" i="3" s="1"/>
  <c r="CY236" i="3"/>
  <c r="CZ236" i="3"/>
  <c r="DB236" i="3" s="1"/>
  <c r="DA236" i="3"/>
  <c r="DC236" i="3"/>
  <c r="DF236" i="3"/>
  <c r="DJ236" i="3" s="1"/>
  <c r="DH236" i="3"/>
  <c r="DI236" i="3"/>
  <c r="A237" i="3"/>
  <c r="Y237" i="3"/>
  <c r="CX237" i="3"/>
  <c r="CY237" i="3"/>
  <c r="CZ237" i="3"/>
  <c r="DA237" i="3"/>
  <c r="DB237" i="3"/>
  <c r="DC237" i="3"/>
  <c r="DH237" i="3"/>
  <c r="DI237" i="3"/>
  <c r="A238" i="3"/>
  <c r="Y238" i="3"/>
  <c r="CX238" i="3"/>
  <c r="DG238" i="3" s="1"/>
  <c r="CY238" i="3"/>
  <c r="CZ238" i="3"/>
  <c r="DA238" i="3"/>
  <c r="DB238" i="3"/>
  <c r="DC238" i="3"/>
  <c r="A239" i="3"/>
  <c r="Y239" i="3"/>
  <c r="CX239" i="3" s="1"/>
  <c r="CY239" i="3"/>
  <c r="CZ239" i="3"/>
  <c r="DB239" i="3" s="1"/>
  <c r="DA239" i="3"/>
  <c r="DC239" i="3"/>
  <c r="A240" i="3"/>
  <c r="Y240" i="3"/>
  <c r="CX240" i="3"/>
  <c r="DG240" i="3" s="1"/>
  <c r="CY240" i="3"/>
  <c r="CZ240" i="3"/>
  <c r="DB240" i="3" s="1"/>
  <c r="DA240" i="3"/>
  <c r="DC240" i="3"/>
  <c r="DF240" i="3"/>
  <c r="DJ240" i="3" s="1"/>
  <c r="DH240" i="3"/>
  <c r="DI240" i="3"/>
  <c r="A241" i="3"/>
  <c r="Y241" i="3"/>
  <c r="CX241" i="3"/>
  <c r="CY241" i="3"/>
  <c r="CZ241" i="3"/>
  <c r="DA241" i="3"/>
  <c r="DB241" i="3"/>
  <c r="DC241" i="3"/>
  <c r="DH241" i="3"/>
  <c r="DI241" i="3"/>
  <c r="A242" i="3"/>
  <c r="Y242" i="3"/>
  <c r="CX242" i="3"/>
  <c r="DG242" i="3" s="1"/>
  <c r="CY242" i="3"/>
  <c r="CZ242" i="3"/>
  <c r="DA242" i="3"/>
  <c r="DB242" i="3"/>
  <c r="DC242" i="3"/>
  <c r="A243" i="3"/>
  <c r="Y243" i="3"/>
  <c r="CX243" i="3" s="1"/>
  <c r="CY243" i="3"/>
  <c r="CZ243" i="3"/>
  <c r="DB243" i="3" s="1"/>
  <c r="DA243" i="3"/>
  <c r="DC243" i="3"/>
  <c r="A244" i="3"/>
  <c r="Y244" i="3"/>
  <c r="CX244" i="3"/>
  <c r="DG244" i="3" s="1"/>
  <c r="CY244" i="3"/>
  <c r="CZ244" i="3"/>
  <c r="DB244" i="3" s="1"/>
  <c r="DA244" i="3"/>
  <c r="DC244" i="3"/>
  <c r="DF244" i="3"/>
  <c r="DJ244" i="3" s="1"/>
  <c r="DH244" i="3"/>
  <c r="DI244" i="3"/>
  <c r="A245" i="3"/>
  <c r="Y245" i="3"/>
  <c r="CX245" i="3"/>
  <c r="CY245" i="3"/>
  <c r="CZ245" i="3"/>
  <c r="DA245" i="3"/>
  <c r="DB245" i="3"/>
  <c r="DC245" i="3"/>
  <c r="DH245" i="3"/>
  <c r="DI245" i="3"/>
  <c r="DJ245" i="3" s="1"/>
  <c r="A246" i="3"/>
  <c r="Y246" i="3"/>
  <c r="CX246" i="3"/>
  <c r="DG246" i="3" s="1"/>
  <c r="CY246" i="3"/>
  <c r="CZ246" i="3"/>
  <c r="DA246" i="3"/>
  <c r="DB246" i="3"/>
  <c r="DC246" i="3"/>
  <c r="A247" i="3"/>
  <c r="Y247" i="3"/>
  <c r="CX247" i="3" s="1"/>
  <c r="CY247" i="3"/>
  <c r="CZ247" i="3"/>
  <c r="DB247" i="3" s="1"/>
  <c r="DA247" i="3"/>
  <c r="DC247" i="3"/>
  <c r="A248" i="3"/>
  <c r="Y248" i="3"/>
  <c r="CX248" i="3"/>
  <c r="DG248" i="3" s="1"/>
  <c r="CY248" i="3"/>
  <c r="CZ248" i="3"/>
  <c r="DB248" i="3" s="1"/>
  <c r="DA248" i="3"/>
  <c r="DC248" i="3"/>
  <c r="DF248" i="3"/>
  <c r="DJ248" i="3" s="1"/>
  <c r="DH248" i="3"/>
  <c r="DI248" i="3"/>
  <c r="A249" i="3"/>
  <c r="Y249" i="3"/>
  <c r="CX249" i="3"/>
  <c r="CY249" i="3"/>
  <c r="CZ249" i="3"/>
  <c r="DA249" i="3"/>
  <c r="DB249" i="3"/>
  <c r="DC249" i="3"/>
  <c r="DH249" i="3"/>
  <c r="DI249" i="3"/>
  <c r="A250" i="3"/>
  <c r="Y250" i="3"/>
  <c r="CX250" i="3"/>
  <c r="DG250" i="3" s="1"/>
  <c r="CY250" i="3"/>
  <c r="CZ250" i="3"/>
  <c r="DA250" i="3"/>
  <c r="DB250" i="3"/>
  <c r="DC250" i="3"/>
  <c r="A251" i="3"/>
  <c r="Y251" i="3"/>
  <c r="CX251" i="3" s="1"/>
  <c r="CY251" i="3"/>
  <c r="CZ251" i="3"/>
  <c r="DB251" i="3" s="1"/>
  <c r="DA251" i="3"/>
  <c r="DC251" i="3"/>
  <c r="A252" i="3"/>
  <c r="Y252" i="3"/>
  <c r="CX252" i="3"/>
  <c r="DG252" i="3" s="1"/>
  <c r="CY252" i="3"/>
  <c r="CZ252" i="3"/>
  <c r="DB252" i="3" s="1"/>
  <c r="DA252" i="3"/>
  <c r="DC252" i="3"/>
  <c r="DF252" i="3"/>
  <c r="DJ252" i="3" s="1"/>
  <c r="DH252" i="3"/>
  <c r="DI252" i="3"/>
  <c r="A253" i="3"/>
  <c r="Y253" i="3"/>
  <c r="CX253" i="3"/>
  <c r="CY253" i="3"/>
  <c r="CZ253" i="3"/>
  <c r="DA253" i="3"/>
  <c r="DB253" i="3"/>
  <c r="DC253" i="3"/>
  <c r="DH253" i="3"/>
  <c r="DI253" i="3"/>
  <c r="DJ253" i="3" s="1"/>
  <c r="A254" i="3"/>
  <c r="Y254" i="3"/>
  <c r="CX254" i="3"/>
  <c r="DG254" i="3" s="1"/>
  <c r="CY254" i="3"/>
  <c r="CZ254" i="3"/>
  <c r="DA254" i="3"/>
  <c r="DB254" i="3"/>
  <c r="DC254" i="3"/>
  <c r="A255" i="3"/>
  <c r="Y255" i="3"/>
  <c r="CX255" i="3" s="1"/>
  <c r="CY255" i="3"/>
  <c r="CZ255" i="3"/>
  <c r="DB255" i="3" s="1"/>
  <c r="DA255" i="3"/>
  <c r="DC255" i="3"/>
  <c r="A256" i="3"/>
  <c r="Y256" i="3"/>
  <c r="CX256" i="3"/>
  <c r="DG256" i="3" s="1"/>
  <c r="CY256" i="3"/>
  <c r="CZ256" i="3"/>
  <c r="DB256" i="3" s="1"/>
  <c r="DA256" i="3"/>
  <c r="DC256" i="3"/>
  <c r="DF256" i="3"/>
  <c r="DH256" i="3"/>
  <c r="DI256" i="3"/>
  <c r="DJ256" i="3"/>
  <c r="A257" i="3"/>
  <c r="Y257" i="3"/>
  <c r="CX257" i="3"/>
  <c r="CY257" i="3"/>
  <c r="CZ257" i="3"/>
  <c r="DA257" i="3"/>
  <c r="DB257" i="3"/>
  <c r="DC257" i="3"/>
  <c r="DH257" i="3"/>
  <c r="DI257" i="3"/>
  <c r="A258" i="3"/>
  <c r="Y258" i="3"/>
  <c r="CX258" i="3"/>
  <c r="DG258" i="3" s="1"/>
  <c r="CY258" i="3"/>
  <c r="CZ258" i="3"/>
  <c r="DA258" i="3"/>
  <c r="DB258" i="3"/>
  <c r="DC258" i="3"/>
  <c r="A259" i="3"/>
  <c r="Y259" i="3"/>
  <c r="CX259" i="3" s="1"/>
  <c r="CY259" i="3"/>
  <c r="CZ259" i="3"/>
  <c r="DB259" i="3" s="1"/>
  <c r="DA259" i="3"/>
  <c r="DC259" i="3"/>
  <c r="A260" i="3"/>
  <c r="Y260" i="3"/>
  <c r="CX260" i="3"/>
  <c r="DG260" i="3" s="1"/>
  <c r="CY260" i="3"/>
  <c r="CZ260" i="3"/>
  <c r="DB260" i="3" s="1"/>
  <c r="DA260" i="3"/>
  <c r="DC260" i="3"/>
  <c r="DF260" i="3"/>
  <c r="DH260" i="3"/>
  <c r="DI260" i="3"/>
  <c r="DJ260" i="3"/>
  <c r="A261" i="3"/>
  <c r="Y261" i="3"/>
  <c r="CX261" i="3"/>
  <c r="CY261" i="3"/>
  <c r="CZ261" i="3"/>
  <c r="DA261" i="3"/>
  <c r="DB261" i="3"/>
  <c r="DC261" i="3"/>
  <c r="DH261" i="3"/>
  <c r="DI261" i="3"/>
  <c r="A262" i="3"/>
  <c r="Y262" i="3"/>
  <c r="CX262" i="3"/>
  <c r="DG262" i="3" s="1"/>
  <c r="CY262" i="3"/>
  <c r="CZ262" i="3"/>
  <c r="DA262" i="3"/>
  <c r="DB262" i="3"/>
  <c r="DC262" i="3"/>
  <c r="A263" i="3"/>
  <c r="Y263" i="3"/>
  <c r="CX263" i="3" s="1"/>
  <c r="CY263" i="3"/>
  <c r="CZ263" i="3"/>
  <c r="DB263" i="3" s="1"/>
  <c r="DA263" i="3"/>
  <c r="DC263" i="3"/>
  <c r="A264" i="3"/>
  <c r="Y264" i="3"/>
  <c r="CX264" i="3"/>
  <c r="DG264" i="3" s="1"/>
  <c r="CY264" i="3"/>
  <c r="CZ264" i="3"/>
  <c r="DB264" i="3" s="1"/>
  <c r="DA264" i="3"/>
  <c r="DC264" i="3"/>
  <c r="DF264" i="3"/>
  <c r="DJ264" i="3" s="1"/>
  <c r="DH264" i="3"/>
  <c r="DI264" i="3"/>
  <c r="A265" i="3"/>
  <c r="Y265" i="3"/>
  <c r="CX265" i="3"/>
  <c r="CY265" i="3"/>
  <c r="CZ265" i="3"/>
  <c r="DA265" i="3"/>
  <c r="DB265" i="3"/>
  <c r="DC265" i="3"/>
  <c r="DH265" i="3"/>
  <c r="DI265" i="3"/>
  <c r="DJ265" i="3" s="1"/>
  <c r="A266" i="3"/>
  <c r="Y266" i="3"/>
  <c r="CX266" i="3"/>
  <c r="DG266" i="3" s="1"/>
  <c r="DJ266" i="3" s="1"/>
  <c r="CY266" i="3"/>
  <c r="CZ266" i="3"/>
  <c r="DA266" i="3"/>
  <c r="DB266" i="3"/>
  <c r="DC266" i="3"/>
  <c r="A267" i="3"/>
  <c r="Y267" i="3"/>
  <c r="CX267" i="3" s="1"/>
  <c r="CY267" i="3"/>
  <c r="CZ267" i="3"/>
  <c r="DB267" i="3" s="1"/>
  <c r="DA267" i="3"/>
  <c r="DC267" i="3"/>
  <c r="A268" i="3"/>
  <c r="Y268" i="3"/>
  <c r="CX268" i="3"/>
  <c r="DG268" i="3" s="1"/>
  <c r="CY268" i="3"/>
  <c r="CZ268" i="3"/>
  <c r="DB268" i="3" s="1"/>
  <c r="DA268" i="3"/>
  <c r="DC268" i="3"/>
  <c r="DF268" i="3"/>
  <c r="DJ268" i="3" s="1"/>
  <c r="DH268" i="3"/>
  <c r="DI268" i="3"/>
  <c r="A269" i="3"/>
  <c r="Y269" i="3"/>
  <c r="CX269" i="3"/>
  <c r="CY269" i="3"/>
  <c r="CZ269" i="3"/>
  <c r="DA269" i="3"/>
  <c r="DB269" i="3"/>
  <c r="DC269" i="3"/>
  <c r="DH269" i="3"/>
  <c r="DI269" i="3"/>
  <c r="A270" i="3"/>
  <c r="Y270" i="3"/>
  <c r="CX270" i="3"/>
  <c r="DG270" i="3" s="1"/>
  <c r="CY270" i="3"/>
  <c r="CZ270" i="3"/>
  <c r="DA270" i="3"/>
  <c r="DB270" i="3"/>
  <c r="DC270" i="3"/>
  <c r="A271" i="3"/>
  <c r="Y271" i="3"/>
  <c r="CX271" i="3" s="1"/>
  <c r="CY271" i="3"/>
  <c r="CZ271" i="3"/>
  <c r="DB271" i="3" s="1"/>
  <c r="DA271" i="3"/>
  <c r="DC271" i="3"/>
  <c r="A272" i="3"/>
  <c r="Y272" i="3"/>
  <c r="CX272" i="3"/>
  <c r="DG272" i="3" s="1"/>
  <c r="CY272" i="3"/>
  <c r="CZ272" i="3"/>
  <c r="DB272" i="3" s="1"/>
  <c r="DA272" i="3"/>
  <c r="DC272" i="3"/>
  <c r="DF272" i="3"/>
  <c r="DJ272" i="3" s="1"/>
  <c r="DH272" i="3"/>
  <c r="DI272" i="3"/>
  <c r="A273" i="3"/>
  <c r="Y273" i="3"/>
  <c r="CX273" i="3"/>
  <c r="CY273" i="3"/>
  <c r="CZ273" i="3"/>
  <c r="DA273" i="3"/>
  <c r="DB273" i="3"/>
  <c r="DC273" i="3"/>
  <c r="DH273" i="3"/>
  <c r="DI273" i="3"/>
  <c r="DJ273" i="3" s="1"/>
  <c r="A274" i="3"/>
  <c r="Y274" i="3"/>
  <c r="CX274" i="3"/>
  <c r="DG274" i="3" s="1"/>
  <c r="DJ274" i="3" s="1"/>
  <c r="CY274" i="3"/>
  <c r="CZ274" i="3"/>
  <c r="DA274" i="3"/>
  <c r="DB274" i="3"/>
  <c r="DC274" i="3"/>
  <c r="A275" i="3"/>
  <c r="Y275" i="3"/>
  <c r="CX275" i="3" s="1"/>
  <c r="CY275" i="3"/>
  <c r="CZ275" i="3"/>
  <c r="DB275" i="3" s="1"/>
  <c r="DA275" i="3"/>
  <c r="DC275" i="3"/>
  <c r="A276" i="3"/>
  <c r="Y276" i="3"/>
  <c r="CX276" i="3"/>
  <c r="DG276" i="3" s="1"/>
  <c r="CY276" i="3"/>
  <c r="CZ276" i="3"/>
  <c r="DB276" i="3" s="1"/>
  <c r="DA276" i="3"/>
  <c r="DC276" i="3"/>
  <c r="DF276" i="3"/>
  <c r="DJ276" i="3" s="1"/>
  <c r="DH276" i="3"/>
  <c r="DI276" i="3"/>
  <c r="A277" i="3"/>
  <c r="Y277" i="3"/>
  <c r="CX277" i="3"/>
  <c r="CY277" i="3"/>
  <c r="CZ277" i="3"/>
  <c r="DA277" i="3"/>
  <c r="DB277" i="3"/>
  <c r="DC277" i="3"/>
  <c r="DH277" i="3"/>
  <c r="DI277" i="3"/>
  <c r="A278" i="3"/>
  <c r="Y278" i="3"/>
  <c r="CX278" i="3"/>
  <c r="DG278" i="3" s="1"/>
  <c r="CY278" i="3"/>
  <c r="CZ278" i="3"/>
  <c r="DA278" i="3"/>
  <c r="DB278" i="3"/>
  <c r="DC278" i="3"/>
  <c r="A279" i="3"/>
  <c r="Y279" i="3"/>
  <c r="CX279" i="3" s="1"/>
  <c r="DH279" i="3" s="1"/>
  <c r="CY279" i="3"/>
  <c r="CZ279" i="3"/>
  <c r="DB279" i="3" s="1"/>
  <c r="DA279" i="3"/>
  <c r="DC279" i="3"/>
  <c r="DF279" i="3"/>
  <c r="DJ279" i="3" s="1"/>
  <c r="DG279" i="3"/>
  <c r="DI279" i="3"/>
  <c r="A280" i="3"/>
  <c r="Y280" i="3"/>
  <c r="CX280" i="3"/>
  <c r="CY280" i="3"/>
  <c r="CZ280" i="3"/>
  <c r="DA280" i="3"/>
  <c r="DB280" i="3"/>
  <c r="DC280" i="3"/>
  <c r="DI280" i="3"/>
  <c r="A281" i="3"/>
  <c r="Y281" i="3"/>
  <c r="CX281" i="3"/>
  <c r="CY281" i="3"/>
  <c r="CZ281" i="3"/>
  <c r="DA281" i="3"/>
  <c r="DB281" i="3"/>
  <c r="DC281" i="3"/>
  <c r="A282" i="3"/>
  <c r="Y282" i="3"/>
  <c r="CX282" i="3"/>
  <c r="DI282" i="3" s="1"/>
  <c r="CY282" i="3"/>
  <c r="CZ282" i="3"/>
  <c r="DA282" i="3"/>
  <c r="DB282" i="3"/>
  <c r="DC282" i="3"/>
  <c r="DH282" i="3"/>
  <c r="A283" i="3"/>
  <c r="Y283" i="3"/>
  <c r="CX283" i="3" s="1"/>
  <c r="DH283" i="3" s="1"/>
  <c r="CY283" i="3"/>
  <c r="CZ283" i="3"/>
  <c r="DB283" i="3" s="1"/>
  <c r="DA283" i="3"/>
  <c r="DC283" i="3"/>
  <c r="DF283" i="3"/>
  <c r="DJ283" i="3" s="1"/>
  <c r="DG283" i="3"/>
  <c r="A284" i="3"/>
  <c r="Y284" i="3"/>
  <c r="CX284" i="3"/>
  <c r="DG284" i="3" s="1"/>
  <c r="CY284" i="3"/>
  <c r="CZ284" i="3"/>
  <c r="DB284" i="3" s="1"/>
  <c r="DA284" i="3"/>
  <c r="DC284" i="3"/>
  <c r="DF284" i="3"/>
  <c r="DJ284" i="3" s="1"/>
  <c r="DH284" i="3"/>
  <c r="DI284" i="3"/>
  <c r="A285" i="3"/>
  <c r="Y285" i="3"/>
  <c r="CX285" i="3" s="1"/>
  <c r="CY285" i="3"/>
  <c r="CZ285" i="3"/>
  <c r="DA285" i="3"/>
  <c r="DB285" i="3"/>
  <c r="DC285" i="3"/>
  <c r="A286" i="3"/>
  <c r="Y286" i="3"/>
  <c r="CX286" i="3"/>
  <c r="DH286" i="3" s="1"/>
  <c r="CY286" i="3"/>
  <c r="CZ286" i="3"/>
  <c r="DA286" i="3"/>
  <c r="DB286" i="3"/>
  <c r="DC286" i="3"/>
  <c r="A287" i="3"/>
  <c r="Y287" i="3"/>
  <c r="CX287" i="3" s="1"/>
  <c r="DF287" i="3" s="1"/>
  <c r="CY287" i="3"/>
  <c r="CZ287" i="3"/>
  <c r="DB287" i="3" s="1"/>
  <c r="DA287" i="3"/>
  <c r="DC287" i="3"/>
  <c r="A288" i="3"/>
  <c r="Y288" i="3"/>
  <c r="CX288" i="3"/>
  <c r="DG288" i="3" s="1"/>
  <c r="CY288" i="3"/>
  <c r="CZ288" i="3"/>
  <c r="DB288" i="3" s="1"/>
  <c r="DA288" i="3"/>
  <c r="DC288" i="3"/>
  <c r="DF288" i="3"/>
  <c r="DI288" i="3"/>
  <c r="DJ288" i="3"/>
  <c r="A289" i="3"/>
  <c r="Y289" i="3"/>
  <c r="CX289" i="3"/>
  <c r="DF289" i="3" s="1"/>
  <c r="DJ289" i="3" s="1"/>
  <c r="CY289" i="3"/>
  <c r="CZ289" i="3"/>
  <c r="DA289" i="3"/>
  <c r="DB289" i="3"/>
  <c r="DC289" i="3"/>
  <c r="DG289" i="3"/>
  <c r="DI289" i="3"/>
  <c r="A290" i="3"/>
  <c r="Y290" i="3"/>
  <c r="CX290" i="3" s="1"/>
  <c r="DF290" i="3" s="1"/>
  <c r="DJ290" i="3" s="1"/>
  <c r="CY290" i="3"/>
  <c r="CZ290" i="3"/>
  <c r="DB290" i="3" s="1"/>
  <c r="DA290" i="3"/>
  <c r="DC290" i="3"/>
  <c r="A291" i="3"/>
  <c r="Y291" i="3"/>
  <c r="CX291" i="3" s="1"/>
  <c r="DI291" i="3" s="1"/>
  <c r="CY291" i="3"/>
  <c r="CZ291" i="3"/>
  <c r="DB291" i="3" s="1"/>
  <c r="DA291" i="3"/>
  <c r="DC291" i="3"/>
  <c r="A292" i="3"/>
  <c r="Y292" i="3"/>
  <c r="CX292" i="3"/>
  <c r="CY292" i="3"/>
  <c r="CZ292" i="3"/>
  <c r="DA292" i="3"/>
  <c r="DB292" i="3"/>
  <c r="DC292" i="3"/>
  <c r="DI292" i="3"/>
  <c r="A293" i="3"/>
  <c r="Y293" i="3"/>
  <c r="CX293" i="3"/>
  <c r="CY293" i="3"/>
  <c r="CZ293" i="3"/>
  <c r="DA293" i="3"/>
  <c r="DB293" i="3"/>
  <c r="DC293" i="3"/>
  <c r="A294" i="3"/>
  <c r="Y294" i="3"/>
  <c r="CX294" i="3"/>
  <c r="DI294" i="3" s="1"/>
  <c r="CY294" i="3"/>
  <c r="CZ294" i="3"/>
  <c r="DB294" i="3" s="1"/>
  <c r="DA294" i="3"/>
  <c r="DC294" i="3"/>
  <c r="DF294" i="3"/>
  <c r="DH294" i="3"/>
  <c r="A295" i="3"/>
  <c r="Y295" i="3"/>
  <c r="CX295" i="3" s="1"/>
  <c r="DH295" i="3" s="1"/>
  <c r="CY295" i="3"/>
  <c r="CZ295" i="3"/>
  <c r="DB295" i="3" s="1"/>
  <c r="DA295" i="3"/>
  <c r="DC295" i="3"/>
  <c r="DF295" i="3"/>
  <c r="DJ295" i="3" s="1"/>
  <c r="DG295" i="3"/>
  <c r="DI295" i="3"/>
  <c r="A296" i="3"/>
  <c r="Y296" i="3"/>
  <c r="CX296" i="3"/>
  <c r="CY296" i="3"/>
  <c r="CZ296" i="3"/>
  <c r="DA296" i="3"/>
  <c r="DB296" i="3"/>
  <c r="DC296" i="3"/>
  <c r="A297" i="3"/>
  <c r="Y297" i="3"/>
  <c r="CX297" i="3" s="1"/>
  <c r="CY297" i="3"/>
  <c r="CZ297" i="3"/>
  <c r="DA297" i="3"/>
  <c r="DB297" i="3"/>
  <c r="DC297" i="3"/>
  <c r="A298" i="3"/>
  <c r="Y298" i="3"/>
  <c r="CX298" i="3"/>
  <c r="CY298" i="3"/>
  <c r="CZ298" i="3"/>
  <c r="DA298" i="3"/>
  <c r="DB298" i="3"/>
  <c r="DC298" i="3"/>
  <c r="A299" i="3"/>
  <c r="Y299" i="3"/>
  <c r="CX299" i="3" s="1"/>
  <c r="DH299" i="3" s="1"/>
  <c r="CY299" i="3"/>
  <c r="CZ299" i="3"/>
  <c r="DB299" i="3" s="1"/>
  <c r="DA299" i="3"/>
  <c r="DC299" i="3"/>
  <c r="DF299" i="3"/>
  <c r="DJ299" i="3" s="1"/>
  <c r="DG299" i="3"/>
  <c r="A300" i="3"/>
  <c r="Y300" i="3"/>
  <c r="CX300" i="3"/>
  <c r="DG300" i="3" s="1"/>
  <c r="CY300" i="3"/>
  <c r="CZ300" i="3"/>
  <c r="DB300" i="3" s="1"/>
  <c r="DA300" i="3"/>
  <c r="DC300" i="3"/>
  <c r="DF300" i="3"/>
  <c r="DJ300" i="3" s="1"/>
  <c r="DH300" i="3"/>
  <c r="DI300" i="3"/>
  <c r="A301" i="3"/>
  <c r="Y301" i="3"/>
  <c r="CX301" i="3" s="1"/>
  <c r="CY301" i="3"/>
  <c r="CZ301" i="3"/>
  <c r="DA301" i="3"/>
  <c r="DB301" i="3"/>
  <c r="DC301" i="3"/>
  <c r="DG301" i="3"/>
  <c r="A302" i="3"/>
  <c r="Y302" i="3"/>
  <c r="CX302" i="3" s="1"/>
  <c r="CY302" i="3"/>
  <c r="CZ302" i="3"/>
  <c r="DB302" i="3" s="1"/>
  <c r="DA302" i="3"/>
  <c r="DC302" i="3"/>
  <c r="A303" i="3"/>
  <c r="Y303" i="3"/>
  <c r="CX303" i="3"/>
  <c r="DG303" i="3" s="1"/>
  <c r="CY303" i="3"/>
  <c r="CZ303" i="3"/>
  <c r="DB303" i="3" s="1"/>
  <c r="DA303" i="3"/>
  <c r="DC303" i="3"/>
  <c r="DF303" i="3"/>
  <c r="DH303" i="3"/>
  <c r="DI303" i="3"/>
  <c r="DJ303" i="3"/>
  <c r="A304" i="3"/>
  <c r="Y304" i="3"/>
  <c r="CX304" i="3"/>
  <c r="DH304" i="3" s="1"/>
  <c r="CY304" i="3"/>
  <c r="CZ304" i="3"/>
  <c r="DA304" i="3"/>
  <c r="DB304" i="3"/>
  <c r="DC304" i="3"/>
  <c r="DI304" i="3"/>
  <c r="A305" i="3"/>
  <c r="Y305" i="3"/>
  <c r="CX305" i="3"/>
  <c r="CY305" i="3"/>
  <c r="CZ305" i="3"/>
  <c r="DA305" i="3"/>
  <c r="DB305" i="3"/>
  <c r="DC305" i="3"/>
  <c r="DG305" i="3"/>
  <c r="A306" i="3"/>
  <c r="Y306" i="3"/>
  <c r="CX306" i="3" s="1"/>
  <c r="CY306" i="3"/>
  <c r="CZ306" i="3"/>
  <c r="DB306" i="3" s="1"/>
  <c r="DA306" i="3"/>
  <c r="DC306" i="3"/>
  <c r="A307" i="3"/>
  <c r="Y307" i="3"/>
  <c r="CX307" i="3"/>
  <c r="DG307" i="3" s="1"/>
  <c r="CY307" i="3"/>
  <c r="CZ307" i="3"/>
  <c r="DB307" i="3" s="1"/>
  <c r="DA307" i="3"/>
  <c r="DC307" i="3"/>
  <c r="DF307" i="3"/>
  <c r="DJ307" i="3" s="1"/>
  <c r="DH307" i="3"/>
  <c r="DI307" i="3"/>
  <c r="A308" i="3"/>
  <c r="Y308" i="3"/>
  <c r="CX308" i="3"/>
  <c r="DH308" i="3" s="1"/>
  <c r="CY308" i="3"/>
  <c r="CZ308" i="3"/>
  <c r="DA308" i="3"/>
  <c r="DB308" i="3"/>
  <c r="DC308" i="3"/>
  <c r="DI308" i="3"/>
  <c r="A309" i="3"/>
  <c r="Y309" i="3"/>
  <c r="CX309" i="3"/>
  <c r="CY309" i="3"/>
  <c r="CZ309" i="3"/>
  <c r="DA309" i="3"/>
  <c r="DB309" i="3"/>
  <c r="DC309" i="3"/>
  <c r="DG309" i="3"/>
  <c r="A310" i="3"/>
  <c r="Y310" i="3"/>
  <c r="CX310" i="3" s="1"/>
  <c r="CY310" i="3"/>
  <c r="CZ310" i="3"/>
  <c r="DB310" i="3" s="1"/>
  <c r="DA310" i="3"/>
  <c r="DC310" i="3"/>
  <c r="A311" i="3"/>
  <c r="Y311" i="3"/>
  <c r="CX311" i="3"/>
  <c r="DG311" i="3" s="1"/>
  <c r="CY311" i="3"/>
  <c r="CZ311" i="3"/>
  <c r="DB311" i="3" s="1"/>
  <c r="DA311" i="3"/>
  <c r="DC311" i="3"/>
  <c r="DF311" i="3"/>
  <c r="DH311" i="3"/>
  <c r="DI311" i="3"/>
  <c r="DJ311" i="3" s="1"/>
  <c r="A312" i="3"/>
  <c r="Y312" i="3"/>
  <c r="CX312" i="3"/>
  <c r="DH312" i="3" s="1"/>
  <c r="CY312" i="3"/>
  <c r="CZ312" i="3"/>
  <c r="DA312" i="3"/>
  <c r="DB312" i="3"/>
  <c r="DC312" i="3"/>
  <c r="DI312" i="3"/>
  <c r="A313" i="3"/>
  <c r="Y313" i="3"/>
  <c r="CX313" i="3"/>
  <c r="CY313" i="3"/>
  <c r="CZ313" i="3"/>
  <c r="DA313" i="3"/>
  <c r="DB313" i="3"/>
  <c r="DC313" i="3"/>
  <c r="DG313" i="3"/>
  <c r="A314" i="3"/>
  <c r="Y314" i="3"/>
  <c r="CX314" i="3" s="1"/>
  <c r="CY314" i="3"/>
  <c r="CZ314" i="3"/>
  <c r="DB314" i="3" s="1"/>
  <c r="DA314" i="3"/>
  <c r="DC314" i="3"/>
  <c r="A315" i="3"/>
  <c r="Y315" i="3"/>
  <c r="CX315" i="3"/>
  <c r="DG315" i="3" s="1"/>
  <c r="CY315" i="3"/>
  <c r="CZ315" i="3"/>
  <c r="DB315" i="3" s="1"/>
  <c r="DA315" i="3"/>
  <c r="DC315" i="3"/>
  <c r="DF315" i="3"/>
  <c r="DJ315" i="3" s="1"/>
  <c r="DH315" i="3"/>
  <c r="DI315" i="3"/>
  <c r="A316" i="3"/>
  <c r="Y316" i="3"/>
  <c r="CX316" i="3"/>
  <c r="DH316" i="3" s="1"/>
  <c r="CY316" i="3"/>
  <c r="CZ316" i="3"/>
  <c r="DA316" i="3"/>
  <c r="DB316" i="3"/>
  <c r="DC316" i="3"/>
  <c r="DI316" i="3"/>
  <c r="A317" i="3"/>
  <c r="Y317" i="3"/>
  <c r="CX317" i="3"/>
  <c r="CY317" i="3"/>
  <c r="CZ317" i="3"/>
  <c r="DA317" i="3"/>
  <c r="DB317" i="3"/>
  <c r="DC317" i="3"/>
  <c r="DG317" i="3"/>
  <c r="A318" i="3"/>
  <c r="Y318" i="3"/>
  <c r="CX318" i="3" s="1"/>
  <c r="CY318" i="3"/>
  <c r="CZ318" i="3"/>
  <c r="DB318" i="3" s="1"/>
  <c r="DA318" i="3"/>
  <c r="DC318" i="3"/>
  <c r="A319" i="3"/>
  <c r="Y319" i="3"/>
  <c r="CX319" i="3"/>
  <c r="DG319" i="3" s="1"/>
  <c r="CY319" i="3"/>
  <c r="CZ319" i="3"/>
  <c r="DB319" i="3" s="1"/>
  <c r="DA319" i="3"/>
  <c r="DC319" i="3"/>
  <c r="DF319" i="3"/>
  <c r="DJ319" i="3" s="1"/>
  <c r="DH319" i="3"/>
  <c r="DI319" i="3"/>
  <c r="A320" i="3"/>
  <c r="Y320" i="3"/>
  <c r="CX320" i="3"/>
  <c r="DH320" i="3" s="1"/>
  <c r="CY320" i="3"/>
  <c r="CZ320" i="3"/>
  <c r="DA320" i="3"/>
  <c r="DB320" i="3"/>
  <c r="DC320" i="3"/>
  <c r="DI320" i="3"/>
  <c r="A321" i="3"/>
  <c r="Y321" i="3"/>
  <c r="CX321" i="3"/>
  <c r="CY321" i="3"/>
  <c r="CZ321" i="3"/>
  <c r="DA321" i="3"/>
  <c r="DB321" i="3"/>
  <c r="DC321" i="3"/>
  <c r="DG321" i="3"/>
  <c r="A322" i="3"/>
  <c r="Y322" i="3"/>
  <c r="CX322" i="3" s="1"/>
  <c r="CY322" i="3"/>
  <c r="CZ322" i="3"/>
  <c r="DB322" i="3" s="1"/>
  <c r="DA322" i="3"/>
  <c r="DC322" i="3"/>
  <c r="A323" i="3"/>
  <c r="Y323" i="3"/>
  <c r="CX323" i="3"/>
  <c r="DG323" i="3" s="1"/>
  <c r="CY323" i="3"/>
  <c r="CZ323" i="3"/>
  <c r="DB323" i="3" s="1"/>
  <c r="DA323" i="3"/>
  <c r="DC323" i="3"/>
  <c r="DF323" i="3"/>
  <c r="DH323" i="3"/>
  <c r="DI323" i="3"/>
  <c r="DJ323" i="3"/>
  <c r="A324" i="3"/>
  <c r="Y324" i="3"/>
  <c r="CX324" i="3" s="1"/>
  <c r="CY324" i="3"/>
  <c r="CZ324" i="3"/>
  <c r="DA324" i="3"/>
  <c r="DB324" i="3"/>
  <c r="DC324" i="3"/>
  <c r="DG324" i="3"/>
  <c r="DJ324" i="3" s="1"/>
  <c r="A325" i="3"/>
  <c r="Y325" i="3"/>
  <c r="CX325" i="3" s="1"/>
  <c r="CY325" i="3"/>
  <c r="CZ325" i="3"/>
  <c r="DA325" i="3"/>
  <c r="DB325" i="3"/>
  <c r="DC325" i="3"/>
  <c r="DG325" i="3"/>
  <c r="DJ325" i="3" s="1"/>
  <c r="A326" i="3"/>
  <c r="Y326" i="3"/>
  <c r="CX326" i="3" s="1"/>
  <c r="CY326" i="3"/>
  <c r="CZ326" i="3"/>
  <c r="DB326" i="3" s="1"/>
  <c r="DA326" i="3"/>
  <c r="DC326" i="3"/>
  <c r="A327" i="3"/>
  <c r="Y327" i="3"/>
  <c r="CX327" i="3"/>
  <c r="DG327" i="3" s="1"/>
  <c r="CY327" i="3"/>
  <c r="CZ327" i="3"/>
  <c r="DB327" i="3" s="1"/>
  <c r="DA327" i="3"/>
  <c r="DC327" i="3"/>
  <c r="DF327" i="3"/>
  <c r="DI327" i="3"/>
  <c r="DJ327" i="3"/>
  <c r="A328" i="3"/>
  <c r="Y328" i="3"/>
  <c r="CX328" i="3"/>
  <c r="DF328" i="3" s="1"/>
  <c r="DJ328" i="3" s="1"/>
  <c r="CY328" i="3"/>
  <c r="CZ328" i="3"/>
  <c r="DA328" i="3"/>
  <c r="DB328" i="3"/>
  <c r="DC328" i="3"/>
  <c r="DG328" i="3"/>
  <c r="DI328" i="3"/>
  <c r="A329" i="3"/>
  <c r="Y329" i="3"/>
  <c r="CX329" i="3" s="1"/>
  <c r="CY329" i="3"/>
  <c r="CZ329" i="3"/>
  <c r="DB329" i="3" s="1"/>
  <c r="DA329" i="3"/>
  <c r="DC329" i="3"/>
  <c r="DF329" i="3"/>
  <c r="DJ329" i="3" s="1"/>
  <c r="A330" i="3"/>
  <c r="Y330" i="3"/>
  <c r="CX330" i="3" s="1"/>
  <c r="DH330" i="3" s="1"/>
  <c r="CY330" i="3"/>
  <c r="CZ330" i="3"/>
  <c r="DB330" i="3" s="1"/>
  <c r="DA330" i="3"/>
  <c r="DC330" i="3"/>
  <c r="DI330" i="3"/>
  <c r="A331" i="3"/>
  <c r="Y331" i="3"/>
  <c r="CX331" i="3"/>
  <c r="CY331" i="3"/>
  <c r="CZ331" i="3"/>
  <c r="DA331" i="3"/>
  <c r="DB331" i="3"/>
  <c r="DC331" i="3"/>
  <c r="A332" i="3"/>
  <c r="Y332" i="3"/>
  <c r="CX332" i="3"/>
  <c r="DI332" i="3" s="1"/>
  <c r="CY332" i="3"/>
  <c r="CZ332" i="3"/>
  <c r="DA332" i="3"/>
  <c r="DB332" i="3"/>
  <c r="DC332" i="3"/>
  <c r="A333" i="3"/>
  <c r="Y333" i="3"/>
  <c r="CX333" i="3"/>
  <c r="DI333" i="3" s="1"/>
  <c r="CY333" i="3"/>
  <c r="CZ333" i="3"/>
  <c r="DB333" i="3" s="1"/>
  <c r="DA333" i="3"/>
  <c r="DC333" i="3"/>
  <c r="DF333" i="3"/>
  <c r="DH333" i="3"/>
  <c r="DJ333" i="3"/>
  <c r="A334" i="3"/>
  <c r="Y334" i="3"/>
  <c r="CX334" i="3" s="1"/>
  <c r="DH334" i="3" s="1"/>
  <c r="CY334" i="3"/>
  <c r="CZ334" i="3"/>
  <c r="DB334" i="3" s="1"/>
  <c r="DA334" i="3"/>
  <c r="DC334" i="3"/>
  <c r="DF334" i="3"/>
  <c r="DG334" i="3"/>
  <c r="DJ334" i="3" s="1"/>
  <c r="DI334" i="3"/>
  <c r="A335" i="3"/>
  <c r="Y335" i="3"/>
  <c r="CX335" i="3"/>
  <c r="DG335" i="3" s="1"/>
  <c r="DJ335" i="3" s="1"/>
  <c r="CY335" i="3"/>
  <c r="CZ335" i="3"/>
  <c r="DA335" i="3"/>
  <c r="DB335" i="3"/>
  <c r="DC335" i="3"/>
  <c r="DH335" i="3"/>
  <c r="DI335" i="3"/>
  <c r="A336" i="3"/>
  <c r="Y336" i="3"/>
  <c r="CX336" i="3" s="1"/>
  <c r="CY336" i="3"/>
  <c r="CZ336" i="3"/>
  <c r="DA336" i="3"/>
  <c r="DB336" i="3"/>
  <c r="DC336" i="3"/>
  <c r="DH336" i="3"/>
  <c r="A337" i="3"/>
  <c r="Y337" i="3"/>
  <c r="CX337" i="3"/>
  <c r="CY337" i="3"/>
  <c r="CZ337" i="3"/>
  <c r="DA337" i="3"/>
  <c r="DB337" i="3"/>
  <c r="DC337" i="3"/>
  <c r="DH337" i="3"/>
  <c r="A338" i="3"/>
  <c r="Y338" i="3"/>
  <c r="CX338" i="3" s="1"/>
  <c r="DH338" i="3" s="1"/>
  <c r="CY338" i="3"/>
  <c r="CZ338" i="3"/>
  <c r="DB338" i="3" s="1"/>
  <c r="DA338" i="3"/>
  <c r="DC338" i="3"/>
  <c r="DF338" i="3"/>
  <c r="DJ338" i="3" s="1"/>
  <c r="DG338" i="3"/>
  <c r="A339" i="3"/>
  <c r="Y339" i="3"/>
  <c r="CX339" i="3"/>
  <c r="DG339" i="3" s="1"/>
  <c r="CY339" i="3"/>
  <c r="CZ339" i="3"/>
  <c r="DB339" i="3" s="1"/>
  <c r="DA339" i="3"/>
  <c r="DC339" i="3"/>
  <c r="DF339" i="3"/>
  <c r="DJ339" i="3" s="1"/>
  <c r="DH339" i="3"/>
  <c r="DI339" i="3"/>
  <c r="A340" i="3"/>
  <c r="Y340" i="3"/>
  <c r="CX340" i="3" s="1"/>
  <c r="DG340" i="3" s="1"/>
  <c r="CY340" i="3"/>
  <c r="CZ340" i="3"/>
  <c r="DA340" i="3"/>
  <c r="DB340" i="3"/>
  <c r="DC340" i="3"/>
  <c r="A341" i="3"/>
  <c r="Y341" i="3"/>
  <c r="CX341" i="3" s="1"/>
  <c r="DG341" i="3" s="1"/>
  <c r="CY341" i="3"/>
  <c r="CZ341" i="3"/>
  <c r="DA341" i="3"/>
  <c r="DB341" i="3"/>
  <c r="DC341" i="3"/>
  <c r="A342" i="3"/>
  <c r="Y342" i="3"/>
  <c r="CX342" i="3" s="1"/>
  <c r="CY342" i="3"/>
  <c r="CZ342" i="3"/>
  <c r="DB342" i="3" s="1"/>
  <c r="DA342" i="3"/>
  <c r="DC342" i="3"/>
  <c r="A343" i="3"/>
  <c r="Y343" i="3"/>
  <c r="CX343" i="3"/>
  <c r="DG343" i="3" s="1"/>
  <c r="CY343" i="3"/>
  <c r="CZ343" i="3"/>
  <c r="DB343" i="3" s="1"/>
  <c r="DA343" i="3"/>
  <c r="DC343" i="3"/>
  <c r="DF343" i="3"/>
  <c r="DI343" i="3"/>
  <c r="DJ343" i="3"/>
  <c r="A344" i="3"/>
  <c r="Y344" i="3"/>
  <c r="CX344" i="3"/>
  <c r="DF344" i="3" s="1"/>
  <c r="CY344" i="3"/>
  <c r="CZ344" i="3"/>
  <c r="DA344" i="3"/>
  <c r="DB344" i="3"/>
  <c r="DC344" i="3"/>
  <c r="DG344" i="3"/>
  <c r="DJ344" i="3" s="1"/>
  <c r="DI344" i="3"/>
  <c r="A345" i="3"/>
  <c r="Y345" i="3"/>
  <c r="CX345" i="3" s="1"/>
  <c r="CY345" i="3"/>
  <c r="CZ345" i="3"/>
  <c r="DB345" i="3" s="1"/>
  <c r="DA345" i="3"/>
  <c r="DC345" i="3"/>
  <c r="A346" i="3"/>
  <c r="Y346" i="3"/>
  <c r="CX346" i="3" s="1"/>
  <c r="DH346" i="3" s="1"/>
  <c r="CY346" i="3"/>
  <c r="CZ346" i="3"/>
  <c r="DB346" i="3" s="1"/>
  <c r="DA346" i="3"/>
  <c r="DC346" i="3"/>
  <c r="DI346" i="3"/>
  <c r="A347" i="3"/>
  <c r="Y347" i="3"/>
  <c r="CX347" i="3"/>
  <c r="CY347" i="3"/>
  <c r="CZ347" i="3"/>
  <c r="DA347" i="3"/>
  <c r="DB347" i="3"/>
  <c r="DC347" i="3"/>
  <c r="DI347" i="3"/>
  <c r="A348" i="3"/>
  <c r="Y348" i="3"/>
  <c r="CX348" i="3"/>
  <c r="CY348" i="3"/>
  <c r="CZ348" i="3"/>
  <c r="DA348" i="3"/>
  <c r="DB348" i="3"/>
  <c r="DC348" i="3"/>
  <c r="A349" i="3"/>
  <c r="Y349" i="3"/>
  <c r="CX349" i="3"/>
  <c r="DI349" i="3" s="1"/>
  <c r="CY349" i="3"/>
  <c r="CZ349" i="3"/>
  <c r="DB349" i="3" s="1"/>
  <c r="DA349" i="3"/>
  <c r="DC349" i="3"/>
  <c r="DF349" i="3"/>
  <c r="DH349" i="3"/>
  <c r="DJ349" i="3"/>
  <c r="A350" i="3"/>
  <c r="Y350" i="3"/>
  <c r="CX350" i="3" s="1"/>
  <c r="DH350" i="3" s="1"/>
  <c r="CY350" i="3"/>
  <c r="CZ350" i="3"/>
  <c r="DB350" i="3" s="1"/>
  <c r="DA350" i="3"/>
  <c r="DC350" i="3"/>
  <c r="DF350" i="3"/>
  <c r="DG350" i="3"/>
  <c r="DJ350" i="3" s="1"/>
  <c r="DI350" i="3"/>
  <c r="A351" i="3"/>
  <c r="Y351" i="3"/>
  <c r="CX351" i="3"/>
  <c r="DG351" i="3" s="1"/>
  <c r="CY351" i="3"/>
  <c r="CZ351" i="3"/>
  <c r="DA351" i="3"/>
  <c r="DB351" i="3"/>
  <c r="DC351" i="3"/>
  <c r="DH351" i="3"/>
  <c r="DI351" i="3"/>
  <c r="A352" i="3"/>
  <c r="Y352" i="3"/>
  <c r="CX352" i="3" s="1"/>
  <c r="DH352" i="3" s="1"/>
  <c r="CY352" i="3"/>
  <c r="CZ352" i="3"/>
  <c r="DA352" i="3"/>
  <c r="DB352" i="3"/>
  <c r="DC352" i="3"/>
  <c r="A353" i="3"/>
  <c r="Y353" i="3"/>
  <c r="CX353" i="3"/>
  <c r="CY353" i="3"/>
  <c r="CZ353" i="3"/>
  <c r="DA353" i="3"/>
  <c r="DB353" i="3"/>
  <c r="DC353" i="3"/>
  <c r="DH353" i="3"/>
  <c r="A354" i="3"/>
  <c r="Y354" i="3"/>
  <c r="CX354" i="3" s="1"/>
  <c r="DH354" i="3" s="1"/>
  <c r="CY354" i="3"/>
  <c r="CZ354" i="3"/>
  <c r="DB354" i="3" s="1"/>
  <c r="DA354" i="3"/>
  <c r="DC354" i="3"/>
  <c r="DF354" i="3"/>
  <c r="DJ354" i="3" s="1"/>
  <c r="DG354" i="3"/>
  <c r="A355" i="3"/>
  <c r="Y355" i="3"/>
  <c r="CX355" i="3"/>
  <c r="DG355" i="3" s="1"/>
  <c r="CY355" i="3"/>
  <c r="CZ355" i="3"/>
  <c r="DB355" i="3" s="1"/>
  <c r="DA355" i="3"/>
  <c r="DC355" i="3"/>
  <c r="DF355" i="3"/>
  <c r="DH355" i="3"/>
  <c r="DI355" i="3"/>
  <c r="DJ355" i="3"/>
  <c r="A356" i="3"/>
  <c r="Y356" i="3"/>
  <c r="CX356" i="3" s="1"/>
  <c r="DG356" i="3" s="1"/>
  <c r="DJ356" i="3" s="1"/>
  <c r="CY356" i="3"/>
  <c r="CZ356" i="3"/>
  <c r="DA356" i="3"/>
  <c r="DB356" i="3"/>
  <c r="DC356" i="3"/>
  <c r="A357" i="3"/>
  <c r="Y357" i="3"/>
  <c r="CX357" i="3" s="1"/>
  <c r="DG357" i="3" s="1"/>
  <c r="DJ357" i="3" s="1"/>
  <c r="CY357" i="3"/>
  <c r="CZ357" i="3"/>
  <c r="DA357" i="3"/>
  <c r="DB357" i="3"/>
  <c r="DC357" i="3"/>
  <c r="A358" i="3"/>
  <c r="Y358" i="3"/>
  <c r="CX358" i="3" s="1"/>
  <c r="CY358" i="3"/>
  <c r="CZ358" i="3"/>
  <c r="DB358" i="3" s="1"/>
  <c r="DA358" i="3"/>
  <c r="DC358" i="3"/>
  <c r="A359" i="3"/>
  <c r="Y359" i="3"/>
  <c r="CX359" i="3"/>
  <c r="DG359" i="3" s="1"/>
  <c r="CY359" i="3"/>
  <c r="CZ359" i="3"/>
  <c r="DB359" i="3" s="1"/>
  <c r="DA359" i="3"/>
  <c r="DC359" i="3"/>
  <c r="DF359" i="3"/>
  <c r="DI359" i="3"/>
  <c r="DJ359" i="3"/>
  <c r="A360" i="3"/>
  <c r="Y360" i="3"/>
  <c r="CX360" i="3"/>
  <c r="DF360" i="3" s="1"/>
  <c r="DJ360" i="3" s="1"/>
  <c r="CY360" i="3"/>
  <c r="CZ360" i="3"/>
  <c r="DA360" i="3"/>
  <c r="DB360" i="3"/>
  <c r="DC360" i="3"/>
  <c r="DG360" i="3"/>
  <c r="DI360" i="3"/>
  <c r="A361" i="3"/>
  <c r="Y361" i="3"/>
  <c r="CX361" i="3" s="1"/>
  <c r="CY361" i="3"/>
  <c r="CZ361" i="3"/>
  <c r="DB361" i="3" s="1"/>
  <c r="DA361" i="3"/>
  <c r="DC361" i="3"/>
  <c r="A362" i="3"/>
  <c r="Y362" i="3"/>
  <c r="CX362" i="3" s="1"/>
  <c r="DH362" i="3" s="1"/>
  <c r="CY362" i="3"/>
  <c r="CZ362" i="3"/>
  <c r="DB362" i="3" s="1"/>
  <c r="DA362" i="3"/>
  <c r="DC362" i="3"/>
  <c r="DI362" i="3"/>
  <c r="A363" i="3"/>
  <c r="Y363" i="3"/>
  <c r="CX363" i="3"/>
  <c r="CY363" i="3"/>
  <c r="CZ363" i="3"/>
  <c r="DA363" i="3"/>
  <c r="DB363" i="3"/>
  <c r="DC363" i="3"/>
  <c r="DI363" i="3"/>
  <c r="A364" i="3"/>
  <c r="Y364" i="3"/>
  <c r="CX364" i="3"/>
  <c r="CY364" i="3"/>
  <c r="CZ364" i="3"/>
  <c r="DA364" i="3"/>
  <c r="DB364" i="3"/>
  <c r="DC364" i="3"/>
  <c r="A365" i="3"/>
  <c r="Y365" i="3"/>
  <c r="CX365" i="3"/>
  <c r="DI365" i="3" s="1"/>
  <c r="CY365" i="3"/>
  <c r="CZ365" i="3"/>
  <c r="DB365" i="3" s="1"/>
  <c r="DA365" i="3"/>
  <c r="DC365" i="3"/>
  <c r="DF365" i="3"/>
  <c r="DH365" i="3"/>
  <c r="A366" i="3"/>
  <c r="Y366" i="3"/>
  <c r="CX366" i="3" s="1"/>
  <c r="DH366" i="3" s="1"/>
  <c r="CY366" i="3"/>
  <c r="CZ366" i="3"/>
  <c r="DB366" i="3" s="1"/>
  <c r="DA366" i="3"/>
  <c r="DC366" i="3"/>
  <c r="DF366" i="3"/>
  <c r="DG366" i="3"/>
  <c r="DJ366" i="3" s="1"/>
  <c r="DI366" i="3"/>
  <c r="A367" i="3"/>
  <c r="Y367" i="3"/>
  <c r="CX367" i="3"/>
  <c r="DG367" i="3" s="1"/>
  <c r="CY367" i="3"/>
  <c r="CZ367" i="3"/>
  <c r="DA367" i="3"/>
  <c r="DB367" i="3"/>
  <c r="DC367" i="3"/>
  <c r="DH367" i="3"/>
  <c r="DI367" i="3"/>
  <c r="DJ367" i="3"/>
  <c r="A368" i="3"/>
  <c r="Y368" i="3"/>
  <c r="CX368" i="3" s="1"/>
  <c r="CY368" i="3"/>
  <c r="CZ368" i="3"/>
  <c r="DA368" i="3"/>
  <c r="DB368" i="3"/>
  <c r="DC368" i="3"/>
  <c r="DH368" i="3"/>
  <c r="A369" i="3"/>
  <c r="Y369" i="3"/>
  <c r="CX369" i="3"/>
  <c r="CY369" i="3"/>
  <c r="CZ369" i="3"/>
  <c r="DA369" i="3"/>
  <c r="DB369" i="3"/>
  <c r="DC369" i="3"/>
  <c r="A370" i="3"/>
  <c r="Y370" i="3"/>
  <c r="CX370" i="3" s="1"/>
  <c r="DH370" i="3" s="1"/>
  <c r="CY370" i="3"/>
  <c r="CZ370" i="3"/>
  <c r="DB370" i="3" s="1"/>
  <c r="DA370" i="3"/>
  <c r="DC370" i="3"/>
  <c r="DF370" i="3"/>
  <c r="DJ370" i="3" s="1"/>
  <c r="DG370" i="3"/>
  <c r="DI370" i="3"/>
  <c r="A371" i="3"/>
  <c r="Y371" i="3"/>
  <c r="CX371" i="3"/>
  <c r="CY371" i="3"/>
  <c r="CZ371" i="3"/>
  <c r="DB371" i="3" s="1"/>
  <c r="DA371" i="3"/>
  <c r="DC371" i="3"/>
  <c r="DF371" i="3"/>
  <c r="DJ371" i="3" s="1"/>
  <c r="DI371" i="3"/>
  <c r="A372" i="3"/>
  <c r="Y372" i="3"/>
  <c r="CX372" i="3"/>
  <c r="DG372" i="3" s="1"/>
  <c r="CY372" i="3"/>
  <c r="CZ372" i="3"/>
  <c r="DA372" i="3"/>
  <c r="DB372" i="3"/>
  <c r="DC372" i="3"/>
  <c r="DI372" i="3"/>
  <c r="A373" i="3"/>
  <c r="Y373" i="3"/>
  <c r="CX373" i="3" s="1"/>
  <c r="CY373" i="3"/>
  <c r="CZ373" i="3"/>
  <c r="DA373" i="3"/>
  <c r="DB373" i="3"/>
  <c r="DC373" i="3"/>
  <c r="DG373" i="3"/>
  <c r="A374" i="3"/>
  <c r="Y374" i="3"/>
  <c r="CX374" i="3" s="1"/>
  <c r="CY374" i="3"/>
  <c r="CZ374" i="3"/>
  <c r="DB374" i="3" s="1"/>
  <c r="DA374" i="3"/>
  <c r="DC374" i="3"/>
  <c r="DG374" i="3"/>
  <c r="DJ374" i="3" s="1"/>
  <c r="A375" i="3"/>
  <c r="Y375" i="3"/>
  <c r="CX375" i="3"/>
  <c r="DG375" i="3" s="1"/>
  <c r="CY375" i="3"/>
  <c r="CZ375" i="3"/>
  <c r="DB375" i="3" s="1"/>
  <c r="DA375" i="3"/>
  <c r="DC375" i="3"/>
  <c r="DF375" i="3"/>
  <c r="DH375" i="3"/>
  <c r="DI375" i="3"/>
  <c r="DJ375" i="3"/>
  <c r="A376" i="3"/>
  <c r="Y376" i="3"/>
  <c r="CX376" i="3" s="1"/>
  <c r="CY376" i="3"/>
  <c r="CZ376" i="3"/>
  <c r="DA376" i="3"/>
  <c r="DB376" i="3"/>
  <c r="DC376" i="3"/>
  <c r="DH376" i="3"/>
  <c r="A377" i="3"/>
  <c r="Y377" i="3"/>
  <c r="CX377" i="3"/>
  <c r="CY377" i="3"/>
  <c r="CZ377" i="3"/>
  <c r="DB377" i="3" s="1"/>
  <c r="DA377" i="3"/>
  <c r="DC377" i="3"/>
  <c r="DF377" i="3"/>
  <c r="DJ377" i="3" s="1"/>
  <c r="DH377" i="3"/>
  <c r="A378" i="3"/>
  <c r="Y378" i="3"/>
  <c r="CX378" i="3" s="1"/>
  <c r="DH378" i="3" s="1"/>
  <c r="CY378" i="3"/>
  <c r="CZ378" i="3"/>
  <c r="DB378" i="3" s="1"/>
  <c r="DA378" i="3"/>
  <c r="DC378" i="3"/>
  <c r="DF378" i="3"/>
  <c r="DJ378" i="3" s="1"/>
  <c r="DI378" i="3"/>
  <c r="A379" i="3"/>
  <c r="Y379" i="3"/>
  <c r="CX379" i="3"/>
  <c r="DF379" i="3" s="1"/>
  <c r="DJ379" i="3" s="1"/>
  <c r="CY379" i="3"/>
  <c r="CZ379" i="3"/>
  <c r="DA379" i="3"/>
  <c r="DB379" i="3"/>
  <c r="DC379" i="3"/>
  <c r="DI379" i="3"/>
  <c r="A380" i="3"/>
  <c r="Y380" i="3"/>
  <c r="CX380" i="3"/>
  <c r="CY380" i="3"/>
  <c r="CZ380" i="3"/>
  <c r="DA380" i="3"/>
  <c r="DB380" i="3"/>
  <c r="DC380" i="3"/>
  <c r="DG380" i="3"/>
  <c r="DI380" i="3"/>
  <c r="A381" i="3"/>
  <c r="Y381" i="3"/>
  <c r="CX381" i="3" s="1"/>
  <c r="CY381" i="3"/>
  <c r="CZ381" i="3"/>
  <c r="DB381" i="3" s="1"/>
  <c r="DA381" i="3"/>
  <c r="DC381" i="3"/>
  <c r="A382" i="3"/>
  <c r="Y382" i="3"/>
  <c r="CX382" i="3" s="1"/>
  <c r="CY382" i="3"/>
  <c r="CZ382" i="3"/>
  <c r="DB382" i="3" s="1"/>
  <c r="DA382" i="3"/>
  <c r="DC382" i="3"/>
  <c r="A383" i="3"/>
  <c r="Y383" i="3"/>
  <c r="CX383" i="3"/>
  <c r="DF383" i="3" s="1"/>
  <c r="CY383" i="3"/>
  <c r="CZ383" i="3"/>
  <c r="DA383" i="3"/>
  <c r="DB383" i="3"/>
  <c r="DC383" i="3"/>
  <c r="DH383" i="3"/>
  <c r="A384" i="3"/>
  <c r="Y384" i="3"/>
  <c r="CX384" i="3" s="1"/>
  <c r="CY384" i="3"/>
  <c r="CZ384" i="3"/>
  <c r="DA384" i="3"/>
  <c r="DB384" i="3"/>
  <c r="DC384" i="3"/>
  <c r="DG384" i="3"/>
  <c r="DJ384" i="3" s="1"/>
  <c r="DI384" i="3"/>
  <c r="A385" i="3"/>
  <c r="Y385" i="3"/>
  <c r="CX385" i="3"/>
  <c r="DF385" i="3" s="1"/>
  <c r="CY385" i="3"/>
  <c r="CZ385" i="3"/>
  <c r="DA385" i="3"/>
  <c r="DB385" i="3"/>
  <c r="DC385" i="3"/>
  <c r="DH385" i="3"/>
  <c r="A386" i="3"/>
  <c r="Y386" i="3"/>
  <c r="CX386" i="3" s="1"/>
  <c r="CY386" i="3"/>
  <c r="CZ386" i="3"/>
  <c r="DB386" i="3" s="1"/>
  <c r="DA386" i="3"/>
  <c r="DC386" i="3"/>
  <c r="DG386" i="3"/>
  <c r="DJ386" i="3" s="1"/>
  <c r="DI386" i="3"/>
  <c r="A387" i="3"/>
  <c r="Y387" i="3"/>
  <c r="CX387" i="3"/>
  <c r="CY387" i="3"/>
  <c r="CZ387" i="3"/>
  <c r="DA387" i="3"/>
  <c r="DB387" i="3"/>
  <c r="DC387" i="3"/>
  <c r="A388" i="3"/>
  <c r="Y388" i="3"/>
  <c r="CX388" i="3" s="1"/>
  <c r="CY388" i="3"/>
  <c r="CZ388" i="3"/>
  <c r="DA388" i="3"/>
  <c r="DB388" i="3"/>
  <c r="DC388" i="3"/>
  <c r="DG388" i="3"/>
  <c r="DI388" i="3"/>
  <c r="A389" i="3"/>
  <c r="Y389" i="3"/>
  <c r="CX389" i="3"/>
  <c r="CY389" i="3"/>
  <c r="CZ389" i="3"/>
  <c r="DA389" i="3"/>
  <c r="DB389" i="3"/>
  <c r="DC389" i="3"/>
  <c r="A390" i="3"/>
  <c r="Y390" i="3"/>
  <c r="CX390" i="3" s="1"/>
  <c r="DG390" i="3" s="1"/>
  <c r="CY390" i="3"/>
  <c r="CZ390" i="3"/>
  <c r="DB390" i="3" s="1"/>
  <c r="DA390" i="3"/>
  <c r="DC390" i="3"/>
  <c r="DI390" i="3"/>
  <c r="A391" i="3"/>
  <c r="Y391" i="3"/>
  <c r="CX391" i="3"/>
  <c r="CY391" i="3"/>
  <c r="CZ391" i="3"/>
  <c r="DB391" i="3" s="1"/>
  <c r="DA391" i="3"/>
  <c r="DC391" i="3"/>
  <c r="DF391" i="3"/>
  <c r="DJ391" i="3" s="1"/>
  <c r="DH391" i="3"/>
  <c r="A392" i="3"/>
  <c r="Y392" i="3"/>
  <c r="CX392" i="3" s="1"/>
  <c r="DG392" i="3" s="1"/>
  <c r="CY392" i="3"/>
  <c r="CZ392" i="3"/>
  <c r="DA392" i="3"/>
  <c r="DB392" i="3"/>
  <c r="DC392" i="3"/>
  <c r="DI392" i="3"/>
  <c r="A393" i="3"/>
  <c r="Y393" i="3"/>
  <c r="CX393" i="3"/>
  <c r="CY393" i="3"/>
  <c r="CZ393" i="3"/>
  <c r="DB393" i="3" s="1"/>
  <c r="DA393" i="3"/>
  <c r="DC393" i="3"/>
  <c r="DF393" i="3"/>
  <c r="DH393" i="3"/>
  <c r="A394" i="3"/>
  <c r="Y394" i="3"/>
  <c r="CX394" i="3" s="1"/>
  <c r="DG394" i="3" s="1"/>
  <c r="CY394" i="3"/>
  <c r="CZ394" i="3"/>
  <c r="DB394" i="3" s="1"/>
  <c r="DA394" i="3"/>
  <c r="DC394" i="3"/>
  <c r="A395" i="3"/>
  <c r="Y395" i="3"/>
  <c r="CX395" i="3"/>
  <c r="CY395" i="3"/>
  <c r="CZ395" i="3"/>
  <c r="DB395" i="3" s="1"/>
  <c r="DA395" i="3"/>
  <c r="DC395" i="3"/>
  <c r="DF395" i="3"/>
  <c r="DJ395" i="3" s="1"/>
  <c r="DH395" i="3"/>
  <c r="A396" i="3"/>
  <c r="Y396" i="3"/>
  <c r="CX396" i="3" s="1"/>
  <c r="CY396" i="3"/>
  <c r="CZ396" i="3"/>
  <c r="DA396" i="3"/>
  <c r="DB396" i="3"/>
  <c r="DC396" i="3"/>
  <c r="A397" i="3"/>
  <c r="Y397" i="3"/>
  <c r="CX397" i="3"/>
  <c r="CY397" i="3"/>
  <c r="CZ397" i="3"/>
  <c r="DB397" i="3" s="1"/>
  <c r="DA397" i="3"/>
  <c r="DC397" i="3"/>
  <c r="DF397" i="3"/>
  <c r="DJ397" i="3" s="1"/>
  <c r="DH397" i="3"/>
  <c r="A398" i="3"/>
  <c r="Y398" i="3"/>
  <c r="CX398" i="3" s="1"/>
  <c r="CY398" i="3"/>
  <c r="CZ398" i="3"/>
  <c r="DB398" i="3" s="1"/>
  <c r="DA398" i="3"/>
  <c r="DC398" i="3"/>
  <c r="A399" i="3"/>
  <c r="Y399" i="3"/>
  <c r="CX399" i="3"/>
  <c r="DF399" i="3" s="1"/>
  <c r="DJ399" i="3" s="1"/>
  <c r="CY399" i="3"/>
  <c r="CZ399" i="3"/>
  <c r="DA399" i="3"/>
  <c r="DB399" i="3"/>
  <c r="DC399" i="3"/>
  <c r="DH399" i="3"/>
  <c r="A400" i="3"/>
  <c r="Y400" i="3"/>
  <c r="CX400" i="3" s="1"/>
  <c r="CY400" i="3"/>
  <c r="CZ400" i="3"/>
  <c r="DA400" i="3"/>
  <c r="DB400" i="3"/>
  <c r="DC400" i="3"/>
  <c r="DG400" i="3"/>
  <c r="DI400" i="3"/>
  <c r="A401" i="3"/>
  <c r="Y401" i="3"/>
  <c r="CX401" i="3"/>
  <c r="DF401" i="3" s="1"/>
  <c r="DJ401" i="3" s="1"/>
  <c r="CY401" i="3"/>
  <c r="CZ401" i="3"/>
  <c r="DA401" i="3"/>
  <c r="DB401" i="3"/>
  <c r="DC401" i="3"/>
  <c r="DH401" i="3"/>
  <c r="A402" i="3"/>
  <c r="Y402" i="3"/>
  <c r="CX402" i="3" s="1"/>
  <c r="CY402" i="3"/>
  <c r="CZ402" i="3"/>
  <c r="DB402" i="3" s="1"/>
  <c r="DA402" i="3"/>
  <c r="DC402" i="3"/>
  <c r="DG402" i="3"/>
  <c r="DI402" i="3"/>
  <c r="A403" i="3"/>
  <c r="Y403" i="3"/>
  <c r="CX403" i="3"/>
  <c r="CY403" i="3"/>
  <c r="CZ403" i="3"/>
  <c r="DA403" i="3"/>
  <c r="DB403" i="3"/>
  <c r="DC403" i="3"/>
  <c r="A404" i="3"/>
  <c r="Y404" i="3"/>
  <c r="CX404" i="3" s="1"/>
  <c r="CY404" i="3"/>
  <c r="CZ404" i="3"/>
  <c r="DA404" i="3"/>
  <c r="DB404" i="3"/>
  <c r="DC404" i="3"/>
  <c r="DG404" i="3"/>
  <c r="DJ404" i="3" s="1"/>
  <c r="DI404" i="3"/>
  <c r="A405" i="3"/>
  <c r="Y405" i="3"/>
  <c r="CX405" i="3"/>
  <c r="CY405" i="3"/>
  <c r="CZ405" i="3"/>
  <c r="DA405" i="3"/>
  <c r="DB405" i="3"/>
  <c r="DC405" i="3"/>
  <c r="A406" i="3"/>
  <c r="Y406" i="3"/>
  <c r="CX406" i="3" s="1"/>
  <c r="DG406" i="3" s="1"/>
  <c r="CY406" i="3"/>
  <c r="CZ406" i="3"/>
  <c r="DB406" i="3" s="1"/>
  <c r="DA406" i="3"/>
  <c r="DC406" i="3"/>
  <c r="DI406" i="3"/>
  <c r="A407" i="3"/>
  <c r="Y407" i="3"/>
  <c r="CX407" i="3"/>
  <c r="CY407" i="3"/>
  <c r="CZ407" i="3"/>
  <c r="DB407" i="3" s="1"/>
  <c r="DA407" i="3"/>
  <c r="DC407" i="3"/>
  <c r="DF407" i="3"/>
  <c r="DH407" i="3"/>
  <c r="A408" i="3"/>
  <c r="Y408" i="3"/>
  <c r="CX408" i="3" s="1"/>
  <c r="DG408" i="3" s="1"/>
  <c r="DJ408" i="3" s="1"/>
  <c r="CY408" i="3"/>
  <c r="CZ408" i="3"/>
  <c r="DA408" i="3"/>
  <c r="DB408" i="3"/>
  <c r="DC408" i="3"/>
  <c r="DI408" i="3"/>
  <c r="A409" i="3"/>
  <c r="Y409" i="3"/>
  <c r="CX409" i="3"/>
  <c r="CY409" i="3"/>
  <c r="CZ409" i="3"/>
  <c r="DB409" i="3" s="1"/>
  <c r="DA409" i="3"/>
  <c r="DC409" i="3"/>
  <c r="DF409" i="3"/>
  <c r="DJ409" i="3" s="1"/>
  <c r="DH409" i="3"/>
  <c r="A410" i="3"/>
  <c r="Y410" i="3"/>
  <c r="CX410" i="3" s="1"/>
  <c r="DG410" i="3" s="1"/>
  <c r="CY410" i="3"/>
  <c r="CZ410" i="3"/>
  <c r="DB410" i="3" s="1"/>
  <c r="DA410" i="3"/>
  <c r="DC410" i="3"/>
  <c r="A411" i="3"/>
  <c r="Y411" i="3"/>
  <c r="CX411" i="3"/>
  <c r="CY411" i="3"/>
  <c r="CZ411" i="3"/>
  <c r="DB411" i="3" s="1"/>
  <c r="DA411" i="3"/>
  <c r="DC411" i="3"/>
  <c r="DF411" i="3"/>
  <c r="DH411" i="3"/>
  <c r="A412" i="3"/>
  <c r="Y412" i="3"/>
  <c r="CX412" i="3" s="1"/>
  <c r="CY412" i="3"/>
  <c r="CZ412" i="3"/>
  <c r="DA412" i="3"/>
  <c r="DB412" i="3"/>
  <c r="DC412" i="3"/>
  <c r="A413" i="3"/>
  <c r="Y413" i="3"/>
  <c r="CX413" i="3"/>
  <c r="CY413" i="3"/>
  <c r="CZ413" i="3"/>
  <c r="DB413" i="3" s="1"/>
  <c r="DA413" i="3"/>
  <c r="DC413" i="3"/>
  <c r="DF413" i="3"/>
  <c r="DH413" i="3"/>
  <c r="A414" i="3"/>
  <c r="Y414" i="3"/>
  <c r="CX414" i="3" s="1"/>
  <c r="CY414" i="3"/>
  <c r="CZ414" i="3"/>
  <c r="DB414" i="3" s="1"/>
  <c r="DA414" i="3"/>
  <c r="DC414" i="3"/>
  <c r="A415" i="3"/>
  <c r="Y415" i="3"/>
  <c r="CX415" i="3"/>
  <c r="DF415" i="3" s="1"/>
  <c r="CY415" i="3"/>
  <c r="CZ415" i="3"/>
  <c r="DA415" i="3"/>
  <c r="DB415" i="3"/>
  <c r="DC415" i="3"/>
  <c r="DH415" i="3"/>
  <c r="A416" i="3"/>
  <c r="Y416" i="3"/>
  <c r="CX416" i="3" s="1"/>
  <c r="CY416" i="3"/>
  <c r="CZ416" i="3"/>
  <c r="DA416" i="3"/>
  <c r="DB416" i="3"/>
  <c r="DC416" i="3"/>
  <c r="DG416" i="3"/>
  <c r="DJ416" i="3" s="1"/>
  <c r="DI416" i="3"/>
  <c r="A417" i="3"/>
  <c r="Y417" i="3"/>
  <c r="CX417" i="3"/>
  <c r="DF417" i="3" s="1"/>
  <c r="CY417" i="3"/>
  <c r="CZ417" i="3"/>
  <c r="DA417" i="3"/>
  <c r="DB417" i="3"/>
  <c r="DC417" i="3"/>
  <c r="DH417" i="3"/>
  <c r="A418" i="3"/>
  <c r="Y418" i="3"/>
  <c r="CX418" i="3" s="1"/>
  <c r="CY418" i="3"/>
  <c r="CZ418" i="3"/>
  <c r="DB418" i="3" s="1"/>
  <c r="DA418" i="3"/>
  <c r="DC418" i="3"/>
  <c r="DG418" i="3"/>
  <c r="DJ418" i="3" s="1"/>
  <c r="DI418" i="3"/>
  <c r="A419" i="3"/>
  <c r="Y419" i="3"/>
  <c r="CX419" i="3"/>
  <c r="CY419" i="3"/>
  <c r="CZ419" i="3"/>
  <c r="DA419" i="3"/>
  <c r="DB419" i="3"/>
  <c r="DC419" i="3"/>
  <c r="A420" i="3"/>
  <c r="Y420" i="3"/>
  <c r="CX420" i="3" s="1"/>
  <c r="CY420" i="3"/>
  <c r="CZ420" i="3"/>
  <c r="DA420" i="3"/>
  <c r="DB420" i="3"/>
  <c r="DC420" i="3"/>
  <c r="DG420" i="3"/>
  <c r="DJ420" i="3" s="1"/>
  <c r="DI420" i="3"/>
  <c r="A421" i="3"/>
  <c r="Y421" i="3"/>
  <c r="CX421" i="3"/>
  <c r="CY421" i="3"/>
  <c r="CZ421" i="3"/>
  <c r="DA421" i="3"/>
  <c r="DB421" i="3"/>
  <c r="DC421" i="3"/>
  <c r="A422" i="3"/>
  <c r="Y422" i="3"/>
  <c r="CX422" i="3" s="1"/>
  <c r="DG422" i="3" s="1"/>
  <c r="DJ422" i="3" s="1"/>
  <c r="CY422" i="3"/>
  <c r="CZ422" i="3"/>
  <c r="DB422" i="3" s="1"/>
  <c r="DA422" i="3"/>
  <c r="DC422" i="3"/>
  <c r="DI422" i="3"/>
  <c r="A423" i="3"/>
  <c r="Y423" i="3"/>
  <c r="CX423" i="3"/>
  <c r="CY423" i="3"/>
  <c r="CZ423" i="3"/>
  <c r="DB423" i="3" s="1"/>
  <c r="DA423" i="3"/>
  <c r="DC423" i="3"/>
  <c r="DF423" i="3"/>
  <c r="DJ423" i="3" s="1"/>
  <c r="DH423" i="3"/>
  <c r="A424" i="3"/>
  <c r="Y424" i="3"/>
  <c r="CX424" i="3" s="1"/>
  <c r="DG424" i="3" s="1"/>
  <c r="CY424" i="3"/>
  <c r="CZ424" i="3"/>
  <c r="DA424" i="3"/>
  <c r="DB424" i="3"/>
  <c r="DC424" i="3"/>
  <c r="DI424" i="3"/>
  <c r="DJ424" i="3" s="1"/>
  <c r="A425" i="3"/>
  <c r="Y425" i="3"/>
  <c r="CX425" i="3"/>
  <c r="CY425" i="3"/>
  <c r="CZ425" i="3"/>
  <c r="DB425" i="3" s="1"/>
  <c r="DA425" i="3"/>
  <c r="DC425" i="3"/>
  <c r="DF425" i="3"/>
  <c r="DH425" i="3"/>
  <c r="A426" i="3"/>
  <c r="Y426" i="3"/>
  <c r="CX426" i="3" s="1"/>
  <c r="DG426" i="3" s="1"/>
  <c r="DJ426" i="3" s="1"/>
  <c r="CY426" i="3"/>
  <c r="CZ426" i="3"/>
  <c r="DB426" i="3" s="1"/>
  <c r="DA426" i="3"/>
  <c r="DC426" i="3"/>
  <c r="A427" i="3"/>
  <c r="Y427" i="3"/>
  <c r="CX427" i="3"/>
  <c r="CY427" i="3"/>
  <c r="CZ427" i="3"/>
  <c r="DB427" i="3" s="1"/>
  <c r="DA427" i="3"/>
  <c r="DC427" i="3"/>
  <c r="DF427" i="3"/>
  <c r="DH427" i="3"/>
  <c r="A428" i="3"/>
  <c r="Y428" i="3"/>
  <c r="CX428" i="3" s="1"/>
  <c r="CY428" i="3"/>
  <c r="CZ428" i="3"/>
  <c r="DA428" i="3"/>
  <c r="DB428" i="3"/>
  <c r="DC428" i="3"/>
  <c r="A429" i="3"/>
  <c r="Y429" i="3"/>
  <c r="CX429" i="3"/>
  <c r="CY429" i="3"/>
  <c r="CZ429" i="3"/>
  <c r="DB429" i="3" s="1"/>
  <c r="DA429" i="3"/>
  <c r="DC429" i="3"/>
  <c r="DF429" i="3"/>
  <c r="DH429" i="3"/>
  <c r="A430" i="3"/>
  <c r="Y430" i="3"/>
  <c r="CX430" i="3" s="1"/>
  <c r="CY430" i="3"/>
  <c r="CZ430" i="3"/>
  <c r="DB430" i="3" s="1"/>
  <c r="DA430" i="3"/>
  <c r="DC430" i="3"/>
  <c r="A431" i="3"/>
  <c r="Y431" i="3"/>
  <c r="CX431" i="3"/>
  <c r="DF431" i="3" s="1"/>
  <c r="CY431" i="3"/>
  <c r="CZ431" i="3"/>
  <c r="DA431" i="3"/>
  <c r="DB431" i="3"/>
  <c r="DC431" i="3"/>
  <c r="DH431" i="3"/>
  <c r="A432" i="3"/>
  <c r="Y432" i="3"/>
  <c r="CX432" i="3" s="1"/>
  <c r="CY432" i="3"/>
  <c r="CZ432" i="3"/>
  <c r="DA432" i="3"/>
  <c r="DB432" i="3"/>
  <c r="DC432" i="3"/>
  <c r="DG432" i="3"/>
  <c r="DJ432" i="3" s="1"/>
  <c r="DI432" i="3"/>
  <c r="A433" i="3"/>
  <c r="Y433" i="3"/>
  <c r="CX433" i="3"/>
  <c r="DF433" i="3" s="1"/>
  <c r="CY433" i="3"/>
  <c r="CZ433" i="3"/>
  <c r="DA433" i="3"/>
  <c r="DB433" i="3"/>
  <c r="DC433" i="3"/>
  <c r="DH433" i="3"/>
  <c r="A434" i="3"/>
  <c r="Y434" i="3"/>
  <c r="CX434" i="3" s="1"/>
  <c r="CY434" i="3"/>
  <c r="CZ434" i="3"/>
  <c r="DB434" i="3" s="1"/>
  <c r="DA434" i="3"/>
  <c r="DC434" i="3"/>
  <c r="DG434" i="3"/>
  <c r="DJ434" i="3" s="1"/>
  <c r="DI434" i="3"/>
  <c r="A435" i="3"/>
  <c r="Y435" i="3"/>
  <c r="CX435" i="3"/>
  <c r="CY435" i="3"/>
  <c r="CZ435" i="3"/>
  <c r="DA435" i="3"/>
  <c r="DB435" i="3"/>
  <c r="DC435" i="3"/>
  <c r="A436" i="3"/>
  <c r="Y436" i="3"/>
  <c r="CX436" i="3" s="1"/>
  <c r="CY436" i="3"/>
  <c r="CZ436" i="3"/>
  <c r="DA436" i="3"/>
  <c r="DB436" i="3"/>
  <c r="DC436" i="3"/>
  <c r="DG436" i="3"/>
  <c r="DI436" i="3"/>
  <c r="A437" i="3"/>
  <c r="Y437" i="3"/>
  <c r="CX437" i="3"/>
  <c r="CY437" i="3"/>
  <c r="CZ437" i="3"/>
  <c r="DA437" i="3"/>
  <c r="DB437" i="3"/>
  <c r="DC437" i="3"/>
  <c r="A438" i="3"/>
  <c r="Y438" i="3"/>
  <c r="CX438" i="3" s="1"/>
  <c r="DG438" i="3" s="1"/>
  <c r="CY438" i="3"/>
  <c r="CZ438" i="3"/>
  <c r="DB438" i="3" s="1"/>
  <c r="DA438" i="3"/>
  <c r="DC438" i="3"/>
  <c r="DI438" i="3"/>
  <c r="DJ438" i="3" s="1"/>
  <c r="A439" i="3"/>
  <c r="Y439" i="3"/>
  <c r="CX439" i="3"/>
  <c r="CY439" i="3"/>
  <c r="CZ439" i="3"/>
  <c r="DB439" i="3" s="1"/>
  <c r="DA439" i="3"/>
  <c r="DC439" i="3"/>
  <c r="DF439" i="3"/>
  <c r="DH439" i="3"/>
  <c r="A440" i="3"/>
  <c r="Y440" i="3"/>
  <c r="CX440" i="3" s="1"/>
  <c r="DG440" i="3" s="1"/>
  <c r="DJ440" i="3" s="1"/>
  <c r="CY440" i="3"/>
  <c r="CZ440" i="3"/>
  <c r="DA440" i="3"/>
  <c r="DB440" i="3"/>
  <c r="DC440" i="3"/>
  <c r="DI440" i="3"/>
  <c r="A441" i="3"/>
  <c r="Y441" i="3"/>
  <c r="CX441" i="3"/>
  <c r="CY441" i="3"/>
  <c r="CZ441" i="3"/>
  <c r="DB441" i="3" s="1"/>
  <c r="DA441" i="3"/>
  <c r="DC441" i="3"/>
  <c r="DF441" i="3"/>
  <c r="DH441" i="3"/>
  <c r="A442" i="3"/>
  <c r="Y442" i="3"/>
  <c r="CX442" i="3" s="1"/>
  <c r="DG442" i="3" s="1"/>
  <c r="DJ442" i="3" s="1"/>
  <c r="CY442" i="3"/>
  <c r="CZ442" i="3"/>
  <c r="DB442" i="3" s="1"/>
  <c r="DA442" i="3"/>
  <c r="DC442" i="3"/>
  <c r="A443" i="3"/>
  <c r="Y443" i="3"/>
  <c r="CX443" i="3"/>
  <c r="CY443" i="3"/>
  <c r="CZ443" i="3"/>
  <c r="DB443" i="3" s="1"/>
  <c r="DA443" i="3"/>
  <c r="DC443" i="3"/>
  <c r="DF443" i="3"/>
  <c r="DH443" i="3"/>
  <c r="A444" i="3"/>
  <c r="Y444" i="3"/>
  <c r="CX444" i="3" s="1"/>
  <c r="CY444" i="3"/>
  <c r="CZ444" i="3"/>
  <c r="DA444" i="3"/>
  <c r="DB444" i="3"/>
  <c r="DC444" i="3"/>
  <c r="A445" i="3"/>
  <c r="Y445" i="3"/>
  <c r="CX445" i="3"/>
  <c r="DG445" i="3" s="1"/>
  <c r="CY445" i="3"/>
  <c r="CZ445" i="3"/>
  <c r="DB445" i="3" s="1"/>
  <c r="DA445" i="3"/>
  <c r="DC445" i="3"/>
  <c r="DF445" i="3"/>
  <c r="DJ445" i="3" s="1"/>
  <c r="DH445" i="3"/>
  <c r="DI445" i="3"/>
  <c r="A446" i="3"/>
  <c r="Y446" i="3"/>
  <c r="CX446" i="3" s="1"/>
  <c r="DG446" i="3" s="1"/>
  <c r="CY446" i="3"/>
  <c r="CZ446" i="3"/>
  <c r="DA446" i="3"/>
  <c r="DB446" i="3"/>
  <c r="DC446" i="3"/>
  <c r="A447" i="3"/>
  <c r="Y447" i="3"/>
  <c r="CX447" i="3" s="1"/>
  <c r="DG447" i="3" s="1"/>
  <c r="CY447" i="3"/>
  <c r="CZ447" i="3"/>
  <c r="DA447" i="3"/>
  <c r="DB447" i="3"/>
  <c r="DC447" i="3"/>
  <c r="A448" i="3"/>
  <c r="Y448" i="3"/>
  <c r="CX448" i="3" s="1"/>
  <c r="CY448" i="3"/>
  <c r="CZ448" i="3"/>
  <c r="DB448" i="3" s="1"/>
  <c r="DA448" i="3"/>
  <c r="DC448" i="3"/>
  <c r="A449" i="3"/>
  <c r="Y449" i="3"/>
  <c r="CX449" i="3"/>
  <c r="DG449" i="3" s="1"/>
  <c r="CY449" i="3"/>
  <c r="CZ449" i="3"/>
  <c r="DB449" i="3" s="1"/>
  <c r="DA449" i="3"/>
  <c r="DC449" i="3"/>
  <c r="DF449" i="3"/>
  <c r="DH449" i="3"/>
  <c r="DI449" i="3"/>
  <c r="DJ449" i="3"/>
  <c r="A450" i="3"/>
  <c r="Y450" i="3"/>
  <c r="CX450" i="3" s="1"/>
  <c r="CY450" i="3"/>
  <c r="CZ450" i="3"/>
  <c r="DA450" i="3"/>
  <c r="DB450" i="3"/>
  <c r="DC450" i="3"/>
  <c r="A451" i="3"/>
  <c r="Y451" i="3"/>
  <c r="CX451" i="3" s="1"/>
  <c r="DF451" i="3" s="1"/>
  <c r="DJ451" i="3" s="1"/>
  <c r="CY451" i="3"/>
  <c r="CZ451" i="3"/>
  <c r="DB451" i="3" s="1"/>
  <c r="DA451" i="3"/>
  <c r="DC451" i="3"/>
  <c r="A452" i="3"/>
  <c r="Y452" i="3"/>
  <c r="CX452" i="3" s="1"/>
  <c r="DH452" i="3" s="1"/>
  <c r="CY452" i="3"/>
  <c r="CZ452" i="3"/>
  <c r="DB452" i="3" s="1"/>
  <c r="DA452" i="3"/>
  <c r="DC452" i="3"/>
  <c r="DI452" i="3"/>
  <c r="A453" i="3"/>
  <c r="Y453" i="3"/>
  <c r="CX453" i="3"/>
  <c r="DI453" i="3" s="1"/>
  <c r="DJ453" i="3" s="1"/>
  <c r="CY453" i="3"/>
  <c r="CZ453" i="3"/>
  <c r="DA453" i="3"/>
  <c r="DB453" i="3"/>
  <c r="DC453" i="3"/>
  <c r="A454" i="3"/>
  <c r="Y454" i="3"/>
  <c r="CX454" i="3"/>
  <c r="DI454" i="3" s="1"/>
  <c r="CY454" i="3"/>
  <c r="CZ454" i="3"/>
  <c r="DA454" i="3"/>
  <c r="DB454" i="3"/>
  <c r="DC454" i="3"/>
  <c r="A455" i="3"/>
  <c r="Y455" i="3"/>
  <c r="CX455" i="3" s="1"/>
  <c r="DF455" i="3" s="1"/>
  <c r="CY455" i="3"/>
  <c r="CZ455" i="3"/>
  <c r="DB455" i="3" s="1"/>
  <c r="DA455" i="3"/>
  <c r="DC455" i="3"/>
  <c r="A456" i="3"/>
  <c r="Y456" i="3"/>
  <c r="CX456" i="3" s="1"/>
  <c r="DH456" i="3" s="1"/>
  <c r="CY456" i="3"/>
  <c r="CZ456" i="3"/>
  <c r="DB456" i="3" s="1"/>
  <c r="DA456" i="3"/>
  <c r="DC456" i="3"/>
  <c r="DG456" i="3"/>
  <c r="DJ456" i="3" s="1"/>
  <c r="DI456" i="3"/>
  <c r="A457" i="3"/>
  <c r="Y457" i="3"/>
  <c r="CX457" i="3"/>
  <c r="CY457" i="3"/>
  <c r="CZ457" i="3"/>
  <c r="DA457" i="3"/>
  <c r="DB457" i="3"/>
  <c r="DC457" i="3"/>
  <c r="DH457" i="3"/>
  <c r="DI457" i="3"/>
  <c r="A458" i="3"/>
  <c r="Y458" i="3"/>
  <c r="CX458" i="3" s="1"/>
  <c r="CY458" i="3"/>
  <c r="CZ458" i="3"/>
  <c r="DA458" i="3"/>
  <c r="DB458" i="3"/>
  <c r="DC458" i="3"/>
  <c r="A459" i="3"/>
  <c r="Y459" i="3"/>
  <c r="CX459" i="3" s="1"/>
  <c r="CY459" i="3"/>
  <c r="CZ459" i="3"/>
  <c r="DA459" i="3"/>
  <c r="DB459" i="3"/>
  <c r="DC459" i="3"/>
  <c r="A460" i="3"/>
  <c r="Y460" i="3"/>
  <c r="CX460" i="3" s="1"/>
  <c r="CY460" i="3"/>
  <c r="CZ460" i="3"/>
  <c r="DB460" i="3" s="1"/>
  <c r="DA460" i="3"/>
  <c r="DC460" i="3"/>
  <c r="DG460" i="3"/>
  <c r="DJ460" i="3" s="1"/>
  <c r="A461" i="3"/>
  <c r="Y461" i="3"/>
  <c r="CX461" i="3" s="1"/>
  <c r="DI461" i="3" s="1"/>
  <c r="CY461" i="3"/>
  <c r="CZ461" i="3"/>
  <c r="DB461" i="3" s="1"/>
  <c r="DA461" i="3"/>
  <c r="DC461" i="3"/>
  <c r="DF461" i="3"/>
  <c r="A462" i="3"/>
  <c r="Y462" i="3"/>
  <c r="CX462" i="3"/>
  <c r="CY462" i="3"/>
  <c r="CZ462" i="3"/>
  <c r="DA462" i="3"/>
  <c r="DB462" i="3"/>
  <c r="DC462" i="3"/>
  <c r="DH462" i="3"/>
  <c r="DI462" i="3"/>
  <c r="A463" i="3"/>
  <c r="Y463" i="3"/>
  <c r="CX463" i="3"/>
  <c r="DG463" i="3" s="1"/>
  <c r="CY463" i="3"/>
  <c r="CZ463" i="3"/>
  <c r="DA463" i="3"/>
  <c r="DB463" i="3"/>
  <c r="DC463" i="3"/>
  <c r="A464" i="3"/>
  <c r="Y464" i="3"/>
  <c r="CX464" i="3" s="1"/>
  <c r="DF464" i="3" s="1"/>
  <c r="DJ464" i="3" s="1"/>
  <c r="CY464" i="3"/>
  <c r="CZ464" i="3"/>
  <c r="DB464" i="3" s="1"/>
  <c r="DA464" i="3"/>
  <c r="DC464" i="3"/>
  <c r="A465" i="3"/>
  <c r="Y465" i="3"/>
  <c r="CX465" i="3" s="1"/>
  <c r="CY465" i="3"/>
  <c r="CZ465" i="3"/>
  <c r="DB465" i="3" s="1"/>
  <c r="DA465" i="3"/>
  <c r="DC465" i="3"/>
  <c r="DF465" i="3"/>
  <c r="DI465" i="3"/>
  <c r="DJ465" i="3"/>
  <c r="A466" i="3"/>
  <c r="Y466" i="3"/>
  <c r="CX466" i="3"/>
  <c r="DH466" i="3" s="1"/>
  <c r="CY466" i="3"/>
  <c r="CZ466" i="3"/>
  <c r="DA466" i="3"/>
  <c r="DB466" i="3"/>
  <c r="DC466" i="3"/>
  <c r="A467" i="3"/>
  <c r="Y467" i="3"/>
  <c r="CX467" i="3" s="1"/>
  <c r="CY467" i="3"/>
  <c r="CZ467" i="3"/>
  <c r="DA467" i="3"/>
  <c r="DB467" i="3"/>
  <c r="DC467" i="3"/>
  <c r="A468" i="3"/>
  <c r="Y468" i="3"/>
  <c r="CX468" i="3" s="1"/>
  <c r="CY468" i="3"/>
  <c r="CZ468" i="3"/>
  <c r="DB468" i="3" s="1"/>
  <c r="DA468" i="3"/>
  <c r="DC468" i="3"/>
  <c r="DF468" i="3"/>
  <c r="DG468" i="3"/>
  <c r="DJ468" i="3" s="1"/>
  <c r="A469" i="3"/>
  <c r="Y469" i="3"/>
  <c r="CX469" i="3" s="1"/>
  <c r="DH469" i="3" s="1"/>
  <c r="CY469" i="3"/>
  <c r="CZ469" i="3"/>
  <c r="DB469" i="3" s="1"/>
  <c r="DA469" i="3"/>
  <c r="DC469" i="3"/>
  <c r="DF469" i="3"/>
  <c r="DJ469" i="3" s="1"/>
  <c r="A470" i="3"/>
  <c r="Y470" i="3"/>
  <c r="CX470" i="3"/>
  <c r="DG470" i="3" s="1"/>
  <c r="CY470" i="3"/>
  <c r="CZ470" i="3"/>
  <c r="DB470" i="3" s="1"/>
  <c r="DA470" i="3"/>
  <c r="DC470" i="3"/>
  <c r="DF470" i="3"/>
  <c r="DJ470" i="3" s="1"/>
  <c r="DI470" i="3"/>
  <c r="A471" i="3"/>
  <c r="Y471" i="3"/>
  <c r="CX471" i="3"/>
  <c r="DF471" i="3" s="1"/>
  <c r="CY471" i="3"/>
  <c r="CZ471" i="3"/>
  <c r="DA471" i="3"/>
  <c r="DB471" i="3"/>
  <c r="DC471" i="3"/>
  <c r="DG471" i="3"/>
  <c r="DI471" i="3"/>
  <c r="DJ471" i="3" s="1"/>
  <c r="A472" i="3"/>
  <c r="Y472" i="3"/>
  <c r="CX472" i="3" s="1"/>
  <c r="CY472" i="3"/>
  <c r="CZ472" i="3"/>
  <c r="DB472" i="3" s="1"/>
  <c r="DA472" i="3"/>
  <c r="DC472" i="3"/>
  <c r="A473" i="3"/>
  <c r="Y473" i="3"/>
  <c r="CX473" i="3" s="1"/>
  <c r="DH473" i="3" s="1"/>
  <c r="CY473" i="3"/>
  <c r="CZ473" i="3"/>
  <c r="DB473" i="3" s="1"/>
  <c r="DA473" i="3"/>
  <c r="DC473" i="3"/>
  <c r="A474" i="3"/>
  <c r="Y474" i="3"/>
  <c r="CX474" i="3"/>
  <c r="DG474" i="3" s="1"/>
  <c r="CY474" i="3"/>
  <c r="CZ474" i="3"/>
  <c r="DA474" i="3"/>
  <c r="DB474" i="3"/>
  <c r="DC474" i="3"/>
  <c r="DI474" i="3"/>
  <c r="DJ474" i="3"/>
  <c r="A475" i="3"/>
  <c r="Y475" i="3"/>
  <c r="CX475" i="3"/>
  <c r="DF475" i="3" s="1"/>
  <c r="CY475" i="3"/>
  <c r="CZ475" i="3"/>
  <c r="DA475" i="3"/>
  <c r="DB475" i="3"/>
  <c r="DC475" i="3"/>
  <c r="DI475" i="3"/>
  <c r="A476" i="3"/>
  <c r="Y476" i="3"/>
  <c r="CX476" i="3"/>
  <c r="DI476" i="3" s="1"/>
  <c r="CY476" i="3"/>
  <c r="CZ476" i="3"/>
  <c r="DB476" i="3" s="1"/>
  <c r="DA476" i="3"/>
  <c r="DC476" i="3"/>
  <c r="DF476" i="3"/>
  <c r="DH476" i="3"/>
  <c r="A477" i="3"/>
  <c r="Y477" i="3"/>
  <c r="CX477" i="3" s="1"/>
  <c r="DH477" i="3" s="1"/>
  <c r="CY477" i="3"/>
  <c r="CZ477" i="3"/>
  <c r="DB477" i="3" s="1"/>
  <c r="DA477" i="3"/>
  <c r="DC477" i="3"/>
  <c r="DF477" i="3"/>
  <c r="DG477" i="3"/>
  <c r="DJ477" i="3" s="1"/>
  <c r="DI477" i="3"/>
  <c r="A478" i="3"/>
  <c r="Y478" i="3"/>
  <c r="CX478" i="3"/>
  <c r="DG478" i="3" s="1"/>
  <c r="CY478" i="3"/>
  <c r="CZ478" i="3"/>
  <c r="DA478" i="3"/>
  <c r="DB478" i="3"/>
  <c r="DC478" i="3"/>
  <c r="DI478" i="3"/>
  <c r="A479" i="3"/>
  <c r="Y479" i="3"/>
  <c r="CX479" i="3"/>
  <c r="DF479" i="3" s="1"/>
  <c r="DJ479" i="3" s="1"/>
  <c r="CY479" i="3"/>
  <c r="CZ479" i="3"/>
  <c r="DA479" i="3"/>
  <c r="DB479" i="3"/>
  <c r="DC479" i="3"/>
  <c r="DI479" i="3"/>
  <c r="A480" i="3"/>
  <c r="Y480" i="3"/>
  <c r="CX480" i="3"/>
  <c r="DI480" i="3" s="1"/>
  <c r="CY480" i="3"/>
  <c r="CZ480" i="3"/>
  <c r="DA480" i="3"/>
  <c r="DB480" i="3"/>
  <c r="DC480" i="3"/>
  <c r="DH480" i="3"/>
  <c r="A481" i="3"/>
  <c r="Y481" i="3"/>
  <c r="CX481" i="3" s="1"/>
  <c r="DH481" i="3" s="1"/>
  <c r="CY481" i="3"/>
  <c r="CZ481" i="3"/>
  <c r="DB481" i="3" s="1"/>
  <c r="DA481" i="3"/>
  <c r="DC481" i="3"/>
  <c r="DF481" i="3"/>
  <c r="DJ481" i="3" s="1"/>
  <c r="DG481" i="3"/>
  <c r="A482" i="3"/>
  <c r="Y482" i="3"/>
  <c r="CX482" i="3"/>
  <c r="DG482" i="3" s="1"/>
  <c r="CY482" i="3"/>
  <c r="CZ482" i="3"/>
  <c r="DB482" i="3" s="1"/>
  <c r="DA482" i="3"/>
  <c r="DC482" i="3"/>
  <c r="DF482" i="3"/>
  <c r="DJ482" i="3" s="1"/>
  <c r="DH482" i="3"/>
  <c r="DI482" i="3"/>
  <c r="A483" i="3"/>
  <c r="Y483" i="3"/>
  <c r="CX483" i="3" s="1"/>
  <c r="CY483" i="3"/>
  <c r="CZ483" i="3"/>
  <c r="DA483" i="3"/>
  <c r="DB483" i="3"/>
  <c r="DC483" i="3"/>
  <c r="A484" i="3"/>
  <c r="Y484" i="3"/>
  <c r="CX484" i="3"/>
  <c r="DI484" i="3" s="1"/>
  <c r="CY484" i="3"/>
  <c r="CZ484" i="3"/>
  <c r="DA484" i="3"/>
  <c r="DB484" i="3"/>
  <c r="DC484" i="3"/>
  <c r="DH484" i="3"/>
  <c r="A485" i="3"/>
  <c r="Y485" i="3"/>
  <c r="CX485" i="3" s="1"/>
  <c r="DH485" i="3" s="1"/>
  <c r="CY485" i="3"/>
  <c r="CZ485" i="3"/>
  <c r="DB485" i="3" s="1"/>
  <c r="DA485" i="3"/>
  <c r="DC485" i="3"/>
  <c r="DF485" i="3"/>
  <c r="DJ485" i="3" s="1"/>
  <c r="A486" i="3"/>
  <c r="Y486" i="3"/>
  <c r="CX486" i="3"/>
  <c r="DG486" i="3" s="1"/>
  <c r="CY486" i="3"/>
  <c r="CZ486" i="3"/>
  <c r="DB486" i="3" s="1"/>
  <c r="DA486" i="3"/>
  <c r="DC486" i="3"/>
  <c r="DF486" i="3"/>
  <c r="DJ486" i="3" s="1"/>
  <c r="DI486" i="3"/>
  <c r="A487" i="3"/>
  <c r="Y487" i="3"/>
  <c r="CX487" i="3"/>
  <c r="DF487" i="3" s="1"/>
  <c r="DJ487" i="3" s="1"/>
  <c r="CY487" i="3"/>
  <c r="CZ487" i="3"/>
  <c r="DA487" i="3"/>
  <c r="DB487" i="3"/>
  <c r="DC487" i="3"/>
  <c r="DG487" i="3"/>
  <c r="DI487" i="3"/>
  <c r="A488" i="3"/>
  <c r="Y488" i="3"/>
  <c r="CX488" i="3" s="1"/>
  <c r="CY488" i="3"/>
  <c r="CZ488" i="3"/>
  <c r="DB488" i="3" s="1"/>
  <c r="DA488" i="3"/>
  <c r="DC488" i="3"/>
  <c r="A489" i="3"/>
  <c r="Y489" i="3"/>
  <c r="CX489" i="3" s="1"/>
  <c r="DH489" i="3" s="1"/>
  <c r="CY489" i="3"/>
  <c r="CZ489" i="3"/>
  <c r="DB489" i="3" s="1"/>
  <c r="DA489" i="3"/>
  <c r="DC489" i="3"/>
  <c r="A490" i="3"/>
  <c r="Y490" i="3"/>
  <c r="CX490" i="3"/>
  <c r="DG490" i="3" s="1"/>
  <c r="CY490" i="3"/>
  <c r="CZ490" i="3"/>
  <c r="DA490" i="3"/>
  <c r="DB490" i="3"/>
  <c r="DC490" i="3"/>
  <c r="DI490" i="3"/>
  <c r="DJ490" i="3"/>
  <c r="A491" i="3"/>
  <c r="Y491" i="3"/>
  <c r="CX491" i="3"/>
  <c r="DF491" i="3" s="1"/>
  <c r="CY491" i="3"/>
  <c r="CZ491" i="3"/>
  <c r="DA491" i="3"/>
  <c r="DB491" i="3"/>
  <c r="DC491" i="3"/>
  <c r="DI491" i="3"/>
  <c r="A492" i="3"/>
  <c r="Y492" i="3"/>
  <c r="CX492" i="3"/>
  <c r="DI492" i="3" s="1"/>
  <c r="CY492" i="3"/>
  <c r="CZ492" i="3"/>
  <c r="DB492" i="3" s="1"/>
  <c r="DA492" i="3"/>
  <c r="DC492" i="3"/>
  <c r="DF492" i="3"/>
  <c r="DH492" i="3"/>
  <c r="A493" i="3"/>
  <c r="Y493" i="3"/>
  <c r="CX493" i="3" s="1"/>
  <c r="DH493" i="3" s="1"/>
  <c r="CY493" i="3"/>
  <c r="CZ493" i="3"/>
  <c r="DB493" i="3" s="1"/>
  <c r="DA493" i="3"/>
  <c r="DC493" i="3"/>
  <c r="DF493" i="3"/>
  <c r="DG493" i="3"/>
  <c r="DJ493" i="3" s="1"/>
  <c r="DI493" i="3"/>
  <c r="A494" i="3"/>
  <c r="Y494" i="3"/>
  <c r="CX494" i="3"/>
  <c r="DG494" i="3" s="1"/>
  <c r="DJ494" i="3" s="1"/>
  <c r="CY494" i="3"/>
  <c r="CZ494" i="3"/>
  <c r="DA494" i="3"/>
  <c r="DB494" i="3"/>
  <c r="DC494" i="3"/>
  <c r="DI494" i="3"/>
  <c r="A495" i="3"/>
  <c r="Y495" i="3"/>
  <c r="CX495" i="3"/>
  <c r="DF495" i="3" s="1"/>
  <c r="DJ495" i="3" s="1"/>
  <c r="CY495" i="3"/>
  <c r="CZ495" i="3"/>
  <c r="DA495" i="3"/>
  <c r="DB495" i="3"/>
  <c r="DC495" i="3"/>
  <c r="DI495" i="3"/>
  <c r="A496" i="3"/>
  <c r="Y496" i="3"/>
  <c r="CX496" i="3"/>
  <c r="DI496" i="3" s="1"/>
  <c r="CY496" i="3"/>
  <c r="CZ496" i="3"/>
  <c r="DA496" i="3"/>
  <c r="DB496" i="3"/>
  <c r="DC496" i="3"/>
  <c r="DH496" i="3"/>
  <c r="A497" i="3"/>
  <c r="Y497" i="3"/>
  <c r="CX497" i="3" s="1"/>
  <c r="DH497" i="3" s="1"/>
  <c r="CY497" i="3"/>
  <c r="CZ497" i="3"/>
  <c r="DB497" i="3" s="1"/>
  <c r="DA497" i="3"/>
  <c r="DC497" i="3"/>
  <c r="DF497" i="3"/>
  <c r="DJ497" i="3" s="1"/>
  <c r="DG497" i="3"/>
  <c r="A498" i="3"/>
  <c r="Y498" i="3"/>
  <c r="CX498" i="3"/>
  <c r="DG498" i="3" s="1"/>
  <c r="CY498" i="3"/>
  <c r="CZ498" i="3"/>
  <c r="DB498" i="3" s="1"/>
  <c r="DA498" i="3"/>
  <c r="DC498" i="3"/>
  <c r="DF498" i="3"/>
  <c r="DJ498" i="3" s="1"/>
  <c r="DH498" i="3"/>
  <c r="DI498" i="3"/>
  <c r="A499" i="3"/>
  <c r="Y499" i="3"/>
  <c r="CX499" i="3" s="1"/>
  <c r="CY499" i="3"/>
  <c r="CZ499" i="3"/>
  <c r="DA499" i="3"/>
  <c r="DB499" i="3"/>
  <c r="DC499" i="3"/>
  <c r="A500" i="3"/>
  <c r="Y500" i="3"/>
  <c r="CX500" i="3"/>
  <c r="DI500" i="3" s="1"/>
  <c r="CY500" i="3"/>
  <c r="CZ500" i="3"/>
  <c r="DA500" i="3"/>
  <c r="DB500" i="3"/>
  <c r="DC500" i="3"/>
  <c r="DH500" i="3"/>
  <c r="A501" i="3"/>
  <c r="Y501" i="3"/>
  <c r="CX501" i="3" s="1"/>
  <c r="DH501" i="3" s="1"/>
  <c r="CY501" i="3"/>
  <c r="CZ501" i="3"/>
  <c r="DB501" i="3" s="1"/>
  <c r="DA501" i="3"/>
  <c r="DC501" i="3"/>
  <c r="DF501" i="3"/>
  <c r="DJ501" i="3" s="1"/>
  <c r="A502" i="3"/>
  <c r="Y502" i="3"/>
  <c r="CX502" i="3"/>
  <c r="DG502" i="3" s="1"/>
  <c r="CY502" i="3"/>
  <c r="CZ502" i="3"/>
  <c r="DB502" i="3" s="1"/>
  <c r="DA502" i="3"/>
  <c r="DC502" i="3"/>
  <c r="DF502" i="3"/>
  <c r="DJ502" i="3" s="1"/>
  <c r="DI502" i="3"/>
  <c r="A503" i="3"/>
  <c r="Y503" i="3"/>
  <c r="CX503" i="3"/>
  <c r="DF503" i="3" s="1"/>
  <c r="DJ503" i="3" s="1"/>
  <c r="CY503" i="3"/>
  <c r="CZ503" i="3"/>
  <c r="DA503" i="3"/>
  <c r="DB503" i="3"/>
  <c r="DC503" i="3"/>
  <c r="DG503" i="3"/>
  <c r="DI503" i="3"/>
  <c r="A504" i="3"/>
  <c r="Y504" i="3"/>
  <c r="CX504" i="3" s="1"/>
  <c r="CY504" i="3"/>
  <c r="CZ504" i="3"/>
  <c r="DB504" i="3" s="1"/>
  <c r="DA504" i="3"/>
  <c r="DC504" i="3"/>
  <c r="A505" i="3"/>
  <c r="Y505" i="3"/>
  <c r="CX505" i="3" s="1"/>
  <c r="DH505" i="3" s="1"/>
  <c r="CY505" i="3"/>
  <c r="CZ505" i="3"/>
  <c r="DB505" i="3" s="1"/>
  <c r="DA505" i="3"/>
  <c r="DC505" i="3"/>
  <c r="A506" i="3"/>
  <c r="Y506" i="3"/>
  <c r="CX506" i="3"/>
  <c r="DG506" i="3" s="1"/>
  <c r="CY506" i="3"/>
  <c r="CZ506" i="3"/>
  <c r="DA506" i="3"/>
  <c r="DB506" i="3"/>
  <c r="DC506" i="3"/>
  <c r="DI506" i="3"/>
  <c r="DJ506" i="3"/>
  <c r="A507" i="3"/>
  <c r="Y507" i="3"/>
  <c r="CX507" i="3"/>
  <c r="DF507" i="3" s="1"/>
  <c r="DJ507" i="3" s="1"/>
  <c r="CY507" i="3"/>
  <c r="CZ507" i="3"/>
  <c r="DA507" i="3"/>
  <c r="DB507" i="3"/>
  <c r="DC507" i="3"/>
  <c r="DI507" i="3"/>
  <c r="A508" i="3"/>
  <c r="Y508" i="3"/>
  <c r="CX508" i="3"/>
  <c r="DI508" i="3" s="1"/>
  <c r="CY508" i="3"/>
  <c r="CZ508" i="3"/>
  <c r="DB508" i="3" s="1"/>
  <c r="DA508" i="3"/>
  <c r="DC508" i="3"/>
  <c r="DF508" i="3"/>
  <c r="DJ508" i="3" s="1"/>
  <c r="DH508" i="3"/>
  <c r="A509" i="3"/>
  <c r="Y509" i="3"/>
  <c r="CX509" i="3" s="1"/>
  <c r="DH509" i="3" s="1"/>
  <c r="CY509" i="3"/>
  <c r="CZ509" i="3"/>
  <c r="DB509" i="3" s="1"/>
  <c r="DA509" i="3"/>
  <c r="DC509" i="3"/>
  <c r="DF509" i="3"/>
  <c r="DJ509" i="3" s="1"/>
  <c r="DG509" i="3"/>
  <c r="DI509" i="3"/>
  <c r="A510" i="3"/>
  <c r="Y510" i="3"/>
  <c r="CX510" i="3"/>
  <c r="DG510" i="3" s="1"/>
  <c r="CY510" i="3"/>
  <c r="CZ510" i="3"/>
  <c r="DA510" i="3"/>
  <c r="DB510" i="3"/>
  <c r="DC510" i="3"/>
  <c r="DI510" i="3"/>
  <c r="DJ510" i="3" s="1"/>
  <c r="A511" i="3"/>
  <c r="Y511" i="3"/>
  <c r="CX511" i="3"/>
  <c r="DF511" i="3" s="1"/>
  <c r="CY511" i="3"/>
  <c r="CZ511" i="3"/>
  <c r="DA511" i="3"/>
  <c r="DB511" i="3"/>
  <c r="DC511" i="3"/>
  <c r="DI511" i="3"/>
  <c r="A512" i="3"/>
  <c r="Y512" i="3"/>
  <c r="CX512" i="3"/>
  <c r="DI512" i="3" s="1"/>
  <c r="CY512" i="3"/>
  <c r="CZ512" i="3"/>
  <c r="DA512" i="3"/>
  <c r="DB512" i="3"/>
  <c r="DC512" i="3"/>
  <c r="DH512" i="3"/>
  <c r="A513" i="3"/>
  <c r="Y513" i="3"/>
  <c r="CX513" i="3" s="1"/>
  <c r="DH513" i="3" s="1"/>
  <c r="CY513" i="3"/>
  <c r="CZ513" i="3"/>
  <c r="DB513" i="3" s="1"/>
  <c r="DA513" i="3"/>
  <c r="DC513" i="3"/>
  <c r="DF513" i="3"/>
  <c r="DJ513" i="3" s="1"/>
  <c r="DG513" i="3"/>
  <c r="A514" i="3"/>
  <c r="Y514" i="3"/>
  <c r="CX514" i="3"/>
  <c r="DG514" i="3" s="1"/>
  <c r="CY514" i="3"/>
  <c r="CZ514" i="3"/>
  <c r="DB514" i="3" s="1"/>
  <c r="DA514" i="3"/>
  <c r="DC514" i="3"/>
  <c r="DF514" i="3"/>
  <c r="DJ514" i="3" s="1"/>
  <c r="DH514" i="3"/>
  <c r="DI514" i="3"/>
  <c r="A515" i="3"/>
  <c r="Y515" i="3"/>
  <c r="CX515" i="3" s="1"/>
  <c r="CY515" i="3"/>
  <c r="CZ515" i="3"/>
  <c r="DA515" i="3"/>
  <c r="DB515" i="3"/>
  <c r="DC515" i="3"/>
  <c r="A516" i="3"/>
  <c r="Y516" i="3"/>
  <c r="CX516" i="3"/>
  <c r="DI516" i="3" s="1"/>
  <c r="CY516" i="3"/>
  <c r="CZ516" i="3"/>
  <c r="DA516" i="3"/>
  <c r="DB516" i="3"/>
  <c r="DC516" i="3"/>
  <c r="DH516" i="3"/>
  <c r="A517" i="3"/>
  <c r="Y517" i="3"/>
  <c r="CX517" i="3" s="1"/>
  <c r="DH517" i="3" s="1"/>
  <c r="CY517" i="3"/>
  <c r="CZ517" i="3"/>
  <c r="DB517" i="3" s="1"/>
  <c r="DA517" i="3"/>
  <c r="DC517" i="3"/>
  <c r="DF517" i="3"/>
  <c r="A518" i="3"/>
  <c r="Y518" i="3"/>
  <c r="CX518" i="3"/>
  <c r="DG518" i="3" s="1"/>
  <c r="CY518" i="3"/>
  <c r="CZ518" i="3"/>
  <c r="DB518" i="3" s="1"/>
  <c r="DA518" i="3"/>
  <c r="DC518" i="3"/>
  <c r="DF518" i="3"/>
  <c r="DI518" i="3"/>
  <c r="DJ518" i="3"/>
  <c r="A519" i="3"/>
  <c r="Y519" i="3"/>
  <c r="CX519" i="3"/>
  <c r="DF519" i="3" s="1"/>
  <c r="CY519" i="3"/>
  <c r="CZ519" i="3"/>
  <c r="DA519" i="3"/>
  <c r="DB519" i="3"/>
  <c r="DC519" i="3"/>
  <c r="DG519" i="3"/>
  <c r="DJ519" i="3" s="1"/>
  <c r="DI519" i="3"/>
  <c r="A520" i="3"/>
  <c r="Y520" i="3"/>
  <c r="CX520" i="3" s="1"/>
  <c r="CY520" i="3"/>
  <c r="CZ520" i="3"/>
  <c r="DB520" i="3" s="1"/>
  <c r="DA520" i="3"/>
  <c r="DC520" i="3"/>
  <c r="A521" i="3"/>
  <c r="Y521" i="3"/>
  <c r="CX521" i="3" s="1"/>
  <c r="DH521" i="3" s="1"/>
  <c r="CY521" i="3"/>
  <c r="CZ521" i="3"/>
  <c r="DB521" i="3" s="1"/>
  <c r="DA521" i="3"/>
  <c r="DC521" i="3"/>
  <c r="DI521" i="3"/>
  <c r="A522" i="3"/>
  <c r="Y522" i="3"/>
  <c r="CX522" i="3"/>
  <c r="DG522" i="3" s="1"/>
  <c r="CY522" i="3"/>
  <c r="CZ522" i="3"/>
  <c r="DA522" i="3"/>
  <c r="DB522" i="3"/>
  <c r="DC522" i="3"/>
  <c r="DH522" i="3"/>
  <c r="A523" i="3"/>
  <c r="Y523" i="3"/>
  <c r="CX523" i="3" s="1"/>
  <c r="CY523" i="3"/>
  <c r="CZ523" i="3"/>
  <c r="DB523" i="3" s="1"/>
  <c r="DA523" i="3"/>
  <c r="DC523" i="3"/>
  <c r="A524" i="3"/>
  <c r="Y524" i="3"/>
  <c r="CX524" i="3"/>
  <c r="DG524" i="3" s="1"/>
  <c r="CY524" i="3"/>
  <c r="CZ524" i="3"/>
  <c r="DB524" i="3" s="1"/>
  <c r="DA524" i="3"/>
  <c r="DC524" i="3"/>
  <c r="DF524" i="3"/>
  <c r="DH524" i="3"/>
  <c r="DI524" i="3"/>
  <c r="DJ524" i="3"/>
  <c r="A525" i="3"/>
  <c r="Y525" i="3"/>
  <c r="CX525" i="3"/>
  <c r="DF525" i="3" s="1"/>
  <c r="DJ525" i="3" s="1"/>
  <c r="CY525" i="3"/>
  <c r="CZ525" i="3"/>
  <c r="DA525" i="3"/>
  <c r="DB525" i="3"/>
  <c r="DC525" i="3"/>
  <c r="DH525" i="3"/>
  <c r="DI525" i="3"/>
  <c r="A526" i="3"/>
  <c r="Y526" i="3"/>
  <c r="CX526" i="3"/>
  <c r="DG526" i="3" s="1"/>
  <c r="CY526" i="3"/>
  <c r="CZ526" i="3"/>
  <c r="DA526" i="3"/>
  <c r="DB526" i="3"/>
  <c r="DC526" i="3"/>
  <c r="DH526" i="3"/>
  <c r="A527" i="3"/>
  <c r="Y527" i="3"/>
  <c r="CX527" i="3" s="1"/>
  <c r="CY527" i="3"/>
  <c r="CZ527" i="3"/>
  <c r="DB527" i="3" s="1"/>
  <c r="DA527" i="3"/>
  <c r="DC527" i="3"/>
  <c r="A528" i="3"/>
  <c r="Y528" i="3"/>
  <c r="CX528" i="3"/>
  <c r="DG528" i="3" s="1"/>
  <c r="CY528" i="3"/>
  <c r="CZ528" i="3"/>
  <c r="DB528" i="3" s="1"/>
  <c r="DA528" i="3"/>
  <c r="DC528" i="3"/>
  <c r="DF528" i="3"/>
  <c r="DH528" i="3"/>
  <c r="DI528" i="3"/>
  <c r="DJ528" i="3"/>
  <c r="A529" i="3"/>
  <c r="Y529" i="3"/>
  <c r="CX529" i="3"/>
  <c r="DF529" i="3" s="1"/>
  <c r="DJ529" i="3" s="1"/>
  <c r="CY529" i="3"/>
  <c r="CZ529" i="3"/>
  <c r="DA529" i="3"/>
  <c r="DB529" i="3"/>
  <c r="DC529" i="3"/>
  <c r="DH529" i="3"/>
  <c r="DI529" i="3"/>
  <c r="A530" i="3"/>
  <c r="Y530" i="3"/>
  <c r="CX530" i="3"/>
  <c r="DG530" i="3" s="1"/>
  <c r="CY530" i="3"/>
  <c r="CZ530" i="3"/>
  <c r="DA530" i="3"/>
  <c r="DB530" i="3"/>
  <c r="DC530" i="3"/>
  <c r="DH530" i="3"/>
  <c r="A531" i="3"/>
  <c r="Y531" i="3"/>
  <c r="CX531" i="3" s="1"/>
  <c r="CY531" i="3"/>
  <c r="CZ531" i="3"/>
  <c r="DB531" i="3" s="1"/>
  <c r="DA531" i="3"/>
  <c r="DC531" i="3"/>
  <c r="A532" i="3"/>
  <c r="Y532" i="3"/>
  <c r="CX532" i="3"/>
  <c r="DG532" i="3" s="1"/>
  <c r="DJ532" i="3" s="1"/>
  <c r="CY532" i="3"/>
  <c r="CZ532" i="3"/>
  <c r="DB532" i="3" s="1"/>
  <c r="DA532" i="3"/>
  <c r="DC532" i="3"/>
  <c r="DF532" i="3"/>
  <c r="DH532" i="3"/>
  <c r="DI532" i="3"/>
  <c r="A533" i="3"/>
  <c r="Y533" i="3"/>
  <c r="CX533" i="3"/>
  <c r="DF533" i="3" s="1"/>
  <c r="CY533" i="3"/>
  <c r="CZ533" i="3"/>
  <c r="DA533" i="3"/>
  <c r="DB533" i="3"/>
  <c r="DC533" i="3"/>
  <c r="DH533" i="3"/>
  <c r="DI533" i="3"/>
  <c r="A534" i="3"/>
  <c r="Y534" i="3"/>
  <c r="CX534" i="3"/>
  <c r="DG534" i="3" s="1"/>
  <c r="DJ534" i="3" s="1"/>
  <c r="CY534" i="3"/>
  <c r="CZ534" i="3"/>
  <c r="DA534" i="3"/>
  <c r="DB534" i="3"/>
  <c r="DC534" i="3"/>
  <c r="DH534" i="3"/>
  <c r="A535" i="3"/>
  <c r="Y535" i="3"/>
  <c r="CX535" i="3" s="1"/>
  <c r="CY535" i="3"/>
  <c r="CZ535" i="3"/>
  <c r="DB535" i="3" s="1"/>
  <c r="DA535" i="3"/>
  <c r="DC535" i="3"/>
  <c r="A536" i="3"/>
  <c r="Y536" i="3"/>
  <c r="CX536" i="3"/>
  <c r="DG536" i="3" s="1"/>
  <c r="CY536" i="3"/>
  <c r="CZ536" i="3"/>
  <c r="DB536" i="3" s="1"/>
  <c r="DA536" i="3"/>
  <c r="DC536" i="3"/>
  <c r="DF536" i="3"/>
  <c r="DH536" i="3"/>
  <c r="DI536" i="3"/>
  <c r="DJ536" i="3"/>
  <c r="A537" i="3"/>
  <c r="Y537" i="3"/>
  <c r="CX537" i="3"/>
  <c r="DF537" i="3" s="1"/>
  <c r="DJ537" i="3" s="1"/>
  <c r="CY537" i="3"/>
  <c r="CZ537" i="3"/>
  <c r="DA537" i="3"/>
  <c r="DB537" i="3"/>
  <c r="DC537" i="3"/>
  <c r="DH537" i="3"/>
  <c r="DI537" i="3"/>
  <c r="A538" i="3"/>
  <c r="Y538" i="3"/>
  <c r="CX538" i="3"/>
  <c r="DG538" i="3" s="1"/>
  <c r="CY538" i="3"/>
  <c r="CZ538" i="3"/>
  <c r="DA538" i="3"/>
  <c r="DB538" i="3"/>
  <c r="DC538" i="3"/>
  <c r="DH538" i="3"/>
  <c r="A539" i="3"/>
  <c r="Y539" i="3"/>
  <c r="CX539" i="3" s="1"/>
  <c r="CY539" i="3"/>
  <c r="CZ539" i="3"/>
  <c r="DB539" i="3" s="1"/>
  <c r="DA539" i="3"/>
  <c r="DC539" i="3"/>
  <c r="A540" i="3"/>
  <c r="Y540" i="3"/>
  <c r="CX540" i="3"/>
  <c r="DG540" i="3" s="1"/>
  <c r="CY540" i="3"/>
  <c r="CZ540" i="3"/>
  <c r="DB540" i="3" s="1"/>
  <c r="DA540" i="3"/>
  <c r="DC540" i="3"/>
  <c r="DF540" i="3"/>
  <c r="DH540" i="3"/>
  <c r="DI540" i="3"/>
  <c r="DJ540" i="3"/>
  <c r="A541" i="3"/>
  <c r="Y541" i="3"/>
  <c r="CX541" i="3"/>
  <c r="DF541" i="3" s="1"/>
  <c r="DJ541" i="3" s="1"/>
  <c r="CY541" i="3"/>
  <c r="CZ541" i="3"/>
  <c r="DA541" i="3"/>
  <c r="DB541" i="3"/>
  <c r="DC541" i="3"/>
  <c r="DH541" i="3"/>
  <c r="DI541" i="3"/>
  <c r="A542" i="3"/>
  <c r="Y542" i="3"/>
  <c r="CX542" i="3"/>
  <c r="DG542" i="3" s="1"/>
  <c r="CY542" i="3"/>
  <c r="CZ542" i="3"/>
  <c r="DA542" i="3"/>
  <c r="DB542" i="3"/>
  <c r="DC542" i="3"/>
  <c r="DH542" i="3"/>
  <c r="A543" i="3"/>
  <c r="Y543" i="3"/>
  <c r="CX543" i="3" s="1"/>
  <c r="CY543" i="3"/>
  <c r="CZ543" i="3"/>
  <c r="DB543" i="3" s="1"/>
  <c r="DA543" i="3"/>
  <c r="DC543" i="3"/>
  <c r="A544" i="3"/>
  <c r="Y544" i="3"/>
  <c r="CX544" i="3"/>
  <c r="DG544" i="3" s="1"/>
  <c r="CY544" i="3"/>
  <c r="CZ544" i="3"/>
  <c r="DB544" i="3" s="1"/>
  <c r="DA544" i="3"/>
  <c r="DC544" i="3"/>
  <c r="DF544" i="3"/>
  <c r="DH544" i="3"/>
  <c r="DI544" i="3"/>
  <c r="DJ544" i="3"/>
  <c r="A545" i="3"/>
  <c r="Y545" i="3"/>
  <c r="CX545" i="3"/>
  <c r="DF545" i="3" s="1"/>
  <c r="CY545" i="3"/>
  <c r="CZ545" i="3"/>
  <c r="DA545" i="3"/>
  <c r="DB545" i="3"/>
  <c r="DC545" i="3"/>
  <c r="DH545" i="3"/>
  <c r="DI545" i="3"/>
  <c r="DJ545" i="3" s="1"/>
  <c r="A546" i="3"/>
  <c r="Y546" i="3"/>
  <c r="CX546" i="3"/>
  <c r="DG546" i="3" s="1"/>
  <c r="DJ546" i="3" s="1"/>
  <c r="CY546" i="3"/>
  <c r="CZ546" i="3"/>
  <c r="DA546" i="3"/>
  <c r="DB546" i="3"/>
  <c r="DC546" i="3"/>
  <c r="DH546" i="3"/>
  <c r="A547" i="3"/>
  <c r="Y547" i="3"/>
  <c r="CX547" i="3" s="1"/>
  <c r="CY547" i="3"/>
  <c r="CZ547" i="3"/>
  <c r="DB547" i="3" s="1"/>
  <c r="DA547" i="3"/>
  <c r="DC547" i="3"/>
  <c r="A548" i="3"/>
  <c r="Y548" i="3"/>
  <c r="CX548" i="3"/>
  <c r="DG548" i="3" s="1"/>
  <c r="DJ548" i="3" s="1"/>
  <c r="CY548" i="3"/>
  <c r="CZ548" i="3"/>
  <c r="DB548" i="3" s="1"/>
  <c r="DA548" i="3"/>
  <c r="DC548" i="3"/>
  <c r="DF548" i="3"/>
  <c r="DH548" i="3"/>
  <c r="DI548" i="3"/>
  <c r="A549" i="3"/>
  <c r="Y549" i="3"/>
  <c r="CX549" i="3"/>
  <c r="DF549" i="3" s="1"/>
  <c r="CY549" i="3"/>
  <c r="CZ549" i="3"/>
  <c r="DA549" i="3"/>
  <c r="DB549" i="3"/>
  <c r="DC549" i="3"/>
  <c r="DH549" i="3"/>
  <c r="DI549" i="3"/>
  <c r="A550" i="3"/>
  <c r="Y550" i="3"/>
  <c r="CX550" i="3"/>
  <c r="DG550" i="3" s="1"/>
  <c r="DJ550" i="3" s="1"/>
  <c r="CY550" i="3"/>
  <c r="CZ550" i="3"/>
  <c r="DA550" i="3"/>
  <c r="DB550" i="3"/>
  <c r="DC550" i="3"/>
  <c r="DH550" i="3"/>
  <c r="A551" i="3"/>
  <c r="Y551" i="3"/>
  <c r="CX551" i="3" s="1"/>
  <c r="CY551" i="3"/>
  <c r="CZ551" i="3"/>
  <c r="DB551" i="3" s="1"/>
  <c r="DA551" i="3"/>
  <c r="DC551" i="3"/>
  <c r="A552" i="3"/>
  <c r="Y552" i="3"/>
  <c r="CX552" i="3"/>
  <c r="DG552" i="3" s="1"/>
  <c r="CY552" i="3"/>
  <c r="CZ552" i="3"/>
  <c r="DB552" i="3" s="1"/>
  <c r="DA552" i="3"/>
  <c r="DC552" i="3"/>
  <c r="DF552" i="3"/>
  <c r="DH552" i="3"/>
  <c r="DI552" i="3"/>
  <c r="DJ552" i="3"/>
  <c r="A553" i="3"/>
  <c r="Y553" i="3"/>
  <c r="CX553" i="3"/>
  <c r="DF553" i="3" s="1"/>
  <c r="DJ553" i="3" s="1"/>
  <c r="CY553" i="3"/>
  <c r="CZ553" i="3"/>
  <c r="DA553" i="3"/>
  <c r="DB553" i="3"/>
  <c r="DC553" i="3"/>
  <c r="DH553" i="3"/>
  <c r="DI553" i="3"/>
  <c r="A554" i="3"/>
  <c r="Y554" i="3"/>
  <c r="CX554" i="3"/>
  <c r="DG554" i="3" s="1"/>
  <c r="CY554" i="3"/>
  <c r="CZ554" i="3"/>
  <c r="DA554" i="3"/>
  <c r="DB554" i="3"/>
  <c r="DC554" i="3"/>
  <c r="DH554" i="3"/>
  <c r="A555" i="3"/>
  <c r="Y555" i="3"/>
  <c r="CX555" i="3" s="1"/>
  <c r="CY555" i="3"/>
  <c r="CZ555" i="3"/>
  <c r="DB555" i="3" s="1"/>
  <c r="DA555" i="3"/>
  <c r="DC555" i="3"/>
  <c r="A556" i="3"/>
  <c r="Y556" i="3"/>
  <c r="CX556" i="3"/>
  <c r="DG556" i="3" s="1"/>
  <c r="CY556" i="3"/>
  <c r="CZ556" i="3"/>
  <c r="DB556" i="3" s="1"/>
  <c r="DA556" i="3"/>
  <c r="DC556" i="3"/>
  <c r="DF556" i="3"/>
  <c r="DH556" i="3"/>
  <c r="DI556" i="3"/>
  <c r="DJ556" i="3"/>
  <c r="A557" i="3"/>
  <c r="Y557" i="3"/>
  <c r="CX557" i="3"/>
  <c r="DF557" i="3" s="1"/>
  <c r="DJ557" i="3" s="1"/>
  <c r="CY557" i="3"/>
  <c r="CZ557" i="3"/>
  <c r="DA557" i="3"/>
  <c r="DB557" i="3"/>
  <c r="DC557" i="3"/>
  <c r="DH557" i="3"/>
  <c r="DI557" i="3"/>
  <c r="A558" i="3"/>
  <c r="Y558" i="3"/>
  <c r="CX558" i="3"/>
  <c r="DH558" i="3" s="1"/>
  <c r="CY558" i="3"/>
  <c r="CZ558" i="3"/>
  <c r="DA558" i="3"/>
  <c r="DB558" i="3"/>
  <c r="DC558" i="3"/>
  <c r="A559" i="3"/>
  <c r="Y559" i="3"/>
  <c r="CX559" i="3" s="1"/>
  <c r="CY559" i="3"/>
  <c r="CZ559" i="3"/>
  <c r="DB559" i="3" s="1"/>
  <c r="DA559" i="3"/>
  <c r="DC559" i="3"/>
  <c r="DG559" i="3"/>
  <c r="A560" i="3"/>
  <c r="Y560" i="3"/>
  <c r="CX560" i="3"/>
  <c r="DG560" i="3" s="1"/>
  <c r="CY560" i="3"/>
  <c r="CZ560" i="3"/>
  <c r="DB560" i="3" s="1"/>
  <c r="DA560" i="3"/>
  <c r="DC560" i="3"/>
  <c r="DF560" i="3"/>
  <c r="DH560" i="3"/>
  <c r="DI560" i="3"/>
  <c r="DJ560" i="3"/>
  <c r="A561" i="3"/>
  <c r="Y561" i="3"/>
  <c r="CX561" i="3"/>
  <c r="DF561" i="3" s="1"/>
  <c r="CY561" i="3"/>
  <c r="CZ561" i="3"/>
  <c r="DA561" i="3"/>
  <c r="DB561" i="3"/>
  <c r="DC561" i="3"/>
  <c r="DH561" i="3"/>
  <c r="DI561" i="3"/>
  <c r="A562" i="3"/>
  <c r="Y562" i="3"/>
  <c r="CX562" i="3"/>
  <c r="CY562" i="3"/>
  <c r="CZ562" i="3"/>
  <c r="DA562" i="3"/>
  <c r="DB562" i="3"/>
  <c r="DC562" i="3"/>
  <c r="A563" i="3"/>
  <c r="Y563" i="3"/>
  <c r="CX563" i="3" s="1"/>
  <c r="DG563" i="3" s="1"/>
  <c r="DJ563" i="3" s="1"/>
  <c r="CY563" i="3"/>
  <c r="CZ563" i="3"/>
  <c r="DB563" i="3" s="1"/>
  <c r="DA563" i="3"/>
  <c r="DC563" i="3"/>
  <c r="A564" i="3"/>
  <c r="Y564" i="3"/>
  <c r="CX564" i="3"/>
  <c r="DG564" i="3" s="1"/>
  <c r="CY564" i="3"/>
  <c r="CZ564" i="3"/>
  <c r="DB564" i="3" s="1"/>
  <c r="DA564" i="3"/>
  <c r="DC564" i="3"/>
  <c r="DF564" i="3"/>
  <c r="DH564" i="3"/>
  <c r="DI564" i="3"/>
  <c r="DJ564" i="3"/>
  <c r="A565" i="3"/>
  <c r="Y565" i="3"/>
  <c r="CX565" i="3"/>
  <c r="DF565" i="3" s="1"/>
  <c r="CY565" i="3"/>
  <c r="CZ565" i="3"/>
  <c r="DA565" i="3"/>
  <c r="DB565" i="3"/>
  <c r="DC565" i="3"/>
  <c r="DH565" i="3"/>
  <c r="DI565" i="3"/>
  <c r="A566" i="3"/>
  <c r="Y566" i="3"/>
  <c r="CX566" i="3"/>
  <c r="CY566" i="3"/>
  <c r="CZ566" i="3"/>
  <c r="DA566" i="3"/>
  <c r="DB566" i="3"/>
  <c r="DC566" i="3"/>
  <c r="DH566" i="3"/>
  <c r="A567" i="3"/>
  <c r="Y567" i="3"/>
  <c r="CX567" i="3" s="1"/>
  <c r="CY567" i="3"/>
  <c r="CZ567" i="3"/>
  <c r="DB567" i="3" s="1"/>
  <c r="DA567" i="3"/>
  <c r="DC567" i="3"/>
  <c r="DG567" i="3"/>
  <c r="A568" i="3"/>
  <c r="Y568" i="3"/>
  <c r="CX568" i="3"/>
  <c r="DG568" i="3" s="1"/>
  <c r="CY568" i="3"/>
  <c r="CZ568" i="3"/>
  <c r="DB568" i="3" s="1"/>
  <c r="DA568" i="3"/>
  <c r="DC568" i="3"/>
  <c r="DF568" i="3"/>
  <c r="DJ568" i="3" s="1"/>
  <c r="DH568" i="3"/>
  <c r="DI568" i="3"/>
  <c r="A569" i="3"/>
  <c r="Y569" i="3"/>
  <c r="CX569" i="3"/>
  <c r="DF569" i="3" s="1"/>
  <c r="DJ569" i="3" s="1"/>
  <c r="CY569" i="3"/>
  <c r="CZ569" i="3"/>
  <c r="DA569" i="3"/>
  <c r="DB569" i="3"/>
  <c r="DC569" i="3"/>
  <c r="DH569" i="3"/>
  <c r="DI569" i="3"/>
  <c r="A570" i="3"/>
  <c r="Y570" i="3"/>
  <c r="CX570" i="3"/>
  <c r="CY570" i="3"/>
  <c r="CZ570" i="3"/>
  <c r="DA570" i="3"/>
  <c r="DB570" i="3"/>
  <c r="DC570" i="3"/>
  <c r="DH570" i="3"/>
  <c r="A571" i="3"/>
  <c r="Y571" i="3"/>
  <c r="CX571" i="3" s="1"/>
  <c r="CY571" i="3"/>
  <c r="CZ571" i="3"/>
  <c r="DB571" i="3" s="1"/>
  <c r="DA571" i="3"/>
  <c r="DC571" i="3"/>
  <c r="DG571" i="3"/>
  <c r="A572" i="3"/>
  <c r="Y572" i="3"/>
  <c r="CX572" i="3"/>
  <c r="DG572" i="3" s="1"/>
  <c r="CY572" i="3"/>
  <c r="CZ572" i="3"/>
  <c r="DB572" i="3" s="1"/>
  <c r="DA572" i="3"/>
  <c r="DC572" i="3"/>
  <c r="DF572" i="3"/>
  <c r="DJ572" i="3" s="1"/>
  <c r="DH572" i="3"/>
  <c r="DI572" i="3"/>
  <c r="A573" i="3"/>
  <c r="Y573" i="3"/>
  <c r="CX573" i="3"/>
  <c r="DF573" i="3" s="1"/>
  <c r="DJ573" i="3" s="1"/>
  <c r="CY573" i="3"/>
  <c r="CZ573" i="3"/>
  <c r="DA573" i="3"/>
  <c r="DB573" i="3"/>
  <c r="DC573" i="3"/>
  <c r="DH573" i="3"/>
  <c r="DI573" i="3"/>
  <c r="A574" i="3"/>
  <c r="Y574" i="3"/>
  <c r="CX574" i="3"/>
  <c r="DH574" i="3" s="1"/>
  <c r="CY574" i="3"/>
  <c r="CZ574" i="3"/>
  <c r="DA574" i="3"/>
  <c r="DB574" i="3"/>
  <c r="DC574" i="3"/>
  <c r="A575" i="3"/>
  <c r="Y575" i="3"/>
  <c r="CX575" i="3" s="1"/>
  <c r="CY575" i="3"/>
  <c r="CZ575" i="3"/>
  <c r="DB575" i="3" s="1"/>
  <c r="DA575" i="3"/>
  <c r="DC575" i="3"/>
  <c r="DG575" i="3"/>
  <c r="A576" i="3"/>
  <c r="Y576" i="3"/>
  <c r="CX576" i="3"/>
  <c r="DG576" i="3" s="1"/>
  <c r="CY576" i="3"/>
  <c r="CZ576" i="3"/>
  <c r="DB576" i="3" s="1"/>
  <c r="DA576" i="3"/>
  <c r="DC576" i="3"/>
  <c r="DF576" i="3"/>
  <c r="DH576" i="3"/>
  <c r="DI576" i="3"/>
  <c r="DJ576" i="3"/>
  <c r="A577" i="3"/>
  <c r="Y577" i="3"/>
  <c r="CX577" i="3"/>
  <c r="DF577" i="3" s="1"/>
  <c r="DJ577" i="3" s="1"/>
  <c r="CY577" i="3"/>
  <c r="CZ577" i="3"/>
  <c r="DA577" i="3"/>
  <c r="DB577" i="3"/>
  <c r="DC577" i="3"/>
  <c r="DH577" i="3"/>
  <c r="DI577" i="3"/>
  <c r="A578" i="3"/>
  <c r="Y578" i="3"/>
  <c r="CX578" i="3"/>
  <c r="CY578" i="3"/>
  <c r="CZ578" i="3"/>
  <c r="DA578" i="3"/>
  <c r="DB578" i="3"/>
  <c r="DC578" i="3"/>
  <c r="A579" i="3"/>
  <c r="Y579" i="3"/>
  <c r="CX579" i="3" s="1"/>
  <c r="DG579" i="3" s="1"/>
  <c r="CY579" i="3"/>
  <c r="CZ579" i="3"/>
  <c r="DB579" i="3" s="1"/>
  <c r="DA579" i="3"/>
  <c r="DC579" i="3"/>
  <c r="A580" i="3"/>
  <c r="Y580" i="3"/>
  <c r="CX580" i="3"/>
  <c r="DG580" i="3" s="1"/>
  <c r="CY580" i="3"/>
  <c r="CZ580" i="3"/>
  <c r="DB580" i="3" s="1"/>
  <c r="DA580" i="3"/>
  <c r="DC580" i="3"/>
  <c r="DF580" i="3"/>
  <c r="DH580" i="3"/>
  <c r="DI580" i="3"/>
  <c r="DJ580" i="3"/>
  <c r="A581" i="3"/>
  <c r="Y581" i="3"/>
  <c r="CX581" i="3"/>
  <c r="DF581" i="3" s="1"/>
  <c r="CY581" i="3"/>
  <c r="CZ581" i="3"/>
  <c r="DA581" i="3"/>
  <c r="DB581" i="3"/>
  <c r="DC581" i="3"/>
  <c r="DH581" i="3"/>
  <c r="DI581" i="3"/>
  <c r="A582" i="3"/>
  <c r="Y582" i="3"/>
  <c r="CX582" i="3"/>
  <c r="CY582" i="3"/>
  <c r="CZ582" i="3"/>
  <c r="DA582" i="3"/>
  <c r="DB582" i="3"/>
  <c r="DC582" i="3"/>
  <c r="DH582" i="3"/>
  <c r="A583" i="3"/>
  <c r="Y583" i="3"/>
  <c r="CX583" i="3" s="1"/>
  <c r="CY583" i="3"/>
  <c r="CZ583" i="3"/>
  <c r="DB583" i="3" s="1"/>
  <c r="DA583" i="3"/>
  <c r="DC583" i="3"/>
  <c r="DG583" i="3"/>
  <c r="A584" i="3"/>
  <c r="Y584" i="3"/>
  <c r="CX584" i="3"/>
  <c r="DG584" i="3" s="1"/>
  <c r="CY584" i="3"/>
  <c r="CZ584" i="3"/>
  <c r="DB584" i="3" s="1"/>
  <c r="DA584" i="3"/>
  <c r="DC584" i="3"/>
  <c r="DF584" i="3"/>
  <c r="DJ584" i="3" s="1"/>
  <c r="DH584" i="3"/>
  <c r="DI584" i="3"/>
  <c r="A585" i="3"/>
  <c r="Y585" i="3"/>
  <c r="CX585" i="3"/>
  <c r="DF585" i="3" s="1"/>
  <c r="CY585" i="3"/>
  <c r="CZ585" i="3"/>
  <c r="DA585" i="3"/>
  <c r="DB585" i="3"/>
  <c r="DC585" i="3"/>
  <c r="DH585" i="3"/>
  <c r="DI585" i="3"/>
  <c r="DJ585" i="3" s="1"/>
  <c r="A586" i="3"/>
  <c r="Y586" i="3"/>
  <c r="CX586" i="3"/>
  <c r="CY586" i="3"/>
  <c r="CZ586" i="3"/>
  <c r="DA586" i="3"/>
  <c r="DB586" i="3"/>
  <c r="DC586" i="3"/>
  <c r="DH586" i="3"/>
  <c r="A587" i="3"/>
  <c r="Y587" i="3"/>
  <c r="CX587" i="3" s="1"/>
  <c r="CY587" i="3"/>
  <c r="CZ587" i="3"/>
  <c r="DB587" i="3" s="1"/>
  <c r="DA587" i="3"/>
  <c r="DC587" i="3"/>
  <c r="DG587" i="3"/>
  <c r="DJ587" i="3" s="1"/>
  <c r="A588" i="3"/>
  <c r="Y588" i="3"/>
  <c r="CX588" i="3"/>
  <c r="DG588" i="3" s="1"/>
  <c r="CY588" i="3"/>
  <c r="CZ588" i="3"/>
  <c r="DB588" i="3" s="1"/>
  <c r="DA588" i="3"/>
  <c r="DC588" i="3"/>
  <c r="DF588" i="3"/>
  <c r="DH588" i="3"/>
  <c r="DI588" i="3"/>
  <c r="DJ588" i="3"/>
  <c r="A589" i="3"/>
  <c r="Y589" i="3"/>
  <c r="CX589" i="3"/>
  <c r="DF589" i="3" s="1"/>
  <c r="DJ589" i="3" s="1"/>
  <c r="CY589" i="3"/>
  <c r="CZ589" i="3"/>
  <c r="DA589" i="3"/>
  <c r="DB589" i="3"/>
  <c r="DC589" i="3"/>
  <c r="DH589" i="3"/>
  <c r="DI589" i="3"/>
  <c r="A590" i="3"/>
  <c r="Y590" i="3"/>
  <c r="CX590" i="3"/>
  <c r="DG590" i="3" s="1"/>
  <c r="CY590" i="3"/>
  <c r="CZ590" i="3"/>
  <c r="DA590" i="3"/>
  <c r="DB590" i="3"/>
  <c r="DC590" i="3"/>
  <c r="A591" i="3"/>
  <c r="Y591" i="3"/>
  <c r="CX591" i="3" s="1"/>
  <c r="DF591" i="3" s="1"/>
  <c r="CY591" i="3"/>
  <c r="CZ591" i="3"/>
  <c r="DB591" i="3" s="1"/>
  <c r="DA591" i="3"/>
  <c r="DC591" i="3"/>
  <c r="A592" i="3"/>
  <c r="Y592" i="3"/>
  <c r="CX592" i="3"/>
  <c r="DG592" i="3" s="1"/>
  <c r="CY592" i="3"/>
  <c r="CZ592" i="3"/>
  <c r="DB592" i="3" s="1"/>
  <c r="DA592" i="3"/>
  <c r="DC592" i="3"/>
  <c r="DF592" i="3"/>
  <c r="DH592" i="3"/>
  <c r="DI592" i="3"/>
  <c r="DJ592" i="3"/>
  <c r="A593" i="3"/>
  <c r="Y593" i="3"/>
  <c r="CX593" i="3"/>
  <c r="CY593" i="3"/>
  <c r="CZ593" i="3"/>
  <c r="DA593" i="3"/>
  <c r="DB593" i="3"/>
  <c r="DC593" i="3"/>
  <c r="DH593" i="3"/>
  <c r="DI593" i="3"/>
  <c r="A594" i="3"/>
  <c r="Y594" i="3"/>
  <c r="CX594" i="3"/>
  <c r="DG594" i="3" s="1"/>
  <c r="DJ594" i="3" s="1"/>
  <c r="CY594" i="3"/>
  <c r="CZ594" i="3"/>
  <c r="DA594" i="3"/>
  <c r="DB594" i="3"/>
  <c r="DC594" i="3"/>
  <c r="A595" i="3"/>
  <c r="Y595" i="3"/>
  <c r="CX595" i="3" s="1"/>
  <c r="DF595" i="3" s="1"/>
  <c r="DJ595" i="3" s="1"/>
  <c r="CY595" i="3"/>
  <c r="CZ595" i="3"/>
  <c r="DB595" i="3" s="1"/>
  <c r="DA595" i="3"/>
  <c r="DC595" i="3"/>
  <c r="A596" i="3"/>
  <c r="Y596" i="3"/>
  <c r="CX596" i="3"/>
  <c r="DG596" i="3" s="1"/>
  <c r="CY596" i="3"/>
  <c r="CZ596" i="3"/>
  <c r="DB596" i="3" s="1"/>
  <c r="DA596" i="3"/>
  <c r="DC596" i="3"/>
  <c r="DF596" i="3"/>
  <c r="DJ596" i="3" s="1"/>
  <c r="DH596" i="3"/>
  <c r="DI596" i="3"/>
  <c r="A597" i="3"/>
  <c r="Y597" i="3"/>
  <c r="CX597" i="3"/>
  <c r="CY597" i="3"/>
  <c r="CZ597" i="3"/>
  <c r="DA597" i="3"/>
  <c r="DB597" i="3"/>
  <c r="DC597" i="3"/>
  <c r="DH597" i="3"/>
  <c r="DI597" i="3"/>
  <c r="DJ597" i="3" s="1"/>
  <c r="A598" i="3"/>
  <c r="Y598" i="3"/>
  <c r="CX598" i="3"/>
  <c r="DG598" i="3" s="1"/>
  <c r="DJ598" i="3" s="1"/>
  <c r="CY598" i="3"/>
  <c r="CZ598" i="3"/>
  <c r="DA598" i="3"/>
  <c r="DB598" i="3"/>
  <c r="DC598" i="3"/>
  <c r="A599" i="3"/>
  <c r="Y599" i="3"/>
  <c r="CX599" i="3" s="1"/>
  <c r="DF599" i="3" s="1"/>
  <c r="CY599" i="3"/>
  <c r="CZ599" i="3"/>
  <c r="DB599" i="3" s="1"/>
  <c r="DA599" i="3"/>
  <c r="DC599" i="3"/>
  <c r="A600" i="3"/>
  <c r="Y600" i="3"/>
  <c r="CX600" i="3"/>
  <c r="DG600" i="3" s="1"/>
  <c r="CY600" i="3"/>
  <c r="CZ600" i="3"/>
  <c r="DB600" i="3" s="1"/>
  <c r="DA600" i="3"/>
  <c r="DC600" i="3"/>
  <c r="DF600" i="3"/>
  <c r="DH600" i="3"/>
  <c r="DI600" i="3"/>
  <c r="DJ600" i="3"/>
  <c r="A601" i="3"/>
  <c r="Y601" i="3"/>
  <c r="CX601" i="3" s="1"/>
  <c r="CY601" i="3"/>
  <c r="CZ601" i="3"/>
  <c r="DA601" i="3"/>
  <c r="DB601" i="3"/>
  <c r="DC601" i="3"/>
  <c r="A602" i="3"/>
  <c r="Y602" i="3"/>
  <c r="CX602" i="3"/>
  <c r="DI602" i="3" s="1"/>
  <c r="CY602" i="3"/>
  <c r="CZ602" i="3"/>
  <c r="DA602" i="3"/>
  <c r="DB602" i="3"/>
  <c r="DC602" i="3"/>
  <c r="DH602" i="3"/>
  <c r="A603" i="3"/>
  <c r="Y603" i="3"/>
  <c r="CX603" i="3" s="1"/>
  <c r="DH603" i="3" s="1"/>
  <c r="CY603" i="3"/>
  <c r="CZ603" i="3"/>
  <c r="DB603" i="3" s="1"/>
  <c r="DA603" i="3"/>
  <c r="DC603" i="3"/>
  <c r="DF603" i="3"/>
  <c r="A604" i="3"/>
  <c r="Y604" i="3"/>
  <c r="CX604" i="3"/>
  <c r="DG604" i="3" s="1"/>
  <c r="CY604" i="3"/>
  <c r="CZ604" i="3"/>
  <c r="DB604" i="3" s="1"/>
  <c r="DA604" i="3"/>
  <c r="DC604" i="3"/>
  <c r="DF604" i="3"/>
  <c r="DI604" i="3"/>
  <c r="DJ604" i="3"/>
  <c r="A605" i="3"/>
  <c r="Y605" i="3"/>
  <c r="CX605" i="3"/>
  <c r="DF605" i="3" s="1"/>
  <c r="CY605" i="3"/>
  <c r="CZ605" i="3"/>
  <c r="DA605" i="3"/>
  <c r="DB605" i="3"/>
  <c r="DC605" i="3"/>
  <c r="DG605" i="3"/>
  <c r="DJ605" i="3" s="1"/>
  <c r="DI605" i="3"/>
  <c r="A606" i="3"/>
  <c r="Y606" i="3"/>
  <c r="CX606" i="3" s="1"/>
  <c r="CY606" i="3"/>
  <c r="CZ606" i="3"/>
  <c r="DB606" i="3" s="1"/>
  <c r="DA606" i="3"/>
  <c r="DC606" i="3"/>
  <c r="A607" i="3"/>
  <c r="Y607" i="3"/>
  <c r="CX607" i="3" s="1"/>
  <c r="DH607" i="3" s="1"/>
  <c r="CY607" i="3"/>
  <c r="CZ607" i="3"/>
  <c r="DB607" i="3" s="1"/>
  <c r="DA607" i="3"/>
  <c r="DC607" i="3"/>
  <c r="A608" i="3"/>
  <c r="Y608" i="3"/>
  <c r="CX608" i="3"/>
  <c r="DG608" i="3" s="1"/>
  <c r="CY608" i="3"/>
  <c r="CZ608" i="3"/>
  <c r="DA608" i="3"/>
  <c r="DB608" i="3"/>
  <c r="DC608" i="3"/>
  <c r="DI608" i="3"/>
  <c r="A609" i="3"/>
  <c r="Y609" i="3"/>
  <c r="CX609" i="3"/>
  <c r="DF609" i="3" s="1"/>
  <c r="CY609" i="3"/>
  <c r="CZ609" i="3"/>
  <c r="DA609" i="3"/>
  <c r="DB609" i="3"/>
  <c r="DC609" i="3"/>
  <c r="DI609" i="3"/>
  <c r="DJ609" i="3" s="1"/>
  <c r="A610" i="3"/>
  <c r="Y610" i="3"/>
  <c r="CX610" i="3"/>
  <c r="DI610" i="3" s="1"/>
  <c r="CY610" i="3"/>
  <c r="CZ610" i="3"/>
  <c r="DB610" i="3" s="1"/>
  <c r="DA610" i="3"/>
  <c r="DC610" i="3"/>
  <c r="DF610" i="3"/>
  <c r="DH610" i="3"/>
  <c r="A611" i="3"/>
  <c r="Y611" i="3"/>
  <c r="CX611" i="3" s="1"/>
  <c r="DH611" i="3" s="1"/>
  <c r="CY611" i="3"/>
  <c r="CZ611" i="3"/>
  <c r="DB611" i="3" s="1"/>
  <c r="DA611" i="3"/>
  <c r="DC611" i="3"/>
  <c r="DF611" i="3"/>
  <c r="DG611" i="3"/>
  <c r="DJ611" i="3" s="1"/>
  <c r="DI611" i="3"/>
  <c r="A612" i="3"/>
  <c r="Y612" i="3"/>
  <c r="CX612" i="3"/>
  <c r="DG612" i="3" s="1"/>
  <c r="DJ612" i="3" s="1"/>
  <c r="CY612" i="3"/>
  <c r="CZ612" i="3"/>
  <c r="DA612" i="3"/>
  <c r="DB612" i="3"/>
  <c r="DC612" i="3"/>
  <c r="DI612" i="3"/>
  <c r="A613" i="3"/>
  <c r="Y613" i="3"/>
  <c r="CX613" i="3"/>
  <c r="DF613" i="3" s="1"/>
  <c r="CY613" i="3"/>
  <c r="CZ613" i="3"/>
  <c r="DA613" i="3"/>
  <c r="DB613" i="3"/>
  <c r="DC613" i="3"/>
  <c r="DI613" i="3"/>
  <c r="A614" i="3"/>
  <c r="Y614" i="3"/>
  <c r="CX614" i="3"/>
  <c r="DI614" i="3" s="1"/>
  <c r="CY614" i="3"/>
  <c r="CZ614" i="3"/>
  <c r="DA614" i="3"/>
  <c r="DB614" i="3"/>
  <c r="DC614" i="3"/>
  <c r="DH614" i="3"/>
  <c r="A615" i="3"/>
  <c r="Y615" i="3"/>
  <c r="CX615" i="3" s="1"/>
  <c r="DH615" i="3" s="1"/>
  <c r="CY615" i="3"/>
  <c r="CZ615" i="3"/>
  <c r="DB615" i="3" s="1"/>
  <c r="DA615" i="3"/>
  <c r="DC615" i="3"/>
  <c r="DF615" i="3"/>
  <c r="DG615" i="3"/>
  <c r="DJ615" i="3" s="1"/>
  <c r="A616" i="3"/>
  <c r="Y616" i="3"/>
  <c r="CX616" i="3"/>
  <c r="DG616" i="3" s="1"/>
  <c r="CY616" i="3"/>
  <c r="CZ616" i="3"/>
  <c r="DB616" i="3" s="1"/>
  <c r="DA616" i="3"/>
  <c r="DC616" i="3"/>
  <c r="DF616" i="3"/>
  <c r="DJ616" i="3" s="1"/>
  <c r="DH616" i="3"/>
  <c r="DI616" i="3"/>
  <c r="A617" i="3"/>
  <c r="Y617" i="3"/>
  <c r="CX617" i="3" s="1"/>
  <c r="CY617" i="3"/>
  <c r="CZ617" i="3"/>
  <c r="DA617" i="3"/>
  <c r="DB617" i="3"/>
  <c r="DC617" i="3"/>
  <c r="A618" i="3"/>
  <c r="Y618" i="3"/>
  <c r="CX618" i="3"/>
  <c r="DI618" i="3" s="1"/>
  <c r="CY618" i="3"/>
  <c r="CZ618" i="3"/>
  <c r="DA618" i="3"/>
  <c r="DB618" i="3"/>
  <c r="DC618" i="3"/>
  <c r="DH618" i="3"/>
  <c r="A619" i="3"/>
  <c r="Y619" i="3"/>
  <c r="CX619" i="3" s="1"/>
  <c r="DH619" i="3" s="1"/>
  <c r="CY619" i="3"/>
  <c r="CZ619" i="3"/>
  <c r="DB619" i="3" s="1"/>
  <c r="DA619" i="3"/>
  <c r="DC619" i="3"/>
  <c r="DF619" i="3"/>
  <c r="DJ619" i="3" s="1"/>
  <c r="A620" i="3"/>
  <c r="Y620" i="3"/>
  <c r="CX620" i="3"/>
  <c r="DG620" i="3" s="1"/>
  <c r="CY620" i="3"/>
  <c r="CZ620" i="3"/>
  <c r="DB620" i="3" s="1"/>
  <c r="DA620" i="3"/>
  <c r="DC620" i="3"/>
  <c r="DF620" i="3"/>
  <c r="DJ620" i="3" s="1"/>
  <c r="DI620" i="3"/>
  <c r="A621" i="3"/>
  <c r="Y621" i="3"/>
  <c r="CX621" i="3"/>
  <c r="DF621" i="3" s="1"/>
  <c r="DJ621" i="3" s="1"/>
  <c r="CY621" i="3"/>
  <c r="CZ621" i="3"/>
  <c r="DA621" i="3"/>
  <c r="DB621" i="3"/>
  <c r="DC621" i="3"/>
  <c r="DG621" i="3"/>
  <c r="DI621" i="3"/>
  <c r="A622" i="3"/>
  <c r="Y622" i="3"/>
  <c r="CX622" i="3" s="1"/>
  <c r="CY622" i="3"/>
  <c r="CZ622" i="3"/>
  <c r="DB622" i="3" s="1"/>
  <c r="DA622" i="3"/>
  <c r="DC622" i="3"/>
  <c r="A623" i="3"/>
  <c r="Y623" i="3"/>
  <c r="CX623" i="3" s="1"/>
  <c r="DH623" i="3" s="1"/>
  <c r="CY623" i="3"/>
  <c r="CZ623" i="3"/>
  <c r="DB623" i="3" s="1"/>
  <c r="DA623" i="3"/>
  <c r="DC623" i="3"/>
  <c r="A624" i="3"/>
  <c r="Y624" i="3"/>
  <c r="CX624" i="3"/>
  <c r="DG624" i="3" s="1"/>
  <c r="CY624" i="3"/>
  <c r="CZ624" i="3"/>
  <c r="DA624" i="3"/>
  <c r="DB624" i="3"/>
  <c r="DC624" i="3"/>
  <c r="DI624" i="3"/>
  <c r="A625" i="3"/>
  <c r="Y625" i="3"/>
  <c r="CX625" i="3"/>
  <c r="DF625" i="3" s="1"/>
  <c r="CY625" i="3"/>
  <c r="CZ625" i="3"/>
  <c r="DA625" i="3"/>
  <c r="DB625" i="3"/>
  <c r="DC625" i="3"/>
  <c r="DI625" i="3"/>
  <c r="DJ625" i="3" s="1"/>
  <c r="A626" i="3"/>
  <c r="Y626" i="3"/>
  <c r="CX626" i="3"/>
  <c r="DI626" i="3" s="1"/>
  <c r="CY626" i="3"/>
  <c r="CZ626" i="3"/>
  <c r="DB626" i="3" s="1"/>
  <c r="DA626" i="3"/>
  <c r="DC626" i="3"/>
  <c r="DF626" i="3"/>
  <c r="DH626" i="3"/>
  <c r="A627" i="3"/>
  <c r="Y627" i="3"/>
  <c r="CX627" i="3" s="1"/>
  <c r="DH627" i="3" s="1"/>
  <c r="CY627" i="3"/>
  <c r="CZ627" i="3"/>
  <c r="DB627" i="3" s="1"/>
  <c r="DA627" i="3"/>
  <c r="DC627" i="3"/>
  <c r="DF627" i="3"/>
  <c r="DG627" i="3"/>
  <c r="DJ627" i="3" s="1"/>
  <c r="DI627" i="3"/>
  <c r="A628" i="3"/>
  <c r="Y628" i="3"/>
  <c r="CX628" i="3"/>
  <c r="DG628" i="3" s="1"/>
  <c r="DJ628" i="3" s="1"/>
  <c r="CY628" i="3"/>
  <c r="CZ628" i="3"/>
  <c r="DA628" i="3"/>
  <c r="DB628" i="3"/>
  <c r="DC628" i="3"/>
  <c r="DI628" i="3"/>
  <c r="A629" i="3"/>
  <c r="Y629" i="3"/>
  <c r="CX629" i="3"/>
  <c r="DF629" i="3" s="1"/>
  <c r="CY629" i="3"/>
  <c r="CZ629" i="3"/>
  <c r="DA629" i="3"/>
  <c r="DB629" i="3"/>
  <c r="DC629" i="3"/>
  <c r="DI629" i="3"/>
  <c r="A630" i="3"/>
  <c r="Y630" i="3"/>
  <c r="CX630" i="3"/>
  <c r="DI630" i="3" s="1"/>
  <c r="CY630" i="3"/>
  <c r="CZ630" i="3"/>
  <c r="DA630" i="3"/>
  <c r="DB630" i="3"/>
  <c r="DC630" i="3"/>
  <c r="DH630" i="3"/>
  <c r="A631" i="3"/>
  <c r="Y631" i="3"/>
  <c r="CX631" i="3" s="1"/>
  <c r="DH631" i="3" s="1"/>
  <c r="CY631" i="3"/>
  <c r="CZ631" i="3"/>
  <c r="DB631" i="3" s="1"/>
  <c r="DA631" i="3"/>
  <c r="DC631" i="3"/>
  <c r="DF631" i="3"/>
  <c r="DG631" i="3"/>
  <c r="DJ631" i="3" s="1"/>
  <c r="A632" i="3"/>
  <c r="Y632" i="3"/>
  <c r="CX632" i="3"/>
  <c r="DG632" i="3" s="1"/>
  <c r="CY632" i="3"/>
  <c r="CZ632" i="3"/>
  <c r="DB632" i="3" s="1"/>
  <c r="DA632" i="3"/>
  <c r="DC632" i="3"/>
  <c r="DF632" i="3"/>
  <c r="DJ632" i="3" s="1"/>
  <c r="DH632" i="3"/>
  <c r="DI632" i="3"/>
  <c r="A633" i="3"/>
  <c r="Y633" i="3"/>
  <c r="CX633" i="3" s="1"/>
  <c r="CY633" i="3"/>
  <c r="CZ633" i="3"/>
  <c r="DA633" i="3"/>
  <c r="DB633" i="3"/>
  <c r="DC633" i="3"/>
  <c r="A634" i="3"/>
  <c r="Y634" i="3"/>
  <c r="CX634" i="3"/>
  <c r="DI634" i="3" s="1"/>
  <c r="CY634" i="3"/>
  <c r="CZ634" i="3"/>
  <c r="DA634" i="3"/>
  <c r="DB634" i="3"/>
  <c r="DC634" i="3"/>
  <c r="DH634" i="3"/>
  <c r="A635" i="3"/>
  <c r="Y635" i="3"/>
  <c r="CX635" i="3" s="1"/>
  <c r="DH635" i="3" s="1"/>
  <c r="CY635" i="3"/>
  <c r="CZ635" i="3"/>
  <c r="DB635" i="3" s="1"/>
  <c r="DA635" i="3"/>
  <c r="DC635" i="3"/>
  <c r="DF635" i="3"/>
  <c r="DJ635" i="3" s="1"/>
  <c r="A636" i="3"/>
  <c r="Y636" i="3"/>
  <c r="CX636" i="3"/>
  <c r="DG636" i="3" s="1"/>
  <c r="CY636" i="3"/>
  <c r="CZ636" i="3"/>
  <c r="DB636" i="3" s="1"/>
  <c r="DA636" i="3"/>
  <c r="DC636" i="3"/>
  <c r="DF636" i="3"/>
  <c r="DJ636" i="3" s="1"/>
  <c r="DI636" i="3"/>
  <c r="A637" i="3"/>
  <c r="Y637" i="3"/>
  <c r="CX637" i="3"/>
  <c r="DF637" i="3" s="1"/>
  <c r="DJ637" i="3" s="1"/>
  <c r="CY637" i="3"/>
  <c r="CZ637" i="3"/>
  <c r="DA637" i="3"/>
  <c r="DB637" i="3"/>
  <c r="DC637" i="3"/>
  <c r="DG637" i="3"/>
  <c r="DI637" i="3"/>
  <c r="A638" i="3"/>
  <c r="Y638" i="3"/>
  <c r="CX638" i="3" s="1"/>
  <c r="CY638" i="3"/>
  <c r="CZ638" i="3"/>
  <c r="DB638" i="3" s="1"/>
  <c r="DA638" i="3"/>
  <c r="DC638" i="3"/>
  <c r="A639" i="3"/>
  <c r="Y639" i="3"/>
  <c r="CX639" i="3" s="1"/>
  <c r="DH639" i="3" s="1"/>
  <c r="CY639" i="3"/>
  <c r="CZ639" i="3"/>
  <c r="DB639" i="3" s="1"/>
  <c r="DA639" i="3"/>
  <c r="DC639" i="3"/>
  <c r="A640" i="3"/>
  <c r="Y640" i="3"/>
  <c r="CX640" i="3"/>
  <c r="DG640" i="3" s="1"/>
  <c r="CY640" i="3"/>
  <c r="CZ640" i="3"/>
  <c r="DA640" i="3"/>
  <c r="DB640" i="3"/>
  <c r="DC640" i="3"/>
  <c r="DI640" i="3"/>
  <c r="A641" i="3"/>
  <c r="Y641" i="3"/>
  <c r="CX641" i="3"/>
  <c r="DF641" i="3" s="1"/>
  <c r="CY641" i="3"/>
  <c r="CZ641" i="3"/>
  <c r="DA641" i="3"/>
  <c r="DB641" i="3"/>
  <c r="DC641" i="3"/>
  <c r="DI641" i="3"/>
  <c r="DJ641" i="3" s="1"/>
  <c r="A642" i="3"/>
  <c r="Y642" i="3"/>
  <c r="CX642" i="3"/>
  <c r="DI642" i="3" s="1"/>
  <c r="CY642" i="3"/>
  <c r="CZ642" i="3"/>
  <c r="DB642" i="3" s="1"/>
  <c r="DA642" i="3"/>
  <c r="DC642" i="3"/>
  <c r="DF642" i="3"/>
  <c r="DH642" i="3"/>
  <c r="A643" i="3"/>
  <c r="Y643" i="3"/>
  <c r="CX643" i="3" s="1"/>
  <c r="DH643" i="3" s="1"/>
  <c r="CY643" i="3"/>
  <c r="CZ643" i="3"/>
  <c r="DB643" i="3" s="1"/>
  <c r="DA643" i="3"/>
  <c r="DC643" i="3"/>
  <c r="DF643" i="3"/>
  <c r="DG643" i="3"/>
  <c r="DJ643" i="3" s="1"/>
  <c r="DI643" i="3"/>
  <c r="A644" i="3"/>
  <c r="Y644" i="3"/>
  <c r="CX644" i="3"/>
  <c r="DG644" i="3" s="1"/>
  <c r="CY644" i="3"/>
  <c r="CZ644" i="3"/>
  <c r="DA644" i="3"/>
  <c r="DB644" i="3"/>
  <c r="DC644" i="3"/>
  <c r="DI644" i="3"/>
  <c r="A645" i="3"/>
  <c r="Y645" i="3"/>
  <c r="CX645" i="3"/>
  <c r="DF645" i="3" s="1"/>
  <c r="DJ645" i="3" s="1"/>
  <c r="CY645" i="3"/>
  <c r="CZ645" i="3"/>
  <c r="DA645" i="3"/>
  <c r="DB645" i="3"/>
  <c r="DC645" i="3"/>
  <c r="DI645" i="3"/>
  <c r="A646" i="3"/>
  <c r="Y646" i="3"/>
  <c r="CX646" i="3"/>
  <c r="DI646" i="3" s="1"/>
  <c r="CY646" i="3"/>
  <c r="CZ646" i="3"/>
  <c r="DA646" i="3"/>
  <c r="DB646" i="3"/>
  <c r="DC646" i="3"/>
  <c r="DH646" i="3"/>
  <c r="DJ646" i="3"/>
  <c r="A647" i="3"/>
  <c r="Y647" i="3"/>
  <c r="CX647" i="3" s="1"/>
  <c r="DH647" i="3" s="1"/>
  <c r="CY647" i="3"/>
  <c r="CZ647" i="3"/>
  <c r="DB647" i="3" s="1"/>
  <c r="DA647" i="3"/>
  <c r="DC647" i="3"/>
  <c r="DF647" i="3"/>
  <c r="DG647" i="3"/>
  <c r="DJ647" i="3" s="1"/>
  <c r="A648" i="3"/>
  <c r="Y648" i="3"/>
  <c r="CX648" i="3"/>
  <c r="DG648" i="3" s="1"/>
  <c r="CY648" i="3"/>
  <c r="CZ648" i="3"/>
  <c r="DB648" i="3" s="1"/>
  <c r="DA648" i="3"/>
  <c r="DC648" i="3"/>
  <c r="DF648" i="3"/>
  <c r="DH648" i="3"/>
  <c r="DI648" i="3"/>
  <c r="DJ648" i="3"/>
  <c r="A649" i="3"/>
  <c r="Y649" i="3"/>
  <c r="CX649" i="3" s="1"/>
  <c r="CY649" i="3"/>
  <c r="CZ649" i="3"/>
  <c r="DA649" i="3"/>
  <c r="DB649" i="3"/>
  <c r="DC649" i="3"/>
  <c r="A650" i="3"/>
  <c r="Y650" i="3"/>
  <c r="CX650" i="3"/>
  <c r="DI650" i="3" s="1"/>
  <c r="CY650" i="3"/>
  <c r="CZ650" i="3"/>
  <c r="DA650" i="3"/>
  <c r="DB650" i="3"/>
  <c r="DC650" i="3"/>
  <c r="DH650" i="3"/>
  <c r="A651" i="3"/>
  <c r="Y651" i="3"/>
  <c r="CX651" i="3" s="1"/>
  <c r="DH651" i="3" s="1"/>
  <c r="CY651" i="3"/>
  <c r="CZ651" i="3"/>
  <c r="DB651" i="3" s="1"/>
  <c r="DA651" i="3"/>
  <c r="DC651" i="3"/>
  <c r="DF651" i="3"/>
  <c r="A652" i="3"/>
  <c r="Y652" i="3"/>
  <c r="CX652" i="3"/>
  <c r="DG652" i="3" s="1"/>
  <c r="CY652" i="3"/>
  <c r="CZ652" i="3"/>
  <c r="DB652" i="3" s="1"/>
  <c r="DA652" i="3"/>
  <c r="DC652" i="3"/>
  <c r="DF652" i="3"/>
  <c r="DI652" i="3"/>
  <c r="DJ652" i="3"/>
  <c r="A653" i="3"/>
  <c r="Y653" i="3"/>
  <c r="CX653" i="3"/>
  <c r="DF653" i="3" s="1"/>
  <c r="CY653" i="3"/>
  <c r="CZ653" i="3"/>
  <c r="DA653" i="3"/>
  <c r="DB653" i="3"/>
  <c r="DC653" i="3"/>
  <c r="DG653" i="3"/>
  <c r="DJ653" i="3" s="1"/>
  <c r="DI653" i="3"/>
  <c r="A654" i="3"/>
  <c r="Y654" i="3"/>
  <c r="CX654" i="3" s="1"/>
  <c r="CY654" i="3"/>
  <c r="CZ654" i="3"/>
  <c r="DB654" i="3" s="1"/>
  <c r="DA654" i="3"/>
  <c r="DC654" i="3"/>
  <c r="A655" i="3"/>
  <c r="Y655" i="3"/>
  <c r="CX655" i="3" s="1"/>
  <c r="DH655" i="3" s="1"/>
  <c r="CY655" i="3"/>
  <c r="CZ655" i="3"/>
  <c r="DB655" i="3" s="1"/>
  <c r="DA655" i="3"/>
  <c r="DC655" i="3"/>
  <c r="A656" i="3"/>
  <c r="Y656" i="3"/>
  <c r="CX656" i="3"/>
  <c r="DG656" i="3" s="1"/>
  <c r="CY656" i="3"/>
  <c r="CZ656" i="3"/>
  <c r="DA656" i="3"/>
  <c r="DB656" i="3"/>
  <c r="DC656" i="3"/>
  <c r="DI656" i="3"/>
  <c r="DJ656" i="3"/>
  <c r="A657" i="3"/>
  <c r="Y657" i="3"/>
  <c r="CX657" i="3"/>
  <c r="DF657" i="3" s="1"/>
  <c r="CY657" i="3"/>
  <c r="CZ657" i="3"/>
  <c r="DA657" i="3"/>
  <c r="DB657" i="3"/>
  <c r="DC657" i="3"/>
  <c r="DI657" i="3"/>
  <c r="A658" i="3"/>
  <c r="Y658" i="3"/>
  <c r="CX658" i="3"/>
  <c r="DI658" i="3" s="1"/>
  <c r="CY658" i="3"/>
  <c r="CZ658" i="3"/>
  <c r="DB658" i="3" s="1"/>
  <c r="DA658" i="3"/>
  <c r="DC658" i="3"/>
  <c r="DF658" i="3"/>
  <c r="DH658" i="3"/>
  <c r="A659" i="3"/>
  <c r="Y659" i="3"/>
  <c r="CX659" i="3" s="1"/>
  <c r="DH659" i="3" s="1"/>
  <c r="CY659" i="3"/>
  <c r="CZ659" i="3"/>
  <c r="DB659" i="3" s="1"/>
  <c r="DA659" i="3"/>
  <c r="DC659" i="3"/>
  <c r="DF659" i="3"/>
  <c r="DJ659" i="3" s="1"/>
  <c r="DG659" i="3"/>
  <c r="DI659" i="3"/>
  <c r="A660" i="3"/>
  <c r="Y660" i="3"/>
  <c r="CX660" i="3"/>
  <c r="DG660" i="3" s="1"/>
  <c r="CY660" i="3"/>
  <c r="CZ660" i="3"/>
  <c r="DA660" i="3"/>
  <c r="DB660" i="3"/>
  <c r="DC660" i="3"/>
  <c r="DI660" i="3"/>
  <c r="A661" i="3"/>
  <c r="Y661" i="3"/>
  <c r="CX661" i="3"/>
  <c r="DF661" i="3" s="1"/>
  <c r="CY661" i="3"/>
  <c r="CZ661" i="3"/>
  <c r="DA661" i="3"/>
  <c r="DB661" i="3"/>
  <c r="DC661" i="3"/>
  <c r="DI661" i="3"/>
  <c r="DJ661" i="3" s="1"/>
  <c r="A662" i="3"/>
  <c r="Y662" i="3"/>
  <c r="CX662" i="3"/>
  <c r="DI662" i="3" s="1"/>
  <c r="CY662" i="3"/>
  <c r="CZ662" i="3"/>
  <c r="DA662" i="3"/>
  <c r="DB662" i="3"/>
  <c r="DC662" i="3"/>
  <c r="DH662" i="3"/>
  <c r="DJ662" i="3"/>
  <c r="A663" i="3"/>
  <c r="Y663" i="3"/>
  <c r="CX663" i="3" s="1"/>
  <c r="DH663" i="3" s="1"/>
  <c r="CY663" i="3"/>
  <c r="CZ663" i="3"/>
  <c r="DB663" i="3" s="1"/>
  <c r="DA663" i="3"/>
  <c r="DC663" i="3"/>
  <c r="DF663" i="3"/>
  <c r="DG663" i="3"/>
  <c r="A664" i="3"/>
  <c r="Y664" i="3"/>
  <c r="CX664" i="3"/>
  <c r="DG664" i="3" s="1"/>
  <c r="CY664" i="3"/>
  <c r="CZ664" i="3"/>
  <c r="DB664" i="3" s="1"/>
  <c r="DA664" i="3"/>
  <c r="DC664" i="3"/>
  <c r="DF664" i="3"/>
  <c r="DH664" i="3"/>
  <c r="DI664" i="3"/>
  <c r="DJ664" i="3"/>
  <c r="A665" i="3"/>
  <c r="Y665" i="3"/>
  <c r="CX665" i="3" s="1"/>
  <c r="CY665" i="3"/>
  <c r="CZ665" i="3"/>
  <c r="DA665" i="3"/>
  <c r="DB665" i="3"/>
  <c r="DC665" i="3"/>
  <c r="A666" i="3"/>
  <c r="Y666" i="3"/>
  <c r="CX666" i="3"/>
  <c r="DI666" i="3" s="1"/>
  <c r="CY666" i="3"/>
  <c r="CZ666" i="3"/>
  <c r="DA666" i="3"/>
  <c r="DB666" i="3"/>
  <c r="DC666" i="3"/>
  <c r="DH666" i="3"/>
  <c r="A667" i="3"/>
  <c r="Y667" i="3"/>
  <c r="CX667" i="3" s="1"/>
  <c r="DH667" i="3" s="1"/>
  <c r="CY667" i="3"/>
  <c r="CZ667" i="3"/>
  <c r="DB667" i="3" s="1"/>
  <c r="DA667" i="3"/>
  <c r="DC667" i="3"/>
  <c r="DF667" i="3"/>
  <c r="A668" i="3"/>
  <c r="Y668" i="3"/>
  <c r="CX668" i="3"/>
  <c r="DG668" i="3" s="1"/>
  <c r="CY668" i="3"/>
  <c r="CZ668" i="3"/>
  <c r="DB668" i="3" s="1"/>
  <c r="DA668" i="3"/>
  <c r="DC668" i="3"/>
  <c r="DF668" i="3"/>
  <c r="DJ668" i="3" s="1"/>
  <c r="DI668" i="3"/>
  <c r="A669" i="3"/>
  <c r="Y669" i="3"/>
  <c r="CX669" i="3"/>
  <c r="DF669" i="3" s="1"/>
  <c r="CY669" i="3"/>
  <c r="CZ669" i="3"/>
  <c r="DA669" i="3"/>
  <c r="DB669" i="3"/>
  <c r="DC669" i="3"/>
  <c r="DG669" i="3"/>
  <c r="DI669" i="3"/>
  <c r="DJ669" i="3" s="1"/>
  <c r="A670" i="3"/>
  <c r="Y670" i="3"/>
  <c r="CX670" i="3" s="1"/>
  <c r="CY670" i="3"/>
  <c r="CZ670" i="3"/>
  <c r="DB670" i="3" s="1"/>
  <c r="DA670" i="3"/>
  <c r="DC670" i="3"/>
  <c r="A671" i="3"/>
  <c r="Y671" i="3"/>
  <c r="CX671" i="3" s="1"/>
  <c r="DG671" i="3" s="1"/>
  <c r="CY671" i="3"/>
  <c r="CZ671" i="3"/>
  <c r="DB671" i="3" s="1"/>
  <c r="DA671" i="3"/>
  <c r="DC671" i="3"/>
  <c r="DI671" i="3"/>
  <c r="DJ671" i="3" s="1"/>
  <c r="A672" i="3"/>
  <c r="Y672" i="3"/>
  <c r="CX672" i="3"/>
  <c r="DF672" i="3" s="1"/>
  <c r="CY672" i="3"/>
  <c r="CZ672" i="3"/>
  <c r="DA672" i="3"/>
  <c r="DB672" i="3"/>
  <c r="DC672" i="3"/>
  <c r="DH672" i="3"/>
  <c r="A673" i="3"/>
  <c r="Y673" i="3"/>
  <c r="CX673" i="3" s="1"/>
  <c r="CY673" i="3"/>
  <c r="CZ673" i="3"/>
  <c r="DB673" i="3" s="1"/>
  <c r="DA673" i="3"/>
  <c r="DC673" i="3"/>
  <c r="A674" i="3"/>
  <c r="Y674" i="3"/>
  <c r="CX674" i="3"/>
  <c r="DG674" i="3" s="1"/>
  <c r="CY674" i="3"/>
  <c r="CZ674" i="3"/>
  <c r="DB674" i="3" s="1"/>
  <c r="DA674" i="3"/>
  <c r="DC674" i="3"/>
  <c r="DF674" i="3"/>
  <c r="DH674" i="3"/>
  <c r="DI674" i="3"/>
  <c r="DJ674" i="3"/>
  <c r="A675" i="3"/>
  <c r="Y675" i="3"/>
  <c r="CX675" i="3"/>
  <c r="DG675" i="3" s="1"/>
  <c r="CY675" i="3"/>
  <c r="CZ675" i="3"/>
  <c r="DA675" i="3"/>
  <c r="DB675" i="3"/>
  <c r="DC675" i="3"/>
  <c r="DH675" i="3"/>
  <c r="DI675" i="3"/>
  <c r="DJ675" i="3" s="1"/>
  <c r="A676" i="3"/>
  <c r="Y676" i="3"/>
  <c r="CX676" i="3"/>
  <c r="DF676" i="3" s="1"/>
  <c r="DJ676" i="3" s="1"/>
  <c r="CY676" i="3"/>
  <c r="CZ676" i="3"/>
  <c r="DA676" i="3"/>
  <c r="DB676" i="3"/>
  <c r="DC676" i="3"/>
  <c r="DH676" i="3"/>
  <c r="A677" i="3"/>
  <c r="Y677" i="3"/>
  <c r="CX677" i="3" s="1"/>
  <c r="CY677" i="3"/>
  <c r="CZ677" i="3"/>
  <c r="DB677" i="3" s="1"/>
  <c r="DA677" i="3"/>
  <c r="DC677" i="3"/>
  <c r="A678" i="3"/>
  <c r="Y678" i="3"/>
  <c r="CX678" i="3"/>
  <c r="DG678" i="3" s="1"/>
  <c r="CY678" i="3"/>
  <c r="CZ678" i="3"/>
  <c r="DB678" i="3" s="1"/>
  <c r="DA678" i="3"/>
  <c r="DC678" i="3"/>
  <c r="DF678" i="3"/>
  <c r="DH678" i="3"/>
  <c r="DI678" i="3"/>
  <c r="DJ678" i="3"/>
  <c r="A679" i="3"/>
  <c r="Y679" i="3"/>
  <c r="CX679" i="3"/>
  <c r="DG679" i="3" s="1"/>
  <c r="CY679" i="3"/>
  <c r="CZ679" i="3"/>
  <c r="DA679" i="3"/>
  <c r="DB679" i="3"/>
  <c r="DC679" i="3"/>
  <c r="DH679" i="3"/>
  <c r="DI679" i="3"/>
  <c r="DJ679" i="3" s="1"/>
  <c r="A680" i="3"/>
  <c r="Y680" i="3"/>
  <c r="CX680" i="3"/>
  <c r="DF680" i="3" s="1"/>
  <c r="DJ680" i="3" s="1"/>
  <c r="CY680" i="3"/>
  <c r="CZ680" i="3"/>
  <c r="DA680" i="3"/>
  <c r="DB680" i="3"/>
  <c r="DC680" i="3"/>
  <c r="DH680" i="3"/>
  <c r="A681" i="3"/>
  <c r="Y681" i="3"/>
  <c r="CX681" i="3" s="1"/>
  <c r="CY681" i="3"/>
  <c r="CZ681" i="3"/>
  <c r="DB681" i="3" s="1"/>
  <c r="DA681" i="3"/>
  <c r="DC681" i="3"/>
  <c r="A682" i="3"/>
  <c r="Y682" i="3"/>
  <c r="CX682" i="3"/>
  <c r="DG682" i="3" s="1"/>
  <c r="CY682" i="3"/>
  <c r="CZ682" i="3"/>
  <c r="DB682" i="3" s="1"/>
  <c r="DA682" i="3"/>
  <c r="DC682" i="3"/>
  <c r="DF682" i="3"/>
  <c r="DH682" i="3"/>
  <c r="DI682" i="3"/>
  <c r="DJ682" i="3"/>
  <c r="A683" i="3"/>
  <c r="Y683" i="3"/>
  <c r="CX683" i="3"/>
  <c r="DG683" i="3" s="1"/>
  <c r="CY683" i="3"/>
  <c r="CZ683" i="3"/>
  <c r="DA683" i="3"/>
  <c r="DB683" i="3"/>
  <c r="DC683" i="3"/>
  <c r="DH683" i="3"/>
  <c r="DI683" i="3"/>
  <c r="DJ683" i="3" s="1"/>
  <c r="A684" i="3"/>
  <c r="Y684" i="3"/>
  <c r="CX684" i="3"/>
  <c r="DF684" i="3" s="1"/>
  <c r="CY684" i="3"/>
  <c r="CZ684" i="3"/>
  <c r="DA684" i="3"/>
  <c r="DB684" i="3"/>
  <c r="DC684" i="3"/>
  <c r="DH684" i="3"/>
  <c r="A685" i="3"/>
  <c r="Y685" i="3"/>
  <c r="CX685" i="3" s="1"/>
  <c r="CY685" i="3"/>
  <c r="CZ685" i="3"/>
  <c r="DB685" i="3" s="1"/>
  <c r="DA685" i="3"/>
  <c r="DC685" i="3"/>
  <c r="A686" i="3"/>
  <c r="Y686" i="3"/>
  <c r="CX686" i="3"/>
  <c r="DG686" i="3" s="1"/>
  <c r="CY686" i="3"/>
  <c r="CZ686" i="3"/>
  <c r="DB686" i="3" s="1"/>
  <c r="DA686" i="3"/>
  <c r="DC686" i="3"/>
  <c r="DF686" i="3"/>
  <c r="DH686" i="3"/>
  <c r="DI686" i="3"/>
  <c r="DJ686" i="3"/>
  <c r="A687" i="3"/>
  <c r="Y687" i="3"/>
  <c r="CX687" i="3"/>
  <c r="DG687" i="3" s="1"/>
  <c r="CY687" i="3"/>
  <c r="CZ687" i="3"/>
  <c r="DA687" i="3"/>
  <c r="DB687" i="3"/>
  <c r="DC687" i="3"/>
  <c r="DH687" i="3"/>
  <c r="DI687" i="3"/>
  <c r="DJ687" i="3" s="1"/>
  <c r="A688" i="3"/>
  <c r="Y688" i="3"/>
  <c r="CX688" i="3"/>
  <c r="DF688" i="3" s="1"/>
  <c r="DJ688" i="3" s="1"/>
  <c r="CY688" i="3"/>
  <c r="CZ688" i="3"/>
  <c r="DA688" i="3"/>
  <c r="DB688" i="3"/>
  <c r="DC688" i="3"/>
  <c r="DH688" i="3"/>
  <c r="A689" i="3"/>
  <c r="Y689" i="3"/>
  <c r="CX689" i="3" s="1"/>
  <c r="CY689" i="3"/>
  <c r="CZ689" i="3"/>
  <c r="DB689" i="3" s="1"/>
  <c r="DA689" i="3"/>
  <c r="DC689" i="3"/>
  <c r="DG689" i="3"/>
  <c r="A690" i="3"/>
  <c r="Y690" i="3"/>
  <c r="CX690" i="3"/>
  <c r="DG690" i="3" s="1"/>
  <c r="CY690" i="3"/>
  <c r="CZ690" i="3"/>
  <c r="DB690" i="3" s="1"/>
  <c r="DA690" i="3"/>
  <c r="DC690" i="3"/>
  <c r="DF690" i="3"/>
  <c r="DH690" i="3"/>
  <c r="DI690" i="3"/>
  <c r="DJ690" i="3"/>
  <c r="A691" i="3"/>
  <c r="Y691" i="3"/>
  <c r="CX691" i="3"/>
  <c r="DG691" i="3" s="1"/>
  <c r="CY691" i="3"/>
  <c r="CZ691" i="3"/>
  <c r="DA691" i="3"/>
  <c r="DB691" i="3"/>
  <c r="DC691" i="3"/>
  <c r="DH691" i="3"/>
  <c r="DI691" i="3"/>
  <c r="A692" i="3"/>
  <c r="Y692" i="3"/>
  <c r="CX692" i="3"/>
  <c r="DH692" i="3" s="1"/>
  <c r="CY692" i="3"/>
  <c r="CZ692" i="3"/>
  <c r="DA692" i="3"/>
  <c r="DB692" i="3"/>
  <c r="DC692" i="3"/>
  <c r="A693" i="3"/>
  <c r="Y693" i="3"/>
  <c r="CX693" i="3" s="1"/>
  <c r="CY693" i="3"/>
  <c r="CZ693" i="3"/>
  <c r="DB693" i="3" s="1"/>
  <c r="DA693" i="3"/>
  <c r="DC693" i="3"/>
  <c r="DG693" i="3"/>
  <c r="A694" i="3"/>
  <c r="Y694" i="3"/>
  <c r="CX694" i="3"/>
  <c r="DG694" i="3" s="1"/>
  <c r="CY694" i="3"/>
  <c r="CZ694" i="3"/>
  <c r="DB694" i="3" s="1"/>
  <c r="DA694" i="3"/>
  <c r="DC694" i="3"/>
  <c r="DF694" i="3"/>
  <c r="DJ694" i="3" s="1"/>
  <c r="DH694" i="3"/>
  <c r="DI694" i="3"/>
  <c r="A695" i="3"/>
  <c r="Y695" i="3"/>
  <c r="CX695" i="3"/>
  <c r="DG695" i="3" s="1"/>
  <c r="CY695" i="3"/>
  <c r="CZ695" i="3"/>
  <c r="DA695" i="3"/>
  <c r="DB695" i="3"/>
  <c r="DC695" i="3"/>
  <c r="DH695" i="3"/>
  <c r="DI695" i="3"/>
  <c r="DJ695" i="3" s="1"/>
  <c r="A696" i="3"/>
  <c r="Y696" i="3"/>
  <c r="CX696" i="3"/>
  <c r="CY696" i="3"/>
  <c r="CZ696" i="3"/>
  <c r="DA696" i="3"/>
  <c r="DB696" i="3"/>
  <c r="DC696" i="3"/>
  <c r="A697" i="3"/>
  <c r="Y697" i="3"/>
  <c r="CX697" i="3" s="1"/>
  <c r="DG697" i="3" s="1"/>
  <c r="CY697" i="3"/>
  <c r="CZ697" i="3"/>
  <c r="DB697" i="3" s="1"/>
  <c r="DA697" i="3"/>
  <c r="DC697" i="3"/>
  <c r="A698" i="3"/>
  <c r="Y698" i="3"/>
  <c r="CX698" i="3"/>
  <c r="DG698" i="3" s="1"/>
  <c r="CY698" i="3"/>
  <c r="CZ698" i="3"/>
  <c r="DB698" i="3" s="1"/>
  <c r="DA698" i="3"/>
  <c r="DC698" i="3"/>
  <c r="DF698" i="3"/>
  <c r="DH698" i="3"/>
  <c r="DI698" i="3"/>
  <c r="DJ698" i="3"/>
  <c r="A699" i="3"/>
  <c r="Y699" i="3"/>
  <c r="CX699" i="3"/>
  <c r="DG699" i="3" s="1"/>
  <c r="CY699" i="3"/>
  <c r="CZ699" i="3"/>
  <c r="DA699" i="3"/>
  <c r="DB699" i="3"/>
  <c r="DC699" i="3"/>
  <c r="DH699" i="3"/>
  <c r="DI699" i="3"/>
  <c r="DJ699" i="3" s="1"/>
  <c r="A700" i="3"/>
  <c r="Y700" i="3"/>
  <c r="CX700" i="3"/>
  <c r="CY700" i="3"/>
  <c r="CZ700" i="3"/>
  <c r="DA700" i="3"/>
  <c r="DB700" i="3"/>
  <c r="DC700" i="3"/>
  <c r="DH700" i="3"/>
  <c r="A701" i="3"/>
  <c r="Y701" i="3"/>
  <c r="CX701" i="3" s="1"/>
  <c r="CY701" i="3"/>
  <c r="CZ701" i="3"/>
  <c r="DB701" i="3" s="1"/>
  <c r="DA701" i="3"/>
  <c r="DC701" i="3"/>
  <c r="DG701" i="3"/>
  <c r="A702" i="3"/>
  <c r="Y702" i="3"/>
  <c r="CX702" i="3"/>
  <c r="DG702" i="3" s="1"/>
  <c r="CY702" i="3"/>
  <c r="CZ702" i="3"/>
  <c r="DB702" i="3" s="1"/>
  <c r="DA702" i="3"/>
  <c r="DC702" i="3"/>
  <c r="DF702" i="3"/>
  <c r="DJ702" i="3" s="1"/>
  <c r="DH702" i="3"/>
  <c r="DI702" i="3"/>
  <c r="A703" i="3"/>
  <c r="Y703" i="3"/>
  <c r="CX703" i="3"/>
  <c r="DG703" i="3" s="1"/>
  <c r="CY703" i="3"/>
  <c r="CZ703" i="3"/>
  <c r="DA703" i="3"/>
  <c r="DB703" i="3"/>
  <c r="DC703" i="3"/>
  <c r="DH703" i="3"/>
  <c r="DI703" i="3"/>
  <c r="DJ703" i="3" s="1"/>
  <c r="A704" i="3"/>
  <c r="Y704" i="3"/>
  <c r="CX704" i="3"/>
  <c r="CY704" i="3"/>
  <c r="CZ704" i="3"/>
  <c r="DA704" i="3"/>
  <c r="DB704" i="3"/>
  <c r="DC704" i="3"/>
  <c r="DH704" i="3"/>
  <c r="A705" i="3"/>
  <c r="Y705" i="3"/>
  <c r="CX705" i="3" s="1"/>
  <c r="CY705" i="3"/>
  <c r="CZ705" i="3"/>
  <c r="DB705" i="3" s="1"/>
  <c r="DA705" i="3"/>
  <c r="DC705" i="3"/>
  <c r="DG705" i="3"/>
  <c r="A706" i="3"/>
  <c r="Y706" i="3"/>
  <c r="CX706" i="3"/>
  <c r="DG706" i="3" s="1"/>
  <c r="CY706" i="3"/>
  <c r="CZ706" i="3"/>
  <c r="DB706" i="3" s="1"/>
  <c r="DA706" i="3"/>
  <c r="DC706" i="3"/>
  <c r="DF706" i="3"/>
  <c r="DJ706" i="3" s="1"/>
  <c r="DH706" i="3"/>
  <c r="DI706" i="3"/>
  <c r="A707" i="3"/>
  <c r="Y707" i="3"/>
  <c r="CX707" i="3"/>
  <c r="CY707" i="3"/>
  <c r="CZ707" i="3"/>
  <c r="DA707" i="3"/>
  <c r="DB707" i="3"/>
  <c r="DC707" i="3"/>
  <c r="DH707" i="3"/>
  <c r="DI707" i="3"/>
  <c r="DJ707" i="3" s="1"/>
  <c r="A708" i="3"/>
  <c r="Y708" i="3"/>
  <c r="CX708" i="3"/>
  <c r="DG708" i="3" s="1"/>
  <c r="CY708" i="3"/>
  <c r="CZ708" i="3"/>
  <c r="DA708" i="3"/>
  <c r="DB708" i="3"/>
  <c r="DC708" i="3"/>
  <c r="A709" i="3"/>
  <c r="Y709" i="3"/>
  <c r="CX709" i="3" s="1"/>
  <c r="DF709" i="3" s="1"/>
  <c r="CY709" i="3"/>
  <c r="CZ709" i="3"/>
  <c r="DB709" i="3" s="1"/>
  <c r="DA709" i="3"/>
  <c r="DC709" i="3"/>
  <c r="A710" i="3"/>
  <c r="Y710" i="3"/>
  <c r="CX710" i="3"/>
  <c r="DG710" i="3" s="1"/>
  <c r="CY710" i="3"/>
  <c r="CZ710" i="3"/>
  <c r="DB710" i="3" s="1"/>
  <c r="DA710" i="3"/>
  <c r="DC710" i="3"/>
  <c r="DF710" i="3"/>
  <c r="DJ710" i="3" s="1"/>
  <c r="DH710" i="3"/>
  <c r="DI710" i="3"/>
  <c r="A711" i="3"/>
  <c r="Y711" i="3"/>
  <c r="CX711" i="3"/>
  <c r="CY711" i="3"/>
  <c r="CZ711" i="3"/>
  <c r="DA711" i="3"/>
  <c r="DB711" i="3"/>
  <c r="DC711" i="3"/>
  <c r="DH711" i="3"/>
  <c r="DI711" i="3"/>
  <c r="DJ711" i="3" s="1"/>
  <c r="A712" i="3"/>
  <c r="Y712" i="3"/>
  <c r="CX712" i="3"/>
  <c r="DG712" i="3" s="1"/>
  <c r="CY712" i="3"/>
  <c r="CZ712" i="3"/>
  <c r="DA712" i="3"/>
  <c r="DB712" i="3"/>
  <c r="DC712" i="3"/>
  <c r="A713" i="3"/>
  <c r="Y713" i="3"/>
  <c r="CX713" i="3" s="1"/>
  <c r="DF713" i="3" s="1"/>
  <c r="CY713" i="3"/>
  <c r="CZ713" i="3"/>
  <c r="DB713" i="3" s="1"/>
  <c r="DA713" i="3"/>
  <c r="DC713" i="3"/>
  <c r="A714" i="3"/>
  <c r="Y714" i="3"/>
  <c r="CX714" i="3"/>
  <c r="DG714" i="3" s="1"/>
  <c r="CY714" i="3"/>
  <c r="CZ714" i="3"/>
  <c r="DB714" i="3" s="1"/>
  <c r="DA714" i="3"/>
  <c r="DC714" i="3"/>
  <c r="DF714" i="3"/>
  <c r="DJ714" i="3" s="1"/>
  <c r="DH714" i="3"/>
  <c r="DI714" i="3"/>
  <c r="A715" i="3"/>
  <c r="Y715" i="3"/>
  <c r="CX715" i="3"/>
  <c r="CY715" i="3"/>
  <c r="CZ715" i="3"/>
  <c r="DA715" i="3"/>
  <c r="DB715" i="3"/>
  <c r="DC715" i="3"/>
  <c r="DH715" i="3"/>
  <c r="DI715" i="3"/>
  <c r="A716" i="3"/>
  <c r="Y716" i="3"/>
  <c r="CX716" i="3"/>
  <c r="DG716" i="3" s="1"/>
  <c r="CY716" i="3"/>
  <c r="CZ716" i="3"/>
  <c r="DA716" i="3"/>
  <c r="DB716" i="3"/>
  <c r="DC716" i="3"/>
  <c r="A717" i="3"/>
  <c r="Y717" i="3"/>
  <c r="CX717" i="3" s="1"/>
  <c r="DF717" i="3" s="1"/>
  <c r="DJ717" i="3" s="1"/>
  <c r="CY717" i="3"/>
  <c r="CZ717" i="3"/>
  <c r="DB717" i="3" s="1"/>
  <c r="DA717" i="3"/>
  <c r="DC717" i="3"/>
  <c r="A718" i="3"/>
  <c r="Y718" i="3"/>
  <c r="CX718" i="3"/>
  <c r="DG718" i="3" s="1"/>
  <c r="CY718" i="3"/>
  <c r="CZ718" i="3"/>
  <c r="DB718" i="3" s="1"/>
  <c r="DA718" i="3"/>
  <c r="DC718" i="3"/>
  <c r="DF718" i="3"/>
  <c r="DJ718" i="3" s="1"/>
  <c r="DH718" i="3"/>
  <c r="DI718" i="3"/>
  <c r="A719" i="3"/>
  <c r="Y719" i="3"/>
  <c r="CX719" i="3"/>
  <c r="CY719" i="3"/>
  <c r="CZ719" i="3"/>
  <c r="DA719" i="3"/>
  <c r="DB719" i="3"/>
  <c r="DC719" i="3"/>
  <c r="DH719" i="3"/>
  <c r="DI719" i="3"/>
  <c r="DJ719" i="3" s="1"/>
  <c r="A720" i="3"/>
  <c r="Y720" i="3"/>
  <c r="CX720" i="3"/>
  <c r="DG720" i="3" s="1"/>
  <c r="CY720" i="3"/>
  <c r="CZ720" i="3"/>
  <c r="DA720" i="3"/>
  <c r="DB720" i="3"/>
  <c r="DC720" i="3"/>
  <c r="A721" i="3"/>
  <c r="Y721" i="3"/>
  <c r="CX721" i="3" s="1"/>
  <c r="DF721" i="3" s="1"/>
  <c r="CY721" i="3"/>
  <c r="CZ721" i="3"/>
  <c r="DB721" i="3" s="1"/>
  <c r="DA721" i="3"/>
  <c r="DC721" i="3"/>
  <c r="A722" i="3"/>
  <c r="Y722" i="3"/>
  <c r="CX722" i="3"/>
  <c r="DG722" i="3" s="1"/>
  <c r="CY722" i="3"/>
  <c r="CZ722" i="3"/>
  <c r="DB722" i="3" s="1"/>
  <c r="DA722" i="3"/>
  <c r="DC722" i="3"/>
  <c r="DF722" i="3"/>
  <c r="DJ722" i="3" s="1"/>
  <c r="DH722" i="3"/>
  <c r="DI722" i="3"/>
  <c r="A723" i="3"/>
  <c r="Y723" i="3"/>
  <c r="CX723" i="3"/>
  <c r="CY723" i="3"/>
  <c r="CZ723" i="3"/>
  <c r="DA723" i="3"/>
  <c r="DB723" i="3"/>
  <c r="DC723" i="3"/>
  <c r="DH723" i="3"/>
  <c r="DI723" i="3"/>
  <c r="DJ723" i="3" s="1"/>
  <c r="A724" i="3"/>
  <c r="Y724" i="3"/>
  <c r="CX724" i="3"/>
  <c r="DG724" i="3" s="1"/>
  <c r="CY724" i="3"/>
  <c r="CZ724" i="3"/>
  <c r="DA724" i="3"/>
  <c r="DB724" i="3"/>
  <c r="DC724" i="3"/>
  <c r="A725" i="3"/>
  <c r="Y725" i="3"/>
  <c r="CX725" i="3" s="1"/>
  <c r="DF725" i="3" s="1"/>
  <c r="CY725" i="3"/>
  <c r="CZ725" i="3"/>
  <c r="DB725" i="3" s="1"/>
  <c r="DA725" i="3"/>
  <c r="DC725" i="3"/>
  <c r="A726" i="3"/>
  <c r="Y726" i="3"/>
  <c r="CX726" i="3"/>
  <c r="DG726" i="3" s="1"/>
  <c r="CY726" i="3"/>
  <c r="CZ726" i="3"/>
  <c r="DB726" i="3" s="1"/>
  <c r="DA726" i="3"/>
  <c r="DC726" i="3"/>
  <c r="DF726" i="3"/>
  <c r="DH726" i="3"/>
  <c r="DI726" i="3"/>
  <c r="DJ726" i="3"/>
  <c r="A727" i="3"/>
  <c r="Y727" i="3"/>
  <c r="CX727" i="3"/>
  <c r="DF727" i="3" s="1"/>
  <c r="CY727" i="3"/>
  <c r="CZ727" i="3"/>
  <c r="DA727" i="3"/>
  <c r="DB727" i="3"/>
  <c r="DC727" i="3"/>
  <c r="DG727" i="3"/>
  <c r="DI727" i="3"/>
  <c r="DJ727" i="3" s="1"/>
  <c r="A728" i="3"/>
  <c r="Y728" i="3"/>
  <c r="CX728" i="3" s="1"/>
  <c r="CY728" i="3"/>
  <c r="CZ728" i="3"/>
  <c r="DB728" i="3" s="1"/>
  <c r="DA728" i="3"/>
  <c r="DC728" i="3"/>
  <c r="A729" i="3"/>
  <c r="Y729" i="3"/>
  <c r="CX729" i="3" s="1"/>
  <c r="DH729" i="3" s="1"/>
  <c r="CY729" i="3"/>
  <c r="CZ729" i="3"/>
  <c r="DB729" i="3" s="1"/>
  <c r="DA729" i="3"/>
  <c r="DC729" i="3"/>
  <c r="DI729" i="3"/>
  <c r="DJ729" i="3" s="1"/>
  <c r="A730" i="3"/>
  <c r="Y730" i="3"/>
  <c r="CX730" i="3"/>
  <c r="DG730" i="3" s="1"/>
  <c r="CY730" i="3"/>
  <c r="CZ730" i="3"/>
  <c r="DA730" i="3"/>
  <c r="DB730" i="3"/>
  <c r="DC730" i="3"/>
  <c r="DI730" i="3"/>
  <c r="A731" i="3"/>
  <c r="Y731" i="3"/>
  <c r="CX731" i="3"/>
  <c r="DF731" i="3" s="1"/>
  <c r="CY731" i="3"/>
  <c r="CZ731" i="3"/>
  <c r="DA731" i="3"/>
  <c r="DB731" i="3"/>
  <c r="DC731" i="3"/>
  <c r="DI731" i="3"/>
  <c r="DJ731" i="3" s="1"/>
  <c r="A732" i="3"/>
  <c r="Y732" i="3"/>
  <c r="CX732" i="3"/>
  <c r="DI732" i="3" s="1"/>
  <c r="CY732" i="3"/>
  <c r="CZ732" i="3"/>
  <c r="DB732" i="3" s="1"/>
  <c r="DA732" i="3"/>
  <c r="DC732" i="3"/>
  <c r="DF732" i="3"/>
  <c r="DH732" i="3"/>
  <c r="DJ732" i="3"/>
  <c r="A733" i="3"/>
  <c r="Y733" i="3"/>
  <c r="CX733" i="3" s="1"/>
  <c r="DH733" i="3" s="1"/>
  <c r="CY733" i="3"/>
  <c r="CZ733" i="3"/>
  <c r="DB733" i="3" s="1"/>
  <c r="DA733" i="3"/>
  <c r="DC733" i="3"/>
  <c r="DF733" i="3"/>
  <c r="DJ733" i="3" s="1"/>
  <c r="DG733" i="3"/>
  <c r="DI733" i="3"/>
  <c r="A734" i="3"/>
  <c r="Y734" i="3"/>
  <c r="CX734" i="3"/>
  <c r="DG734" i="3" s="1"/>
  <c r="CY734" i="3"/>
  <c r="CZ734" i="3"/>
  <c r="DA734" i="3"/>
  <c r="DB734" i="3"/>
  <c r="DC734" i="3"/>
  <c r="DH734" i="3"/>
  <c r="DI734" i="3"/>
  <c r="A735" i="3"/>
  <c r="Y735" i="3"/>
  <c r="CX735" i="3" s="1"/>
  <c r="CY735" i="3"/>
  <c r="CZ735" i="3"/>
  <c r="DA735" i="3"/>
  <c r="DB735" i="3"/>
  <c r="DC735" i="3"/>
  <c r="A736" i="3"/>
  <c r="Y736" i="3"/>
  <c r="CX736" i="3"/>
  <c r="DI736" i="3" s="1"/>
  <c r="CY736" i="3"/>
  <c r="CZ736" i="3"/>
  <c r="DA736" i="3"/>
  <c r="DB736" i="3"/>
  <c r="DC736" i="3"/>
  <c r="DH736" i="3"/>
  <c r="A737" i="3"/>
  <c r="Y737" i="3"/>
  <c r="CX737" i="3" s="1"/>
  <c r="DH737" i="3" s="1"/>
  <c r="CY737" i="3"/>
  <c r="CZ737" i="3"/>
  <c r="DB737" i="3" s="1"/>
  <c r="DA737" i="3"/>
  <c r="DC737" i="3"/>
  <c r="DF737" i="3"/>
  <c r="DJ737" i="3" s="1"/>
  <c r="DG737" i="3"/>
  <c r="A738" i="3"/>
  <c r="Y738" i="3"/>
  <c r="CX738" i="3"/>
  <c r="DG738" i="3" s="1"/>
  <c r="CY738" i="3"/>
  <c r="CZ738" i="3"/>
  <c r="DB738" i="3" s="1"/>
  <c r="DA738" i="3"/>
  <c r="DC738" i="3"/>
  <c r="DF738" i="3"/>
  <c r="DJ738" i="3" s="1"/>
  <c r="DH738" i="3"/>
  <c r="DI738" i="3"/>
  <c r="A739" i="3"/>
  <c r="Y739" i="3"/>
  <c r="CX739" i="3" s="1"/>
  <c r="CY739" i="3"/>
  <c r="CZ739" i="3"/>
  <c r="DA739" i="3"/>
  <c r="DB739" i="3"/>
  <c r="DC739" i="3"/>
  <c r="A740" i="3"/>
  <c r="Y740" i="3"/>
  <c r="CX740" i="3" s="1"/>
  <c r="CY740" i="3"/>
  <c r="CZ740" i="3"/>
  <c r="DA740" i="3"/>
  <c r="DB740" i="3"/>
  <c r="DC740" i="3"/>
  <c r="A741" i="3"/>
  <c r="Y741" i="3"/>
  <c r="CX741" i="3" s="1"/>
  <c r="DH741" i="3" s="1"/>
  <c r="CY741" i="3"/>
  <c r="CZ741" i="3"/>
  <c r="DB741" i="3" s="1"/>
  <c r="DA741" i="3"/>
  <c r="DC741" i="3"/>
  <c r="A742" i="3"/>
  <c r="Y742" i="3"/>
  <c r="CX742" i="3"/>
  <c r="DG742" i="3" s="1"/>
  <c r="CY742" i="3"/>
  <c r="CZ742" i="3"/>
  <c r="DB742" i="3" s="1"/>
  <c r="DA742" i="3"/>
  <c r="DC742" i="3"/>
  <c r="DF742" i="3"/>
  <c r="DI742" i="3"/>
  <c r="DJ742" i="3"/>
  <c r="A743" i="3"/>
  <c r="Y743" i="3"/>
  <c r="CX743" i="3"/>
  <c r="DF743" i="3" s="1"/>
  <c r="DJ743" i="3" s="1"/>
  <c r="CY743" i="3"/>
  <c r="CZ743" i="3"/>
  <c r="DA743" i="3"/>
  <c r="DB743" i="3"/>
  <c r="DC743" i="3"/>
  <c r="DG743" i="3"/>
  <c r="DI743" i="3"/>
  <c r="A744" i="3"/>
  <c r="Y744" i="3"/>
  <c r="CX744" i="3" s="1"/>
  <c r="CY744" i="3"/>
  <c r="CZ744" i="3"/>
  <c r="DB744" i="3" s="1"/>
  <c r="DA744" i="3"/>
  <c r="DC744" i="3"/>
  <c r="A745" i="3"/>
  <c r="Y745" i="3"/>
  <c r="CX745" i="3" s="1"/>
  <c r="DH745" i="3" s="1"/>
  <c r="CY745" i="3"/>
  <c r="CZ745" i="3"/>
  <c r="DB745" i="3" s="1"/>
  <c r="DA745" i="3"/>
  <c r="DC745" i="3"/>
  <c r="DI745" i="3"/>
  <c r="DJ745" i="3" s="1"/>
  <c r="A746" i="3"/>
  <c r="Y746" i="3"/>
  <c r="CX746" i="3"/>
  <c r="DG746" i="3" s="1"/>
  <c r="CY746" i="3"/>
  <c r="CZ746" i="3"/>
  <c r="DA746" i="3"/>
  <c r="DB746" i="3"/>
  <c r="DC746" i="3"/>
  <c r="DI746" i="3"/>
  <c r="A747" i="3"/>
  <c r="Y747" i="3"/>
  <c r="CX747" i="3"/>
  <c r="DF747" i="3" s="1"/>
  <c r="DJ747" i="3" s="1"/>
  <c r="CY747" i="3"/>
  <c r="CZ747" i="3"/>
  <c r="DA747" i="3"/>
  <c r="DB747" i="3"/>
  <c r="DC747" i="3"/>
  <c r="DI747" i="3"/>
  <c r="A748" i="3"/>
  <c r="Y748" i="3"/>
  <c r="CX748" i="3"/>
  <c r="DI748" i="3" s="1"/>
  <c r="CY748" i="3"/>
  <c r="CZ748" i="3"/>
  <c r="DB748" i="3" s="1"/>
  <c r="DA748" i="3"/>
  <c r="DC748" i="3"/>
  <c r="DF748" i="3"/>
  <c r="DH748" i="3"/>
  <c r="DJ748" i="3"/>
  <c r="A749" i="3"/>
  <c r="Y749" i="3"/>
  <c r="CX749" i="3" s="1"/>
  <c r="DH749" i="3" s="1"/>
  <c r="CY749" i="3"/>
  <c r="CZ749" i="3"/>
  <c r="DB749" i="3" s="1"/>
  <c r="DA749" i="3"/>
  <c r="DC749" i="3"/>
  <c r="DF749" i="3"/>
  <c r="DJ749" i="3" s="1"/>
  <c r="DG749" i="3"/>
  <c r="DI749" i="3"/>
  <c r="A750" i="3"/>
  <c r="Y750" i="3"/>
  <c r="CX750" i="3"/>
  <c r="DG750" i="3" s="1"/>
  <c r="CY750" i="3"/>
  <c r="CZ750" i="3"/>
  <c r="DA750" i="3"/>
  <c r="DB750" i="3"/>
  <c r="DC750" i="3"/>
  <c r="DH750" i="3"/>
  <c r="DI750" i="3"/>
  <c r="A751" i="3"/>
  <c r="Y751" i="3"/>
  <c r="CX751" i="3" s="1"/>
  <c r="CY751" i="3"/>
  <c r="CZ751" i="3"/>
  <c r="DA751" i="3"/>
  <c r="DB751" i="3"/>
  <c r="DC751" i="3"/>
  <c r="A752" i="3"/>
  <c r="Y752" i="3"/>
  <c r="CX752" i="3"/>
  <c r="DI752" i="3" s="1"/>
  <c r="CY752" i="3"/>
  <c r="CZ752" i="3"/>
  <c r="DA752" i="3"/>
  <c r="DB752" i="3"/>
  <c r="DC752" i="3"/>
  <c r="DH752" i="3"/>
  <c r="A753" i="3"/>
  <c r="Y753" i="3"/>
  <c r="CX753" i="3" s="1"/>
  <c r="DH753" i="3" s="1"/>
  <c r="CY753" i="3"/>
  <c r="CZ753" i="3"/>
  <c r="DB753" i="3" s="1"/>
  <c r="DA753" i="3"/>
  <c r="DC753" i="3"/>
  <c r="DF753" i="3"/>
  <c r="DJ753" i="3" s="1"/>
  <c r="DG753" i="3"/>
  <c r="A754" i="3"/>
  <c r="Y754" i="3"/>
  <c r="CX754" i="3"/>
  <c r="DG754" i="3" s="1"/>
  <c r="CY754" i="3"/>
  <c r="CZ754" i="3"/>
  <c r="DB754" i="3" s="1"/>
  <c r="DA754" i="3"/>
  <c r="DC754" i="3"/>
  <c r="DF754" i="3"/>
  <c r="DJ754" i="3" s="1"/>
  <c r="DH754" i="3"/>
  <c r="DI754" i="3"/>
  <c r="A755" i="3"/>
  <c r="Y755" i="3"/>
  <c r="CX755" i="3" s="1"/>
  <c r="CY755" i="3"/>
  <c r="CZ755" i="3"/>
  <c r="DA755" i="3"/>
  <c r="DB755" i="3"/>
  <c r="DC755" i="3"/>
  <c r="A756" i="3"/>
  <c r="Y756" i="3"/>
  <c r="CX756" i="3" s="1"/>
  <c r="CY756" i="3"/>
  <c r="CZ756" i="3"/>
  <c r="DA756" i="3"/>
  <c r="DB756" i="3"/>
  <c r="DC756" i="3"/>
  <c r="A757" i="3"/>
  <c r="Y757" i="3"/>
  <c r="CX757" i="3" s="1"/>
  <c r="DH757" i="3" s="1"/>
  <c r="CY757" i="3"/>
  <c r="CZ757" i="3"/>
  <c r="DB757" i="3" s="1"/>
  <c r="DA757" i="3"/>
  <c r="DC757" i="3"/>
  <c r="A758" i="3"/>
  <c r="Y758" i="3"/>
  <c r="CX758" i="3"/>
  <c r="DG758" i="3" s="1"/>
  <c r="CY758" i="3"/>
  <c r="CZ758" i="3"/>
  <c r="DB758" i="3" s="1"/>
  <c r="DA758" i="3"/>
  <c r="DC758" i="3"/>
  <c r="DF758" i="3"/>
  <c r="DI758" i="3"/>
  <c r="DJ758" i="3"/>
  <c r="A759" i="3"/>
  <c r="Y759" i="3"/>
  <c r="CX759" i="3"/>
  <c r="DF759" i="3" s="1"/>
  <c r="CY759" i="3"/>
  <c r="CZ759" i="3"/>
  <c r="DA759" i="3"/>
  <c r="DB759" i="3"/>
  <c r="DC759" i="3"/>
  <c r="DG759" i="3"/>
  <c r="DI759" i="3"/>
  <c r="DJ759" i="3" s="1"/>
  <c r="A760" i="3"/>
  <c r="Y760" i="3"/>
  <c r="CX760" i="3" s="1"/>
  <c r="CY760" i="3"/>
  <c r="CZ760" i="3"/>
  <c r="DB760" i="3" s="1"/>
  <c r="DA760" i="3"/>
  <c r="DC760" i="3"/>
  <c r="A761" i="3"/>
  <c r="Y761" i="3"/>
  <c r="CX761" i="3" s="1"/>
  <c r="DH761" i="3" s="1"/>
  <c r="CY761" i="3"/>
  <c r="CZ761" i="3"/>
  <c r="DB761" i="3" s="1"/>
  <c r="DA761" i="3"/>
  <c r="DC761" i="3"/>
  <c r="DI761" i="3"/>
  <c r="DJ761" i="3" s="1"/>
  <c r="A762" i="3"/>
  <c r="Y762" i="3"/>
  <c r="CX762" i="3"/>
  <c r="DG762" i="3" s="1"/>
  <c r="CY762" i="3"/>
  <c r="CZ762" i="3"/>
  <c r="DA762" i="3"/>
  <c r="DB762" i="3"/>
  <c r="DC762" i="3"/>
  <c r="DI762" i="3"/>
  <c r="A763" i="3"/>
  <c r="Y763" i="3"/>
  <c r="CX763" i="3"/>
  <c r="DF763" i="3" s="1"/>
  <c r="CY763" i="3"/>
  <c r="CZ763" i="3"/>
  <c r="DA763" i="3"/>
  <c r="DB763" i="3"/>
  <c r="DC763" i="3"/>
  <c r="DI763" i="3"/>
  <c r="DJ763" i="3" s="1"/>
  <c r="A764" i="3"/>
  <c r="Y764" i="3"/>
  <c r="CX764" i="3"/>
  <c r="DI764" i="3" s="1"/>
  <c r="CY764" i="3"/>
  <c r="CZ764" i="3"/>
  <c r="DB764" i="3" s="1"/>
  <c r="DA764" i="3"/>
  <c r="DC764" i="3"/>
  <c r="DF764" i="3"/>
  <c r="DH764" i="3"/>
  <c r="DJ764" i="3"/>
  <c r="A765" i="3"/>
  <c r="Y765" i="3"/>
  <c r="CX765" i="3" s="1"/>
  <c r="DH765" i="3" s="1"/>
  <c r="CY765" i="3"/>
  <c r="CZ765" i="3"/>
  <c r="DB765" i="3" s="1"/>
  <c r="DA765" i="3"/>
  <c r="DC765" i="3"/>
  <c r="DF765" i="3"/>
  <c r="DG765" i="3"/>
  <c r="DI765" i="3"/>
  <c r="DJ765" i="3" s="1"/>
  <c r="A766" i="3"/>
  <c r="Y766" i="3"/>
  <c r="CX766" i="3"/>
  <c r="DG766" i="3" s="1"/>
  <c r="CY766" i="3"/>
  <c r="CZ766" i="3"/>
  <c r="DA766" i="3"/>
  <c r="DB766" i="3"/>
  <c r="DC766" i="3"/>
  <c r="DH766" i="3"/>
  <c r="DI766" i="3"/>
  <c r="A767" i="3"/>
  <c r="Y767" i="3"/>
  <c r="CX767" i="3" s="1"/>
  <c r="CY767" i="3"/>
  <c r="CZ767" i="3"/>
  <c r="DA767" i="3"/>
  <c r="DB767" i="3"/>
  <c r="DC767" i="3"/>
  <c r="A768" i="3"/>
  <c r="Y768" i="3"/>
  <c r="CX768" i="3"/>
  <c r="DI768" i="3" s="1"/>
  <c r="CY768" i="3"/>
  <c r="CZ768" i="3"/>
  <c r="DA768" i="3"/>
  <c r="DB768" i="3"/>
  <c r="DC768" i="3"/>
  <c r="DH768" i="3"/>
  <c r="A769" i="3"/>
  <c r="Y769" i="3"/>
  <c r="CX769" i="3" s="1"/>
  <c r="DH769" i="3" s="1"/>
  <c r="CY769" i="3"/>
  <c r="CZ769" i="3"/>
  <c r="DB769" i="3" s="1"/>
  <c r="DA769" i="3"/>
  <c r="DC769" i="3"/>
  <c r="DF769" i="3"/>
  <c r="DG769" i="3"/>
  <c r="A770" i="3"/>
  <c r="Y770" i="3"/>
  <c r="CX770" i="3"/>
  <c r="DG770" i="3" s="1"/>
  <c r="CY770" i="3"/>
  <c r="CZ770" i="3"/>
  <c r="DB770" i="3" s="1"/>
  <c r="DA770" i="3"/>
  <c r="DC770" i="3"/>
  <c r="DF770" i="3"/>
  <c r="DJ770" i="3" s="1"/>
  <c r="DH770" i="3"/>
  <c r="DI770" i="3"/>
  <c r="A771" i="3"/>
  <c r="Y771" i="3"/>
  <c r="CX771" i="3" s="1"/>
  <c r="CY771" i="3"/>
  <c r="CZ771" i="3"/>
  <c r="DA771" i="3"/>
  <c r="DB771" i="3"/>
  <c r="DC771" i="3"/>
  <c r="A772" i="3"/>
  <c r="Y772" i="3"/>
  <c r="CX772" i="3" s="1"/>
  <c r="CY772" i="3"/>
  <c r="CZ772" i="3"/>
  <c r="DA772" i="3"/>
  <c r="DB772" i="3"/>
  <c r="DC772" i="3"/>
  <c r="A773" i="3"/>
  <c r="Y773" i="3"/>
  <c r="CX773" i="3" s="1"/>
  <c r="DH773" i="3" s="1"/>
  <c r="CY773" i="3"/>
  <c r="CZ773" i="3"/>
  <c r="DB773" i="3" s="1"/>
  <c r="DA773" i="3"/>
  <c r="DC773" i="3"/>
  <c r="A774" i="3"/>
  <c r="Y774" i="3"/>
  <c r="CX774" i="3"/>
  <c r="DG774" i="3" s="1"/>
  <c r="CY774" i="3"/>
  <c r="CZ774" i="3"/>
  <c r="DB774" i="3" s="1"/>
  <c r="DA774" i="3"/>
  <c r="DC774" i="3"/>
  <c r="DF774" i="3"/>
  <c r="DI774" i="3"/>
  <c r="DJ774" i="3"/>
  <c r="A775" i="3"/>
  <c r="Y775" i="3"/>
  <c r="CX775" i="3"/>
  <c r="DF775" i="3" s="1"/>
  <c r="DJ775" i="3" s="1"/>
  <c r="CY775" i="3"/>
  <c r="CZ775" i="3"/>
  <c r="DA775" i="3"/>
  <c r="DB775" i="3"/>
  <c r="DC775" i="3"/>
  <c r="DG775" i="3"/>
  <c r="DI775" i="3"/>
  <c r="A776" i="3"/>
  <c r="Y776" i="3"/>
  <c r="CX776" i="3" s="1"/>
  <c r="CY776" i="3"/>
  <c r="CZ776" i="3"/>
  <c r="DB776" i="3" s="1"/>
  <c r="DA776" i="3"/>
  <c r="DC776" i="3"/>
  <c r="A777" i="3"/>
  <c r="Y777" i="3"/>
  <c r="CX777" i="3" s="1"/>
  <c r="DH777" i="3" s="1"/>
  <c r="CY777" i="3"/>
  <c r="CZ777" i="3"/>
  <c r="DB777" i="3" s="1"/>
  <c r="DA777" i="3"/>
  <c r="DC777" i="3"/>
  <c r="DI777" i="3"/>
  <c r="A778" i="3"/>
  <c r="Y778" i="3"/>
  <c r="CX778" i="3"/>
  <c r="DG778" i="3" s="1"/>
  <c r="CY778" i="3"/>
  <c r="CZ778" i="3"/>
  <c r="DA778" i="3"/>
  <c r="DB778" i="3"/>
  <c r="DC778" i="3"/>
  <c r="DI778" i="3"/>
  <c r="A779" i="3"/>
  <c r="Y779" i="3"/>
  <c r="CX779" i="3"/>
  <c r="DF779" i="3" s="1"/>
  <c r="DJ779" i="3" s="1"/>
  <c r="CY779" i="3"/>
  <c r="CZ779" i="3"/>
  <c r="DA779" i="3"/>
  <c r="DB779" i="3"/>
  <c r="DC779" i="3"/>
  <c r="DI779" i="3"/>
  <c r="A780" i="3"/>
  <c r="Y780" i="3"/>
  <c r="CX780" i="3"/>
  <c r="DI780" i="3" s="1"/>
  <c r="CY780" i="3"/>
  <c r="CZ780" i="3"/>
  <c r="DB780" i="3" s="1"/>
  <c r="DA780" i="3"/>
  <c r="DC780" i="3"/>
  <c r="DF780" i="3"/>
  <c r="DH780" i="3"/>
  <c r="DJ780" i="3"/>
  <c r="A781" i="3"/>
  <c r="Y781" i="3"/>
  <c r="CX781" i="3" s="1"/>
  <c r="DH781" i="3" s="1"/>
  <c r="CY781" i="3"/>
  <c r="CZ781" i="3"/>
  <c r="DB781" i="3" s="1"/>
  <c r="DA781" i="3"/>
  <c r="DC781" i="3"/>
  <c r="DF781" i="3"/>
  <c r="DG781" i="3"/>
  <c r="DI781" i="3"/>
  <c r="DJ781" i="3" s="1"/>
  <c r="A782" i="3"/>
  <c r="Y782" i="3"/>
  <c r="CX782" i="3"/>
  <c r="DG782" i="3" s="1"/>
  <c r="CY782" i="3"/>
  <c r="CZ782" i="3"/>
  <c r="DA782" i="3"/>
  <c r="DB782" i="3"/>
  <c r="DC782" i="3"/>
  <c r="DH782" i="3"/>
  <c r="DI782" i="3"/>
  <c r="A783" i="3"/>
  <c r="Y783" i="3"/>
  <c r="CX783" i="3" s="1"/>
  <c r="CY783" i="3"/>
  <c r="CZ783" i="3"/>
  <c r="DA783" i="3"/>
  <c r="DB783" i="3"/>
  <c r="DC783" i="3"/>
  <c r="A784" i="3"/>
  <c r="Y784" i="3"/>
  <c r="CX784" i="3"/>
  <c r="DI784" i="3" s="1"/>
  <c r="CY784" i="3"/>
  <c r="CZ784" i="3"/>
  <c r="DA784" i="3"/>
  <c r="DB784" i="3"/>
  <c r="DC784" i="3"/>
  <c r="DH784" i="3"/>
  <c r="A785" i="3"/>
  <c r="Y785" i="3"/>
  <c r="CX785" i="3" s="1"/>
  <c r="DH785" i="3" s="1"/>
  <c r="CY785" i="3"/>
  <c r="CZ785" i="3"/>
  <c r="DB785" i="3" s="1"/>
  <c r="DA785" i="3"/>
  <c r="DC785" i="3"/>
  <c r="DF785" i="3"/>
  <c r="DG785" i="3"/>
  <c r="A786" i="3"/>
  <c r="Y786" i="3"/>
  <c r="CX786" i="3"/>
  <c r="DG786" i="3" s="1"/>
  <c r="CY786" i="3"/>
  <c r="CZ786" i="3"/>
  <c r="DB786" i="3" s="1"/>
  <c r="DA786" i="3"/>
  <c r="DC786" i="3"/>
  <c r="DF786" i="3"/>
  <c r="DJ786" i="3" s="1"/>
  <c r="DH786" i="3"/>
  <c r="DI786" i="3"/>
  <c r="A787" i="3"/>
  <c r="Y787" i="3"/>
  <c r="CX787" i="3" s="1"/>
  <c r="CY787" i="3"/>
  <c r="CZ787" i="3"/>
  <c r="DA787" i="3"/>
  <c r="DB787" i="3"/>
  <c r="DC787" i="3"/>
  <c r="A788" i="3"/>
  <c r="Y788" i="3"/>
  <c r="CX788" i="3" s="1"/>
  <c r="CY788" i="3"/>
  <c r="CZ788" i="3"/>
  <c r="DA788" i="3"/>
  <c r="DB788" i="3"/>
  <c r="DC788" i="3"/>
  <c r="A789" i="3"/>
  <c r="Y789" i="3"/>
  <c r="CX789" i="3" s="1"/>
  <c r="DH789" i="3" s="1"/>
  <c r="CY789" i="3"/>
  <c r="CZ789" i="3"/>
  <c r="DB789" i="3" s="1"/>
  <c r="DA789" i="3"/>
  <c r="DC789" i="3"/>
  <c r="A790" i="3"/>
  <c r="Y790" i="3"/>
  <c r="CX790" i="3"/>
  <c r="DG790" i="3" s="1"/>
  <c r="CY790" i="3"/>
  <c r="CZ790" i="3"/>
  <c r="DB790" i="3" s="1"/>
  <c r="DA790" i="3"/>
  <c r="DC790" i="3"/>
  <c r="DF790" i="3"/>
  <c r="DI790" i="3"/>
  <c r="DJ790" i="3"/>
  <c r="A791" i="3"/>
  <c r="Y791" i="3"/>
  <c r="CX791" i="3"/>
  <c r="DF791" i="3" s="1"/>
  <c r="CY791" i="3"/>
  <c r="CZ791" i="3"/>
  <c r="DA791" i="3"/>
  <c r="DB791" i="3"/>
  <c r="DC791" i="3"/>
  <c r="DG791" i="3"/>
  <c r="DI791" i="3"/>
  <c r="DJ791" i="3" s="1"/>
  <c r="A792" i="3"/>
  <c r="Y792" i="3"/>
  <c r="CX792" i="3" s="1"/>
  <c r="CY792" i="3"/>
  <c r="CZ792" i="3"/>
  <c r="DB792" i="3" s="1"/>
  <c r="DA792" i="3"/>
  <c r="DC792" i="3"/>
  <c r="A793" i="3"/>
  <c r="Y793" i="3"/>
  <c r="CX793" i="3" s="1"/>
  <c r="DH793" i="3" s="1"/>
  <c r="CY793" i="3"/>
  <c r="CZ793" i="3"/>
  <c r="DB793" i="3" s="1"/>
  <c r="DA793" i="3"/>
  <c r="DC793" i="3"/>
  <c r="DI793" i="3"/>
  <c r="DJ793" i="3" s="1"/>
  <c r="A794" i="3"/>
  <c r="Y794" i="3"/>
  <c r="CX794" i="3"/>
  <c r="DG794" i="3" s="1"/>
  <c r="CY794" i="3"/>
  <c r="CZ794" i="3"/>
  <c r="DA794" i="3"/>
  <c r="DB794" i="3"/>
  <c r="DC794" i="3"/>
  <c r="DI794" i="3"/>
  <c r="A795" i="3"/>
  <c r="Y795" i="3"/>
  <c r="CX795" i="3"/>
  <c r="DF795" i="3" s="1"/>
  <c r="CY795" i="3"/>
  <c r="CZ795" i="3"/>
  <c r="DA795" i="3"/>
  <c r="DB795" i="3"/>
  <c r="DC795" i="3"/>
  <c r="DI795" i="3"/>
  <c r="DJ795" i="3" s="1"/>
  <c r="A796" i="3"/>
  <c r="Y796" i="3"/>
  <c r="CX796" i="3"/>
  <c r="DI796" i="3" s="1"/>
  <c r="CY796" i="3"/>
  <c r="CZ796" i="3"/>
  <c r="DB796" i="3" s="1"/>
  <c r="DA796" i="3"/>
  <c r="DC796" i="3"/>
  <c r="DF796" i="3"/>
  <c r="DH796" i="3"/>
  <c r="DJ796" i="3"/>
  <c r="A797" i="3"/>
  <c r="Y797" i="3"/>
  <c r="CX797" i="3" s="1"/>
  <c r="DH797" i="3" s="1"/>
  <c r="CY797" i="3"/>
  <c r="CZ797" i="3"/>
  <c r="DB797" i="3" s="1"/>
  <c r="DA797" i="3"/>
  <c r="DC797" i="3"/>
  <c r="DF797" i="3"/>
  <c r="DG797" i="3"/>
  <c r="DI797" i="3"/>
  <c r="DJ797" i="3" s="1"/>
  <c r="A798" i="3"/>
  <c r="Y798" i="3"/>
  <c r="CX798" i="3"/>
  <c r="DG798" i="3" s="1"/>
  <c r="CY798" i="3"/>
  <c r="CZ798" i="3"/>
  <c r="DA798" i="3"/>
  <c r="DB798" i="3"/>
  <c r="DC798" i="3"/>
  <c r="DH798" i="3"/>
  <c r="DI798" i="3"/>
  <c r="A799" i="3"/>
  <c r="Y799" i="3"/>
  <c r="CX799" i="3" s="1"/>
  <c r="CY799" i="3"/>
  <c r="CZ799" i="3"/>
  <c r="DA799" i="3"/>
  <c r="DB799" i="3"/>
  <c r="DC799" i="3"/>
  <c r="A800" i="3"/>
  <c r="Y800" i="3"/>
  <c r="CX800" i="3"/>
  <c r="DI800" i="3" s="1"/>
  <c r="CY800" i="3"/>
  <c r="CZ800" i="3"/>
  <c r="DA800" i="3"/>
  <c r="DB800" i="3"/>
  <c r="DC800" i="3"/>
  <c r="DH800" i="3"/>
  <c r="A801" i="3"/>
  <c r="Y801" i="3"/>
  <c r="CX801" i="3" s="1"/>
  <c r="DH801" i="3" s="1"/>
  <c r="CY801" i="3"/>
  <c r="CZ801" i="3"/>
  <c r="DB801" i="3" s="1"/>
  <c r="DA801" i="3"/>
  <c r="DC801" i="3"/>
  <c r="DF801" i="3"/>
  <c r="DG801" i="3"/>
  <c r="A802" i="3"/>
  <c r="Y802" i="3"/>
  <c r="CX802" i="3"/>
  <c r="DG802" i="3" s="1"/>
  <c r="CY802" i="3"/>
  <c r="CZ802" i="3"/>
  <c r="DB802" i="3" s="1"/>
  <c r="DA802" i="3"/>
  <c r="DC802" i="3"/>
  <c r="DF802" i="3"/>
  <c r="DH802" i="3"/>
  <c r="DI802" i="3"/>
  <c r="DJ802" i="3"/>
  <c r="A803" i="3"/>
  <c r="Y803" i="3"/>
  <c r="CX803" i="3" s="1"/>
  <c r="CY803" i="3"/>
  <c r="CZ803" i="3"/>
  <c r="DA803" i="3"/>
  <c r="DB803" i="3"/>
  <c r="DC803" i="3"/>
  <c r="A804" i="3"/>
  <c r="Y804" i="3"/>
  <c r="CX804" i="3" s="1"/>
  <c r="CY804" i="3"/>
  <c r="CZ804" i="3"/>
  <c r="DA804" i="3"/>
  <c r="DB804" i="3"/>
  <c r="DC804" i="3"/>
  <c r="A805" i="3"/>
  <c r="Y805" i="3"/>
  <c r="CX805" i="3" s="1"/>
  <c r="DH805" i="3" s="1"/>
  <c r="CY805" i="3"/>
  <c r="CZ805" i="3"/>
  <c r="DB805" i="3" s="1"/>
  <c r="DA805" i="3"/>
  <c r="DC805" i="3"/>
  <c r="A806" i="3"/>
  <c r="Y806" i="3"/>
  <c r="CX806" i="3"/>
  <c r="DG806" i="3" s="1"/>
  <c r="CY806" i="3"/>
  <c r="CZ806" i="3"/>
  <c r="DB806" i="3" s="1"/>
  <c r="DA806" i="3"/>
  <c r="DC806" i="3"/>
  <c r="DF806" i="3"/>
  <c r="DI806" i="3"/>
  <c r="DJ806" i="3"/>
  <c r="A807" i="3"/>
  <c r="Y807" i="3"/>
  <c r="CX807" i="3"/>
  <c r="DF807" i="3" s="1"/>
  <c r="DJ807" i="3" s="1"/>
  <c r="CY807" i="3"/>
  <c r="CZ807" i="3"/>
  <c r="DA807" i="3"/>
  <c r="DB807" i="3"/>
  <c r="DC807" i="3"/>
  <c r="DG807" i="3"/>
  <c r="DI807" i="3"/>
  <c r="A808" i="3"/>
  <c r="Y808" i="3"/>
  <c r="CX808" i="3" s="1"/>
  <c r="CY808" i="3"/>
  <c r="CZ808" i="3"/>
  <c r="DB808" i="3" s="1"/>
  <c r="DA808" i="3"/>
  <c r="DC808" i="3"/>
  <c r="A809" i="3"/>
  <c r="Y809" i="3"/>
  <c r="CX809" i="3" s="1"/>
  <c r="DH809" i="3" s="1"/>
  <c r="CY809" i="3"/>
  <c r="CZ809" i="3"/>
  <c r="DB809" i="3" s="1"/>
  <c r="DA809" i="3"/>
  <c r="DC809" i="3"/>
  <c r="DI809" i="3"/>
  <c r="A810" i="3"/>
  <c r="Y810" i="3"/>
  <c r="CX810" i="3"/>
  <c r="DG810" i="3" s="1"/>
  <c r="CY810" i="3"/>
  <c r="CZ810" i="3"/>
  <c r="DA810" i="3"/>
  <c r="DB810" i="3"/>
  <c r="DC810" i="3"/>
  <c r="DI810" i="3"/>
  <c r="A811" i="3"/>
  <c r="Y811" i="3"/>
  <c r="CX811" i="3"/>
  <c r="DG811" i="3" s="1"/>
  <c r="CY811" i="3"/>
  <c r="CZ811" i="3"/>
  <c r="DA811" i="3"/>
  <c r="DB811" i="3"/>
  <c r="DC811" i="3"/>
  <c r="DH811" i="3"/>
  <c r="A812" i="3"/>
  <c r="Y812" i="3"/>
  <c r="CX812" i="3" s="1"/>
  <c r="CY812" i="3"/>
  <c r="CZ812" i="3"/>
  <c r="DA812" i="3"/>
  <c r="DB812" i="3"/>
  <c r="DC812" i="3"/>
  <c r="A813" i="3"/>
  <c r="Y813" i="3"/>
  <c r="CX813" i="3" s="1"/>
  <c r="CY813" i="3"/>
  <c r="CZ813" i="3"/>
  <c r="DB813" i="3" s="1"/>
  <c r="DA813" i="3"/>
  <c r="DC813" i="3"/>
  <c r="A814" i="3"/>
  <c r="Y814" i="3"/>
  <c r="CX814" i="3"/>
  <c r="DG814" i="3" s="1"/>
  <c r="DJ814" i="3" s="1"/>
  <c r="CY814" i="3"/>
  <c r="CZ814" i="3"/>
  <c r="DB814" i="3" s="1"/>
  <c r="DA814" i="3"/>
  <c r="DC814" i="3"/>
  <c r="DF814" i="3"/>
  <c r="DH814" i="3"/>
  <c r="DI814" i="3"/>
  <c r="A815" i="3"/>
  <c r="Y815" i="3"/>
  <c r="CX815" i="3"/>
  <c r="DG815" i="3" s="1"/>
  <c r="DJ815" i="3" s="1"/>
  <c r="CY815" i="3"/>
  <c r="CZ815" i="3"/>
  <c r="DA815" i="3"/>
  <c r="DB815" i="3"/>
  <c r="DC815" i="3"/>
  <c r="DH815" i="3"/>
  <c r="A816" i="3"/>
  <c r="Y816" i="3"/>
  <c r="CX816" i="3" s="1"/>
  <c r="CY816" i="3"/>
  <c r="CZ816" i="3"/>
  <c r="DA816" i="3"/>
  <c r="DB816" i="3"/>
  <c r="DC816" i="3"/>
  <c r="A817" i="3"/>
  <c r="Y817" i="3"/>
  <c r="CX817" i="3" s="1"/>
  <c r="CY817" i="3"/>
  <c r="CZ817" i="3"/>
  <c r="DB817" i="3" s="1"/>
  <c r="DA817" i="3"/>
  <c r="DC817" i="3"/>
  <c r="A818" i="3"/>
  <c r="Y818" i="3"/>
  <c r="CX818" i="3"/>
  <c r="DG818" i="3" s="1"/>
  <c r="CY818" i="3"/>
  <c r="CZ818" i="3"/>
  <c r="DB818" i="3" s="1"/>
  <c r="DA818" i="3"/>
  <c r="DC818" i="3"/>
  <c r="DF818" i="3"/>
  <c r="DH818" i="3"/>
  <c r="DI818" i="3"/>
  <c r="DJ818" i="3"/>
  <c r="A819" i="3"/>
  <c r="Y819" i="3"/>
  <c r="CX819" i="3"/>
  <c r="DG819" i="3" s="1"/>
  <c r="CY819" i="3"/>
  <c r="CZ819" i="3"/>
  <c r="DA819" i="3"/>
  <c r="DB819" i="3"/>
  <c r="DC819" i="3"/>
  <c r="DH819" i="3"/>
  <c r="A820" i="3"/>
  <c r="Y820" i="3"/>
  <c r="CX820" i="3" s="1"/>
  <c r="CY820" i="3"/>
  <c r="CZ820" i="3"/>
  <c r="DA820" i="3"/>
  <c r="DB820" i="3"/>
  <c r="DC820" i="3"/>
  <c r="A821" i="3"/>
  <c r="Y821" i="3"/>
  <c r="CX821" i="3" s="1"/>
  <c r="CY821" i="3"/>
  <c r="CZ821" i="3"/>
  <c r="DB821" i="3" s="1"/>
  <c r="DA821" i="3"/>
  <c r="DC821" i="3"/>
  <c r="A822" i="3"/>
  <c r="Y822" i="3"/>
  <c r="CX822" i="3"/>
  <c r="DG822" i="3" s="1"/>
  <c r="CY822" i="3"/>
  <c r="CZ822" i="3"/>
  <c r="DB822" i="3" s="1"/>
  <c r="DA822" i="3"/>
  <c r="DC822" i="3"/>
  <c r="DF822" i="3"/>
  <c r="DH822" i="3"/>
  <c r="DI822" i="3"/>
  <c r="DJ822" i="3"/>
  <c r="A823" i="3"/>
  <c r="Y823" i="3"/>
  <c r="CX823" i="3"/>
  <c r="DG823" i="3" s="1"/>
  <c r="CY823" i="3"/>
  <c r="CZ823" i="3"/>
  <c r="DA823" i="3"/>
  <c r="DB823" i="3"/>
  <c r="DC823" i="3"/>
  <c r="DH823" i="3"/>
  <c r="A824" i="3"/>
  <c r="Y824" i="3"/>
  <c r="CX824" i="3" s="1"/>
  <c r="CY824" i="3"/>
  <c r="CZ824" i="3"/>
  <c r="DA824" i="3"/>
  <c r="DB824" i="3"/>
  <c r="DC824" i="3"/>
  <c r="A825" i="3"/>
  <c r="Y825" i="3"/>
  <c r="CX825" i="3" s="1"/>
  <c r="CY825" i="3"/>
  <c r="CZ825" i="3"/>
  <c r="DB825" i="3" s="1"/>
  <c r="DA825" i="3"/>
  <c r="DC825" i="3"/>
  <c r="A826" i="3"/>
  <c r="Y826" i="3"/>
  <c r="CX826" i="3"/>
  <c r="DG826" i="3" s="1"/>
  <c r="DJ826" i="3" s="1"/>
  <c r="CY826" i="3"/>
  <c r="CZ826" i="3"/>
  <c r="DB826" i="3" s="1"/>
  <c r="DA826" i="3"/>
  <c r="DC826" i="3"/>
  <c r="DF826" i="3"/>
  <c r="DH826" i="3"/>
  <c r="DI826" i="3"/>
  <c r="A827" i="3"/>
  <c r="Y827" i="3"/>
  <c r="CX827" i="3"/>
  <c r="DG827" i="3" s="1"/>
  <c r="CY827" i="3"/>
  <c r="CZ827" i="3"/>
  <c r="DA827" i="3"/>
  <c r="DB827" i="3"/>
  <c r="DC827" i="3"/>
  <c r="DH827" i="3"/>
  <c r="A828" i="3"/>
  <c r="Y828" i="3"/>
  <c r="CX828" i="3" s="1"/>
  <c r="CY828" i="3"/>
  <c r="CZ828" i="3"/>
  <c r="DA828" i="3"/>
  <c r="DB828" i="3"/>
  <c r="DC828" i="3"/>
  <c r="A829" i="3"/>
  <c r="Y829" i="3"/>
  <c r="CX829" i="3" s="1"/>
  <c r="CY829" i="3"/>
  <c r="CZ829" i="3"/>
  <c r="DB829" i="3" s="1"/>
  <c r="DA829" i="3"/>
  <c r="DC829" i="3"/>
  <c r="A830" i="3"/>
  <c r="Y830" i="3"/>
  <c r="CX830" i="3"/>
  <c r="DG830" i="3" s="1"/>
  <c r="CY830" i="3"/>
  <c r="CZ830" i="3"/>
  <c r="DB830" i="3" s="1"/>
  <c r="DA830" i="3"/>
  <c r="DC830" i="3"/>
  <c r="DF830" i="3"/>
  <c r="DH830" i="3"/>
  <c r="DI830" i="3"/>
  <c r="DJ830" i="3"/>
  <c r="A831" i="3"/>
  <c r="Y831" i="3"/>
  <c r="CX831" i="3"/>
  <c r="DG831" i="3" s="1"/>
  <c r="CY831" i="3"/>
  <c r="CZ831" i="3"/>
  <c r="DA831" i="3"/>
  <c r="DB831" i="3"/>
  <c r="DC831" i="3"/>
  <c r="DH831" i="3"/>
  <c r="A832" i="3"/>
  <c r="Y832" i="3"/>
  <c r="CX832" i="3" s="1"/>
  <c r="CY832" i="3"/>
  <c r="CZ832" i="3"/>
  <c r="DA832" i="3"/>
  <c r="DB832" i="3"/>
  <c r="DC832" i="3"/>
  <c r="A833" i="3"/>
  <c r="Y833" i="3"/>
  <c r="CX833" i="3" s="1"/>
  <c r="CY833" i="3"/>
  <c r="CZ833" i="3"/>
  <c r="DB833" i="3" s="1"/>
  <c r="DA833" i="3"/>
  <c r="DC833" i="3"/>
  <c r="A834" i="3"/>
  <c r="Y834" i="3"/>
  <c r="CX834" i="3"/>
  <c r="DG834" i="3" s="1"/>
  <c r="DJ834" i="3" s="1"/>
  <c r="CY834" i="3"/>
  <c r="CZ834" i="3"/>
  <c r="DB834" i="3" s="1"/>
  <c r="DA834" i="3"/>
  <c r="DC834" i="3"/>
  <c r="DF834" i="3"/>
  <c r="DH834" i="3"/>
  <c r="DI834" i="3"/>
  <c r="A835" i="3"/>
  <c r="Y835" i="3"/>
  <c r="CX835" i="3"/>
  <c r="DG835" i="3" s="1"/>
  <c r="CY835" i="3"/>
  <c r="CZ835" i="3"/>
  <c r="DA835" i="3"/>
  <c r="DB835" i="3"/>
  <c r="DC835" i="3"/>
  <c r="DH835" i="3"/>
  <c r="A836" i="3"/>
  <c r="Y836" i="3"/>
  <c r="CX836" i="3" s="1"/>
  <c r="CY836" i="3"/>
  <c r="CZ836" i="3"/>
  <c r="DA836" i="3"/>
  <c r="DB836" i="3"/>
  <c r="DC836" i="3"/>
  <c r="A837" i="3"/>
  <c r="Y837" i="3"/>
  <c r="CX837" i="3" s="1"/>
  <c r="CY837" i="3"/>
  <c r="CZ837" i="3"/>
  <c r="DB837" i="3" s="1"/>
  <c r="DA837" i="3"/>
  <c r="DC837" i="3"/>
  <c r="A838" i="3"/>
  <c r="Y838" i="3"/>
  <c r="CX838" i="3"/>
  <c r="DG838" i="3" s="1"/>
  <c r="CY838" i="3"/>
  <c r="CZ838" i="3"/>
  <c r="DB838" i="3" s="1"/>
  <c r="DA838" i="3"/>
  <c r="DC838" i="3"/>
  <c r="DF838" i="3"/>
  <c r="DH838" i="3"/>
  <c r="DI838" i="3"/>
  <c r="DJ838" i="3"/>
  <c r="A839" i="3"/>
  <c r="Y839" i="3"/>
  <c r="CX839" i="3"/>
  <c r="DG839" i="3" s="1"/>
  <c r="CY839" i="3"/>
  <c r="CZ839" i="3"/>
  <c r="DA839" i="3"/>
  <c r="DB839" i="3"/>
  <c r="DC839" i="3"/>
  <c r="DH839" i="3"/>
  <c r="A840" i="3"/>
  <c r="Y840" i="3"/>
  <c r="CX840" i="3" s="1"/>
  <c r="CY840" i="3"/>
  <c r="CZ840" i="3"/>
  <c r="DA840" i="3"/>
  <c r="DB840" i="3"/>
  <c r="DC840" i="3"/>
  <c r="A841" i="3"/>
  <c r="Y841" i="3"/>
  <c r="CX841" i="3" s="1"/>
  <c r="CY841" i="3"/>
  <c r="CZ841" i="3"/>
  <c r="DB841" i="3" s="1"/>
  <c r="DA841" i="3"/>
  <c r="DC841" i="3"/>
  <c r="A842" i="3"/>
  <c r="Y842" i="3"/>
  <c r="CX842" i="3"/>
  <c r="DG842" i="3" s="1"/>
  <c r="CY842" i="3"/>
  <c r="CZ842" i="3"/>
  <c r="DB842" i="3" s="1"/>
  <c r="DA842" i="3"/>
  <c r="DC842" i="3"/>
  <c r="DF842" i="3"/>
  <c r="DH842" i="3"/>
  <c r="DI842" i="3"/>
  <c r="DJ842" i="3"/>
  <c r="A843" i="3"/>
  <c r="Y843" i="3"/>
  <c r="CX843" i="3"/>
  <c r="DG843" i="3" s="1"/>
  <c r="CY843" i="3"/>
  <c r="CZ843" i="3"/>
  <c r="DA843" i="3"/>
  <c r="DB843" i="3"/>
  <c r="DC843" i="3"/>
  <c r="DH843" i="3"/>
  <c r="A844" i="3"/>
  <c r="Y844" i="3"/>
  <c r="CX844" i="3" s="1"/>
  <c r="CY844" i="3"/>
  <c r="CZ844" i="3"/>
  <c r="DA844" i="3"/>
  <c r="DB844" i="3"/>
  <c r="DC844" i="3"/>
  <c r="A845" i="3"/>
  <c r="Y845" i="3"/>
  <c r="CX845" i="3" s="1"/>
  <c r="CY845" i="3"/>
  <c r="CZ845" i="3"/>
  <c r="DB845" i="3" s="1"/>
  <c r="DA845" i="3"/>
  <c r="DC845" i="3"/>
  <c r="A846" i="3"/>
  <c r="Y846" i="3"/>
  <c r="CX846" i="3"/>
  <c r="DG846" i="3" s="1"/>
  <c r="CY846" i="3"/>
  <c r="CZ846" i="3"/>
  <c r="DB846" i="3" s="1"/>
  <c r="DA846" i="3"/>
  <c r="DC846" i="3"/>
  <c r="DF846" i="3"/>
  <c r="DH846" i="3"/>
  <c r="DI846" i="3"/>
  <c r="DJ846" i="3"/>
  <c r="A847" i="3"/>
  <c r="Y847" i="3"/>
  <c r="CX847" i="3"/>
  <c r="DG847" i="3" s="1"/>
  <c r="CY847" i="3"/>
  <c r="CZ847" i="3"/>
  <c r="DA847" i="3"/>
  <c r="DB847" i="3"/>
  <c r="DC847" i="3"/>
  <c r="DH847" i="3"/>
  <c r="A848" i="3"/>
  <c r="Y848" i="3"/>
  <c r="CX848" i="3" s="1"/>
  <c r="CY848" i="3"/>
  <c r="CZ848" i="3"/>
  <c r="DA848" i="3"/>
  <c r="DB848" i="3"/>
  <c r="DC848" i="3"/>
  <c r="A849" i="3"/>
  <c r="Y849" i="3"/>
  <c r="CX849" i="3" s="1"/>
  <c r="CY849" i="3"/>
  <c r="CZ849" i="3"/>
  <c r="DB849" i="3" s="1"/>
  <c r="DA849" i="3"/>
  <c r="DC849" i="3"/>
  <c r="A850" i="3"/>
  <c r="Y850" i="3"/>
  <c r="CX850" i="3"/>
  <c r="DG850" i="3" s="1"/>
  <c r="CY850" i="3"/>
  <c r="CZ850" i="3"/>
  <c r="DB850" i="3" s="1"/>
  <c r="DA850" i="3"/>
  <c r="DC850" i="3"/>
  <c r="DF850" i="3"/>
  <c r="DH850" i="3"/>
  <c r="DI850" i="3"/>
  <c r="DJ850" i="3"/>
  <c r="A851" i="3"/>
  <c r="Y851" i="3"/>
  <c r="CX851" i="3"/>
  <c r="DG851" i="3" s="1"/>
  <c r="CY851" i="3"/>
  <c r="CZ851" i="3"/>
  <c r="DA851" i="3"/>
  <c r="DB851" i="3"/>
  <c r="DC851" i="3"/>
  <c r="DH851" i="3"/>
  <c r="A852" i="3"/>
  <c r="Y852" i="3"/>
  <c r="CX852" i="3" s="1"/>
  <c r="CY852" i="3"/>
  <c r="CZ852" i="3"/>
  <c r="DA852" i="3"/>
  <c r="DB852" i="3"/>
  <c r="DC852" i="3"/>
  <c r="A853" i="3"/>
  <c r="Y853" i="3"/>
  <c r="CX853" i="3" s="1"/>
  <c r="CY853" i="3"/>
  <c r="CZ853" i="3"/>
  <c r="DB853" i="3" s="1"/>
  <c r="DA853" i="3"/>
  <c r="DC853" i="3"/>
  <c r="A854" i="3"/>
  <c r="Y854" i="3"/>
  <c r="CX854" i="3"/>
  <c r="DG854" i="3" s="1"/>
  <c r="DJ854" i="3" s="1"/>
  <c r="CY854" i="3"/>
  <c r="CZ854" i="3"/>
  <c r="DB854" i="3" s="1"/>
  <c r="DA854" i="3"/>
  <c r="DC854" i="3"/>
  <c r="DF854" i="3"/>
  <c r="DH854" i="3"/>
  <c r="DI854" i="3"/>
  <c r="A855" i="3"/>
  <c r="Y855" i="3"/>
  <c r="CX855" i="3"/>
  <c r="DG855" i="3" s="1"/>
  <c r="DJ855" i="3" s="1"/>
  <c r="CY855" i="3"/>
  <c r="CZ855" i="3"/>
  <c r="DA855" i="3"/>
  <c r="DB855" i="3"/>
  <c r="DC855" i="3"/>
  <c r="DH855" i="3"/>
  <c r="A856" i="3"/>
  <c r="Y856" i="3"/>
  <c r="CX856" i="3" s="1"/>
  <c r="CY856" i="3"/>
  <c r="CZ856" i="3"/>
  <c r="DA856" i="3"/>
  <c r="DB856" i="3"/>
  <c r="DC856" i="3"/>
  <c r="A857" i="3"/>
  <c r="Y857" i="3"/>
  <c r="CX857" i="3" s="1"/>
  <c r="CY857" i="3"/>
  <c r="CZ857" i="3"/>
  <c r="DB857" i="3" s="1"/>
  <c r="DA857" i="3"/>
  <c r="DC857" i="3"/>
  <c r="A858" i="3"/>
  <c r="Y858" i="3"/>
  <c r="CX858" i="3"/>
  <c r="DG858" i="3" s="1"/>
  <c r="CY858" i="3"/>
  <c r="CZ858" i="3"/>
  <c r="DB858" i="3" s="1"/>
  <c r="DA858" i="3"/>
  <c r="DC858" i="3"/>
  <c r="DF858" i="3"/>
  <c r="DH858" i="3"/>
  <c r="DI858" i="3"/>
  <c r="DJ858" i="3"/>
  <c r="A859" i="3"/>
  <c r="Y859" i="3"/>
  <c r="CX859" i="3"/>
  <c r="DG859" i="3" s="1"/>
  <c r="CY859" i="3"/>
  <c r="CZ859" i="3"/>
  <c r="DA859" i="3"/>
  <c r="DB859" i="3"/>
  <c r="DC859" i="3"/>
  <c r="DH859" i="3"/>
  <c r="A860" i="3"/>
  <c r="Y860" i="3"/>
  <c r="CX860" i="3" s="1"/>
  <c r="CY860" i="3"/>
  <c r="CZ860" i="3"/>
  <c r="DA860" i="3"/>
  <c r="DB860" i="3"/>
  <c r="DC860" i="3"/>
  <c r="A861" i="3"/>
  <c r="Y861" i="3"/>
  <c r="CX861" i="3" s="1"/>
  <c r="CY861" i="3"/>
  <c r="CZ861" i="3"/>
  <c r="DB861" i="3" s="1"/>
  <c r="DA861" i="3"/>
  <c r="DC861" i="3"/>
  <c r="A862" i="3"/>
  <c r="Y862" i="3"/>
  <c r="CX862" i="3"/>
  <c r="DG862" i="3" s="1"/>
  <c r="CY862" i="3"/>
  <c r="CZ862" i="3"/>
  <c r="DB862" i="3" s="1"/>
  <c r="DA862" i="3"/>
  <c r="DC862" i="3"/>
  <c r="DF862" i="3"/>
  <c r="DH862" i="3"/>
  <c r="DI862" i="3"/>
  <c r="DJ862" i="3"/>
  <c r="A863" i="3"/>
  <c r="Y863" i="3"/>
  <c r="CX863" i="3"/>
  <c r="DG863" i="3" s="1"/>
  <c r="CY863" i="3"/>
  <c r="CZ863" i="3"/>
  <c r="DA863" i="3"/>
  <c r="DB863" i="3"/>
  <c r="DC863" i="3"/>
  <c r="DH863" i="3"/>
  <c r="A864" i="3"/>
  <c r="Y864" i="3"/>
  <c r="CX864" i="3" s="1"/>
  <c r="CY864" i="3"/>
  <c r="CZ864" i="3"/>
  <c r="DA864" i="3"/>
  <c r="DB864" i="3"/>
  <c r="DC864" i="3"/>
  <c r="A865" i="3"/>
  <c r="Y865" i="3"/>
  <c r="CX865" i="3" s="1"/>
  <c r="CY865" i="3"/>
  <c r="CZ865" i="3"/>
  <c r="DB865" i="3" s="1"/>
  <c r="DA865" i="3"/>
  <c r="DC865" i="3"/>
  <c r="A866" i="3"/>
  <c r="Y866" i="3"/>
  <c r="CX866" i="3"/>
  <c r="DG866" i="3" s="1"/>
  <c r="CY866" i="3"/>
  <c r="CZ866" i="3"/>
  <c r="DB866" i="3" s="1"/>
  <c r="DA866" i="3"/>
  <c r="DC866" i="3"/>
  <c r="DF866" i="3"/>
  <c r="DH866" i="3"/>
  <c r="DI866" i="3"/>
  <c r="DJ866" i="3"/>
  <c r="A867" i="3"/>
  <c r="Y867" i="3"/>
  <c r="CX867" i="3"/>
  <c r="DG867" i="3" s="1"/>
  <c r="CY867" i="3"/>
  <c r="CZ867" i="3"/>
  <c r="DA867" i="3"/>
  <c r="DB867" i="3"/>
  <c r="DC867" i="3"/>
  <c r="DH867" i="3"/>
  <c r="A868" i="3"/>
  <c r="Y868" i="3"/>
  <c r="CX868" i="3" s="1"/>
  <c r="CY868" i="3"/>
  <c r="CZ868" i="3"/>
  <c r="DA868" i="3"/>
  <c r="DB868" i="3"/>
  <c r="DC868" i="3"/>
  <c r="A869" i="3"/>
  <c r="Y869" i="3"/>
  <c r="CX869" i="3" s="1"/>
  <c r="CY869" i="3"/>
  <c r="CZ869" i="3"/>
  <c r="DB869" i="3" s="1"/>
  <c r="DA869" i="3"/>
  <c r="DC869" i="3"/>
  <c r="A870" i="3"/>
  <c r="Y870" i="3"/>
  <c r="CX870" i="3"/>
  <c r="DG870" i="3" s="1"/>
  <c r="CY870" i="3"/>
  <c r="CZ870" i="3"/>
  <c r="DB870" i="3" s="1"/>
  <c r="DA870" i="3"/>
  <c r="DC870" i="3"/>
  <c r="DF870" i="3"/>
  <c r="DH870" i="3"/>
  <c r="DI870" i="3"/>
  <c r="DJ870" i="3"/>
  <c r="A871" i="3"/>
  <c r="Y871" i="3"/>
  <c r="CX871" i="3"/>
  <c r="DG871" i="3" s="1"/>
  <c r="CY871" i="3"/>
  <c r="CZ871" i="3"/>
  <c r="DA871" i="3"/>
  <c r="DB871" i="3"/>
  <c r="DC871" i="3"/>
  <c r="DH871" i="3"/>
  <c r="A872" i="3"/>
  <c r="Y872" i="3"/>
  <c r="CX872" i="3" s="1"/>
  <c r="CY872" i="3"/>
  <c r="CZ872" i="3"/>
  <c r="DA872" i="3"/>
  <c r="DB872" i="3"/>
  <c r="DC872" i="3"/>
  <c r="A873" i="3"/>
  <c r="Y873" i="3"/>
  <c r="CX873" i="3" s="1"/>
  <c r="CY873" i="3"/>
  <c r="CZ873" i="3"/>
  <c r="DB873" i="3" s="1"/>
  <c r="DA873" i="3"/>
  <c r="DC873" i="3"/>
  <c r="A874" i="3"/>
  <c r="Y874" i="3"/>
  <c r="CX874" i="3"/>
  <c r="DG874" i="3" s="1"/>
  <c r="DJ874" i="3" s="1"/>
  <c r="CY874" i="3"/>
  <c r="CZ874" i="3"/>
  <c r="DB874" i="3" s="1"/>
  <c r="DA874" i="3"/>
  <c r="DC874" i="3"/>
  <c r="DF874" i="3"/>
  <c r="DH874" i="3"/>
  <c r="DI874" i="3"/>
  <c r="A875" i="3"/>
  <c r="Y875" i="3"/>
  <c r="CX875" i="3"/>
  <c r="DG875" i="3" s="1"/>
  <c r="CY875" i="3"/>
  <c r="CZ875" i="3"/>
  <c r="DA875" i="3"/>
  <c r="DB875" i="3"/>
  <c r="DC875" i="3"/>
  <c r="DH875" i="3"/>
  <c r="A876" i="3"/>
  <c r="Y876" i="3"/>
  <c r="CX876" i="3" s="1"/>
  <c r="CY876" i="3"/>
  <c r="CZ876" i="3"/>
  <c r="DA876" i="3"/>
  <c r="DB876" i="3"/>
  <c r="DC876" i="3"/>
  <c r="A877" i="3"/>
  <c r="Y877" i="3"/>
  <c r="CX877" i="3" s="1"/>
  <c r="CY877" i="3"/>
  <c r="CZ877" i="3"/>
  <c r="DB877" i="3" s="1"/>
  <c r="DA877" i="3"/>
  <c r="DC877" i="3"/>
  <c r="A878" i="3"/>
  <c r="Y878" i="3"/>
  <c r="CX878" i="3"/>
  <c r="DG878" i="3" s="1"/>
  <c r="CY878" i="3"/>
  <c r="CZ878" i="3"/>
  <c r="DB878" i="3" s="1"/>
  <c r="DA878" i="3"/>
  <c r="DC878" i="3"/>
  <c r="DF878" i="3"/>
  <c r="DH878" i="3"/>
  <c r="DI878" i="3"/>
  <c r="DJ878" i="3"/>
  <c r="A879" i="3"/>
  <c r="Y879" i="3"/>
  <c r="CX879" i="3"/>
  <c r="DG879" i="3" s="1"/>
  <c r="CY879" i="3"/>
  <c r="CZ879" i="3"/>
  <c r="DA879" i="3"/>
  <c r="DB879" i="3"/>
  <c r="DC879" i="3"/>
  <c r="DH879" i="3"/>
  <c r="A880" i="3"/>
  <c r="Y880" i="3"/>
  <c r="CX880" i="3" s="1"/>
  <c r="CY880" i="3"/>
  <c r="CZ880" i="3"/>
  <c r="DA880" i="3"/>
  <c r="DB880" i="3"/>
  <c r="DC880" i="3"/>
  <c r="A881" i="3"/>
  <c r="Y881" i="3"/>
  <c r="CX881" i="3" s="1"/>
  <c r="CY881" i="3"/>
  <c r="CZ881" i="3"/>
  <c r="DB881" i="3" s="1"/>
  <c r="DA881" i="3"/>
  <c r="DC881" i="3"/>
  <c r="A882" i="3"/>
  <c r="Y882" i="3"/>
  <c r="CX882" i="3"/>
  <c r="DG882" i="3" s="1"/>
  <c r="DJ882" i="3" s="1"/>
  <c r="CY882" i="3"/>
  <c r="CZ882" i="3"/>
  <c r="DB882" i="3" s="1"/>
  <c r="DA882" i="3"/>
  <c r="DC882" i="3"/>
  <c r="DF882" i="3"/>
  <c r="DH882" i="3"/>
  <c r="DI882" i="3"/>
  <c r="A883" i="3"/>
  <c r="Y883" i="3"/>
  <c r="CX883" i="3"/>
  <c r="DG883" i="3" s="1"/>
  <c r="CY883" i="3"/>
  <c r="CZ883" i="3"/>
  <c r="DA883" i="3"/>
  <c r="DB883" i="3"/>
  <c r="DC883" i="3"/>
  <c r="DH883" i="3"/>
  <c r="A884" i="3"/>
  <c r="Y884" i="3"/>
  <c r="CX884" i="3" s="1"/>
  <c r="CY884" i="3"/>
  <c r="CZ884" i="3"/>
  <c r="DA884" i="3"/>
  <c r="DB884" i="3"/>
  <c r="DC884" i="3"/>
  <c r="A885" i="3"/>
  <c r="Y885" i="3"/>
  <c r="CX885" i="3" s="1"/>
  <c r="CY885" i="3"/>
  <c r="CZ885" i="3"/>
  <c r="DB885" i="3" s="1"/>
  <c r="DA885" i="3"/>
  <c r="DC885" i="3"/>
  <c r="A886" i="3"/>
  <c r="Y886" i="3"/>
  <c r="CX886" i="3"/>
  <c r="DG886" i="3" s="1"/>
  <c r="CY886" i="3"/>
  <c r="CZ886" i="3"/>
  <c r="DB886" i="3" s="1"/>
  <c r="DA886" i="3"/>
  <c r="DC886" i="3"/>
  <c r="DF886" i="3"/>
  <c r="DH886" i="3"/>
  <c r="DI886" i="3"/>
  <c r="DJ886" i="3"/>
  <c r="A887" i="3"/>
  <c r="Y887" i="3"/>
  <c r="CX887" i="3"/>
  <c r="DG887" i="3" s="1"/>
  <c r="CY887" i="3"/>
  <c r="CZ887" i="3"/>
  <c r="DA887" i="3"/>
  <c r="DB887" i="3"/>
  <c r="DC887" i="3"/>
  <c r="DH887" i="3"/>
  <c r="A888" i="3"/>
  <c r="Y888" i="3"/>
  <c r="CX888" i="3" s="1"/>
  <c r="CY888" i="3"/>
  <c r="CZ888" i="3"/>
  <c r="DA888" i="3"/>
  <c r="DB888" i="3"/>
  <c r="DC888" i="3"/>
  <c r="A889" i="3"/>
  <c r="Y889" i="3"/>
  <c r="CX889" i="3" s="1"/>
  <c r="CY889" i="3"/>
  <c r="CZ889" i="3"/>
  <c r="DB889" i="3" s="1"/>
  <c r="DA889" i="3"/>
  <c r="DC889" i="3"/>
  <c r="A890" i="3"/>
  <c r="Y890" i="3"/>
  <c r="CX890" i="3"/>
  <c r="DG890" i="3" s="1"/>
  <c r="CY890" i="3"/>
  <c r="CZ890" i="3"/>
  <c r="DB890" i="3" s="1"/>
  <c r="DA890" i="3"/>
  <c r="DC890" i="3"/>
  <c r="DF890" i="3"/>
  <c r="DH890" i="3"/>
  <c r="DI890" i="3"/>
  <c r="DJ890" i="3"/>
  <c r="A891" i="3"/>
  <c r="Y891" i="3"/>
  <c r="CX891" i="3"/>
  <c r="DG891" i="3" s="1"/>
  <c r="CY891" i="3"/>
  <c r="CZ891" i="3"/>
  <c r="DA891" i="3"/>
  <c r="DB891" i="3"/>
  <c r="DC891" i="3"/>
  <c r="DH891" i="3"/>
  <c r="A892" i="3"/>
  <c r="Y892" i="3"/>
  <c r="CX892" i="3" s="1"/>
  <c r="CY892" i="3"/>
  <c r="CZ892" i="3"/>
  <c r="DA892" i="3"/>
  <c r="DB892" i="3"/>
  <c r="DC892" i="3"/>
  <c r="A893" i="3"/>
  <c r="Y893" i="3"/>
  <c r="CX893" i="3" s="1"/>
  <c r="CY893" i="3"/>
  <c r="CZ893" i="3"/>
  <c r="DB893" i="3" s="1"/>
  <c r="DA893" i="3"/>
  <c r="DC893" i="3"/>
  <c r="A894" i="3"/>
  <c r="Y894" i="3"/>
  <c r="CX894" i="3"/>
  <c r="DG894" i="3" s="1"/>
  <c r="CY894" i="3"/>
  <c r="CZ894" i="3"/>
  <c r="DB894" i="3" s="1"/>
  <c r="DA894" i="3"/>
  <c r="DC894" i="3"/>
  <c r="DF894" i="3"/>
  <c r="DH894" i="3"/>
  <c r="DI894" i="3"/>
  <c r="DJ894" i="3"/>
  <c r="A895" i="3"/>
  <c r="Y895" i="3"/>
  <c r="CX895" i="3"/>
  <c r="DG895" i="3" s="1"/>
  <c r="CY895" i="3"/>
  <c r="CZ895" i="3"/>
  <c r="DA895" i="3"/>
  <c r="DB895" i="3"/>
  <c r="DC895" i="3"/>
  <c r="DH895" i="3"/>
  <c r="A896" i="3"/>
  <c r="Y896" i="3"/>
  <c r="CX896" i="3" s="1"/>
  <c r="CY896" i="3"/>
  <c r="CZ896" i="3"/>
  <c r="DA896" i="3"/>
  <c r="DB896" i="3"/>
  <c r="DC896" i="3"/>
  <c r="A897" i="3"/>
  <c r="Y897" i="3"/>
  <c r="CX897" i="3" s="1"/>
  <c r="CY897" i="3"/>
  <c r="CZ897" i="3"/>
  <c r="DB897" i="3" s="1"/>
  <c r="DA897" i="3"/>
  <c r="DC897" i="3"/>
  <c r="A898" i="3"/>
  <c r="Y898" i="3"/>
  <c r="CX898" i="3"/>
  <c r="DG898" i="3" s="1"/>
  <c r="DJ898" i="3" s="1"/>
  <c r="CY898" i="3"/>
  <c r="CZ898" i="3"/>
  <c r="DB898" i="3" s="1"/>
  <c r="DA898" i="3"/>
  <c r="DC898" i="3"/>
  <c r="DF898" i="3"/>
  <c r="DH898" i="3"/>
  <c r="DI898" i="3"/>
  <c r="A899" i="3"/>
  <c r="Y899" i="3"/>
  <c r="CX899" i="3"/>
  <c r="DG899" i="3" s="1"/>
  <c r="CY899" i="3"/>
  <c r="CZ899" i="3"/>
  <c r="DA899" i="3"/>
  <c r="DB899" i="3"/>
  <c r="DC899" i="3"/>
  <c r="DH899" i="3"/>
  <c r="A900" i="3"/>
  <c r="Y900" i="3"/>
  <c r="CX900" i="3" s="1"/>
  <c r="CY900" i="3"/>
  <c r="CZ900" i="3"/>
  <c r="DA900" i="3"/>
  <c r="DB900" i="3"/>
  <c r="DC900" i="3"/>
  <c r="A901" i="3"/>
  <c r="Y901" i="3"/>
  <c r="CX901" i="3" s="1"/>
  <c r="CY901" i="3"/>
  <c r="CZ901" i="3"/>
  <c r="DB901" i="3" s="1"/>
  <c r="DA901" i="3"/>
  <c r="DC901" i="3"/>
  <c r="A902" i="3"/>
  <c r="Y902" i="3"/>
  <c r="CX902" i="3"/>
  <c r="DG902" i="3" s="1"/>
  <c r="CY902" i="3"/>
  <c r="CZ902" i="3"/>
  <c r="DB902" i="3" s="1"/>
  <c r="DA902" i="3"/>
  <c r="DC902" i="3"/>
  <c r="DF902" i="3"/>
  <c r="DH902" i="3"/>
  <c r="DI902" i="3"/>
  <c r="DJ902" i="3"/>
  <c r="A903" i="3"/>
  <c r="Y903" i="3"/>
  <c r="CX903" i="3"/>
  <c r="DG903" i="3" s="1"/>
  <c r="CY903" i="3"/>
  <c r="CZ903" i="3"/>
  <c r="DA903" i="3"/>
  <c r="DB903" i="3"/>
  <c r="DC903" i="3"/>
  <c r="DH903" i="3"/>
  <c r="A904" i="3"/>
  <c r="Y904" i="3"/>
  <c r="CX904" i="3" s="1"/>
  <c r="CY904" i="3"/>
  <c r="CZ904" i="3"/>
  <c r="DA904" i="3"/>
  <c r="DB904" i="3"/>
  <c r="DC904" i="3"/>
  <c r="A905" i="3"/>
  <c r="Y905" i="3"/>
  <c r="CX905" i="3" s="1"/>
  <c r="CY905" i="3"/>
  <c r="CZ905" i="3"/>
  <c r="DB905" i="3" s="1"/>
  <c r="DA905" i="3"/>
  <c r="DC905" i="3"/>
  <c r="A906" i="3"/>
  <c r="Y906" i="3"/>
  <c r="CX906" i="3"/>
  <c r="DG906" i="3" s="1"/>
  <c r="CY906" i="3"/>
  <c r="CZ906" i="3"/>
  <c r="DB906" i="3" s="1"/>
  <c r="DA906" i="3"/>
  <c r="DC906" i="3"/>
  <c r="DF906" i="3"/>
  <c r="DH906" i="3"/>
  <c r="DI906" i="3"/>
  <c r="DJ906" i="3"/>
  <c r="A907" i="3"/>
  <c r="Y907" i="3"/>
  <c r="CX907" i="3"/>
  <c r="DG907" i="3" s="1"/>
  <c r="CY907" i="3"/>
  <c r="CZ907" i="3"/>
  <c r="DA907" i="3"/>
  <c r="DB907" i="3"/>
  <c r="DC907" i="3"/>
  <c r="DH907" i="3"/>
  <c r="A908" i="3"/>
  <c r="Y908" i="3"/>
  <c r="CX908" i="3" s="1"/>
  <c r="CY908" i="3"/>
  <c r="CZ908" i="3"/>
  <c r="DA908" i="3"/>
  <c r="DB908" i="3"/>
  <c r="DC908" i="3"/>
  <c r="A909" i="3"/>
  <c r="Y909" i="3"/>
  <c r="CX909" i="3" s="1"/>
  <c r="CY909" i="3"/>
  <c r="CZ909" i="3"/>
  <c r="DB909" i="3" s="1"/>
  <c r="DA909" i="3"/>
  <c r="DC909" i="3"/>
  <c r="A910" i="3"/>
  <c r="Y910" i="3"/>
  <c r="CX910" i="3"/>
  <c r="DG910" i="3" s="1"/>
  <c r="DJ910" i="3" s="1"/>
  <c r="CY910" i="3"/>
  <c r="CZ910" i="3"/>
  <c r="DB910" i="3" s="1"/>
  <c r="DA910" i="3"/>
  <c r="DC910" i="3"/>
  <c r="DF910" i="3"/>
  <c r="DH910" i="3"/>
  <c r="DI910" i="3"/>
  <c r="A911" i="3"/>
  <c r="Y911" i="3"/>
  <c r="CX911" i="3"/>
  <c r="DG911" i="3" s="1"/>
  <c r="DJ911" i="3" s="1"/>
  <c r="CY911" i="3"/>
  <c r="CZ911" i="3"/>
  <c r="DA911" i="3"/>
  <c r="DB911" i="3"/>
  <c r="DC911" i="3"/>
  <c r="DH911" i="3"/>
  <c r="A912" i="3"/>
  <c r="Y912" i="3"/>
  <c r="CX912" i="3" s="1"/>
  <c r="CY912" i="3"/>
  <c r="CZ912" i="3"/>
  <c r="DA912" i="3"/>
  <c r="DB912" i="3"/>
  <c r="DC912" i="3"/>
  <c r="A913" i="3"/>
  <c r="Y913" i="3"/>
  <c r="CX913" i="3" s="1"/>
  <c r="CY913" i="3"/>
  <c r="CZ913" i="3"/>
  <c r="DB913" i="3" s="1"/>
  <c r="DA913" i="3"/>
  <c r="DC913" i="3"/>
  <c r="A914" i="3"/>
  <c r="Y914" i="3"/>
  <c r="CX914" i="3"/>
  <c r="DG914" i="3" s="1"/>
  <c r="CY914" i="3"/>
  <c r="CZ914" i="3"/>
  <c r="DB914" i="3" s="1"/>
  <c r="DA914" i="3"/>
  <c r="DC914" i="3"/>
  <c r="DF914" i="3"/>
  <c r="DH914" i="3"/>
  <c r="DI914" i="3"/>
  <c r="DJ914" i="3"/>
  <c r="A915" i="3"/>
  <c r="Y915" i="3"/>
  <c r="CX915" i="3"/>
  <c r="DG915" i="3" s="1"/>
  <c r="CY915" i="3"/>
  <c r="CZ915" i="3"/>
  <c r="DA915" i="3"/>
  <c r="DB915" i="3"/>
  <c r="DC915" i="3"/>
  <c r="DH915" i="3"/>
  <c r="A916" i="3"/>
  <c r="Y916" i="3"/>
  <c r="CX916" i="3" s="1"/>
  <c r="CY916" i="3"/>
  <c r="CZ916" i="3"/>
  <c r="DA916" i="3"/>
  <c r="DB916" i="3"/>
  <c r="DC916" i="3"/>
  <c r="A917" i="3"/>
  <c r="Y917" i="3"/>
  <c r="CX917" i="3" s="1"/>
  <c r="CY917" i="3"/>
  <c r="CZ917" i="3"/>
  <c r="DB917" i="3" s="1"/>
  <c r="DA917" i="3"/>
  <c r="DC917" i="3"/>
  <c r="A918" i="3"/>
  <c r="Y918" i="3"/>
  <c r="CX918" i="3"/>
  <c r="DG918" i="3" s="1"/>
  <c r="CY918" i="3"/>
  <c r="CZ918" i="3"/>
  <c r="DB918" i="3" s="1"/>
  <c r="DA918" i="3"/>
  <c r="DC918" i="3"/>
  <c r="DF918" i="3"/>
  <c r="DH918" i="3"/>
  <c r="DI918" i="3"/>
  <c r="DJ918" i="3"/>
  <c r="A919" i="3"/>
  <c r="Y919" i="3"/>
  <c r="CX919" i="3"/>
  <c r="DG919" i="3" s="1"/>
  <c r="CY919" i="3"/>
  <c r="CZ919" i="3"/>
  <c r="DA919" i="3"/>
  <c r="DB919" i="3"/>
  <c r="DC919" i="3"/>
  <c r="DH919" i="3"/>
  <c r="A920" i="3"/>
  <c r="Y920" i="3"/>
  <c r="CX920" i="3" s="1"/>
  <c r="CY920" i="3"/>
  <c r="CZ920" i="3"/>
  <c r="DA920" i="3"/>
  <c r="DB920" i="3"/>
  <c r="DC920" i="3"/>
  <c r="A921" i="3"/>
  <c r="Y921" i="3"/>
  <c r="CX921" i="3" s="1"/>
  <c r="CY921" i="3"/>
  <c r="CZ921" i="3"/>
  <c r="DB921" i="3" s="1"/>
  <c r="DA921" i="3"/>
  <c r="DC921" i="3"/>
  <c r="A922" i="3"/>
  <c r="Y922" i="3"/>
  <c r="CX922" i="3"/>
  <c r="DG922" i="3" s="1"/>
  <c r="DJ922" i="3" s="1"/>
  <c r="CY922" i="3"/>
  <c r="CZ922" i="3"/>
  <c r="DB922" i="3" s="1"/>
  <c r="DA922" i="3"/>
  <c r="DC922" i="3"/>
  <c r="DF922" i="3"/>
  <c r="DH922" i="3"/>
  <c r="DI922" i="3"/>
  <c r="A923" i="3"/>
  <c r="Y923" i="3"/>
  <c r="CX923" i="3"/>
  <c r="DG923" i="3" s="1"/>
  <c r="DJ923" i="3" s="1"/>
  <c r="CY923" i="3"/>
  <c r="CZ923" i="3"/>
  <c r="DA923" i="3"/>
  <c r="DB923" i="3"/>
  <c r="DC923" i="3"/>
  <c r="DH923" i="3"/>
  <c r="A924" i="3"/>
  <c r="Y924" i="3"/>
  <c r="CX924" i="3" s="1"/>
  <c r="CY924" i="3"/>
  <c r="CZ924" i="3"/>
  <c r="DA924" i="3"/>
  <c r="DB924" i="3"/>
  <c r="DC924" i="3"/>
  <c r="A925" i="3"/>
  <c r="Y925" i="3"/>
  <c r="CX925" i="3" s="1"/>
  <c r="CY925" i="3"/>
  <c r="CZ925" i="3"/>
  <c r="DB925" i="3" s="1"/>
  <c r="DA925" i="3"/>
  <c r="DC925" i="3"/>
  <c r="A926" i="3"/>
  <c r="Y926" i="3"/>
  <c r="CX926" i="3"/>
  <c r="DG926" i="3" s="1"/>
  <c r="CY926" i="3"/>
  <c r="CZ926" i="3"/>
  <c r="DB926" i="3" s="1"/>
  <c r="DA926" i="3"/>
  <c r="DC926" i="3"/>
  <c r="DF926" i="3"/>
  <c r="DH926" i="3"/>
  <c r="DI926" i="3"/>
  <c r="DJ926" i="3"/>
  <c r="A927" i="3"/>
  <c r="Y927" i="3"/>
  <c r="CX927" i="3"/>
  <c r="DG927" i="3" s="1"/>
  <c r="CY927" i="3"/>
  <c r="CZ927" i="3"/>
  <c r="DA927" i="3"/>
  <c r="DB927" i="3"/>
  <c r="DC927" i="3"/>
  <c r="DH927" i="3"/>
  <c r="A928" i="3"/>
  <c r="Y928" i="3"/>
  <c r="CX928" i="3" s="1"/>
  <c r="CY928" i="3"/>
  <c r="CZ928" i="3"/>
  <c r="DA928" i="3"/>
  <c r="DB928" i="3"/>
  <c r="DC928" i="3"/>
  <c r="A929" i="3"/>
  <c r="Y929" i="3"/>
  <c r="CX929" i="3" s="1"/>
  <c r="CY929" i="3"/>
  <c r="CZ929" i="3"/>
  <c r="DB929" i="3" s="1"/>
  <c r="DA929" i="3"/>
  <c r="DC929" i="3"/>
  <c r="A930" i="3"/>
  <c r="Y930" i="3"/>
  <c r="CX930" i="3"/>
  <c r="DG930" i="3" s="1"/>
  <c r="CY930" i="3"/>
  <c r="CZ930" i="3"/>
  <c r="DB930" i="3" s="1"/>
  <c r="DA930" i="3"/>
  <c r="DC930" i="3"/>
  <c r="DF930" i="3"/>
  <c r="DH930" i="3"/>
  <c r="DI930" i="3"/>
  <c r="DJ930" i="3"/>
  <c r="A931" i="3"/>
  <c r="Y931" i="3"/>
  <c r="CX931" i="3"/>
  <c r="DG931" i="3" s="1"/>
  <c r="CY931" i="3"/>
  <c r="CZ931" i="3"/>
  <c r="DA931" i="3"/>
  <c r="DB931" i="3"/>
  <c r="DC931" i="3"/>
  <c r="DH931" i="3"/>
  <c r="A932" i="3"/>
  <c r="Y932" i="3"/>
  <c r="CX932" i="3" s="1"/>
  <c r="CY932" i="3"/>
  <c r="CZ932" i="3"/>
  <c r="DA932" i="3"/>
  <c r="DB932" i="3"/>
  <c r="DC932" i="3"/>
  <c r="A933" i="3"/>
  <c r="Y933" i="3"/>
  <c r="CX933" i="3" s="1"/>
  <c r="CY933" i="3"/>
  <c r="CZ933" i="3"/>
  <c r="DB933" i="3" s="1"/>
  <c r="DA933" i="3"/>
  <c r="DC933" i="3"/>
  <c r="A934" i="3"/>
  <c r="Y934" i="3"/>
  <c r="CX934" i="3"/>
  <c r="DG934" i="3" s="1"/>
  <c r="DJ934" i="3" s="1"/>
  <c r="CY934" i="3"/>
  <c r="CZ934" i="3"/>
  <c r="DB934" i="3" s="1"/>
  <c r="DA934" i="3"/>
  <c r="DC934" i="3"/>
  <c r="DF934" i="3"/>
  <c r="DH934" i="3"/>
  <c r="DI934" i="3"/>
  <c r="A935" i="3"/>
  <c r="Y935" i="3"/>
  <c r="CX935" i="3"/>
  <c r="DG935" i="3" s="1"/>
  <c r="DJ935" i="3" s="1"/>
  <c r="CY935" i="3"/>
  <c r="CZ935" i="3"/>
  <c r="DA935" i="3"/>
  <c r="DB935" i="3"/>
  <c r="DC935" i="3"/>
  <c r="DH935" i="3"/>
  <c r="A936" i="3"/>
  <c r="Y936" i="3"/>
  <c r="CX936" i="3" s="1"/>
  <c r="CY936" i="3"/>
  <c r="CZ936" i="3"/>
  <c r="DA936" i="3"/>
  <c r="DB936" i="3"/>
  <c r="DC936" i="3"/>
  <c r="A937" i="3"/>
  <c r="Y937" i="3"/>
  <c r="CX937" i="3" s="1"/>
  <c r="CY937" i="3"/>
  <c r="CZ937" i="3"/>
  <c r="DB937" i="3" s="1"/>
  <c r="DA937" i="3"/>
  <c r="DC937" i="3"/>
  <c r="A938" i="3"/>
  <c r="Y938" i="3"/>
  <c r="CX938" i="3"/>
  <c r="DG938" i="3" s="1"/>
  <c r="CY938" i="3"/>
  <c r="CZ938" i="3"/>
  <c r="DB938" i="3" s="1"/>
  <c r="DA938" i="3"/>
  <c r="DC938" i="3"/>
  <c r="DF938" i="3"/>
  <c r="DH938" i="3"/>
  <c r="DI938" i="3"/>
  <c r="DJ938" i="3"/>
  <c r="A939" i="3"/>
  <c r="Y939" i="3"/>
  <c r="CX939" i="3"/>
  <c r="DG939" i="3" s="1"/>
  <c r="CY939" i="3"/>
  <c r="CZ939" i="3"/>
  <c r="DA939" i="3"/>
  <c r="DB939" i="3"/>
  <c r="DC939" i="3"/>
  <c r="DH939" i="3"/>
  <c r="A940" i="3"/>
  <c r="Y940" i="3"/>
  <c r="CX940" i="3" s="1"/>
  <c r="CY940" i="3"/>
  <c r="CZ940" i="3"/>
  <c r="DA940" i="3"/>
  <c r="DB940" i="3"/>
  <c r="DC940" i="3"/>
  <c r="A941" i="3"/>
  <c r="Y941" i="3"/>
  <c r="CX941" i="3" s="1"/>
  <c r="CY941" i="3"/>
  <c r="CZ941" i="3"/>
  <c r="DB941" i="3" s="1"/>
  <c r="DA941" i="3"/>
  <c r="DC941" i="3"/>
  <c r="A942" i="3"/>
  <c r="Y942" i="3"/>
  <c r="CX942" i="3"/>
  <c r="DG942" i="3" s="1"/>
  <c r="CY942" i="3"/>
  <c r="CZ942" i="3"/>
  <c r="DB942" i="3" s="1"/>
  <c r="DA942" i="3"/>
  <c r="DC942" i="3"/>
  <c r="DF942" i="3"/>
  <c r="DH942" i="3"/>
  <c r="DI942" i="3"/>
  <c r="DJ942" i="3"/>
  <c r="A943" i="3"/>
  <c r="Y943" i="3"/>
  <c r="CX943" i="3"/>
  <c r="DG943" i="3" s="1"/>
  <c r="CY943" i="3"/>
  <c r="CZ943" i="3"/>
  <c r="DA943" i="3"/>
  <c r="DB943" i="3"/>
  <c r="DC943" i="3"/>
  <c r="DH943" i="3"/>
  <c r="A944" i="3"/>
  <c r="Y944" i="3"/>
  <c r="CX944" i="3" s="1"/>
  <c r="CY944" i="3"/>
  <c r="CZ944" i="3"/>
  <c r="DA944" i="3"/>
  <c r="DB944" i="3"/>
  <c r="DC944" i="3"/>
  <c r="A945" i="3"/>
  <c r="Y945" i="3"/>
  <c r="CX945" i="3" s="1"/>
  <c r="CY945" i="3"/>
  <c r="CZ945" i="3"/>
  <c r="DB945" i="3" s="1"/>
  <c r="DA945" i="3"/>
  <c r="DC945" i="3"/>
  <c r="A946" i="3"/>
  <c r="Y946" i="3"/>
  <c r="CX946" i="3"/>
  <c r="DG946" i="3" s="1"/>
  <c r="CY946" i="3"/>
  <c r="CZ946" i="3"/>
  <c r="DB946" i="3" s="1"/>
  <c r="DA946" i="3"/>
  <c r="DC946" i="3"/>
  <c r="DF946" i="3"/>
  <c r="DH946" i="3"/>
  <c r="DI946" i="3"/>
  <c r="DJ946" i="3"/>
  <c r="A947" i="3"/>
  <c r="Y947" i="3"/>
  <c r="CX947" i="3"/>
  <c r="CY947" i="3"/>
  <c r="CZ947" i="3"/>
  <c r="DA947" i="3"/>
  <c r="DB947" i="3"/>
  <c r="DC947" i="3"/>
  <c r="DH947" i="3"/>
  <c r="A948" i="3"/>
  <c r="Y948" i="3"/>
  <c r="CX948" i="3" s="1"/>
  <c r="CY948" i="3"/>
  <c r="CZ948" i="3"/>
  <c r="DA948" i="3"/>
  <c r="DB948" i="3"/>
  <c r="DC948" i="3"/>
  <c r="DG948" i="3"/>
  <c r="A949" i="3"/>
  <c r="Y949" i="3"/>
  <c r="CX949" i="3" s="1"/>
  <c r="CY949" i="3"/>
  <c r="CZ949" i="3"/>
  <c r="DB949" i="3" s="1"/>
  <c r="DA949" i="3"/>
  <c r="DC949" i="3"/>
  <c r="DF949" i="3"/>
  <c r="DJ949" i="3"/>
  <c r="A950" i="3"/>
  <c r="Y950" i="3"/>
  <c r="CX950" i="3"/>
  <c r="DG950" i="3" s="1"/>
  <c r="CY950" i="3"/>
  <c r="CZ950" i="3"/>
  <c r="DB950" i="3" s="1"/>
  <c r="DA950" i="3"/>
  <c r="DC950" i="3"/>
  <c r="DF950" i="3"/>
  <c r="DH950" i="3"/>
  <c r="DI950" i="3"/>
  <c r="DJ950" i="3"/>
  <c r="A951" i="3"/>
  <c r="Y951" i="3"/>
  <c r="CX951" i="3"/>
  <c r="CY951" i="3"/>
  <c r="CZ951" i="3"/>
  <c r="DA951" i="3"/>
  <c r="DB951" i="3"/>
  <c r="DC951" i="3"/>
  <c r="DH951" i="3"/>
  <c r="A952" i="3"/>
  <c r="Y952" i="3"/>
  <c r="CX952" i="3" s="1"/>
  <c r="CY952" i="3"/>
  <c r="CZ952" i="3"/>
  <c r="DA952" i="3"/>
  <c r="DB952" i="3"/>
  <c r="DC952" i="3"/>
  <c r="DG952" i="3"/>
  <c r="DJ952" i="3" s="1"/>
  <c r="A953" i="3"/>
  <c r="Y953" i="3"/>
  <c r="CX953" i="3" s="1"/>
  <c r="CY953" i="3"/>
  <c r="CZ953" i="3"/>
  <c r="DB953" i="3" s="1"/>
  <c r="DA953" i="3"/>
  <c r="DC953" i="3"/>
  <c r="DF953" i="3"/>
  <c r="DJ953" i="3"/>
  <c r="A954" i="3"/>
  <c r="Y954" i="3"/>
  <c r="CX954" i="3"/>
  <c r="DG954" i="3" s="1"/>
  <c r="CY954" i="3"/>
  <c r="CZ954" i="3"/>
  <c r="DB954" i="3" s="1"/>
  <c r="DA954" i="3"/>
  <c r="DC954" i="3"/>
  <c r="DF954" i="3"/>
  <c r="DH954" i="3"/>
  <c r="DI954" i="3"/>
  <c r="DJ954" i="3"/>
  <c r="A955" i="3"/>
  <c r="Y955" i="3"/>
  <c r="CX955" i="3"/>
  <c r="CY955" i="3"/>
  <c r="CZ955" i="3"/>
  <c r="DA955" i="3"/>
  <c r="DB955" i="3"/>
  <c r="DC955" i="3"/>
  <c r="DH955" i="3"/>
  <c r="A956" i="3"/>
  <c r="Y956" i="3"/>
  <c r="CX956" i="3" s="1"/>
  <c r="CY956" i="3"/>
  <c r="CZ956" i="3"/>
  <c r="DA956" i="3"/>
  <c r="DB956" i="3"/>
  <c r="DC956" i="3"/>
  <c r="DG956" i="3"/>
  <c r="A957" i="3"/>
  <c r="Y957" i="3"/>
  <c r="CX957" i="3" s="1"/>
  <c r="CY957" i="3"/>
  <c r="CZ957" i="3"/>
  <c r="DB957" i="3" s="1"/>
  <c r="DA957" i="3"/>
  <c r="DC957" i="3"/>
  <c r="DF957" i="3"/>
  <c r="DJ957" i="3"/>
  <c r="A958" i="3"/>
  <c r="Y958" i="3"/>
  <c r="CX958" i="3"/>
  <c r="DG958" i="3" s="1"/>
  <c r="CY958" i="3"/>
  <c r="CZ958" i="3"/>
  <c r="DB958" i="3" s="1"/>
  <c r="DA958" i="3"/>
  <c r="DC958" i="3"/>
  <c r="DF958" i="3"/>
  <c r="DH958" i="3"/>
  <c r="DI958" i="3"/>
  <c r="DJ958" i="3"/>
  <c r="A959" i="3"/>
  <c r="Y959" i="3"/>
  <c r="CX959" i="3"/>
  <c r="CY959" i="3"/>
  <c r="CZ959" i="3"/>
  <c r="DA959" i="3"/>
  <c r="DB959" i="3"/>
  <c r="DC959" i="3"/>
  <c r="DH959" i="3"/>
  <c r="A960" i="3"/>
  <c r="Y960" i="3"/>
  <c r="CX960" i="3" s="1"/>
  <c r="DH960" i="3" s="1"/>
  <c r="CY960" i="3"/>
  <c r="CZ960" i="3"/>
  <c r="DA960" i="3"/>
  <c r="DB960" i="3"/>
  <c r="DC960" i="3"/>
  <c r="DG960" i="3"/>
  <c r="DJ960" i="3" s="1"/>
  <c r="A961" i="3"/>
  <c r="Y961" i="3"/>
  <c r="CX961" i="3" s="1"/>
  <c r="DG961" i="3" s="1"/>
  <c r="CY961" i="3"/>
  <c r="CZ961" i="3"/>
  <c r="DB961" i="3" s="1"/>
  <c r="DA961" i="3"/>
  <c r="DC961" i="3"/>
  <c r="DF961" i="3"/>
  <c r="DJ961" i="3" s="1"/>
  <c r="A962" i="3"/>
  <c r="Y962" i="3"/>
  <c r="CX962" i="3"/>
  <c r="DG962" i="3" s="1"/>
  <c r="CY962" i="3"/>
  <c r="CZ962" i="3"/>
  <c r="DB962" i="3" s="1"/>
  <c r="DA962" i="3"/>
  <c r="DC962" i="3"/>
  <c r="DF962" i="3"/>
  <c r="DJ962" i="3" s="1"/>
  <c r="DH962" i="3"/>
  <c r="DI962" i="3"/>
  <c r="A963" i="3"/>
  <c r="Y963" i="3"/>
  <c r="CX963" i="3"/>
  <c r="CY963" i="3"/>
  <c r="CZ963" i="3"/>
  <c r="DA963" i="3"/>
  <c r="DB963" i="3"/>
  <c r="DC963" i="3"/>
  <c r="A964" i="3"/>
  <c r="Y964" i="3"/>
  <c r="CX964" i="3"/>
  <c r="DH964" i="3" s="1"/>
  <c r="CY964" i="3"/>
  <c r="CZ964" i="3"/>
  <c r="DA964" i="3"/>
  <c r="DB964" i="3"/>
  <c r="DC964" i="3"/>
  <c r="DG964" i="3"/>
  <c r="A965" i="3"/>
  <c r="Y965" i="3"/>
  <c r="CX965" i="3" s="1"/>
  <c r="DG965" i="3" s="1"/>
  <c r="CY965" i="3"/>
  <c r="CZ965" i="3"/>
  <c r="DB965" i="3" s="1"/>
  <c r="DA965" i="3"/>
  <c r="DC965" i="3"/>
  <c r="DF965" i="3"/>
  <c r="DJ965" i="3" s="1"/>
  <c r="A966" i="3"/>
  <c r="Y966" i="3"/>
  <c r="CX966" i="3"/>
  <c r="DG966" i="3" s="1"/>
  <c r="CY966" i="3"/>
  <c r="CZ966" i="3"/>
  <c r="DB966" i="3" s="1"/>
  <c r="DA966" i="3"/>
  <c r="DC966" i="3"/>
  <c r="DF966" i="3"/>
  <c r="DH966" i="3"/>
  <c r="DI966" i="3"/>
  <c r="DJ966" i="3" s="1"/>
  <c r="A967" i="3"/>
  <c r="Y967" i="3"/>
  <c r="CX967" i="3"/>
  <c r="CY967" i="3"/>
  <c r="CZ967" i="3"/>
  <c r="DA967" i="3"/>
  <c r="DB967" i="3"/>
  <c r="DC967" i="3"/>
  <c r="A968" i="3"/>
  <c r="Y968" i="3"/>
  <c r="CX968" i="3"/>
  <c r="DH968" i="3" s="1"/>
  <c r="CY968" i="3"/>
  <c r="CZ968" i="3"/>
  <c r="DA968" i="3"/>
  <c r="DB968" i="3"/>
  <c r="DC968" i="3"/>
  <c r="DG968" i="3"/>
  <c r="A969" i="3"/>
  <c r="Y969" i="3"/>
  <c r="CX969" i="3" s="1"/>
  <c r="DG969" i="3" s="1"/>
  <c r="CY969" i="3"/>
  <c r="CZ969" i="3"/>
  <c r="DB969" i="3" s="1"/>
  <c r="DA969" i="3"/>
  <c r="DC969" i="3"/>
  <c r="DF969" i="3"/>
  <c r="DJ969" i="3" s="1"/>
  <c r="A970" i="3"/>
  <c r="Y970" i="3"/>
  <c r="CX970" i="3"/>
  <c r="DG970" i="3" s="1"/>
  <c r="CY970" i="3"/>
  <c r="CZ970" i="3"/>
  <c r="DB970" i="3" s="1"/>
  <c r="DA970" i="3"/>
  <c r="DC970" i="3"/>
  <c r="DF970" i="3"/>
  <c r="DJ970" i="3" s="1"/>
  <c r="DH970" i="3"/>
  <c r="DI970" i="3"/>
  <c r="A971" i="3"/>
  <c r="Y971" i="3"/>
  <c r="CX971" i="3"/>
  <c r="CY971" i="3"/>
  <c r="CZ971" i="3"/>
  <c r="DA971" i="3"/>
  <c r="DB971" i="3"/>
  <c r="DC971" i="3"/>
  <c r="A972" i="3"/>
  <c r="Y972" i="3"/>
  <c r="CX972" i="3"/>
  <c r="DH972" i="3" s="1"/>
  <c r="CY972" i="3"/>
  <c r="CZ972" i="3"/>
  <c r="DA972" i="3"/>
  <c r="DB972" i="3"/>
  <c r="DC972" i="3"/>
  <c r="DG972" i="3"/>
  <c r="A973" i="3"/>
  <c r="Y973" i="3"/>
  <c r="CX973" i="3" s="1"/>
  <c r="DG973" i="3" s="1"/>
  <c r="CY973" i="3"/>
  <c r="CZ973" i="3"/>
  <c r="DB973" i="3" s="1"/>
  <c r="DA973" i="3"/>
  <c r="DC973" i="3"/>
  <c r="DF973" i="3"/>
  <c r="A974" i="3"/>
  <c r="Y974" i="3"/>
  <c r="CX974" i="3"/>
  <c r="DG974" i="3" s="1"/>
  <c r="CY974" i="3"/>
  <c r="CZ974" i="3"/>
  <c r="DB974" i="3" s="1"/>
  <c r="DA974" i="3"/>
  <c r="DC974" i="3"/>
  <c r="DF974" i="3"/>
  <c r="DH974" i="3"/>
  <c r="DI974" i="3"/>
  <c r="DJ974" i="3"/>
  <c r="A975" i="3"/>
  <c r="Y975" i="3"/>
  <c r="CX975" i="3"/>
  <c r="CY975" i="3"/>
  <c r="CZ975" i="3"/>
  <c r="DA975" i="3"/>
  <c r="DB975" i="3"/>
  <c r="DC975" i="3"/>
  <c r="A976" i="3"/>
  <c r="Y976" i="3"/>
  <c r="CX976" i="3"/>
  <c r="DH976" i="3" s="1"/>
  <c r="CY976" i="3"/>
  <c r="CZ976" i="3"/>
  <c r="DA976" i="3"/>
  <c r="DB976" i="3"/>
  <c r="DC976" i="3"/>
  <c r="DG976" i="3"/>
  <c r="A977" i="3"/>
  <c r="Y977" i="3"/>
  <c r="CX977" i="3" s="1"/>
  <c r="DG977" i="3" s="1"/>
  <c r="CY977" i="3"/>
  <c r="CZ977" i="3"/>
  <c r="DB977" i="3" s="1"/>
  <c r="DA977" i="3"/>
  <c r="DC977" i="3"/>
  <c r="DF977" i="3"/>
  <c r="DJ977" i="3" s="1"/>
  <c r="A978" i="3"/>
  <c r="Y978" i="3"/>
  <c r="CX978" i="3"/>
  <c r="DG978" i="3" s="1"/>
  <c r="CY978" i="3"/>
  <c r="CZ978" i="3"/>
  <c r="DB978" i="3" s="1"/>
  <c r="DA978" i="3"/>
  <c r="DC978" i="3"/>
  <c r="DF978" i="3"/>
  <c r="DJ978" i="3" s="1"/>
  <c r="DH978" i="3"/>
  <c r="DI978" i="3"/>
  <c r="A979" i="3"/>
  <c r="Y979" i="3"/>
  <c r="CX979" i="3"/>
  <c r="CY979" i="3"/>
  <c r="CZ979" i="3"/>
  <c r="DA979" i="3"/>
  <c r="DB979" i="3"/>
  <c r="DC979" i="3"/>
  <c r="A980" i="3"/>
  <c r="Y980" i="3"/>
  <c r="CX980" i="3"/>
  <c r="DH980" i="3" s="1"/>
  <c r="CY980" i="3"/>
  <c r="CZ980" i="3"/>
  <c r="DA980" i="3"/>
  <c r="DB980" i="3"/>
  <c r="DC980" i="3"/>
  <c r="DG980" i="3"/>
  <c r="A981" i="3"/>
  <c r="Y981" i="3"/>
  <c r="CX981" i="3" s="1"/>
  <c r="DG981" i="3" s="1"/>
  <c r="CY981" i="3"/>
  <c r="CZ981" i="3"/>
  <c r="DB981" i="3" s="1"/>
  <c r="DA981" i="3"/>
  <c r="DC981" i="3"/>
  <c r="DF981" i="3"/>
  <c r="DJ981" i="3" s="1"/>
  <c r="A982" i="3"/>
  <c r="Y982" i="3"/>
  <c r="CX982" i="3"/>
  <c r="DG982" i="3" s="1"/>
  <c r="CY982" i="3"/>
  <c r="CZ982" i="3"/>
  <c r="DB982" i="3" s="1"/>
  <c r="DA982" i="3"/>
  <c r="DC982" i="3"/>
  <c r="DF982" i="3"/>
  <c r="DJ982" i="3" s="1"/>
  <c r="DH982" i="3"/>
  <c r="DI982" i="3"/>
  <c r="A983" i="3"/>
  <c r="Y983" i="3"/>
  <c r="CX983" i="3"/>
  <c r="CY983" i="3"/>
  <c r="CZ983" i="3"/>
  <c r="DA983" i="3"/>
  <c r="DB983" i="3"/>
  <c r="DC983" i="3"/>
  <c r="A984" i="3"/>
  <c r="Y984" i="3"/>
  <c r="CX984" i="3"/>
  <c r="DH984" i="3" s="1"/>
  <c r="CY984" i="3"/>
  <c r="CZ984" i="3"/>
  <c r="DA984" i="3"/>
  <c r="DB984" i="3"/>
  <c r="DC984" i="3"/>
  <c r="DG984" i="3"/>
  <c r="A985" i="3"/>
  <c r="Y985" i="3"/>
  <c r="CX985" i="3" s="1"/>
  <c r="DG985" i="3" s="1"/>
  <c r="DJ985" i="3" s="1"/>
  <c r="CY985" i="3"/>
  <c r="CZ985" i="3"/>
  <c r="DB985" i="3" s="1"/>
  <c r="DA985" i="3"/>
  <c r="DC985" i="3"/>
  <c r="DF985" i="3"/>
  <c r="A986" i="3"/>
  <c r="Y986" i="3"/>
  <c r="CX986" i="3"/>
  <c r="DG986" i="3" s="1"/>
  <c r="CY986" i="3"/>
  <c r="CZ986" i="3"/>
  <c r="DB986" i="3" s="1"/>
  <c r="DA986" i="3"/>
  <c r="DC986" i="3"/>
  <c r="DF986" i="3"/>
  <c r="DJ986" i="3" s="1"/>
  <c r="DH986" i="3"/>
  <c r="DI986" i="3"/>
  <c r="A987" i="3"/>
  <c r="Y987" i="3"/>
  <c r="CX987" i="3"/>
  <c r="CY987" i="3"/>
  <c r="CZ987" i="3"/>
  <c r="DA987" i="3"/>
  <c r="DB987" i="3"/>
  <c r="DC987" i="3"/>
  <c r="A988" i="3"/>
  <c r="Y988" i="3"/>
  <c r="CX988" i="3"/>
  <c r="DH988" i="3" s="1"/>
  <c r="CY988" i="3"/>
  <c r="CZ988" i="3"/>
  <c r="DA988" i="3"/>
  <c r="DB988" i="3"/>
  <c r="DC988" i="3"/>
  <c r="DG988" i="3"/>
  <c r="A989" i="3"/>
  <c r="Y989" i="3"/>
  <c r="CX989" i="3" s="1"/>
  <c r="DG989" i="3" s="1"/>
  <c r="CY989" i="3"/>
  <c r="CZ989" i="3"/>
  <c r="DB989" i="3" s="1"/>
  <c r="DA989" i="3"/>
  <c r="DC989" i="3"/>
  <c r="DF989" i="3"/>
  <c r="DJ989" i="3" s="1"/>
  <c r="A990" i="3"/>
  <c r="Y990" i="3"/>
  <c r="CX990" i="3"/>
  <c r="DG990" i="3" s="1"/>
  <c r="CY990" i="3"/>
  <c r="CZ990" i="3"/>
  <c r="DB990" i="3" s="1"/>
  <c r="DA990" i="3"/>
  <c r="DC990" i="3"/>
  <c r="DF990" i="3"/>
  <c r="DJ990" i="3" s="1"/>
  <c r="DH990" i="3"/>
  <c r="DI990" i="3"/>
  <c r="A991" i="3"/>
  <c r="Y991" i="3"/>
  <c r="CX991" i="3"/>
  <c r="CY991" i="3"/>
  <c r="CZ991" i="3"/>
  <c r="DA991" i="3"/>
  <c r="DB991" i="3"/>
  <c r="DC991" i="3"/>
  <c r="A992" i="3"/>
  <c r="Y992" i="3"/>
  <c r="CX992" i="3"/>
  <c r="DH992" i="3" s="1"/>
  <c r="CY992" i="3"/>
  <c r="CZ992" i="3"/>
  <c r="DA992" i="3"/>
  <c r="DB992" i="3"/>
  <c r="DC992" i="3"/>
  <c r="DG992" i="3"/>
  <c r="A993" i="3"/>
  <c r="Y993" i="3"/>
  <c r="CX993" i="3" s="1"/>
  <c r="DG993" i="3" s="1"/>
  <c r="CY993" i="3"/>
  <c r="CZ993" i="3"/>
  <c r="DB993" i="3" s="1"/>
  <c r="DA993" i="3"/>
  <c r="DC993" i="3"/>
  <c r="DF993" i="3"/>
  <c r="DJ993" i="3" s="1"/>
  <c r="A994" i="3"/>
  <c r="Y994" i="3"/>
  <c r="CX994" i="3"/>
  <c r="DG994" i="3" s="1"/>
  <c r="CY994" i="3"/>
  <c r="CZ994" i="3"/>
  <c r="DB994" i="3" s="1"/>
  <c r="DA994" i="3"/>
  <c r="DC994" i="3"/>
  <c r="DF994" i="3"/>
  <c r="DJ994" i="3" s="1"/>
  <c r="DH994" i="3"/>
  <c r="DI994" i="3"/>
  <c r="A995" i="3"/>
  <c r="Y995" i="3"/>
  <c r="CX995" i="3"/>
  <c r="CY995" i="3"/>
  <c r="CZ995" i="3"/>
  <c r="DA995" i="3"/>
  <c r="DB995" i="3"/>
  <c r="DC995" i="3"/>
  <c r="A996" i="3"/>
  <c r="Y996" i="3"/>
  <c r="CX996" i="3"/>
  <c r="DH996" i="3" s="1"/>
  <c r="CY996" i="3"/>
  <c r="CZ996" i="3"/>
  <c r="DA996" i="3"/>
  <c r="DB996" i="3"/>
  <c r="DC996" i="3"/>
  <c r="DG996" i="3"/>
  <c r="DJ996" i="3" s="1"/>
  <c r="A997" i="3"/>
  <c r="Y997" i="3"/>
  <c r="CX997" i="3" s="1"/>
  <c r="DG997" i="3" s="1"/>
  <c r="DJ997" i="3" s="1"/>
  <c r="CY997" i="3"/>
  <c r="CZ997" i="3"/>
  <c r="DB997" i="3" s="1"/>
  <c r="DA997" i="3"/>
  <c r="DC997" i="3"/>
  <c r="DF997" i="3"/>
  <c r="A998" i="3"/>
  <c r="Y998" i="3"/>
  <c r="CX998" i="3"/>
  <c r="DG998" i="3" s="1"/>
  <c r="CY998" i="3"/>
  <c r="CZ998" i="3"/>
  <c r="DB998" i="3" s="1"/>
  <c r="DA998" i="3"/>
  <c r="DC998" i="3"/>
  <c r="DF998" i="3"/>
  <c r="DH998" i="3"/>
  <c r="DI998" i="3"/>
  <c r="DJ998" i="3"/>
  <c r="A999" i="3"/>
  <c r="Y999" i="3"/>
  <c r="CX999" i="3"/>
  <c r="CY999" i="3"/>
  <c r="CZ999" i="3"/>
  <c r="DA999" i="3"/>
  <c r="DB999" i="3"/>
  <c r="DC999" i="3"/>
  <c r="A1000" i="3"/>
  <c r="Y1000" i="3"/>
  <c r="CX1000" i="3"/>
  <c r="DH1000" i="3" s="1"/>
  <c r="CY1000" i="3"/>
  <c r="CZ1000" i="3"/>
  <c r="DA1000" i="3"/>
  <c r="DB1000" i="3"/>
  <c r="DC1000" i="3"/>
  <c r="DG1000" i="3"/>
  <c r="A1001" i="3"/>
  <c r="Y1001" i="3"/>
  <c r="CX1001" i="3" s="1"/>
  <c r="DG1001" i="3" s="1"/>
  <c r="CY1001" i="3"/>
  <c r="CZ1001" i="3"/>
  <c r="DB1001" i="3" s="1"/>
  <c r="DA1001" i="3"/>
  <c r="DC1001" i="3"/>
  <c r="DF1001" i="3"/>
  <c r="DJ1001" i="3" s="1"/>
  <c r="A1002" i="3"/>
  <c r="Y1002" i="3"/>
  <c r="CX1002" i="3"/>
  <c r="DG1002" i="3" s="1"/>
  <c r="CY1002" i="3"/>
  <c r="CZ1002" i="3"/>
  <c r="DB1002" i="3" s="1"/>
  <c r="DA1002" i="3"/>
  <c r="DC1002" i="3"/>
  <c r="DF1002" i="3"/>
  <c r="DJ1002" i="3" s="1"/>
  <c r="DH1002" i="3"/>
  <c r="DI1002" i="3"/>
  <c r="A1003" i="3"/>
  <c r="Y1003" i="3"/>
  <c r="CX1003" i="3"/>
  <c r="CY1003" i="3"/>
  <c r="CZ1003" i="3"/>
  <c r="DA1003" i="3"/>
  <c r="DB1003" i="3"/>
  <c r="DC1003" i="3"/>
  <c r="A1004" i="3"/>
  <c r="Y1004" i="3"/>
  <c r="CX1004" i="3"/>
  <c r="DH1004" i="3" s="1"/>
  <c r="CY1004" i="3"/>
  <c r="CZ1004" i="3"/>
  <c r="DA1004" i="3"/>
  <c r="DB1004" i="3"/>
  <c r="DC1004" i="3"/>
  <c r="DG1004" i="3"/>
  <c r="A1005" i="3"/>
  <c r="Y1005" i="3"/>
  <c r="CX1005" i="3" s="1"/>
  <c r="DG1005" i="3" s="1"/>
  <c r="CY1005" i="3"/>
  <c r="CZ1005" i="3"/>
  <c r="DB1005" i="3" s="1"/>
  <c r="DA1005" i="3"/>
  <c r="DC1005" i="3"/>
  <c r="DF1005" i="3"/>
  <c r="DJ1005" i="3" s="1"/>
  <c r="A1006" i="3"/>
  <c r="Y1006" i="3"/>
  <c r="CX1006" i="3"/>
  <c r="DG1006" i="3" s="1"/>
  <c r="CY1006" i="3"/>
  <c r="CZ1006" i="3"/>
  <c r="DB1006" i="3" s="1"/>
  <c r="DA1006" i="3"/>
  <c r="DC1006" i="3"/>
  <c r="DF1006" i="3"/>
  <c r="DJ1006" i="3" s="1"/>
  <c r="DH1006" i="3"/>
  <c r="DI1006" i="3"/>
  <c r="A1007" i="3"/>
  <c r="Y1007" i="3"/>
  <c r="CX1007" i="3"/>
  <c r="CY1007" i="3"/>
  <c r="CZ1007" i="3"/>
  <c r="DA1007" i="3"/>
  <c r="DB1007" i="3"/>
  <c r="DC1007" i="3"/>
  <c r="A1008" i="3"/>
  <c r="Y1008" i="3"/>
  <c r="CX1008" i="3"/>
  <c r="DH1008" i="3" s="1"/>
  <c r="CY1008" i="3"/>
  <c r="CZ1008" i="3"/>
  <c r="DA1008" i="3"/>
  <c r="DB1008" i="3"/>
  <c r="DC1008" i="3"/>
  <c r="DG1008" i="3"/>
  <c r="A1009" i="3"/>
  <c r="Y1009" i="3"/>
  <c r="CX1009" i="3" s="1"/>
  <c r="DG1009" i="3" s="1"/>
  <c r="CY1009" i="3"/>
  <c r="CZ1009" i="3"/>
  <c r="DB1009" i="3" s="1"/>
  <c r="DA1009" i="3"/>
  <c r="DC1009" i="3"/>
  <c r="DF1009" i="3"/>
  <c r="A1010" i="3"/>
  <c r="Y1010" i="3"/>
  <c r="CX1010" i="3"/>
  <c r="DG1010" i="3" s="1"/>
  <c r="CY1010" i="3"/>
  <c r="CZ1010" i="3"/>
  <c r="DB1010" i="3" s="1"/>
  <c r="DA1010" i="3"/>
  <c r="DC1010" i="3"/>
  <c r="DF1010" i="3"/>
  <c r="DH1010" i="3"/>
  <c r="DI1010" i="3"/>
  <c r="DJ1010" i="3"/>
  <c r="A1011" i="3"/>
  <c r="Y1011" i="3"/>
  <c r="CX1011" i="3"/>
  <c r="CY1011" i="3"/>
  <c r="CZ1011" i="3"/>
  <c r="DA1011" i="3"/>
  <c r="DB1011" i="3"/>
  <c r="DC1011" i="3"/>
  <c r="A1012" i="3"/>
  <c r="Y1012" i="3"/>
  <c r="CX1012" i="3"/>
  <c r="DH1012" i="3" s="1"/>
  <c r="CY1012" i="3"/>
  <c r="CZ1012" i="3"/>
  <c r="DA1012" i="3"/>
  <c r="DB1012" i="3"/>
  <c r="DC1012" i="3"/>
  <c r="DG1012" i="3"/>
  <c r="DJ1012" i="3" s="1"/>
  <c r="A1013" i="3"/>
  <c r="Y1013" i="3"/>
  <c r="CX1013" i="3" s="1"/>
  <c r="DH1013" i="3" s="1"/>
  <c r="CY1013" i="3"/>
  <c r="CZ1013" i="3"/>
  <c r="DB1013" i="3" s="1"/>
  <c r="DA1013" i="3"/>
  <c r="DC1013" i="3"/>
  <c r="DF1013" i="3"/>
  <c r="DJ1013" i="3" s="1"/>
  <c r="A1014" i="3"/>
  <c r="Y1014" i="3"/>
  <c r="CX1014" i="3"/>
  <c r="DG1014" i="3" s="1"/>
  <c r="CY1014" i="3"/>
  <c r="CZ1014" i="3"/>
  <c r="DB1014" i="3" s="1"/>
  <c r="DA1014" i="3"/>
  <c r="DC1014" i="3"/>
  <c r="DF1014" i="3"/>
  <c r="DJ1014" i="3" s="1"/>
  <c r="DI1014" i="3"/>
  <c r="A1015" i="3"/>
  <c r="Y1015" i="3"/>
  <c r="CX1015" i="3"/>
  <c r="DF1015" i="3" s="1"/>
  <c r="DJ1015" i="3" s="1"/>
  <c r="CY1015" i="3"/>
  <c r="CZ1015" i="3"/>
  <c r="DA1015" i="3"/>
  <c r="DB1015" i="3"/>
  <c r="DC1015" i="3"/>
  <c r="DG1015" i="3"/>
  <c r="DI1015" i="3"/>
  <c r="A1016" i="3"/>
  <c r="Y1016" i="3"/>
  <c r="CX1016" i="3" s="1"/>
  <c r="CY1016" i="3"/>
  <c r="CZ1016" i="3"/>
  <c r="DB1016" i="3" s="1"/>
  <c r="DA1016" i="3"/>
  <c r="DC1016" i="3"/>
  <c r="A1017" i="3"/>
  <c r="Y1017" i="3"/>
  <c r="CX1017" i="3" s="1"/>
  <c r="DH1017" i="3" s="1"/>
  <c r="CY1017" i="3"/>
  <c r="CZ1017" i="3"/>
  <c r="DB1017" i="3" s="1"/>
  <c r="DA1017" i="3"/>
  <c r="DC1017" i="3"/>
  <c r="A1018" i="3"/>
  <c r="Y1018" i="3"/>
  <c r="CX1018" i="3"/>
  <c r="DG1018" i="3" s="1"/>
  <c r="CY1018" i="3"/>
  <c r="CZ1018" i="3"/>
  <c r="DA1018" i="3"/>
  <c r="DB1018" i="3"/>
  <c r="DC1018" i="3"/>
  <c r="DI1018" i="3"/>
  <c r="A1019" i="3"/>
  <c r="Y1019" i="3"/>
  <c r="CX1019" i="3"/>
  <c r="DF1019" i="3" s="1"/>
  <c r="DJ1019" i="3" s="1"/>
  <c r="CY1019" i="3"/>
  <c r="CZ1019" i="3"/>
  <c r="DA1019" i="3"/>
  <c r="DB1019" i="3"/>
  <c r="DC1019" i="3"/>
  <c r="DI1019" i="3"/>
  <c r="A1020" i="3"/>
  <c r="Y1020" i="3"/>
  <c r="CX1020" i="3"/>
  <c r="DI1020" i="3" s="1"/>
  <c r="CY1020" i="3"/>
  <c r="CZ1020" i="3"/>
  <c r="DB1020" i="3" s="1"/>
  <c r="DA1020" i="3"/>
  <c r="DC1020" i="3"/>
  <c r="DF1020" i="3"/>
  <c r="DJ1020" i="3" s="1"/>
  <c r="DH1020" i="3"/>
  <c r="A1021" i="3"/>
  <c r="Y1021" i="3"/>
  <c r="CX1021" i="3" s="1"/>
  <c r="DH1021" i="3" s="1"/>
  <c r="CY1021" i="3"/>
  <c r="CZ1021" i="3"/>
  <c r="DB1021" i="3" s="1"/>
  <c r="DA1021" i="3"/>
  <c r="DC1021" i="3"/>
  <c r="DF1021" i="3"/>
  <c r="DJ1021" i="3" s="1"/>
  <c r="DG1021" i="3"/>
  <c r="DI1021" i="3"/>
  <c r="A1022" i="3"/>
  <c r="Y1022" i="3"/>
  <c r="CX1022" i="3"/>
  <c r="DG1022" i="3" s="1"/>
  <c r="CY1022" i="3"/>
  <c r="CZ1022" i="3"/>
  <c r="DA1022" i="3"/>
  <c r="DB1022" i="3"/>
  <c r="DC1022" i="3"/>
  <c r="DI1022" i="3"/>
  <c r="A1023" i="3"/>
  <c r="Y1023" i="3"/>
  <c r="CX1023" i="3"/>
  <c r="DF1023" i="3" s="1"/>
  <c r="CY1023" i="3"/>
  <c r="CZ1023" i="3"/>
  <c r="DA1023" i="3"/>
  <c r="DB1023" i="3"/>
  <c r="DC1023" i="3"/>
  <c r="DI1023" i="3"/>
  <c r="DJ1023" i="3" s="1"/>
  <c r="A1024" i="3"/>
  <c r="Y1024" i="3"/>
  <c r="CX1024" i="3"/>
  <c r="DI1024" i="3" s="1"/>
  <c r="CY1024" i="3"/>
  <c r="CZ1024" i="3"/>
  <c r="DA1024" i="3"/>
  <c r="DB1024" i="3"/>
  <c r="DC1024" i="3"/>
  <c r="DH1024" i="3"/>
  <c r="A1025" i="3"/>
  <c r="Y1025" i="3"/>
  <c r="CX1025" i="3" s="1"/>
  <c r="DH1025" i="3" s="1"/>
  <c r="CY1025" i="3"/>
  <c r="CZ1025" i="3"/>
  <c r="DB1025" i="3" s="1"/>
  <c r="DA1025" i="3"/>
  <c r="DC1025" i="3"/>
  <c r="DF1025" i="3"/>
  <c r="DJ1025" i="3" s="1"/>
  <c r="DG1025" i="3"/>
  <c r="A1026" i="3"/>
  <c r="Y1026" i="3"/>
  <c r="CX1026" i="3"/>
  <c r="DG1026" i="3" s="1"/>
  <c r="CY1026" i="3"/>
  <c r="CZ1026" i="3"/>
  <c r="DB1026" i="3" s="1"/>
  <c r="DA1026" i="3"/>
  <c r="DC1026" i="3"/>
  <c r="DF1026" i="3"/>
  <c r="DJ1026" i="3" s="1"/>
  <c r="DH1026" i="3"/>
  <c r="DI1026" i="3"/>
  <c r="A1027" i="3"/>
  <c r="Y1027" i="3"/>
  <c r="CX1027" i="3" s="1"/>
  <c r="CY1027" i="3"/>
  <c r="CZ1027" i="3"/>
  <c r="DA1027" i="3"/>
  <c r="DB1027" i="3"/>
  <c r="DC1027" i="3"/>
  <c r="A1028" i="3"/>
  <c r="Y1028" i="3"/>
  <c r="CX1028" i="3"/>
  <c r="DI1028" i="3" s="1"/>
  <c r="CY1028" i="3"/>
  <c r="CZ1028" i="3"/>
  <c r="DA1028" i="3"/>
  <c r="DB1028" i="3"/>
  <c r="DC1028" i="3"/>
  <c r="DH1028" i="3"/>
  <c r="A1029" i="3"/>
  <c r="Y1029" i="3"/>
  <c r="CX1029" i="3" s="1"/>
  <c r="DH1029" i="3" s="1"/>
  <c r="CY1029" i="3"/>
  <c r="CZ1029" i="3"/>
  <c r="DB1029" i="3" s="1"/>
  <c r="DA1029" i="3"/>
  <c r="DC1029" i="3"/>
  <c r="DF1029" i="3"/>
  <c r="DJ1029" i="3" s="1"/>
  <c r="A1030" i="3"/>
  <c r="Y1030" i="3"/>
  <c r="CX1030" i="3"/>
  <c r="DG1030" i="3" s="1"/>
  <c r="CY1030" i="3"/>
  <c r="CZ1030" i="3"/>
  <c r="DB1030" i="3" s="1"/>
  <c r="DA1030" i="3"/>
  <c r="DC1030" i="3"/>
  <c r="DF1030" i="3"/>
  <c r="DJ1030" i="3" s="1"/>
  <c r="DI1030" i="3"/>
  <c r="A1031" i="3"/>
  <c r="Y1031" i="3"/>
  <c r="CX1031" i="3"/>
  <c r="DF1031" i="3" s="1"/>
  <c r="CY1031" i="3"/>
  <c r="CZ1031" i="3"/>
  <c r="DA1031" i="3"/>
  <c r="DB1031" i="3"/>
  <c r="DC1031" i="3"/>
  <c r="DG1031" i="3"/>
  <c r="DI1031" i="3"/>
  <c r="DJ1031" i="3" s="1"/>
  <c r="A1032" i="3"/>
  <c r="Y1032" i="3"/>
  <c r="CX1032" i="3" s="1"/>
  <c r="CY1032" i="3"/>
  <c r="CZ1032" i="3"/>
  <c r="DB1032" i="3" s="1"/>
  <c r="DA1032" i="3"/>
  <c r="DC1032" i="3"/>
  <c r="A1033" i="3"/>
  <c r="Y1033" i="3"/>
  <c r="CX1033" i="3" s="1"/>
  <c r="DH1033" i="3" s="1"/>
  <c r="CY1033" i="3"/>
  <c r="CZ1033" i="3"/>
  <c r="DB1033" i="3" s="1"/>
  <c r="DA1033" i="3"/>
  <c r="DC1033" i="3"/>
  <c r="A1034" i="3"/>
  <c r="Y1034" i="3"/>
  <c r="CX1034" i="3"/>
  <c r="DG1034" i="3" s="1"/>
  <c r="CY1034" i="3"/>
  <c r="CZ1034" i="3"/>
  <c r="DA1034" i="3"/>
  <c r="DB1034" i="3"/>
  <c r="DC1034" i="3"/>
  <c r="DI1034" i="3"/>
  <c r="A1035" i="3"/>
  <c r="Y1035" i="3"/>
  <c r="CX1035" i="3"/>
  <c r="DF1035" i="3" s="1"/>
  <c r="DJ1035" i="3" s="1"/>
  <c r="CY1035" i="3"/>
  <c r="CZ1035" i="3"/>
  <c r="DA1035" i="3"/>
  <c r="DB1035" i="3"/>
  <c r="DC1035" i="3"/>
  <c r="DI1035" i="3"/>
  <c r="A1036" i="3"/>
  <c r="Y1036" i="3"/>
  <c r="CX1036" i="3"/>
  <c r="DI1036" i="3" s="1"/>
  <c r="CY1036" i="3"/>
  <c r="CZ1036" i="3"/>
  <c r="DB1036" i="3" s="1"/>
  <c r="DA1036" i="3"/>
  <c r="DC1036" i="3"/>
  <c r="DF1036" i="3"/>
  <c r="DJ1036" i="3" s="1"/>
  <c r="DH1036" i="3"/>
  <c r="A1037" i="3"/>
  <c r="Y1037" i="3"/>
  <c r="CX1037" i="3" s="1"/>
  <c r="DH1037" i="3" s="1"/>
  <c r="CY1037" i="3"/>
  <c r="CZ1037" i="3"/>
  <c r="DB1037" i="3" s="1"/>
  <c r="DA1037" i="3"/>
  <c r="DC1037" i="3"/>
  <c r="DF1037" i="3"/>
  <c r="DJ1037" i="3" s="1"/>
  <c r="DG1037" i="3"/>
  <c r="DI1037" i="3"/>
  <c r="A1038" i="3"/>
  <c r="Y1038" i="3"/>
  <c r="CX1038" i="3"/>
  <c r="DG1038" i="3" s="1"/>
  <c r="CY1038" i="3"/>
  <c r="CZ1038" i="3"/>
  <c r="DA1038" i="3"/>
  <c r="DB1038" i="3"/>
  <c r="DC1038" i="3"/>
  <c r="DI1038" i="3"/>
  <c r="A1039" i="3"/>
  <c r="Y1039" i="3"/>
  <c r="CX1039" i="3"/>
  <c r="DF1039" i="3" s="1"/>
  <c r="CY1039" i="3"/>
  <c r="CZ1039" i="3"/>
  <c r="DA1039" i="3"/>
  <c r="DB1039" i="3"/>
  <c r="DC1039" i="3"/>
  <c r="DI1039" i="3"/>
  <c r="DJ1039" i="3" s="1"/>
  <c r="A1040" i="3"/>
  <c r="Y1040" i="3"/>
  <c r="CX1040" i="3"/>
  <c r="DI1040" i="3" s="1"/>
  <c r="CY1040" i="3"/>
  <c r="CZ1040" i="3"/>
  <c r="DA1040" i="3"/>
  <c r="DB1040" i="3"/>
  <c r="DC1040" i="3"/>
  <c r="DH1040" i="3"/>
  <c r="A1041" i="3"/>
  <c r="Y1041" i="3"/>
  <c r="CX1041" i="3" s="1"/>
  <c r="DH1041" i="3" s="1"/>
  <c r="CY1041" i="3"/>
  <c r="CZ1041" i="3"/>
  <c r="DB1041" i="3" s="1"/>
  <c r="DA1041" i="3"/>
  <c r="DC1041" i="3"/>
  <c r="DF1041" i="3"/>
  <c r="DJ1041" i="3" s="1"/>
  <c r="DG1041" i="3"/>
  <c r="A1042" i="3"/>
  <c r="Y1042" i="3"/>
  <c r="CX1042" i="3"/>
  <c r="DG1042" i="3" s="1"/>
  <c r="CY1042" i="3"/>
  <c r="CZ1042" i="3"/>
  <c r="DB1042" i="3" s="1"/>
  <c r="DA1042" i="3"/>
  <c r="DC1042" i="3"/>
  <c r="DF1042" i="3"/>
  <c r="DJ1042" i="3" s="1"/>
  <c r="DH1042" i="3"/>
  <c r="DI1042" i="3"/>
  <c r="A1043" i="3"/>
  <c r="Y1043" i="3"/>
  <c r="CX1043" i="3" s="1"/>
  <c r="CY1043" i="3"/>
  <c r="CZ1043" i="3"/>
  <c r="DA1043" i="3"/>
  <c r="DB1043" i="3"/>
  <c r="DC1043" i="3"/>
  <c r="A1044" i="3"/>
  <c r="Y1044" i="3"/>
  <c r="CX1044" i="3"/>
  <c r="DI1044" i="3" s="1"/>
  <c r="CY1044" i="3"/>
  <c r="CZ1044" i="3"/>
  <c r="DA1044" i="3"/>
  <c r="DB1044" i="3"/>
  <c r="DC1044" i="3"/>
  <c r="DH1044" i="3"/>
  <c r="A1045" i="3"/>
  <c r="Y1045" i="3"/>
  <c r="CX1045" i="3" s="1"/>
  <c r="DH1045" i="3" s="1"/>
  <c r="CY1045" i="3"/>
  <c r="CZ1045" i="3"/>
  <c r="DB1045" i="3" s="1"/>
  <c r="DA1045" i="3"/>
  <c r="DC1045" i="3"/>
  <c r="DF1045" i="3"/>
  <c r="DJ1045" i="3" s="1"/>
  <c r="A1046" i="3"/>
  <c r="Y1046" i="3"/>
  <c r="CX1046" i="3"/>
  <c r="DG1046" i="3" s="1"/>
  <c r="CY1046" i="3"/>
  <c r="CZ1046" i="3"/>
  <c r="DB1046" i="3" s="1"/>
  <c r="DA1046" i="3"/>
  <c r="DC1046" i="3"/>
  <c r="DF1046" i="3"/>
  <c r="DJ1046" i="3" s="1"/>
  <c r="DI1046" i="3"/>
  <c r="A1047" i="3"/>
  <c r="Y1047" i="3"/>
  <c r="CX1047" i="3"/>
  <c r="DF1047" i="3" s="1"/>
  <c r="DJ1047" i="3" s="1"/>
  <c r="CY1047" i="3"/>
  <c r="CZ1047" i="3"/>
  <c r="DA1047" i="3"/>
  <c r="DB1047" i="3"/>
  <c r="DC1047" i="3"/>
  <c r="DG1047" i="3"/>
  <c r="DI1047" i="3"/>
  <c r="A1048" i="3"/>
  <c r="Y1048" i="3"/>
  <c r="CX1048" i="3" s="1"/>
  <c r="CY1048" i="3"/>
  <c r="CZ1048" i="3"/>
  <c r="DB1048" i="3" s="1"/>
  <c r="DA1048" i="3"/>
  <c r="DC1048" i="3"/>
  <c r="A1049" i="3"/>
  <c r="Y1049" i="3"/>
  <c r="CX1049" i="3" s="1"/>
  <c r="DH1049" i="3" s="1"/>
  <c r="CY1049" i="3"/>
  <c r="CZ1049" i="3"/>
  <c r="DB1049" i="3" s="1"/>
  <c r="DA1049" i="3"/>
  <c r="DC1049" i="3"/>
  <c r="A1050" i="3"/>
  <c r="Y1050" i="3"/>
  <c r="CX1050" i="3"/>
  <c r="DG1050" i="3" s="1"/>
  <c r="CY1050" i="3"/>
  <c r="CZ1050" i="3"/>
  <c r="DA1050" i="3"/>
  <c r="DB1050" i="3"/>
  <c r="DC1050" i="3"/>
  <c r="DI1050" i="3"/>
  <c r="DJ1050" i="3"/>
  <c r="A1051" i="3"/>
  <c r="Y1051" i="3"/>
  <c r="CX1051" i="3"/>
  <c r="DF1051" i="3" s="1"/>
  <c r="CY1051" i="3"/>
  <c r="CZ1051" i="3"/>
  <c r="DA1051" i="3"/>
  <c r="DB1051" i="3"/>
  <c r="DC1051" i="3"/>
  <c r="DI1051" i="3"/>
  <c r="A1052" i="3"/>
  <c r="Y1052" i="3"/>
  <c r="CX1052" i="3"/>
  <c r="DI1052" i="3" s="1"/>
  <c r="CY1052" i="3"/>
  <c r="CZ1052" i="3"/>
  <c r="DB1052" i="3" s="1"/>
  <c r="DA1052" i="3"/>
  <c r="DC1052" i="3"/>
  <c r="DF1052" i="3"/>
  <c r="DJ1052" i="3" s="1"/>
  <c r="DH1052" i="3"/>
  <c r="A1053" i="3"/>
  <c r="Y1053" i="3"/>
  <c r="CX1053" i="3" s="1"/>
  <c r="DH1053" i="3" s="1"/>
  <c r="CY1053" i="3"/>
  <c r="CZ1053" i="3"/>
  <c r="DB1053" i="3" s="1"/>
  <c r="DA1053" i="3"/>
  <c r="DC1053" i="3"/>
  <c r="DF1053" i="3"/>
  <c r="DJ1053" i="3" s="1"/>
  <c r="DG1053" i="3"/>
  <c r="DI1053" i="3"/>
  <c r="A1054" i="3"/>
  <c r="Y1054" i="3"/>
  <c r="CX1054" i="3"/>
  <c r="DG1054" i="3" s="1"/>
  <c r="CY1054" i="3"/>
  <c r="CZ1054" i="3"/>
  <c r="DA1054" i="3"/>
  <c r="DB1054" i="3"/>
  <c r="DC1054" i="3"/>
  <c r="DI1054" i="3"/>
  <c r="A1055" i="3"/>
  <c r="Y1055" i="3"/>
  <c r="CX1055" i="3"/>
  <c r="DF1055" i="3" s="1"/>
  <c r="DJ1055" i="3" s="1"/>
  <c r="CY1055" i="3"/>
  <c r="CZ1055" i="3"/>
  <c r="DA1055" i="3"/>
  <c r="DB1055" i="3"/>
  <c r="DC1055" i="3"/>
  <c r="DI1055" i="3"/>
  <c r="A1056" i="3"/>
  <c r="Y1056" i="3"/>
  <c r="CX1056" i="3"/>
  <c r="DI1056" i="3" s="1"/>
  <c r="CY1056" i="3"/>
  <c r="CZ1056" i="3"/>
  <c r="DA1056" i="3"/>
  <c r="DB1056" i="3"/>
  <c r="DC1056" i="3"/>
  <c r="DH1056" i="3"/>
  <c r="A1057" i="3"/>
  <c r="Y1057" i="3"/>
  <c r="CX1057" i="3" s="1"/>
  <c r="DH1057" i="3" s="1"/>
  <c r="CY1057" i="3"/>
  <c r="CZ1057" i="3"/>
  <c r="DB1057" i="3" s="1"/>
  <c r="DA1057" i="3"/>
  <c r="DC1057" i="3"/>
  <c r="DF1057" i="3"/>
  <c r="DJ1057" i="3" s="1"/>
  <c r="DG1057" i="3"/>
  <c r="A1058" i="3"/>
  <c r="Y1058" i="3"/>
  <c r="CX1058" i="3"/>
  <c r="DG1058" i="3" s="1"/>
  <c r="CY1058" i="3"/>
  <c r="CZ1058" i="3"/>
  <c r="DB1058" i="3" s="1"/>
  <c r="DA1058" i="3"/>
  <c r="DC1058" i="3"/>
  <c r="DF1058" i="3"/>
  <c r="DJ1058" i="3" s="1"/>
  <c r="DH1058" i="3"/>
  <c r="DI1058" i="3"/>
  <c r="A1059" i="3"/>
  <c r="Y1059" i="3"/>
  <c r="CX1059" i="3" s="1"/>
  <c r="CY1059" i="3"/>
  <c r="CZ1059" i="3"/>
  <c r="DA1059" i="3"/>
  <c r="DB1059" i="3"/>
  <c r="DC1059" i="3"/>
  <c r="A1060" i="3"/>
  <c r="Y1060" i="3"/>
  <c r="CX1060" i="3"/>
  <c r="DI1060" i="3" s="1"/>
  <c r="CY1060" i="3"/>
  <c r="CZ1060" i="3"/>
  <c r="DA1060" i="3"/>
  <c r="DB1060" i="3"/>
  <c r="DC1060" i="3"/>
  <c r="DH1060" i="3"/>
  <c r="A1061" i="3"/>
  <c r="Y1061" i="3"/>
  <c r="CX1061" i="3" s="1"/>
  <c r="DH1061" i="3" s="1"/>
  <c r="CY1061" i="3"/>
  <c r="CZ1061" i="3"/>
  <c r="DB1061" i="3" s="1"/>
  <c r="DA1061" i="3"/>
  <c r="DC1061" i="3"/>
  <c r="DF1061" i="3"/>
  <c r="A1062" i="3"/>
  <c r="Y1062" i="3"/>
  <c r="CX1062" i="3"/>
  <c r="DG1062" i="3" s="1"/>
  <c r="CY1062" i="3"/>
  <c r="CZ1062" i="3"/>
  <c r="DB1062" i="3" s="1"/>
  <c r="DA1062" i="3"/>
  <c r="DC1062" i="3"/>
  <c r="DF1062" i="3"/>
  <c r="DJ1062" i="3" s="1"/>
  <c r="DI1062" i="3"/>
  <c r="A1063" i="3"/>
  <c r="Y1063" i="3"/>
  <c r="CX1063" i="3"/>
  <c r="DF1063" i="3" s="1"/>
  <c r="DJ1063" i="3" s="1"/>
  <c r="CY1063" i="3"/>
  <c r="CZ1063" i="3"/>
  <c r="DA1063" i="3"/>
  <c r="DB1063" i="3"/>
  <c r="DC1063" i="3"/>
  <c r="DG1063" i="3"/>
  <c r="DI1063" i="3"/>
  <c r="A1064" i="3"/>
  <c r="Y1064" i="3"/>
  <c r="CX1064" i="3" s="1"/>
  <c r="CY1064" i="3"/>
  <c r="CZ1064" i="3"/>
  <c r="DB1064" i="3" s="1"/>
  <c r="DA1064" i="3"/>
  <c r="DC1064" i="3"/>
  <c r="A1065" i="3"/>
  <c r="Y1065" i="3"/>
  <c r="CX1065" i="3" s="1"/>
  <c r="DH1065" i="3" s="1"/>
  <c r="CY1065" i="3"/>
  <c r="CZ1065" i="3"/>
  <c r="DB1065" i="3" s="1"/>
  <c r="DA1065" i="3"/>
  <c r="DC1065" i="3"/>
  <c r="A1066" i="3"/>
  <c r="Y1066" i="3"/>
  <c r="CX1066" i="3"/>
  <c r="DG1066" i="3" s="1"/>
  <c r="CY1066" i="3"/>
  <c r="CZ1066" i="3"/>
  <c r="DA1066" i="3"/>
  <c r="DB1066" i="3"/>
  <c r="DC1066" i="3"/>
  <c r="DI1066" i="3"/>
  <c r="A1067" i="3"/>
  <c r="Y1067" i="3"/>
  <c r="CX1067" i="3"/>
  <c r="DF1067" i="3" s="1"/>
  <c r="DJ1067" i="3" s="1"/>
  <c r="CY1067" i="3"/>
  <c r="CZ1067" i="3"/>
  <c r="DA1067" i="3"/>
  <c r="DB1067" i="3"/>
  <c r="DC1067" i="3"/>
  <c r="DI1067" i="3"/>
  <c r="A1068" i="3"/>
  <c r="Y1068" i="3"/>
  <c r="CX1068" i="3"/>
  <c r="DI1068" i="3" s="1"/>
  <c r="CY1068" i="3"/>
  <c r="CZ1068" i="3"/>
  <c r="DB1068" i="3" s="1"/>
  <c r="DA1068" i="3"/>
  <c r="DC1068" i="3"/>
  <c r="DF1068" i="3"/>
  <c r="DJ1068" i="3" s="1"/>
  <c r="DH1068" i="3"/>
  <c r="A1069" i="3"/>
  <c r="Y1069" i="3"/>
  <c r="CX1069" i="3" s="1"/>
  <c r="DH1069" i="3" s="1"/>
  <c r="CY1069" i="3"/>
  <c r="CZ1069" i="3"/>
  <c r="DB1069" i="3" s="1"/>
  <c r="DA1069" i="3"/>
  <c r="DC1069" i="3"/>
  <c r="DF1069" i="3"/>
  <c r="DG1069" i="3"/>
  <c r="DJ1069" i="3" s="1"/>
  <c r="DI1069" i="3"/>
  <c r="A1070" i="3"/>
  <c r="Y1070" i="3"/>
  <c r="CX1070" i="3"/>
  <c r="DG1070" i="3" s="1"/>
  <c r="DJ1070" i="3" s="1"/>
  <c r="CY1070" i="3"/>
  <c r="CZ1070" i="3"/>
  <c r="DA1070" i="3"/>
  <c r="DB1070" i="3"/>
  <c r="DC1070" i="3"/>
  <c r="DI1070" i="3"/>
  <c r="A1071" i="3"/>
  <c r="Y1071" i="3"/>
  <c r="CX1071" i="3"/>
  <c r="DF1071" i="3" s="1"/>
  <c r="CY1071" i="3"/>
  <c r="CZ1071" i="3"/>
  <c r="DA1071" i="3"/>
  <c r="DB1071" i="3"/>
  <c r="DC1071" i="3"/>
  <c r="DI1071" i="3"/>
  <c r="A1072" i="3"/>
  <c r="Y1072" i="3"/>
  <c r="CX1072" i="3"/>
  <c r="DF1072" i="3" s="1"/>
  <c r="CY1072" i="3"/>
  <c r="CZ1072" i="3"/>
  <c r="DA1072" i="3"/>
  <c r="DB1072" i="3"/>
  <c r="DC1072" i="3"/>
  <c r="DH1072" i="3"/>
  <c r="A1073" i="3"/>
  <c r="Y1073" i="3"/>
  <c r="CX1073" i="3" s="1"/>
  <c r="CY1073" i="3"/>
  <c r="CZ1073" i="3"/>
  <c r="DB1073" i="3" s="1"/>
  <c r="DA1073" i="3"/>
  <c r="DC1073" i="3"/>
  <c r="A1074" i="3"/>
  <c r="Y1074" i="3"/>
  <c r="CX1074" i="3"/>
  <c r="DG1074" i="3" s="1"/>
  <c r="DJ1074" i="3" s="1"/>
  <c r="CY1074" i="3"/>
  <c r="CZ1074" i="3"/>
  <c r="DB1074" i="3" s="1"/>
  <c r="DA1074" i="3"/>
  <c r="DC1074" i="3"/>
  <c r="DF1074" i="3"/>
  <c r="DH1074" i="3"/>
  <c r="DI1074" i="3"/>
  <c r="A1075" i="3"/>
  <c r="Y1075" i="3"/>
  <c r="CX1075" i="3"/>
  <c r="DG1075" i="3" s="1"/>
  <c r="CY1075" i="3"/>
  <c r="CZ1075" i="3"/>
  <c r="DA1075" i="3"/>
  <c r="DB1075" i="3"/>
  <c r="DC1075" i="3"/>
  <c r="DH1075" i="3"/>
  <c r="DI1075" i="3"/>
  <c r="DJ1075" i="3" s="1"/>
  <c r="A1076" i="3"/>
  <c r="Y1076" i="3"/>
  <c r="CX1076" i="3"/>
  <c r="DF1076" i="3" s="1"/>
  <c r="CY1076" i="3"/>
  <c r="CZ1076" i="3"/>
  <c r="DA1076" i="3"/>
  <c r="DB1076" i="3"/>
  <c r="DC1076" i="3"/>
  <c r="DH1076" i="3"/>
  <c r="A1077" i="3"/>
  <c r="Y1077" i="3"/>
  <c r="CX1077" i="3" s="1"/>
  <c r="CY1077" i="3"/>
  <c r="CZ1077" i="3"/>
  <c r="DB1077" i="3" s="1"/>
  <c r="DA1077" i="3"/>
  <c r="DC1077" i="3"/>
  <c r="A1078" i="3"/>
  <c r="Y1078" i="3"/>
  <c r="CX1078" i="3"/>
  <c r="DG1078" i="3" s="1"/>
  <c r="CY1078" i="3"/>
  <c r="CZ1078" i="3"/>
  <c r="DB1078" i="3" s="1"/>
  <c r="DA1078" i="3"/>
  <c r="DC1078" i="3"/>
  <c r="DF1078" i="3"/>
  <c r="DH1078" i="3"/>
  <c r="DI1078" i="3"/>
  <c r="DJ1078" i="3"/>
  <c r="A1079" i="3"/>
  <c r="Y1079" i="3"/>
  <c r="CX1079" i="3"/>
  <c r="DG1079" i="3" s="1"/>
  <c r="CY1079" i="3"/>
  <c r="CZ1079" i="3"/>
  <c r="DA1079" i="3"/>
  <c r="DB1079" i="3"/>
  <c r="DC1079" i="3"/>
  <c r="DH1079" i="3"/>
  <c r="DI1079" i="3"/>
  <c r="A1080" i="3"/>
  <c r="Y1080" i="3"/>
  <c r="CX1080" i="3"/>
  <c r="DF1080" i="3" s="1"/>
  <c r="CY1080" i="3"/>
  <c r="CZ1080" i="3"/>
  <c r="DA1080" i="3"/>
  <c r="DB1080" i="3"/>
  <c r="DC1080" i="3"/>
  <c r="DH1080" i="3"/>
  <c r="A1081" i="3"/>
  <c r="Y1081" i="3"/>
  <c r="CX1081" i="3" s="1"/>
  <c r="CY1081" i="3"/>
  <c r="CZ1081" i="3"/>
  <c r="DB1081" i="3" s="1"/>
  <c r="DA1081" i="3"/>
  <c r="DC1081" i="3"/>
  <c r="A1082" i="3"/>
  <c r="Y1082" i="3"/>
  <c r="CX1082" i="3"/>
  <c r="DG1082" i="3" s="1"/>
  <c r="CY1082" i="3"/>
  <c r="CZ1082" i="3"/>
  <c r="DB1082" i="3" s="1"/>
  <c r="DA1082" i="3"/>
  <c r="DC1082" i="3"/>
  <c r="DF1082" i="3"/>
  <c r="DH1082" i="3"/>
  <c r="DI1082" i="3"/>
  <c r="DJ1082" i="3"/>
  <c r="A1083" i="3"/>
  <c r="Y1083" i="3"/>
  <c r="CX1083" i="3"/>
  <c r="DG1083" i="3" s="1"/>
  <c r="CY1083" i="3"/>
  <c r="CZ1083" i="3"/>
  <c r="DA1083" i="3"/>
  <c r="DB1083" i="3"/>
  <c r="DC1083" i="3"/>
  <c r="DH1083" i="3"/>
  <c r="DI1083" i="3"/>
  <c r="A1084" i="3"/>
  <c r="Y1084" i="3"/>
  <c r="CX1084" i="3"/>
  <c r="DF1084" i="3" s="1"/>
  <c r="DJ1084" i="3" s="1"/>
  <c r="CY1084" i="3"/>
  <c r="CZ1084" i="3"/>
  <c r="DA1084" i="3"/>
  <c r="DB1084" i="3"/>
  <c r="DC1084" i="3"/>
  <c r="DH1084" i="3"/>
  <c r="A1085" i="3"/>
  <c r="Y1085" i="3"/>
  <c r="CX1085" i="3" s="1"/>
  <c r="CY1085" i="3"/>
  <c r="CZ1085" i="3"/>
  <c r="DB1085" i="3" s="1"/>
  <c r="DA1085" i="3"/>
  <c r="DC1085" i="3"/>
  <c r="A1086" i="3"/>
  <c r="Y1086" i="3"/>
  <c r="CX1086" i="3"/>
  <c r="DG1086" i="3" s="1"/>
  <c r="DJ1086" i="3" s="1"/>
  <c r="CY1086" i="3"/>
  <c r="CZ1086" i="3"/>
  <c r="DB1086" i="3" s="1"/>
  <c r="DA1086" i="3"/>
  <c r="DC1086" i="3"/>
  <c r="DF1086" i="3"/>
  <c r="DH1086" i="3"/>
  <c r="DI1086" i="3"/>
  <c r="A1087" i="3"/>
  <c r="Y1087" i="3"/>
  <c r="CX1087" i="3"/>
  <c r="DG1087" i="3" s="1"/>
  <c r="DJ1087" i="3" s="1"/>
  <c r="CY1087" i="3"/>
  <c r="CZ1087" i="3"/>
  <c r="DA1087" i="3"/>
  <c r="DB1087" i="3"/>
  <c r="DC1087" i="3"/>
  <c r="DH1087" i="3"/>
  <c r="DI1087" i="3"/>
  <c r="A1088" i="3"/>
  <c r="Y1088" i="3"/>
  <c r="CX1088" i="3"/>
  <c r="DF1088" i="3" s="1"/>
  <c r="DJ1088" i="3" s="1"/>
  <c r="CY1088" i="3"/>
  <c r="CZ1088" i="3"/>
  <c r="DA1088" i="3"/>
  <c r="DB1088" i="3"/>
  <c r="DC1088" i="3"/>
  <c r="DH1088" i="3"/>
  <c r="A1089" i="3"/>
  <c r="Y1089" i="3"/>
  <c r="CX1089" i="3" s="1"/>
  <c r="CY1089" i="3"/>
  <c r="CZ1089" i="3"/>
  <c r="DB1089" i="3" s="1"/>
  <c r="DA1089" i="3"/>
  <c r="DC1089" i="3"/>
  <c r="A1090" i="3"/>
  <c r="Y1090" i="3"/>
  <c r="CX1090" i="3"/>
  <c r="DG1090" i="3" s="1"/>
  <c r="CY1090" i="3"/>
  <c r="CZ1090" i="3"/>
  <c r="DB1090" i="3" s="1"/>
  <c r="DA1090" i="3"/>
  <c r="DC1090" i="3"/>
  <c r="DF1090" i="3"/>
  <c r="DH1090" i="3"/>
  <c r="DI1090" i="3"/>
  <c r="DJ1090" i="3"/>
  <c r="A1091" i="3"/>
  <c r="Y1091" i="3"/>
  <c r="CX1091" i="3"/>
  <c r="DG1091" i="3" s="1"/>
  <c r="CY1091" i="3"/>
  <c r="CZ1091" i="3"/>
  <c r="DA1091" i="3"/>
  <c r="DB1091" i="3"/>
  <c r="DC1091" i="3"/>
  <c r="DH1091" i="3"/>
  <c r="DI1091" i="3"/>
  <c r="A1092" i="3"/>
  <c r="Y1092" i="3"/>
  <c r="CX1092" i="3"/>
  <c r="DF1092" i="3" s="1"/>
  <c r="CY1092" i="3"/>
  <c r="CZ1092" i="3"/>
  <c r="DA1092" i="3"/>
  <c r="DB1092" i="3"/>
  <c r="DC1092" i="3"/>
  <c r="DH1092" i="3"/>
  <c r="A1093" i="3"/>
  <c r="Y1093" i="3"/>
  <c r="CX1093" i="3" s="1"/>
  <c r="CY1093" i="3"/>
  <c r="CZ1093" i="3"/>
  <c r="DB1093" i="3" s="1"/>
  <c r="DA1093" i="3"/>
  <c r="DC1093" i="3"/>
  <c r="A1094" i="3"/>
  <c r="Y1094" i="3"/>
  <c r="CX1094" i="3"/>
  <c r="DG1094" i="3" s="1"/>
  <c r="DJ1094" i="3" s="1"/>
  <c r="CY1094" i="3"/>
  <c r="CZ1094" i="3"/>
  <c r="DB1094" i="3" s="1"/>
  <c r="DA1094" i="3"/>
  <c r="DC1094" i="3"/>
  <c r="DF1094" i="3"/>
  <c r="DH1094" i="3"/>
  <c r="DI1094" i="3"/>
  <c r="A1095" i="3"/>
  <c r="Y1095" i="3"/>
  <c r="CX1095" i="3"/>
  <c r="DG1095" i="3" s="1"/>
  <c r="CY1095" i="3"/>
  <c r="CZ1095" i="3"/>
  <c r="DA1095" i="3"/>
  <c r="DB1095" i="3"/>
  <c r="DC1095" i="3"/>
  <c r="DH1095" i="3"/>
  <c r="DI1095" i="3"/>
  <c r="A1096" i="3"/>
  <c r="Y1096" i="3"/>
  <c r="CX1096" i="3"/>
  <c r="DF1096" i="3" s="1"/>
  <c r="DJ1096" i="3" s="1"/>
  <c r="CY1096" i="3"/>
  <c r="CZ1096" i="3"/>
  <c r="DA1096" i="3"/>
  <c r="DB1096" i="3"/>
  <c r="DC1096" i="3"/>
  <c r="DH1096" i="3"/>
  <c r="A1097" i="3"/>
  <c r="Y1097" i="3"/>
  <c r="CX1097" i="3" s="1"/>
  <c r="CY1097" i="3"/>
  <c r="CZ1097" i="3"/>
  <c r="DB1097" i="3" s="1"/>
  <c r="DA1097" i="3"/>
  <c r="DC1097" i="3"/>
  <c r="A1098" i="3"/>
  <c r="Y1098" i="3"/>
  <c r="CX1098" i="3"/>
  <c r="DG1098" i="3" s="1"/>
  <c r="CY1098" i="3"/>
  <c r="CZ1098" i="3"/>
  <c r="DB1098" i="3" s="1"/>
  <c r="DA1098" i="3"/>
  <c r="DC1098" i="3"/>
  <c r="DF1098" i="3"/>
  <c r="DH1098" i="3"/>
  <c r="DI1098" i="3"/>
  <c r="DJ1098" i="3"/>
  <c r="A1099" i="3"/>
  <c r="Y1099" i="3"/>
  <c r="CX1099" i="3"/>
  <c r="DG1099" i="3" s="1"/>
  <c r="CY1099" i="3"/>
  <c r="CZ1099" i="3"/>
  <c r="DA1099" i="3"/>
  <c r="DB1099" i="3"/>
  <c r="DC1099" i="3"/>
  <c r="DH1099" i="3"/>
  <c r="DI1099" i="3"/>
  <c r="DJ1099" i="3" s="1"/>
  <c r="A1100" i="3"/>
  <c r="Y1100" i="3"/>
  <c r="CX1100" i="3"/>
  <c r="DF1100" i="3" s="1"/>
  <c r="CY1100" i="3"/>
  <c r="CZ1100" i="3"/>
  <c r="DA1100" i="3"/>
  <c r="DB1100" i="3"/>
  <c r="DC1100" i="3"/>
  <c r="DH1100" i="3"/>
  <c r="A1101" i="3"/>
  <c r="Y1101" i="3"/>
  <c r="CX1101" i="3" s="1"/>
  <c r="CY1101" i="3"/>
  <c r="CZ1101" i="3"/>
  <c r="DB1101" i="3" s="1"/>
  <c r="DA1101" i="3"/>
  <c r="DC1101" i="3"/>
  <c r="A1102" i="3"/>
  <c r="Y1102" i="3"/>
  <c r="CX1102" i="3"/>
  <c r="DG1102" i="3" s="1"/>
  <c r="CY1102" i="3"/>
  <c r="CZ1102" i="3"/>
  <c r="DB1102" i="3" s="1"/>
  <c r="DA1102" i="3"/>
  <c r="DC1102" i="3"/>
  <c r="DF1102" i="3"/>
  <c r="DH1102" i="3"/>
  <c r="DI1102" i="3"/>
  <c r="DJ1102" i="3"/>
  <c r="A1103" i="3"/>
  <c r="Y1103" i="3"/>
  <c r="CX1103" i="3"/>
  <c r="DG1103" i="3" s="1"/>
  <c r="CY1103" i="3"/>
  <c r="CZ1103" i="3"/>
  <c r="DA1103" i="3"/>
  <c r="DB1103" i="3"/>
  <c r="DC1103" i="3"/>
  <c r="DH1103" i="3"/>
  <c r="DI1103" i="3"/>
  <c r="A1104" i="3"/>
  <c r="Y1104" i="3"/>
  <c r="CX1104" i="3"/>
  <c r="DF1104" i="3" s="1"/>
  <c r="DJ1104" i="3" s="1"/>
  <c r="CY1104" i="3"/>
  <c r="CZ1104" i="3"/>
  <c r="DA1104" i="3"/>
  <c r="DB1104" i="3"/>
  <c r="DC1104" i="3"/>
  <c r="DH1104" i="3"/>
  <c r="A1105" i="3"/>
  <c r="Y1105" i="3"/>
  <c r="CX1105" i="3" s="1"/>
  <c r="CY1105" i="3"/>
  <c r="CZ1105" i="3"/>
  <c r="DB1105" i="3" s="1"/>
  <c r="DA1105" i="3"/>
  <c r="DC1105" i="3"/>
  <c r="A1106" i="3"/>
  <c r="Y1106" i="3"/>
  <c r="CX1106" i="3"/>
  <c r="DG1106" i="3" s="1"/>
  <c r="CY1106" i="3"/>
  <c r="CZ1106" i="3"/>
  <c r="DB1106" i="3" s="1"/>
  <c r="DA1106" i="3"/>
  <c r="DC1106" i="3"/>
  <c r="DF1106" i="3"/>
  <c r="DH1106" i="3"/>
  <c r="DI1106" i="3"/>
  <c r="DJ1106" i="3"/>
  <c r="A1107" i="3"/>
  <c r="Y1107" i="3"/>
  <c r="CX1107" i="3"/>
  <c r="DG1107" i="3" s="1"/>
  <c r="CY1107" i="3"/>
  <c r="CZ1107" i="3"/>
  <c r="DA1107" i="3"/>
  <c r="DB1107" i="3"/>
  <c r="DC1107" i="3"/>
  <c r="DH1107" i="3"/>
  <c r="DI1107" i="3"/>
  <c r="A1108" i="3"/>
  <c r="Y1108" i="3"/>
  <c r="CX1108" i="3"/>
  <c r="DF1108" i="3" s="1"/>
  <c r="DJ1108" i="3" s="1"/>
  <c r="CY1108" i="3"/>
  <c r="CZ1108" i="3"/>
  <c r="DA1108" i="3"/>
  <c r="DB1108" i="3"/>
  <c r="DC1108" i="3"/>
  <c r="DH1108" i="3"/>
  <c r="A1109" i="3"/>
  <c r="Y1109" i="3"/>
  <c r="CX1109" i="3" s="1"/>
  <c r="CY1109" i="3"/>
  <c r="CZ1109" i="3"/>
  <c r="DB1109" i="3" s="1"/>
  <c r="DA1109" i="3"/>
  <c r="DC1109" i="3"/>
  <c r="A1110" i="3"/>
  <c r="Y1110" i="3"/>
  <c r="CX1110" i="3"/>
  <c r="DG1110" i="3" s="1"/>
  <c r="CY1110" i="3"/>
  <c r="CZ1110" i="3"/>
  <c r="DB1110" i="3" s="1"/>
  <c r="DA1110" i="3"/>
  <c r="DC1110" i="3"/>
  <c r="DF1110" i="3"/>
  <c r="DH1110" i="3"/>
  <c r="DI1110" i="3"/>
  <c r="DJ1110" i="3"/>
  <c r="A1111" i="3"/>
  <c r="Y1111" i="3"/>
  <c r="CX1111" i="3"/>
  <c r="DG1111" i="3" s="1"/>
  <c r="CY1111" i="3"/>
  <c r="CZ1111" i="3"/>
  <c r="DA1111" i="3"/>
  <c r="DB1111" i="3"/>
  <c r="DC1111" i="3"/>
  <c r="DH1111" i="3"/>
  <c r="DI1111" i="3"/>
  <c r="DJ1111" i="3" s="1"/>
  <c r="A1112" i="3"/>
  <c r="Y1112" i="3"/>
  <c r="CX1112" i="3"/>
  <c r="DF1112" i="3" s="1"/>
  <c r="DJ1112" i="3" s="1"/>
  <c r="CY1112" i="3"/>
  <c r="CZ1112" i="3"/>
  <c r="DA1112" i="3"/>
  <c r="DB1112" i="3"/>
  <c r="DC1112" i="3"/>
  <c r="DH1112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D24" i="1"/>
  <c r="E26" i="1"/>
  <c r="Z26" i="1"/>
  <c r="AA26" i="1"/>
  <c r="AM26" i="1"/>
  <c r="AN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R26" i="1"/>
  <c r="DS26" i="1"/>
  <c r="EE26" i="1"/>
  <c r="EF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C28" i="1"/>
  <c r="D28" i="1"/>
  <c r="P28" i="1"/>
  <c r="S28" i="1"/>
  <c r="AC28" i="1"/>
  <c r="AE28" i="1"/>
  <c r="AD28" i="1" s="1"/>
  <c r="AF28" i="1"/>
  <c r="AG28" i="1"/>
  <c r="AH28" i="1"/>
  <c r="AI28" i="1"/>
  <c r="CW28" i="1" s="1"/>
  <c r="V28" i="1" s="1"/>
  <c r="AI31" i="1" s="1"/>
  <c r="AJ28" i="1"/>
  <c r="CQ28" i="1"/>
  <c r="CR28" i="1"/>
  <c r="CT28" i="1"/>
  <c r="CU28" i="1"/>
  <c r="T28" i="1" s="1"/>
  <c r="AG31" i="1" s="1"/>
  <c r="CV28" i="1"/>
  <c r="U28" i="1" s="1"/>
  <c r="CX28" i="1"/>
  <c r="W28" i="1" s="1"/>
  <c r="AJ31" i="1" s="1"/>
  <c r="CY28" i="1"/>
  <c r="X28" i="1" s="1"/>
  <c r="AK31" i="1" s="1"/>
  <c r="CZ28" i="1"/>
  <c r="Y28" i="1" s="1"/>
  <c r="FR28" i="1"/>
  <c r="GL28" i="1"/>
  <c r="GO28" i="1"/>
  <c r="GP28" i="1"/>
  <c r="GV28" i="1"/>
  <c r="HC28" i="1" s="1"/>
  <c r="GX28" i="1" s="1"/>
  <c r="CJ31" i="1" s="1"/>
  <c r="C29" i="1"/>
  <c r="D29" i="1"/>
  <c r="P29" i="1"/>
  <c r="R29" i="1"/>
  <c r="GK29" i="1" s="1"/>
  <c r="AC29" i="1"/>
  <c r="AE29" i="1"/>
  <c r="AD29" i="1" s="1"/>
  <c r="AB29" i="1" s="1"/>
  <c r="AF29" i="1"/>
  <c r="S29" i="1" s="1"/>
  <c r="AG29" i="1"/>
  <c r="AH29" i="1"/>
  <c r="AI29" i="1"/>
  <c r="AJ29" i="1"/>
  <c r="CX29" i="1" s="1"/>
  <c r="W29" i="1" s="1"/>
  <c r="CQ29" i="1"/>
  <c r="CR29" i="1"/>
  <c r="CS29" i="1"/>
  <c r="CU29" i="1"/>
  <c r="T29" i="1" s="1"/>
  <c r="DY31" i="1" s="1"/>
  <c r="CV29" i="1"/>
  <c r="U29" i="1" s="1"/>
  <c r="DZ31" i="1" s="1"/>
  <c r="CW29" i="1"/>
  <c r="V29" i="1" s="1"/>
  <c r="EA31" i="1" s="1"/>
  <c r="EA26" i="1" s="1"/>
  <c r="FR29" i="1"/>
  <c r="GL29" i="1"/>
  <c r="GO29" i="1"/>
  <c r="GP29" i="1"/>
  <c r="GV29" i="1"/>
  <c r="HC29" i="1" s="1"/>
  <c r="GX29" i="1" s="1"/>
  <c r="GB31" i="1" s="1"/>
  <c r="B31" i="1"/>
  <c r="B26" i="1" s="1"/>
  <c r="C31" i="1"/>
  <c r="C26" i="1" s="1"/>
  <c r="D31" i="1"/>
  <c r="D26" i="1" s="1"/>
  <c r="F31" i="1"/>
  <c r="F26" i="1" s="1"/>
  <c r="G31" i="1"/>
  <c r="G26" i="1" s="1"/>
  <c r="AC31" i="1"/>
  <c r="AC26" i="1" s="1"/>
  <c r="AF31" i="1"/>
  <c r="S31" i="1" s="1"/>
  <c r="S26" i="1" s="1"/>
  <c r="AH31" i="1"/>
  <c r="AL31" i="1"/>
  <c r="AZ31" i="1"/>
  <c r="AZ26" i="1" s="1"/>
  <c r="BX31" i="1"/>
  <c r="BX26" i="1" s="1"/>
  <c r="BY31" i="1"/>
  <c r="BY26" i="1" s="1"/>
  <c r="BZ31" i="1"/>
  <c r="CG31" i="1" s="1"/>
  <c r="CC31" i="1"/>
  <c r="CC26" i="1" s="1"/>
  <c r="CD31" i="1"/>
  <c r="CD26" i="1" s="1"/>
  <c r="CE31" i="1"/>
  <c r="CE26" i="1" s="1"/>
  <c r="CH31" i="1"/>
  <c r="CH26" i="1" s="1"/>
  <c r="CI31" i="1"/>
  <c r="CI26" i="1" s="1"/>
  <c r="CK31" i="1"/>
  <c r="CK26" i="1" s="1"/>
  <c r="CL31" i="1"/>
  <c r="CL26" i="1" s="1"/>
  <c r="CM31" i="1"/>
  <c r="CM26" i="1" s="1"/>
  <c r="DH31" i="1"/>
  <c r="DH26" i="1" s="1"/>
  <c r="DJ31" i="1"/>
  <c r="DJ26" i="1" s="1"/>
  <c r="DN31" i="1"/>
  <c r="DN26" i="1" s="1"/>
  <c r="DU31" i="1"/>
  <c r="DU26" i="1" s="1"/>
  <c r="DW31" i="1"/>
  <c r="DW26" i="1" s="1"/>
  <c r="DX31" i="1"/>
  <c r="EB31" i="1"/>
  <c r="EV31" i="1"/>
  <c r="EV26" i="1" s="1"/>
  <c r="FP31" i="1"/>
  <c r="FQ31" i="1"/>
  <c r="FQ26" i="1" s="1"/>
  <c r="FR31" i="1"/>
  <c r="FR26" i="1" s="1"/>
  <c r="FU31" i="1"/>
  <c r="FU26" i="1" s="1"/>
  <c r="FV31" i="1"/>
  <c r="FV26" i="1" s="1"/>
  <c r="FY31" i="1"/>
  <c r="FY26" i="1" s="1"/>
  <c r="GC31" i="1"/>
  <c r="GC26" i="1" s="1"/>
  <c r="GD31" i="1"/>
  <c r="GD26" i="1" s="1"/>
  <c r="GE31" i="1"/>
  <c r="GE26" i="1" s="1"/>
  <c r="P34" i="1"/>
  <c r="F42" i="1"/>
  <c r="P45" i="1"/>
  <c r="F46" i="1"/>
  <c r="D61" i="1"/>
  <c r="E63" i="1"/>
  <c r="Z63" i="1"/>
  <c r="AA63" i="1"/>
  <c r="AM63" i="1"/>
  <c r="AN63" i="1"/>
  <c r="BE63" i="1"/>
  <c r="BF63" i="1"/>
  <c r="BG63" i="1"/>
  <c r="BH63" i="1"/>
  <c r="BI63" i="1"/>
  <c r="BJ63" i="1"/>
  <c r="BK63" i="1"/>
  <c r="BL63" i="1"/>
  <c r="BM63" i="1"/>
  <c r="BN63" i="1"/>
  <c r="BO63" i="1"/>
  <c r="BP63" i="1"/>
  <c r="BQ63" i="1"/>
  <c r="BR63" i="1"/>
  <c r="BS63" i="1"/>
  <c r="BT63" i="1"/>
  <c r="BU63" i="1"/>
  <c r="BV63" i="1"/>
  <c r="BW63" i="1"/>
  <c r="CN63" i="1"/>
  <c r="CO63" i="1"/>
  <c r="CP63" i="1"/>
  <c r="CQ63" i="1"/>
  <c r="CR63" i="1"/>
  <c r="CS63" i="1"/>
  <c r="CT63" i="1"/>
  <c r="CU63" i="1"/>
  <c r="CV63" i="1"/>
  <c r="CW63" i="1"/>
  <c r="CX63" i="1"/>
  <c r="CY63" i="1"/>
  <c r="CZ63" i="1"/>
  <c r="DA63" i="1"/>
  <c r="DB63" i="1"/>
  <c r="DC63" i="1"/>
  <c r="DD63" i="1"/>
  <c r="DE63" i="1"/>
  <c r="DF63" i="1"/>
  <c r="DR63" i="1"/>
  <c r="DS63" i="1"/>
  <c r="EE63" i="1"/>
  <c r="EF63" i="1"/>
  <c r="EW63" i="1"/>
  <c r="EX63" i="1"/>
  <c r="EY63" i="1"/>
  <c r="EZ63" i="1"/>
  <c r="FA63" i="1"/>
  <c r="FB63" i="1"/>
  <c r="FC63" i="1"/>
  <c r="FD63" i="1"/>
  <c r="FE63" i="1"/>
  <c r="FF63" i="1"/>
  <c r="FG63" i="1"/>
  <c r="FH63" i="1"/>
  <c r="FI63" i="1"/>
  <c r="FJ63" i="1"/>
  <c r="FK63" i="1"/>
  <c r="FL63" i="1"/>
  <c r="FM63" i="1"/>
  <c r="FN63" i="1"/>
  <c r="FO63" i="1"/>
  <c r="GF63" i="1"/>
  <c r="GG63" i="1"/>
  <c r="GH63" i="1"/>
  <c r="GI63" i="1"/>
  <c r="GJ63" i="1"/>
  <c r="GK63" i="1"/>
  <c r="GL63" i="1"/>
  <c r="GM63" i="1"/>
  <c r="GN63" i="1"/>
  <c r="GO63" i="1"/>
  <c r="GP63" i="1"/>
  <c r="GQ63" i="1"/>
  <c r="GR63" i="1"/>
  <c r="GS63" i="1"/>
  <c r="GT63" i="1"/>
  <c r="GU63" i="1"/>
  <c r="GV63" i="1"/>
  <c r="GW63" i="1"/>
  <c r="GX63" i="1"/>
  <c r="C65" i="1"/>
  <c r="D65" i="1"/>
  <c r="P65" i="1"/>
  <c r="R65" i="1"/>
  <c r="GK65" i="1" s="1"/>
  <c r="AC65" i="1"/>
  <c r="AE65" i="1"/>
  <c r="AD65" i="1" s="1"/>
  <c r="AB65" i="1" s="1"/>
  <c r="AF65" i="1"/>
  <c r="S65" i="1" s="1"/>
  <c r="AG65" i="1"/>
  <c r="AH65" i="1"/>
  <c r="AI65" i="1"/>
  <c r="AJ65" i="1"/>
  <c r="CX65" i="1" s="1"/>
  <c r="W65" i="1" s="1"/>
  <c r="CQ65" i="1"/>
  <c r="CR65" i="1"/>
  <c r="CS65" i="1"/>
  <c r="CU65" i="1"/>
  <c r="T65" i="1" s="1"/>
  <c r="CV65" i="1"/>
  <c r="U65" i="1" s="1"/>
  <c r="CW65" i="1"/>
  <c r="V65" i="1" s="1"/>
  <c r="FR65" i="1"/>
  <c r="BY86" i="1" s="1"/>
  <c r="GL65" i="1"/>
  <c r="GO65" i="1"/>
  <c r="GP65" i="1"/>
  <c r="GV65" i="1"/>
  <c r="HC65" i="1" s="1"/>
  <c r="GX65" i="1" s="1"/>
  <c r="C66" i="1"/>
  <c r="D66" i="1"/>
  <c r="R66" i="1"/>
  <c r="S66" i="1"/>
  <c r="CZ66" i="1" s="1"/>
  <c r="Y66" i="1" s="1"/>
  <c r="AC66" i="1"/>
  <c r="AE66" i="1"/>
  <c r="Q66" i="1" s="1"/>
  <c r="AF66" i="1"/>
  <c r="AG66" i="1"/>
  <c r="CU66" i="1" s="1"/>
  <c r="T66" i="1" s="1"/>
  <c r="AH66" i="1"/>
  <c r="AI66" i="1"/>
  <c r="AJ66" i="1"/>
  <c r="CR66" i="1"/>
  <c r="CS66" i="1"/>
  <c r="CT66" i="1"/>
  <c r="CV66" i="1"/>
  <c r="U66" i="1" s="1"/>
  <c r="CW66" i="1"/>
  <c r="V66" i="1" s="1"/>
  <c r="CX66" i="1"/>
  <c r="W66" i="1" s="1"/>
  <c r="FR66" i="1"/>
  <c r="GK66" i="1"/>
  <c r="GL66" i="1"/>
  <c r="GO66" i="1"/>
  <c r="GP66" i="1"/>
  <c r="GV66" i="1"/>
  <c r="HC66" i="1"/>
  <c r="GX66" i="1" s="1"/>
  <c r="I67" i="1"/>
  <c r="P67" i="1"/>
  <c r="S67" i="1"/>
  <c r="AC67" i="1"/>
  <c r="AE67" i="1"/>
  <c r="AD67" i="1" s="1"/>
  <c r="AF67" i="1"/>
  <c r="AG67" i="1"/>
  <c r="AH67" i="1"/>
  <c r="AI67" i="1"/>
  <c r="CW67" i="1" s="1"/>
  <c r="V67" i="1" s="1"/>
  <c r="AJ67" i="1"/>
  <c r="CQ67" i="1"/>
  <c r="CR67" i="1"/>
  <c r="CT67" i="1"/>
  <c r="CU67" i="1"/>
  <c r="T67" i="1" s="1"/>
  <c r="CV67" i="1"/>
  <c r="U67" i="1" s="1"/>
  <c r="CX67" i="1"/>
  <c r="W67" i="1" s="1"/>
  <c r="CY67" i="1"/>
  <c r="X67" i="1" s="1"/>
  <c r="CZ67" i="1"/>
  <c r="Y67" i="1" s="1"/>
  <c r="FR67" i="1"/>
  <c r="GL67" i="1"/>
  <c r="GO67" i="1"/>
  <c r="GP67" i="1"/>
  <c r="GV67" i="1"/>
  <c r="HC67" i="1" s="1"/>
  <c r="GX67" i="1" s="1"/>
  <c r="I68" i="1"/>
  <c r="Q68" i="1" s="1"/>
  <c r="R68" i="1"/>
  <c r="S68" i="1"/>
  <c r="CZ68" i="1" s="1"/>
  <c r="Y68" i="1" s="1"/>
  <c r="AC68" i="1"/>
  <c r="AE68" i="1"/>
  <c r="AD68" i="1" s="1"/>
  <c r="AF68" i="1"/>
  <c r="AG68" i="1"/>
  <c r="CU68" i="1" s="1"/>
  <c r="T68" i="1" s="1"/>
  <c r="AH68" i="1"/>
  <c r="AI68" i="1"/>
  <c r="AJ68" i="1"/>
  <c r="CR68" i="1"/>
  <c r="CS68" i="1"/>
  <c r="CT68" i="1"/>
  <c r="CV68" i="1"/>
  <c r="U68" i="1" s="1"/>
  <c r="CW68" i="1"/>
  <c r="V68" i="1" s="1"/>
  <c r="CX68" i="1"/>
  <c r="W68" i="1" s="1"/>
  <c r="FR68" i="1"/>
  <c r="GK68" i="1"/>
  <c r="GL68" i="1"/>
  <c r="GO68" i="1"/>
  <c r="GP68" i="1"/>
  <c r="GV68" i="1"/>
  <c r="HC68" i="1"/>
  <c r="GX68" i="1" s="1"/>
  <c r="C69" i="1"/>
  <c r="D69" i="1"/>
  <c r="P69" i="1"/>
  <c r="R69" i="1"/>
  <c r="S69" i="1"/>
  <c r="CZ69" i="1" s="1"/>
  <c r="Y69" i="1" s="1"/>
  <c r="AC69" i="1"/>
  <c r="AB69" i="1" s="1"/>
  <c r="AD69" i="1"/>
  <c r="AE69" i="1"/>
  <c r="Q69" i="1" s="1"/>
  <c r="AF69" i="1"/>
  <c r="AG69" i="1"/>
  <c r="AH69" i="1"/>
  <c r="CV69" i="1" s="1"/>
  <c r="U69" i="1" s="1"/>
  <c r="AI69" i="1"/>
  <c r="AJ69" i="1"/>
  <c r="CQ69" i="1"/>
  <c r="CR69" i="1"/>
  <c r="CS69" i="1"/>
  <c r="CT69" i="1"/>
  <c r="CU69" i="1"/>
  <c r="T69" i="1" s="1"/>
  <c r="CW69" i="1"/>
  <c r="V69" i="1" s="1"/>
  <c r="CX69" i="1"/>
  <c r="W69" i="1" s="1"/>
  <c r="CY69" i="1"/>
  <c r="X69" i="1" s="1"/>
  <c r="FR69" i="1"/>
  <c r="GK69" i="1"/>
  <c r="GL69" i="1"/>
  <c r="GO69" i="1"/>
  <c r="CC86" i="1" s="1"/>
  <c r="GP69" i="1"/>
  <c r="GV69" i="1"/>
  <c r="HC69" i="1"/>
  <c r="GX69" i="1" s="1"/>
  <c r="C70" i="1"/>
  <c r="D70" i="1"/>
  <c r="P70" i="1"/>
  <c r="S70" i="1"/>
  <c r="AC70" i="1"/>
  <c r="AE70" i="1"/>
  <c r="AD70" i="1" s="1"/>
  <c r="AF70" i="1"/>
  <c r="AG70" i="1"/>
  <c r="AH70" i="1"/>
  <c r="AI70" i="1"/>
  <c r="CW70" i="1" s="1"/>
  <c r="V70" i="1" s="1"/>
  <c r="AJ70" i="1"/>
  <c r="CQ70" i="1"/>
  <c r="CR70" i="1"/>
  <c r="CT70" i="1"/>
  <c r="CU70" i="1"/>
  <c r="T70" i="1" s="1"/>
  <c r="CV70" i="1"/>
  <c r="U70" i="1" s="1"/>
  <c r="CX70" i="1"/>
  <c r="W70" i="1" s="1"/>
  <c r="CY70" i="1"/>
  <c r="X70" i="1" s="1"/>
  <c r="CZ70" i="1"/>
  <c r="Y70" i="1" s="1"/>
  <c r="FR70" i="1"/>
  <c r="GL70" i="1"/>
  <c r="GO70" i="1"/>
  <c r="GP70" i="1"/>
  <c r="GV70" i="1"/>
  <c r="HC70" i="1" s="1"/>
  <c r="GX70" i="1" s="1"/>
  <c r="I71" i="1"/>
  <c r="Q71" i="1" s="1"/>
  <c r="R71" i="1"/>
  <c r="S71" i="1"/>
  <c r="CZ71" i="1" s="1"/>
  <c r="Y71" i="1" s="1"/>
  <c r="AC71" i="1"/>
  <c r="AB71" i="1" s="1"/>
  <c r="AE71" i="1"/>
  <c r="AD71" i="1" s="1"/>
  <c r="AF71" i="1"/>
  <c r="AG71" i="1"/>
  <c r="CU71" i="1" s="1"/>
  <c r="T71" i="1" s="1"/>
  <c r="AH71" i="1"/>
  <c r="AI71" i="1"/>
  <c r="AJ71" i="1"/>
  <c r="CR71" i="1"/>
  <c r="CS71" i="1"/>
  <c r="CT71" i="1"/>
  <c r="CV71" i="1"/>
  <c r="U71" i="1" s="1"/>
  <c r="CW71" i="1"/>
  <c r="V71" i="1" s="1"/>
  <c r="CX71" i="1"/>
  <c r="W71" i="1" s="1"/>
  <c r="FR71" i="1"/>
  <c r="GK71" i="1"/>
  <c r="GL71" i="1"/>
  <c r="GO71" i="1"/>
  <c r="GP71" i="1"/>
  <c r="GV71" i="1"/>
  <c r="HC71" i="1"/>
  <c r="GX71" i="1" s="1"/>
  <c r="I72" i="1"/>
  <c r="P72" i="1"/>
  <c r="S72" i="1"/>
  <c r="AC72" i="1"/>
  <c r="AE72" i="1"/>
  <c r="AD72" i="1" s="1"/>
  <c r="AF72" i="1"/>
  <c r="AG72" i="1"/>
  <c r="AH72" i="1"/>
  <c r="AI72" i="1"/>
  <c r="CW72" i="1" s="1"/>
  <c r="V72" i="1" s="1"/>
  <c r="AJ72" i="1"/>
  <c r="CQ72" i="1"/>
  <c r="CR72" i="1"/>
  <c r="CT72" i="1"/>
  <c r="CU72" i="1"/>
  <c r="T72" i="1" s="1"/>
  <c r="CV72" i="1"/>
  <c r="U72" i="1" s="1"/>
  <c r="CX72" i="1"/>
  <c r="W72" i="1" s="1"/>
  <c r="CY72" i="1"/>
  <c r="X72" i="1" s="1"/>
  <c r="CZ72" i="1"/>
  <c r="Y72" i="1" s="1"/>
  <c r="FR72" i="1"/>
  <c r="GL72" i="1"/>
  <c r="GO72" i="1"/>
  <c r="GP72" i="1"/>
  <c r="GV72" i="1"/>
  <c r="HC72" i="1" s="1"/>
  <c r="GX72" i="1" s="1"/>
  <c r="C73" i="1"/>
  <c r="D73" i="1"/>
  <c r="P73" i="1"/>
  <c r="R73" i="1"/>
  <c r="GK73" i="1" s="1"/>
  <c r="AC73" i="1"/>
  <c r="AE73" i="1"/>
  <c r="AD73" i="1" s="1"/>
  <c r="AB73" i="1" s="1"/>
  <c r="AF73" i="1"/>
  <c r="S73" i="1" s="1"/>
  <c r="AG73" i="1"/>
  <c r="AH73" i="1"/>
  <c r="AI73" i="1"/>
  <c r="AJ73" i="1"/>
  <c r="CX73" i="1" s="1"/>
  <c r="W73" i="1" s="1"/>
  <c r="CQ73" i="1"/>
  <c r="CR73" i="1"/>
  <c r="CS73" i="1"/>
  <c r="CU73" i="1"/>
  <c r="T73" i="1" s="1"/>
  <c r="CV73" i="1"/>
  <c r="U73" i="1" s="1"/>
  <c r="CW73" i="1"/>
  <c r="V73" i="1" s="1"/>
  <c r="FR73" i="1"/>
  <c r="GL73" i="1"/>
  <c r="GO73" i="1"/>
  <c r="GP73" i="1"/>
  <c r="GV73" i="1"/>
  <c r="HC73" i="1" s="1"/>
  <c r="GX73" i="1" s="1"/>
  <c r="C74" i="1"/>
  <c r="D74" i="1"/>
  <c r="R74" i="1"/>
  <c r="S74" i="1"/>
  <c r="CZ74" i="1" s="1"/>
  <c r="Y74" i="1" s="1"/>
  <c r="AC74" i="1"/>
  <c r="AE74" i="1"/>
  <c r="Q74" i="1" s="1"/>
  <c r="AF74" i="1"/>
  <c r="AG74" i="1"/>
  <c r="CU74" i="1" s="1"/>
  <c r="T74" i="1" s="1"/>
  <c r="AH74" i="1"/>
  <c r="AI74" i="1"/>
  <c r="AJ74" i="1"/>
  <c r="CR74" i="1"/>
  <c r="CS74" i="1"/>
  <c r="CT74" i="1"/>
  <c r="CV74" i="1"/>
  <c r="U74" i="1" s="1"/>
  <c r="CW74" i="1"/>
  <c r="V74" i="1" s="1"/>
  <c r="CX74" i="1"/>
  <c r="W74" i="1" s="1"/>
  <c r="FR74" i="1"/>
  <c r="GK74" i="1"/>
  <c r="GL74" i="1"/>
  <c r="GO74" i="1"/>
  <c r="GP74" i="1"/>
  <c r="GV74" i="1"/>
  <c r="HC74" i="1"/>
  <c r="GX74" i="1" s="1"/>
  <c r="I75" i="1"/>
  <c r="P75" i="1"/>
  <c r="S75" i="1"/>
  <c r="AC75" i="1"/>
  <c r="AB75" i="1" s="1"/>
  <c r="AE75" i="1"/>
  <c r="AD75" i="1" s="1"/>
  <c r="AF75" i="1"/>
  <c r="AG75" i="1"/>
  <c r="AH75" i="1"/>
  <c r="AI75" i="1"/>
  <c r="CW75" i="1" s="1"/>
  <c r="V75" i="1" s="1"/>
  <c r="AJ75" i="1"/>
  <c r="CQ75" i="1"/>
  <c r="CR75" i="1"/>
  <c r="CT75" i="1"/>
  <c r="CU75" i="1"/>
  <c r="T75" i="1" s="1"/>
  <c r="CV75" i="1"/>
  <c r="U75" i="1" s="1"/>
  <c r="CX75" i="1"/>
  <c r="W75" i="1" s="1"/>
  <c r="CY75" i="1"/>
  <c r="X75" i="1" s="1"/>
  <c r="CZ75" i="1"/>
  <c r="Y75" i="1" s="1"/>
  <c r="FR75" i="1"/>
  <c r="GL75" i="1"/>
  <c r="GO75" i="1"/>
  <c r="GP75" i="1"/>
  <c r="GV75" i="1"/>
  <c r="HC75" i="1" s="1"/>
  <c r="GX75" i="1" s="1"/>
  <c r="I76" i="1"/>
  <c r="Q76" i="1" s="1"/>
  <c r="R76" i="1"/>
  <c r="S76" i="1"/>
  <c r="CZ76" i="1" s="1"/>
  <c r="Y76" i="1" s="1"/>
  <c r="AC76" i="1"/>
  <c r="AE76" i="1"/>
  <c r="AD76" i="1" s="1"/>
  <c r="AF76" i="1"/>
  <c r="AG76" i="1"/>
  <c r="CU76" i="1" s="1"/>
  <c r="T76" i="1" s="1"/>
  <c r="AH76" i="1"/>
  <c r="AI76" i="1"/>
  <c r="AJ76" i="1"/>
  <c r="CR76" i="1"/>
  <c r="CS76" i="1"/>
  <c r="CT76" i="1"/>
  <c r="CV76" i="1"/>
  <c r="U76" i="1" s="1"/>
  <c r="CW76" i="1"/>
  <c r="V76" i="1" s="1"/>
  <c r="CX76" i="1"/>
  <c r="W76" i="1" s="1"/>
  <c r="FR76" i="1"/>
  <c r="GK76" i="1"/>
  <c r="GL76" i="1"/>
  <c r="GO76" i="1"/>
  <c r="GP76" i="1"/>
  <c r="GV76" i="1"/>
  <c r="HC76" i="1"/>
  <c r="GX76" i="1" s="1"/>
  <c r="C77" i="1"/>
  <c r="D77" i="1"/>
  <c r="P77" i="1"/>
  <c r="R77" i="1"/>
  <c r="S77" i="1"/>
  <c r="CZ77" i="1" s="1"/>
  <c r="Y77" i="1" s="1"/>
  <c r="AC77" i="1"/>
  <c r="AB77" i="1" s="1"/>
  <c r="AD77" i="1"/>
  <c r="AE77" i="1"/>
  <c r="Q77" i="1" s="1"/>
  <c r="AF77" i="1"/>
  <c r="AG77" i="1"/>
  <c r="AH77" i="1"/>
  <c r="CV77" i="1" s="1"/>
  <c r="U77" i="1" s="1"/>
  <c r="AI77" i="1"/>
  <c r="AJ77" i="1"/>
  <c r="CQ77" i="1"/>
  <c r="CR77" i="1"/>
  <c r="CS77" i="1"/>
  <c r="CT77" i="1"/>
  <c r="CU77" i="1"/>
  <c r="T77" i="1" s="1"/>
  <c r="CW77" i="1"/>
  <c r="V77" i="1" s="1"/>
  <c r="CX77" i="1"/>
  <c r="W77" i="1" s="1"/>
  <c r="CY77" i="1"/>
  <c r="X77" i="1" s="1"/>
  <c r="FR77" i="1"/>
  <c r="GK77" i="1"/>
  <c r="GL77" i="1"/>
  <c r="GO77" i="1"/>
  <c r="GP77" i="1"/>
  <c r="GV77" i="1"/>
  <c r="HC77" i="1"/>
  <c r="GX77" i="1" s="1"/>
  <c r="C78" i="1"/>
  <c r="D78" i="1"/>
  <c r="P78" i="1"/>
  <c r="S78" i="1"/>
  <c r="AC78" i="1"/>
  <c r="AE78" i="1"/>
  <c r="AD78" i="1" s="1"/>
  <c r="AF78" i="1"/>
  <c r="AG78" i="1"/>
  <c r="AH78" i="1"/>
  <c r="AI78" i="1"/>
  <c r="CW78" i="1" s="1"/>
  <c r="V78" i="1" s="1"/>
  <c r="AJ78" i="1"/>
  <c r="CQ78" i="1"/>
  <c r="CR78" i="1"/>
  <c r="CT78" i="1"/>
  <c r="CU78" i="1"/>
  <c r="T78" i="1" s="1"/>
  <c r="CV78" i="1"/>
  <c r="U78" i="1" s="1"/>
  <c r="CX78" i="1"/>
  <c r="W78" i="1" s="1"/>
  <c r="CY78" i="1"/>
  <c r="X78" i="1" s="1"/>
  <c r="CZ78" i="1"/>
  <c r="Y78" i="1" s="1"/>
  <c r="FR78" i="1"/>
  <c r="GL78" i="1"/>
  <c r="GO78" i="1"/>
  <c r="GP78" i="1"/>
  <c r="GV78" i="1"/>
  <c r="HC78" i="1" s="1"/>
  <c r="GX78" i="1" s="1"/>
  <c r="I79" i="1"/>
  <c r="Q79" i="1" s="1"/>
  <c r="R79" i="1"/>
  <c r="S79" i="1"/>
  <c r="CZ79" i="1" s="1"/>
  <c r="Y79" i="1" s="1"/>
  <c r="AC79" i="1"/>
  <c r="AE79" i="1"/>
  <c r="AD79" i="1" s="1"/>
  <c r="AF79" i="1"/>
  <c r="AG79" i="1"/>
  <c r="CU79" i="1" s="1"/>
  <c r="T79" i="1" s="1"/>
  <c r="AH79" i="1"/>
  <c r="AI79" i="1"/>
  <c r="AJ79" i="1"/>
  <c r="CR79" i="1"/>
  <c r="CS79" i="1"/>
  <c r="CT79" i="1"/>
  <c r="CV79" i="1"/>
  <c r="U79" i="1" s="1"/>
  <c r="CW79" i="1"/>
  <c r="V79" i="1" s="1"/>
  <c r="CX79" i="1"/>
  <c r="W79" i="1" s="1"/>
  <c r="FR79" i="1"/>
  <c r="GK79" i="1"/>
  <c r="GL79" i="1"/>
  <c r="GO79" i="1"/>
  <c r="GP79" i="1"/>
  <c r="GV79" i="1"/>
  <c r="HC79" i="1"/>
  <c r="GX79" i="1" s="1"/>
  <c r="I80" i="1"/>
  <c r="P80" i="1"/>
  <c r="S80" i="1"/>
  <c r="AC80" i="1"/>
  <c r="AE80" i="1"/>
  <c r="AD80" i="1" s="1"/>
  <c r="AF80" i="1"/>
  <c r="AG80" i="1"/>
  <c r="AH80" i="1"/>
  <c r="AI80" i="1"/>
  <c r="CW80" i="1" s="1"/>
  <c r="V80" i="1" s="1"/>
  <c r="AJ80" i="1"/>
  <c r="CQ80" i="1"/>
  <c r="CR80" i="1"/>
  <c r="CT80" i="1"/>
  <c r="CU80" i="1"/>
  <c r="T80" i="1" s="1"/>
  <c r="CV80" i="1"/>
  <c r="U80" i="1" s="1"/>
  <c r="CX80" i="1"/>
  <c r="W80" i="1" s="1"/>
  <c r="CY80" i="1"/>
  <c r="X80" i="1" s="1"/>
  <c r="CZ80" i="1"/>
  <c r="Y80" i="1" s="1"/>
  <c r="FR80" i="1"/>
  <c r="GL80" i="1"/>
  <c r="GO80" i="1"/>
  <c r="GP80" i="1"/>
  <c r="GV80" i="1"/>
  <c r="HC80" i="1" s="1"/>
  <c r="GX80" i="1" s="1"/>
  <c r="C81" i="1"/>
  <c r="D81" i="1"/>
  <c r="I81" i="1"/>
  <c r="K81" i="1"/>
  <c r="P81" i="1"/>
  <c r="R81" i="1"/>
  <c r="S81" i="1"/>
  <c r="CZ81" i="1" s="1"/>
  <c r="Y81" i="1" s="1"/>
  <c r="AC81" i="1"/>
  <c r="AB81" i="1" s="1"/>
  <c r="AD81" i="1"/>
  <c r="AE81" i="1"/>
  <c r="Q81" i="1" s="1"/>
  <c r="AF81" i="1"/>
  <c r="AG81" i="1"/>
  <c r="AH81" i="1"/>
  <c r="CV81" i="1" s="1"/>
  <c r="U81" i="1" s="1"/>
  <c r="AI81" i="1"/>
  <c r="AJ81" i="1"/>
  <c r="CQ81" i="1"/>
  <c r="CR81" i="1"/>
  <c r="CS81" i="1"/>
  <c r="CT81" i="1"/>
  <c r="CU81" i="1"/>
  <c r="T81" i="1" s="1"/>
  <c r="CW81" i="1"/>
  <c r="V81" i="1" s="1"/>
  <c r="CX81" i="1"/>
  <c r="W81" i="1" s="1"/>
  <c r="CY81" i="1"/>
  <c r="X81" i="1" s="1"/>
  <c r="FR81" i="1"/>
  <c r="GK81" i="1"/>
  <c r="GL81" i="1"/>
  <c r="BZ86" i="1" s="1"/>
  <c r="GO81" i="1"/>
  <c r="GP81" i="1"/>
  <c r="CD86" i="1" s="1"/>
  <c r="GV81" i="1"/>
  <c r="HC81" i="1"/>
  <c r="GX81" i="1" s="1"/>
  <c r="C82" i="1"/>
  <c r="D82" i="1"/>
  <c r="I82" i="1"/>
  <c r="K82" i="1"/>
  <c r="R82" i="1"/>
  <c r="S82" i="1"/>
  <c r="CZ82" i="1" s="1"/>
  <c r="Y82" i="1" s="1"/>
  <c r="AC82" i="1"/>
  <c r="AE82" i="1"/>
  <c r="Q82" i="1" s="1"/>
  <c r="AF82" i="1"/>
  <c r="AG82" i="1"/>
  <c r="CU82" i="1" s="1"/>
  <c r="T82" i="1" s="1"/>
  <c r="AH82" i="1"/>
  <c r="AI82" i="1"/>
  <c r="AJ82" i="1"/>
  <c r="CR82" i="1"/>
  <c r="CS82" i="1"/>
  <c r="CT82" i="1"/>
  <c r="CV82" i="1"/>
  <c r="U82" i="1" s="1"/>
  <c r="CW82" i="1"/>
  <c r="V82" i="1" s="1"/>
  <c r="CX82" i="1"/>
  <c r="W82" i="1" s="1"/>
  <c r="FR82" i="1"/>
  <c r="GK82" i="1"/>
  <c r="GL82" i="1"/>
  <c r="GO82" i="1"/>
  <c r="GP82" i="1"/>
  <c r="GV82" i="1"/>
  <c r="HC82" i="1"/>
  <c r="GX82" i="1" s="1"/>
  <c r="I83" i="1"/>
  <c r="P83" i="1"/>
  <c r="S83" i="1"/>
  <c r="AC83" i="1"/>
  <c r="AB83" i="1" s="1"/>
  <c r="AE83" i="1"/>
  <c r="AD83" i="1" s="1"/>
  <c r="AF83" i="1"/>
  <c r="AG83" i="1"/>
  <c r="AH83" i="1"/>
  <c r="AI83" i="1"/>
  <c r="CW83" i="1" s="1"/>
  <c r="V83" i="1" s="1"/>
  <c r="AJ83" i="1"/>
  <c r="CQ83" i="1"/>
  <c r="CR83" i="1"/>
  <c r="CT83" i="1"/>
  <c r="CU83" i="1"/>
  <c r="T83" i="1" s="1"/>
  <c r="CV83" i="1"/>
  <c r="U83" i="1" s="1"/>
  <c r="CX83" i="1"/>
  <c r="W83" i="1" s="1"/>
  <c r="CY83" i="1"/>
  <c r="X83" i="1" s="1"/>
  <c r="CZ83" i="1"/>
  <c r="Y83" i="1" s="1"/>
  <c r="FR83" i="1"/>
  <c r="GL83" i="1"/>
  <c r="GO83" i="1"/>
  <c r="GP83" i="1"/>
  <c r="GV83" i="1"/>
  <c r="HC83" i="1" s="1"/>
  <c r="GX83" i="1" s="1"/>
  <c r="I84" i="1"/>
  <c r="Q84" i="1" s="1"/>
  <c r="R84" i="1"/>
  <c r="S84" i="1"/>
  <c r="CZ84" i="1" s="1"/>
  <c r="Y84" i="1" s="1"/>
  <c r="AC84" i="1"/>
  <c r="AE84" i="1"/>
  <c r="AD84" i="1" s="1"/>
  <c r="AF84" i="1"/>
  <c r="AG84" i="1"/>
  <c r="CU84" i="1" s="1"/>
  <c r="T84" i="1" s="1"/>
  <c r="AH84" i="1"/>
  <c r="AI84" i="1"/>
  <c r="AJ84" i="1"/>
  <c r="CR84" i="1"/>
  <c r="CS84" i="1"/>
  <c r="CT84" i="1"/>
  <c r="CV84" i="1"/>
  <c r="U84" i="1" s="1"/>
  <c r="CW84" i="1"/>
  <c r="V84" i="1" s="1"/>
  <c r="CX84" i="1"/>
  <c r="W84" i="1" s="1"/>
  <c r="FR84" i="1"/>
  <c r="GK84" i="1"/>
  <c r="GL84" i="1"/>
  <c r="GO84" i="1"/>
  <c r="GP84" i="1"/>
  <c r="GV84" i="1"/>
  <c r="HC84" i="1"/>
  <c r="GX84" i="1" s="1"/>
  <c r="B86" i="1"/>
  <c r="B63" i="1" s="1"/>
  <c r="C86" i="1"/>
  <c r="C63" i="1" s="1"/>
  <c r="D86" i="1"/>
  <c r="D63" i="1" s="1"/>
  <c r="F86" i="1"/>
  <c r="F63" i="1" s="1"/>
  <c r="G86" i="1"/>
  <c r="G63" i="1" s="1"/>
  <c r="BX86" i="1"/>
  <c r="BX63" i="1" s="1"/>
  <c r="CK86" i="1"/>
  <c r="CK63" i="1" s="1"/>
  <c r="CL86" i="1"/>
  <c r="CL63" i="1" s="1"/>
  <c r="CM86" i="1"/>
  <c r="CM63" i="1" s="1"/>
  <c r="DK86" i="1"/>
  <c r="DK63" i="1" s="1"/>
  <c r="DX86" i="1"/>
  <c r="DX63" i="1" s="1"/>
  <c r="FP86" i="1"/>
  <c r="EG86" i="1" s="1"/>
  <c r="FQ86" i="1"/>
  <c r="EH86" i="1" s="1"/>
  <c r="FR86" i="1"/>
  <c r="FR63" i="1" s="1"/>
  <c r="FU86" i="1"/>
  <c r="EL86" i="1" s="1"/>
  <c r="FV86" i="1"/>
  <c r="FV63" i="1" s="1"/>
  <c r="GC86" i="1"/>
  <c r="ET86" i="1" s="1"/>
  <c r="GD86" i="1"/>
  <c r="GD63" i="1" s="1"/>
  <c r="GE86" i="1"/>
  <c r="GE63" i="1" s="1"/>
  <c r="B116" i="1"/>
  <c r="B22" i="1" s="1"/>
  <c r="C116" i="1"/>
  <c r="C22" i="1" s="1"/>
  <c r="D116" i="1"/>
  <c r="D22" i="1" s="1"/>
  <c r="F116" i="1"/>
  <c r="F22" i="1" s="1"/>
  <c r="G116" i="1"/>
  <c r="G22" i="1" s="1"/>
  <c r="D146" i="1"/>
  <c r="E148" i="1"/>
  <c r="Z148" i="1"/>
  <c r="AA148" i="1"/>
  <c r="AB148" i="1"/>
  <c r="AC148" i="1"/>
  <c r="AD148" i="1"/>
  <c r="AE148" i="1"/>
  <c r="AF148" i="1"/>
  <c r="AG148" i="1"/>
  <c r="AH148" i="1"/>
  <c r="AI148" i="1"/>
  <c r="AJ148" i="1"/>
  <c r="AK148" i="1"/>
  <c r="AL148" i="1"/>
  <c r="AM148" i="1"/>
  <c r="AN148" i="1"/>
  <c r="BE148" i="1"/>
  <c r="BF148" i="1"/>
  <c r="BG148" i="1"/>
  <c r="BH148" i="1"/>
  <c r="BI148" i="1"/>
  <c r="BJ148" i="1"/>
  <c r="BK148" i="1"/>
  <c r="BL148" i="1"/>
  <c r="BM148" i="1"/>
  <c r="BN148" i="1"/>
  <c r="BO148" i="1"/>
  <c r="BP148" i="1"/>
  <c r="BQ148" i="1"/>
  <c r="BR148" i="1"/>
  <c r="BS148" i="1"/>
  <c r="BT148" i="1"/>
  <c r="BU148" i="1"/>
  <c r="BV148" i="1"/>
  <c r="BW148" i="1"/>
  <c r="BX148" i="1"/>
  <c r="BY148" i="1"/>
  <c r="BZ148" i="1"/>
  <c r="CA148" i="1"/>
  <c r="CB148" i="1"/>
  <c r="CC148" i="1"/>
  <c r="CD148" i="1"/>
  <c r="CE148" i="1"/>
  <c r="CF148" i="1"/>
  <c r="CG148" i="1"/>
  <c r="CH148" i="1"/>
  <c r="CI148" i="1"/>
  <c r="CJ148" i="1"/>
  <c r="CK148" i="1"/>
  <c r="CL148" i="1"/>
  <c r="CM148" i="1"/>
  <c r="CN148" i="1"/>
  <c r="CO148" i="1"/>
  <c r="CP148" i="1"/>
  <c r="CQ148" i="1"/>
  <c r="CR148" i="1"/>
  <c r="CS148" i="1"/>
  <c r="CT148" i="1"/>
  <c r="CU148" i="1"/>
  <c r="CV148" i="1"/>
  <c r="CW148" i="1"/>
  <c r="CX148" i="1"/>
  <c r="CY148" i="1"/>
  <c r="CZ148" i="1"/>
  <c r="DA148" i="1"/>
  <c r="DB148" i="1"/>
  <c r="DC148" i="1"/>
  <c r="DD148" i="1"/>
  <c r="DE148" i="1"/>
  <c r="DF148" i="1"/>
  <c r="DR148" i="1"/>
  <c r="DS148" i="1"/>
  <c r="DT148" i="1"/>
  <c r="DU148" i="1"/>
  <c r="DV148" i="1"/>
  <c r="DW148" i="1"/>
  <c r="DX148" i="1"/>
  <c r="DY148" i="1"/>
  <c r="DZ148" i="1"/>
  <c r="EA148" i="1"/>
  <c r="EB148" i="1"/>
  <c r="EC148" i="1"/>
  <c r="ED148" i="1"/>
  <c r="EE148" i="1"/>
  <c r="EF148" i="1"/>
  <c r="EW148" i="1"/>
  <c r="EX148" i="1"/>
  <c r="EY148" i="1"/>
  <c r="EZ148" i="1"/>
  <c r="FA148" i="1"/>
  <c r="FB148" i="1"/>
  <c r="FC148" i="1"/>
  <c r="FD148" i="1"/>
  <c r="FE148" i="1"/>
  <c r="FF148" i="1"/>
  <c r="FG148" i="1"/>
  <c r="FH148" i="1"/>
  <c r="FI148" i="1"/>
  <c r="FJ148" i="1"/>
  <c r="FK148" i="1"/>
  <c r="FL148" i="1"/>
  <c r="FM148" i="1"/>
  <c r="FN148" i="1"/>
  <c r="FO148" i="1"/>
  <c r="FP148" i="1"/>
  <c r="FQ148" i="1"/>
  <c r="FR148" i="1"/>
  <c r="FS148" i="1"/>
  <c r="FT148" i="1"/>
  <c r="FU148" i="1"/>
  <c r="FV148" i="1"/>
  <c r="FW148" i="1"/>
  <c r="FX148" i="1"/>
  <c r="FY148" i="1"/>
  <c r="FZ148" i="1"/>
  <c r="GA148" i="1"/>
  <c r="GB148" i="1"/>
  <c r="GC148" i="1"/>
  <c r="GD148" i="1"/>
  <c r="GE148" i="1"/>
  <c r="GF148" i="1"/>
  <c r="GG148" i="1"/>
  <c r="GH148" i="1"/>
  <c r="GI148" i="1"/>
  <c r="GJ148" i="1"/>
  <c r="GK148" i="1"/>
  <c r="GL148" i="1"/>
  <c r="GM148" i="1"/>
  <c r="GN148" i="1"/>
  <c r="GO148" i="1"/>
  <c r="GP148" i="1"/>
  <c r="GQ148" i="1"/>
  <c r="GR148" i="1"/>
  <c r="GS148" i="1"/>
  <c r="GT148" i="1"/>
  <c r="GU148" i="1"/>
  <c r="GV148" i="1"/>
  <c r="GW148" i="1"/>
  <c r="GX148" i="1"/>
  <c r="D150" i="1"/>
  <c r="E152" i="1"/>
  <c r="Z152" i="1"/>
  <c r="AA152" i="1"/>
  <c r="AM152" i="1"/>
  <c r="AN152" i="1"/>
  <c r="BE152" i="1"/>
  <c r="BF152" i="1"/>
  <c r="BG152" i="1"/>
  <c r="BH152" i="1"/>
  <c r="BI152" i="1"/>
  <c r="BJ152" i="1"/>
  <c r="BK152" i="1"/>
  <c r="BL152" i="1"/>
  <c r="BM152" i="1"/>
  <c r="BN152" i="1"/>
  <c r="BO152" i="1"/>
  <c r="BP152" i="1"/>
  <c r="BQ152" i="1"/>
  <c r="BR152" i="1"/>
  <c r="BS152" i="1"/>
  <c r="BT152" i="1"/>
  <c r="BU152" i="1"/>
  <c r="BV152" i="1"/>
  <c r="BW152" i="1"/>
  <c r="CN152" i="1"/>
  <c r="CO152" i="1"/>
  <c r="CP152" i="1"/>
  <c r="CQ152" i="1"/>
  <c r="CR152" i="1"/>
  <c r="CS152" i="1"/>
  <c r="CT152" i="1"/>
  <c r="CU152" i="1"/>
  <c r="CV152" i="1"/>
  <c r="CW152" i="1"/>
  <c r="CX152" i="1"/>
  <c r="CY152" i="1"/>
  <c r="CZ152" i="1"/>
  <c r="DA152" i="1"/>
  <c r="DB152" i="1"/>
  <c r="DC152" i="1"/>
  <c r="DD152" i="1"/>
  <c r="DE152" i="1"/>
  <c r="DF152" i="1"/>
  <c r="DR152" i="1"/>
  <c r="DS152" i="1"/>
  <c r="EE152" i="1"/>
  <c r="EF152" i="1"/>
  <c r="EW152" i="1"/>
  <c r="EX152" i="1"/>
  <c r="EY152" i="1"/>
  <c r="EZ152" i="1"/>
  <c r="FA152" i="1"/>
  <c r="FB152" i="1"/>
  <c r="FC152" i="1"/>
  <c r="FD152" i="1"/>
  <c r="FE152" i="1"/>
  <c r="FF152" i="1"/>
  <c r="FG152" i="1"/>
  <c r="FH152" i="1"/>
  <c r="FI152" i="1"/>
  <c r="FJ152" i="1"/>
  <c r="FK152" i="1"/>
  <c r="FL152" i="1"/>
  <c r="FM152" i="1"/>
  <c r="FN152" i="1"/>
  <c r="FO152" i="1"/>
  <c r="GF152" i="1"/>
  <c r="GG152" i="1"/>
  <c r="GH152" i="1"/>
  <c r="GI152" i="1"/>
  <c r="GJ152" i="1"/>
  <c r="GK152" i="1"/>
  <c r="GL152" i="1"/>
  <c r="GM152" i="1"/>
  <c r="GN152" i="1"/>
  <c r="GO152" i="1"/>
  <c r="GP152" i="1"/>
  <c r="GQ152" i="1"/>
  <c r="GR152" i="1"/>
  <c r="GS152" i="1"/>
  <c r="GT152" i="1"/>
  <c r="GU152" i="1"/>
  <c r="GV152" i="1"/>
  <c r="GW152" i="1"/>
  <c r="GX152" i="1"/>
  <c r="C154" i="1"/>
  <c r="D154" i="1"/>
  <c r="P154" i="1"/>
  <c r="R154" i="1"/>
  <c r="GK154" i="1" s="1"/>
  <c r="AC154" i="1"/>
  <c r="AE154" i="1"/>
  <c r="AD154" i="1" s="1"/>
  <c r="AB154" i="1" s="1"/>
  <c r="AF154" i="1"/>
  <c r="S154" i="1" s="1"/>
  <c r="AG154" i="1"/>
  <c r="AH154" i="1"/>
  <c r="AI154" i="1"/>
  <c r="AJ154" i="1"/>
  <c r="CX154" i="1" s="1"/>
  <c r="W154" i="1" s="1"/>
  <c r="CQ154" i="1"/>
  <c r="CR154" i="1"/>
  <c r="CS154" i="1"/>
  <c r="CU154" i="1"/>
  <c r="T154" i="1" s="1"/>
  <c r="CV154" i="1"/>
  <c r="U154" i="1" s="1"/>
  <c r="CW154" i="1"/>
  <c r="V154" i="1" s="1"/>
  <c r="FR154" i="1"/>
  <c r="GL154" i="1"/>
  <c r="GO154" i="1"/>
  <c r="GP154" i="1"/>
  <c r="GV154" i="1"/>
  <c r="HC154" i="1" s="1"/>
  <c r="GX154" i="1" s="1"/>
  <c r="C155" i="1"/>
  <c r="D155" i="1"/>
  <c r="R155" i="1"/>
  <c r="S155" i="1"/>
  <c r="CZ155" i="1" s="1"/>
  <c r="Y155" i="1" s="1"/>
  <c r="AC155" i="1"/>
  <c r="AE155" i="1"/>
  <c r="Q155" i="1" s="1"/>
  <c r="AF155" i="1"/>
  <c r="AG155" i="1"/>
  <c r="CU155" i="1" s="1"/>
  <c r="T155" i="1" s="1"/>
  <c r="AH155" i="1"/>
  <c r="AI155" i="1"/>
  <c r="AJ155" i="1"/>
  <c r="CR155" i="1"/>
  <c r="CS155" i="1"/>
  <c r="CT155" i="1"/>
  <c r="CV155" i="1"/>
  <c r="U155" i="1" s="1"/>
  <c r="CW155" i="1"/>
  <c r="V155" i="1" s="1"/>
  <c r="CX155" i="1"/>
  <c r="W155" i="1" s="1"/>
  <c r="FR155" i="1"/>
  <c r="GK155" i="1"/>
  <c r="GL155" i="1"/>
  <c r="GO155" i="1"/>
  <c r="GP155" i="1"/>
  <c r="GV155" i="1"/>
  <c r="HC155" i="1"/>
  <c r="GX155" i="1" s="1"/>
  <c r="C156" i="1"/>
  <c r="D156" i="1"/>
  <c r="P156" i="1"/>
  <c r="R156" i="1"/>
  <c r="S156" i="1"/>
  <c r="CZ156" i="1" s="1"/>
  <c r="Y156" i="1" s="1"/>
  <c r="AC156" i="1"/>
  <c r="AB156" i="1" s="1"/>
  <c r="AD156" i="1"/>
  <c r="AE156" i="1"/>
  <c r="Q156" i="1" s="1"/>
  <c r="AF156" i="1"/>
  <c r="AG156" i="1"/>
  <c r="AH156" i="1"/>
  <c r="CV156" i="1" s="1"/>
  <c r="U156" i="1" s="1"/>
  <c r="AI156" i="1"/>
  <c r="AJ156" i="1"/>
  <c r="CQ156" i="1"/>
  <c r="CR156" i="1"/>
  <c r="CS156" i="1"/>
  <c r="CT156" i="1"/>
  <c r="CU156" i="1"/>
  <c r="T156" i="1" s="1"/>
  <c r="CW156" i="1"/>
  <c r="V156" i="1" s="1"/>
  <c r="CX156" i="1"/>
  <c r="W156" i="1" s="1"/>
  <c r="CY156" i="1"/>
  <c r="X156" i="1" s="1"/>
  <c r="FR156" i="1"/>
  <c r="GK156" i="1"/>
  <c r="GL156" i="1"/>
  <c r="GO156" i="1"/>
  <c r="GP156" i="1"/>
  <c r="GV156" i="1"/>
  <c r="HC156" i="1"/>
  <c r="GX156" i="1" s="1"/>
  <c r="C157" i="1"/>
  <c r="D157" i="1"/>
  <c r="P157" i="1"/>
  <c r="S157" i="1"/>
  <c r="AC157" i="1"/>
  <c r="AE157" i="1"/>
  <c r="AD157" i="1" s="1"/>
  <c r="AF157" i="1"/>
  <c r="AG157" i="1"/>
  <c r="AH157" i="1"/>
  <c r="AI157" i="1"/>
  <c r="CW157" i="1" s="1"/>
  <c r="V157" i="1" s="1"/>
  <c r="AJ157" i="1"/>
  <c r="CQ157" i="1"/>
  <c r="CR157" i="1"/>
  <c r="CT157" i="1"/>
  <c r="CU157" i="1"/>
  <c r="T157" i="1" s="1"/>
  <c r="CV157" i="1"/>
  <c r="U157" i="1" s="1"/>
  <c r="CX157" i="1"/>
  <c r="W157" i="1" s="1"/>
  <c r="CY157" i="1"/>
  <c r="X157" i="1" s="1"/>
  <c r="CZ157" i="1"/>
  <c r="Y157" i="1" s="1"/>
  <c r="FR157" i="1"/>
  <c r="GL157" i="1"/>
  <c r="GO157" i="1"/>
  <c r="GP157" i="1"/>
  <c r="GV157" i="1"/>
  <c r="HC157" i="1" s="1"/>
  <c r="GX157" i="1" s="1"/>
  <c r="C158" i="1"/>
  <c r="D158" i="1"/>
  <c r="P158" i="1"/>
  <c r="R158" i="1"/>
  <c r="GK158" i="1" s="1"/>
  <c r="AC158" i="1"/>
  <c r="AE158" i="1"/>
  <c r="AD158" i="1" s="1"/>
  <c r="AB158" i="1" s="1"/>
  <c r="AF158" i="1"/>
  <c r="S158" i="1" s="1"/>
  <c r="AG158" i="1"/>
  <c r="AH158" i="1"/>
  <c r="AI158" i="1"/>
  <c r="AJ158" i="1"/>
  <c r="CX158" i="1" s="1"/>
  <c r="W158" i="1" s="1"/>
  <c r="CQ158" i="1"/>
  <c r="CR158" i="1"/>
  <c r="CS158" i="1"/>
  <c r="CU158" i="1"/>
  <c r="T158" i="1" s="1"/>
  <c r="CV158" i="1"/>
  <c r="U158" i="1" s="1"/>
  <c r="CW158" i="1"/>
  <c r="V158" i="1" s="1"/>
  <c r="FR158" i="1"/>
  <c r="GL158" i="1"/>
  <c r="GO158" i="1"/>
  <c r="GP158" i="1"/>
  <c r="GV158" i="1"/>
  <c r="HC158" i="1" s="1"/>
  <c r="GX158" i="1" s="1"/>
  <c r="C159" i="1"/>
  <c r="D159" i="1"/>
  <c r="R159" i="1"/>
  <c r="S159" i="1"/>
  <c r="CZ159" i="1" s="1"/>
  <c r="Y159" i="1" s="1"/>
  <c r="AC159" i="1"/>
  <c r="AE159" i="1"/>
  <c r="Q159" i="1" s="1"/>
  <c r="AF159" i="1"/>
  <c r="AG159" i="1"/>
  <c r="CU159" i="1" s="1"/>
  <c r="T159" i="1" s="1"/>
  <c r="AH159" i="1"/>
  <c r="AI159" i="1"/>
  <c r="AJ159" i="1"/>
  <c r="CR159" i="1"/>
  <c r="CS159" i="1"/>
  <c r="CT159" i="1"/>
  <c r="CV159" i="1"/>
  <c r="U159" i="1" s="1"/>
  <c r="CW159" i="1"/>
  <c r="V159" i="1" s="1"/>
  <c r="CX159" i="1"/>
  <c r="W159" i="1" s="1"/>
  <c r="FR159" i="1"/>
  <c r="GK159" i="1"/>
  <c r="GL159" i="1"/>
  <c r="GO159" i="1"/>
  <c r="GP159" i="1"/>
  <c r="GV159" i="1"/>
  <c r="HC159" i="1"/>
  <c r="GX159" i="1" s="1"/>
  <c r="C160" i="1"/>
  <c r="D160" i="1"/>
  <c r="P160" i="1"/>
  <c r="R160" i="1"/>
  <c r="S160" i="1"/>
  <c r="CZ160" i="1" s="1"/>
  <c r="Y160" i="1" s="1"/>
  <c r="AC160" i="1"/>
  <c r="AB160" i="1" s="1"/>
  <c r="AD160" i="1"/>
  <c r="AE160" i="1"/>
  <c r="Q160" i="1" s="1"/>
  <c r="AF160" i="1"/>
  <c r="AG160" i="1"/>
  <c r="AH160" i="1"/>
  <c r="CV160" i="1" s="1"/>
  <c r="U160" i="1" s="1"/>
  <c r="AI160" i="1"/>
  <c r="AJ160" i="1"/>
  <c r="CQ160" i="1"/>
  <c r="CR160" i="1"/>
  <c r="CS160" i="1"/>
  <c r="CT160" i="1"/>
  <c r="CU160" i="1"/>
  <c r="T160" i="1" s="1"/>
  <c r="CW160" i="1"/>
  <c r="V160" i="1" s="1"/>
  <c r="CX160" i="1"/>
  <c r="W160" i="1" s="1"/>
  <c r="CY160" i="1"/>
  <c r="X160" i="1" s="1"/>
  <c r="FR160" i="1"/>
  <c r="GK160" i="1"/>
  <c r="GL160" i="1"/>
  <c r="GO160" i="1"/>
  <c r="GP160" i="1"/>
  <c r="GV160" i="1"/>
  <c r="HC160" i="1"/>
  <c r="GX160" i="1" s="1"/>
  <c r="C161" i="1"/>
  <c r="D161" i="1"/>
  <c r="P161" i="1"/>
  <c r="S161" i="1"/>
  <c r="AC161" i="1"/>
  <c r="AE161" i="1"/>
  <c r="AD161" i="1" s="1"/>
  <c r="AF161" i="1"/>
  <c r="AG161" i="1"/>
  <c r="AH161" i="1"/>
  <c r="AI161" i="1"/>
  <c r="CW161" i="1" s="1"/>
  <c r="V161" i="1" s="1"/>
  <c r="AJ161" i="1"/>
  <c r="CQ161" i="1"/>
  <c r="CR161" i="1"/>
  <c r="CT161" i="1"/>
  <c r="CU161" i="1"/>
  <c r="T161" i="1" s="1"/>
  <c r="CV161" i="1"/>
  <c r="U161" i="1" s="1"/>
  <c r="CX161" i="1"/>
  <c r="W161" i="1" s="1"/>
  <c r="CY161" i="1"/>
  <c r="X161" i="1" s="1"/>
  <c r="CZ161" i="1"/>
  <c r="Y161" i="1" s="1"/>
  <c r="FR161" i="1"/>
  <c r="GL161" i="1"/>
  <c r="GO161" i="1"/>
  <c r="GP161" i="1"/>
  <c r="GV161" i="1"/>
  <c r="HC161" i="1" s="1"/>
  <c r="GX161" i="1" s="1"/>
  <c r="I162" i="1"/>
  <c r="Q162" i="1" s="1"/>
  <c r="R162" i="1"/>
  <c r="S162" i="1"/>
  <c r="CZ162" i="1" s="1"/>
  <c r="Y162" i="1" s="1"/>
  <c r="AC162" i="1"/>
  <c r="AB162" i="1" s="1"/>
  <c r="AE162" i="1"/>
  <c r="AD162" i="1" s="1"/>
  <c r="AF162" i="1"/>
  <c r="AG162" i="1"/>
  <c r="CU162" i="1" s="1"/>
  <c r="T162" i="1" s="1"/>
  <c r="AH162" i="1"/>
  <c r="AI162" i="1"/>
  <c r="AJ162" i="1"/>
  <c r="CR162" i="1"/>
  <c r="CS162" i="1"/>
  <c r="CT162" i="1"/>
  <c r="CV162" i="1"/>
  <c r="U162" i="1" s="1"/>
  <c r="CW162" i="1"/>
  <c r="V162" i="1" s="1"/>
  <c r="CX162" i="1"/>
  <c r="W162" i="1" s="1"/>
  <c r="FR162" i="1"/>
  <c r="GK162" i="1"/>
  <c r="GL162" i="1"/>
  <c r="GO162" i="1"/>
  <c r="GP162" i="1"/>
  <c r="GV162" i="1"/>
  <c r="HC162" i="1"/>
  <c r="GX162" i="1" s="1"/>
  <c r="I163" i="1"/>
  <c r="P163" i="1"/>
  <c r="S163" i="1"/>
  <c r="AC163" i="1"/>
  <c r="AE163" i="1"/>
  <c r="AD163" i="1" s="1"/>
  <c r="AF163" i="1"/>
  <c r="AG163" i="1"/>
  <c r="AH163" i="1"/>
  <c r="AI163" i="1"/>
  <c r="CW163" i="1" s="1"/>
  <c r="V163" i="1" s="1"/>
  <c r="AJ163" i="1"/>
  <c r="CQ163" i="1"/>
  <c r="CR163" i="1"/>
  <c r="CT163" i="1"/>
  <c r="CU163" i="1"/>
  <c r="T163" i="1" s="1"/>
  <c r="CV163" i="1"/>
  <c r="U163" i="1" s="1"/>
  <c r="CX163" i="1"/>
  <c r="W163" i="1" s="1"/>
  <c r="CY163" i="1"/>
  <c r="X163" i="1" s="1"/>
  <c r="CZ163" i="1"/>
  <c r="Y163" i="1" s="1"/>
  <c r="FR163" i="1"/>
  <c r="GL163" i="1"/>
  <c r="GO163" i="1"/>
  <c r="GP163" i="1"/>
  <c r="GV163" i="1"/>
  <c r="HC163" i="1" s="1"/>
  <c r="GX163" i="1" s="1"/>
  <c r="C164" i="1"/>
  <c r="D164" i="1"/>
  <c r="P164" i="1"/>
  <c r="R164" i="1"/>
  <c r="GK164" i="1" s="1"/>
  <c r="AC164" i="1"/>
  <c r="AE164" i="1"/>
  <c r="AD164" i="1" s="1"/>
  <c r="AB164" i="1" s="1"/>
  <c r="AF164" i="1"/>
  <c r="S164" i="1" s="1"/>
  <c r="AG164" i="1"/>
  <c r="AH164" i="1"/>
  <c r="AI164" i="1"/>
  <c r="AJ164" i="1"/>
  <c r="CX164" i="1" s="1"/>
  <c r="W164" i="1" s="1"/>
  <c r="CQ164" i="1"/>
  <c r="CR164" i="1"/>
  <c r="CS164" i="1"/>
  <c r="CU164" i="1"/>
  <c r="T164" i="1" s="1"/>
  <c r="CV164" i="1"/>
  <c r="U164" i="1" s="1"/>
  <c r="CW164" i="1"/>
  <c r="V164" i="1" s="1"/>
  <c r="FR164" i="1"/>
  <c r="GL164" i="1"/>
  <c r="GO164" i="1"/>
  <c r="GP164" i="1"/>
  <c r="GV164" i="1"/>
  <c r="HC164" i="1" s="1"/>
  <c r="GX164" i="1" s="1"/>
  <c r="C165" i="1"/>
  <c r="D165" i="1"/>
  <c r="R165" i="1"/>
  <c r="S165" i="1"/>
  <c r="CZ165" i="1" s="1"/>
  <c r="Y165" i="1" s="1"/>
  <c r="AC165" i="1"/>
  <c r="AE165" i="1"/>
  <c r="Q165" i="1" s="1"/>
  <c r="AF165" i="1"/>
  <c r="AG165" i="1"/>
  <c r="CU165" i="1" s="1"/>
  <c r="T165" i="1" s="1"/>
  <c r="AH165" i="1"/>
  <c r="AI165" i="1"/>
  <c r="AJ165" i="1"/>
  <c r="CR165" i="1"/>
  <c r="CS165" i="1"/>
  <c r="CT165" i="1"/>
  <c r="CV165" i="1"/>
  <c r="U165" i="1" s="1"/>
  <c r="CW165" i="1"/>
  <c r="V165" i="1" s="1"/>
  <c r="CX165" i="1"/>
  <c r="W165" i="1" s="1"/>
  <c r="FR165" i="1"/>
  <c r="GK165" i="1"/>
  <c r="GL165" i="1"/>
  <c r="GO165" i="1"/>
  <c r="GP165" i="1"/>
  <c r="GV165" i="1"/>
  <c r="HC165" i="1"/>
  <c r="GX165" i="1" s="1"/>
  <c r="I166" i="1"/>
  <c r="P166" i="1"/>
  <c r="S166" i="1"/>
  <c r="AC166" i="1"/>
  <c r="AB166" i="1" s="1"/>
  <c r="AE166" i="1"/>
  <c r="AD166" i="1" s="1"/>
  <c r="AF166" i="1"/>
  <c r="AG166" i="1"/>
  <c r="AH166" i="1"/>
  <c r="AI166" i="1"/>
  <c r="CW166" i="1" s="1"/>
  <c r="V166" i="1" s="1"/>
  <c r="AJ166" i="1"/>
  <c r="CQ166" i="1"/>
  <c r="CR166" i="1"/>
  <c r="CT166" i="1"/>
  <c r="CU166" i="1"/>
  <c r="T166" i="1" s="1"/>
  <c r="CV166" i="1"/>
  <c r="U166" i="1" s="1"/>
  <c r="CX166" i="1"/>
  <c r="W166" i="1" s="1"/>
  <c r="CY166" i="1"/>
  <c r="X166" i="1" s="1"/>
  <c r="CZ166" i="1"/>
  <c r="Y166" i="1" s="1"/>
  <c r="FR166" i="1"/>
  <c r="GL166" i="1"/>
  <c r="GO166" i="1"/>
  <c r="GP166" i="1"/>
  <c r="GV166" i="1"/>
  <c r="HC166" i="1" s="1"/>
  <c r="GX166" i="1" s="1"/>
  <c r="I167" i="1"/>
  <c r="Q167" i="1" s="1"/>
  <c r="R167" i="1"/>
  <c r="S167" i="1"/>
  <c r="CZ167" i="1" s="1"/>
  <c r="Y167" i="1" s="1"/>
  <c r="AC167" i="1"/>
  <c r="AE167" i="1"/>
  <c r="AD167" i="1" s="1"/>
  <c r="AF167" i="1"/>
  <c r="AG167" i="1"/>
  <c r="CU167" i="1" s="1"/>
  <c r="T167" i="1" s="1"/>
  <c r="AH167" i="1"/>
  <c r="AI167" i="1"/>
  <c r="AJ167" i="1"/>
  <c r="CR167" i="1"/>
  <c r="CS167" i="1"/>
  <c r="CT167" i="1"/>
  <c r="CV167" i="1"/>
  <c r="U167" i="1" s="1"/>
  <c r="CW167" i="1"/>
  <c r="V167" i="1" s="1"/>
  <c r="CX167" i="1"/>
  <c r="W167" i="1" s="1"/>
  <c r="FR167" i="1"/>
  <c r="GK167" i="1"/>
  <c r="GL167" i="1"/>
  <c r="GO167" i="1"/>
  <c r="GP167" i="1"/>
  <c r="GV167" i="1"/>
  <c r="HC167" i="1"/>
  <c r="GX167" i="1" s="1"/>
  <c r="C168" i="1"/>
  <c r="D168" i="1"/>
  <c r="P168" i="1"/>
  <c r="R168" i="1"/>
  <c r="S168" i="1"/>
  <c r="CZ168" i="1" s="1"/>
  <c r="Y168" i="1" s="1"/>
  <c r="AC168" i="1"/>
  <c r="AB168" i="1" s="1"/>
  <c r="AD168" i="1"/>
  <c r="AE168" i="1"/>
  <c r="Q168" i="1" s="1"/>
  <c r="AF168" i="1"/>
  <c r="AG168" i="1"/>
  <c r="AH168" i="1"/>
  <c r="CV168" i="1" s="1"/>
  <c r="U168" i="1" s="1"/>
  <c r="AI168" i="1"/>
  <c r="AJ168" i="1"/>
  <c r="CQ168" i="1"/>
  <c r="CR168" i="1"/>
  <c r="CS168" i="1"/>
  <c r="CT168" i="1"/>
  <c r="CU168" i="1"/>
  <c r="T168" i="1" s="1"/>
  <c r="CW168" i="1"/>
  <c r="V168" i="1" s="1"/>
  <c r="CX168" i="1"/>
  <c r="W168" i="1" s="1"/>
  <c r="CY168" i="1"/>
  <c r="X168" i="1" s="1"/>
  <c r="FR168" i="1"/>
  <c r="GK168" i="1"/>
  <c r="GL168" i="1"/>
  <c r="GO168" i="1"/>
  <c r="GP168" i="1"/>
  <c r="GV168" i="1"/>
  <c r="HC168" i="1"/>
  <c r="GX168" i="1" s="1"/>
  <c r="C169" i="1"/>
  <c r="D169" i="1"/>
  <c r="P169" i="1"/>
  <c r="S169" i="1"/>
  <c r="AC169" i="1"/>
  <c r="AE169" i="1"/>
  <c r="AD169" i="1" s="1"/>
  <c r="AF169" i="1"/>
  <c r="AG169" i="1"/>
  <c r="AH169" i="1"/>
  <c r="AI169" i="1"/>
  <c r="CW169" i="1" s="1"/>
  <c r="V169" i="1" s="1"/>
  <c r="AJ169" i="1"/>
  <c r="CQ169" i="1"/>
  <c r="CR169" i="1"/>
  <c r="CT169" i="1"/>
  <c r="CU169" i="1"/>
  <c r="T169" i="1" s="1"/>
  <c r="CV169" i="1"/>
  <c r="U169" i="1" s="1"/>
  <c r="CX169" i="1"/>
  <c r="W169" i="1" s="1"/>
  <c r="CY169" i="1"/>
  <c r="X169" i="1" s="1"/>
  <c r="CZ169" i="1"/>
  <c r="Y169" i="1" s="1"/>
  <c r="FR169" i="1"/>
  <c r="GL169" i="1"/>
  <c r="GO169" i="1"/>
  <c r="GP169" i="1"/>
  <c r="GV169" i="1"/>
  <c r="HC169" i="1" s="1"/>
  <c r="GX169" i="1" s="1"/>
  <c r="I170" i="1"/>
  <c r="Q170" i="1" s="1"/>
  <c r="R170" i="1"/>
  <c r="S170" i="1"/>
  <c r="CZ170" i="1" s="1"/>
  <c r="Y170" i="1" s="1"/>
  <c r="AC170" i="1"/>
  <c r="AE170" i="1"/>
  <c r="AD170" i="1" s="1"/>
  <c r="AF170" i="1"/>
  <c r="AG170" i="1"/>
  <c r="CU170" i="1" s="1"/>
  <c r="T170" i="1" s="1"/>
  <c r="AH170" i="1"/>
  <c r="AI170" i="1"/>
  <c r="AJ170" i="1"/>
  <c r="CR170" i="1"/>
  <c r="CS170" i="1"/>
  <c r="CT170" i="1"/>
  <c r="CV170" i="1"/>
  <c r="U170" i="1" s="1"/>
  <c r="CW170" i="1"/>
  <c r="V170" i="1" s="1"/>
  <c r="CX170" i="1"/>
  <c r="W170" i="1" s="1"/>
  <c r="FR170" i="1"/>
  <c r="GK170" i="1"/>
  <c r="GL170" i="1"/>
  <c r="GO170" i="1"/>
  <c r="GP170" i="1"/>
  <c r="GV170" i="1"/>
  <c r="HC170" i="1"/>
  <c r="GX170" i="1" s="1"/>
  <c r="I171" i="1"/>
  <c r="P171" i="1"/>
  <c r="S171" i="1"/>
  <c r="AC171" i="1"/>
  <c r="AE171" i="1"/>
  <c r="AD171" i="1" s="1"/>
  <c r="AF171" i="1"/>
  <c r="AG171" i="1"/>
  <c r="AH171" i="1"/>
  <c r="AI171" i="1"/>
  <c r="CW171" i="1" s="1"/>
  <c r="V171" i="1" s="1"/>
  <c r="AJ171" i="1"/>
  <c r="CQ171" i="1"/>
  <c r="CR171" i="1"/>
  <c r="CT171" i="1"/>
  <c r="CU171" i="1"/>
  <c r="T171" i="1" s="1"/>
  <c r="CV171" i="1"/>
  <c r="U171" i="1" s="1"/>
  <c r="CX171" i="1"/>
  <c r="W171" i="1" s="1"/>
  <c r="CY171" i="1"/>
  <c r="X171" i="1" s="1"/>
  <c r="CZ171" i="1"/>
  <c r="Y171" i="1" s="1"/>
  <c r="FR171" i="1"/>
  <c r="GL171" i="1"/>
  <c r="GO171" i="1"/>
  <c r="GP171" i="1"/>
  <c r="GV171" i="1"/>
  <c r="HC171" i="1" s="1"/>
  <c r="GX171" i="1" s="1"/>
  <c r="C172" i="1"/>
  <c r="D172" i="1"/>
  <c r="P172" i="1"/>
  <c r="R172" i="1"/>
  <c r="GK172" i="1" s="1"/>
  <c r="AC172" i="1"/>
  <c r="AE172" i="1"/>
  <c r="AD172" i="1" s="1"/>
  <c r="AB172" i="1" s="1"/>
  <c r="AF172" i="1"/>
  <c r="S172" i="1" s="1"/>
  <c r="AG172" i="1"/>
  <c r="AH172" i="1"/>
  <c r="AI172" i="1"/>
  <c r="AJ172" i="1"/>
  <c r="CX172" i="1" s="1"/>
  <c r="W172" i="1" s="1"/>
  <c r="CQ172" i="1"/>
  <c r="CR172" i="1"/>
  <c r="CS172" i="1"/>
  <c r="CU172" i="1"/>
  <c r="T172" i="1" s="1"/>
  <c r="CV172" i="1"/>
  <c r="U172" i="1" s="1"/>
  <c r="CW172" i="1"/>
  <c r="V172" i="1" s="1"/>
  <c r="FR172" i="1"/>
  <c r="GL172" i="1"/>
  <c r="GO172" i="1"/>
  <c r="GP172" i="1"/>
  <c r="GV172" i="1"/>
  <c r="HC172" i="1" s="1"/>
  <c r="GX172" i="1" s="1"/>
  <c r="C173" i="1"/>
  <c r="D173" i="1"/>
  <c r="R173" i="1"/>
  <c r="S173" i="1"/>
  <c r="CZ173" i="1" s="1"/>
  <c r="Y173" i="1" s="1"/>
  <c r="AC173" i="1"/>
  <c r="AE173" i="1"/>
  <c r="Q173" i="1" s="1"/>
  <c r="AF173" i="1"/>
  <c r="AG173" i="1"/>
  <c r="CU173" i="1" s="1"/>
  <c r="T173" i="1" s="1"/>
  <c r="AH173" i="1"/>
  <c r="AI173" i="1"/>
  <c r="AJ173" i="1"/>
  <c r="CR173" i="1"/>
  <c r="CS173" i="1"/>
  <c r="CT173" i="1"/>
  <c r="CV173" i="1"/>
  <c r="U173" i="1" s="1"/>
  <c r="CW173" i="1"/>
  <c r="V173" i="1" s="1"/>
  <c r="CX173" i="1"/>
  <c r="W173" i="1" s="1"/>
  <c r="FR173" i="1"/>
  <c r="GK173" i="1"/>
  <c r="GL173" i="1"/>
  <c r="GO173" i="1"/>
  <c r="GP173" i="1"/>
  <c r="GV173" i="1"/>
  <c r="HC173" i="1"/>
  <c r="GX173" i="1" s="1"/>
  <c r="C174" i="1"/>
  <c r="D174" i="1"/>
  <c r="P174" i="1"/>
  <c r="R174" i="1"/>
  <c r="S174" i="1"/>
  <c r="CZ174" i="1" s="1"/>
  <c r="Y174" i="1" s="1"/>
  <c r="AC174" i="1"/>
  <c r="AB174" i="1" s="1"/>
  <c r="AD174" i="1"/>
  <c r="AE174" i="1"/>
  <c r="Q174" i="1" s="1"/>
  <c r="AF174" i="1"/>
  <c r="AG174" i="1"/>
  <c r="AH174" i="1"/>
  <c r="CV174" i="1" s="1"/>
  <c r="U174" i="1" s="1"/>
  <c r="AI174" i="1"/>
  <c r="AJ174" i="1"/>
  <c r="CQ174" i="1"/>
  <c r="CR174" i="1"/>
  <c r="CS174" i="1"/>
  <c r="CT174" i="1"/>
  <c r="CU174" i="1"/>
  <c r="T174" i="1" s="1"/>
  <c r="CW174" i="1"/>
  <c r="V174" i="1" s="1"/>
  <c r="CX174" i="1"/>
  <c r="W174" i="1" s="1"/>
  <c r="CY174" i="1"/>
  <c r="X174" i="1" s="1"/>
  <c r="FR174" i="1"/>
  <c r="GK174" i="1"/>
  <c r="GL174" i="1"/>
  <c r="GO174" i="1"/>
  <c r="GP174" i="1"/>
  <c r="GV174" i="1"/>
  <c r="HC174" i="1"/>
  <c r="GX174" i="1" s="1"/>
  <c r="C175" i="1"/>
  <c r="D175" i="1"/>
  <c r="P175" i="1"/>
  <c r="S175" i="1"/>
  <c r="AC175" i="1"/>
  <c r="AE175" i="1"/>
  <c r="AD175" i="1" s="1"/>
  <c r="AF175" i="1"/>
  <c r="AG175" i="1"/>
  <c r="AH175" i="1"/>
  <c r="AI175" i="1"/>
  <c r="CW175" i="1" s="1"/>
  <c r="V175" i="1" s="1"/>
  <c r="AJ175" i="1"/>
  <c r="CQ175" i="1"/>
  <c r="CR175" i="1"/>
  <c r="CT175" i="1"/>
  <c r="CU175" i="1"/>
  <c r="T175" i="1" s="1"/>
  <c r="CV175" i="1"/>
  <c r="U175" i="1" s="1"/>
  <c r="CX175" i="1"/>
  <c r="W175" i="1" s="1"/>
  <c r="CY175" i="1"/>
  <c r="X175" i="1" s="1"/>
  <c r="CZ175" i="1"/>
  <c r="Y175" i="1" s="1"/>
  <c r="FR175" i="1"/>
  <c r="GL175" i="1"/>
  <c r="GO175" i="1"/>
  <c r="GP175" i="1"/>
  <c r="GV175" i="1"/>
  <c r="HC175" i="1" s="1"/>
  <c r="GX175" i="1" s="1"/>
  <c r="I176" i="1"/>
  <c r="Q176" i="1" s="1"/>
  <c r="R176" i="1"/>
  <c r="S176" i="1"/>
  <c r="CZ176" i="1" s="1"/>
  <c r="Y176" i="1" s="1"/>
  <c r="AC176" i="1"/>
  <c r="AE176" i="1"/>
  <c r="AD176" i="1" s="1"/>
  <c r="AF176" i="1"/>
  <c r="AG176" i="1"/>
  <c r="CU176" i="1" s="1"/>
  <c r="T176" i="1" s="1"/>
  <c r="AH176" i="1"/>
  <c r="AI176" i="1"/>
  <c r="AJ176" i="1"/>
  <c r="CR176" i="1"/>
  <c r="CS176" i="1"/>
  <c r="CT176" i="1"/>
  <c r="CV176" i="1"/>
  <c r="U176" i="1" s="1"/>
  <c r="CW176" i="1"/>
  <c r="V176" i="1" s="1"/>
  <c r="CX176" i="1"/>
  <c r="W176" i="1" s="1"/>
  <c r="FR176" i="1"/>
  <c r="GK176" i="1"/>
  <c r="GL176" i="1"/>
  <c r="GO176" i="1"/>
  <c r="GP176" i="1"/>
  <c r="GV176" i="1"/>
  <c r="HC176" i="1"/>
  <c r="GX176" i="1" s="1"/>
  <c r="I177" i="1"/>
  <c r="P177" i="1"/>
  <c r="S177" i="1"/>
  <c r="AC177" i="1"/>
  <c r="AE177" i="1"/>
  <c r="AD177" i="1" s="1"/>
  <c r="AF177" i="1"/>
  <c r="AG177" i="1"/>
  <c r="AH177" i="1"/>
  <c r="AI177" i="1"/>
  <c r="CW177" i="1" s="1"/>
  <c r="V177" i="1" s="1"/>
  <c r="AJ177" i="1"/>
  <c r="CQ177" i="1"/>
  <c r="CR177" i="1"/>
  <c r="CT177" i="1"/>
  <c r="CU177" i="1"/>
  <c r="T177" i="1" s="1"/>
  <c r="CV177" i="1"/>
  <c r="U177" i="1" s="1"/>
  <c r="CX177" i="1"/>
  <c r="W177" i="1" s="1"/>
  <c r="CY177" i="1"/>
  <c r="X177" i="1" s="1"/>
  <c r="CZ177" i="1"/>
  <c r="Y177" i="1" s="1"/>
  <c r="FR177" i="1"/>
  <c r="GL177" i="1"/>
  <c r="GO177" i="1"/>
  <c r="GP177" i="1"/>
  <c r="GV177" i="1"/>
  <c r="HC177" i="1" s="1"/>
  <c r="GX177" i="1" s="1"/>
  <c r="C178" i="1"/>
  <c r="D178" i="1"/>
  <c r="P178" i="1"/>
  <c r="R178" i="1"/>
  <c r="GK178" i="1" s="1"/>
  <c r="AB178" i="1"/>
  <c r="AC178" i="1"/>
  <c r="AE178" i="1"/>
  <c r="AD178" i="1" s="1"/>
  <c r="AF178" i="1"/>
  <c r="AG178" i="1"/>
  <c r="AH178" i="1"/>
  <c r="AI178" i="1"/>
  <c r="AJ178" i="1"/>
  <c r="CX178" i="1" s="1"/>
  <c r="W178" i="1" s="1"/>
  <c r="CQ178" i="1"/>
  <c r="CR178" i="1"/>
  <c r="CS178" i="1"/>
  <c r="CU178" i="1"/>
  <c r="T178" i="1" s="1"/>
  <c r="CV178" i="1"/>
  <c r="U178" i="1" s="1"/>
  <c r="CW178" i="1"/>
  <c r="V178" i="1" s="1"/>
  <c r="AI193" i="1" s="1"/>
  <c r="FR178" i="1"/>
  <c r="GL178" i="1"/>
  <c r="GO178" i="1"/>
  <c r="GP178" i="1"/>
  <c r="GV178" i="1"/>
  <c r="HC178" i="1" s="1"/>
  <c r="GX178" i="1"/>
  <c r="C179" i="1"/>
  <c r="D179" i="1"/>
  <c r="R179" i="1"/>
  <c r="S179" i="1"/>
  <c r="AC179" i="1"/>
  <c r="AE179" i="1"/>
  <c r="Q179" i="1" s="1"/>
  <c r="AF179" i="1"/>
  <c r="AG179" i="1"/>
  <c r="CU179" i="1" s="1"/>
  <c r="T179" i="1" s="1"/>
  <c r="AH179" i="1"/>
  <c r="AI179" i="1"/>
  <c r="AJ179" i="1"/>
  <c r="CX179" i="1" s="1"/>
  <c r="W179" i="1" s="1"/>
  <c r="CR179" i="1"/>
  <c r="CS179" i="1"/>
  <c r="CT179" i="1"/>
  <c r="CV179" i="1"/>
  <c r="U179" i="1" s="1"/>
  <c r="CW179" i="1"/>
  <c r="V179" i="1" s="1"/>
  <c r="FR179" i="1"/>
  <c r="GK179" i="1"/>
  <c r="GL179" i="1"/>
  <c r="GO179" i="1"/>
  <c r="GP179" i="1"/>
  <c r="GV179" i="1"/>
  <c r="HC179" i="1"/>
  <c r="GX179" i="1" s="1"/>
  <c r="I180" i="1"/>
  <c r="P180" i="1"/>
  <c r="S180" i="1"/>
  <c r="T180" i="1"/>
  <c r="AC180" i="1"/>
  <c r="AD180" i="1"/>
  <c r="AE180" i="1"/>
  <c r="AF180" i="1"/>
  <c r="AG180" i="1"/>
  <c r="AH180" i="1"/>
  <c r="CV180" i="1" s="1"/>
  <c r="U180" i="1" s="1"/>
  <c r="AI180" i="1"/>
  <c r="CW180" i="1" s="1"/>
  <c r="V180" i="1" s="1"/>
  <c r="AJ180" i="1"/>
  <c r="CQ180" i="1"/>
  <c r="CR180" i="1"/>
  <c r="CT180" i="1"/>
  <c r="CU180" i="1"/>
  <c r="CX180" i="1"/>
  <c r="W180" i="1" s="1"/>
  <c r="CY180" i="1"/>
  <c r="X180" i="1" s="1"/>
  <c r="CZ180" i="1"/>
  <c r="Y180" i="1" s="1"/>
  <c r="FR180" i="1"/>
  <c r="GL180" i="1"/>
  <c r="BZ193" i="1" s="1"/>
  <c r="GO180" i="1"/>
  <c r="GP180" i="1"/>
  <c r="GV180" i="1"/>
  <c r="HC180" i="1" s="1"/>
  <c r="GX180" i="1" s="1"/>
  <c r="I181" i="1"/>
  <c r="Q181" i="1" s="1"/>
  <c r="R181" i="1"/>
  <c r="S181" i="1"/>
  <c r="AC181" i="1"/>
  <c r="AE181" i="1"/>
  <c r="AD181" i="1" s="1"/>
  <c r="AF181" i="1"/>
  <c r="AG181" i="1"/>
  <c r="CU181" i="1" s="1"/>
  <c r="T181" i="1" s="1"/>
  <c r="AH181" i="1"/>
  <c r="AI181" i="1"/>
  <c r="AJ181" i="1"/>
  <c r="CX181" i="1" s="1"/>
  <c r="W181" i="1" s="1"/>
  <c r="CR181" i="1"/>
  <c r="CS181" i="1"/>
  <c r="CT181" i="1"/>
  <c r="CV181" i="1"/>
  <c r="U181" i="1" s="1"/>
  <c r="CW181" i="1"/>
  <c r="V181" i="1" s="1"/>
  <c r="FR181" i="1"/>
  <c r="GK181" i="1"/>
  <c r="GL181" i="1"/>
  <c r="GO181" i="1"/>
  <c r="GP181" i="1"/>
  <c r="GV181" i="1"/>
  <c r="HC181" i="1"/>
  <c r="GX181" i="1" s="1"/>
  <c r="C182" i="1"/>
  <c r="D182" i="1"/>
  <c r="R182" i="1"/>
  <c r="S182" i="1"/>
  <c r="CZ182" i="1" s="1"/>
  <c r="Y182" i="1" s="1"/>
  <c r="AC182" i="1"/>
  <c r="AB182" i="1" s="1"/>
  <c r="AD182" i="1"/>
  <c r="AE182" i="1"/>
  <c r="Q182" i="1" s="1"/>
  <c r="AF182" i="1"/>
  <c r="AG182" i="1"/>
  <c r="CU182" i="1" s="1"/>
  <c r="T182" i="1" s="1"/>
  <c r="AH182" i="1"/>
  <c r="CV182" i="1" s="1"/>
  <c r="U182" i="1" s="1"/>
  <c r="AI182" i="1"/>
  <c r="AJ182" i="1"/>
  <c r="CR182" i="1"/>
  <c r="CS182" i="1"/>
  <c r="CT182" i="1"/>
  <c r="CW182" i="1"/>
  <c r="V182" i="1" s="1"/>
  <c r="CX182" i="1"/>
  <c r="W182" i="1" s="1"/>
  <c r="CY182" i="1"/>
  <c r="X182" i="1" s="1"/>
  <c r="FR182" i="1"/>
  <c r="GK182" i="1"/>
  <c r="GL182" i="1"/>
  <c r="GO182" i="1"/>
  <c r="GP182" i="1"/>
  <c r="GV182" i="1"/>
  <c r="HC182" i="1"/>
  <c r="GX182" i="1" s="1"/>
  <c r="C183" i="1"/>
  <c r="D183" i="1"/>
  <c r="P183" i="1"/>
  <c r="S183" i="1"/>
  <c r="AC183" i="1"/>
  <c r="AE183" i="1"/>
  <c r="AF183" i="1"/>
  <c r="AG183" i="1"/>
  <c r="AH183" i="1"/>
  <c r="CV183" i="1" s="1"/>
  <c r="U183" i="1" s="1"/>
  <c r="AI183" i="1"/>
  <c r="CW183" i="1" s="1"/>
  <c r="V183" i="1" s="1"/>
  <c r="AJ183" i="1"/>
  <c r="CQ183" i="1"/>
  <c r="CT183" i="1"/>
  <c r="CU183" i="1"/>
  <c r="T183" i="1" s="1"/>
  <c r="DY193" i="1" s="1"/>
  <c r="CX183" i="1"/>
  <c r="W183" i="1" s="1"/>
  <c r="CY183" i="1"/>
  <c r="X183" i="1" s="1"/>
  <c r="CZ183" i="1"/>
  <c r="Y183" i="1" s="1"/>
  <c r="FR183" i="1"/>
  <c r="GL183" i="1"/>
  <c r="GO183" i="1"/>
  <c r="GP183" i="1"/>
  <c r="GV183" i="1"/>
  <c r="HC183" i="1" s="1"/>
  <c r="GX183" i="1" s="1"/>
  <c r="I184" i="1"/>
  <c r="Q184" i="1" s="1"/>
  <c r="V184" i="1"/>
  <c r="AC184" i="1"/>
  <c r="AB184" i="1" s="1"/>
  <c r="AE184" i="1"/>
  <c r="AD184" i="1" s="1"/>
  <c r="AF184" i="1"/>
  <c r="S184" i="1" s="1"/>
  <c r="AG184" i="1"/>
  <c r="CU184" i="1" s="1"/>
  <c r="AH184" i="1"/>
  <c r="AI184" i="1"/>
  <c r="AJ184" i="1"/>
  <c r="CX184" i="1" s="1"/>
  <c r="W184" i="1" s="1"/>
  <c r="CR184" i="1"/>
  <c r="CS184" i="1"/>
  <c r="CT184" i="1"/>
  <c r="CV184" i="1"/>
  <c r="CW184" i="1"/>
  <c r="FR184" i="1"/>
  <c r="GL184" i="1"/>
  <c r="GO184" i="1"/>
  <c r="GP184" i="1"/>
  <c r="GV184" i="1"/>
  <c r="HC184" i="1"/>
  <c r="GX184" i="1" s="1"/>
  <c r="CJ193" i="1" s="1"/>
  <c r="I185" i="1"/>
  <c r="P185" i="1"/>
  <c r="S185" i="1"/>
  <c r="AC185" i="1"/>
  <c r="AE185" i="1"/>
  <c r="AF185" i="1"/>
  <c r="AG185" i="1"/>
  <c r="AH185" i="1"/>
  <c r="CV185" i="1" s="1"/>
  <c r="U185" i="1" s="1"/>
  <c r="AI185" i="1"/>
  <c r="CW185" i="1" s="1"/>
  <c r="V185" i="1" s="1"/>
  <c r="AJ185" i="1"/>
  <c r="CQ185" i="1"/>
  <c r="CT185" i="1"/>
  <c r="CU185" i="1"/>
  <c r="T185" i="1" s="1"/>
  <c r="CX185" i="1"/>
  <c r="W185" i="1" s="1"/>
  <c r="CY185" i="1"/>
  <c r="X185" i="1" s="1"/>
  <c r="CZ185" i="1"/>
  <c r="Y185" i="1" s="1"/>
  <c r="FR185" i="1"/>
  <c r="GL185" i="1"/>
  <c r="GO185" i="1"/>
  <c r="GP185" i="1"/>
  <c r="GV185" i="1"/>
  <c r="HC185" i="1" s="1"/>
  <c r="GX185" i="1" s="1"/>
  <c r="C186" i="1"/>
  <c r="D186" i="1"/>
  <c r="P186" i="1"/>
  <c r="Q186" i="1"/>
  <c r="R186" i="1"/>
  <c r="GK186" i="1" s="1"/>
  <c r="U186" i="1"/>
  <c r="AB186" i="1"/>
  <c r="AC186" i="1"/>
  <c r="AE186" i="1"/>
  <c r="AD186" i="1" s="1"/>
  <c r="AF186" i="1"/>
  <c r="AG186" i="1"/>
  <c r="AH186" i="1"/>
  <c r="AI186" i="1"/>
  <c r="AJ186" i="1"/>
  <c r="CX186" i="1" s="1"/>
  <c r="W186" i="1" s="1"/>
  <c r="CQ186" i="1"/>
  <c r="CR186" i="1"/>
  <c r="CS186" i="1"/>
  <c r="CU186" i="1"/>
  <c r="T186" i="1" s="1"/>
  <c r="CV186" i="1"/>
  <c r="CW186" i="1"/>
  <c r="V186" i="1" s="1"/>
  <c r="FR186" i="1"/>
  <c r="GL186" i="1"/>
  <c r="GO186" i="1"/>
  <c r="GP186" i="1"/>
  <c r="GV186" i="1"/>
  <c r="HC186" i="1" s="1"/>
  <c r="GX186" i="1"/>
  <c r="C187" i="1"/>
  <c r="D187" i="1"/>
  <c r="AC187" i="1"/>
  <c r="AB187" i="1" s="1"/>
  <c r="AE187" i="1"/>
  <c r="AD187" i="1" s="1"/>
  <c r="AF187" i="1"/>
  <c r="S187" i="1" s="1"/>
  <c r="AG187" i="1"/>
  <c r="CU187" i="1" s="1"/>
  <c r="T187" i="1" s="1"/>
  <c r="AH187" i="1"/>
  <c r="AI187" i="1"/>
  <c r="AJ187" i="1"/>
  <c r="CX187" i="1" s="1"/>
  <c r="W187" i="1" s="1"/>
  <c r="CR187" i="1"/>
  <c r="CS187" i="1"/>
  <c r="CT187" i="1"/>
  <c r="CV187" i="1"/>
  <c r="U187" i="1" s="1"/>
  <c r="CW187" i="1"/>
  <c r="V187" i="1" s="1"/>
  <c r="FR187" i="1"/>
  <c r="GL187" i="1"/>
  <c r="GO187" i="1"/>
  <c r="GP187" i="1"/>
  <c r="GV187" i="1"/>
  <c r="HC187" i="1" s="1"/>
  <c r="GX187" i="1" s="1"/>
  <c r="I188" i="1"/>
  <c r="Q188" i="1"/>
  <c r="S188" i="1"/>
  <c r="CZ188" i="1" s="1"/>
  <c r="Y188" i="1" s="1"/>
  <c r="T188" i="1"/>
  <c r="AC188" i="1"/>
  <c r="AD188" i="1"/>
  <c r="AE188" i="1"/>
  <c r="AF188" i="1"/>
  <c r="AG188" i="1"/>
  <c r="AH188" i="1"/>
  <c r="AI188" i="1"/>
  <c r="CW188" i="1" s="1"/>
  <c r="V188" i="1" s="1"/>
  <c r="AJ188" i="1"/>
  <c r="CQ188" i="1"/>
  <c r="CR188" i="1"/>
  <c r="CT188" i="1"/>
  <c r="CU188" i="1"/>
  <c r="CV188" i="1"/>
  <c r="U188" i="1" s="1"/>
  <c r="CX188" i="1"/>
  <c r="W188" i="1" s="1"/>
  <c r="CY188" i="1"/>
  <c r="X188" i="1" s="1"/>
  <c r="FR188" i="1"/>
  <c r="GL188" i="1"/>
  <c r="GO188" i="1"/>
  <c r="GP188" i="1"/>
  <c r="GV188" i="1"/>
  <c r="HC188" i="1" s="1"/>
  <c r="GX188" i="1" s="1"/>
  <c r="I189" i="1"/>
  <c r="Q189" i="1"/>
  <c r="AC189" i="1"/>
  <c r="AE189" i="1"/>
  <c r="AD189" i="1" s="1"/>
  <c r="AF189" i="1"/>
  <c r="S189" i="1" s="1"/>
  <c r="AG189" i="1"/>
  <c r="CU189" i="1" s="1"/>
  <c r="T189" i="1" s="1"/>
  <c r="AH189" i="1"/>
  <c r="AI189" i="1"/>
  <c r="AJ189" i="1"/>
  <c r="CX189" i="1" s="1"/>
  <c r="W189" i="1" s="1"/>
  <c r="CR189" i="1"/>
  <c r="CS189" i="1"/>
  <c r="CT189" i="1"/>
  <c r="CV189" i="1"/>
  <c r="U189" i="1" s="1"/>
  <c r="CW189" i="1"/>
  <c r="V189" i="1" s="1"/>
  <c r="FR189" i="1"/>
  <c r="GL189" i="1"/>
  <c r="GO189" i="1"/>
  <c r="GP189" i="1"/>
  <c r="GV189" i="1"/>
  <c r="HC189" i="1"/>
  <c r="GX189" i="1" s="1"/>
  <c r="C190" i="1"/>
  <c r="D190" i="1"/>
  <c r="R190" i="1"/>
  <c r="V190" i="1"/>
  <c r="AC190" i="1"/>
  <c r="AB190" i="1" s="1"/>
  <c r="AD190" i="1"/>
  <c r="AE190" i="1"/>
  <c r="Q190" i="1" s="1"/>
  <c r="AF190" i="1"/>
  <c r="S190" i="1" s="1"/>
  <c r="AG190" i="1"/>
  <c r="CU190" i="1" s="1"/>
  <c r="T190" i="1" s="1"/>
  <c r="AH190" i="1"/>
  <c r="CV190" i="1" s="1"/>
  <c r="U190" i="1" s="1"/>
  <c r="AI190" i="1"/>
  <c r="AJ190" i="1"/>
  <c r="CR190" i="1"/>
  <c r="CS190" i="1"/>
  <c r="CT190" i="1"/>
  <c r="CW190" i="1"/>
  <c r="CX190" i="1"/>
  <c r="W190" i="1" s="1"/>
  <c r="FR190" i="1"/>
  <c r="GK190" i="1"/>
  <c r="GL190" i="1"/>
  <c r="GO190" i="1"/>
  <c r="GP190" i="1"/>
  <c r="GV190" i="1"/>
  <c r="GX190" i="1"/>
  <c r="HC190" i="1"/>
  <c r="C191" i="1"/>
  <c r="D191" i="1"/>
  <c r="S191" i="1"/>
  <c r="CZ191" i="1" s="1"/>
  <c r="Y191" i="1" s="1"/>
  <c r="T191" i="1"/>
  <c r="AC191" i="1"/>
  <c r="AD191" i="1"/>
  <c r="AE191" i="1"/>
  <c r="AF191" i="1"/>
  <c r="AG191" i="1"/>
  <c r="AH191" i="1"/>
  <c r="AI191" i="1"/>
  <c r="CW191" i="1" s="1"/>
  <c r="V191" i="1" s="1"/>
  <c r="AJ191" i="1"/>
  <c r="CQ191" i="1"/>
  <c r="CR191" i="1"/>
  <c r="CT191" i="1"/>
  <c r="CU191" i="1"/>
  <c r="CV191" i="1"/>
  <c r="U191" i="1" s="1"/>
  <c r="CX191" i="1"/>
  <c r="W191" i="1" s="1"/>
  <c r="CY191" i="1"/>
  <c r="X191" i="1" s="1"/>
  <c r="FR191" i="1"/>
  <c r="GL191" i="1"/>
  <c r="GO191" i="1"/>
  <c r="GP191" i="1"/>
  <c r="FV193" i="1" s="1"/>
  <c r="GV191" i="1"/>
  <c r="HC191" i="1" s="1"/>
  <c r="GX191" i="1" s="1"/>
  <c r="B193" i="1"/>
  <c r="B152" i="1" s="1"/>
  <c r="C193" i="1"/>
  <c r="C152" i="1" s="1"/>
  <c r="D193" i="1"/>
  <c r="D152" i="1" s="1"/>
  <c r="F193" i="1"/>
  <c r="F152" i="1" s="1"/>
  <c r="G193" i="1"/>
  <c r="G152" i="1" s="1"/>
  <c r="BX193" i="1"/>
  <c r="BX152" i="1" s="1"/>
  <c r="BY193" i="1"/>
  <c r="CC193" i="1"/>
  <c r="CC152" i="1" s="1"/>
  <c r="CD193" i="1"/>
  <c r="CD152" i="1" s="1"/>
  <c r="CK193" i="1"/>
  <c r="CK152" i="1" s="1"/>
  <c r="CL193" i="1"/>
  <c r="CL152" i="1" s="1"/>
  <c r="CM193" i="1"/>
  <c r="CM152" i="1" s="1"/>
  <c r="EV193" i="1"/>
  <c r="EV152" i="1" s="1"/>
  <c r="FP193" i="1"/>
  <c r="FR193" i="1"/>
  <c r="FR152" i="1" s="1"/>
  <c r="GC193" i="1"/>
  <c r="GC152" i="1" s="1"/>
  <c r="GD193" i="1"/>
  <c r="GD152" i="1" s="1"/>
  <c r="GE193" i="1"/>
  <c r="GE152" i="1" s="1"/>
  <c r="D223" i="1"/>
  <c r="E225" i="1"/>
  <c r="Z225" i="1"/>
  <c r="AA225" i="1"/>
  <c r="AM225" i="1"/>
  <c r="AN225" i="1"/>
  <c r="BE225" i="1"/>
  <c r="BF225" i="1"/>
  <c r="BG225" i="1"/>
  <c r="BH225" i="1"/>
  <c r="BI225" i="1"/>
  <c r="BJ225" i="1"/>
  <c r="BK225" i="1"/>
  <c r="BL225" i="1"/>
  <c r="BM225" i="1"/>
  <c r="BN225" i="1"/>
  <c r="BO225" i="1"/>
  <c r="BP225" i="1"/>
  <c r="BQ225" i="1"/>
  <c r="BR225" i="1"/>
  <c r="BS225" i="1"/>
  <c r="BT225" i="1"/>
  <c r="BU225" i="1"/>
  <c r="BV225" i="1"/>
  <c r="BW225" i="1"/>
  <c r="CN225" i="1"/>
  <c r="CO225" i="1"/>
  <c r="CP225" i="1"/>
  <c r="CQ225" i="1"/>
  <c r="CR225" i="1"/>
  <c r="CS225" i="1"/>
  <c r="CT225" i="1"/>
  <c r="CU225" i="1"/>
  <c r="CV225" i="1"/>
  <c r="CW225" i="1"/>
  <c r="CX225" i="1"/>
  <c r="CY225" i="1"/>
  <c r="CZ225" i="1"/>
  <c r="DA225" i="1"/>
  <c r="DB225" i="1"/>
  <c r="DC225" i="1"/>
  <c r="DD225" i="1"/>
  <c r="DE225" i="1"/>
  <c r="DF225" i="1"/>
  <c r="DR225" i="1"/>
  <c r="DS225" i="1"/>
  <c r="EE225" i="1"/>
  <c r="EF225" i="1"/>
  <c r="EW225" i="1"/>
  <c r="EX225" i="1"/>
  <c r="EY225" i="1"/>
  <c r="EZ225" i="1"/>
  <c r="FA225" i="1"/>
  <c r="FB225" i="1"/>
  <c r="FC225" i="1"/>
  <c r="FD225" i="1"/>
  <c r="FE225" i="1"/>
  <c r="FF225" i="1"/>
  <c r="FG225" i="1"/>
  <c r="FH225" i="1"/>
  <c r="FI225" i="1"/>
  <c r="FJ225" i="1"/>
  <c r="FK225" i="1"/>
  <c r="FL225" i="1"/>
  <c r="FM225" i="1"/>
  <c r="FN225" i="1"/>
  <c r="FO225" i="1"/>
  <c r="GF225" i="1"/>
  <c r="GG225" i="1"/>
  <c r="GH225" i="1"/>
  <c r="GI225" i="1"/>
  <c r="GJ225" i="1"/>
  <c r="GK225" i="1"/>
  <c r="GL225" i="1"/>
  <c r="GM225" i="1"/>
  <c r="GN225" i="1"/>
  <c r="GO225" i="1"/>
  <c r="GP225" i="1"/>
  <c r="GQ225" i="1"/>
  <c r="GR225" i="1"/>
  <c r="GS225" i="1"/>
  <c r="GT225" i="1"/>
  <c r="GU225" i="1"/>
  <c r="GV225" i="1"/>
  <c r="GW225" i="1"/>
  <c r="GX225" i="1"/>
  <c r="C227" i="1"/>
  <c r="D227" i="1"/>
  <c r="R227" i="1"/>
  <c r="GK227" i="1" s="1"/>
  <c r="T227" i="1"/>
  <c r="AC227" i="1"/>
  <c r="P227" i="1" s="1"/>
  <c r="CP227" i="1" s="1"/>
  <c r="O227" i="1" s="1"/>
  <c r="AD227" i="1"/>
  <c r="AE227" i="1"/>
  <c r="Q227" i="1" s="1"/>
  <c r="AF227" i="1"/>
  <c r="S227" i="1" s="1"/>
  <c r="AG227" i="1"/>
  <c r="AH227" i="1"/>
  <c r="CV227" i="1" s="1"/>
  <c r="U227" i="1" s="1"/>
  <c r="AI227" i="1"/>
  <c r="AJ227" i="1"/>
  <c r="CQ227" i="1"/>
  <c r="CR227" i="1"/>
  <c r="CS227" i="1"/>
  <c r="CU227" i="1"/>
  <c r="CW227" i="1"/>
  <c r="V227" i="1" s="1"/>
  <c r="CX227" i="1"/>
  <c r="W227" i="1" s="1"/>
  <c r="FR227" i="1"/>
  <c r="GL227" i="1"/>
  <c r="GO227" i="1"/>
  <c r="GP227" i="1"/>
  <c r="GV227" i="1"/>
  <c r="HC227" i="1"/>
  <c r="GX227" i="1" s="1"/>
  <c r="C228" i="1"/>
  <c r="D228" i="1"/>
  <c r="S228" i="1"/>
  <c r="CZ228" i="1" s="1"/>
  <c r="Y228" i="1" s="1"/>
  <c r="U228" i="1"/>
  <c r="AC228" i="1"/>
  <c r="CQ228" i="1" s="1"/>
  <c r="AE228" i="1"/>
  <c r="AF228" i="1"/>
  <c r="AG228" i="1"/>
  <c r="AH228" i="1"/>
  <c r="AI228" i="1"/>
  <c r="CW228" i="1" s="1"/>
  <c r="V228" i="1" s="1"/>
  <c r="AJ228" i="1"/>
  <c r="CR228" i="1"/>
  <c r="CT228" i="1"/>
  <c r="CU228" i="1"/>
  <c r="T228" i="1" s="1"/>
  <c r="CV228" i="1"/>
  <c r="CX228" i="1"/>
  <c r="W228" i="1" s="1"/>
  <c r="FR228" i="1"/>
  <c r="GL228" i="1"/>
  <c r="GO228" i="1"/>
  <c r="GP228" i="1"/>
  <c r="GV228" i="1"/>
  <c r="HC228" i="1"/>
  <c r="GX228" i="1" s="1"/>
  <c r="I229" i="1"/>
  <c r="Q229" i="1" s="1"/>
  <c r="AB229" i="1"/>
  <c r="AC229" i="1"/>
  <c r="AE229" i="1"/>
  <c r="AD229" i="1" s="1"/>
  <c r="AF229" i="1"/>
  <c r="S229" i="1" s="1"/>
  <c r="AG229" i="1"/>
  <c r="CU229" i="1" s="1"/>
  <c r="T229" i="1" s="1"/>
  <c r="AH229" i="1"/>
  <c r="AI229" i="1"/>
  <c r="CW229" i="1" s="1"/>
  <c r="V229" i="1" s="1"/>
  <c r="AJ229" i="1"/>
  <c r="CS229" i="1"/>
  <c r="CT229" i="1"/>
  <c r="CV229" i="1"/>
  <c r="U229" i="1" s="1"/>
  <c r="CX229" i="1"/>
  <c r="W229" i="1" s="1"/>
  <c r="FR229" i="1"/>
  <c r="GL229" i="1"/>
  <c r="GO229" i="1"/>
  <c r="GP229" i="1"/>
  <c r="GV229" i="1"/>
  <c r="HC229" i="1" s="1"/>
  <c r="GX229" i="1" s="1"/>
  <c r="I230" i="1"/>
  <c r="S230" i="1"/>
  <c r="CY230" i="1" s="1"/>
  <c r="X230" i="1" s="1"/>
  <c r="U230" i="1"/>
  <c r="AC230" i="1"/>
  <c r="CQ230" i="1" s="1"/>
  <c r="AE230" i="1"/>
  <c r="Q230" i="1" s="1"/>
  <c r="AF230" i="1"/>
  <c r="AG230" i="1"/>
  <c r="AH230" i="1"/>
  <c r="AI230" i="1"/>
  <c r="CW230" i="1" s="1"/>
  <c r="V230" i="1" s="1"/>
  <c r="AJ230" i="1"/>
  <c r="CR230" i="1"/>
  <c r="CT230" i="1"/>
  <c r="CU230" i="1"/>
  <c r="T230" i="1" s="1"/>
  <c r="CV230" i="1"/>
  <c r="CX230" i="1"/>
  <c r="W230" i="1" s="1"/>
  <c r="CZ230" i="1"/>
  <c r="Y230" i="1" s="1"/>
  <c r="FR230" i="1"/>
  <c r="GL230" i="1"/>
  <c r="GO230" i="1"/>
  <c r="GP230" i="1"/>
  <c r="GV230" i="1"/>
  <c r="HC230" i="1"/>
  <c r="GX230" i="1" s="1"/>
  <c r="C231" i="1"/>
  <c r="D231" i="1"/>
  <c r="P231" i="1"/>
  <c r="Q231" i="1"/>
  <c r="T231" i="1"/>
  <c r="AC231" i="1"/>
  <c r="AE231" i="1"/>
  <c r="R231" i="1" s="1"/>
  <c r="GK231" i="1" s="1"/>
  <c r="AF231" i="1"/>
  <c r="AG231" i="1"/>
  <c r="AH231" i="1"/>
  <c r="AI231" i="1"/>
  <c r="CW231" i="1" s="1"/>
  <c r="V231" i="1" s="1"/>
  <c r="AJ231" i="1"/>
  <c r="CX231" i="1" s="1"/>
  <c r="W231" i="1" s="1"/>
  <c r="CQ231" i="1"/>
  <c r="CS231" i="1"/>
  <c r="CU231" i="1"/>
  <c r="CV231" i="1"/>
  <c r="U231" i="1" s="1"/>
  <c r="FR231" i="1"/>
  <c r="GL231" i="1"/>
  <c r="GO231" i="1"/>
  <c r="GP231" i="1"/>
  <c r="GV231" i="1"/>
  <c r="HC231" i="1" s="1"/>
  <c r="GX231" i="1" s="1"/>
  <c r="C232" i="1"/>
  <c r="D232" i="1"/>
  <c r="AC232" i="1"/>
  <c r="AE232" i="1"/>
  <c r="AD232" i="1" s="1"/>
  <c r="AB232" i="1" s="1"/>
  <c r="AF232" i="1"/>
  <c r="S232" i="1" s="1"/>
  <c r="AG232" i="1"/>
  <c r="CU232" i="1" s="1"/>
  <c r="T232" i="1" s="1"/>
  <c r="AH232" i="1"/>
  <c r="AI232" i="1"/>
  <c r="CW232" i="1" s="1"/>
  <c r="V232" i="1" s="1"/>
  <c r="AJ232" i="1"/>
  <c r="CS232" i="1"/>
  <c r="CT232" i="1"/>
  <c r="CV232" i="1"/>
  <c r="U232" i="1" s="1"/>
  <c r="CX232" i="1"/>
  <c r="W232" i="1" s="1"/>
  <c r="FR232" i="1"/>
  <c r="GL232" i="1"/>
  <c r="GO232" i="1"/>
  <c r="GP232" i="1"/>
  <c r="GV232" i="1"/>
  <c r="GX232" i="1"/>
  <c r="HC232" i="1"/>
  <c r="I233" i="1"/>
  <c r="S233" i="1"/>
  <c r="CZ233" i="1" s="1"/>
  <c r="Y233" i="1" s="1"/>
  <c r="U233" i="1"/>
  <c r="AC233" i="1"/>
  <c r="CQ233" i="1" s="1"/>
  <c r="AE233" i="1"/>
  <c r="AF233" i="1"/>
  <c r="AG233" i="1"/>
  <c r="AH233" i="1"/>
  <c r="AI233" i="1"/>
  <c r="CW233" i="1" s="1"/>
  <c r="V233" i="1" s="1"/>
  <c r="AJ233" i="1"/>
  <c r="CR233" i="1"/>
  <c r="CT233" i="1"/>
  <c r="CU233" i="1"/>
  <c r="T233" i="1" s="1"/>
  <c r="CV233" i="1"/>
  <c r="CX233" i="1"/>
  <c r="W233" i="1" s="1"/>
  <c r="FR233" i="1"/>
  <c r="GL233" i="1"/>
  <c r="GO233" i="1"/>
  <c r="GP233" i="1"/>
  <c r="GV233" i="1"/>
  <c r="HC233" i="1"/>
  <c r="GX233" i="1" s="1"/>
  <c r="I234" i="1"/>
  <c r="Q234" i="1" s="1"/>
  <c r="CP234" i="1" s="1"/>
  <c r="O234" i="1" s="1"/>
  <c r="R234" i="1"/>
  <c r="GK234" i="1" s="1"/>
  <c r="AC234" i="1"/>
  <c r="P234" i="1" s="1"/>
  <c r="AD234" i="1"/>
  <c r="AB234" i="1" s="1"/>
  <c r="AE234" i="1"/>
  <c r="AF234" i="1"/>
  <c r="S234" i="1" s="1"/>
  <c r="AG234" i="1"/>
  <c r="AH234" i="1"/>
  <c r="CV234" i="1" s="1"/>
  <c r="U234" i="1" s="1"/>
  <c r="AI234" i="1"/>
  <c r="AJ234" i="1"/>
  <c r="CX234" i="1" s="1"/>
  <c r="W234" i="1" s="1"/>
  <c r="CQ234" i="1"/>
  <c r="CR234" i="1"/>
  <c r="CS234" i="1"/>
  <c r="CU234" i="1"/>
  <c r="T234" i="1" s="1"/>
  <c r="CW234" i="1"/>
  <c r="V234" i="1" s="1"/>
  <c r="FR234" i="1"/>
  <c r="GL234" i="1"/>
  <c r="GO234" i="1"/>
  <c r="GP234" i="1"/>
  <c r="GV234" i="1"/>
  <c r="GX234" i="1"/>
  <c r="HC234" i="1"/>
  <c r="C235" i="1"/>
  <c r="D235" i="1"/>
  <c r="S235" i="1"/>
  <c r="CY235" i="1" s="1"/>
  <c r="X235" i="1" s="1"/>
  <c r="AC235" i="1"/>
  <c r="P235" i="1" s="1"/>
  <c r="AE235" i="1"/>
  <c r="AD235" i="1" s="1"/>
  <c r="AF235" i="1"/>
  <c r="AG235" i="1"/>
  <c r="CU235" i="1" s="1"/>
  <c r="T235" i="1" s="1"/>
  <c r="AH235" i="1"/>
  <c r="AI235" i="1"/>
  <c r="CW235" i="1" s="1"/>
  <c r="V235" i="1" s="1"/>
  <c r="AJ235" i="1"/>
  <c r="CR235" i="1"/>
  <c r="CT235" i="1"/>
  <c r="CV235" i="1"/>
  <c r="U235" i="1" s="1"/>
  <c r="CX235" i="1"/>
  <c r="W235" i="1" s="1"/>
  <c r="CZ235" i="1"/>
  <c r="Y235" i="1" s="1"/>
  <c r="FR235" i="1"/>
  <c r="GL235" i="1"/>
  <c r="GO235" i="1"/>
  <c r="GP235" i="1"/>
  <c r="GV235" i="1"/>
  <c r="HC235" i="1" s="1"/>
  <c r="GX235" i="1" s="1"/>
  <c r="C236" i="1"/>
  <c r="D236" i="1"/>
  <c r="P236" i="1"/>
  <c r="R236" i="1"/>
  <c r="GK236" i="1" s="1"/>
  <c r="AC236" i="1"/>
  <c r="AD236" i="1"/>
  <c r="AE236" i="1"/>
  <c r="Q236" i="1" s="1"/>
  <c r="AF236" i="1"/>
  <c r="AB236" i="1" s="1"/>
  <c r="AG236" i="1"/>
  <c r="AH236" i="1"/>
  <c r="CV236" i="1" s="1"/>
  <c r="U236" i="1" s="1"/>
  <c r="AI236" i="1"/>
  <c r="AJ236" i="1"/>
  <c r="CX236" i="1" s="1"/>
  <c r="W236" i="1" s="1"/>
  <c r="CQ236" i="1"/>
  <c r="CR236" i="1"/>
  <c r="CS236" i="1"/>
  <c r="CU236" i="1"/>
  <c r="T236" i="1" s="1"/>
  <c r="CW236" i="1"/>
  <c r="V236" i="1" s="1"/>
  <c r="FR236" i="1"/>
  <c r="GL236" i="1"/>
  <c r="GO236" i="1"/>
  <c r="GP236" i="1"/>
  <c r="GV236" i="1"/>
  <c r="HC236" i="1" s="1"/>
  <c r="GX236" i="1" s="1"/>
  <c r="I237" i="1"/>
  <c r="Q237" i="1" s="1"/>
  <c r="P237" i="1"/>
  <c r="R237" i="1"/>
  <c r="GK237" i="1" s="1"/>
  <c r="AC237" i="1"/>
  <c r="AD237" i="1"/>
  <c r="AB237" i="1" s="1"/>
  <c r="AE237" i="1"/>
  <c r="AF237" i="1"/>
  <c r="S237" i="1" s="1"/>
  <c r="AG237" i="1"/>
  <c r="AH237" i="1"/>
  <c r="CV237" i="1" s="1"/>
  <c r="U237" i="1" s="1"/>
  <c r="AI237" i="1"/>
  <c r="AJ237" i="1"/>
  <c r="CX237" i="1" s="1"/>
  <c r="W237" i="1" s="1"/>
  <c r="CQ237" i="1"/>
  <c r="CR237" i="1"/>
  <c r="CS237" i="1"/>
  <c r="CU237" i="1"/>
  <c r="T237" i="1" s="1"/>
  <c r="CW237" i="1"/>
  <c r="V237" i="1" s="1"/>
  <c r="FR237" i="1"/>
  <c r="GL237" i="1"/>
  <c r="GO237" i="1"/>
  <c r="GP237" i="1"/>
  <c r="GV237" i="1"/>
  <c r="GX237" i="1"/>
  <c r="HC237" i="1"/>
  <c r="I238" i="1"/>
  <c r="P238" i="1" s="1"/>
  <c r="R238" i="1"/>
  <c r="GK238" i="1" s="1"/>
  <c r="AC238" i="1"/>
  <c r="AD238" i="1"/>
  <c r="AE238" i="1"/>
  <c r="AF238" i="1"/>
  <c r="AB238" i="1" s="1"/>
  <c r="AG238" i="1"/>
  <c r="AH238" i="1"/>
  <c r="CV238" i="1" s="1"/>
  <c r="U238" i="1" s="1"/>
  <c r="AI238" i="1"/>
  <c r="AJ238" i="1"/>
  <c r="CX238" i="1" s="1"/>
  <c r="W238" i="1" s="1"/>
  <c r="CQ238" i="1"/>
  <c r="CR238" i="1"/>
  <c r="CS238" i="1"/>
  <c r="CU238" i="1"/>
  <c r="T238" i="1" s="1"/>
  <c r="CW238" i="1"/>
  <c r="V238" i="1" s="1"/>
  <c r="FR238" i="1"/>
  <c r="GL238" i="1"/>
  <c r="GO238" i="1"/>
  <c r="GP238" i="1"/>
  <c r="GV238" i="1"/>
  <c r="HC238" i="1" s="1"/>
  <c r="GX238" i="1" s="1"/>
  <c r="I239" i="1"/>
  <c r="Q239" i="1" s="1"/>
  <c r="P239" i="1"/>
  <c r="CP239" i="1" s="1"/>
  <c r="O239" i="1" s="1"/>
  <c r="R239" i="1"/>
  <c r="GK239" i="1" s="1"/>
  <c r="AC239" i="1"/>
  <c r="AD239" i="1"/>
  <c r="AB239" i="1" s="1"/>
  <c r="AE239" i="1"/>
  <c r="AF239" i="1"/>
  <c r="S239" i="1" s="1"/>
  <c r="AG239" i="1"/>
  <c r="AH239" i="1"/>
  <c r="CV239" i="1" s="1"/>
  <c r="U239" i="1" s="1"/>
  <c r="AI239" i="1"/>
  <c r="AJ239" i="1"/>
  <c r="CX239" i="1" s="1"/>
  <c r="W239" i="1" s="1"/>
  <c r="CQ239" i="1"/>
  <c r="CR239" i="1"/>
  <c r="CS239" i="1"/>
  <c r="CU239" i="1"/>
  <c r="T239" i="1" s="1"/>
  <c r="CW239" i="1"/>
  <c r="V239" i="1" s="1"/>
  <c r="FR239" i="1"/>
  <c r="GL239" i="1"/>
  <c r="GO239" i="1"/>
  <c r="GP239" i="1"/>
  <c r="GV239" i="1"/>
  <c r="GX239" i="1"/>
  <c r="HC239" i="1"/>
  <c r="I240" i="1"/>
  <c r="P240" i="1" s="1"/>
  <c r="R240" i="1"/>
  <c r="GK240" i="1" s="1"/>
  <c r="AC240" i="1"/>
  <c r="AD240" i="1"/>
  <c r="AE240" i="1"/>
  <c r="AF240" i="1"/>
  <c r="AB240" i="1" s="1"/>
  <c r="AG240" i="1"/>
  <c r="AH240" i="1"/>
  <c r="CV240" i="1" s="1"/>
  <c r="U240" i="1" s="1"/>
  <c r="AI240" i="1"/>
  <c r="AJ240" i="1"/>
  <c r="CX240" i="1" s="1"/>
  <c r="W240" i="1" s="1"/>
  <c r="CQ240" i="1"/>
  <c r="CR240" i="1"/>
  <c r="CS240" i="1"/>
  <c r="CU240" i="1"/>
  <c r="T240" i="1" s="1"/>
  <c r="CW240" i="1"/>
  <c r="V240" i="1" s="1"/>
  <c r="FR240" i="1"/>
  <c r="GL240" i="1"/>
  <c r="GO240" i="1"/>
  <c r="GP240" i="1"/>
  <c r="GV240" i="1"/>
  <c r="HC240" i="1" s="1"/>
  <c r="GX240" i="1" s="1"/>
  <c r="S241" i="1"/>
  <c r="CY241" i="1" s="1"/>
  <c r="X241" i="1" s="1"/>
  <c r="AC241" i="1"/>
  <c r="P241" i="1" s="1"/>
  <c r="AE241" i="1"/>
  <c r="AD241" i="1" s="1"/>
  <c r="AF241" i="1"/>
  <c r="AG241" i="1"/>
  <c r="CU241" i="1" s="1"/>
  <c r="T241" i="1" s="1"/>
  <c r="AH241" i="1"/>
  <c r="AI241" i="1"/>
  <c r="CW241" i="1" s="1"/>
  <c r="V241" i="1" s="1"/>
  <c r="AJ241" i="1"/>
  <c r="CR241" i="1"/>
  <c r="CT241" i="1"/>
  <c r="CV241" i="1"/>
  <c r="U241" i="1" s="1"/>
  <c r="CX241" i="1"/>
  <c r="W241" i="1" s="1"/>
  <c r="CZ241" i="1"/>
  <c r="Y241" i="1" s="1"/>
  <c r="FR241" i="1"/>
  <c r="GL241" i="1"/>
  <c r="GO241" i="1"/>
  <c r="GP241" i="1"/>
  <c r="GV241" i="1"/>
  <c r="HC241" i="1" s="1"/>
  <c r="GX241" i="1" s="1"/>
  <c r="P242" i="1"/>
  <c r="R242" i="1"/>
  <c r="GK242" i="1" s="1"/>
  <c r="AC242" i="1"/>
  <c r="AD242" i="1"/>
  <c r="AB242" i="1" s="1"/>
  <c r="AE242" i="1"/>
  <c r="Q242" i="1" s="1"/>
  <c r="AF242" i="1"/>
  <c r="S242" i="1" s="1"/>
  <c r="AG242" i="1"/>
  <c r="AH242" i="1"/>
  <c r="CV242" i="1" s="1"/>
  <c r="U242" i="1" s="1"/>
  <c r="AI242" i="1"/>
  <c r="AJ242" i="1"/>
  <c r="CX242" i="1" s="1"/>
  <c r="W242" i="1" s="1"/>
  <c r="CQ242" i="1"/>
  <c r="CR242" i="1"/>
  <c r="CS242" i="1"/>
  <c r="CU242" i="1"/>
  <c r="T242" i="1" s="1"/>
  <c r="CW242" i="1"/>
  <c r="V242" i="1" s="1"/>
  <c r="FR242" i="1"/>
  <c r="GL242" i="1"/>
  <c r="GO242" i="1"/>
  <c r="GP242" i="1"/>
  <c r="GV242" i="1"/>
  <c r="GX242" i="1"/>
  <c r="HC242" i="1"/>
  <c r="S243" i="1"/>
  <c r="CZ243" i="1" s="1"/>
  <c r="Y243" i="1" s="1"/>
  <c r="AC243" i="1"/>
  <c r="AE243" i="1"/>
  <c r="Q243" i="1" s="1"/>
  <c r="AF243" i="1"/>
  <c r="AG243" i="1"/>
  <c r="CU243" i="1" s="1"/>
  <c r="T243" i="1" s="1"/>
  <c r="AH243" i="1"/>
  <c r="AI243" i="1"/>
  <c r="CW243" i="1" s="1"/>
  <c r="V243" i="1" s="1"/>
  <c r="AJ243" i="1"/>
  <c r="CR243" i="1"/>
  <c r="CT243" i="1"/>
  <c r="CV243" i="1"/>
  <c r="U243" i="1" s="1"/>
  <c r="CX243" i="1"/>
  <c r="W243" i="1" s="1"/>
  <c r="FR243" i="1"/>
  <c r="GL243" i="1"/>
  <c r="GO243" i="1"/>
  <c r="GP243" i="1"/>
  <c r="GV243" i="1"/>
  <c r="HC243" i="1"/>
  <c r="GX243" i="1" s="1"/>
  <c r="P244" i="1"/>
  <c r="R244" i="1"/>
  <c r="GK244" i="1" s="1"/>
  <c r="AC244" i="1"/>
  <c r="AD244" i="1"/>
  <c r="AE244" i="1"/>
  <c r="Q244" i="1" s="1"/>
  <c r="AF244" i="1"/>
  <c r="AB244" i="1" s="1"/>
  <c r="AG244" i="1"/>
  <c r="AH244" i="1"/>
  <c r="CV244" i="1" s="1"/>
  <c r="U244" i="1" s="1"/>
  <c r="AI244" i="1"/>
  <c r="AJ244" i="1"/>
  <c r="CX244" i="1" s="1"/>
  <c r="W244" i="1" s="1"/>
  <c r="CQ244" i="1"/>
  <c r="CR244" i="1"/>
  <c r="CS244" i="1"/>
  <c r="CU244" i="1"/>
  <c r="T244" i="1" s="1"/>
  <c r="CW244" i="1"/>
  <c r="V244" i="1" s="1"/>
  <c r="FR244" i="1"/>
  <c r="GL244" i="1"/>
  <c r="GO244" i="1"/>
  <c r="GP244" i="1"/>
  <c r="GV244" i="1"/>
  <c r="HC244" i="1" s="1"/>
  <c r="GX244" i="1" s="1"/>
  <c r="C245" i="1"/>
  <c r="D245" i="1"/>
  <c r="S245" i="1"/>
  <c r="CZ245" i="1" s="1"/>
  <c r="Y245" i="1" s="1"/>
  <c r="AC245" i="1"/>
  <c r="AE245" i="1"/>
  <c r="Q245" i="1" s="1"/>
  <c r="AF245" i="1"/>
  <c r="AG245" i="1"/>
  <c r="CU245" i="1" s="1"/>
  <c r="T245" i="1" s="1"/>
  <c r="AH245" i="1"/>
  <c r="AI245" i="1"/>
  <c r="CW245" i="1" s="1"/>
  <c r="V245" i="1" s="1"/>
  <c r="AJ245" i="1"/>
  <c r="CR245" i="1"/>
  <c r="CT245" i="1"/>
  <c r="CV245" i="1"/>
  <c r="U245" i="1" s="1"/>
  <c r="CX245" i="1"/>
  <c r="W245" i="1" s="1"/>
  <c r="FR245" i="1"/>
  <c r="GL245" i="1"/>
  <c r="GO245" i="1"/>
  <c r="GP245" i="1"/>
  <c r="GV245" i="1"/>
  <c r="HC245" i="1"/>
  <c r="GX245" i="1" s="1"/>
  <c r="C246" i="1"/>
  <c r="D246" i="1"/>
  <c r="P246" i="1"/>
  <c r="R246" i="1"/>
  <c r="GK246" i="1" s="1"/>
  <c r="AC246" i="1"/>
  <c r="AD246" i="1"/>
  <c r="AB246" i="1" s="1"/>
  <c r="AE246" i="1"/>
  <c r="Q246" i="1" s="1"/>
  <c r="AF246" i="1"/>
  <c r="S246" i="1" s="1"/>
  <c r="AG246" i="1"/>
  <c r="AH246" i="1"/>
  <c r="CV246" i="1" s="1"/>
  <c r="U246" i="1" s="1"/>
  <c r="AI246" i="1"/>
  <c r="AJ246" i="1"/>
  <c r="CX246" i="1" s="1"/>
  <c r="W246" i="1" s="1"/>
  <c r="CQ246" i="1"/>
  <c r="CR246" i="1"/>
  <c r="CS246" i="1"/>
  <c r="CU246" i="1"/>
  <c r="T246" i="1" s="1"/>
  <c r="CW246" i="1"/>
  <c r="V246" i="1" s="1"/>
  <c r="FR246" i="1"/>
  <c r="GL246" i="1"/>
  <c r="GO246" i="1"/>
  <c r="GP246" i="1"/>
  <c r="GV246" i="1"/>
  <c r="GX246" i="1"/>
  <c r="HC246" i="1"/>
  <c r="I247" i="1"/>
  <c r="P247" i="1" s="1"/>
  <c r="R247" i="1"/>
  <c r="GK247" i="1" s="1"/>
  <c r="AC247" i="1"/>
  <c r="AD247" i="1"/>
  <c r="AE247" i="1"/>
  <c r="AF247" i="1"/>
  <c r="AB247" i="1" s="1"/>
  <c r="AG247" i="1"/>
  <c r="AH247" i="1"/>
  <c r="CV247" i="1" s="1"/>
  <c r="U247" i="1" s="1"/>
  <c r="AI247" i="1"/>
  <c r="AJ247" i="1"/>
  <c r="CX247" i="1" s="1"/>
  <c r="W247" i="1" s="1"/>
  <c r="CQ247" i="1"/>
  <c r="CR247" i="1"/>
  <c r="CS247" i="1"/>
  <c r="CU247" i="1"/>
  <c r="T247" i="1" s="1"/>
  <c r="CW247" i="1"/>
  <c r="V247" i="1" s="1"/>
  <c r="FR247" i="1"/>
  <c r="GL247" i="1"/>
  <c r="GO247" i="1"/>
  <c r="GP247" i="1"/>
  <c r="GV247" i="1"/>
  <c r="HC247" i="1" s="1"/>
  <c r="GX247" i="1" s="1"/>
  <c r="I248" i="1"/>
  <c r="Q248" i="1" s="1"/>
  <c r="P248" i="1"/>
  <c r="R248" i="1"/>
  <c r="GK248" i="1" s="1"/>
  <c r="AC248" i="1"/>
  <c r="AD248" i="1"/>
  <c r="AB248" i="1" s="1"/>
  <c r="AE248" i="1"/>
  <c r="AF248" i="1"/>
  <c r="S248" i="1" s="1"/>
  <c r="AG248" i="1"/>
  <c r="AH248" i="1"/>
  <c r="CV248" i="1" s="1"/>
  <c r="U248" i="1" s="1"/>
  <c r="AI248" i="1"/>
  <c r="AJ248" i="1"/>
  <c r="CX248" i="1" s="1"/>
  <c r="W248" i="1" s="1"/>
  <c r="CQ248" i="1"/>
  <c r="CR248" i="1"/>
  <c r="CS248" i="1"/>
  <c r="CU248" i="1"/>
  <c r="T248" i="1" s="1"/>
  <c r="CW248" i="1"/>
  <c r="V248" i="1" s="1"/>
  <c r="FR248" i="1"/>
  <c r="GL248" i="1"/>
  <c r="GO248" i="1"/>
  <c r="GP248" i="1"/>
  <c r="GV248" i="1"/>
  <c r="GX248" i="1"/>
  <c r="HC248" i="1"/>
  <c r="I249" i="1"/>
  <c r="R249" i="1"/>
  <c r="GK249" i="1" s="1"/>
  <c r="AC249" i="1"/>
  <c r="AD249" i="1"/>
  <c r="AE249" i="1"/>
  <c r="AF249" i="1"/>
  <c r="AG249" i="1"/>
  <c r="AH249" i="1"/>
  <c r="CV249" i="1" s="1"/>
  <c r="U249" i="1" s="1"/>
  <c r="AI249" i="1"/>
  <c r="AJ249" i="1"/>
  <c r="CX249" i="1" s="1"/>
  <c r="CQ249" i="1"/>
  <c r="CR249" i="1"/>
  <c r="CS249" i="1"/>
  <c r="CU249" i="1"/>
  <c r="CW249" i="1"/>
  <c r="V249" i="1" s="1"/>
  <c r="FR249" i="1"/>
  <c r="GL249" i="1"/>
  <c r="GO249" i="1"/>
  <c r="GP249" i="1"/>
  <c r="GV249" i="1"/>
  <c r="HC249" i="1" s="1"/>
  <c r="I250" i="1"/>
  <c r="Q250" i="1" s="1"/>
  <c r="P250" i="1"/>
  <c r="CP250" i="1" s="1"/>
  <c r="O250" i="1" s="1"/>
  <c r="R250" i="1"/>
  <c r="GK250" i="1" s="1"/>
  <c r="AC250" i="1"/>
  <c r="AD250" i="1"/>
  <c r="AB250" i="1" s="1"/>
  <c r="AE250" i="1"/>
  <c r="AF250" i="1"/>
  <c r="S250" i="1" s="1"/>
  <c r="CZ250" i="1" s="1"/>
  <c r="Y250" i="1" s="1"/>
  <c r="AG250" i="1"/>
  <c r="AH250" i="1"/>
  <c r="CV250" i="1" s="1"/>
  <c r="U250" i="1" s="1"/>
  <c r="AI250" i="1"/>
  <c r="AJ250" i="1"/>
  <c r="CX250" i="1" s="1"/>
  <c r="W250" i="1" s="1"/>
  <c r="CQ250" i="1"/>
  <c r="CR250" i="1"/>
  <c r="CS250" i="1"/>
  <c r="CU250" i="1"/>
  <c r="T250" i="1" s="1"/>
  <c r="CW250" i="1"/>
  <c r="V250" i="1" s="1"/>
  <c r="FR250" i="1"/>
  <c r="GL250" i="1"/>
  <c r="GO250" i="1"/>
  <c r="GP250" i="1"/>
  <c r="GV250" i="1"/>
  <c r="GX250" i="1"/>
  <c r="HC250" i="1"/>
  <c r="I251" i="1"/>
  <c r="R251" i="1"/>
  <c r="GK251" i="1" s="1"/>
  <c r="V251" i="1"/>
  <c r="AC251" i="1"/>
  <c r="AD251" i="1"/>
  <c r="AE251" i="1"/>
  <c r="AF251" i="1"/>
  <c r="AG251" i="1"/>
  <c r="AH251" i="1"/>
  <c r="CV251" i="1" s="1"/>
  <c r="U251" i="1" s="1"/>
  <c r="AI251" i="1"/>
  <c r="AJ251" i="1"/>
  <c r="CX251" i="1" s="1"/>
  <c r="W251" i="1" s="1"/>
  <c r="CQ251" i="1"/>
  <c r="CR251" i="1"/>
  <c r="CS251" i="1"/>
  <c r="CU251" i="1"/>
  <c r="T251" i="1" s="1"/>
  <c r="CW251" i="1"/>
  <c r="FR251" i="1"/>
  <c r="GL251" i="1"/>
  <c r="GO251" i="1"/>
  <c r="GP251" i="1"/>
  <c r="GV251" i="1"/>
  <c r="HC251" i="1" s="1"/>
  <c r="GX251" i="1"/>
  <c r="I252" i="1"/>
  <c r="Q252" i="1" s="1"/>
  <c r="P252" i="1"/>
  <c r="CP252" i="1" s="1"/>
  <c r="O252" i="1" s="1"/>
  <c r="R252" i="1"/>
  <c r="GK252" i="1" s="1"/>
  <c r="T252" i="1"/>
  <c r="AC252" i="1"/>
  <c r="AD252" i="1"/>
  <c r="AB252" i="1" s="1"/>
  <c r="AE252" i="1"/>
  <c r="AF252" i="1"/>
  <c r="S252" i="1" s="1"/>
  <c r="CZ252" i="1" s="1"/>
  <c r="Y252" i="1" s="1"/>
  <c r="AG252" i="1"/>
  <c r="AH252" i="1"/>
  <c r="CV252" i="1" s="1"/>
  <c r="U252" i="1" s="1"/>
  <c r="AI252" i="1"/>
  <c r="AJ252" i="1"/>
  <c r="CX252" i="1" s="1"/>
  <c r="W252" i="1" s="1"/>
  <c r="CQ252" i="1"/>
  <c r="CR252" i="1"/>
  <c r="CS252" i="1"/>
  <c r="CU252" i="1"/>
  <c r="CW252" i="1"/>
  <c r="V252" i="1" s="1"/>
  <c r="CY252" i="1"/>
  <c r="X252" i="1" s="1"/>
  <c r="FR252" i="1"/>
  <c r="GL252" i="1"/>
  <c r="GO252" i="1"/>
  <c r="GP252" i="1"/>
  <c r="GV252" i="1"/>
  <c r="GX252" i="1"/>
  <c r="HC252" i="1"/>
  <c r="C253" i="1"/>
  <c r="D253" i="1"/>
  <c r="S253" i="1"/>
  <c r="CY253" i="1" s="1"/>
  <c r="X253" i="1" s="1"/>
  <c r="U253" i="1"/>
  <c r="AC253" i="1"/>
  <c r="P253" i="1" s="1"/>
  <c r="AE253" i="1"/>
  <c r="Q253" i="1" s="1"/>
  <c r="AF253" i="1"/>
  <c r="AG253" i="1"/>
  <c r="CU253" i="1" s="1"/>
  <c r="T253" i="1" s="1"/>
  <c r="AH253" i="1"/>
  <c r="AI253" i="1"/>
  <c r="CW253" i="1" s="1"/>
  <c r="V253" i="1" s="1"/>
  <c r="AJ253" i="1"/>
  <c r="CR253" i="1"/>
  <c r="CT253" i="1"/>
  <c r="CV253" i="1"/>
  <c r="CX253" i="1"/>
  <c r="W253" i="1" s="1"/>
  <c r="CZ253" i="1"/>
  <c r="Y253" i="1" s="1"/>
  <c r="FR253" i="1"/>
  <c r="GL253" i="1"/>
  <c r="GO253" i="1"/>
  <c r="GP253" i="1"/>
  <c r="GV253" i="1"/>
  <c r="HC253" i="1" s="1"/>
  <c r="GX253" i="1" s="1"/>
  <c r="C254" i="1"/>
  <c r="D254" i="1"/>
  <c r="P254" i="1"/>
  <c r="R254" i="1"/>
  <c r="GK254" i="1" s="1"/>
  <c r="V254" i="1"/>
  <c r="AC254" i="1"/>
  <c r="AD254" i="1"/>
  <c r="AE254" i="1"/>
  <c r="Q254" i="1" s="1"/>
  <c r="AF254" i="1"/>
  <c r="AG254" i="1"/>
  <c r="AH254" i="1"/>
  <c r="CV254" i="1" s="1"/>
  <c r="U254" i="1" s="1"/>
  <c r="AI254" i="1"/>
  <c r="AJ254" i="1"/>
  <c r="CX254" i="1" s="1"/>
  <c r="W254" i="1" s="1"/>
  <c r="CQ254" i="1"/>
  <c r="CR254" i="1"/>
  <c r="CS254" i="1"/>
  <c r="CU254" i="1"/>
  <c r="T254" i="1" s="1"/>
  <c r="CW254" i="1"/>
  <c r="FR254" i="1"/>
  <c r="GL254" i="1"/>
  <c r="GO254" i="1"/>
  <c r="GP254" i="1"/>
  <c r="GV254" i="1"/>
  <c r="HC254" i="1" s="1"/>
  <c r="GX254" i="1"/>
  <c r="I255" i="1"/>
  <c r="Q255" i="1" s="1"/>
  <c r="P255" i="1"/>
  <c r="R255" i="1"/>
  <c r="GK255" i="1" s="1"/>
  <c r="T255" i="1"/>
  <c r="AC255" i="1"/>
  <c r="AD255" i="1"/>
  <c r="AE255" i="1"/>
  <c r="AF255" i="1"/>
  <c r="AG255" i="1"/>
  <c r="AH255" i="1"/>
  <c r="CV255" i="1" s="1"/>
  <c r="U255" i="1" s="1"/>
  <c r="AI255" i="1"/>
  <c r="AJ255" i="1"/>
  <c r="CX255" i="1" s="1"/>
  <c r="W255" i="1" s="1"/>
  <c r="CQ255" i="1"/>
  <c r="CR255" i="1"/>
  <c r="CS255" i="1"/>
  <c r="CU255" i="1"/>
  <c r="CW255" i="1"/>
  <c r="V255" i="1" s="1"/>
  <c r="FR255" i="1"/>
  <c r="GL255" i="1"/>
  <c r="GO255" i="1"/>
  <c r="GP255" i="1"/>
  <c r="GV255" i="1"/>
  <c r="GX255" i="1"/>
  <c r="HC255" i="1"/>
  <c r="I256" i="1"/>
  <c r="Q256" i="1" s="1"/>
  <c r="P256" i="1"/>
  <c r="R256" i="1"/>
  <c r="GK256" i="1" s="1"/>
  <c r="V256" i="1"/>
  <c r="AC256" i="1"/>
  <c r="AD256" i="1"/>
  <c r="AE256" i="1"/>
  <c r="AF256" i="1"/>
  <c r="AG256" i="1"/>
  <c r="AH256" i="1"/>
  <c r="CV256" i="1" s="1"/>
  <c r="U256" i="1" s="1"/>
  <c r="AI256" i="1"/>
  <c r="AJ256" i="1"/>
  <c r="CX256" i="1" s="1"/>
  <c r="W256" i="1" s="1"/>
  <c r="CQ256" i="1"/>
  <c r="CR256" i="1"/>
  <c r="CS256" i="1"/>
  <c r="CU256" i="1"/>
  <c r="T256" i="1" s="1"/>
  <c r="CW256" i="1"/>
  <c r="FR256" i="1"/>
  <c r="GL256" i="1"/>
  <c r="GO256" i="1"/>
  <c r="GP256" i="1"/>
  <c r="GV256" i="1"/>
  <c r="HC256" i="1" s="1"/>
  <c r="GX256" i="1" s="1"/>
  <c r="C257" i="1"/>
  <c r="D257" i="1"/>
  <c r="S257" i="1"/>
  <c r="CY257" i="1" s="1"/>
  <c r="X257" i="1" s="1"/>
  <c r="W257" i="1"/>
  <c r="AC257" i="1"/>
  <c r="AE257" i="1"/>
  <c r="Q257" i="1" s="1"/>
  <c r="AF257" i="1"/>
  <c r="AG257" i="1"/>
  <c r="CU257" i="1" s="1"/>
  <c r="T257" i="1" s="1"/>
  <c r="AH257" i="1"/>
  <c r="AI257" i="1"/>
  <c r="CW257" i="1" s="1"/>
  <c r="V257" i="1" s="1"/>
  <c r="AJ257" i="1"/>
  <c r="CT257" i="1"/>
  <c r="CV257" i="1"/>
  <c r="U257" i="1" s="1"/>
  <c r="CX257" i="1"/>
  <c r="CZ257" i="1"/>
  <c r="Y257" i="1" s="1"/>
  <c r="FR257" i="1"/>
  <c r="GL257" i="1"/>
  <c r="GO257" i="1"/>
  <c r="GP257" i="1"/>
  <c r="GV257" i="1"/>
  <c r="HC257" i="1"/>
  <c r="GX257" i="1" s="1"/>
  <c r="C258" i="1"/>
  <c r="D258" i="1"/>
  <c r="P258" i="1"/>
  <c r="R258" i="1"/>
  <c r="GK258" i="1" s="1"/>
  <c r="T258" i="1"/>
  <c r="V258" i="1"/>
  <c r="AC258" i="1"/>
  <c r="AD258" i="1"/>
  <c r="AB258" i="1" s="1"/>
  <c r="AE258" i="1"/>
  <c r="Q258" i="1" s="1"/>
  <c r="AF258" i="1"/>
  <c r="AG258" i="1"/>
  <c r="AH258" i="1"/>
  <c r="CV258" i="1" s="1"/>
  <c r="U258" i="1" s="1"/>
  <c r="AI258" i="1"/>
  <c r="AJ258" i="1"/>
  <c r="CX258" i="1" s="1"/>
  <c r="W258" i="1" s="1"/>
  <c r="CQ258" i="1"/>
  <c r="CR258" i="1"/>
  <c r="CS258" i="1"/>
  <c r="CU258" i="1"/>
  <c r="CW258" i="1"/>
  <c r="FR258" i="1"/>
  <c r="GL258" i="1"/>
  <c r="GO258" i="1"/>
  <c r="GP258" i="1"/>
  <c r="GV258" i="1"/>
  <c r="GX258" i="1"/>
  <c r="HC258" i="1"/>
  <c r="I259" i="1"/>
  <c r="Q259" i="1" s="1"/>
  <c r="P259" i="1"/>
  <c r="R259" i="1"/>
  <c r="GK259" i="1" s="1"/>
  <c r="T259" i="1"/>
  <c r="AC259" i="1"/>
  <c r="AD259" i="1"/>
  <c r="AE259" i="1"/>
  <c r="AF259" i="1"/>
  <c r="AG259" i="1"/>
  <c r="AH259" i="1"/>
  <c r="CV259" i="1" s="1"/>
  <c r="U259" i="1" s="1"/>
  <c r="AI259" i="1"/>
  <c r="AJ259" i="1"/>
  <c r="CX259" i="1" s="1"/>
  <c r="W259" i="1" s="1"/>
  <c r="CQ259" i="1"/>
  <c r="CR259" i="1"/>
  <c r="CS259" i="1"/>
  <c r="CU259" i="1"/>
  <c r="CW259" i="1"/>
  <c r="V259" i="1" s="1"/>
  <c r="FR259" i="1"/>
  <c r="GL259" i="1"/>
  <c r="GO259" i="1"/>
  <c r="GP259" i="1"/>
  <c r="GV259" i="1"/>
  <c r="HC259" i="1" s="1"/>
  <c r="GX259" i="1"/>
  <c r="I260" i="1"/>
  <c r="Q260" i="1" s="1"/>
  <c r="P260" i="1"/>
  <c r="R260" i="1"/>
  <c r="GK260" i="1" s="1"/>
  <c r="T260" i="1"/>
  <c r="AC260" i="1"/>
  <c r="AD260" i="1"/>
  <c r="AE260" i="1"/>
  <c r="AF260" i="1"/>
  <c r="AG260" i="1"/>
  <c r="AH260" i="1"/>
  <c r="CV260" i="1" s="1"/>
  <c r="U260" i="1" s="1"/>
  <c r="AI260" i="1"/>
  <c r="AJ260" i="1"/>
  <c r="CX260" i="1" s="1"/>
  <c r="W260" i="1" s="1"/>
  <c r="CQ260" i="1"/>
  <c r="CR260" i="1"/>
  <c r="CS260" i="1"/>
  <c r="CU260" i="1"/>
  <c r="CW260" i="1"/>
  <c r="V260" i="1" s="1"/>
  <c r="FR260" i="1"/>
  <c r="GL260" i="1"/>
  <c r="GO260" i="1"/>
  <c r="GP260" i="1"/>
  <c r="GV260" i="1"/>
  <c r="GX260" i="1"/>
  <c r="HC260" i="1"/>
  <c r="C261" i="1"/>
  <c r="D261" i="1"/>
  <c r="S261" i="1"/>
  <c r="CY261" i="1" s="1"/>
  <c r="X261" i="1" s="1"/>
  <c r="W261" i="1"/>
  <c r="AC261" i="1"/>
  <c r="AE261" i="1"/>
  <c r="Q261" i="1" s="1"/>
  <c r="AF261" i="1"/>
  <c r="AG261" i="1"/>
  <c r="CU261" i="1" s="1"/>
  <c r="T261" i="1" s="1"/>
  <c r="AH261" i="1"/>
  <c r="AI261" i="1"/>
  <c r="CW261" i="1" s="1"/>
  <c r="V261" i="1" s="1"/>
  <c r="AJ261" i="1"/>
  <c r="CT261" i="1"/>
  <c r="CV261" i="1"/>
  <c r="U261" i="1" s="1"/>
  <c r="CX261" i="1"/>
  <c r="CZ261" i="1"/>
  <c r="Y261" i="1" s="1"/>
  <c r="FR261" i="1"/>
  <c r="GL261" i="1"/>
  <c r="GO261" i="1"/>
  <c r="GP261" i="1"/>
  <c r="GV261" i="1"/>
  <c r="HC261" i="1"/>
  <c r="GX261" i="1" s="1"/>
  <c r="C262" i="1"/>
  <c r="D262" i="1"/>
  <c r="P262" i="1"/>
  <c r="R262" i="1"/>
  <c r="GK262" i="1" s="1"/>
  <c r="T262" i="1"/>
  <c r="V262" i="1"/>
  <c r="AC262" i="1"/>
  <c r="AD262" i="1"/>
  <c r="AB262" i="1" s="1"/>
  <c r="AE262" i="1"/>
  <c r="Q262" i="1" s="1"/>
  <c r="AF262" i="1"/>
  <c r="AG262" i="1"/>
  <c r="AH262" i="1"/>
  <c r="CV262" i="1" s="1"/>
  <c r="U262" i="1" s="1"/>
  <c r="AI262" i="1"/>
  <c r="AJ262" i="1"/>
  <c r="CX262" i="1" s="1"/>
  <c r="W262" i="1" s="1"/>
  <c r="CQ262" i="1"/>
  <c r="CR262" i="1"/>
  <c r="CS262" i="1"/>
  <c r="CU262" i="1"/>
  <c r="CW262" i="1"/>
  <c r="FR262" i="1"/>
  <c r="GL262" i="1"/>
  <c r="GO262" i="1"/>
  <c r="GP262" i="1"/>
  <c r="GV262" i="1"/>
  <c r="HC262" i="1" s="1"/>
  <c r="GX262" i="1"/>
  <c r="I263" i="1"/>
  <c r="Q263" i="1" s="1"/>
  <c r="V263" i="1"/>
  <c r="AC263" i="1"/>
  <c r="AD263" i="1"/>
  <c r="AB263" i="1" s="1"/>
  <c r="AE263" i="1"/>
  <c r="AF263" i="1"/>
  <c r="AG263" i="1"/>
  <c r="AH263" i="1"/>
  <c r="CV263" i="1" s="1"/>
  <c r="U263" i="1" s="1"/>
  <c r="AI263" i="1"/>
  <c r="AJ263" i="1"/>
  <c r="CX263" i="1" s="1"/>
  <c r="CQ263" i="1"/>
  <c r="CR263" i="1"/>
  <c r="CS263" i="1"/>
  <c r="CU263" i="1"/>
  <c r="CW263" i="1"/>
  <c r="FR263" i="1"/>
  <c r="GL263" i="1"/>
  <c r="GO263" i="1"/>
  <c r="GP263" i="1"/>
  <c r="GV263" i="1"/>
  <c r="HC263" i="1"/>
  <c r="GX263" i="1" s="1"/>
  <c r="I264" i="1"/>
  <c r="P264" i="1"/>
  <c r="Q264" i="1"/>
  <c r="R264" i="1"/>
  <c r="GK264" i="1" s="1"/>
  <c r="AC264" i="1"/>
  <c r="AD264" i="1"/>
  <c r="AB264" i="1" s="1"/>
  <c r="AE264" i="1"/>
  <c r="AF264" i="1"/>
  <c r="AG264" i="1"/>
  <c r="AH264" i="1"/>
  <c r="CV264" i="1" s="1"/>
  <c r="U264" i="1" s="1"/>
  <c r="AI264" i="1"/>
  <c r="AJ264" i="1"/>
  <c r="CX264" i="1" s="1"/>
  <c r="W264" i="1" s="1"/>
  <c r="CQ264" i="1"/>
  <c r="CR264" i="1"/>
  <c r="CS264" i="1"/>
  <c r="CU264" i="1"/>
  <c r="T264" i="1" s="1"/>
  <c r="CW264" i="1"/>
  <c r="V264" i="1" s="1"/>
  <c r="FR264" i="1"/>
  <c r="GL264" i="1"/>
  <c r="GO264" i="1"/>
  <c r="GP264" i="1"/>
  <c r="GV264" i="1"/>
  <c r="HC264" i="1" s="1"/>
  <c r="GX264" i="1"/>
  <c r="C265" i="1"/>
  <c r="D265" i="1"/>
  <c r="AC265" i="1"/>
  <c r="AB265" i="1" s="1"/>
  <c r="AE265" i="1"/>
  <c r="AD265" i="1" s="1"/>
  <c r="AF265" i="1"/>
  <c r="S265" i="1" s="1"/>
  <c r="AG265" i="1"/>
  <c r="CU265" i="1" s="1"/>
  <c r="T265" i="1" s="1"/>
  <c r="AH265" i="1"/>
  <c r="AI265" i="1"/>
  <c r="CW265" i="1" s="1"/>
  <c r="V265" i="1" s="1"/>
  <c r="AJ265" i="1"/>
  <c r="CX265" i="1" s="1"/>
  <c r="W265" i="1" s="1"/>
  <c r="CS265" i="1"/>
  <c r="CT265" i="1"/>
  <c r="CV265" i="1"/>
  <c r="U265" i="1" s="1"/>
  <c r="FR265" i="1"/>
  <c r="GL265" i="1"/>
  <c r="GO265" i="1"/>
  <c r="GP265" i="1"/>
  <c r="GV265" i="1"/>
  <c r="HC265" i="1" s="1"/>
  <c r="GX265" i="1" s="1"/>
  <c r="C266" i="1"/>
  <c r="D266" i="1"/>
  <c r="R266" i="1"/>
  <c r="S266" i="1"/>
  <c r="CZ266" i="1" s="1"/>
  <c r="Y266" i="1" s="1"/>
  <c r="W266" i="1"/>
  <c r="AC266" i="1"/>
  <c r="P266" i="1" s="1"/>
  <c r="CP266" i="1" s="1"/>
  <c r="O266" i="1" s="1"/>
  <c r="AD266" i="1"/>
  <c r="AE266" i="1"/>
  <c r="Q266" i="1" s="1"/>
  <c r="AF266" i="1"/>
  <c r="AG266" i="1"/>
  <c r="AH266" i="1"/>
  <c r="CV266" i="1" s="1"/>
  <c r="U266" i="1" s="1"/>
  <c r="AI266" i="1"/>
  <c r="AJ266" i="1"/>
  <c r="CQ266" i="1"/>
  <c r="CR266" i="1"/>
  <c r="CS266" i="1"/>
  <c r="CT266" i="1"/>
  <c r="CU266" i="1"/>
  <c r="T266" i="1" s="1"/>
  <c r="CW266" i="1"/>
  <c r="V266" i="1" s="1"/>
  <c r="CX266" i="1"/>
  <c r="FR266" i="1"/>
  <c r="GK266" i="1"/>
  <c r="GL266" i="1"/>
  <c r="GO266" i="1"/>
  <c r="GP266" i="1"/>
  <c r="GV266" i="1"/>
  <c r="HC266" i="1"/>
  <c r="GX266" i="1" s="1"/>
  <c r="I267" i="1"/>
  <c r="Q267" i="1" s="1"/>
  <c r="T267" i="1"/>
  <c r="AC267" i="1"/>
  <c r="AE267" i="1"/>
  <c r="R267" i="1" s="1"/>
  <c r="GK267" i="1" s="1"/>
  <c r="AF267" i="1"/>
  <c r="AG267" i="1"/>
  <c r="AH267" i="1"/>
  <c r="CV267" i="1" s="1"/>
  <c r="U267" i="1" s="1"/>
  <c r="AI267" i="1"/>
  <c r="CW267" i="1" s="1"/>
  <c r="V267" i="1" s="1"/>
  <c r="AJ267" i="1"/>
  <c r="CX267" i="1" s="1"/>
  <c r="CQ267" i="1"/>
  <c r="CS267" i="1"/>
  <c r="CU267" i="1"/>
  <c r="FR267" i="1"/>
  <c r="GL267" i="1"/>
  <c r="GO267" i="1"/>
  <c r="GP267" i="1"/>
  <c r="GV267" i="1"/>
  <c r="HC267" i="1" s="1"/>
  <c r="GX267" i="1" s="1"/>
  <c r="I268" i="1"/>
  <c r="Q268" i="1" s="1"/>
  <c r="V268" i="1"/>
  <c r="AC268" i="1"/>
  <c r="AB268" i="1" s="1"/>
  <c r="AD268" i="1"/>
  <c r="AE268" i="1"/>
  <c r="AF268" i="1"/>
  <c r="S268" i="1" s="1"/>
  <c r="AG268" i="1"/>
  <c r="CU268" i="1" s="1"/>
  <c r="T268" i="1" s="1"/>
  <c r="AH268" i="1"/>
  <c r="CV268" i="1" s="1"/>
  <c r="AI268" i="1"/>
  <c r="AJ268" i="1"/>
  <c r="CR268" i="1"/>
  <c r="CS268" i="1"/>
  <c r="CT268" i="1"/>
  <c r="CW268" i="1"/>
  <c r="CX268" i="1"/>
  <c r="W268" i="1" s="1"/>
  <c r="FR268" i="1"/>
  <c r="GL268" i="1"/>
  <c r="GO268" i="1"/>
  <c r="GP268" i="1"/>
  <c r="GV268" i="1"/>
  <c r="GX268" i="1"/>
  <c r="HC268" i="1"/>
  <c r="I269" i="1"/>
  <c r="P269" i="1"/>
  <c r="Q269" i="1"/>
  <c r="AC269" i="1"/>
  <c r="AE269" i="1"/>
  <c r="R269" i="1" s="1"/>
  <c r="GK269" i="1" s="1"/>
  <c r="AF269" i="1"/>
  <c r="AG269" i="1"/>
  <c r="AH269" i="1"/>
  <c r="AI269" i="1"/>
  <c r="CW269" i="1" s="1"/>
  <c r="V269" i="1" s="1"/>
  <c r="AJ269" i="1"/>
  <c r="CX269" i="1" s="1"/>
  <c r="W269" i="1" s="1"/>
  <c r="CQ269" i="1"/>
  <c r="CS269" i="1"/>
  <c r="CU269" i="1"/>
  <c r="T269" i="1" s="1"/>
  <c r="CV269" i="1"/>
  <c r="U269" i="1" s="1"/>
  <c r="FR269" i="1"/>
  <c r="GL269" i="1"/>
  <c r="GO269" i="1"/>
  <c r="GP269" i="1"/>
  <c r="GV269" i="1"/>
  <c r="HC269" i="1" s="1"/>
  <c r="GX269" i="1"/>
  <c r="I270" i="1"/>
  <c r="Q270" i="1" s="1"/>
  <c r="S270" i="1"/>
  <c r="CZ270" i="1" s="1"/>
  <c r="Y270" i="1" s="1"/>
  <c r="AC270" i="1"/>
  <c r="P270" i="1" s="1"/>
  <c r="CP270" i="1" s="1"/>
  <c r="O270" i="1" s="1"/>
  <c r="AD270" i="1"/>
  <c r="AE270" i="1"/>
  <c r="AF270" i="1"/>
  <c r="AG270" i="1"/>
  <c r="AH270" i="1"/>
  <c r="CV270" i="1" s="1"/>
  <c r="AI270" i="1"/>
  <c r="AJ270" i="1"/>
  <c r="CQ270" i="1"/>
  <c r="CR270" i="1"/>
  <c r="CS270" i="1"/>
  <c r="CT270" i="1"/>
  <c r="CU270" i="1"/>
  <c r="T270" i="1" s="1"/>
  <c r="CW270" i="1"/>
  <c r="V270" i="1" s="1"/>
  <c r="CX270" i="1"/>
  <c r="FR270" i="1"/>
  <c r="GL270" i="1"/>
  <c r="GO270" i="1"/>
  <c r="GP270" i="1"/>
  <c r="GV270" i="1"/>
  <c r="HC270" i="1"/>
  <c r="GX270" i="1" s="1"/>
  <c r="C271" i="1"/>
  <c r="D271" i="1"/>
  <c r="Q271" i="1"/>
  <c r="S271" i="1"/>
  <c r="W271" i="1"/>
  <c r="AC271" i="1"/>
  <c r="AD271" i="1"/>
  <c r="AE271" i="1"/>
  <c r="AF271" i="1"/>
  <c r="AG271" i="1"/>
  <c r="AH271" i="1"/>
  <c r="AI271" i="1"/>
  <c r="CW271" i="1" s="1"/>
  <c r="V271" i="1" s="1"/>
  <c r="AJ271" i="1"/>
  <c r="CQ271" i="1"/>
  <c r="CR271" i="1"/>
  <c r="CT271" i="1"/>
  <c r="CU271" i="1"/>
  <c r="T271" i="1" s="1"/>
  <c r="CV271" i="1"/>
  <c r="U271" i="1" s="1"/>
  <c r="CX271" i="1"/>
  <c r="CY271" i="1"/>
  <c r="X271" i="1" s="1"/>
  <c r="CZ271" i="1"/>
  <c r="Y271" i="1" s="1"/>
  <c r="FR271" i="1"/>
  <c r="GL271" i="1"/>
  <c r="GO271" i="1"/>
  <c r="GP271" i="1"/>
  <c r="GV271" i="1"/>
  <c r="HC271" i="1"/>
  <c r="GX271" i="1" s="1"/>
  <c r="C272" i="1"/>
  <c r="D272" i="1"/>
  <c r="P272" i="1"/>
  <c r="Q272" i="1"/>
  <c r="R272" i="1"/>
  <c r="GK272" i="1" s="1"/>
  <c r="AC272" i="1"/>
  <c r="AD272" i="1"/>
  <c r="AB272" i="1" s="1"/>
  <c r="AE272" i="1"/>
  <c r="AF272" i="1"/>
  <c r="AG272" i="1"/>
  <c r="AH272" i="1"/>
  <c r="CV272" i="1" s="1"/>
  <c r="U272" i="1" s="1"/>
  <c r="AI272" i="1"/>
  <c r="AJ272" i="1"/>
  <c r="CX272" i="1" s="1"/>
  <c r="W272" i="1" s="1"/>
  <c r="CQ272" i="1"/>
  <c r="CR272" i="1"/>
  <c r="CS272" i="1"/>
  <c r="CU272" i="1"/>
  <c r="T272" i="1" s="1"/>
  <c r="CW272" i="1"/>
  <c r="V272" i="1" s="1"/>
  <c r="FR272" i="1"/>
  <c r="GL272" i="1"/>
  <c r="GO272" i="1"/>
  <c r="GP272" i="1"/>
  <c r="GV272" i="1"/>
  <c r="HC272" i="1" s="1"/>
  <c r="GX272" i="1"/>
  <c r="I273" i="1"/>
  <c r="Q273" i="1" s="1"/>
  <c r="T273" i="1"/>
  <c r="AC273" i="1"/>
  <c r="P273" i="1" s="1"/>
  <c r="CP273" i="1" s="1"/>
  <c r="O273" i="1" s="1"/>
  <c r="AD273" i="1"/>
  <c r="AE273" i="1"/>
  <c r="AF273" i="1"/>
  <c r="S273" i="1" s="1"/>
  <c r="AG273" i="1"/>
  <c r="AH273" i="1"/>
  <c r="CV273" i="1" s="1"/>
  <c r="AI273" i="1"/>
  <c r="AJ273" i="1"/>
  <c r="CQ273" i="1"/>
  <c r="CR273" i="1"/>
  <c r="CS273" i="1"/>
  <c r="CU273" i="1"/>
  <c r="CW273" i="1"/>
  <c r="V273" i="1" s="1"/>
  <c r="CX273" i="1"/>
  <c r="W273" i="1" s="1"/>
  <c r="FR273" i="1"/>
  <c r="GL273" i="1"/>
  <c r="GO273" i="1"/>
  <c r="GP273" i="1"/>
  <c r="GV273" i="1"/>
  <c r="HC273" i="1"/>
  <c r="GX273" i="1" s="1"/>
  <c r="I274" i="1"/>
  <c r="Q274" i="1" s="1"/>
  <c r="P274" i="1"/>
  <c r="AC274" i="1"/>
  <c r="AE274" i="1"/>
  <c r="R274" i="1" s="1"/>
  <c r="GK274" i="1" s="1"/>
  <c r="AF274" i="1"/>
  <c r="AG274" i="1"/>
  <c r="AH274" i="1"/>
  <c r="CV274" i="1" s="1"/>
  <c r="U274" i="1" s="1"/>
  <c r="AI274" i="1"/>
  <c r="CW274" i="1" s="1"/>
  <c r="V274" i="1" s="1"/>
  <c r="AJ274" i="1"/>
  <c r="CX274" i="1" s="1"/>
  <c r="W274" i="1" s="1"/>
  <c r="CQ274" i="1"/>
  <c r="CS274" i="1"/>
  <c r="CU274" i="1"/>
  <c r="T274" i="1" s="1"/>
  <c r="FR274" i="1"/>
  <c r="GL274" i="1"/>
  <c r="GO274" i="1"/>
  <c r="GP274" i="1"/>
  <c r="GV274" i="1"/>
  <c r="HC274" i="1" s="1"/>
  <c r="GX274" i="1"/>
  <c r="C275" i="1"/>
  <c r="D275" i="1"/>
  <c r="Q275" i="1"/>
  <c r="AC275" i="1"/>
  <c r="AE275" i="1"/>
  <c r="AD275" i="1" s="1"/>
  <c r="AF275" i="1"/>
  <c r="S275" i="1" s="1"/>
  <c r="AG275" i="1"/>
  <c r="CU275" i="1" s="1"/>
  <c r="T275" i="1" s="1"/>
  <c r="AH275" i="1"/>
  <c r="AI275" i="1"/>
  <c r="AJ275" i="1"/>
  <c r="CX275" i="1" s="1"/>
  <c r="W275" i="1" s="1"/>
  <c r="CR275" i="1"/>
  <c r="CS275" i="1"/>
  <c r="CT275" i="1"/>
  <c r="CV275" i="1"/>
  <c r="U275" i="1" s="1"/>
  <c r="CW275" i="1"/>
  <c r="V275" i="1" s="1"/>
  <c r="FR275" i="1"/>
  <c r="GL275" i="1"/>
  <c r="GO275" i="1"/>
  <c r="GP275" i="1"/>
  <c r="GV275" i="1"/>
  <c r="HC275" i="1"/>
  <c r="GX275" i="1" s="1"/>
  <c r="C276" i="1"/>
  <c r="D276" i="1"/>
  <c r="R276" i="1"/>
  <c r="V276" i="1"/>
  <c r="AC276" i="1"/>
  <c r="AB276" i="1" s="1"/>
  <c r="AD276" i="1"/>
  <c r="AE276" i="1"/>
  <c r="Q276" i="1" s="1"/>
  <c r="AF276" i="1"/>
  <c r="S276" i="1" s="1"/>
  <c r="AG276" i="1"/>
  <c r="CU276" i="1" s="1"/>
  <c r="T276" i="1" s="1"/>
  <c r="AH276" i="1"/>
  <c r="CV276" i="1" s="1"/>
  <c r="U276" i="1" s="1"/>
  <c r="AI276" i="1"/>
  <c r="AJ276" i="1"/>
  <c r="CR276" i="1"/>
  <c r="CS276" i="1"/>
  <c r="CT276" i="1"/>
  <c r="CW276" i="1"/>
  <c r="CX276" i="1"/>
  <c r="W276" i="1" s="1"/>
  <c r="FR276" i="1"/>
  <c r="GK276" i="1"/>
  <c r="GL276" i="1"/>
  <c r="GO276" i="1"/>
  <c r="GP276" i="1"/>
  <c r="GV276" i="1"/>
  <c r="GX276" i="1"/>
  <c r="HC276" i="1"/>
  <c r="I277" i="1"/>
  <c r="P277" i="1"/>
  <c r="Q277" i="1"/>
  <c r="AC277" i="1"/>
  <c r="AE277" i="1"/>
  <c r="R277" i="1" s="1"/>
  <c r="GK277" i="1" s="1"/>
  <c r="AF277" i="1"/>
  <c r="AG277" i="1"/>
  <c r="AH277" i="1"/>
  <c r="AI277" i="1"/>
  <c r="CW277" i="1" s="1"/>
  <c r="V277" i="1" s="1"/>
  <c r="AJ277" i="1"/>
  <c r="CX277" i="1" s="1"/>
  <c r="W277" i="1" s="1"/>
  <c r="CQ277" i="1"/>
  <c r="CS277" i="1"/>
  <c r="CU277" i="1"/>
  <c r="T277" i="1" s="1"/>
  <c r="CV277" i="1"/>
  <c r="U277" i="1" s="1"/>
  <c r="FR277" i="1"/>
  <c r="GL277" i="1"/>
  <c r="GO277" i="1"/>
  <c r="GP277" i="1"/>
  <c r="GV277" i="1"/>
  <c r="HC277" i="1" s="1"/>
  <c r="GX277" i="1"/>
  <c r="I278" i="1"/>
  <c r="Q278" i="1" s="1"/>
  <c r="S278" i="1"/>
  <c r="CZ278" i="1" s="1"/>
  <c r="Y278" i="1" s="1"/>
  <c r="AC278" i="1"/>
  <c r="P278" i="1" s="1"/>
  <c r="CP278" i="1" s="1"/>
  <c r="O278" i="1" s="1"/>
  <c r="AD278" i="1"/>
  <c r="AE278" i="1"/>
  <c r="AF278" i="1"/>
  <c r="AG278" i="1"/>
  <c r="AH278" i="1"/>
  <c r="CV278" i="1" s="1"/>
  <c r="AI278" i="1"/>
  <c r="AJ278" i="1"/>
  <c r="CQ278" i="1"/>
  <c r="CR278" i="1"/>
  <c r="CS278" i="1"/>
  <c r="CT278" i="1"/>
  <c r="CU278" i="1"/>
  <c r="T278" i="1" s="1"/>
  <c r="CW278" i="1"/>
  <c r="V278" i="1" s="1"/>
  <c r="CX278" i="1"/>
  <c r="FR278" i="1"/>
  <c r="GL278" i="1"/>
  <c r="GO278" i="1"/>
  <c r="GP278" i="1"/>
  <c r="GV278" i="1"/>
  <c r="HC278" i="1"/>
  <c r="GX278" i="1" s="1"/>
  <c r="C279" i="1"/>
  <c r="D279" i="1"/>
  <c r="Q279" i="1"/>
  <c r="S279" i="1"/>
  <c r="W279" i="1"/>
  <c r="AC279" i="1"/>
  <c r="AD279" i="1"/>
  <c r="AE279" i="1"/>
  <c r="AF279" i="1"/>
  <c r="AG279" i="1"/>
  <c r="AH279" i="1"/>
  <c r="AI279" i="1"/>
  <c r="CW279" i="1" s="1"/>
  <c r="V279" i="1" s="1"/>
  <c r="AJ279" i="1"/>
  <c r="CQ279" i="1"/>
  <c r="CR279" i="1"/>
  <c r="CT279" i="1"/>
  <c r="CU279" i="1"/>
  <c r="T279" i="1" s="1"/>
  <c r="CV279" i="1"/>
  <c r="U279" i="1" s="1"/>
  <c r="CX279" i="1"/>
  <c r="CY279" i="1"/>
  <c r="X279" i="1" s="1"/>
  <c r="CZ279" i="1"/>
  <c r="Y279" i="1" s="1"/>
  <c r="FR279" i="1"/>
  <c r="GL279" i="1"/>
  <c r="GO279" i="1"/>
  <c r="GP279" i="1"/>
  <c r="GV279" i="1"/>
  <c r="HC279" i="1"/>
  <c r="GX279" i="1" s="1"/>
  <c r="C280" i="1"/>
  <c r="D280" i="1"/>
  <c r="P280" i="1"/>
  <c r="Q280" i="1"/>
  <c r="R280" i="1"/>
  <c r="GK280" i="1" s="1"/>
  <c r="AC280" i="1"/>
  <c r="AD280" i="1"/>
  <c r="AB280" i="1" s="1"/>
  <c r="AE280" i="1"/>
  <c r="AF280" i="1"/>
  <c r="AG280" i="1"/>
  <c r="AH280" i="1"/>
  <c r="CV280" i="1" s="1"/>
  <c r="U280" i="1" s="1"/>
  <c r="AI280" i="1"/>
  <c r="AJ280" i="1"/>
  <c r="CX280" i="1" s="1"/>
  <c r="W280" i="1" s="1"/>
  <c r="CQ280" i="1"/>
  <c r="CR280" i="1"/>
  <c r="CS280" i="1"/>
  <c r="CU280" i="1"/>
  <c r="T280" i="1" s="1"/>
  <c r="CW280" i="1"/>
  <c r="V280" i="1" s="1"/>
  <c r="FR280" i="1"/>
  <c r="GL280" i="1"/>
  <c r="GO280" i="1"/>
  <c r="GP280" i="1"/>
  <c r="GV280" i="1"/>
  <c r="HC280" i="1" s="1"/>
  <c r="GX280" i="1"/>
  <c r="I281" i="1"/>
  <c r="Q281" i="1" s="1"/>
  <c r="T281" i="1"/>
  <c r="AC281" i="1"/>
  <c r="P281" i="1" s="1"/>
  <c r="CP281" i="1" s="1"/>
  <c r="O281" i="1" s="1"/>
  <c r="AD281" i="1"/>
  <c r="AE281" i="1"/>
  <c r="AF281" i="1"/>
  <c r="S281" i="1" s="1"/>
  <c r="AG281" i="1"/>
  <c r="AH281" i="1"/>
  <c r="CV281" i="1" s="1"/>
  <c r="AI281" i="1"/>
  <c r="AJ281" i="1"/>
  <c r="CQ281" i="1"/>
  <c r="CR281" i="1"/>
  <c r="CS281" i="1"/>
  <c r="CU281" i="1"/>
  <c r="CW281" i="1"/>
  <c r="V281" i="1" s="1"/>
  <c r="CX281" i="1"/>
  <c r="W281" i="1" s="1"/>
  <c r="FR281" i="1"/>
  <c r="GL281" i="1"/>
  <c r="GO281" i="1"/>
  <c r="GP281" i="1"/>
  <c r="GV281" i="1"/>
  <c r="HC281" i="1"/>
  <c r="GX281" i="1" s="1"/>
  <c r="I282" i="1"/>
  <c r="Q282" i="1" s="1"/>
  <c r="P282" i="1"/>
  <c r="AC282" i="1"/>
  <c r="AE282" i="1"/>
  <c r="R282" i="1" s="1"/>
  <c r="GK282" i="1" s="1"/>
  <c r="AF282" i="1"/>
  <c r="AG282" i="1"/>
  <c r="AH282" i="1"/>
  <c r="CV282" i="1" s="1"/>
  <c r="U282" i="1" s="1"/>
  <c r="AI282" i="1"/>
  <c r="CW282" i="1" s="1"/>
  <c r="V282" i="1" s="1"/>
  <c r="AJ282" i="1"/>
  <c r="CX282" i="1" s="1"/>
  <c r="W282" i="1" s="1"/>
  <c r="CQ282" i="1"/>
  <c r="CS282" i="1"/>
  <c r="CU282" i="1"/>
  <c r="T282" i="1" s="1"/>
  <c r="FR282" i="1"/>
  <c r="GL282" i="1"/>
  <c r="GO282" i="1"/>
  <c r="GP282" i="1"/>
  <c r="GV282" i="1"/>
  <c r="HC282" i="1" s="1"/>
  <c r="GX282" i="1"/>
  <c r="I283" i="1"/>
  <c r="Q283" i="1" s="1"/>
  <c r="R283" i="1"/>
  <c r="GK283" i="1" s="1"/>
  <c r="V283" i="1"/>
  <c r="W283" i="1"/>
  <c r="AC283" i="1"/>
  <c r="AB283" i="1" s="1"/>
  <c r="AD283" i="1"/>
  <c r="AE283" i="1"/>
  <c r="AF283" i="1"/>
  <c r="S283" i="1" s="1"/>
  <c r="AG283" i="1"/>
  <c r="AH283" i="1"/>
  <c r="CV283" i="1" s="1"/>
  <c r="U283" i="1" s="1"/>
  <c r="AI283" i="1"/>
  <c r="AJ283" i="1"/>
  <c r="CQ283" i="1"/>
  <c r="CR283" i="1"/>
  <c r="CS283" i="1"/>
  <c r="CT283" i="1"/>
  <c r="CU283" i="1"/>
  <c r="T283" i="1" s="1"/>
  <c r="CW283" i="1"/>
  <c r="CX283" i="1"/>
  <c r="FR283" i="1"/>
  <c r="GL283" i="1"/>
  <c r="GO283" i="1"/>
  <c r="GP283" i="1"/>
  <c r="GV283" i="1"/>
  <c r="HC283" i="1" s="1"/>
  <c r="GX283" i="1" s="1"/>
  <c r="I284" i="1"/>
  <c r="Q284" i="1" s="1"/>
  <c r="R284" i="1"/>
  <c r="S284" i="1"/>
  <c r="CZ284" i="1" s="1"/>
  <c r="Y284" i="1" s="1"/>
  <c r="AC284" i="1"/>
  <c r="AB284" i="1" s="1"/>
  <c r="AE284" i="1"/>
  <c r="AD284" i="1" s="1"/>
  <c r="AF284" i="1"/>
  <c r="AG284" i="1"/>
  <c r="CU284" i="1" s="1"/>
  <c r="T284" i="1" s="1"/>
  <c r="AH284" i="1"/>
  <c r="AI284" i="1"/>
  <c r="AJ284" i="1"/>
  <c r="CR284" i="1"/>
  <c r="CS284" i="1"/>
  <c r="CT284" i="1"/>
  <c r="CV284" i="1"/>
  <c r="U284" i="1" s="1"/>
  <c r="CW284" i="1"/>
  <c r="V284" i="1" s="1"/>
  <c r="CX284" i="1"/>
  <c r="W284" i="1" s="1"/>
  <c r="FR284" i="1"/>
  <c r="GK284" i="1"/>
  <c r="GL284" i="1"/>
  <c r="GO284" i="1"/>
  <c r="GP284" i="1"/>
  <c r="GV284" i="1"/>
  <c r="HC284" i="1"/>
  <c r="GX284" i="1" s="1"/>
  <c r="I285" i="1"/>
  <c r="P285" i="1"/>
  <c r="S285" i="1"/>
  <c r="AC285" i="1"/>
  <c r="AB285" i="1" s="1"/>
  <c r="AE285" i="1"/>
  <c r="AD285" i="1" s="1"/>
  <c r="AF285" i="1"/>
  <c r="AG285" i="1"/>
  <c r="AH285" i="1"/>
  <c r="AI285" i="1"/>
  <c r="CW285" i="1" s="1"/>
  <c r="V285" i="1" s="1"/>
  <c r="AJ285" i="1"/>
  <c r="CQ285" i="1"/>
  <c r="CR285" i="1"/>
  <c r="CT285" i="1"/>
  <c r="CU285" i="1"/>
  <c r="T285" i="1" s="1"/>
  <c r="CV285" i="1"/>
  <c r="U285" i="1" s="1"/>
  <c r="CX285" i="1"/>
  <c r="W285" i="1" s="1"/>
  <c r="CY285" i="1"/>
  <c r="X285" i="1" s="1"/>
  <c r="CZ285" i="1"/>
  <c r="Y285" i="1" s="1"/>
  <c r="FR285" i="1"/>
  <c r="GL285" i="1"/>
  <c r="GO285" i="1"/>
  <c r="GP285" i="1"/>
  <c r="GV285" i="1"/>
  <c r="HC285" i="1" s="1"/>
  <c r="GX285" i="1" s="1"/>
  <c r="I286" i="1"/>
  <c r="Q286" i="1" s="1"/>
  <c r="R286" i="1"/>
  <c r="S286" i="1"/>
  <c r="CZ286" i="1" s="1"/>
  <c r="Y286" i="1" s="1"/>
  <c r="AC286" i="1"/>
  <c r="AE286" i="1"/>
  <c r="AD286" i="1" s="1"/>
  <c r="AF286" i="1"/>
  <c r="AG286" i="1"/>
  <c r="CU286" i="1" s="1"/>
  <c r="T286" i="1" s="1"/>
  <c r="AH286" i="1"/>
  <c r="AI286" i="1"/>
  <c r="AJ286" i="1"/>
  <c r="CR286" i="1"/>
  <c r="CS286" i="1"/>
  <c r="CT286" i="1"/>
  <c r="CV286" i="1"/>
  <c r="U286" i="1" s="1"/>
  <c r="CW286" i="1"/>
  <c r="V286" i="1" s="1"/>
  <c r="CX286" i="1"/>
  <c r="W286" i="1" s="1"/>
  <c r="FR286" i="1"/>
  <c r="GK286" i="1"/>
  <c r="GL286" i="1"/>
  <c r="GO286" i="1"/>
  <c r="GP286" i="1"/>
  <c r="GV286" i="1"/>
  <c r="HC286" i="1"/>
  <c r="GX286" i="1" s="1"/>
  <c r="C287" i="1"/>
  <c r="D287" i="1"/>
  <c r="P287" i="1"/>
  <c r="CP287" i="1" s="1"/>
  <c r="O287" i="1" s="1"/>
  <c r="R287" i="1"/>
  <c r="S287" i="1"/>
  <c r="CZ287" i="1" s="1"/>
  <c r="Y287" i="1" s="1"/>
  <c r="AC287" i="1"/>
  <c r="AB287" i="1" s="1"/>
  <c r="AD287" i="1"/>
  <c r="AE287" i="1"/>
  <c r="Q287" i="1" s="1"/>
  <c r="AF287" i="1"/>
  <c r="AG287" i="1"/>
  <c r="AH287" i="1"/>
  <c r="CV287" i="1" s="1"/>
  <c r="U287" i="1" s="1"/>
  <c r="AI287" i="1"/>
  <c r="AJ287" i="1"/>
  <c r="CQ287" i="1"/>
  <c r="CR287" i="1"/>
  <c r="CS287" i="1"/>
  <c r="CT287" i="1"/>
  <c r="CU287" i="1"/>
  <c r="T287" i="1" s="1"/>
  <c r="CW287" i="1"/>
  <c r="V287" i="1" s="1"/>
  <c r="CX287" i="1"/>
  <c r="W287" i="1" s="1"/>
  <c r="CY287" i="1"/>
  <c r="X287" i="1" s="1"/>
  <c r="FR287" i="1"/>
  <c r="GK287" i="1"/>
  <c r="GL287" i="1"/>
  <c r="GO287" i="1"/>
  <c r="GP287" i="1"/>
  <c r="GV287" i="1"/>
  <c r="HC287" i="1"/>
  <c r="GX287" i="1" s="1"/>
  <c r="C288" i="1"/>
  <c r="D288" i="1"/>
  <c r="P288" i="1"/>
  <c r="S288" i="1"/>
  <c r="AC288" i="1"/>
  <c r="AE288" i="1"/>
  <c r="AD288" i="1" s="1"/>
  <c r="AF288" i="1"/>
  <c r="AG288" i="1"/>
  <c r="AH288" i="1"/>
  <c r="AI288" i="1"/>
  <c r="CW288" i="1" s="1"/>
  <c r="V288" i="1" s="1"/>
  <c r="AJ288" i="1"/>
  <c r="CQ288" i="1"/>
  <c r="CR288" i="1"/>
  <c r="CT288" i="1"/>
  <c r="CU288" i="1"/>
  <c r="T288" i="1" s="1"/>
  <c r="CV288" i="1"/>
  <c r="U288" i="1" s="1"/>
  <c r="CX288" i="1"/>
  <c r="W288" i="1" s="1"/>
  <c r="CY288" i="1"/>
  <c r="X288" i="1" s="1"/>
  <c r="CZ288" i="1"/>
  <c r="Y288" i="1" s="1"/>
  <c r="FR288" i="1"/>
  <c r="GL288" i="1"/>
  <c r="GO288" i="1"/>
  <c r="GP288" i="1"/>
  <c r="GV288" i="1"/>
  <c r="HC288" i="1" s="1"/>
  <c r="GX288" i="1" s="1"/>
  <c r="I289" i="1"/>
  <c r="Q289" i="1" s="1"/>
  <c r="R289" i="1"/>
  <c r="S289" i="1"/>
  <c r="CZ289" i="1" s="1"/>
  <c r="Y289" i="1" s="1"/>
  <c r="AC289" i="1"/>
  <c r="AE289" i="1"/>
  <c r="AD289" i="1" s="1"/>
  <c r="AF289" i="1"/>
  <c r="AG289" i="1"/>
  <c r="CU289" i="1" s="1"/>
  <c r="T289" i="1" s="1"/>
  <c r="AH289" i="1"/>
  <c r="AI289" i="1"/>
  <c r="AJ289" i="1"/>
  <c r="CR289" i="1"/>
  <c r="CS289" i="1"/>
  <c r="CT289" i="1"/>
  <c r="CV289" i="1"/>
  <c r="U289" i="1" s="1"/>
  <c r="CW289" i="1"/>
  <c r="V289" i="1" s="1"/>
  <c r="CX289" i="1"/>
  <c r="W289" i="1" s="1"/>
  <c r="FR289" i="1"/>
  <c r="GK289" i="1"/>
  <c r="GL289" i="1"/>
  <c r="GO289" i="1"/>
  <c r="GP289" i="1"/>
  <c r="GV289" i="1"/>
  <c r="HC289" i="1"/>
  <c r="GX289" i="1" s="1"/>
  <c r="I290" i="1"/>
  <c r="P290" i="1"/>
  <c r="S290" i="1"/>
  <c r="AC290" i="1"/>
  <c r="AB290" i="1" s="1"/>
  <c r="AE290" i="1"/>
  <c r="AD290" i="1" s="1"/>
  <c r="AF290" i="1"/>
  <c r="AG290" i="1"/>
  <c r="AH290" i="1"/>
  <c r="AI290" i="1"/>
  <c r="CW290" i="1" s="1"/>
  <c r="V290" i="1" s="1"/>
  <c r="AJ290" i="1"/>
  <c r="CQ290" i="1"/>
  <c r="CR290" i="1"/>
  <c r="CT290" i="1"/>
  <c r="CU290" i="1"/>
  <c r="T290" i="1" s="1"/>
  <c r="CV290" i="1"/>
  <c r="U290" i="1" s="1"/>
  <c r="CX290" i="1"/>
  <c r="W290" i="1" s="1"/>
  <c r="CY290" i="1"/>
  <c r="X290" i="1" s="1"/>
  <c r="CZ290" i="1"/>
  <c r="Y290" i="1" s="1"/>
  <c r="FR290" i="1"/>
  <c r="GL290" i="1"/>
  <c r="GO290" i="1"/>
  <c r="GP290" i="1"/>
  <c r="GV290" i="1"/>
  <c r="HC290" i="1" s="1"/>
  <c r="GX290" i="1" s="1"/>
  <c r="I291" i="1"/>
  <c r="Q291" i="1" s="1"/>
  <c r="R291" i="1"/>
  <c r="S291" i="1"/>
  <c r="CZ291" i="1" s="1"/>
  <c r="Y291" i="1" s="1"/>
  <c r="AC291" i="1"/>
  <c r="AB291" i="1" s="1"/>
  <c r="AE291" i="1"/>
  <c r="AD291" i="1" s="1"/>
  <c r="AF291" i="1"/>
  <c r="AG291" i="1"/>
  <c r="CU291" i="1" s="1"/>
  <c r="T291" i="1" s="1"/>
  <c r="AH291" i="1"/>
  <c r="AI291" i="1"/>
  <c r="AJ291" i="1"/>
  <c r="CR291" i="1"/>
  <c r="CS291" i="1"/>
  <c r="CT291" i="1"/>
  <c r="CV291" i="1"/>
  <c r="U291" i="1" s="1"/>
  <c r="CW291" i="1"/>
  <c r="V291" i="1" s="1"/>
  <c r="CX291" i="1"/>
  <c r="W291" i="1" s="1"/>
  <c r="FR291" i="1"/>
  <c r="GK291" i="1"/>
  <c r="GL291" i="1"/>
  <c r="GO291" i="1"/>
  <c r="GP291" i="1"/>
  <c r="GV291" i="1"/>
  <c r="HC291" i="1"/>
  <c r="GX291" i="1" s="1"/>
  <c r="I292" i="1"/>
  <c r="P292" i="1"/>
  <c r="S292" i="1"/>
  <c r="AC292" i="1"/>
  <c r="AE292" i="1"/>
  <c r="AD292" i="1" s="1"/>
  <c r="AF292" i="1"/>
  <c r="AG292" i="1"/>
  <c r="AH292" i="1"/>
  <c r="AI292" i="1"/>
  <c r="CW292" i="1" s="1"/>
  <c r="V292" i="1" s="1"/>
  <c r="AJ292" i="1"/>
  <c r="CQ292" i="1"/>
  <c r="CR292" i="1"/>
  <c r="CT292" i="1"/>
  <c r="CU292" i="1"/>
  <c r="T292" i="1" s="1"/>
  <c r="CV292" i="1"/>
  <c r="U292" i="1" s="1"/>
  <c r="CX292" i="1"/>
  <c r="W292" i="1" s="1"/>
  <c r="CY292" i="1"/>
  <c r="X292" i="1" s="1"/>
  <c r="CZ292" i="1"/>
  <c r="Y292" i="1" s="1"/>
  <c r="FR292" i="1"/>
  <c r="GL292" i="1"/>
  <c r="GO292" i="1"/>
  <c r="GP292" i="1"/>
  <c r="GV292" i="1"/>
  <c r="HC292" i="1" s="1"/>
  <c r="GX292" i="1" s="1"/>
  <c r="I293" i="1"/>
  <c r="Q293" i="1" s="1"/>
  <c r="R293" i="1"/>
  <c r="S293" i="1"/>
  <c r="CZ293" i="1" s="1"/>
  <c r="Y293" i="1" s="1"/>
  <c r="AC293" i="1"/>
  <c r="AE293" i="1"/>
  <c r="AD293" i="1" s="1"/>
  <c r="AF293" i="1"/>
  <c r="AG293" i="1"/>
  <c r="CU293" i="1" s="1"/>
  <c r="T293" i="1" s="1"/>
  <c r="AH293" i="1"/>
  <c r="AI293" i="1"/>
  <c r="AJ293" i="1"/>
  <c r="CR293" i="1"/>
  <c r="CS293" i="1"/>
  <c r="CT293" i="1"/>
  <c r="CV293" i="1"/>
  <c r="U293" i="1" s="1"/>
  <c r="CW293" i="1"/>
  <c r="V293" i="1" s="1"/>
  <c r="CX293" i="1"/>
  <c r="W293" i="1" s="1"/>
  <c r="FR293" i="1"/>
  <c r="GK293" i="1"/>
  <c r="GL293" i="1"/>
  <c r="GO293" i="1"/>
  <c r="GP293" i="1"/>
  <c r="GV293" i="1"/>
  <c r="HC293" i="1"/>
  <c r="GX293" i="1" s="1"/>
  <c r="I294" i="1"/>
  <c r="P294" i="1"/>
  <c r="S294" i="1"/>
  <c r="AC294" i="1"/>
  <c r="AB294" i="1" s="1"/>
  <c r="AE294" i="1"/>
  <c r="AD294" i="1" s="1"/>
  <c r="AF294" i="1"/>
  <c r="AG294" i="1"/>
  <c r="AH294" i="1"/>
  <c r="AI294" i="1"/>
  <c r="CW294" i="1" s="1"/>
  <c r="V294" i="1" s="1"/>
  <c r="AJ294" i="1"/>
  <c r="CQ294" i="1"/>
  <c r="CR294" i="1"/>
  <c r="CT294" i="1"/>
  <c r="CU294" i="1"/>
  <c r="T294" i="1" s="1"/>
  <c r="CV294" i="1"/>
  <c r="U294" i="1" s="1"/>
  <c r="CX294" i="1"/>
  <c r="W294" i="1" s="1"/>
  <c r="CY294" i="1"/>
  <c r="X294" i="1" s="1"/>
  <c r="CZ294" i="1"/>
  <c r="Y294" i="1" s="1"/>
  <c r="FR294" i="1"/>
  <c r="GL294" i="1"/>
  <c r="GO294" i="1"/>
  <c r="GP294" i="1"/>
  <c r="GV294" i="1"/>
  <c r="HC294" i="1" s="1"/>
  <c r="GX294" i="1" s="1"/>
  <c r="C295" i="1"/>
  <c r="D295" i="1"/>
  <c r="P295" i="1"/>
  <c r="R295" i="1"/>
  <c r="GK295" i="1" s="1"/>
  <c r="AC295" i="1"/>
  <c r="AE295" i="1"/>
  <c r="AD295" i="1" s="1"/>
  <c r="AB295" i="1" s="1"/>
  <c r="AF295" i="1"/>
  <c r="S295" i="1" s="1"/>
  <c r="AG295" i="1"/>
  <c r="AH295" i="1"/>
  <c r="AI295" i="1"/>
  <c r="AJ295" i="1"/>
  <c r="CX295" i="1" s="1"/>
  <c r="W295" i="1" s="1"/>
  <c r="CQ295" i="1"/>
  <c r="CR295" i="1"/>
  <c r="CS295" i="1"/>
  <c r="CU295" i="1"/>
  <c r="T295" i="1" s="1"/>
  <c r="CV295" i="1"/>
  <c r="U295" i="1" s="1"/>
  <c r="CW295" i="1"/>
  <c r="V295" i="1" s="1"/>
  <c r="FR295" i="1"/>
  <c r="GL295" i="1"/>
  <c r="GO295" i="1"/>
  <c r="GP295" i="1"/>
  <c r="GV295" i="1"/>
  <c r="HC295" i="1" s="1"/>
  <c r="GX295" i="1" s="1"/>
  <c r="C296" i="1"/>
  <c r="D296" i="1"/>
  <c r="R296" i="1"/>
  <c r="S296" i="1"/>
  <c r="CZ296" i="1" s="1"/>
  <c r="Y296" i="1" s="1"/>
  <c r="AC296" i="1"/>
  <c r="AE296" i="1"/>
  <c r="Q296" i="1" s="1"/>
  <c r="AF296" i="1"/>
  <c r="AG296" i="1"/>
  <c r="CU296" i="1" s="1"/>
  <c r="T296" i="1" s="1"/>
  <c r="AH296" i="1"/>
  <c r="AI296" i="1"/>
  <c r="AJ296" i="1"/>
  <c r="CR296" i="1"/>
  <c r="CS296" i="1"/>
  <c r="CT296" i="1"/>
  <c r="CV296" i="1"/>
  <c r="U296" i="1" s="1"/>
  <c r="CW296" i="1"/>
  <c r="V296" i="1" s="1"/>
  <c r="CX296" i="1"/>
  <c r="W296" i="1" s="1"/>
  <c r="FR296" i="1"/>
  <c r="GK296" i="1"/>
  <c r="GL296" i="1"/>
  <c r="GO296" i="1"/>
  <c r="GP296" i="1"/>
  <c r="GV296" i="1"/>
  <c r="HC296" i="1"/>
  <c r="GX296" i="1" s="1"/>
  <c r="I297" i="1"/>
  <c r="P297" i="1"/>
  <c r="S297" i="1"/>
  <c r="AC297" i="1"/>
  <c r="AE297" i="1"/>
  <c r="AD297" i="1" s="1"/>
  <c r="AF297" i="1"/>
  <c r="AG297" i="1"/>
  <c r="AH297" i="1"/>
  <c r="AI297" i="1"/>
  <c r="CW297" i="1" s="1"/>
  <c r="V297" i="1" s="1"/>
  <c r="AJ297" i="1"/>
  <c r="CQ297" i="1"/>
  <c r="CR297" i="1"/>
  <c r="CT297" i="1"/>
  <c r="CU297" i="1"/>
  <c r="T297" i="1" s="1"/>
  <c r="CV297" i="1"/>
  <c r="U297" i="1" s="1"/>
  <c r="CX297" i="1"/>
  <c r="W297" i="1" s="1"/>
  <c r="CY297" i="1"/>
  <c r="X297" i="1" s="1"/>
  <c r="CZ297" i="1"/>
  <c r="Y297" i="1" s="1"/>
  <c r="FR297" i="1"/>
  <c r="GL297" i="1"/>
  <c r="GO297" i="1"/>
  <c r="GP297" i="1"/>
  <c r="GV297" i="1"/>
  <c r="HC297" i="1" s="1"/>
  <c r="GX297" i="1" s="1"/>
  <c r="I298" i="1"/>
  <c r="Q298" i="1" s="1"/>
  <c r="R298" i="1"/>
  <c r="S298" i="1"/>
  <c r="CZ298" i="1" s="1"/>
  <c r="Y298" i="1" s="1"/>
  <c r="AC298" i="1"/>
  <c r="AB298" i="1" s="1"/>
  <c r="AE298" i="1"/>
  <c r="AD298" i="1" s="1"/>
  <c r="AF298" i="1"/>
  <c r="AG298" i="1"/>
  <c r="CU298" i="1" s="1"/>
  <c r="T298" i="1" s="1"/>
  <c r="AH298" i="1"/>
  <c r="AI298" i="1"/>
  <c r="AJ298" i="1"/>
  <c r="CR298" i="1"/>
  <c r="CS298" i="1"/>
  <c r="CT298" i="1"/>
  <c r="CV298" i="1"/>
  <c r="U298" i="1" s="1"/>
  <c r="CW298" i="1"/>
  <c r="V298" i="1" s="1"/>
  <c r="CX298" i="1"/>
  <c r="W298" i="1" s="1"/>
  <c r="FR298" i="1"/>
  <c r="GK298" i="1"/>
  <c r="GL298" i="1"/>
  <c r="GO298" i="1"/>
  <c r="GP298" i="1"/>
  <c r="GV298" i="1"/>
  <c r="HC298" i="1"/>
  <c r="GX298" i="1" s="1"/>
  <c r="I299" i="1"/>
  <c r="P299" i="1"/>
  <c r="S299" i="1"/>
  <c r="AC299" i="1"/>
  <c r="AB299" i="1" s="1"/>
  <c r="AE299" i="1"/>
  <c r="AD299" i="1" s="1"/>
  <c r="AF299" i="1"/>
  <c r="AG299" i="1"/>
  <c r="AH299" i="1"/>
  <c r="AI299" i="1"/>
  <c r="CW299" i="1" s="1"/>
  <c r="V299" i="1" s="1"/>
  <c r="AJ299" i="1"/>
  <c r="CQ299" i="1"/>
  <c r="CR299" i="1"/>
  <c r="CT299" i="1"/>
  <c r="CU299" i="1"/>
  <c r="T299" i="1" s="1"/>
  <c r="CV299" i="1"/>
  <c r="U299" i="1" s="1"/>
  <c r="CX299" i="1"/>
  <c r="W299" i="1" s="1"/>
  <c r="CY299" i="1"/>
  <c r="X299" i="1" s="1"/>
  <c r="CZ299" i="1"/>
  <c r="Y299" i="1" s="1"/>
  <c r="FR299" i="1"/>
  <c r="GL299" i="1"/>
  <c r="GO299" i="1"/>
  <c r="GP299" i="1"/>
  <c r="GV299" i="1"/>
  <c r="HC299" i="1" s="1"/>
  <c r="GX299" i="1" s="1"/>
  <c r="I300" i="1"/>
  <c r="Q300" i="1" s="1"/>
  <c r="R300" i="1"/>
  <c r="S300" i="1"/>
  <c r="CZ300" i="1" s="1"/>
  <c r="Y300" i="1" s="1"/>
  <c r="AC300" i="1"/>
  <c r="AE300" i="1"/>
  <c r="AD300" i="1" s="1"/>
  <c r="AF300" i="1"/>
  <c r="AG300" i="1"/>
  <c r="CU300" i="1" s="1"/>
  <c r="T300" i="1" s="1"/>
  <c r="AH300" i="1"/>
  <c r="AI300" i="1"/>
  <c r="AJ300" i="1"/>
  <c r="CR300" i="1"/>
  <c r="CS300" i="1"/>
  <c r="CT300" i="1"/>
  <c r="CV300" i="1"/>
  <c r="U300" i="1" s="1"/>
  <c r="CW300" i="1"/>
  <c r="V300" i="1" s="1"/>
  <c r="CX300" i="1"/>
  <c r="W300" i="1" s="1"/>
  <c r="FR300" i="1"/>
  <c r="GK300" i="1"/>
  <c r="GL300" i="1"/>
  <c r="GO300" i="1"/>
  <c r="GP300" i="1"/>
  <c r="GV300" i="1"/>
  <c r="HC300" i="1"/>
  <c r="GX300" i="1" s="1"/>
  <c r="C301" i="1"/>
  <c r="D301" i="1"/>
  <c r="P301" i="1"/>
  <c r="CP301" i="1" s="1"/>
  <c r="O301" i="1" s="1"/>
  <c r="R301" i="1"/>
  <c r="S301" i="1"/>
  <c r="CZ301" i="1" s="1"/>
  <c r="Y301" i="1" s="1"/>
  <c r="AC301" i="1"/>
  <c r="AB301" i="1" s="1"/>
  <c r="AD301" i="1"/>
  <c r="AE301" i="1"/>
  <c r="Q301" i="1" s="1"/>
  <c r="AF301" i="1"/>
  <c r="AG301" i="1"/>
  <c r="AH301" i="1"/>
  <c r="CV301" i="1" s="1"/>
  <c r="U301" i="1" s="1"/>
  <c r="AI301" i="1"/>
  <c r="AJ301" i="1"/>
  <c r="CQ301" i="1"/>
  <c r="CR301" i="1"/>
  <c r="CS301" i="1"/>
  <c r="CT301" i="1"/>
  <c r="CU301" i="1"/>
  <c r="T301" i="1" s="1"/>
  <c r="CW301" i="1"/>
  <c r="V301" i="1" s="1"/>
  <c r="CX301" i="1"/>
  <c r="W301" i="1" s="1"/>
  <c r="CY301" i="1"/>
  <c r="X301" i="1" s="1"/>
  <c r="FR301" i="1"/>
  <c r="GK301" i="1"/>
  <c r="GL301" i="1"/>
  <c r="GO301" i="1"/>
  <c r="GP301" i="1"/>
  <c r="GV301" i="1"/>
  <c r="HC301" i="1"/>
  <c r="GX301" i="1" s="1"/>
  <c r="C302" i="1"/>
  <c r="D302" i="1"/>
  <c r="P302" i="1"/>
  <c r="S302" i="1"/>
  <c r="AC302" i="1"/>
  <c r="AE302" i="1"/>
  <c r="AD302" i="1" s="1"/>
  <c r="AF302" i="1"/>
  <c r="AG302" i="1"/>
  <c r="AH302" i="1"/>
  <c r="AI302" i="1"/>
  <c r="CW302" i="1" s="1"/>
  <c r="V302" i="1" s="1"/>
  <c r="AJ302" i="1"/>
  <c r="CQ302" i="1"/>
  <c r="CR302" i="1"/>
  <c r="CT302" i="1"/>
  <c r="CU302" i="1"/>
  <c r="T302" i="1" s="1"/>
  <c r="CV302" i="1"/>
  <c r="U302" i="1" s="1"/>
  <c r="CX302" i="1"/>
  <c r="W302" i="1" s="1"/>
  <c r="CY302" i="1"/>
  <c r="X302" i="1" s="1"/>
  <c r="CZ302" i="1"/>
  <c r="Y302" i="1" s="1"/>
  <c r="FR302" i="1"/>
  <c r="GL302" i="1"/>
  <c r="GO302" i="1"/>
  <c r="GP302" i="1"/>
  <c r="GV302" i="1"/>
  <c r="HC302" i="1" s="1"/>
  <c r="GX302" i="1" s="1"/>
  <c r="I303" i="1"/>
  <c r="Q303" i="1" s="1"/>
  <c r="R303" i="1"/>
  <c r="S303" i="1"/>
  <c r="CZ303" i="1" s="1"/>
  <c r="Y303" i="1" s="1"/>
  <c r="AC303" i="1"/>
  <c r="AE303" i="1"/>
  <c r="AD303" i="1" s="1"/>
  <c r="AF303" i="1"/>
  <c r="AG303" i="1"/>
  <c r="CU303" i="1" s="1"/>
  <c r="T303" i="1" s="1"/>
  <c r="AH303" i="1"/>
  <c r="AI303" i="1"/>
  <c r="AJ303" i="1"/>
  <c r="CR303" i="1"/>
  <c r="CS303" i="1"/>
  <c r="CT303" i="1"/>
  <c r="CV303" i="1"/>
  <c r="U303" i="1" s="1"/>
  <c r="CW303" i="1"/>
  <c r="V303" i="1" s="1"/>
  <c r="CX303" i="1"/>
  <c r="W303" i="1" s="1"/>
  <c r="FR303" i="1"/>
  <c r="GK303" i="1"/>
  <c r="GL303" i="1"/>
  <c r="GO303" i="1"/>
  <c r="GP303" i="1"/>
  <c r="GV303" i="1"/>
  <c r="HC303" i="1"/>
  <c r="GX303" i="1" s="1"/>
  <c r="I304" i="1"/>
  <c r="P304" i="1"/>
  <c r="S304" i="1"/>
  <c r="AC304" i="1"/>
  <c r="AB304" i="1" s="1"/>
  <c r="AE304" i="1"/>
  <c r="AD304" i="1" s="1"/>
  <c r="AF304" i="1"/>
  <c r="AG304" i="1"/>
  <c r="AH304" i="1"/>
  <c r="AI304" i="1"/>
  <c r="CW304" i="1" s="1"/>
  <c r="V304" i="1" s="1"/>
  <c r="AJ304" i="1"/>
  <c r="CQ304" i="1"/>
  <c r="CR304" i="1"/>
  <c r="CT304" i="1"/>
  <c r="CU304" i="1"/>
  <c r="T304" i="1" s="1"/>
  <c r="CV304" i="1"/>
  <c r="U304" i="1" s="1"/>
  <c r="CX304" i="1"/>
  <c r="W304" i="1" s="1"/>
  <c r="CY304" i="1"/>
  <c r="X304" i="1" s="1"/>
  <c r="CZ304" i="1"/>
  <c r="Y304" i="1" s="1"/>
  <c r="FR304" i="1"/>
  <c r="GL304" i="1"/>
  <c r="GO304" i="1"/>
  <c r="GP304" i="1"/>
  <c r="GV304" i="1"/>
  <c r="HC304" i="1" s="1"/>
  <c r="GX304" i="1" s="1"/>
  <c r="I305" i="1"/>
  <c r="Q305" i="1" s="1"/>
  <c r="R305" i="1"/>
  <c r="S305" i="1"/>
  <c r="CZ305" i="1" s="1"/>
  <c r="Y305" i="1" s="1"/>
  <c r="AC305" i="1"/>
  <c r="AB305" i="1" s="1"/>
  <c r="AE305" i="1"/>
  <c r="AD305" i="1" s="1"/>
  <c r="AF305" i="1"/>
  <c r="AG305" i="1"/>
  <c r="CU305" i="1" s="1"/>
  <c r="T305" i="1" s="1"/>
  <c r="AH305" i="1"/>
  <c r="AI305" i="1"/>
  <c r="AJ305" i="1"/>
  <c r="CR305" i="1"/>
  <c r="CS305" i="1"/>
  <c r="CT305" i="1"/>
  <c r="CV305" i="1"/>
  <c r="U305" i="1" s="1"/>
  <c r="CW305" i="1"/>
  <c r="V305" i="1" s="1"/>
  <c r="CX305" i="1"/>
  <c r="W305" i="1" s="1"/>
  <c r="FR305" i="1"/>
  <c r="GK305" i="1"/>
  <c r="GL305" i="1"/>
  <c r="GO305" i="1"/>
  <c r="GP305" i="1"/>
  <c r="GV305" i="1"/>
  <c r="HC305" i="1"/>
  <c r="GX305" i="1" s="1"/>
  <c r="I306" i="1"/>
  <c r="P306" i="1"/>
  <c r="S306" i="1"/>
  <c r="AC306" i="1"/>
  <c r="AE306" i="1"/>
  <c r="AD306" i="1" s="1"/>
  <c r="AF306" i="1"/>
  <c r="AG306" i="1"/>
  <c r="AH306" i="1"/>
  <c r="AI306" i="1"/>
  <c r="CW306" i="1" s="1"/>
  <c r="V306" i="1" s="1"/>
  <c r="AJ306" i="1"/>
  <c r="CQ306" i="1"/>
  <c r="CR306" i="1"/>
  <c r="CT306" i="1"/>
  <c r="CU306" i="1"/>
  <c r="T306" i="1" s="1"/>
  <c r="CV306" i="1"/>
  <c r="U306" i="1" s="1"/>
  <c r="CX306" i="1"/>
  <c r="W306" i="1" s="1"/>
  <c r="CY306" i="1"/>
  <c r="X306" i="1" s="1"/>
  <c r="CZ306" i="1"/>
  <c r="Y306" i="1" s="1"/>
  <c r="FR306" i="1"/>
  <c r="GL306" i="1"/>
  <c r="GO306" i="1"/>
  <c r="GP306" i="1"/>
  <c r="GV306" i="1"/>
  <c r="HC306" i="1" s="1"/>
  <c r="GX306" i="1" s="1"/>
  <c r="C307" i="1"/>
  <c r="D307" i="1"/>
  <c r="P307" i="1"/>
  <c r="R307" i="1"/>
  <c r="GK307" i="1" s="1"/>
  <c r="AC307" i="1"/>
  <c r="AE307" i="1"/>
  <c r="AD307" i="1" s="1"/>
  <c r="AB307" i="1" s="1"/>
  <c r="AF307" i="1"/>
  <c r="S307" i="1" s="1"/>
  <c r="AG307" i="1"/>
  <c r="AH307" i="1"/>
  <c r="AI307" i="1"/>
  <c r="AJ307" i="1"/>
  <c r="CX307" i="1" s="1"/>
  <c r="W307" i="1" s="1"/>
  <c r="CQ307" i="1"/>
  <c r="CR307" i="1"/>
  <c r="CS307" i="1"/>
  <c r="CU307" i="1"/>
  <c r="T307" i="1" s="1"/>
  <c r="CV307" i="1"/>
  <c r="U307" i="1" s="1"/>
  <c r="CW307" i="1"/>
  <c r="V307" i="1" s="1"/>
  <c r="FR307" i="1"/>
  <c r="GL307" i="1"/>
  <c r="GO307" i="1"/>
  <c r="GP307" i="1"/>
  <c r="GV307" i="1"/>
  <c r="HC307" i="1" s="1"/>
  <c r="GX307" i="1" s="1"/>
  <c r="C308" i="1"/>
  <c r="D308" i="1"/>
  <c r="R308" i="1"/>
  <c r="S308" i="1"/>
  <c r="CZ308" i="1" s="1"/>
  <c r="Y308" i="1" s="1"/>
  <c r="AC308" i="1"/>
  <c r="AE308" i="1"/>
  <c r="Q308" i="1" s="1"/>
  <c r="AF308" i="1"/>
  <c r="AG308" i="1"/>
  <c r="CU308" i="1" s="1"/>
  <c r="T308" i="1" s="1"/>
  <c r="AH308" i="1"/>
  <c r="AI308" i="1"/>
  <c r="AJ308" i="1"/>
  <c r="CR308" i="1"/>
  <c r="CS308" i="1"/>
  <c r="CT308" i="1"/>
  <c r="CV308" i="1"/>
  <c r="U308" i="1" s="1"/>
  <c r="CW308" i="1"/>
  <c r="V308" i="1" s="1"/>
  <c r="CX308" i="1"/>
  <c r="W308" i="1" s="1"/>
  <c r="FR308" i="1"/>
  <c r="GK308" i="1"/>
  <c r="GL308" i="1"/>
  <c r="GO308" i="1"/>
  <c r="GP308" i="1"/>
  <c r="GV308" i="1"/>
  <c r="HC308" i="1"/>
  <c r="GX308" i="1" s="1"/>
  <c r="I309" i="1"/>
  <c r="P309" i="1"/>
  <c r="S309" i="1"/>
  <c r="AC309" i="1"/>
  <c r="AB309" i="1" s="1"/>
  <c r="AE309" i="1"/>
  <c r="AD309" i="1" s="1"/>
  <c r="AF309" i="1"/>
  <c r="AG309" i="1"/>
  <c r="AH309" i="1"/>
  <c r="AI309" i="1"/>
  <c r="CW309" i="1" s="1"/>
  <c r="V309" i="1" s="1"/>
  <c r="AJ309" i="1"/>
  <c r="CQ309" i="1"/>
  <c r="CR309" i="1"/>
  <c r="CT309" i="1"/>
  <c r="CU309" i="1"/>
  <c r="T309" i="1" s="1"/>
  <c r="CV309" i="1"/>
  <c r="U309" i="1" s="1"/>
  <c r="CX309" i="1"/>
  <c r="W309" i="1" s="1"/>
  <c r="CY309" i="1"/>
  <c r="X309" i="1" s="1"/>
  <c r="CZ309" i="1"/>
  <c r="Y309" i="1" s="1"/>
  <c r="FR309" i="1"/>
  <c r="GL309" i="1"/>
  <c r="GO309" i="1"/>
  <c r="GP309" i="1"/>
  <c r="GV309" i="1"/>
  <c r="HC309" i="1" s="1"/>
  <c r="GX309" i="1" s="1"/>
  <c r="I310" i="1"/>
  <c r="Q310" i="1" s="1"/>
  <c r="R310" i="1"/>
  <c r="S310" i="1"/>
  <c r="CZ310" i="1" s="1"/>
  <c r="Y310" i="1" s="1"/>
  <c r="AC310" i="1"/>
  <c r="AE310" i="1"/>
  <c r="AD310" i="1" s="1"/>
  <c r="AF310" i="1"/>
  <c r="AG310" i="1"/>
  <c r="CU310" i="1" s="1"/>
  <c r="T310" i="1" s="1"/>
  <c r="AH310" i="1"/>
  <c r="AI310" i="1"/>
  <c r="AJ310" i="1"/>
  <c r="CR310" i="1"/>
  <c r="CS310" i="1"/>
  <c r="CT310" i="1"/>
  <c r="CV310" i="1"/>
  <c r="U310" i="1" s="1"/>
  <c r="CW310" i="1"/>
  <c r="V310" i="1" s="1"/>
  <c r="CX310" i="1"/>
  <c r="W310" i="1" s="1"/>
  <c r="FR310" i="1"/>
  <c r="GK310" i="1"/>
  <c r="GL310" i="1"/>
  <c r="GO310" i="1"/>
  <c r="GP310" i="1"/>
  <c r="GV310" i="1"/>
  <c r="HC310" i="1"/>
  <c r="GX310" i="1" s="1"/>
  <c r="I311" i="1"/>
  <c r="P311" i="1"/>
  <c r="S311" i="1"/>
  <c r="AC311" i="1"/>
  <c r="AE311" i="1"/>
  <c r="AD311" i="1" s="1"/>
  <c r="AF311" i="1"/>
  <c r="AG311" i="1"/>
  <c r="AH311" i="1"/>
  <c r="AI311" i="1"/>
  <c r="CW311" i="1" s="1"/>
  <c r="V311" i="1" s="1"/>
  <c r="AJ311" i="1"/>
  <c r="CQ311" i="1"/>
  <c r="CR311" i="1"/>
  <c r="CT311" i="1"/>
  <c r="CU311" i="1"/>
  <c r="T311" i="1" s="1"/>
  <c r="CV311" i="1"/>
  <c r="U311" i="1" s="1"/>
  <c r="CX311" i="1"/>
  <c r="W311" i="1" s="1"/>
  <c r="CY311" i="1"/>
  <c r="X311" i="1" s="1"/>
  <c r="CZ311" i="1"/>
  <c r="Y311" i="1" s="1"/>
  <c r="FR311" i="1"/>
  <c r="GL311" i="1"/>
  <c r="GO311" i="1"/>
  <c r="GP311" i="1"/>
  <c r="GV311" i="1"/>
  <c r="HC311" i="1" s="1"/>
  <c r="GX311" i="1" s="1"/>
  <c r="I312" i="1"/>
  <c r="Q312" i="1" s="1"/>
  <c r="R312" i="1"/>
  <c r="S312" i="1"/>
  <c r="CZ312" i="1" s="1"/>
  <c r="Y312" i="1" s="1"/>
  <c r="AC312" i="1"/>
  <c r="AB312" i="1" s="1"/>
  <c r="AE312" i="1"/>
  <c r="AD312" i="1" s="1"/>
  <c r="AF312" i="1"/>
  <c r="AG312" i="1"/>
  <c r="CU312" i="1" s="1"/>
  <c r="T312" i="1" s="1"/>
  <c r="AH312" i="1"/>
  <c r="AI312" i="1"/>
  <c r="AJ312" i="1"/>
  <c r="CR312" i="1"/>
  <c r="CS312" i="1"/>
  <c r="CT312" i="1"/>
  <c r="CV312" i="1"/>
  <c r="U312" i="1" s="1"/>
  <c r="CW312" i="1"/>
  <c r="V312" i="1" s="1"/>
  <c r="CX312" i="1"/>
  <c r="W312" i="1" s="1"/>
  <c r="FR312" i="1"/>
  <c r="GK312" i="1"/>
  <c r="GL312" i="1"/>
  <c r="GO312" i="1"/>
  <c r="GP312" i="1"/>
  <c r="GV312" i="1"/>
  <c r="HC312" i="1"/>
  <c r="GX312" i="1" s="1"/>
  <c r="I313" i="1"/>
  <c r="P313" i="1"/>
  <c r="S313" i="1"/>
  <c r="AC313" i="1"/>
  <c r="AB313" i="1" s="1"/>
  <c r="AE313" i="1"/>
  <c r="AD313" i="1" s="1"/>
  <c r="AF313" i="1"/>
  <c r="AG313" i="1"/>
  <c r="AH313" i="1"/>
  <c r="AI313" i="1"/>
  <c r="CW313" i="1" s="1"/>
  <c r="V313" i="1" s="1"/>
  <c r="AJ313" i="1"/>
  <c r="CQ313" i="1"/>
  <c r="CR313" i="1"/>
  <c r="CT313" i="1"/>
  <c r="CU313" i="1"/>
  <c r="T313" i="1" s="1"/>
  <c r="CV313" i="1"/>
  <c r="U313" i="1" s="1"/>
  <c r="CX313" i="1"/>
  <c r="W313" i="1" s="1"/>
  <c r="CY313" i="1"/>
  <c r="X313" i="1" s="1"/>
  <c r="CZ313" i="1"/>
  <c r="Y313" i="1" s="1"/>
  <c r="FR313" i="1"/>
  <c r="GL313" i="1"/>
  <c r="GO313" i="1"/>
  <c r="GP313" i="1"/>
  <c r="GV313" i="1"/>
  <c r="HC313" i="1" s="1"/>
  <c r="GX313" i="1" s="1"/>
  <c r="I314" i="1"/>
  <c r="Q314" i="1" s="1"/>
  <c r="R314" i="1"/>
  <c r="S314" i="1"/>
  <c r="CZ314" i="1" s="1"/>
  <c r="Y314" i="1" s="1"/>
  <c r="AC314" i="1"/>
  <c r="AE314" i="1"/>
  <c r="AD314" i="1" s="1"/>
  <c r="AF314" i="1"/>
  <c r="AG314" i="1"/>
  <c r="CU314" i="1" s="1"/>
  <c r="T314" i="1" s="1"/>
  <c r="AH314" i="1"/>
  <c r="AI314" i="1"/>
  <c r="AJ314" i="1"/>
  <c r="CR314" i="1"/>
  <c r="CS314" i="1"/>
  <c r="CT314" i="1"/>
  <c r="CV314" i="1"/>
  <c r="U314" i="1" s="1"/>
  <c r="CW314" i="1"/>
  <c r="V314" i="1" s="1"/>
  <c r="CX314" i="1"/>
  <c r="W314" i="1" s="1"/>
  <c r="FR314" i="1"/>
  <c r="GK314" i="1"/>
  <c r="GL314" i="1"/>
  <c r="GO314" i="1"/>
  <c r="GP314" i="1"/>
  <c r="GV314" i="1"/>
  <c r="HC314" i="1"/>
  <c r="GX314" i="1" s="1"/>
  <c r="I315" i="1"/>
  <c r="P315" i="1"/>
  <c r="S315" i="1"/>
  <c r="AC315" i="1"/>
  <c r="AE315" i="1"/>
  <c r="AD315" i="1" s="1"/>
  <c r="AF315" i="1"/>
  <c r="AG315" i="1"/>
  <c r="AH315" i="1"/>
  <c r="AI315" i="1"/>
  <c r="CW315" i="1" s="1"/>
  <c r="V315" i="1" s="1"/>
  <c r="AJ315" i="1"/>
  <c r="CQ315" i="1"/>
  <c r="CR315" i="1"/>
  <c r="CT315" i="1"/>
  <c r="CU315" i="1"/>
  <c r="T315" i="1" s="1"/>
  <c r="CV315" i="1"/>
  <c r="U315" i="1" s="1"/>
  <c r="CX315" i="1"/>
  <c r="W315" i="1" s="1"/>
  <c r="CY315" i="1"/>
  <c r="X315" i="1" s="1"/>
  <c r="CZ315" i="1"/>
  <c r="Y315" i="1" s="1"/>
  <c r="FR315" i="1"/>
  <c r="GL315" i="1"/>
  <c r="GO315" i="1"/>
  <c r="GP315" i="1"/>
  <c r="GV315" i="1"/>
  <c r="HC315" i="1" s="1"/>
  <c r="GX315" i="1" s="1"/>
  <c r="I316" i="1"/>
  <c r="Q316" i="1" s="1"/>
  <c r="R316" i="1"/>
  <c r="S316" i="1"/>
  <c r="CZ316" i="1" s="1"/>
  <c r="Y316" i="1" s="1"/>
  <c r="AC316" i="1"/>
  <c r="AB316" i="1" s="1"/>
  <c r="AE316" i="1"/>
  <c r="AD316" i="1" s="1"/>
  <c r="AF316" i="1"/>
  <c r="AG316" i="1"/>
  <c r="CU316" i="1" s="1"/>
  <c r="T316" i="1" s="1"/>
  <c r="AH316" i="1"/>
  <c r="AI316" i="1"/>
  <c r="AJ316" i="1"/>
  <c r="CR316" i="1"/>
  <c r="CS316" i="1"/>
  <c r="CT316" i="1"/>
  <c r="CV316" i="1"/>
  <c r="U316" i="1" s="1"/>
  <c r="CW316" i="1"/>
  <c r="V316" i="1" s="1"/>
  <c r="CX316" i="1"/>
  <c r="W316" i="1" s="1"/>
  <c r="FR316" i="1"/>
  <c r="GK316" i="1"/>
  <c r="GL316" i="1"/>
  <c r="GO316" i="1"/>
  <c r="GP316" i="1"/>
  <c r="GV316" i="1"/>
  <c r="HC316" i="1"/>
  <c r="GX316" i="1" s="1"/>
  <c r="C317" i="1"/>
  <c r="D317" i="1"/>
  <c r="P317" i="1"/>
  <c r="R317" i="1"/>
  <c r="S317" i="1"/>
  <c r="CZ317" i="1" s="1"/>
  <c r="Y317" i="1" s="1"/>
  <c r="AC317" i="1"/>
  <c r="AB317" i="1" s="1"/>
  <c r="AD317" i="1"/>
  <c r="AE317" i="1"/>
  <c r="Q317" i="1" s="1"/>
  <c r="AF317" i="1"/>
  <c r="AG317" i="1"/>
  <c r="AH317" i="1"/>
  <c r="CV317" i="1" s="1"/>
  <c r="U317" i="1" s="1"/>
  <c r="AI317" i="1"/>
  <c r="AJ317" i="1"/>
  <c r="CQ317" i="1"/>
  <c r="CR317" i="1"/>
  <c r="CS317" i="1"/>
  <c r="CT317" i="1"/>
  <c r="CU317" i="1"/>
  <c r="T317" i="1" s="1"/>
  <c r="CW317" i="1"/>
  <c r="V317" i="1" s="1"/>
  <c r="CX317" i="1"/>
  <c r="W317" i="1" s="1"/>
  <c r="CY317" i="1"/>
  <c r="X317" i="1" s="1"/>
  <c r="FR317" i="1"/>
  <c r="GK317" i="1"/>
  <c r="GL317" i="1"/>
  <c r="GO317" i="1"/>
  <c r="GP317" i="1"/>
  <c r="GV317" i="1"/>
  <c r="HC317" i="1"/>
  <c r="GX317" i="1" s="1"/>
  <c r="C318" i="1"/>
  <c r="D318" i="1"/>
  <c r="P318" i="1"/>
  <c r="S318" i="1"/>
  <c r="AC318" i="1"/>
  <c r="AB318" i="1" s="1"/>
  <c r="AE318" i="1"/>
  <c r="AD318" i="1" s="1"/>
  <c r="AF318" i="1"/>
  <c r="AG318" i="1"/>
  <c r="AH318" i="1"/>
  <c r="AI318" i="1"/>
  <c r="CW318" i="1" s="1"/>
  <c r="V318" i="1" s="1"/>
  <c r="AJ318" i="1"/>
  <c r="CQ318" i="1"/>
  <c r="CR318" i="1"/>
  <c r="CT318" i="1"/>
  <c r="CU318" i="1"/>
  <c r="T318" i="1" s="1"/>
  <c r="CV318" i="1"/>
  <c r="U318" i="1" s="1"/>
  <c r="CX318" i="1"/>
  <c r="W318" i="1" s="1"/>
  <c r="CY318" i="1"/>
  <c r="X318" i="1" s="1"/>
  <c r="CZ318" i="1"/>
  <c r="Y318" i="1" s="1"/>
  <c r="FR318" i="1"/>
  <c r="GL318" i="1"/>
  <c r="GO318" i="1"/>
  <c r="GP318" i="1"/>
  <c r="GV318" i="1"/>
  <c r="HC318" i="1" s="1"/>
  <c r="GX318" i="1" s="1"/>
  <c r="I319" i="1"/>
  <c r="Q319" i="1" s="1"/>
  <c r="R319" i="1"/>
  <c r="S319" i="1"/>
  <c r="CZ319" i="1" s="1"/>
  <c r="Y319" i="1" s="1"/>
  <c r="AC319" i="1"/>
  <c r="AB319" i="1" s="1"/>
  <c r="AE319" i="1"/>
  <c r="AD319" i="1" s="1"/>
  <c r="AF319" i="1"/>
  <c r="AG319" i="1"/>
  <c r="CU319" i="1" s="1"/>
  <c r="T319" i="1" s="1"/>
  <c r="AH319" i="1"/>
  <c r="AI319" i="1"/>
  <c r="AJ319" i="1"/>
  <c r="CR319" i="1"/>
  <c r="CS319" i="1"/>
  <c r="CT319" i="1"/>
  <c r="CV319" i="1"/>
  <c r="U319" i="1" s="1"/>
  <c r="CW319" i="1"/>
  <c r="V319" i="1" s="1"/>
  <c r="CX319" i="1"/>
  <c r="W319" i="1" s="1"/>
  <c r="FR319" i="1"/>
  <c r="GK319" i="1"/>
  <c r="GL319" i="1"/>
  <c r="GO319" i="1"/>
  <c r="GP319" i="1"/>
  <c r="GV319" i="1"/>
  <c r="HC319" i="1"/>
  <c r="GX319" i="1" s="1"/>
  <c r="I320" i="1"/>
  <c r="P320" i="1"/>
  <c r="S320" i="1"/>
  <c r="AC320" i="1"/>
  <c r="AE320" i="1"/>
  <c r="AD320" i="1" s="1"/>
  <c r="AF320" i="1"/>
  <c r="AG320" i="1"/>
  <c r="AH320" i="1"/>
  <c r="AI320" i="1"/>
  <c r="CW320" i="1" s="1"/>
  <c r="V320" i="1" s="1"/>
  <c r="AJ320" i="1"/>
  <c r="CQ320" i="1"/>
  <c r="CR320" i="1"/>
  <c r="CT320" i="1"/>
  <c r="CU320" i="1"/>
  <c r="T320" i="1" s="1"/>
  <c r="CV320" i="1"/>
  <c r="U320" i="1" s="1"/>
  <c r="CX320" i="1"/>
  <c r="W320" i="1" s="1"/>
  <c r="CY320" i="1"/>
  <c r="X320" i="1" s="1"/>
  <c r="CZ320" i="1"/>
  <c r="Y320" i="1" s="1"/>
  <c r="FR320" i="1"/>
  <c r="GL320" i="1"/>
  <c r="GO320" i="1"/>
  <c r="GP320" i="1"/>
  <c r="GV320" i="1"/>
  <c r="HC320" i="1" s="1"/>
  <c r="GX320" i="1" s="1"/>
  <c r="C321" i="1"/>
  <c r="D321" i="1"/>
  <c r="P321" i="1"/>
  <c r="R321" i="1"/>
  <c r="GK321" i="1" s="1"/>
  <c r="AC321" i="1"/>
  <c r="AE321" i="1"/>
  <c r="AD321" i="1" s="1"/>
  <c r="AB321" i="1" s="1"/>
  <c r="AF321" i="1"/>
  <c r="S321" i="1" s="1"/>
  <c r="AG321" i="1"/>
  <c r="AH321" i="1"/>
  <c r="AI321" i="1"/>
  <c r="AJ321" i="1"/>
  <c r="CX321" i="1" s="1"/>
  <c r="W321" i="1" s="1"/>
  <c r="CQ321" i="1"/>
  <c r="CR321" i="1"/>
  <c r="CS321" i="1"/>
  <c r="CU321" i="1"/>
  <c r="T321" i="1" s="1"/>
  <c r="CV321" i="1"/>
  <c r="U321" i="1" s="1"/>
  <c r="CW321" i="1"/>
  <c r="V321" i="1" s="1"/>
  <c r="FR321" i="1"/>
  <c r="GL321" i="1"/>
  <c r="GO321" i="1"/>
  <c r="GP321" i="1"/>
  <c r="GV321" i="1"/>
  <c r="HC321" i="1" s="1"/>
  <c r="GX321" i="1" s="1"/>
  <c r="C322" i="1"/>
  <c r="D322" i="1"/>
  <c r="R322" i="1"/>
  <c r="S322" i="1"/>
  <c r="CZ322" i="1" s="1"/>
  <c r="Y322" i="1" s="1"/>
  <c r="AC322" i="1"/>
  <c r="AE322" i="1"/>
  <c r="Q322" i="1" s="1"/>
  <c r="AF322" i="1"/>
  <c r="AG322" i="1"/>
  <c r="CU322" i="1" s="1"/>
  <c r="T322" i="1" s="1"/>
  <c r="AH322" i="1"/>
  <c r="AI322" i="1"/>
  <c r="AJ322" i="1"/>
  <c r="CR322" i="1"/>
  <c r="CS322" i="1"/>
  <c r="CT322" i="1"/>
  <c r="CV322" i="1"/>
  <c r="U322" i="1" s="1"/>
  <c r="CW322" i="1"/>
  <c r="V322" i="1" s="1"/>
  <c r="CX322" i="1"/>
  <c r="W322" i="1" s="1"/>
  <c r="FR322" i="1"/>
  <c r="GK322" i="1"/>
  <c r="GL322" i="1"/>
  <c r="GO322" i="1"/>
  <c r="GP322" i="1"/>
  <c r="GV322" i="1"/>
  <c r="HC322" i="1"/>
  <c r="GX322" i="1" s="1"/>
  <c r="I323" i="1"/>
  <c r="P323" i="1"/>
  <c r="S323" i="1"/>
  <c r="AC323" i="1"/>
  <c r="AB323" i="1" s="1"/>
  <c r="AE323" i="1"/>
  <c r="AD323" i="1" s="1"/>
  <c r="AF323" i="1"/>
  <c r="AG323" i="1"/>
  <c r="AH323" i="1"/>
  <c r="AI323" i="1"/>
  <c r="CW323" i="1" s="1"/>
  <c r="V323" i="1" s="1"/>
  <c r="AJ323" i="1"/>
  <c r="CQ323" i="1"/>
  <c r="CR323" i="1"/>
  <c r="CT323" i="1"/>
  <c r="CU323" i="1"/>
  <c r="T323" i="1" s="1"/>
  <c r="CV323" i="1"/>
  <c r="U323" i="1" s="1"/>
  <c r="CX323" i="1"/>
  <c r="W323" i="1" s="1"/>
  <c r="CY323" i="1"/>
  <c r="X323" i="1" s="1"/>
  <c r="CZ323" i="1"/>
  <c r="Y323" i="1" s="1"/>
  <c r="FR323" i="1"/>
  <c r="GL323" i="1"/>
  <c r="GO323" i="1"/>
  <c r="GP323" i="1"/>
  <c r="GV323" i="1"/>
  <c r="HC323" i="1" s="1"/>
  <c r="GX323" i="1" s="1"/>
  <c r="I324" i="1"/>
  <c r="Q324" i="1" s="1"/>
  <c r="R324" i="1"/>
  <c r="S324" i="1"/>
  <c r="CZ324" i="1" s="1"/>
  <c r="Y324" i="1" s="1"/>
  <c r="AC324" i="1"/>
  <c r="AE324" i="1"/>
  <c r="AD324" i="1" s="1"/>
  <c r="AF324" i="1"/>
  <c r="AG324" i="1"/>
  <c r="CU324" i="1" s="1"/>
  <c r="T324" i="1" s="1"/>
  <c r="AH324" i="1"/>
  <c r="AI324" i="1"/>
  <c r="AJ324" i="1"/>
  <c r="CR324" i="1"/>
  <c r="CS324" i="1"/>
  <c r="CT324" i="1"/>
  <c r="CV324" i="1"/>
  <c r="U324" i="1" s="1"/>
  <c r="CW324" i="1"/>
  <c r="V324" i="1" s="1"/>
  <c r="CX324" i="1"/>
  <c r="W324" i="1" s="1"/>
  <c r="FR324" i="1"/>
  <c r="GK324" i="1"/>
  <c r="GL324" i="1"/>
  <c r="GO324" i="1"/>
  <c r="GP324" i="1"/>
  <c r="GV324" i="1"/>
  <c r="HC324" i="1"/>
  <c r="GX324" i="1" s="1"/>
  <c r="I325" i="1"/>
  <c r="P325" i="1"/>
  <c r="S325" i="1"/>
  <c r="AC325" i="1"/>
  <c r="AE325" i="1"/>
  <c r="AD325" i="1" s="1"/>
  <c r="AF325" i="1"/>
  <c r="AG325" i="1"/>
  <c r="AH325" i="1"/>
  <c r="AI325" i="1"/>
  <c r="CW325" i="1" s="1"/>
  <c r="V325" i="1" s="1"/>
  <c r="AJ325" i="1"/>
  <c r="CQ325" i="1"/>
  <c r="CR325" i="1"/>
  <c r="CT325" i="1"/>
  <c r="CU325" i="1"/>
  <c r="T325" i="1" s="1"/>
  <c r="CV325" i="1"/>
  <c r="U325" i="1" s="1"/>
  <c r="CX325" i="1"/>
  <c r="W325" i="1" s="1"/>
  <c r="CY325" i="1"/>
  <c r="X325" i="1" s="1"/>
  <c r="CZ325" i="1"/>
  <c r="Y325" i="1" s="1"/>
  <c r="FR325" i="1"/>
  <c r="GL325" i="1"/>
  <c r="GO325" i="1"/>
  <c r="GP325" i="1"/>
  <c r="GV325" i="1"/>
  <c r="HC325" i="1" s="1"/>
  <c r="GX325" i="1" s="1"/>
  <c r="I326" i="1"/>
  <c r="Q326" i="1" s="1"/>
  <c r="R326" i="1"/>
  <c r="S326" i="1"/>
  <c r="CZ326" i="1" s="1"/>
  <c r="Y326" i="1" s="1"/>
  <c r="AC326" i="1"/>
  <c r="AB326" i="1" s="1"/>
  <c r="AE326" i="1"/>
  <c r="AD326" i="1" s="1"/>
  <c r="AF326" i="1"/>
  <c r="AG326" i="1"/>
  <c r="CU326" i="1" s="1"/>
  <c r="T326" i="1" s="1"/>
  <c r="AH326" i="1"/>
  <c r="AI326" i="1"/>
  <c r="AJ326" i="1"/>
  <c r="CR326" i="1"/>
  <c r="CS326" i="1"/>
  <c r="CT326" i="1"/>
  <c r="CV326" i="1"/>
  <c r="U326" i="1" s="1"/>
  <c r="CW326" i="1"/>
  <c r="V326" i="1" s="1"/>
  <c r="CX326" i="1"/>
  <c r="W326" i="1" s="1"/>
  <c r="FR326" i="1"/>
  <c r="GK326" i="1"/>
  <c r="GL326" i="1"/>
  <c r="GO326" i="1"/>
  <c r="GP326" i="1"/>
  <c r="GV326" i="1"/>
  <c r="HC326" i="1"/>
  <c r="GX326" i="1" s="1"/>
  <c r="C327" i="1"/>
  <c r="D327" i="1"/>
  <c r="P327" i="1"/>
  <c r="R327" i="1"/>
  <c r="S327" i="1"/>
  <c r="CZ327" i="1" s="1"/>
  <c r="Y327" i="1" s="1"/>
  <c r="AC327" i="1"/>
  <c r="AB327" i="1" s="1"/>
  <c r="AD327" i="1"/>
  <c r="AE327" i="1"/>
  <c r="Q327" i="1" s="1"/>
  <c r="AF327" i="1"/>
  <c r="AG327" i="1"/>
  <c r="AH327" i="1"/>
  <c r="CV327" i="1" s="1"/>
  <c r="U327" i="1" s="1"/>
  <c r="AI327" i="1"/>
  <c r="AJ327" i="1"/>
  <c r="CQ327" i="1"/>
  <c r="CR327" i="1"/>
  <c r="CS327" i="1"/>
  <c r="CT327" i="1"/>
  <c r="CU327" i="1"/>
  <c r="T327" i="1" s="1"/>
  <c r="CW327" i="1"/>
  <c r="V327" i="1" s="1"/>
  <c r="CX327" i="1"/>
  <c r="W327" i="1" s="1"/>
  <c r="CY327" i="1"/>
  <c r="X327" i="1" s="1"/>
  <c r="FR327" i="1"/>
  <c r="GK327" i="1"/>
  <c r="GL327" i="1"/>
  <c r="GO327" i="1"/>
  <c r="GP327" i="1"/>
  <c r="GV327" i="1"/>
  <c r="HC327" i="1"/>
  <c r="GX327" i="1" s="1"/>
  <c r="C328" i="1"/>
  <c r="D328" i="1"/>
  <c r="P328" i="1"/>
  <c r="S328" i="1"/>
  <c r="AC328" i="1"/>
  <c r="AB328" i="1" s="1"/>
  <c r="AE328" i="1"/>
  <c r="AD328" i="1" s="1"/>
  <c r="AF328" i="1"/>
  <c r="AG328" i="1"/>
  <c r="AH328" i="1"/>
  <c r="AI328" i="1"/>
  <c r="CW328" i="1" s="1"/>
  <c r="V328" i="1" s="1"/>
  <c r="AJ328" i="1"/>
  <c r="CQ328" i="1"/>
  <c r="CR328" i="1"/>
  <c r="CT328" i="1"/>
  <c r="CU328" i="1"/>
  <c r="T328" i="1" s="1"/>
  <c r="CV328" i="1"/>
  <c r="U328" i="1" s="1"/>
  <c r="CX328" i="1"/>
  <c r="W328" i="1" s="1"/>
  <c r="CY328" i="1"/>
  <c r="X328" i="1" s="1"/>
  <c r="CZ328" i="1"/>
  <c r="Y328" i="1" s="1"/>
  <c r="FR328" i="1"/>
  <c r="GL328" i="1"/>
  <c r="GO328" i="1"/>
  <c r="GP328" i="1"/>
  <c r="GV328" i="1"/>
  <c r="HC328" i="1" s="1"/>
  <c r="GX328" i="1" s="1"/>
  <c r="I329" i="1"/>
  <c r="Q329" i="1" s="1"/>
  <c r="R329" i="1"/>
  <c r="S329" i="1"/>
  <c r="CZ329" i="1" s="1"/>
  <c r="Y329" i="1" s="1"/>
  <c r="AC329" i="1"/>
  <c r="AB329" i="1" s="1"/>
  <c r="AE329" i="1"/>
  <c r="AD329" i="1" s="1"/>
  <c r="AF329" i="1"/>
  <c r="AG329" i="1"/>
  <c r="CU329" i="1" s="1"/>
  <c r="T329" i="1" s="1"/>
  <c r="AH329" i="1"/>
  <c r="AI329" i="1"/>
  <c r="AJ329" i="1"/>
  <c r="CR329" i="1"/>
  <c r="CS329" i="1"/>
  <c r="CT329" i="1"/>
  <c r="CV329" i="1"/>
  <c r="U329" i="1" s="1"/>
  <c r="CW329" i="1"/>
  <c r="V329" i="1" s="1"/>
  <c r="CX329" i="1"/>
  <c r="W329" i="1" s="1"/>
  <c r="FR329" i="1"/>
  <c r="GK329" i="1"/>
  <c r="GL329" i="1"/>
  <c r="GO329" i="1"/>
  <c r="GP329" i="1"/>
  <c r="GV329" i="1"/>
  <c r="HC329" i="1"/>
  <c r="GX329" i="1" s="1"/>
  <c r="I330" i="1"/>
  <c r="P330" i="1"/>
  <c r="S330" i="1"/>
  <c r="AC330" i="1"/>
  <c r="AE330" i="1"/>
  <c r="AD330" i="1" s="1"/>
  <c r="AF330" i="1"/>
  <c r="AG330" i="1"/>
  <c r="AH330" i="1"/>
  <c r="AI330" i="1"/>
  <c r="CW330" i="1" s="1"/>
  <c r="V330" i="1" s="1"/>
  <c r="AJ330" i="1"/>
  <c r="CQ330" i="1"/>
  <c r="CR330" i="1"/>
  <c r="CT330" i="1"/>
  <c r="CU330" i="1"/>
  <c r="T330" i="1" s="1"/>
  <c r="CV330" i="1"/>
  <c r="U330" i="1" s="1"/>
  <c r="CX330" i="1"/>
  <c r="W330" i="1" s="1"/>
  <c r="CY330" i="1"/>
  <c r="X330" i="1" s="1"/>
  <c r="CZ330" i="1"/>
  <c r="Y330" i="1" s="1"/>
  <c r="FR330" i="1"/>
  <c r="GL330" i="1"/>
  <c r="GO330" i="1"/>
  <c r="GP330" i="1"/>
  <c r="GV330" i="1"/>
  <c r="HC330" i="1" s="1"/>
  <c r="GX330" i="1" s="1"/>
  <c r="I331" i="1"/>
  <c r="Q331" i="1" s="1"/>
  <c r="R331" i="1"/>
  <c r="S331" i="1"/>
  <c r="CZ331" i="1" s="1"/>
  <c r="Y331" i="1" s="1"/>
  <c r="AC331" i="1"/>
  <c r="AE331" i="1"/>
  <c r="AD331" i="1" s="1"/>
  <c r="AF331" i="1"/>
  <c r="AG331" i="1"/>
  <c r="CU331" i="1" s="1"/>
  <c r="T331" i="1" s="1"/>
  <c r="AH331" i="1"/>
  <c r="AI331" i="1"/>
  <c r="AJ331" i="1"/>
  <c r="CR331" i="1"/>
  <c r="CS331" i="1"/>
  <c r="CT331" i="1"/>
  <c r="CV331" i="1"/>
  <c r="U331" i="1" s="1"/>
  <c r="CW331" i="1"/>
  <c r="V331" i="1" s="1"/>
  <c r="CX331" i="1"/>
  <c r="W331" i="1" s="1"/>
  <c r="FR331" i="1"/>
  <c r="GK331" i="1"/>
  <c r="GL331" i="1"/>
  <c r="GO331" i="1"/>
  <c r="GP331" i="1"/>
  <c r="GV331" i="1"/>
  <c r="HC331" i="1"/>
  <c r="GX331" i="1" s="1"/>
  <c r="I332" i="1"/>
  <c r="P332" i="1"/>
  <c r="S332" i="1"/>
  <c r="AC332" i="1"/>
  <c r="AB332" i="1" s="1"/>
  <c r="AE332" i="1"/>
  <c r="AD332" i="1" s="1"/>
  <c r="AF332" i="1"/>
  <c r="AG332" i="1"/>
  <c r="AH332" i="1"/>
  <c r="AI332" i="1"/>
  <c r="CW332" i="1" s="1"/>
  <c r="V332" i="1" s="1"/>
  <c r="AJ332" i="1"/>
  <c r="CQ332" i="1"/>
  <c r="CR332" i="1"/>
  <c r="CT332" i="1"/>
  <c r="CU332" i="1"/>
  <c r="T332" i="1" s="1"/>
  <c r="CV332" i="1"/>
  <c r="U332" i="1" s="1"/>
  <c r="CX332" i="1"/>
  <c r="W332" i="1" s="1"/>
  <c r="CY332" i="1"/>
  <c r="X332" i="1" s="1"/>
  <c r="CZ332" i="1"/>
  <c r="Y332" i="1" s="1"/>
  <c r="FR332" i="1"/>
  <c r="GL332" i="1"/>
  <c r="GO332" i="1"/>
  <c r="GP332" i="1"/>
  <c r="GV332" i="1"/>
  <c r="HC332" i="1" s="1"/>
  <c r="GX332" i="1" s="1"/>
  <c r="I333" i="1"/>
  <c r="Q333" i="1" s="1"/>
  <c r="R333" i="1"/>
  <c r="S333" i="1"/>
  <c r="CZ333" i="1" s="1"/>
  <c r="Y333" i="1" s="1"/>
  <c r="AC333" i="1"/>
  <c r="AB333" i="1" s="1"/>
  <c r="AE333" i="1"/>
  <c r="AD333" i="1" s="1"/>
  <c r="AF333" i="1"/>
  <c r="AG333" i="1"/>
  <c r="CU333" i="1" s="1"/>
  <c r="T333" i="1" s="1"/>
  <c r="AH333" i="1"/>
  <c r="AI333" i="1"/>
  <c r="AJ333" i="1"/>
  <c r="CR333" i="1"/>
  <c r="CS333" i="1"/>
  <c r="CT333" i="1"/>
  <c r="CV333" i="1"/>
  <c r="U333" i="1" s="1"/>
  <c r="CW333" i="1"/>
  <c r="V333" i="1" s="1"/>
  <c r="CX333" i="1"/>
  <c r="W333" i="1" s="1"/>
  <c r="FR333" i="1"/>
  <c r="GK333" i="1"/>
  <c r="GL333" i="1"/>
  <c r="GO333" i="1"/>
  <c r="GP333" i="1"/>
  <c r="GV333" i="1"/>
  <c r="HC333" i="1"/>
  <c r="GX333" i="1" s="1"/>
  <c r="I334" i="1"/>
  <c r="P334" i="1"/>
  <c r="S334" i="1"/>
  <c r="AC334" i="1"/>
  <c r="AE334" i="1"/>
  <c r="AD334" i="1" s="1"/>
  <c r="AF334" i="1"/>
  <c r="AG334" i="1"/>
  <c r="AH334" i="1"/>
  <c r="AI334" i="1"/>
  <c r="CW334" i="1" s="1"/>
  <c r="V334" i="1" s="1"/>
  <c r="AJ334" i="1"/>
  <c r="CQ334" i="1"/>
  <c r="CR334" i="1"/>
  <c r="CT334" i="1"/>
  <c r="CU334" i="1"/>
  <c r="T334" i="1" s="1"/>
  <c r="CV334" i="1"/>
  <c r="U334" i="1" s="1"/>
  <c r="CX334" i="1"/>
  <c r="W334" i="1" s="1"/>
  <c r="CY334" i="1"/>
  <c r="X334" i="1" s="1"/>
  <c r="CZ334" i="1"/>
  <c r="Y334" i="1" s="1"/>
  <c r="FR334" i="1"/>
  <c r="GL334" i="1"/>
  <c r="GO334" i="1"/>
  <c r="GP334" i="1"/>
  <c r="GV334" i="1"/>
  <c r="HC334" i="1" s="1"/>
  <c r="GX334" i="1" s="1"/>
  <c r="I335" i="1"/>
  <c r="Q335" i="1" s="1"/>
  <c r="R335" i="1"/>
  <c r="S335" i="1"/>
  <c r="CZ335" i="1" s="1"/>
  <c r="Y335" i="1" s="1"/>
  <c r="AC335" i="1"/>
  <c r="AE335" i="1"/>
  <c r="AD335" i="1" s="1"/>
  <c r="AF335" i="1"/>
  <c r="AG335" i="1"/>
  <c r="CU335" i="1" s="1"/>
  <c r="T335" i="1" s="1"/>
  <c r="AH335" i="1"/>
  <c r="AI335" i="1"/>
  <c r="AJ335" i="1"/>
  <c r="CR335" i="1"/>
  <c r="CS335" i="1"/>
  <c r="CT335" i="1"/>
  <c r="CV335" i="1"/>
  <c r="U335" i="1" s="1"/>
  <c r="CW335" i="1"/>
  <c r="V335" i="1" s="1"/>
  <c r="CX335" i="1"/>
  <c r="W335" i="1" s="1"/>
  <c r="FR335" i="1"/>
  <c r="GK335" i="1"/>
  <c r="GL335" i="1"/>
  <c r="GO335" i="1"/>
  <c r="GP335" i="1"/>
  <c r="GV335" i="1"/>
  <c r="HC335" i="1"/>
  <c r="GX335" i="1" s="1"/>
  <c r="I336" i="1"/>
  <c r="P336" i="1"/>
  <c r="S336" i="1"/>
  <c r="AC336" i="1"/>
  <c r="AB336" i="1" s="1"/>
  <c r="AE336" i="1"/>
  <c r="AD336" i="1" s="1"/>
  <c r="AF336" i="1"/>
  <c r="AG336" i="1"/>
  <c r="AH336" i="1"/>
  <c r="AI336" i="1"/>
  <c r="CW336" i="1" s="1"/>
  <c r="V336" i="1" s="1"/>
  <c r="AJ336" i="1"/>
  <c r="CQ336" i="1"/>
  <c r="CR336" i="1"/>
  <c r="CT336" i="1"/>
  <c r="CU336" i="1"/>
  <c r="T336" i="1" s="1"/>
  <c r="CV336" i="1"/>
  <c r="U336" i="1" s="1"/>
  <c r="CX336" i="1"/>
  <c r="W336" i="1" s="1"/>
  <c r="CY336" i="1"/>
  <c r="X336" i="1" s="1"/>
  <c r="CZ336" i="1"/>
  <c r="Y336" i="1" s="1"/>
  <c r="FR336" i="1"/>
  <c r="GL336" i="1"/>
  <c r="GO336" i="1"/>
  <c r="GP336" i="1"/>
  <c r="GV336" i="1"/>
  <c r="HC336" i="1" s="1"/>
  <c r="GX336" i="1" s="1"/>
  <c r="C337" i="1"/>
  <c r="D337" i="1"/>
  <c r="P337" i="1"/>
  <c r="R337" i="1"/>
  <c r="GK337" i="1" s="1"/>
  <c r="AC337" i="1"/>
  <c r="AE337" i="1"/>
  <c r="AD337" i="1" s="1"/>
  <c r="AB337" i="1" s="1"/>
  <c r="AF337" i="1"/>
  <c r="S337" i="1" s="1"/>
  <c r="AG337" i="1"/>
  <c r="AH337" i="1"/>
  <c r="AI337" i="1"/>
  <c r="AJ337" i="1"/>
  <c r="CX337" i="1" s="1"/>
  <c r="W337" i="1" s="1"/>
  <c r="CQ337" i="1"/>
  <c r="CR337" i="1"/>
  <c r="CS337" i="1"/>
  <c r="CU337" i="1"/>
  <c r="T337" i="1" s="1"/>
  <c r="CV337" i="1"/>
  <c r="U337" i="1" s="1"/>
  <c r="CW337" i="1"/>
  <c r="V337" i="1" s="1"/>
  <c r="FR337" i="1"/>
  <c r="GL337" i="1"/>
  <c r="GO337" i="1"/>
  <c r="GP337" i="1"/>
  <c r="GV337" i="1"/>
  <c r="HC337" i="1" s="1"/>
  <c r="GX337" i="1" s="1"/>
  <c r="C338" i="1"/>
  <c r="D338" i="1"/>
  <c r="R338" i="1"/>
  <c r="S338" i="1"/>
  <c r="CZ338" i="1" s="1"/>
  <c r="Y338" i="1" s="1"/>
  <c r="AC338" i="1"/>
  <c r="AE338" i="1"/>
  <c r="Q338" i="1" s="1"/>
  <c r="AF338" i="1"/>
  <c r="AG338" i="1"/>
  <c r="CU338" i="1" s="1"/>
  <c r="T338" i="1" s="1"/>
  <c r="AH338" i="1"/>
  <c r="AI338" i="1"/>
  <c r="AJ338" i="1"/>
  <c r="CR338" i="1"/>
  <c r="CS338" i="1"/>
  <c r="CT338" i="1"/>
  <c r="CV338" i="1"/>
  <c r="U338" i="1" s="1"/>
  <c r="CW338" i="1"/>
  <c r="V338" i="1" s="1"/>
  <c r="CX338" i="1"/>
  <c r="W338" i="1" s="1"/>
  <c r="FR338" i="1"/>
  <c r="FQ348" i="1" s="1"/>
  <c r="GK338" i="1"/>
  <c r="GL338" i="1"/>
  <c r="GO338" i="1"/>
  <c r="FU348" i="1" s="1"/>
  <c r="GP338" i="1"/>
  <c r="GV338" i="1"/>
  <c r="HC338" i="1"/>
  <c r="GX338" i="1" s="1"/>
  <c r="I339" i="1"/>
  <c r="P339" i="1"/>
  <c r="S339" i="1"/>
  <c r="AC339" i="1"/>
  <c r="AE339" i="1"/>
  <c r="AD339" i="1" s="1"/>
  <c r="AF339" i="1"/>
  <c r="AG339" i="1"/>
  <c r="AH339" i="1"/>
  <c r="AI339" i="1"/>
  <c r="CW339" i="1" s="1"/>
  <c r="V339" i="1" s="1"/>
  <c r="AJ339" i="1"/>
  <c r="CQ339" i="1"/>
  <c r="CR339" i="1"/>
  <c r="CT339" i="1"/>
  <c r="CU339" i="1"/>
  <c r="T339" i="1" s="1"/>
  <c r="CV339" i="1"/>
  <c r="U339" i="1" s="1"/>
  <c r="CX339" i="1"/>
  <c r="W339" i="1" s="1"/>
  <c r="CY339" i="1"/>
  <c r="X339" i="1" s="1"/>
  <c r="CZ339" i="1"/>
  <c r="Y339" i="1" s="1"/>
  <c r="FR339" i="1"/>
  <c r="GL339" i="1"/>
  <c r="GO339" i="1"/>
  <c r="GP339" i="1"/>
  <c r="GV339" i="1"/>
  <c r="HC339" i="1" s="1"/>
  <c r="GX339" i="1" s="1"/>
  <c r="I340" i="1"/>
  <c r="Q340" i="1" s="1"/>
  <c r="R340" i="1"/>
  <c r="S340" i="1"/>
  <c r="CZ340" i="1" s="1"/>
  <c r="Y340" i="1" s="1"/>
  <c r="AC340" i="1"/>
  <c r="AB340" i="1" s="1"/>
  <c r="AE340" i="1"/>
  <c r="AD340" i="1" s="1"/>
  <c r="AF340" i="1"/>
  <c r="AG340" i="1"/>
  <c r="CU340" i="1" s="1"/>
  <c r="T340" i="1" s="1"/>
  <c r="AH340" i="1"/>
  <c r="AI340" i="1"/>
  <c r="AJ340" i="1"/>
  <c r="CR340" i="1"/>
  <c r="CS340" i="1"/>
  <c r="CT340" i="1"/>
  <c r="CV340" i="1"/>
  <c r="U340" i="1" s="1"/>
  <c r="CW340" i="1"/>
  <c r="V340" i="1" s="1"/>
  <c r="CX340" i="1"/>
  <c r="W340" i="1" s="1"/>
  <c r="FR340" i="1"/>
  <c r="GK340" i="1"/>
  <c r="GL340" i="1"/>
  <c r="GO340" i="1"/>
  <c r="GP340" i="1"/>
  <c r="GV340" i="1"/>
  <c r="HC340" i="1"/>
  <c r="GX340" i="1" s="1"/>
  <c r="I341" i="1"/>
  <c r="P341" i="1"/>
  <c r="S341" i="1"/>
  <c r="AC341" i="1"/>
  <c r="AB341" i="1" s="1"/>
  <c r="AE341" i="1"/>
  <c r="AD341" i="1" s="1"/>
  <c r="AF341" i="1"/>
  <c r="AG341" i="1"/>
  <c r="AH341" i="1"/>
  <c r="AI341" i="1"/>
  <c r="CW341" i="1" s="1"/>
  <c r="V341" i="1" s="1"/>
  <c r="AJ341" i="1"/>
  <c r="CQ341" i="1"/>
  <c r="CR341" i="1"/>
  <c r="CT341" i="1"/>
  <c r="CU341" i="1"/>
  <c r="T341" i="1" s="1"/>
  <c r="CV341" i="1"/>
  <c r="U341" i="1" s="1"/>
  <c r="CX341" i="1"/>
  <c r="W341" i="1" s="1"/>
  <c r="CY341" i="1"/>
  <c r="X341" i="1" s="1"/>
  <c r="CZ341" i="1"/>
  <c r="Y341" i="1" s="1"/>
  <c r="FR341" i="1"/>
  <c r="GL341" i="1"/>
  <c r="GO341" i="1"/>
  <c r="GP341" i="1"/>
  <c r="GV341" i="1"/>
  <c r="HC341" i="1" s="1"/>
  <c r="GX341" i="1" s="1"/>
  <c r="I342" i="1"/>
  <c r="Q342" i="1" s="1"/>
  <c r="R342" i="1"/>
  <c r="S342" i="1"/>
  <c r="CZ342" i="1" s="1"/>
  <c r="Y342" i="1" s="1"/>
  <c r="AC342" i="1"/>
  <c r="AE342" i="1"/>
  <c r="AD342" i="1" s="1"/>
  <c r="AF342" i="1"/>
  <c r="AG342" i="1"/>
  <c r="CU342" i="1" s="1"/>
  <c r="T342" i="1" s="1"/>
  <c r="AH342" i="1"/>
  <c r="AI342" i="1"/>
  <c r="AJ342" i="1"/>
  <c r="CR342" i="1"/>
  <c r="CS342" i="1"/>
  <c r="CT342" i="1"/>
  <c r="CV342" i="1"/>
  <c r="U342" i="1" s="1"/>
  <c r="CW342" i="1"/>
  <c r="V342" i="1" s="1"/>
  <c r="CX342" i="1"/>
  <c r="W342" i="1" s="1"/>
  <c r="FR342" i="1"/>
  <c r="GK342" i="1"/>
  <c r="GL342" i="1"/>
  <c r="GO342" i="1"/>
  <c r="GP342" i="1"/>
  <c r="GV342" i="1"/>
  <c r="HC342" i="1"/>
  <c r="GX342" i="1" s="1"/>
  <c r="C343" i="1"/>
  <c r="D343" i="1"/>
  <c r="R343" i="1"/>
  <c r="S343" i="1"/>
  <c r="CZ343" i="1" s="1"/>
  <c r="Y343" i="1" s="1"/>
  <c r="AC343" i="1"/>
  <c r="AB343" i="1" s="1"/>
  <c r="AD343" i="1"/>
  <c r="AE343" i="1"/>
  <c r="Q343" i="1" s="1"/>
  <c r="AF343" i="1"/>
  <c r="AG343" i="1"/>
  <c r="AH343" i="1"/>
  <c r="CV343" i="1" s="1"/>
  <c r="U343" i="1" s="1"/>
  <c r="AI343" i="1"/>
  <c r="AJ343" i="1"/>
  <c r="CQ343" i="1"/>
  <c r="CR343" i="1"/>
  <c r="CS343" i="1"/>
  <c r="CT343" i="1"/>
  <c r="CU343" i="1"/>
  <c r="T343" i="1" s="1"/>
  <c r="CW343" i="1"/>
  <c r="V343" i="1" s="1"/>
  <c r="CX343" i="1"/>
  <c r="W343" i="1" s="1"/>
  <c r="CY343" i="1"/>
  <c r="X343" i="1" s="1"/>
  <c r="FR343" i="1"/>
  <c r="GK343" i="1"/>
  <c r="GL343" i="1"/>
  <c r="GO343" i="1"/>
  <c r="GP343" i="1"/>
  <c r="GV343" i="1"/>
  <c r="HC343" i="1"/>
  <c r="GX343" i="1" s="1"/>
  <c r="C344" i="1"/>
  <c r="D344" i="1"/>
  <c r="P344" i="1"/>
  <c r="S344" i="1"/>
  <c r="AC344" i="1"/>
  <c r="AE344" i="1"/>
  <c r="AD344" i="1" s="1"/>
  <c r="AF344" i="1"/>
  <c r="AG344" i="1"/>
  <c r="AH344" i="1"/>
  <c r="AI344" i="1"/>
  <c r="CW344" i="1" s="1"/>
  <c r="V344" i="1" s="1"/>
  <c r="AJ344" i="1"/>
  <c r="CQ344" i="1"/>
  <c r="CR344" i="1"/>
  <c r="CT344" i="1"/>
  <c r="CU344" i="1"/>
  <c r="T344" i="1" s="1"/>
  <c r="CV344" i="1"/>
  <c r="U344" i="1" s="1"/>
  <c r="CX344" i="1"/>
  <c r="W344" i="1" s="1"/>
  <c r="CY344" i="1"/>
  <c r="X344" i="1" s="1"/>
  <c r="CZ344" i="1"/>
  <c r="Y344" i="1" s="1"/>
  <c r="FR344" i="1"/>
  <c r="GL344" i="1"/>
  <c r="FR348" i="1" s="1"/>
  <c r="GO344" i="1"/>
  <c r="GP344" i="1"/>
  <c r="GV344" i="1"/>
  <c r="HC344" i="1" s="1"/>
  <c r="GX344" i="1" s="1"/>
  <c r="I345" i="1"/>
  <c r="Q345" i="1" s="1"/>
  <c r="R345" i="1"/>
  <c r="S345" i="1"/>
  <c r="CZ345" i="1" s="1"/>
  <c r="Y345" i="1" s="1"/>
  <c r="AC345" i="1"/>
  <c r="AB345" i="1" s="1"/>
  <c r="AE345" i="1"/>
  <c r="AD345" i="1" s="1"/>
  <c r="AF345" i="1"/>
  <c r="AG345" i="1"/>
  <c r="CU345" i="1" s="1"/>
  <c r="T345" i="1" s="1"/>
  <c r="AH345" i="1"/>
  <c r="AI345" i="1"/>
  <c r="AJ345" i="1"/>
  <c r="CR345" i="1"/>
  <c r="CS345" i="1"/>
  <c r="CT345" i="1"/>
  <c r="CV345" i="1"/>
  <c r="U345" i="1" s="1"/>
  <c r="CW345" i="1"/>
  <c r="V345" i="1" s="1"/>
  <c r="CX345" i="1"/>
  <c r="W345" i="1" s="1"/>
  <c r="FR345" i="1"/>
  <c r="GK345" i="1"/>
  <c r="GL345" i="1"/>
  <c r="GO345" i="1"/>
  <c r="GP345" i="1"/>
  <c r="GV345" i="1"/>
  <c r="HC345" i="1"/>
  <c r="GX345" i="1" s="1"/>
  <c r="I346" i="1"/>
  <c r="P346" i="1"/>
  <c r="S346" i="1"/>
  <c r="AC346" i="1"/>
  <c r="AB346" i="1" s="1"/>
  <c r="AE346" i="1"/>
  <c r="AD346" i="1" s="1"/>
  <c r="AF346" i="1"/>
  <c r="AG346" i="1"/>
  <c r="AH346" i="1"/>
  <c r="AI346" i="1"/>
  <c r="CW346" i="1" s="1"/>
  <c r="V346" i="1" s="1"/>
  <c r="AJ346" i="1"/>
  <c r="CQ346" i="1"/>
  <c r="CR346" i="1"/>
  <c r="CT346" i="1"/>
  <c r="CU346" i="1"/>
  <c r="T346" i="1" s="1"/>
  <c r="CV346" i="1"/>
  <c r="U346" i="1" s="1"/>
  <c r="CX346" i="1"/>
  <c r="W346" i="1" s="1"/>
  <c r="CY346" i="1"/>
  <c r="X346" i="1" s="1"/>
  <c r="CZ346" i="1"/>
  <c r="Y346" i="1" s="1"/>
  <c r="FR346" i="1"/>
  <c r="GL346" i="1"/>
  <c r="GO346" i="1"/>
  <c r="GP346" i="1"/>
  <c r="FV348" i="1" s="1"/>
  <c r="GV346" i="1"/>
  <c r="HC346" i="1" s="1"/>
  <c r="GX346" i="1" s="1"/>
  <c r="B348" i="1"/>
  <c r="B225" i="1" s="1"/>
  <c r="C348" i="1"/>
  <c r="C225" i="1" s="1"/>
  <c r="D348" i="1"/>
  <c r="D225" i="1" s="1"/>
  <c r="F348" i="1"/>
  <c r="F225" i="1" s="1"/>
  <c r="G348" i="1"/>
  <c r="G225" i="1" s="1"/>
  <c r="BX348" i="1"/>
  <c r="BX225" i="1" s="1"/>
  <c r="BY348" i="1"/>
  <c r="BY225" i="1" s="1"/>
  <c r="BZ348" i="1"/>
  <c r="BZ225" i="1" s="1"/>
  <c r="CC348" i="1"/>
  <c r="CC225" i="1" s="1"/>
  <c r="CD348" i="1"/>
  <c r="CD225" i="1" s="1"/>
  <c r="CG348" i="1"/>
  <c r="CG225" i="1" s="1"/>
  <c r="CK348" i="1"/>
  <c r="CK225" i="1" s="1"/>
  <c r="CL348" i="1"/>
  <c r="CL225" i="1" s="1"/>
  <c r="CM348" i="1"/>
  <c r="CM225" i="1" s="1"/>
  <c r="FP348" i="1"/>
  <c r="FP225" i="1" s="1"/>
  <c r="GC348" i="1"/>
  <c r="GC225" i="1" s="1"/>
  <c r="GD348" i="1"/>
  <c r="GD225" i="1" s="1"/>
  <c r="GE348" i="1"/>
  <c r="GE225" i="1" s="1"/>
  <c r="D378" i="1"/>
  <c r="B380" i="1"/>
  <c r="E380" i="1"/>
  <c r="F380" i="1"/>
  <c r="G380" i="1"/>
  <c r="Z380" i="1"/>
  <c r="AA380" i="1"/>
  <c r="AM380" i="1"/>
  <c r="AN380" i="1"/>
  <c r="BE380" i="1"/>
  <c r="BF380" i="1"/>
  <c r="BG380" i="1"/>
  <c r="BH380" i="1"/>
  <c r="BI380" i="1"/>
  <c r="BJ380" i="1"/>
  <c r="BK380" i="1"/>
  <c r="BL380" i="1"/>
  <c r="BM380" i="1"/>
  <c r="BN380" i="1"/>
  <c r="BO380" i="1"/>
  <c r="BP380" i="1"/>
  <c r="BQ380" i="1"/>
  <c r="BR380" i="1"/>
  <c r="BS380" i="1"/>
  <c r="BT380" i="1"/>
  <c r="BU380" i="1"/>
  <c r="BV380" i="1"/>
  <c r="BW380" i="1"/>
  <c r="BX380" i="1"/>
  <c r="CK380" i="1"/>
  <c r="CN380" i="1"/>
  <c r="CO380" i="1"/>
  <c r="CP380" i="1"/>
  <c r="CQ380" i="1"/>
  <c r="CR380" i="1"/>
  <c r="CS380" i="1"/>
  <c r="CT380" i="1"/>
  <c r="CU380" i="1"/>
  <c r="CV380" i="1"/>
  <c r="CW380" i="1"/>
  <c r="CX380" i="1"/>
  <c r="CY380" i="1"/>
  <c r="CZ380" i="1"/>
  <c r="DA380" i="1"/>
  <c r="DB380" i="1"/>
  <c r="DC380" i="1"/>
  <c r="DD380" i="1"/>
  <c r="DE380" i="1"/>
  <c r="DF380" i="1"/>
  <c r="DR380" i="1"/>
  <c r="DS380" i="1"/>
  <c r="EE380" i="1"/>
  <c r="EF380" i="1"/>
  <c r="EW380" i="1"/>
  <c r="EX380" i="1"/>
  <c r="EY380" i="1"/>
  <c r="EZ380" i="1"/>
  <c r="FA380" i="1"/>
  <c r="FB380" i="1"/>
  <c r="FC380" i="1"/>
  <c r="FD380" i="1"/>
  <c r="FE380" i="1"/>
  <c r="FF380" i="1"/>
  <c r="FG380" i="1"/>
  <c r="FH380" i="1"/>
  <c r="FI380" i="1"/>
  <c r="FJ380" i="1"/>
  <c r="FK380" i="1"/>
  <c r="FL380" i="1"/>
  <c r="FM380" i="1"/>
  <c r="FN380" i="1"/>
  <c r="FO380" i="1"/>
  <c r="GD380" i="1"/>
  <c r="GF380" i="1"/>
  <c r="GG380" i="1"/>
  <c r="GH380" i="1"/>
  <c r="GI380" i="1"/>
  <c r="GJ380" i="1"/>
  <c r="GK380" i="1"/>
  <c r="GL380" i="1"/>
  <c r="GM380" i="1"/>
  <c r="GN380" i="1"/>
  <c r="GO380" i="1"/>
  <c r="GP380" i="1"/>
  <c r="GQ380" i="1"/>
  <c r="GR380" i="1"/>
  <c r="GS380" i="1"/>
  <c r="GT380" i="1"/>
  <c r="GU380" i="1"/>
  <c r="GV380" i="1"/>
  <c r="GW380" i="1"/>
  <c r="GX380" i="1"/>
  <c r="C382" i="1"/>
  <c r="D382" i="1"/>
  <c r="R382" i="1"/>
  <c r="S382" i="1"/>
  <c r="AC382" i="1"/>
  <c r="AB382" i="1" s="1"/>
  <c r="AD382" i="1"/>
  <c r="AE382" i="1"/>
  <c r="Q382" i="1" s="1"/>
  <c r="AF382" i="1"/>
  <c r="AG382" i="1"/>
  <c r="AH382" i="1"/>
  <c r="CV382" i="1" s="1"/>
  <c r="U382" i="1" s="1"/>
  <c r="AI382" i="1"/>
  <c r="AJ382" i="1"/>
  <c r="CQ382" i="1"/>
  <c r="CR382" i="1"/>
  <c r="CS382" i="1"/>
  <c r="CT382" i="1"/>
  <c r="CU382" i="1"/>
  <c r="T382" i="1" s="1"/>
  <c r="CW382" i="1"/>
  <c r="V382" i="1" s="1"/>
  <c r="CX382" i="1"/>
  <c r="W382" i="1" s="1"/>
  <c r="AJ391" i="1" s="1"/>
  <c r="CY382" i="1"/>
  <c r="X382" i="1" s="1"/>
  <c r="FR382" i="1"/>
  <c r="GK382" i="1"/>
  <c r="GL382" i="1"/>
  <c r="GO382" i="1"/>
  <c r="CC391" i="1" s="1"/>
  <c r="GP382" i="1"/>
  <c r="GV382" i="1"/>
  <c r="HC382" i="1"/>
  <c r="GX382" i="1" s="1"/>
  <c r="C383" i="1"/>
  <c r="D383" i="1"/>
  <c r="P383" i="1"/>
  <c r="S383" i="1"/>
  <c r="AC383" i="1"/>
  <c r="AB383" i="1" s="1"/>
  <c r="AE383" i="1"/>
  <c r="AD383" i="1" s="1"/>
  <c r="AF383" i="1"/>
  <c r="AG383" i="1"/>
  <c r="AH383" i="1"/>
  <c r="AI383" i="1"/>
  <c r="CW383" i="1" s="1"/>
  <c r="V383" i="1" s="1"/>
  <c r="AJ383" i="1"/>
  <c r="CQ383" i="1"/>
  <c r="CR383" i="1"/>
  <c r="CT383" i="1"/>
  <c r="CU383" i="1"/>
  <c r="T383" i="1" s="1"/>
  <c r="CV383" i="1"/>
  <c r="U383" i="1" s="1"/>
  <c r="CX383" i="1"/>
  <c r="W383" i="1" s="1"/>
  <c r="CY383" i="1"/>
  <c r="X383" i="1" s="1"/>
  <c r="CZ383" i="1"/>
  <c r="Y383" i="1" s="1"/>
  <c r="FR383" i="1"/>
  <c r="GL383" i="1"/>
  <c r="FR391" i="1" s="1"/>
  <c r="GO383" i="1"/>
  <c r="GP383" i="1"/>
  <c r="GV383" i="1"/>
  <c r="HC383" i="1" s="1"/>
  <c r="GX383" i="1" s="1"/>
  <c r="GB391" i="1" s="1"/>
  <c r="C384" i="1"/>
  <c r="D384" i="1"/>
  <c r="P384" i="1"/>
  <c r="R384" i="1"/>
  <c r="AC384" i="1"/>
  <c r="AE384" i="1"/>
  <c r="AD384" i="1" s="1"/>
  <c r="AB384" i="1" s="1"/>
  <c r="AF384" i="1"/>
  <c r="S384" i="1" s="1"/>
  <c r="AG384" i="1"/>
  <c r="AH384" i="1"/>
  <c r="AI384" i="1"/>
  <c r="AJ384" i="1"/>
  <c r="CX384" i="1" s="1"/>
  <c r="W384" i="1" s="1"/>
  <c r="CQ384" i="1"/>
  <c r="CR384" i="1"/>
  <c r="CS384" i="1"/>
  <c r="CU384" i="1"/>
  <c r="T384" i="1" s="1"/>
  <c r="CV384" i="1"/>
  <c r="U384" i="1" s="1"/>
  <c r="CW384" i="1"/>
  <c r="V384" i="1" s="1"/>
  <c r="FR384" i="1"/>
  <c r="BY391" i="1" s="1"/>
  <c r="GL384" i="1"/>
  <c r="GN384" i="1"/>
  <c r="GO384" i="1"/>
  <c r="GV384" i="1"/>
  <c r="HC384" i="1"/>
  <c r="GX384" i="1" s="1"/>
  <c r="C385" i="1"/>
  <c r="D385" i="1"/>
  <c r="R385" i="1"/>
  <c r="S385" i="1"/>
  <c r="CZ385" i="1" s="1"/>
  <c r="Y385" i="1" s="1"/>
  <c r="AC385" i="1"/>
  <c r="AB385" i="1" s="1"/>
  <c r="AD385" i="1"/>
  <c r="AE385" i="1"/>
  <c r="Q385" i="1" s="1"/>
  <c r="AF385" i="1"/>
  <c r="AG385" i="1"/>
  <c r="AH385" i="1"/>
  <c r="CV385" i="1" s="1"/>
  <c r="U385" i="1" s="1"/>
  <c r="AI385" i="1"/>
  <c r="AJ385" i="1"/>
  <c r="CQ385" i="1"/>
  <c r="CR385" i="1"/>
  <c r="CS385" i="1"/>
  <c r="CT385" i="1"/>
  <c r="CU385" i="1"/>
  <c r="T385" i="1" s="1"/>
  <c r="CW385" i="1"/>
  <c r="V385" i="1" s="1"/>
  <c r="CX385" i="1"/>
  <c r="W385" i="1" s="1"/>
  <c r="CY385" i="1"/>
  <c r="X385" i="1" s="1"/>
  <c r="FR385" i="1"/>
  <c r="GK385" i="1"/>
  <c r="GL385" i="1"/>
  <c r="GN385" i="1"/>
  <c r="GO385" i="1"/>
  <c r="GV385" i="1"/>
  <c r="HC385" i="1"/>
  <c r="GX385" i="1" s="1"/>
  <c r="C386" i="1"/>
  <c r="D386" i="1"/>
  <c r="P386" i="1"/>
  <c r="S386" i="1"/>
  <c r="AC386" i="1"/>
  <c r="AE386" i="1"/>
  <c r="AD386" i="1" s="1"/>
  <c r="AF386" i="1"/>
  <c r="AG386" i="1"/>
  <c r="AH386" i="1"/>
  <c r="AI386" i="1"/>
  <c r="CW386" i="1" s="1"/>
  <c r="V386" i="1" s="1"/>
  <c r="AJ386" i="1"/>
  <c r="CQ386" i="1"/>
  <c r="CR386" i="1"/>
  <c r="CT386" i="1"/>
  <c r="CU386" i="1"/>
  <c r="T386" i="1" s="1"/>
  <c r="CV386" i="1"/>
  <c r="U386" i="1" s="1"/>
  <c r="CX386" i="1"/>
  <c r="W386" i="1" s="1"/>
  <c r="CY386" i="1"/>
  <c r="X386" i="1" s="1"/>
  <c r="CZ386" i="1"/>
  <c r="Y386" i="1" s="1"/>
  <c r="FR386" i="1"/>
  <c r="GL386" i="1"/>
  <c r="GN386" i="1"/>
  <c r="GO386" i="1"/>
  <c r="GV386" i="1"/>
  <c r="HC386" i="1" s="1"/>
  <c r="GX386" i="1" s="1"/>
  <c r="C387" i="1"/>
  <c r="D387" i="1"/>
  <c r="R387" i="1"/>
  <c r="S387" i="1"/>
  <c r="CZ387" i="1" s="1"/>
  <c r="Y387" i="1" s="1"/>
  <c r="AC387" i="1"/>
  <c r="AE387" i="1"/>
  <c r="Q387" i="1" s="1"/>
  <c r="AF387" i="1"/>
  <c r="AG387" i="1"/>
  <c r="CU387" i="1" s="1"/>
  <c r="T387" i="1" s="1"/>
  <c r="AH387" i="1"/>
  <c r="AI387" i="1"/>
  <c r="AJ387" i="1"/>
  <c r="CR387" i="1"/>
  <c r="CS387" i="1"/>
  <c r="CT387" i="1"/>
  <c r="CV387" i="1"/>
  <c r="U387" i="1" s="1"/>
  <c r="CW387" i="1"/>
  <c r="V387" i="1" s="1"/>
  <c r="CX387" i="1"/>
  <c r="W387" i="1" s="1"/>
  <c r="FR387" i="1"/>
  <c r="GK387" i="1"/>
  <c r="GL387" i="1"/>
  <c r="GN387" i="1"/>
  <c r="GO387" i="1"/>
  <c r="GV387" i="1"/>
  <c r="HC387" i="1"/>
  <c r="GX387" i="1" s="1"/>
  <c r="C388" i="1"/>
  <c r="D388" i="1"/>
  <c r="P388" i="1"/>
  <c r="CP388" i="1" s="1"/>
  <c r="O388" i="1" s="1"/>
  <c r="R388" i="1"/>
  <c r="S388" i="1"/>
  <c r="CZ388" i="1" s="1"/>
  <c r="Y388" i="1" s="1"/>
  <c r="AC388" i="1"/>
  <c r="AB388" i="1" s="1"/>
  <c r="AD388" i="1"/>
  <c r="AE388" i="1"/>
  <c r="Q388" i="1" s="1"/>
  <c r="AF388" i="1"/>
  <c r="AG388" i="1"/>
  <c r="AH388" i="1"/>
  <c r="CV388" i="1" s="1"/>
  <c r="U388" i="1" s="1"/>
  <c r="AI388" i="1"/>
  <c r="AJ388" i="1"/>
  <c r="CQ388" i="1"/>
  <c r="CR388" i="1"/>
  <c r="CS388" i="1"/>
  <c r="CT388" i="1"/>
  <c r="CU388" i="1"/>
  <c r="T388" i="1" s="1"/>
  <c r="CW388" i="1"/>
  <c r="V388" i="1" s="1"/>
  <c r="CX388" i="1"/>
  <c r="W388" i="1" s="1"/>
  <c r="CY388" i="1"/>
  <c r="X388" i="1" s="1"/>
  <c r="FR388" i="1"/>
  <c r="GL388" i="1"/>
  <c r="GN388" i="1"/>
  <c r="GO388" i="1"/>
  <c r="GV388" i="1"/>
  <c r="HC388" i="1" s="1"/>
  <c r="GX388" i="1" s="1"/>
  <c r="C389" i="1"/>
  <c r="D389" i="1"/>
  <c r="P389" i="1"/>
  <c r="R389" i="1"/>
  <c r="GK389" i="1" s="1"/>
  <c r="AC389" i="1"/>
  <c r="AE389" i="1"/>
  <c r="AD389" i="1" s="1"/>
  <c r="AB389" i="1" s="1"/>
  <c r="AF389" i="1"/>
  <c r="S389" i="1" s="1"/>
  <c r="AG389" i="1"/>
  <c r="AH389" i="1"/>
  <c r="AI389" i="1"/>
  <c r="AJ389" i="1"/>
  <c r="CX389" i="1" s="1"/>
  <c r="W389" i="1" s="1"/>
  <c r="CQ389" i="1"/>
  <c r="CR389" i="1"/>
  <c r="CS389" i="1"/>
  <c r="CU389" i="1"/>
  <c r="T389" i="1" s="1"/>
  <c r="CV389" i="1"/>
  <c r="U389" i="1" s="1"/>
  <c r="CW389" i="1"/>
  <c r="V389" i="1" s="1"/>
  <c r="FR389" i="1"/>
  <c r="GL389" i="1"/>
  <c r="GN389" i="1"/>
  <c r="GO389" i="1"/>
  <c r="GV389" i="1"/>
  <c r="HC389" i="1" s="1"/>
  <c r="GX389" i="1" s="1"/>
  <c r="B391" i="1"/>
  <c r="C391" i="1"/>
  <c r="C380" i="1" s="1"/>
  <c r="D391" i="1"/>
  <c r="D380" i="1" s="1"/>
  <c r="F391" i="1"/>
  <c r="G391" i="1"/>
  <c r="BX391" i="1"/>
  <c r="AO391" i="1" s="1"/>
  <c r="BZ391" i="1"/>
  <c r="CG391" i="1" s="1"/>
  <c r="CK391" i="1"/>
  <c r="BB391" i="1" s="1"/>
  <c r="CL391" i="1"/>
  <c r="BC391" i="1" s="1"/>
  <c r="CM391" i="1"/>
  <c r="BD391" i="1" s="1"/>
  <c r="FP391" i="1"/>
  <c r="FP380" i="1" s="1"/>
  <c r="FQ391" i="1"/>
  <c r="FU391" i="1"/>
  <c r="FU380" i="1" s="1"/>
  <c r="GC391" i="1"/>
  <c r="GC380" i="1" s="1"/>
  <c r="GD391" i="1"/>
  <c r="EU391" i="1" s="1"/>
  <c r="GE391" i="1"/>
  <c r="EV391" i="1" s="1"/>
  <c r="B421" i="1"/>
  <c r="B148" i="1" s="1"/>
  <c r="C421" i="1"/>
  <c r="C148" i="1" s="1"/>
  <c r="D421" i="1"/>
  <c r="D148" i="1" s="1"/>
  <c r="F421" i="1"/>
  <c r="F148" i="1" s="1"/>
  <c r="G421" i="1"/>
  <c r="G148" i="1" s="1"/>
  <c r="D451" i="1"/>
  <c r="E453" i="1"/>
  <c r="Z453" i="1"/>
  <c r="AA453" i="1"/>
  <c r="AB453" i="1"/>
  <c r="AC453" i="1"/>
  <c r="AD453" i="1"/>
  <c r="AE453" i="1"/>
  <c r="AF453" i="1"/>
  <c r="AG453" i="1"/>
  <c r="AH453" i="1"/>
  <c r="AI453" i="1"/>
  <c r="AJ453" i="1"/>
  <c r="AK453" i="1"/>
  <c r="AL453" i="1"/>
  <c r="AM453" i="1"/>
  <c r="AN453" i="1"/>
  <c r="BE453" i="1"/>
  <c r="BF453" i="1"/>
  <c r="BG453" i="1"/>
  <c r="BH453" i="1"/>
  <c r="BI453" i="1"/>
  <c r="BJ453" i="1"/>
  <c r="BK453" i="1"/>
  <c r="BL453" i="1"/>
  <c r="BM453" i="1"/>
  <c r="BN453" i="1"/>
  <c r="BO453" i="1"/>
  <c r="BP453" i="1"/>
  <c r="BQ453" i="1"/>
  <c r="BR453" i="1"/>
  <c r="BS453" i="1"/>
  <c r="BT453" i="1"/>
  <c r="BU453" i="1"/>
  <c r="BV453" i="1"/>
  <c r="BW453" i="1"/>
  <c r="BX453" i="1"/>
  <c r="BY453" i="1"/>
  <c r="BZ453" i="1"/>
  <c r="CA453" i="1"/>
  <c r="CB453" i="1"/>
  <c r="CC453" i="1"/>
  <c r="CD453" i="1"/>
  <c r="CE453" i="1"/>
  <c r="CF453" i="1"/>
  <c r="CG453" i="1"/>
  <c r="CH453" i="1"/>
  <c r="CI453" i="1"/>
  <c r="CJ453" i="1"/>
  <c r="CK453" i="1"/>
  <c r="CL453" i="1"/>
  <c r="CM453" i="1"/>
  <c r="CN453" i="1"/>
  <c r="CO453" i="1"/>
  <c r="CP453" i="1"/>
  <c r="CQ453" i="1"/>
  <c r="CR453" i="1"/>
  <c r="CS453" i="1"/>
  <c r="CT453" i="1"/>
  <c r="CU453" i="1"/>
  <c r="CV453" i="1"/>
  <c r="CW453" i="1"/>
  <c r="CX453" i="1"/>
  <c r="CY453" i="1"/>
  <c r="CZ453" i="1"/>
  <c r="DA453" i="1"/>
  <c r="DB453" i="1"/>
  <c r="DC453" i="1"/>
  <c r="DD453" i="1"/>
  <c r="DE453" i="1"/>
  <c r="DF453" i="1"/>
  <c r="DR453" i="1"/>
  <c r="DS453" i="1"/>
  <c r="DT453" i="1"/>
  <c r="DU453" i="1"/>
  <c r="DV453" i="1"/>
  <c r="DW453" i="1"/>
  <c r="DX453" i="1"/>
  <c r="DY453" i="1"/>
  <c r="DZ453" i="1"/>
  <c r="EA453" i="1"/>
  <c r="EB453" i="1"/>
  <c r="EC453" i="1"/>
  <c r="ED453" i="1"/>
  <c r="EE453" i="1"/>
  <c r="EF453" i="1"/>
  <c r="EW453" i="1"/>
  <c r="EX453" i="1"/>
  <c r="EY453" i="1"/>
  <c r="EZ453" i="1"/>
  <c r="FA453" i="1"/>
  <c r="FB453" i="1"/>
  <c r="FC453" i="1"/>
  <c r="FD453" i="1"/>
  <c r="FE453" i="1"/>
  <c r="FF453" i="1"/>
  <c r="FG453" i="1"/>
  <c r="FH453" i="1"/>
  <c r="FI453" i="1"/>
  <c r="FJ453" i="1"/>
  <c r="FK453" i="1"/>
  <c r="FL453" i="1"/>
  <c r="FM453" i="1"/>
  <c r="FN453" i="1"/>
  <c r="FO453" i="1"/>
  <c r="FP453" i="1"/>
  <c r="FQ453" i="1"/>
  <c r="FR453" i="1"/>
  <c r="FS453" i="1"/>
  <c r="FT453" i="1"/>
  <c r="FU453" i="1"/>
  <c r="FV453" i="1"/>
  <c r="FW453" i="1"/>
  <c r="FX453" i="1"/>
  <c r="FY453" i="1"/>
  <c r="FZ453" i="1"/>
  <c r="GA453" i="1"/>
  <c r="GB453" i="1"/>
  <c r="GC453" i="1"/>
  <c r="GD453" i="1"/>
  <c r="GE453" i="1"/>
  <c r="GF453" i="1"/>
  <c r="GG453" i="1"/>
  <c r="GH453" i="1"/>
  <c r="GI453" i="1"/>
  <c r="GJ453" i="1"/>
  <c r="GK453" i="1"/>
  <c r="GL453" i="1"/>
  <c r="GM453" i="1"/>
  <c r="GN453" i="1"/>
  <c r="GO453" i="1"/>
  <c r="GP453" i="1"/>
  <c r="GQ453" i="1"/>
  <c r="GR453" i="1"/>
  <c r="GS453" i="1"/>
  <c r="GT453" i="1"/>
  <c r="GU453" i="1"/>
  <c r="GV453" i="1"/>
  <c r="GW453" i="1"/>
  <c r="GX453" i="1"/>
  <c r="D455" i="1"/>
  <c r="C457" i="1"/>
  <c r="D457" i="1"/>
  <c r="E457" i="1"/>
  <c r="Z457" i="1"/>
  <c r="AA457" i="1"/>
  <c r="AM457" i="1"/>
  <c r="AN457" i="1"/>
  <c r="BE457" i="1"/>
  <c r="BF457" i="1"/>
  <c r="BG457" i="1"/>
  <c r="BH457" i="1"/>
  <c r="BI457" i="1"/>
  <c r="BJ457" i="1"/>
  <c r="BK457" i="1"/>
  <c r="BL457" i="1"/>
  <c r="BM457" i="1"/>
  <c r="BN457" i="1"/>
  <c r="BO457" i="1"/>
  <c r="BP457" i="1"/>
  <c r="BQ457" i="1"/>
  <c r="BR457" i="1"/>
  <c r="BS457" i="1"/>
  <c r="BT457" i="1"/>
  <c r="BU457" i="1"/>
  <c r="BV457" i="1"/>
  <c r="BW457" i="1"/>
  <c r="CL457" i="1"/>
  <c r="CM457" i="1"/>
  <c r="CN457" i="1"/>
  <c r="CO457" i="1"/>
  <c r="CP457" i="1"/>
  <c r="CQ457" i="1"/>
  <c r="CR457" i="1"/>
  <c r="CS457" i="1"/>
  <c r="CT457" i="1"/>
  <c r="CU457" i="1"/>
  <c r="CV457" i="1"/>
  <c r="CW457" i="1"/>
  <c r="CX457" i="1"/>
  <c r="CY457" i="1"/>
  <c r="CZ457" i="1"/>
  <c r="DA457" i="1"/>
  <c r="DB457" i="1"/>
  <c r="DC457" i="1"/>
  <c r="DD457" i="1"/>
  <c r="DE457" i="1"/>
  <c r="DF457" i="1"/>
  <c r="DR457" i="1"/>
  <c r="DS457" i="1"/>
  <c r="EE457" i="1"/>
  <c r="EF457" i="1"/>
  <c r="ET457" i="1"/>
  <c r="EW457" i="1"/>
  <c r="EX457" i="1"/>
  <c r="EY457" i="1"/>
  <c r="EZ457" i="1"/>
  <c r="FA457" i="1"/>
  <c r="FB457" i="1"/>
  <c r="FC457" i="1"/>
  <c r="FD457" i="1"/>
  <c r="FE457" i="1"/>
  <c r="FF457" i="1"/>
  <c r="FG457" i="1"/>
  <c r="FH457" i="1"/>
  <c r="FI457" i="1"/>
  <c r="FJ457" i="1"/>
  <c r="FK457" i="1"/>
  <c r="FL457" i="1"/>
  <c r="FM457" i="1"/>
  <c r="FN457" i="1"/>
  <c r="FO457" i="1"/>
  <c r="GF457" i="1"/>
  <c r="GG457" i="1"/>
  <c r="GH457" i="1"/>
  <c r="GI457" i="1"/>
  <c r="GJ457" i="1"/>
  <c r="GK457" i="1"/>
  <c r="GL457" i="1"/>
  <c r="GM457" i="1"/>
  <c r="GN457" i="1"/>
  <c r="GO457" i="1"/>
  <c r="GP457" i="1"/>
  <c r="GQ457" i="1"/>
  <c r="GR457" i="1"/>
  <c r="GS457" i="1"/>
  <c r="GT457" i="1"/>
  <c r="GU457" i="1"/>
  <c r="GV457" i="1"/>
  <c r="GW457" i="1"/>
  <c r="GX457" i="1"/>
  <c r="C459" i="1"/>
  <c r="D459" i="1"/>
  <c r="P459" i="1"/>
  <c r="S459" i="1"/>
  <c r="AC459" i="1"/>
  <c r="AE459" i="1"/>
  <c r="AD459" i="1" s="1"/>
  <c r="AF459" i="1"/>
  <c r="AG459" i="1"/>
  <c r="AH459" i="1"/>
  <c r="AI459" i="1"/>
  <c r="CW459" i="1" s="1"/>
  <c r="V459" i="1" s="1"/>
  <c r="AJ459" i="1"/>
  <c r="CQ459" i="1"/>
  <c r="CT459" i="1"/>
  <c r="CU459" i="1"/>
  <c r="T459" i="1" s="1"/>
  <c r="CV459" i="1"/>
  <c r="U459" i="1" s="1"/>
  <c r="AH468" i="1" s="1"/>
  <c r="CX459" i="1"/>
  <c r="W459" i="1" s="1"/>
  <c r="CY459" i="1"/>
  <c r="X459" i="1" s="1"/>
  <c r="CZ459" i="1"/>
  <c r="Y459" i="1" s="1"/>
  <c r="FR459" i="1"/>
  <c r="GL459" i="1"/>
  <c r="GO459" i="1"/>
  <c r="GP459" i="1"/>
  <c r="GV459" i="1"/>
  <c r="HC459" i="1" s="1"/>
  <c r="GX459" i="1" s="1"/>
  <c r="C460" i="1"/>
  <c r="D460" i="1"/>
  <c r="P460" i="1"/>
  <c r="R460" i="1"/>
  <c r="U460" i="1"/>
  <c r="AB460" i="1"/>
  <c r="AC460" i="1"/>
  <c r="AE460" i="1"/>
  <c r="AD460" i="1" s="1"/>
  <c r="AF460" i="1"/>
  <c r="AG460" i="1"/>
  <c r="AH460" i="1"/>
  <c r="AI460" i="1"/>
  <c r="AJ460" i="1"/>
  <c r="CX460" i="1" s="1"/>
  <c r="W460" i="1" s="1"/>
  <c r="CQ460" i="1"/>
  <c r="CR460" i="1"/>
  <c r="CS460" i="1"/>
  <c r="CU460" i="1"/>
  <c r="T460" i="1" s="1"/>
  <c r="CV460" i="1"/>
  <c r="CW460" i="1"/>
  <c r="V460" i="1" s="1"/>
  <c r="EA468" i="1" s="1"/>
  <c r="FR460" i="1"/>
  <c r="GL460" i="1"/>
  <c r="GO460" i="1"/>
  <c r="GP460" i="1"/>
  <c r="GV460" i="1"/>
  <c r="HC460" i="1" s="1"/>
  <c r="GX460" i="1" s="1"/>
  <c r="I461" i="1"/>
  <c r="Q461" i="1" s="1"/>
  <c r="P461" i="1"/>
  <c r="CP461" i="1" s="1"/>
  <c r="O461" i="1" s="1"/>
  <c r="R461" i="1"/>
  <c r="S461" i="1"/>
  <c r="CZ461" i="1" s="1"/>
  <c r="Y461" i="1" s="1"/>
  <c r="W461" i="1"/>
  <c r="X461" i="1"/>
  <c r="AC461" i="1"/>
  <c r="AD461" i="1"/>
  <c r="AE461" i="1"/>
  <c r="AF461" i="1"/>
  <c r="AG461" i="1"/>
  <c r="AH461" i="1"/>
  <c r="CV461" i="1" s="1"/>
  <c r="U461" i="1" s="1"/>
  <c r="AI461" i="1"/>
  <c r="AJ461" i="1"/>
  <c r="CQ461" i="1"/>
  <c r="CR461" i="1"/>
  <c r="CS461" i="1"/>
  <c r="CT461" i="1"/>
  <c r="CU461" i="1"/>
  <c r="T461" i="1" s="1"/>
  <c r="CW461" i="1"/>
  <c r="V461" i="1" s="1"/>
  <c r="AI468" i="1" s="1"/>
  <c r="CX461" i="1"/>
  <c r="CY461" i="1"/>
  <c r="FR461" i="1"/>
  <c r="GK461" i="1"/>
  <c r="GL461" i="1"/>
  <c r="GO461" i="1"/>
  <c r="GP461" i="1"/>
  <c r="GV461" i="1"/>
  <c r="HC461" i="1"/>
  <c r="GX461" i="1" s="1"/>
  <c r="I462" i="1"/>
  <c r="P462" i="1" s="1"/>
  <c r="Q462" i="1"/>
  <c r="R462" i="1"/>
  <c r="GK462" i="1" s="1"/>
  <c r="AB462" i="1"/>
  <c r="AC462" i="1"/>
  <c r="AE462" i="1"/>
  <c r="AD462" i="1" s="1"/>
  <c r="AF462" i="1"/>
  <c r="AG462" i="1"/>
  <c r="AH462" i="1"/>
  <c r="AI462" i="1"/>
  <c r="AJ462" i="1"/>
  <c r="CX462" i="1" s="1"/>
  <c r="W462" i="1" s="1"/>
  <c r="CQ462" i="1"/>
  <c r="CR462" i="1"/>
  <c r="CS462" i="1"/>
  <c r="CU462" i="1"/>
  <c r="T462" i="1" s="1"/>
  <c r="CV462" i="1"/>
  <c r="U462" i="1" s="1"/>
  <c r="DZ468" i="1" s="1"/>
  <c r="CW462" i="1"/>
  <c r="V462" i="1" s="1"/>
  <c r="FR462" i="1"/>
  <c r="GL462" i="1"/>
  <c r="GO462" i="1"/>
  <c r="GP462" i="1"/>
  <c r="GV462" i="1"/>
  <c r="HC462" i="1" s="1"/>
  <c r="GX462" i="1" s="1"/>
  <c r="C463" i="1"/>
  <c r="D463" i="1"/>
  <c r="R463" i="1"/>
  <c r="S463" i="1"/>
  <c r="V463" i="1"/>
  <c r="AC463" i="1"/>
  <c r="AE463" i="1"/>
  <c r="Q463" i="1" s="1"/>
  <c r="AF463" i="1"/>
  <c r="AG463" i="1"/>
  <c r="CU463" i="1" s="1"/>
  <c r="T463" i="1" s="1"/>
  <c r="AH463" i="1"/>
  <c r="AI463" i="1"/>
  <c r="AJ463" i="1"/>
  <c r="CR463" i="1"/>
  <c r="CS463" i="1"/>
  <c r="CT463" i="1"/>
  <c r="CV463" i="1"/>
  <c r="U463" i="1" s="1"/>
  <c r="CW463" i="1"/>
  <c r="CX463" i="1"/>
  <c r="W463" i="1" s="1"/>
  <c r="FR463" i="1"/>
  <c r="GK463" i="1"/>
  <c r="GL463" i="1"/>
  <c r="GO463" i="1"/>
  <c r="CC468" i="1" s="1"/>
  <c r="GP463" i="1"/>
  <c r="GV463" i="1"/>
  <c r="GX463" i="1"/>
  <c r="CJ468" i="1" s="1"/>
  <c r="HC463" i="1"/>
  <c r="C464" i="1"/>
  <c r="D464" i="1"/>
  <c r="R464" i="1"/>
  <c r="S464" i="1"/>
  <c r="CZ464" i="1" s="1"/>
  <c r="Y464" i="1" s="1"/>
  <c r="W464" i="1"/>
  <c r="AC464" i="1"/>
  <c r="P464" i="1" s="1"/>
  <c r="AD464" i="1"/>
  <c r="AE464" i="1"/>
  <c r="Q464" i="1" s="1"/>
  <c r="AF464" i="1"/>
  <c r="AG464" i="1"/>
  <c r="AH464" i="1"/>
  <c r="CV464" i="1" s="1"/>
  <c r="U464" i="1" s="1"/>
  <c r="AI464" i="1"/>
  <c r="AJ464" i="1"/>
  <c r="CQ464" i="1"/>
  <c r="CR464" i="1"/>
  <c r="CS464" i="1"/>
  <c r="CT464" i="1"/>
  <c r="CU464" i="1"/>
  <c r="T464" i="1" s="1"/>
  <c r="DY468" i="1" s="1"/>
  <c r="CW464" i="1"/>
  <c r="V464" i="1" s="1"/>
  <c r="CX464" i="1"/>
  <c r="CY464" i="1"/>
  <c r="X464" i="1" s="1"/>
  <c r="FR464" i="1"/>
  <c r="GK464" i="1"/>
  <c r="GL464" i="1"/>
  <c r="GO464" i="1"/>
  <c r="GP464" i="1"/>
  <c r="FV468" i="1" s="1"/>
  <c r="GV464" i="1"/>
  <c r="HC464" i="1"/>
  <c r="GX464" i="1" s="1"/>
  <c r="I465" i="1"/>
  <c r="P465" i="1" s="1"/>
  <c r="Q465" i="1"/>
  <c r="AC465" i="1"/>
  <c r="AE465" i="1"/>
  <c r="AD465" i="1" s="1"/>
  <c r="AB465" i="1" s="1"/>
  <c r="AF465" i="1"/>
  <c r="AG465" i="1"/>
  <c r="AH465" i="1"/>
  <c r="AI465" i="1"/>
  <c r="CW465" i="1" s="1"/>
  <c r="V465" i="1" s="1"/>
  <c r="AJ465" i="1"/>
  <c r="CX465" i="1" s="1"/>
  <c r="W465" i="1" s="1"/>
  <c r="CQ465" i="1"/>
  <c r="CS465" i="1"/>
  <c r="CU465" i="1"/>
  <c r="T465" i="1" s="1"/>
  <c r="CV465" i="1"/>
  <c r="U465" i="1" s="1"/>
  <c r="FR465" i="1"/>
  <c r="GL465" i="1"/>
  <c r="GO465" i="1"/>
  <c r="GP465" i="1"/>
  <c r="GV465" i="1"/>
  <c r="HC465" i="1" s="1"/>
  <c r="GX465" i="1"/>
  <c r="I466" i="1"/>
  <c r="Q466" i="1" s="1"/>
  <c r="R466" i="1"/>
  <c r="S466" i="1"/>
  <c r="CZ466" i="1" s="1"/>
  <c r="Y466" i="1" s="1"/>
  <c r="AC466" i="1"/>
  <c r="AB466" i="1" s="1"/>
  <c r="AD466" i="1"/>
  <c r="AE466" i="1"/>
  <c r="AF466" i="1"/>
  <c r="AG466" i="1"/>
  <c r="CU466" i="1" s="1"/>
  <c r="T466" i="1" s="1"/>
  <c r="AH466" i="1"/>
  <c r="CV466" i="1" s="1"/>
  <c r="U466" i="1" s="1"/>
  <c r="AI466" i="1"/>
  <c r="AJ466" i="1"/>
  <c r="CR466" i="1"/>
  <c r="CS466" i="1"/>
  <c r="CT466" i="1"/>
  <c r="CW466" i="1"/>
  <c r="V466" i="1" s="1"/>
  <c r="CX466" i="1"/>
  <c r="W466" i="1" s="1"/>
  <c r="EB468" i="1" s="1"/>
  <c r="CY466" i="1"/>
  <c r="X466" i="1" s="1"/>
  <c r="FR466" i="1"/>
  <c r="GK466" i="1"/>
  <c r="GL466" i="1"/>
  <c r="FR468" i="1" s="1"/>
  <c r="GO466" i="1"/>
  <c r="GP466" i="1"/>
  <c r="GV466" i="1"/>
  <c r="HC466" i="1"/>
  <c r="GX466" i="1" s="1"/>
  <c r="B468" i="1"/>
  <c r="B457" i="1" s="1"/>
  <c r="C468" i="1"/>
  <c r="D468" i="1"/>
  <c r="F468" i="1"/>
  <c r="F457" i="1" s="1"/>
  <c r="G468" i="1"/>
  <c r="G457" i="1" s="1"/>
  <c r="BX468" i="1"/>
  <c r="BX457" i="1" s="1"/>
  <c r="BY468" i="1"/>
  <c r="CK468" i="1"/>
  <c r="CK457" i="1" s="1"/>
  <c r="CL468" i="1"/>
  <c r="BC468" i="1" s="1"/>
  <c r="F484" i="1" s="1"/>
  <c r="CM468" i="1"/>
  <c r="BD468" i="1" s="1"/>
  <c r="BD457" i="1" s="1"/>
  <c r="EH468" i="1"/>
  <c r="EH457" i="1" s="1"/>
  <c r="ET468" i="1"/>
  <c r="P481" i="1" s="1"/>
  <c r="FP468" i="1"/>
  <c r="FP457" i="1" s="1"/>
  <c r="FQ468" i="1"/>
  <c r="FQ457" i="1" s="1"/>
  <c r="FU468" i="1"/>
  <c r="FU457" i="1" s="1"/>
  <c r="GC468" i="1"/>
  <c r="GC457" i="1" s="1"/>
  <c r="GD468" i="1"/>
  <c r="GD457" i="1" s="1"/>
  <c r="GE468" i="1"/>
  <c r="EV468" i="1" s="1"/>
  <c r="P477" i="1"/>
  <c r="D498" i="1"/>
  <c r="E500" i="1"/>
  <c r="Z500" i="1"/>
  <c r="AA500" i="1"/>
  <c r="AM500" i="1"/>
  <c r="AN500" i="1"/>
  <c r="BE500" i="1"/>
  <c r="BF500" i="1"/>
  <c r="BG500" i="1"/>
  <c r="BH500" i="1"/>
  <c r="BI500" i="1"/>
  <c r="BJ500" i="1"/>
  <c r="BK500" i="1"/>
  <c r="BL500" i="1"/>
  <c r="BM500" i="1"/>
  <c r="BN500" i="1"/>
  <c r="BO500" i="1"/>
  <c r="BP500" i="1"/>
  <c r="BQ500" i="1"/>
  <c r="BR500" i="1"/>
  <c r="BS500" i="1"/>
  <c r="BT500" i="1"/>
  <c r="BU500" i="1"/>
  <c r="BV500" i="1"/>
  <c r="BW500" i="1"/>
  <c r="CN500" i="1"/>
  <c r="CO500" i="1"/>
  <c r="CP500" i="1"/>
  <c r="CQ500" i="1"/>
  <c r="CR500" i="1"/>
  <c r="CS500" i="1"/>
  <c r="CT500" i="1"/>
  <c r="CU500" i="1"/>
  <c r="CV500" i="1"/>
  <c r="CW500" i="1"/>
  <c r="CX500" i="1"/>
  <c r="CY500" i="1"/>
  <c r="CZ500" i="1"/>
  <c r="DA500" i="1"/>
  <c r="DB500" i="1"/>
  <c r="DC500" i="1"/>
  <c r="DD500" i="1"/>
  <c r="DE500" i="1"/>
  <c r="DF500" i="1"/>
  <c r="DR500" i="1"/>
  <c r="DS500" i="1"/>
  <c r="EE500" i="1"/>
  <c r="EF500" i="1"/>
  <c r="EW500" i="1"/>
  <c r="EX500" i="1"/>
  <c r="EY500" i="1"/>
  <c r="EZ500" i="1"/>
  <c r="FA500" i="1"/>
  <c r="FB500" i="1"/>
  <c r="FC500" i="1"/>
  <c r="FD500" i="1"/>
  <c r="FE500" i="1"/>
  <c r="FF500" i="1"/>
  <c r="FG500" i="1"/>
  <c r="FH500" i="1"/>
  <c r="FI500" i="1"/>
  <c r="FJ500" i="1"/>
  <c r="FK500" i="1"/>
  <c r="FL500" i="1"/>
  <c r="FM500" i="1"/>
  <c r="FN500" i="1"/>
  <c r="FO500" i="1"/>
  <c r="GF500" i="1"/>
  <c r="GG500" i="1"/>
  <c r="GH500" i="1"/>
  <c r="GI500" i="1"/>
  <c r="GJ500" i="1"/>
  <c r="GK500" i="1"/>
  <c r="GL500" i="1"/>
  <c r="GM500" i="1"/>
  <c r="GN500" i="1"/>
  <c r="GO500" i="1"/>
  <c r="GP500" i="1"/>
  <c r="GQ500" i="1"/>
  <c r="GR500" i="1"/>
  <c r="GS500" i="1"/>
  <c r="GT500" i="1"/>
  <c r="GU500" i="1"/>
  <c r="GV500" i="1"/>
  <c r="GW500" i="1"/>
  <c r="GX500" i="1"/>
  <c r="C502" i="1"/>
  <c r="D502" i="1"/>
  <c r="AC502" i="1"/>
  <c r="AB502" i="1" s="1"/>
  <c r="AE502" i="1"/>
  <c r="AD502" i="1" s="1"/>
  <c r="AF502" i="1"/>
  <c r="S502" i="1" s="1"/>
  <c r="AG502" i="1"/>
  <c r="CU502" i="1" s="1"/>
  <c r="T502" i="1" s="1"/>
  <c r="AH502" i="1"/>
  <c r="AI502" i="1"/>
  <c r="CW502" i="1" s="1"/>
  <c r="V502" i="1" s="1"/>
  <c r="AJ502" i="1"/>
  <c r="CS502" i="1"/>
  <c r="CT502" i="1"/>
  <c r="CV502" i="1"/>
  <c r="U502" i="1" s="1"/>
  <c r="CX502" i="1"/>
  <c r="W502" i="1" s="1"/>
  <c r="FR502" i="1"/>
  <c r="GL502" i="1"/>
  <c r="GO502" i="1"/>
  <c r="GP502" i="1"/>
  <c r="GV502" i="1"/>
  <c r="HC502" i="1"/>
  <c r="GX502" i="1" s="1"/>
  <c r="C503" i="1"/>
  <c r="D503" i="1"/>
  <c r="R503" i="1"/>
  <c r="GK503" i="1" s="1"/>
  <c r="S503" i="1"/>
  <c r="CZ503" i="1" s="1"/>
  <c r="Y503" i="1" s="1"/>
  <c r="V503" i="1"/>
  <c r="W503" i="1"/>
  <c r="AC503" i="1"/>
  <c r="P503" i="1" s="1"/>
  <c r="CP503" i="1" s="1"/>
  <c r="O503" i="1" s="1"/>
  <c r="AD503" i="1"/>
  <c r="AE503" i="1"/>
  <c r="Q503" i="1" s="1"/>
  <c r="AF503" i="1"/>
  <c r="AG503" i="1"/>
  <c r="AH503" i="1"/>
  <c r="CV503" i="1" s="1"/>
  <c r="U503" i="1" s="1"/>
  <c r="AI503" i="1"/>
  <c r="AJ503" i="1"/>
  <c r="CQ503" i="1"/>
  <c r="CR503" i="1"/>
  <c r="CS503" i="1"/>
  <c r="CT503" i="1"/>
  <c r="CU503" i="1"/>
  <c r="T503" i="1" s="1"/>
  <c r="CW503" i="1"/>
  <c r="CX503" i="1"/>
  <c r="CY503" i="1"/>
  <c r="X503" i="1" s="1"/>
  <c r="FR503" i="1"/>
  <c r="GL503" i="1"/>
  <c r="GO503" i="1"/>
  <c r="GP503" i="1"/>
  <c r="GV503" i="1"/>
  <c r="HC503" i="1"/>
  <c r="GX503" i="1" s="1"/>
  <c r="I504" i="1"/>
  <c r="P504" i="1" s="1"/>
  <c r="Q504" i="1"/>
  <c r="R504" i="1"/>
  <c r="GK504" i="1" s="1"/>
  <c r="T504" i="1"/>
  <c r="AC504" i="1"/>
  <c r="AD504" i="1"/>
  <c r="AB504" i="1" s="1"/>
  <c r="AE504" i="1"/>
  <c r="AF504" i="1"/>
  <c r="AG504" i="1"/>
  <c r="AH504" i="1"/>
  <c r="CV504" i="1" s="1"/>
  <c r="U504" i="1" s="1"/>
  <c r="AI504" i="1"/>
  <c r="AJ504" i="1"/>
  <c r="CX504" i="1" s="1"/>
  <c r="CQ504" i="1"/>
  <c r="CR504" i="1"/>
  <c r="CS504" i="1"/>
  <c r="CU504" i="1"/>
  <c r="CW504" i="1"/>
  <c r="V504" i="1" s="1"/>
  <c r="FR504" i="1"/>
  <c r="GL504" i="1"/>
  <c r="GO504" i="1"/>
  <c r="GP504" i="1"/>
  <c r="GV504" i="1"/>
  <c r="HC504" i="1" s="1"/>
  <c r="GX504" i="1" s="1"/>
  <c r="I505" i="1"/>
  <c r="Q505" i="1" s="1"/>
  <c r="AC505" i="1"/>
  <c r="P505" i="1" s="1"/>
  <c r="CP505" i="1" s="1"/>
  <c r="O505" i="1" s="1"/>
  <c r="AD505" i="1"/>
  <c r="AE505" i="1"/>
  <c r="AF505" i="1"/>
  <c r="S505" i="1" s="1"/>
  <c r="AG505" i="1"/>
  <c r="CU505" i="1" s="1"/>
  <c r="T505" i="1" s="1"/>
  <c r="AH505" i="1"/>
  <c r="CV505" i="1" s="1"/>
  <c r="AI505" i="1"/>
  <c r="AJ505" i="1"/>
  <c r="CR505" i="1"/>
  <c r="CS505" i="1"/>
  <c r="CW505" i="1"/>
  <c r="V505" i="1" s="1"/>
  <c r="CX505" i="1"/>
  <c r="W505" i="1" s="1"/>
  <c r="FR505" i="1"/>
  <c r="GL505" i="1"/>
  <c r="GO505" i="1"/>
  <c r="GP505" i="1"/>
  <c r="GV505" i="1"/>
  <c r="HC505" i="1"/>
  <c r="C506" i="1"/>
  <c r="D506" i="1"/>
  <c r="S506" i="1"/>
  <c r="CY506" i="1" s="1"/>
  <c r="X506" i="1" s="1"/>
  <c r="T506" i="1"/>
  <c r="AC506" i="1"/>
  <c r="AE506" i="1"/>
  <c r="AF506" i="1"/>
  <c r="AG506" i="1"/>
  <c r="AH506" i="1"/>
  <c r="AI506" i="1"/>
  <c r="CW506" i="1" s="1"/>
  <c r="V506" i="1" s="1"/>
  <c r="AJ506" i="1"/>
  <c r="CQ506" i="1"/>
  <c r="CR506" i="1"/>
  <c r="CT506" i="1"/>
  <c r="CU506" i="1"/>
  <c r="CV506" i="1"/>
  <c r="U506" i="1" s="1"/>
  <c r="CX506" i="1"/>
  <c r="W506" i="1" s="1"/>
  <c r="FR506" i="1"/>
  <c r="GL506" i="1"/>
  <c r="GO506" i="1"/>
  <c r="GP506" i="1"/>
  <c r="GV506" i="1"/>
  <c r="HC506" i="1" s="1"/>
  <c r="GX506" i="1" s="1"/>
  <c r="C507" i="1"/>
  <c r="D507" i="1"/>
  <c r="P507" i="1"/>
  <c r="T507" i="1"/>
  <c r="AC507" i="1"/>
  <c r="AE507" i="1"/>
  <c r="R507" i="1" s="1"/>
  <c r="GK507" i="1" s="1"/>
  <c r="AF507" i="1"/>
  <c r="AG507" i="1"/>
  <c r="AH507" i="1"/>
  <c r="CV507" i="1" s="1"/>
  <c r="U507" i="1" s="1"/>
  <c r="AI507" i="1"/>
  <c r="CW507" i="1" s="1"/>
  <c r="V507" i="1" s="1"/>
  <c r="AJ507" i="1"/>
  <c r="CX507" i="1" s="1"/>
  <c r="W507" i="1" s="1"/>
  <c r="CQ507" i="1"/>
  <c r="CS507" i="1"/>
  <c r="CU507" i="1"/>
  <c r="FR507" i="1"/>
  <c r="GL507" i="1"/>
  <c r="GO507" i="1"/>
  <c r="GP507" i="1"/>
  <c r="GV507" i="1"/>
  <c r="HC507" i="1" s="1"/>
  <c r="GX507" i="1" s="1"/>
  <c r="I508" i="1"/>
  <c r="Q508" i="1" s="1"/>
  <c r="R508" i="1"/>
  <c r="GK508" i="1" s="1"/>
  <c r="V508" i="1"/>
  <c r="AC508" i="1"/>
  <c r="AB508" i="1" s="1"/>
  <c r="AD508" i="1"/>
  <c r="AE508" i="1"/>
  <c r="AF508" i="1"/>
  <c r="S508" i="1" s="1"/>
  <c r="AG508" i="1"/>
  <c r="CU508" i="1" s="1"/>
  <c r="T508" i="1" s="1"/>
  <c r="AH508" i="1"/>
  <c r="CV508" i="1" s="1"/>
  <c r="U508" i="1" s="1"/>
  <c r="AI508" i="1"/>
  <c r="AJ508" i="1"/>
  <c r="CR508" i="1"/>
  <c r="CS508" i="1"/>
  <c r="CT508" i="1"/>
  <c r="CW508" i="1"/>
  <c r="CX508" i="1"/>
  <c r="W508" i="1" s="1"/>
  <c r="FR508" i="1"/>
  <c r="GL508" i="1"/>
  <c r="GO508" i="1"/>
  <c r="GP508" i="1"/>
  <c r="GV508" i="1"/>
  <c r="GX508" i="1"/>
  <c r="HC508" i="1"/>
  <c r="I509" i="1"/>
  <c r="P509" i="1"/>
  <c r="Q509" i="1"/>
  <c r="R509" i="1"/>
  <c r="GK509" i="1" s="1"/>
  <c r="V509" i="1"/>
  <c r="AC509" i="1"/>
  <c r="AD509" i="1"/>
  <c r="AE509" i="1"/>
  <c r="AF509" i="1"/>
  <c r="AG509" i="1"/>
  <c r="AH509" i="1"/>
  <c r="AI509" i="1"/>
  <c r="AJ509" i="1"/>
  <c r="CX509" i="1" s="1"/>
  <c r="W509" i="1" s="1"/>
  <c r="CQ509" i="1"/>
  <c r="CR509" i="1"/>
  <c r="CS509" i="1"/>
  <c r="CU509" i="1"/>
  <c r="T509" i="1" s="1"/>
  <c r="CV509" i="1"/>
  <c r="U509" i="1" s="1"/>
  <c r="CW509" i="1"/>
  <c r="FR509" i="1"/>
  <c r="GL509" i="1"/>
  <c r="GO509" i="1"/>
  <c r="GP509" i="1"/>
  <c r="GV509" i="1"/>
  <c r="HC509" i="1" s="1"/>
  <c r="GX509" i="1"/>
  <c r="C510" i="1"/>
  <c r="D510" i="1"/>
  <c r="AC510" i="1"/>
  <c r="P510" i="1" s="1"/>
  <c r="AE510" i="1"/>
  <c r="AD510" i="1" s="1"/>
  <c r="AF510" i="1"/>
  <c r="S510" i="1" s="1"/>
  <c r="AG510" i="1"/>
  <c r="AH510" i="1"/>
  <c r="AI510" i="1"/>
  <c r="CW510" i="1" s="1"/>
  <c r="V510" i="1" s="1"/>
  <c r="AJ510" i="1"/>
  <c r="CX510" i="1" s="1"/>
  <c r="W510" i="1" s="1"/>
  <c r="CQ510" i="1"/>
  <c r="CR510" i="1"/>
  <c r="CU510" i="1"/>
  <c r="T510" i="1" s="1"/>
  <c r="CV510" i="1"/>
  <c r="U510" i="1" s="1"/>
  <c r="FR510" i="1"/>
  <c r="GL510" i="1"/>
  <c r="GO510" i="1"/>
  <c r="GP510" i="1"/>
  <c r="GV510" i="1"/>
  <c r="HC510" i="1" s="1"/>
  <c r="GX510" i="1" s="1"/>
  <c r="C511" i="1"/>
  <c r="D511" i="1"/>
  <c r="R511" i="1"/>
  <c r="GK511" i="1" s="1"/>
  <c r="AC511" i="1"/>
  <c r="P511" i="1" s="1"/>
  <c r="CP511" i="1" s="1"/>
  <c r="O511" i="1" s="1"/>
  <c r="AE511" i="1"/>
  <c r="Q511" i="1" s="1"/>
  <c r="AF511" i="1"/>
  <c r="S511" i="1" s="1"/>
  <c r="AG511" i="1"/>
  <c r="CU511" i="1" s="1"/>
  <c r="T511" i="1" s="1"/>
  <c r="AH511" i="1"/>
  <c r="AI511" i="1"/>
  <c r="AJ511" i="1"/>
  <c r="CX511" i="1" s="1"/>
  <c r="W511" i="1" s="1"/>
  <c r="CR511" i="1"/>
  <c r="CS511" i="1"/>
  <c r="CV511" i="1"/>
  <c r="U511" i="1" s="1"/>
  <c r="CW511" i="1"/>
  <c r="V511" i="1" s="1"/>
  <c r="FR511" i="1"/>
  <c r="GL511" i="1"/>
  <c r="GO511" i="1"/>
  <c r="GP511" i="1"/>
  <c r="GV511" i="1"/>
  <c r="HC511" i="1" s="1"/>
  <c r="GX511" i="1" s="1"/>
  <c r="I512" i="1"/>
  <c r="P512" i="1"/>
  <c r="S512" i="1"/>
  <c r="CZ512" i="1" s="1"/>
  <c r="Y512" i="1" s="1"/>
  <c r="AC512" i="1"/>
  <c r="AB512" i="1" s="1"/>
  <c r="AD512" i="1"/>
  <c r="AE512" i="1"/>
  <c r="Q512" i="1" s="1"/>
  <c r="AF512" i="1"/>
  <c r="AG512" i="1"/>
  <c r="AH512" i="1"/>
  <c r="CV512" i="1" s="1"/>
  <c r="U512" i="1" s="1"/>
  <c r="AI512" i="1"/>
  <c r="CW512" i="1" s="1"/>
  <c r="V512" i="1" s="1"/>
  <c r="AJ512" i="1"/>
  <c r="CQ512" i="1"/>
  <c r="CR512" i="1"/>
  <c r="CT512" i="1"/>
  <c r="CU512" i="1"/>
  <c r="T512" i="1" s="1"/>
  <c r="CX512" i="1"/>
  <c r="W512" i="1" s="1"/>
  <c r="CY512" i="1"/>
  <c r="X512" i="1" s="1"/>
  <c r="FR512" i="1"/>
  <c r="GL512" i="1"/>
  <c r="GO512" i="1"/>
  <c r="GP512" i="1"/>
  <c r="GV512" i="1"/>
  <c r="HC512" i="1"/>
  <c r="GX512" i="1" s="1"/>
  <c r="I513" i="1"/>
  <c r="Q513" i="1" s="1"/>
  <c r="R513" i="1"/>
  <c r="GK513" i="1" s="1"/>
  <c r="AC513" i="1"/>
  <c r="P513" i="1" s="1"/>
  <c r="AE513" i="1"/>
  <c r="AD513" i="1" s="1"/>
  <c r="AB513" i="1" s="1"/>
  <c r="AF513" i="1"/>
  <c r="S513" i="1" s="1"/>
  <c r="AG513" i="1"/>
  <c r="CU513" i="1" s="1"/>
  <c r="T513" i="1" s="1"/>
  <c r="AH513" i="1"/>
  <c r="AI513" i="1"/>
  <c r="AJ513" i="1"/>
  <c r="CX513" i="1" s="1"/>
  <c r="W513" i="1" s="1"/>
  <c r="CR513" i="1"/>
  <c r="CS513" i="1"/>
  <c r="CV513" i="1"/>
  <c r="U513" i="1" s="1"/>
  <c r="CW513" i="1"/>
  <c r="V513" i="1" s="1"/>
  <c r="FR513" i="1"/>
  <c r="GL513" i="1"/>
  <c r="GO513" i="1"/>
  <c r="GP513" i="1"/>
  <c r="GV513" i="1"/>
  <c r="HC513" i="1" s="1"/>
  <c r="GX513" i="1" s="1"/>
  <c r="I514" i="1"/>
  <c r="P514" i="1"/>
  <c r="S514" i="1"/>
  <c r="CZ514" i="1" s="1"/>
  <c r="Y514" i="1" s="1"/>
  <c r="AC514" i="1"/>
  <c r="AB514" i="1" s="1"/>
  <c r="AD514" i="1"/>
  <c r="AE514" i="1"/>
  <c r="Q514" i="1" s="1"/>
  <c r="AF514" i="1"/>
  <c r="AG514" i="1"/>
  <c r="AH514" i="1"/>
  <c r="CV514" i="1" s="1"/>
  <c r="U514" i="1" s="1"/>
  <c r="AI514" i="1"/>
  <c r="CW514" i="1" s="1"/>
  <c r="V514" i="1" s="1"/>
  <c r="AJ514" i="1"/>
  <c r="CQ514" i="1"/>
  <c r="CR514" i="1"/>
  <c r="CT514" i="1"/>
  <c r="CU514" i="1"/>
  <c r="T514" i="1" s="1"/>
  <c r="CX514" i="1"/>
  <c r="W514" i="1" s="1"/>
  <c r="CY514" i="1"/>
  <c r="X514" i="1" s="1"/>
  <c r="FR514" i="1"/>
  <c r="GL514" i="1"/>
  <c r="GO514" i="1"/>
  <c r="GP514" i="1"/>
  <c r="GV514" i="1"/>
  <c r="HC514" i="1"/>
  <c r="GX514" i="1" s="1"/>
  <c r="I515" i="1"/>
  <c r="Q515" i="1" s="1"/>
  <c r="R515" i="1"/>
  <c r="GK515" i="1" s="1"/>
  <c r="AC515" i="1"/>
  <c r="P515" i="1" s="1"/>
  <c r="AE515" i="1"/>
  <c r="AD515" i="1" s="1"/>
  <c r="AB515" i="1" s="1"/>
  <c r="AF515" i="1"/>
  <c r="S515" i="1" s="1"/>
  <c r="AG515" i="1"/>
  <c r="CU515" i="1" s="1"/>
  <c r="T515" i="1" s="1"/>
  <c r="AH515" i="1"/>
  <c r="AI515" i="1"/>
  <c r="AJ515" i="1"/>
  <c r="CX515" i="1" s="1"/>
  <c r="W515" i="1" s="1"/>
  <c r="CR515" i="1"/>
  <c r="CS515" i="1"/>
  <c r="CV515" i="1"/>
  <c r="U515" i="1" s="1"/>
  <c r="CW515" i="1"/>
  <c r="V515" i="1" s="1"/>
  <c r="FR515" i="1"/>
  <c r="GL515" i="1"/>
  <c r="GO515" i="1"/>
  <c r="GP515" i="1"/>
  <c r="GV515" i="1"/>
  <c r="HC515" i="1" s="1"/>
  <c r="GX515" i="1" s="1"/>
  <c r="I516" i="1"/>
  <c r="P516" i="1"/>
  <c r="S516" i="1"/>
  <c r="CZ516" i="1" s="1"/>
  <c r="Y516" i="1" s="1"/>
  <c r="AC516" i="1"/>
  <c r="AB516" i="1" s="1"/>
  <c r="AD516" i="1"/>
  <c r="AE516" i="1"/>
  <c r="Q516" i="1" s="1"/>
  <c r="AF516" i="1"/>
  <c r="AG516" i="1"/>
  <c r="AH516" i="1"/>
  <c r="CV516" i="1" s="1"/>
  <c r="U516" i="1" s="1"/>
  <c r="AI516" i="1"/>
  <c r="CW516" i="1" s="1"/>
  <c r="V516" i="1" s="1"/>
  <c r="AJ516" i="1"/>
  <c r="CQ516" i="1"/>
  <c r="CR516" i="1"/>
  <c r="CT516" i="1"/>
  <c r="CU516" i="1"/>
  <c r="T516" i="1" s="1"/>
  <c r="CX516" i="1"/>
  <c r="W516" i="1" s="1"/>
  <c r="CY516" i="1"/>
  <c r="X516" i="1" s="1"/>
  <c r="FR516" i="1"/>
  <c r="GL516" i="1"/>
  <c r="GO516" i="1"/>
  <c r="GP516" i="1"/>
  <c r="GV516" i="1"/>
  <c r="HC516" i="1"/>
  <c r="GX516" i="1" s="1"/>
  <c r="I517" i="1"/>
  <c r="Q517" i="1" s="1"/>
  <c r="R517" i="1"/>
  <c r="GK517" i="1" s="1"/>
  <c r="AC517" i="1"/>
  <c r="P517" i="1" s="1"/>
  <c r="CP517" i="1" s="1"/>
  <c r="O517" i="1" s="1"/>
  <c r="AE517" i="1"/>
  <c r="AD517" i="1" s="1"/>
  <c r="AB517" i="1" s="1"/>
  <c r="AF517" i="1"/>
  <c r="S517" i="1" s="1"/>
  <c r="AG517" i="1"/>
  <c r="CU517" i="1" s="1"/>
  <c r="T517" i="1" s="1"/>
  <c r="AH517" i="1"/>
  <c r="AI517" i="1"/>
  <c r="AJ517" i="1"/>
  <c r="CX517" i="1" s="1"/>
  <c r="W517" i="1" s="1"/>
  <c r="CR517" i="1"/>
  <c r="CS517" i="1"/>
  <c r="CV517" i="1"/>
  <c r="U517" i="1" s="1"/>
  <c r="CW517" i="1"/>
  <c r="V517" i="1" s="1"/>
  <c r="FR517" i="1"/>
  <c r="GL517" i="1"/>
  <c r="GO517" i="1"/>
  <c r="GP517" i="1"/>
  <c r="GV517" i="1"/>
  <c r="HC517" i="1" s="1"/>
  <c r="GX517" i="1" s="1"/>
  <c r="C518" i="1"/>
  <c r="D518" i="1"/>
  <c r="R518" i="1"/>
  <c r="S518" i="1"/>
  <c r="CY518" i="1" s="1"/>
  <c r="X518" i="1" s="1"/>
  <c r="AC518" i="1"/>
  <c r="AB518" i="1" s="1"/>
  <c r="AD518" i="1"/>
  <c r="AE518" i="1"/>
  <c r="Q518" i="1" s="1"/>
  <c r="AF518" i="1"/>
  <c r="AG518" i="1"/>
  <c r="CU518" i="1" s="1"/>
  <c r="T518" i="1" s="1"/>
  <c r="AH518" i="1"/>
  <c r="CV518" i="1" s="1"/>
  <c r="U518" i="1" s="1"/>
  <c r="AI518" i="1"/>
  <c r="AJ518" i="1"/>
  <c r="CR518" i="1"/>
  <c r="CS518" i="1"/>
  <c r="CT518" i="1"/>
  <c r="CW518" i="1"/>
  <c r="V518" i="1" s="1"/>
  <c r="CX518" i="1"/>
  <c r="W518" i="1" s="1"/>
  <c r="FR518" i="1"/>
  <c r="GK518" i="1"/>
  <c r="GL518" i="1"/>
  <c r="GO518" i="1"/>
  <c r="GP518" i="1"/>
  <c r="GV518" i="1"/>
  <c r="HC518" i="1"/>
  <c r="GX518" i="1" s="1"/>
  <c r="C519" i="1"/>
  <c r="D519" i="1"/>
  <c r="P519" i="1"/>
  <c r="S519" i="1"/>
  <c r="CZ519" i="1" s="1"/>
  <c r="Y519" i="1" s="1"/>
  <c r="AC519" i="1"/>
  <c r="AB519" i="1" s="1"/>
  <c r="AD519" i="1"/>
  <c r="AE519" i="1"/>
  <c r="Q519" i="1" s="1"/>
  <c r="AF519" i="1"/>
  <c r="AG519" i="1"/>
  <c r="AH519" i="1"/>
  <c r="CV519" i="1" s="1"/>
  <c r="U519" i="1" s="1"/>
  <c r="AI519" i="1"/>
  <c r="CW519" i="1" s="1"/>
  <c r="V519" i="1" s="1"/>
  <c r="AJ519" i="1"/>
  <c r="CQ519" i="1"/>
  <c r="CR519" i="1"/>
  <c r="CT519" i="1"/>
  <c r="CU519" i="1"/>
  <c r="T519" i="1" s="1"/>
  <c r="CX519" i="1"/>
  <c r="W519" i="1" s="1"/>
  <c r="CY519" i="1"/>
  <c r="X519" i="1" s="1"/>
  <c r="FR519" i="1"/>
  <c r="GL519" i="1"/>
  <c r="GO519" i="1"/>
  <c r="GP519" i="1"/>
  <c r="GV519" i="1"/>
  <c r="HC519" i="1"/>
  <c r="GX519" i="1" s="1"/>
  <c r="I520" i="1"/>
  <c r="Q520" i="1" s="1"/>
  <c r="R520" i="1"/>
  <c r="GK520" i="1" s="1"/>
  <c r="AC520" i="1"/>
  <c r="P520" i="1" s="1"/>
  <c r="AE520" i="1"/>
  <c r="AD520" i="1" s="1"/>
  <c r="AB520" i="1" s="1"/>
  <c r="AF520" i="1"/>
  <c r="S520" i="1" s="1"/>
  <c r="AG520" i="1"/>
  <c r="CU520" i="1" s="1"/>
  <c r="T520" i="1" s="1"/>
  <c r="AH520" i="1"/>
  <c r="AI520" i="1"/>
  <c r="AJ520" i="1"/>
  <c r="CX520" i="1" s="1"/>
  <c r="W520" i="1" s="1"/>
  <c r="CR520" i="1"/>
  <c r="CS520" i="1"/>
  <c r="CV520" i="1"/>
  <c r="U520" i="1" s="1"/>
  <c r="CW520" i="1"/>
  <c r="V520" i="1" s="1"/>
  <c r="FR520" i="1"/>
  <c r="GL520" i="1"/>
  <c r="GO520" i="1"/>
  <c r="GP520" i="1"/>
  <c r="GV520" i="1"/>
  <c r="HC520" i="1" s="1"/>
  <c r="GX520" i="1" s="1"/>
  <c r="I521" i="1"/>
  <c r="P521" i="1"/>
  <c r="S521" i="1"/>
  <c r="CZ521" i="1" s="1"/>
  <c r="Y521" i="1" s="1"/>
  <c r="AC521" i="1"/>
  <c r="AB521" i="1" s="1"/>
  <c r="AD521" i="1"/>
  <c r="AE521" i="1"/>
  <c r="Q521" i="1" s="1"/>
  <c r="AF521" i="1"/>
  <c r="AG521" i="1"/>
  <c r="AH521" i="1"/>
  <c r="CV521" i="1" s="1"/>
  <c r="U521" i="1" s="1"/>
  <c r="AI521" i="1"/>
  <c r="CW521" i="1" s="1"/>
  <c r="V521" i="1" s="1"/>
  <c r="AJ521" i="1"/>
  <c r="CQ521" i="1"/>
  <c r="CR521" i="1"/>
  <c r="CT521" i="1"/>
  <c r="CU521" i="1"/>
  <c r="T521" i="1" s="1"/>
  <c r="CX521" i="1"/>
  <c r="W521" i="1" s="1"/>
  <c r="CY521" i="1"/>
  <c r="X521" i="1" s="1"/>
  <c r="FR521" i="1"/>
  <c r="GL521" i="1"/>
  <c r="GO521" i="1"/>
  <c r="GP521" i="1"/>
  <c r="GV521" i="1"/>
  <c r="HC521" i="1"/>
  <c r="GX521" i="1" s="1"/>
  <c r="C522" i="1"/>
  <c r="D522" i="1"/>
  <c r="P522" i="1"/>
  <c r="AC522" i="1"/>
  <c r="AE522" i="1"/>
  <c r="AD522" i="1" s="1"/>
  <c r="AB522" i="1" s="1"/>
  <c r="AF522" i="1"/>
  <c r="S522" i="1" s="1"/>
  <c r="AG522" i="1"/>
  <c r="AH522" i="1"/>
  <c r="AI522" i="1"/>
  <c r="CW522" i="1" s="1"/>
  <c r="V522" i="1" s="1"/>
  <c r="AJ522" i="1"/>
  <c r="CX522" i="1" s="1"/>
  <c r="W522" i="1" s="1"/>
  <c r="CQ522" i="1"/>
  <c r="CR522" i="1"/>
  <c r="CU522" i="1"/>
  <c r="T522" i="1" s="1"/>
  <c r="CV522" i="1"/>
  <c r="U522" i="1" s="1"/>
  <c r="FR522" i="1"/>
  <c r="GL522" i="1"/>
  <c r="GO522" i="1"/>
  <c r="GP522" i="1"/>
  <c r="GV522" i="1"/>
  <c r="HC522" i="1" s="1"/>
  <c r="GX522" i="1" s="1"/>
  <c r="C523" i="1"/>
  <c r="D523" i="1"/>
  <c r="R523" i="1"/>
  <c r="GK523" i="1" s="1"/>
  <c r="AC523" i="1"/>
  <c r="P523" i="1" s="1"/>
  <c r="AE523" i="1"/>
  <c r="Q523" i="1" s="1"/>
  <c r="AF523" i="1"/>
  <c r="S523" i="1" s="1"/>
  <c r="AG523" i="1"/>
  <c r="CU523" i="1" s="1"/>
  <c r="T523" i="1" s="1"/>
  <c r="AH523" i="1"/>
  <c r="AI523" i="1"/>
  <c r="AJ523" i="1"/>
  <c r="CX523" i="1" s="1"/>
  <c r="W523" i="1" s="1"/>
  <c r="CR523" i="1"/>
  <c r="CS523" i="1"/>
  <c r="CV523" i="1"/>
  <c r="U523" i="1" s="1"/>
  <c r="CW523" i="1"/>
  <c r="V523" i="1" s="1"/>
  <c r="FR523" i="1"/>
  <c r="GL523" i="1"/>
  <c r="GO523" i="1"/>
  <c r="GP523" i="1"/>
  <c r="GV523" i="1"/>
  <c r="HC523" i="1" s="1"/>
  <c r="GX523" i="1" s="1"/>
  <c r="I524" i="1"/>
  <c r="P524" i="1"/>
  <c r="S524" i="1"/>
  <c r="CZ524" i="1" s="1"/>
  <c r="Y524" i="1" s="1"/>
  <c r="AC524" i="1"/>
  <c r="AB524" i="1" s="1"/>
  <c r="AD524" i="1"/>
  <c r="AE524" i="1"/>
  <c r="Q524" i="1" s="1"/>
  <c r="AF524" i="1"/>
  <c r="AG524" i="1"/>
  <c r="AH524" i="1"/>
  <c r="CV524" i="1" s="1"/>
  <c r="U524" i="1" s="1"/>
  <c r="AI524" i="1"/>
  <c r="CW524" i="1" s="1"/>
  <c r="V524" i="1" s="1"/>
  <c r="AJ524" i="1"/>
  <c r="CQ524" i="1"/>
  <c r="CR524" i="1"/>
  <c r="CT524" i="1"/>
  <c r="CU524" i="1"/>
  <c r="T524" i="1" s="1"/>
  <c r="CX524" i="1"/>
  <c r="W524" i="1" s="1"/>
  <c r="CY524" i="1"/>
  <c r="X524" i="1" s="1"/>
  <c r="FR524" i="1"/>
  <c r="GL524" i="1"/>
  <c r="GO524" i="1"/>
  <c r="GP524" i="1"/>
  <c r="GV524" i="1"/>
  <c r="HC524" i="1"/>
  <c r="GX524" i="1" s="1"/>
  <c r="I525" i="1"/>
  <c r="Q525" i="1" s="1"/>
  <c r="R525" i="1"/>
  <c r="GK525" i="1" s="1"/>
  <c r="AC525" i="1"/>
  <c r="P525" i="1" s="1"/>
  <c r="CP525" i="1" s="1"/>
  <c r="O525" i="1" s="1"/>
  <c r="AE525" i="1"/>
  <c r="AD525" i="1" s="1"/>
  <c r="AB525" i="1" s="1"/>
  <c r="AF525" i="1"/>
  <c r="S525" i="1" s="1"/>
  <c r="AG525" i="1"/>
  <c r="CU525" i="1" s="1"/>
  <c r="T525" i="1" s="1"/>
  <c r="AH525" i="1"/>
  <c r="AI525" i="1"/>
  <c r="AJ525" i="1"/>
  <c r="CX525" i="1" s="1"/>
  <c r="W525" i="1" s="1"/>
  <c r="CR525" i="1"/>
  <c r="CS525" i="1"/>
  <c r="CV525" i="1"/>
  <c r="U525" i="1" s="1"/>
  <c r="CW525" i="1"/>
  <c r="V525" i="1" s="1"/>
  <c r="FR525" i="1"/>
  <c r="GL525" i="1"/>
  <c r="GO525" i="1"/>
  <c r="GP525" i="1"/>
  <c r="GV525" i="1"/>
  <c r="HC525" i="1" s="1"/>
  <c r="GX525" i="1" s="1"/>
  <c r="I526" i="1"/>
  <c r="P526" i="1"/>
  <c r="S526" i="1"/>
  <c r="CZ526" i="1" s="1"/>
  <c r="Y526" i="1" s="1"/>
  <c r="AC526" i="1"/>
  <c r="AB526" i="1" s="1"/>
  <c r="AD526" i="1"/>
  <c r="AE526" i="1"/>
  <c r="Q526" i="1" s="1"/>
  <c r="AF526" i="1"/>
  <c r="AG526" i="1"/>
  <c r="AH526" i="1"/>
  <c r="CV526" i="1" s="1"/>
  <c r="U526" i="1" s="1"/>
  <c r="AI526" i="1"/>
  <c r="CW526" i="1" s="1"/>
  <c r="V526" i="1" s="1"/>
  <c r="AJ526" i="1"/>
  <c r="CQ526" i="1"/>
  <c r="CR526" i="1"/>
  <c r="CT526" i="1"/>
  <c r="CU526" i="1"/>
  <c r="T526" i="1" s="1"/>
  <c r="CX526" i="1"/>
  <c r="W526" i="1" s="1"/>
  <c r="CY526" i="1"/>
  <c r="X526" i="1" s="1"/>
  <c r="FR526" i="1"/>
  <c r="GL526" i="1"/>
  <c r="GO526" i="1"/>
  <c r="GP526" i="1"/>
  <c r="GV526" i="1"/>
  <c r="HC526" i="1"/>
  <c r="GX526" i="1" s="1"/>
  <c r="I527" i="1"/>
  <c r="Q527" i="1" s="1"/>
  <c r="R527" i="1"/>
  <c r="GK527" i="1" s="1"/>
  <c r="AC527" i="1"/>
  <c r="P527" i="1" s="1"/>
  <c r="CP527" i="1" s="1"/>
  <c r="O527" i="1" s="1"/>
  <c r="AE527" i="1"/>
  <c r="AD527" i="1" s="1"/>
  <c r="AB527" i="1" s="1"/>
  <c r="AF527" i="1"/>
  <c r="S527" i="1" s="1"/>
  <c r="AG527" i="1"/>
  <c r="CU527" i="1" s="1"/>
  <c r="T527" i="1" s="1"/>
  <c r="AH527" i="1"/>
  <c r="AI527" i="1"/>
  <c r="AJ527" i="1"/>
  <c r="CX527" i="1" s="1"/>
  <c r="W527" i="1" s="1"/>
  <c r="CR527" i="1"/>
  <c r="CS527" i="1"/>
  <c r="CV527" i="1"/>
  <c r="U527" i="1" s="1"/>
  <c r="CW527" i="1"/>
  <c r="V527" i="1" s="1"/>
  <c r="FR527" i="1"/>
  <c r="GL527" i="1"/>
  <c r="GO527" i="1"/>
  <c r="GP527" i="1"/>
  <c r="GV527" i="1"/>
  <c r="HC527" i="1" s="1"/>
  <c r="GX527" i="1" s="1"/>
  <c r="I528" i="1"/>
  <c r="P528" i="1"/>
  <c r="S528" i="1"/>
  <c r="CZ528" i="1" s="1"/>
  <c r="Y528" i="1" s="1"/>
  <c r="AC528" i="1"/>
  <c r="AB528" i="1" s="1"/>
  <c r="AD528" i="1"/>
  <c r="AE528" i="1"/>
  <c r="Q528" i="1" s="1"/>
  <c r="AF528" i="1"/>
  <c r="AG528" i="1"/>
  <c r="AH528" i="1"/>
  <c r="CV528" i="1" s="1"/>
  <c r="U528" i="1" s="1"/>
  <c r="AI528" i="1"/>
  <c r="CW528" i="1" s="1"/>
  <c r="V528" i="1" s="1"/>
  <c r="AJ528" i="1"/>
  <c r="CQ528" i="1"/>
  <c r="CR528" i="1"/>
  <c r="CT528" i="1"/>
  <c r="CU528" i="1"/>
  <c r="T528" i="1" s="1"/>
  <c r="CX528" i="1"/>
  <c r="W528" i="1" s="1"/>
  <c r="CY528" i="1"/>
  <c r="X528" i="1" s="1"/>
  <c r="FR528" i="1"/>
  <c r="GL528" i="1"/>
  <c r="GO528" i="1"/>
  <c r="GP528" i="1"/>
  <c r="GV528" i="1"/>
  <c r="HC528" i="1"/>
  <c r="GX528" i="1" s="1"/>
  <c r="I529" i="1"/>
  <c r="Q529" i="1" s="1"/>
  <c r="R529" i="1"/>
  <c r="GK529" i="1" s="1"/>
  <c r="AC529" i="1"/>
  <c r="P529" i="1" s="1"/>
  <c r="AE529" i="1"/>
  <c r="AD529" i="1" s="1"/>
  <c r="AB529" i="1" s="1"/>
  <c r="AF529" i="1"/>
  <c r="S529" i="1" s="1"/>
  <c r="AG529" i="1"/>
  <c r="CU529" i="1" s="1"/>
  <c r="T529" i="1" s="1"/>
  <c r="AH529" i="1"/>
  <c r="AI529" i="1"/>
  <c r="AJ529" i="1"/>
  <c r="CX529" i="1" s="1"/>
  <c r="W529" i="1" s="1"/>
  <c r="CR529" i="1"/>
  <c r="CS529" i="1"/>
  <c r="CV529" i="1"/>
  <c r="U529" i="1" s="1"/>
  <c r="CW529" i="1"/>
  <c r="V529" i="1" s="1"/>
  <c r="FR529" i="1"/>
  <c r="GL529" i="1"/>
  <c r="GO529" i="1"/>
  <c r="GP529" i="1"/>
  <c r="GV529" i="1"/>
  <c r="HC529" i="1" s="1"/>
  <c r="GX529" i="1" s="1"/>
  <c r="I530" i="1"/>
  <c r="P530" i="1"/>
  <c r="S530" i="1"/>
  <c r="CZ530" i="1" s="1"/>
  <c r="Y530" i="1" s="1"/>
  <c r="AC530" i="1"/>
  <c r="AB530" i="1" s="1"/>
  <c r="AD530" i="1"/>
  <c r="AE530" i="1"/>
  <c r="Q530" i="1" s="1"/>
  <c r="AF530" i="1"/>
  <c r="AG530" i="1"/>
  <c r="AH530" i="1"/>
  <c r="CV530" i="1" s="1"/>
  <c r="U530" i="1" s="1"/>
  <c r="AI530" i="1"/>
  <c r="CW530" i="1" s="1"/>
  <c r="V530" i="1" s="1"/>
  <c r="AJ530" i="1"/>
  <c r="CQ530" i="1"/>
  <c r="CR530" i="1"/>
  <c r="CT530" i="1"/>
  <c r="CU530" i="1"/>
  <c r="T530" i="1" s="1"/>
  <c r="CX530" i="1"/>
  <c r="W530" i="1" s="1"/>
  <c r="CY530" i="1"/>
  <c r="X530" i="1" s="1"/>
  <c r="FR530" i="1"/>
  <c r="GL530" i="1"/>
  <c r="GO530" i="1"/>
  <c r="GP530" i="1"/>
  <c r="GV530" i="1"/>
  <c r="HC530" i="1"/>
  <c r="GX530" i="1" s="1"/>
  <c r="I531" i="1"/>
  <c r="Q531" i="1" s="1"/>
  <c r="R531" i="1"/>
  <c r="GK531" i="1" s="1"/>
  <c r="AC531" i="1"/>
  <c r="P531" i="1" s="1"/>
  <c r="AE531" i="1"/>
  <c r="AD531" i="1" s="1"/>
  <c r="AB531" i="1" s="1"/>
  <c r="AF531" i="1"/>
  <c r="S531" i="1" s="1"/>
  <c r="AG531" i="1"/>
  <c r="CU531" i="1" s="1"/>
  <c r="T531" i="1" s="1"/>
  <c r="AH531" i="1"/>
  <c r="AI531" i="1"/>
  <c r="AJ531" i="1"/>
  <c r="CX531" i="1" s="1"/>
  <c r="W531" i="1" s="1"/>
  <c r="CR531" i="1"/>
  <c r="CS531" i="1"/>
  <c r="CV531" i="1"/>
  <c r="U531" i="1" s="1"/>
  <c r="CW531" i="1"/>
  <c r="V531" i="1" s="1"/>
  <c r="FR531" i="1"/>
  <c r="GL531" i="1"/>
  <c r="GO531" i="1"/>
  <c r="GP531" i="1"/>
  <c r="GV531" i="1"/>
  <c r="HC531" i="1" s="1"/>
  <c r="GX531" i="1" s="1"/>
  <c r="I532" i="1"/>
  <c r="P532" i="1"/>
  <c r="S532" i="1"/>
  <c r="CZ532" i="1" s="1"/>
  <c r="Y532" i="1" s="1"/>
  <c r="AC532" i="1"/>
  <c r="AB532" i="1" s="1"/>
  <c r="AD532" i="1"/>
  <c r="AE532" i="1"/>
  <c r="Q532" i="1" s="1"/>
  <c r="AF532" i="1"/>
  <c r="AG532" i="1"/>
  <c r="AH532" i="1"/>
  <c r="CV532" i="1" s="1"/>
  <c r="U532" i="1" s="1"/>
  <c r="AI532" i="1"/>
  <c r="CW532" i="1" s="1"/>
  <c r="V532" i="1" s="1"/>
  <c r="AJ532" i="1"/>
  <c r="CQ532" i="1"/>
  <c r="CR532" i="1"/>
  <c r="CT532" i="1"/>
  <c r="CU532" i="1"/>
  <c r="T532" i="1" s="1"/>
  <c r="CX532" i="1"/>
  <c r="W532" i="1" s="1"/>
  <c r="CY532" i="1"/>
  <c r="X532" i="1" s="1"/>
  <c r="FR532" i="1"/>
  <c r="GL532" i="1"/>
  <c r="GO532" i="1"/>
  <c r="GP532" i="1"/>
  <c r="GV532" i="1"/>
  <c r="HC532" i="1"/>
  <c r="GX532" i="1" s="1"/>
  <c r="I533" i="1"/>
  <c r="Q533" i="1" s="1"/>
  <c r="R533" i="1"/>
  <c r="GK533" i="1" s="1"/>
  <c r="AC533" i="1"/>
  <c r="P533" i="1" s="1"/>
  <c r="CP533" i="1" s="1"/>
  <c r="O533" i="1" s="1"/>
  <c r="AE533" i="1"/>
  <c r="AD533" i="1" s="1"/>
  <c r="AB533" i="1" s="1"/>
  <c r="AF533" i="1"/>
  <c r="S533" i="1" s="1"/>
  <c r="AG533" i="1"/>
  <c r="CU533" i="1" s="1"/>
  <c r="T533" i="1" s="1"/>
  <c r="AH533" i="1"/>
  <c r="AI533" i="1"/>
  <c r="AJ533" i="1"/>
  <c r="CX533" i="1" s="1"/>
  <c r="W533" i="1" s="1"/>
  <c r="CR533" i="1"/>
  <c r="CS533" i="1"/>
  <c r="CV533" i="1"/>
  <c r="U533" i="1" s="1"/>
  <c r="CW533" i="1"/>
  <c r="V533" i="1" s="1"/>
  <c r="FR533" i="1"/>
  <c r="GL533" i="1"/>
  <c r="GO533" i="1"/>
  <c r="GP533" i="1"/>
  <c r="GV533" i="1"/>
  <c r="HC533" i="1" s="1"/>
  <c r="GX533" i="1" s="1"/>
  <c r="I534" i="1"/>
  <c r="P534" i="1"/>
  <c r="S534" i="1"/>
  <c r="CZ534" i="1" s="1"/>
  <c r="Y534" i="1" s="1"/>
  <c r="AC534" i="1"/>
  <c r="AB534" i="1" s="1"/>
  <c r="AD534" i="1"/>
  <c r="AE534" i="1"/>
  <c r="Q534" i="1" s="1"/>
  <c r="AF534" i="1"/>
  <c r="AG534" i="1"/>
  <c r="AH534" i="1"/>
  <c r="CV534" i="1" s="1"/>
  <c r="U534" i="1" s="1"/>
  <c r="AI534" i="1"/>
  <c r="CW534" i="1" s="1"/>
  <c r="V534" i="1" s="1"/>
  <c r="AJ534" i="1"/>
  <c r="CQ534" i="1"/>
  <c r="CR534" i="1"/>
  <c r="CT534" i="1"/>
  <c r="CU534" i="1"/>
  <c r="T534" i="1" s="1"/>
  <c r="CX534" i="1"/>
  <c r="W534" i="1" s="1"/>
  <c r="CY534" i="1"/>
  <c r="X534" i="1" s="1"/>
  <c r="FR534" i="1"/>
  <c r="GL534" i="1"/>
  <c r="GO534" i="1"/>
  <c r="GP534" i="1"/>
  <c r="GV534" i="1"/>
  <c r="HC534" i="1"/>
  <c r="GX534" i="1" s="1"/>
  <c r="I535" i="1"/>
  <c r="Q535" i="1" s="1"/>
  <c r="R535" i="1"/>
  <c r="GK535" i="1" s="1"/>
  <c r="AC535" i="1"/>
  <c r="P535" i="1" s="1"/>
  <c r="CP535" i="1" s="1"/>
  <c r="O535" i="1" s="1"/>
  <c r="AE535" i="1"/>
  <c r="AD535" i="1" s="1"/>
  <c r="AB535" i="1" s="1"/>
  <c r="AF535" i="1"/>
  <c r="S535" i="1" s="1"/>
  <c r="AG535" i="1"/>
  <c r="CU535" i="1" s="1"/>
  <c r="T535" i="1" s="1"/>
  <c r="AH535" i="1"/>
  <c r="AI535" i="1"/>
  <c r="AJ535" i="1"/>
  <c r="CX535" i="1" s="1"/>
  <c r="W535" i="1" s="1"/>
  <c r="CR535" i="1"/>
  <c r="CS535" i="1"/>
  <c r="CV535" i="1"/>
  <c r="U535" i="1" s="1"/>
  <c r="CW535" i="1"/>
  <c r="V535" i="1" s="1"/>
  <c r="FR535" i="1"/>
  <c r="GL535" i="1"/>
  <c r="GO535" i="1"/>
  <c r="GP535" i="1"/>
  <c r="GV535" i="1"/>
  <c r="HC535" i="1" s="1"/>
  <c r="GX535" i="1" s="1"/>
  <c r="I536" i="1"/>
  <c r="P536" i="1"/>
  <c r="S536" i="1"/>
  <c r="CZ536" i="1" s="1"/>
  <c r="Y536" i="1" s="1"/>
  <c r="AC536" i="1"/>
  <c r="AB536" i="1" s="1"/>
  <c r="AD536" i="1"/>
  <c r="AE536" i="1"/>
  <c r="Q536" i="1" s="1"/>
  <c r="AF536" i="1"/>
  <c r="AG536" i="1"/>
  <c r="AH536" i="1"/>
  <c r="CV536" i="1" s="1"/>
  <c r="U536" i="1" s="1"/>
  <c r="AI536" i="1"/>
  <c r="CW536" i="1" s="1"/>
  <c r="V536" i="1" s="1"/>
  <c r="AJ536" i="1"/>
  <c r="CQ536" i="1"/>
  <c r="CR536" i="1"/>
  <c r="CT536" i="1"/>
  <c r="CU536" i="1"/>
  <c r="T536" i="1" s="1"/>
  <c r="CX536" i="1"/>
  <c r="W536" i="1" s="1"/>
  <c r="CY536" i="1"/>
  <c r="X536" i="1" s="1"/>
  <c r="FR536" i="1"/>
  <c r="GL536" i="1"/>
  <c r="GO536" i="1"/>
  <c r="GP536" i="1"/>
  <c r="GV536" i="1"/>
  <c r="HC536" i="1"/>
  <c r="GX536" i="1" s="1"/>
  <c r="I537" i="1"/>
  <c r="Q537" i="1" s="1"/>
  <c r="R537" i="1"/>
  <c r="GK537" i="1" s="1"/>
  <c r="AC537" i="1"/>
  <c r="P537" i="1" s="1"/>
  <c r="AE537" i="1"/>
  <c r="AD537" i="1" s="1"/>
  <c r="AB537" i="1" s="1"/>
  <c r="AF537" i="1"/>
  <c r="S537" i="1" s="1"/>
  <c r="AG537" i="1"/>
  <c r="CU537" i="1" s="1"/>
  <c r="T537" i="1" s="1"/>
  <c r="AH537" i="1"/>
  <c r="AI537" i="1"/>
  <c r="AJ537" i="1"/>
  <c r="CX537" i="1" s="1"/>
  <c r="W537" i="1" s="1"/>
  <c r="CR537" i="1"/>
  <c r="CS537" i="1"/>
  <c r="CV537" i="1"/>
  <c r="U537" i="1" s="1"/>
  <c r="CW537" i="1"/>
  <c r="V537" i="1" s="1"/>
  <c r="FR537" i="1"/>
  <c r="GL537" i="1"/>
  <c r="GO537" i="1"/>
  <c r="GP537" i="1"/>
  <c r="GV537" i="1"/>
  <c r="HC537" i="1" s="1"/>
  <c r="GX537" i="1" s="1"/>
  <c r="C538" i="1"/>
  <c r="D538" i="1"/>
  <c r="R538" i="1"/>
  <c r="S538" i="1"/>
  <c r="CY538" i="1" s="1"/>
  <c r="X538" i="1" s="1"/>
  <c r="AC538" i="1"/>
  <c r="AB538" i="1" s="1"/>
  <c r="AD538" i="1"/>
  <c r="AE538" i="1"/>
  <c r="Q538" i="1" s="1"/>
  <c r="AF538" i="1"/>
  <c r="AG538" i="1"/>
  <c r="CU538" i="1" s="1"/>
  <c r="T538" i="1" s="1"/>
  <c r="AH538" i="1"/>
  <c r="CV538" i="1" s="1"/>
  <c r="U538" i="1" s="1"/>
  <c r="AI538" i="1"/>
  <c r="AJ538" i="1"/>
  <c r="CR538" i="1"/>
  <c r="CS538" i="1"/>
  <c r="CT538" i="1"/>
  <c r="CW538" i="1"/>
  <c r="V538" i="1" s="1"/>
  <c r="CX538" i="1"/>
  <c r="W538" i="1" s="1"/>
  <c r="FR538" i="1"/>
  <c r="GK538" i="1"/>
  <c r="GL538" i="1"/>
  <c r="GO538" i="1"/>
  <c r="GP538" i="1"/>
  <c r="GV538" i="1"/>
  <c r="HC538" i="1"/>
  <c r="GX538" i="1" s="1"/>
  <c r="C539" i="1"/>
  <c r="D539" i="1"/>
  <c r="P539" i="1"/>
  <c r="S539" i="1"/>
  <c r="CZ539" i="1" s="1"/>
  <c r="Y539" i="1" s="1"/>
  <c r="AC539" i="1"/>
  <c r="AB539" i="1" s="1"/>
  <c r="AD539" i="1"/>
  <c r="AE539" i="1"/>
  <c r="Q539" i="1" s="1"/>
  <c r="AF539" i="1"/>
  <c r="AG539" i="1"/>
  <c r="AH539" i="1"/>
  <c r="CV539" i="1" s="1"/>
  <c r="U539" i="1" s="1"/>
  <c r="AI539" i="1"/>
  <c r="CW539" i="1" s="1"/>
  <c r="V539" i="1" s="1"/>
  <c r="AJ539" i="1"/>
  <c r="CQ539" i="1"/>
  <c r="CR539" i="1"/>
  <c r="CT539" i="1"/>
  <c r="CU539" i="1"/>
  <c r="T539" i="1" s="1"/>
  <c r="CX539" i="1"/>
  <c r="W539" i="1" s="1"/>
  <c r="CY539" i="1"/>
  <c r="X539" i="1" s="1"/>
  <c r="FR539" i="1"/>
  <c r="GL539" i="1"/>
  <c r="GO539" i="1"/>
  <c r="GP539" i="1"/>
  <c r="GV539" i="1"/>
  <c r="HC539" i="1"/>
  <c r="GX539" i="1" s="1"/>
  <c r="I540" i="1"/>
  <c r="Q540" i="1" s="1"/>
  <c r="R540" i="1"/>
  <c r="GK540" i="1" s="1"/>
  <c r="AC540" i="1"/>
  <c r="P540" i="1" s="1"/>
  <c r="CP540" i="1" s="1"/>
  <c r="O540" i="1" s="1"/>
  <c r="AE540" i="1"/>
  <c r="AD540" i="1" s="1"/>
  <c r="AB540" i="1" s="1"/>
  <c r="AF540" i="1"/>
  <c r="S540" i="1" s="1"/>
  <c r="AG540" i="1"/>
  <c r="CU540" i="1" s="1"/>
  <c r="T540" i="1" s="1"/>
  <c r="AH540" i="1"/>
  <c r="AI540" i="1"/>
  <c r="AJ540" i="1"/>
  <c r="CX540" i="1" s="1"/>
  <c r="W540" i="1" s="1"/>
  <c r="CR540" i="1"/>
  <c r="CS540" i="1"/>
  <c r="CV540" i="1"/>
  <c r="U540" i="1" s="1"/>
  <c r="CW540" i="1"/>
  <c r="V540" i="1" s="1"/>
  <c r="FR540" i="1"/>
  <c r="GL540" i="1"/>
  <c r="GO540" i="1"/>
  <c r="GP540" i="1"/>
  <c r="GV540" i="1"/>
  <c r="HC540" i="1" s="1"/>
  <c r="GX540" i="1" s="1"/>
  <c r="I541" i="1"/>
  <c r="P541" i="1"/>
  <c r="S541" i="1"/>
  <c r="CZ541" i="1" s="1"/>
  <c r="Y541" i="1" s="1"/>
  <c r="AC541" i="1"/>
  <c r="AB541" i="1" s="1"/>
  <c r="AD541" i="1"/>
  <c r="AE541" i="1"/>
  <c r="Q541" i="1" s="1"/>
  <c r="AF541" i="1"/>
  <c r="AG541" i="1"/>
  <c r="AH541" i="1"/>
  <c r="CV541" i="1" s="1"/>
  <c r="U541" i="1" s="1"/>
  <c r="AI541" i="1"/>
  <c r="CW541" i="1" s="1"/>
  <c r="V541" i="1" s="1"/>
  <c r="AJ541" i="1"/>
  <c r="CQ541" i="1"/>
  <c r="CR541" i="1"/>
  <c r="CT541" i="1"/>
  <c r="CU541" i="1"/>
  <c r="T541" i="1" s="1"/>
  <c r="CX541" i="1"/>
  <c r="W541" i="1" s="1"/>
  <c r="CY541" i="1"/>
  <c r="X541" i="1" s="1"/>
  <c r="FR541" i="1"/>
  <c r="GL541" i="1"/>
  <c r="GO541" i="1"/>
  <c r="GP541" i="1"/>
  <c r="GV541" i="1"/>
  <c r="HC541" i="1"/>
  <c r="GX541" i="1" s="1"/>
  <c r="I542" i="1"/>
  <c r="Q542" i="1" s="1"/>
  <c r="R542" i="1"/>
  <c r="GK542" i="1" s="1"/>
  <c r="AC542" i="1"/>
  <c r="P542" i="1" s="1"/>
  <c r="CP542" i="1" s="1"/>
  <c r="O542" i="1" s="1"/>
  <c r="AE542" i="1"/>
  <c r="AD542" i="1" s="1"/>
  <c r="AB542" i="1" s="1"/>
  <c r="AF542" i="1"/>
  <c r="S542" i="1" s="1"/>
  <c r="AG542" i="1"/>
  <c r="CU542" i="1" s="1"/>
  <c r="T542" i="1" s="1"/>
  <c r="AH542" i="1"/>
  <c r="AI542" i="1"/>
  <c r="AJ542" i="1"/>
  <c r="CX542" i="1" s="1"/>
  <c r="W542" i="1" s="1"/>
  <c r="CR542" i="1"/>
  <c r="CS542" i="1"/>
  <c r="CV542" i="1"/>
  <c r="U542" i="1" s="1"/>
  <c r="CW542" i="1"/>
  <c r="V542" i="1" s="1"/>
  <c r="FR542" i="1"/>
  <c r="GL542" i="1"/>
  <c r="GO542" i="1"/>
  <c r="GP542" i="1"/>
  <c r="GV542" i="1"/>
  <c r="HC542" i="1" s="1"/>
  <c r="GX542" i="1" s="1"/>
  <c r="I543" i="1"/>
  <c r="P543" i="1"/>
  <c r="S543" i="1"/>
  <c r="CZ543" i="1" s="1"/>
  <c r="Y543" i="1" s="1"/>
  <c r="AC543" i="1"/>
  <c r="AB543" i="1" s="1"/>
  <c r="AD543" i="1"/>
  <c r="AE543" i="1"/>
  <c r="Q543" i="1" s="1"/>
  <c r="AF543" i="1"/>
  <c r="AG543" i="1"/>
  <c r="AH543" i="1"/>
  <c r="CV543" i="1" s="1"/>
  <c r="U543" i="1" s="1"/>
  <c r="AI543" i="1"/>
  <c r="CW543" i="1" s="1"/>
  <c r="V543" i="1" s="1"/>
  <c r="AJ543" i="1"/>
  <c r="CQ543" i="1"/>
  <c r="CR543" i="1"/>
  <c r="CT543" i="1"/>
  <c r="CU543" i="1"/>
  <c r="T543" i="1" s="1"/>
  <c r="CX543" i="1"/>
  <c r="W543" i="1" s="1"/>
  <c r="CY543" i="1"/>
  <c r="X543" i="1" s="1"/>
  <c r="FR543" i="1"/>
  <c r="GL543" i="1"/>
  <c r="GO543" i="1"/>
  <c r="GP543" i="1"/>
  <c r="GV543" i="1"/>
  <c r="HC543" i="1"/>
  <c r="GX543" i="1" s="1"/>
  <c r="I544" i="1"/>
  <c r="Q544" i="1" s="1"/>
  <c r="R544" i="1"/>
  <c r="GK544" i="1" s="1"/>
  <c r="AC544" i="1"/>
  <c r="P544" i="1" s="1"/>
  <c r="AE544" i="1"/>
  <c r="AD544" i="1" s="1"/>
  <c r="AB544" i="1" s="1"/>
  <c r="AF544" i="1"/>
  <c r="S544" i="1" s="1"/>
  <c r="AG544" i="1"/>
  <c r="CU544" i="1" s="1"/>
  <c r="T544" i="1" s="1"/>
  <c r="AH544" i="1"/>
  <c r="AI544" i="1"/>
  <c r="AJ544" i="1"/>
  <c r="CX544" i="1" s="1"/>
  <c r="W544" i="1" s="1"/>
  <c r="CR544" i="1"/>
  <c r="CS544" i="1"/>
  <c r="CV544" i="1"/>
  <c r="U544" i="1" s="1"/>
  <c r="CW544" i="1"/>
  <c r="V544" i="1" s="1"/>
  <c r="FR544" i="1"/>
  <c r="GL544" i="1"/>
  <c r="GO544" i="1"/>
  <c r="GP544" i="1"/>
  <c r="GV544" i="1"/>
  <c r="HC544" i="1" s="1"/>
  <c r="GX544" i="1" s="1"/>
  <c r="I545" i="1"/>
  <c r="P545" i="1"/>
  <c r="S545" i="1"/>
  <c r="CZ545" i="1" s="1"/>
  <c r="Y545" i="1" s="1"/>
  <c r="AC545" i="1"/>
  <c r="AB545" i="1" s="1"/>
  <c r="AD545" i="1"/>
  <c r="AE545" i="1"/>
  <c r="Q545" i="1" s="1"/>
  <c r="AF545" i="1"/>
  <c r="AG545" i="1"/>
  <c r="AH545" i="1"/>
  <c r="CV545" i="1" s="1"/>
  <c r="U545" i="1" s="1"/>
  <c r="AI545" i="1"/>
  <c r="CW545" i="1" s="1"/>
  <c r="V545" i="1" s="1"/>
  <c r="AJ545" i="1"/>
  <c r="CQ545" i="1"/>
  <c r="CR545" i="1"/>
  <c r="CT545" i="1"/>
  <c r="CU545" i="1"/>
  <c r="T545" i="1" s="1"/>
  <c r="CX545" i="1"/>
  <c r="W545" i="1" s="1"/>
  <c r="CY545" i="1"/>
  <c r="X545" i="1" s="1"/>
  <c r="FR545" i="1"/>
  <c r="GL545" i="1"/>
  <c r="GO545" i="1"/>
  <c r="GP545" i="1"/>
  <c r="GV545" i="1"/>
  <c r="HC545" i="1"/>
  <c r="GX545" i="1" s="1"/>
  <c r="I546" i="1"/>
  <c r="Q546" i="1" s="1"/>
  <c r="R546" i="1"/>
  <c r="GK546" i="1" s="1"/>
  <c r="AC546" i="1"/>
  <c r="P546" i="1" s="1"/>
  <c r="AE546" i="1"/>
  <c r="AD546" i="1" s="1"/>
  <c r="AB546" i="1" s="1"/>
  <c r="AF546" i="1"/>
  <c r="S546" i="1" s="1"/>
  <c r="AG546" i="1"/>
  <c r="CU546" i="1" s="1"/>
  <c r="T546" i="1" s="1"/>
  <c r="AH546" i="1"/>
  <c r="AI546" i="1"/>
  <c r="AJ546" i="1"/>
  <c r="CX546" i="1" s="1"/>
  <c r="W546" i="1" s="1"/>
  <c r="CR546" i="1"/>
  <c r="CS546" i="1"/>
  <c r="CV546" i="1"/>
  <c r="U546" i="1" s="1"/>
  <c r="CW546" i="1"/>
  <c r="V546" i="1" s="1"/>
  <c r="FR546" i="1"/>
  <c r="GL546" i="1"/>
  <c r="GO546" i="1"/>
  <c r="GP546" i="1"/>
  <c r="GV546" i="1"/>
  <c r="HC546" i="1" s="1"/>
  <c r="GX546" i="1" s="1"/>
  <c r="I547" i="1"/>
  <c r="P547" i="1"/>
  <c r="S547" i="1"/>
  <c r="CZ547" i="1" s="1"/>
  <c r="Y547" i="1" s="1"/>
  <c r="AC547" i="1"/>
  <c r="AB547" i="1" s="1"/>
  <c r="AD547" i="1"/>
  <c r="AE547" i="1"/>
  <c r="Q547" i="1" s="1"/>
  <c r="AF547" i="1"/>
  <c r="AG547" i="1"/>
  <c r="AH547" i="1"/>
  <c r="CV547" i="1" s="1"/>
  <c r="U547" i="1" s="1"/>
  <c r="AI547" i="1"/>
  <c r="CW547" i="1" s="1"/>
  <c r="V547" i="1" s="1"/>
  <c r="AJ547" i="1"/>
  <c r="CQ547" i="1"/>
  <c r="CR547" i="1"/>
  <c r="CT547" i="1"/>
  <c r="CU547" i="1"/>
  <c r="T547" i="1" s="1"/>
  <c r="CX547" i="1"/>
  <c r="W547" i="1" s="1"/>
  <c r="CY547" i="1"/>
  <c r="X547" i="1" s="1"/>
  <c r="FR547" i="1"/>
  <c r="GL547" i="1"/>
  <c r="GO547" i="1"/>
  <c r="GP547" i="1"/>
  <c r="GV547" i="1"/>
  <c r="HC547" i="1"/>
  <c r="GX547" i="1" s="1"/>
  <c r="I548" i="1"/>
  <c r="Q548" i="1" s="1"/>
  <c r="R548" i="1"/>
  <c r="GK548" i="1" s="1"/>
  <c r="AC548" i="1"/>
  <c r="P548" i="1" s="1"/>
  <c r="CP548" i="1" s="1"/>
  <c r="O548" i="1" s="1"/>
  <c r="AE548" i="1"/>
  <c r="AD548" i="1" s="1"/>
  <c r="AB548" i="1" s="1"/>
  <c r="AF548" i="1"/>
  <c r="S548" i="1" s="1"/>
  <c r="AG548" i="1"/>
  <c r="CU548" i="1" s="1"/>
  <c r="T548" i="1" s="1"/>
  <c r="AH548" i="1"/>
  <c r="AI548" i="1"/>
  <c r="AJ548" i="1"/>
  <c r="CX548" i="1" s="1"/>
  <c r="W548" i="1" s="1"/>
  <c r="CR548" i="1"/>
  <c r="CS548" i="1"/>
  <c r="CV548" i="1"/>
  <c r="U548" i="1" s="1"/>
  <c r="CW548" i="1"/>
  <c r="V548" i="1" s="1"/>
  <c r="FR548" i="1"/>
  <c r="GL548" i="1"/>
  <c r="GO548" i="1"/>
  <c r="GP548" i="1"/>
  <c r="GV548" i="1"/>
  <c r="HC548" i="1" s="1"/>
  <c r="GX548" i="1" s="1"/>
  <c r="I549" i="1"/>
  <c r="P549" i="1"/>
  <c r="S549" i="1"/>
  <c r="CZ549" i="1" s="1"/>
  <c r="Y549" i="1" s="1"/>
  <c r="AC549" i="1"/>
  <c r="AB549" i="1" s="1"/>
  <c r="AD549" i="1"/>
  <c r="AE549" i="1"/>
  <c r="Q549" i="1" s="1"/>
  <c r="AF549" i="1"/>
  <c r="AG549" i="1"/>
  <c r="AH549" i="1"/>
  <c r="CV549" i="1" s="1"/>
  <c r="U549" i="1" s="1"/>
  <c r="AI549" i="1"/>
  <c r="CW549" i="1" s="1"/>
  <c r="V549" i="1" s="1"/>
  <c r="AJ549" i="1"/>
  <c r="CQ549" i="1"/>
  <c r="CR549" i="1"/>
  <c r="CT549" i="1"/>
  <c r="CU549" i="1"/>
  <c r="T549" i="1" s="1"/>
  <c r="CX549" i="1"/>
  <c r="W549" i="1" s="1"/>
  <c r="CY549" i="1"/>
  <c r="X549" i="1" s="1"/>
  <c r="FR549" i="1"/>
  <c r="GL549" i="1"/>
  <c r="GO549" i="1"/>
  <c r="GP549" i="1"/>
  <c r="GV549" i="1"/>
  <c r="HC549" i="1"/>
  <c r="GX549" i="1" s="1"/>
  <c r="I550" i="1"/>
  <c r="Q550" i="1" s="1"/>
  <c r="R550" i="1"/>
  <c r="GK550" i="1" s="1"/>
  <c r="AC550" i="1"/>
  <c r="P550" i="1" s="1"/>
  <c r="CP550" i="1" s="1"/>
  <c r="O550" i="1" s="1"/>
  <c r="AE550" i="1"/>
  <c r="AD550" i="1" s="1"/>
  <c r="AB550" i="1" s="1"/>
  <c r="AF550" i="1"/>
  <c r="S550" i="1" s="1"/>
  <c r="AG550" i="1"/>
  <c r="CU550" i="1" s="1"/>
  <c r="T550" i="1" s="1"/>
  <c r="AH550" i="1"/>
  <c r="AI550" i="1"/>
  <c r="AJ550" i="1"/>
  <c r="CX550" i="1" s="1"/>
  <c r="W550" i="1" s="1"/>
  <c r="CR550" i="1"/>
  <c r="CS550" i="1"/>
  <c r="CV550" i="1"/>
  <c r="U550" i="1" s="1"/>
  <c r="CW550" i="1"/>
  <c r="V550" i="1" s="1"/>
  <c r="FR550" i="1"/>
  <c r="GL550" i="1"/>
  <c r="GO550" i="1"/>
  <c r="GP550" i="1"/>
  <c r="GV550" i="1"/>
  <c r="HC550" i="1" s="1"/>
  <c r="GX550" i="1" s="1"/>
  <c r="I551" i="1"/>
  <c r="P551" i="1"/>
  <c r="S551" i="1"/>
  <c r="CZ551" i="1" s="1"/>
  <c r="Y551" i="1" s="1"/>
  <c r="AC551" i="1"/>
  <c r="AB551" i="1" s="1"/>
  <c r="AD551" i="1"/>
  <c r="AE551" i="1"/>
  <c r="Q551" i="1" s="1"/>
  <c r="AF551" i="1"/>
  <c r="AG551" i="1"/>
  <c r="AH551" i="1"/>
  <c r="CV551" i="1" s="1"/>
  <c r="U551" i="1" s="1"/>
  <c r="AI551" i="1"/>
  <c r="CW551" i="1" s="1"/>
  <c r="V551" i="1" s="1"/>
  <c r="AJ551" i="1"/>
  <c r="CQ551" i="1"/>
  <c r="CR551" i="1"/>
  <c r="CT551" i="1"/>
  <c r="CU551" i="1"/>
  <c r="T551" i="1" s="1"/>
  <c r="CX551" i="1"/>
  <c r="W551" i="1" s="1"/>
  <c r="CY551" i="1"/>
  <c r="X551" i="1" s="1"/>
  <c r="FR551" i="1"/>
  <c r="GL551" i="1"/>
  <c r="GO551" i="1"/>
  <c r="GP551" i="1"/>
  <c r="GV551" i="1"/>
  <c r="HC551" i="1"/>
  <c r="GX551" i="1" s="1"/>
  <c r="I552" i="1"/>
  <c r="Q552" i="1" s="1"/>
  <c r="R552" i="1"/>
  <c r="GK552" i="1" s="1"/>
  <c r="AC552" i="1"/>
  <c r="P552" i="1" s="1"/>
  <c r="AE552" i="1"/>
  <c r="AD552" i="1" s="1"/>
  <c r="AB552" i="1" s="1"/>
  <c r="AF552" i="1"/>
  <c r="S552" i="1" s="1"/>
  <c r="AG552" i="1"/>
  <c r="CU552" i="1" s="1"/>
  <c r="T552" i="1" s="1"/>
  <c r="AH552" i="1"/>
  <c r="AI552" i="1"/>
  <c r="AJ552" i="1"/>
  <c r="CX552" i="1" s="1"/>
  <c r="W552" i="1" s="1"/>
  <c r="CR552" i="1"/>
  <c r="CS552" i="1"/>
  <c r="CV552" i="1"/>
  <c r="U552" i="1" s="1"/>
  <c r="CW552" i="1"/>
  <c r="V552" i="1" s="1"/>
  <c r="FR552" i="1"/>
  <c r="GL552" i="1"/>
  <c r="GO552" i="1"/>
  <c r="GP552" i="1"/>
  <c r="GV552" i="1"/>
  <c r="HC552" i="1" s="1"/>
  <c r="GX552" i="1" s="1"/>
  <c r="I553" i="1"/>
  <c r="P553" i="1"/>
  <c r="S553" i="1"/>
  <c r="CZ553" i="1" s="1"/>
  <c r="Y553" i="1" s="1"/>
  <c r="AC553" i="1"/>
  <c r="AB553" i="1" s="1"/>
  <c r="AD553" i="1"/>
  <c r="AE553" i="1"/>
  <c r="Q553" i="1" s="1"/>
  <c r="AF553" i="1"/>
  <c r="AG553" i="1"/>
  <c r="AH553" i="1"/>
  <c r="CV553" i="1" s="1"/>
  <c r="U553" i="1" s="1"/>
  <c r="AI553" i="1"/>
  <c r="CW553" i="1" s="1"/>
  <c r="V553" i="1" s="1"/>
  <c r="AJ553" i="1"/>
  <c r="CQ553" i="1"/>
  <c r="CR553" i="1"/>
  <c r="CT553" i="1"/>
  <c r="CU553" i="1"/>
  <c r="T553" i="1" s="1"/>
  <c r="CX553" i="1"/>
  <c r="W553" i="1" s="1"/>
  <c r="CY553" i="1"/>
  <c r="X553" i="1" s="1"/>
  <c r="FR553" i="1"/>
  <c r="GL553" i="1"/>
  <c r="GO553" i="1"/>
  <c r="GP553" i="1"/>
  <c r="GV553" i="1"/>
  <c r="HC553" i="1"/>
  <c r="GX553" i="1" s="1"/>
  <c r="C554" i="1"/>
  <c r="D554" i="1"/>
  <c r="P554" i="1"/>
  <c r="AC554" i="1"/>
  <c r="AE554" i="1"/>
  <c r="AD554" i="1" s="1"/>
  <c r="AB554" i="1" s="1"/>
  <c r="AF554" i="1"/>
  <c r="S554" i="1" s="1"/>
  <c r="AG554" i="1"/>
  <c r="AH554" i="1"/>
  <c r="AI554" i="1"/>
  <c r="CW554" i="1" s="1"/>
  <c r="V554" i="1" s="1"/>
  <c r="AJ554" i="1"/>
  <c r="CX554" i="1" s="1"/>
  <c r="W554" i="1" s="1"/>
  <c r="CQ554" i="1"/>
  <c r="CR554" i="1"/>
  <c r="CU554" i="1"/>
  <c r="T554" i="1" s="1"/>
  <c r="CV554" i="1"/>
  <c r="U554" i="1" s="1"/>
  <c r="FR554" i="1"/>
  <c r="GL554" i="1"/>
  <c r="GO554" i="1"/>
  <c r="GP554" i="1"/>
  <c r="GV554" i="1"/>
  <c r="HC554" i="1" s="1"/>
  <c r="GX554" i="1" s="1"/>
  <c r="C555" i="1"/>
  <c r="D555" i="1"/>
  <c r="R555" i="1"/>
  <c r="GK555" i="1" s="1"/>
  <c r="AC555" i="1"/>
  <c r="P555" i="1" s="1"/>
  <c r="AE555" i="1"/>
  <c r="Q555" i="1" s="1"/>
  <c r="AF555" i="1"/>
  <c r="S555" i="1" s="1"/>
  <c r="AG555" i="1"/>
  <c r="CU555" i="1" s="1"/>
  <c r="T555" i="1" s="1"/>
  <c r="AH555" i="1"/>
  <c r="AI555" i="1"/>
  <c r="AJ555" i="1"/>
  <c r="CX555" i="1" s="1"/>
  <c r="W555" i="1" s="1"/>
  <c r="CR555" i="1"/>
  <c r="CS555" i="1"/>
  <c r="CV555" i="1"/>
  <c r="U555" i="1" s="1"/>
  <c r="CW555" i="1"/>
  <c r="V555" i="1" s="1"/>
  <c r="FR555" i="1"/>
  <c r="GL555" i="1"/>
  <c r="GO555" i="1"/>
  <c r="GP555" i="1"/>
  <c r="GV555" i="1"/>
  <c r="HC555" i="1" s="1"/>
  <c r="GX555" i="1" s="1"/>
  <c r="I556" i="1"/>
  <c r="P556" i="1"/>
  <c r="S556" i="1"/>
  <c r="CZ556" i="1" s="1"/>
  <c r="Y556" i="1" s="1"/>
  <c r="AC556" i="1"/>
  <c r="AB556" i="1" s="1"/>
  <c r="AD556" i="1"/>
  <c r="AE556" i="1"/>
  <c r="Q556" i="1" s="1"/>
  <c r="AF556" i="1"/>
  <c r="AG556" i="1"/>
  <c r="AH556" i="1"/>
  <c r="CV556" i="1" s="1"/>
  <c r="U556" i="1" s="1"/>
  <c r="AI556" i="1"/>
  <c r="CW556" i="1" s="1"/>
  <c r="V556" i="1" s="1"/>
  <c r="AJ556" i="1"/>
  <c r="CQ556" i="1"/>
  <c r="CR556" i="1"/>
  <c r="CT556" i="1"/>
  <c r="CU556" i="1"/>
  <c r="T556" i="1" s="1"/>
  <c r="CX556" i="1"/>
  <c r="W556" i="1" s="1"/>
  <c r="CY556" i="1"/>
  <c r="X556" i="1" s="1"/>
  <c r="FR556" i="1"/>
  <c r="GL556" i="1"/>
  <c r="GO556" i="1"/>
  <c r="GP556" i="1"/>
  <c r="GV556" i="1"/>
  <c r="HC556" i="1"/>
  <c r="GX556" i="1" s="1"/>
  <c r="I557" i="1"/>
  <c r="Q557" i="1" s="1"/>
  <c r="R557" i="1"/>
  <c r="GK557" i="1" s="1"/>
  <c r="AC557" i="1"/>
  <c r="P557" i="1" s="1"/>
  <c r="CP557" i="1" s="1"/>
  <c r="O557" i="1" s="1"/>
  <c r="AE557" i="1"/>
  <c r="AD557" i="1" s="1"/>
  <c r="AB557" i="1" s="1"/>
  <c r="AF557" i="1"/>
  <c r="S557" i="1" s="1"/>
  <c r="AG557" i="1"/>
  <c r="CU557" i="1" s="1"/>
  <c r="T557" i="1" s="1"/>
  <c r="AH557" i="1"/>
  <c r="AI557" i="1"/>
  <c r="AJ557" i="1"/>
  <c r="CX557" i="1" s="1"/>
  <c r="W557" i="1" s="1"/>
  <c r="CR557" i="1"/>
  <c r="CS557" i="1"/>
  <c r="CV557" i="1"/>
  <c r="U557" i="1" s="1"/>
  <c r="CW557" i="1"/>
  <c r="V557" i="1" s="1"/>
  <c r="FR557" i="1"/>
  <c r="GL557" i="1"/>
  <c r="GO557" i="1"/>
  <c r="GP557" i="1"/>
  <c r="GV557" i="1"/>
  <c r="HC557" i="1" s="1"/>
  <c r="GX557" i="1" s="1"/>
  <c r="C558" i="1"/>
  <c r="D558" i="1"/>
  <c r="R558" i="1"/>
  <c r="S558" i="1"/>
  <c r="CY558" i="1" s="1"/>
  <c r="X558" i="1" s="1"/>
  <c r="AC558" i="1"/>
  <c r="AB558" i="1" s="1"/>
  <c r="AD558" i="1"/>
  <c r="AE558" i="1"/>
  <c r="Q558" i="1" s="1"/>
  <c r="AF558" i="1"/>
  <c r="AG558" i="1"/>
  <c r="CU558" i="1" s="1"/>
  <c r="T558" i="1" s="1"/>
  <c r="AH558" i="1"/>
  <c r="CV558" i="1" s="1"/>
  <c r="U558" i="1" s="1"/>
  <c r="AI558" i="1"/>
  <c r="AJ558" i="1"/>
  <c r="CR558" i="1"/>
  <c r="CS558" i="1"/>
  <c r="CT558" i="1"/>
  <c r="CW558" i="1"/>
  <c r="V558" i="1" s="1"/>
  <c r="CX558" i="1"/>
  <c r="W558" i="1" s="1"/>
  <c r="FR558" i="1"/>
  <c r="GK558" i="1"/>
  <c r="GL558" i="1"/>
  <c r="GO558" i="1"/>
  <c r="GP558" i="1"/>
  <c r="GV558" i="1"/>
  <c r="HC558" i="1"/>
  <c r="GX558" i="1" s="1"/>
  <c r="C559" i="1"/>
  <c r="D559" i="1"/>
  <c r="P559" i="1"/>
  <c r="S559" i="1"/>
  <c r="CZ559" i="1" s="1"/>
  <c r="Y559" i="1" s="1"/>
  <c r="AC559" i="1"/>
  <c r="AB559" i="1" s="1"/>
  <c r="AD559" i="1"/>
  <c r="AE559" i="1"/>
  <c r="Q559" i="1" s="1"/>
  <c r="AF559" i="1"/>
  <c r="AG559" i="1"/>
  <c r="AH559" i="1"/>
  <c r="CV559" i="1" s="1"/>
  <c r="U559" i="1" s="1"/>
  <c r="AI559" i="1"/>
  <c r="CW559" i="1" s="1"/>
  <c r="V559" i="1" s="1"/>
  <c r="AJ559" i="1"/>
  <c r="CQ559" i="1"/>
  <c r="CR559" i="1"/>
  <c r="CT559" i="1"/>
  <c r="CU559" i="1"/>
  <c r="T559" i="1" s="1"/>
  <c r="CX559" i="1"/>
  <c r="W559" i="1" s="1"/>
  <c r="CY559" i="1"/>
  <c r="X559" i="1" s="1"/>
  <c r="FR559" i="1"/>
  <c r="GL559" i="1"/>
  <c r="GO559" i="1"/>
  <c r="GP559" i="1"/>
  <c r="GV559" i="1"/>
  <c r="HC559" i="1"/>
  <c r="GX559" i="1" s="1"/>
  <c r="I560" i="1"/>
  <c r="Q560" i="1" s="1"/>
  <c r="R560" i="1"/>
  <c r="GK560" i="1" s="1"/>
  <c r="AC560" i="1"/>
  <c r="P560" i="1" s="1"/>
  <c r="AE560" i="1"/>
  <c r="AD560" i="1" s="1"/>
  <c r="AB560" i="1" s="1"/>
  <c r="AF560" i="1"/>
  <c r="AG560" i="1"/>
  <c r="CU560" i="1" s="1"/>
  <c r="AH560" i="1"/>
  <c r="AI560" i="1"/>
  <c r="AJ560" i="1"/>
  <c r="CX560" i="1" s="1"/>
  <c r="CR560" i="1"/>
  <c r="CS560" i="1"/>
  <c r="CV560" i="1"/>
  <c r="U560" i="1" s="1"/>
  <c r="CW560" i="1"/>
  <c r="V560" i="1" s="1"/>
  <c r="FR560" i="1"/>
  <c r="GL560" i="1"/>
  <c r="GO560" i="1"/>
  <c r="GP560" i="1"/>
  <c r="GV560" i="1"/>
  <c r="HC560" i="1" s="1"/>
  <c r="GX560" i="1"/>
  <c r="I561" i="1"/>
  <c r="P561" i="1"/>
  <c r="S561" i="1"/>
  <c r="CZ561" i="1" s="1"/>
  <c r="Y561" i="1" s="1"/>
  <c r="T561" i="1"/>
  <c r="AC561" i="1"/>
  <c r="AD561" i="1"/>
  <c r="AE561" i="1"/>
  <c r="Q561" i="1" s="1"/>
  <c r="AF561" i="1"/>
  <c r="AG561" i="1"/>
  <c r="AH561" i="1"/>
  <c r="CV561" i="1" s="1"/>
  <c r="U561" i="1" s="1"/>
  <c r="AI561" i="1"/>
  <c r="CW561" i="1" s="1"/>
  <c r="V561" i="1" s="1"/>
  <c r="AJ561" i="1"/>
  <c r="CQ561" i="1"/>
  <c r="CR561" i="1"/>
  <c r="CT561" i="1"/>
  <c r="CU561" i="1"/>
  <c r="CX561" i="1"/>
  <c r="W561" i="1" s="1"/>
  <c r="CY561" i="1"/>
  <c r="X561" i="1" s="1"/>
  <c r="FR561" i="1"/>
  <c r="GL561" i="1"/>
  <c r="GO561" i="1"/>
  <c r="GP561" i="1"/>
  <c r="GV561" i="1"/>
  <c r="HC561" i="1"/>
  <c r="GX561" i="1" s="1"/>
  <c r="C562" i="1"/>
  <c r="D562" i="1"/>
  <c r="P562" i="1"/>
  <c r="AC562" i="1"/>
  <c r="AE562" i="1"/>
  <c r="AF562" i="1"/>
  <c r="S562" i="1" s="1"/>
  <c r="CY562" i="1" s="1"/>
  <c r="X562" i="1" s="1"/>
  <c r="AG562" i="1"/>
  <c r="AH562" i="1"/>
  <c r="AI562" i="1"/>
  <c r="CW562" i="1" s="1"/>
  <c r="V562" i="1" s="1"/>
  <c r="AJ562" i="1"/>
  <c r="CX562" i="1" s="1"/>
  <c r="W562" i="1" s="1"/>
  <c r="CQ562" i="1"/>
  <c r="CR562" i="1"/>
  <c r="CU562" i="1"/>
  <c r="T562" i="1" s="1"/>
  <c r="CV562" i="1"/>
  <c r="U562" i="1" s="1"/>
  <c r="CZ562" i="1"/>
  <c r="Y562" i="1" s="1"/>
  <c r="FR562" i="1"/>
  <c r="GL562" i="1"/>
  <c r="GO562" i="1"/>
  <c r="GP562" i="1"/>
  <c r="GV562" i="1"/>
  <c r="HC562" i="1" s="1"/>
  <c r="GX562" i="1" s="1"/>
  <c r="C563" i="1"/>
  <c r="D563" i="1"/>
  <c r="R563" i="1"/>
  <c r="GK563" i="1" s="1"/>
  <c r="AC563" i="1"/>
  <c r="P563" i="1" s="1"/>
  <c r="AE563" i="1"/>
  <c r="Q563" i="1" s="1"/>
  <c r="AF563" i="1"/>
  <c r="AG563" i="1"/>
  <c r="CU563" i="1" s="1"/>
  <c r="T563" i="1" s="1"/>
  <c r="AH563" i="1"/>
  <c r="AI563" i="1"/>
  <c r="AJ563" i="1"/>
  <c r="CX563" i="1" s="1"/>
  <c r="W563" i="1" s="1"/>
  <c r="CR563" i="1"/>
  <c r="CS563" i="1"/>
  <c r="CV563" i="1"/>
  <c r="U563" i="1" s="1"/>
  <c r="CW563" i="1"/>
  <c r="V563" i="1" s="1"/>
  <c r="FR563" i="1"/>
  <c r="GL563" i="1"/>
  <c r="GO563" i="1"/>
  <c r="GP563" i="1"/>
  <c r="GV563" i="1"/>
  <c r="HC563" i="1" s="1"/>
  <c r="GX563" i="1"/>
  <c r="I564" i="1"/>
  <c r="P564" i="1"/>
  <c r="S564" i="1"/>
  <c r="CZ564" i="1" s="1"/>
  <c r="Y564" i="1" s="1"/>
  <c r="T564" i="1"/>
  <c r="AC564" i="1"/>
  <c r="AD564" i="1"/>
  <c r="AE564" i="1"/>
  <c r="Q564" i="1" s="1"/>
  <c r="AF564" i="1"/>
  <c r="AG564" i="1"/>
  <c r="AH564" i="1"/>
  <c r="CV564" i="1" s="1"/>
  <c r="U564" i="1" s="1"/>
  <c r="AI564" i="1"/>
  <c r="CW564" i="1" s="1"/>
  <c r="V564" i="1" s="1"/>
  <c r="AJ564" i="1"/>
  <c r="CQ564" i="1"/>
  <c r="CR564" i="1"/>
  <c r="CT564" i="1"/>
  <c r="CU564" i="1"/>
  <c r="CX564" i="1"/>
  <c r="W564" i="1" s="1"/>
  <c r="CY564" i="1"/>
  <c r="X564" i="1" s="1"/>
  <c r="FR564" i="1"/>
  <c r="GL564" i="1"/>
  <c r="GO564" i="1"/>
  <c r="GP564" i="1"/>
  <c r="GV564" i="1"/>
  <c r="HC564" i="1"/>
  <c r="GX564" i="1" s="1"/>
  <c r="I565" i="1"/>
  <c r="Q565" i="1" s="1"/>
  <c r="R565" i="1"/>
  <c r="GK565" i="1" s="1"/>
  <c r="AC565" i="1"/>
  <c r="P565" i="1" s="1"/>
  <c r="AE565" i="1"/>
  <c r="AD565" i="1" s="1"/>
  <c r="AB565" i="1" s="1"/>
  <c r="AF565" i="1"/>
  <c r="AG565" i="1"/>
  <c r="CU565" i="1" s="1"/>
  <c r="AH565" i="1"/>
  <c r="AI565" i="1"/>
  <c r="AJ565" i="1"/>
  <c r="CX565" i="1" s="1"/>
  <c r="W565" i="1" s="1"/>
  <c r="CR565" i="1"/>
  <c r="CS565" i="1"/>
  <c r="CV565" i="1"/>
  <c r="U565" i="1" s="1"/>
  <c r="CW565" i="1"/>
  <c r="V565" i="1" s="1"/>
  <c r="FR565" i="1"/>
  <c r="GL565" i="1"/>
  <c r="GO565" i="1"/>
  <c r="GP565" i="1"/>
  <c r="GV565" i="1"/>
  <c r="HC565" i="1" s="1"/>
  <c r="GX565" i="1"/>
  <c r="C566" i="1"/>
  <c r="D566" i="1"/>
  <c r="R566" i="1"/>
  <c r="S566" i="1"/>
  <c r="AC566" i="1"/>
  <c r="AD566" i="1"/>
  <c r="AE566" i="1"/>
  <c r="Q566" i="1" s="1"/>
  <c r="AF566" i="1"/>
  <c r="AG566" i="1"/>
  <c r="CU566" i="1" s="1"/>
  <c r="T566" i="1" s="1"/>
  <c r="AH566" i="1"/>
  <c r="CV566" i="1" s="1"/>
  <c r="U566" i="1" s="1"/>
  <c r="AI566" i="1"/>
  <c r="AJ566" i="1"/>
  <c r="CR566" i="1"/>
  <c r="CS566" i="1"/>
  <c r="CT566" i="1"/>
  <c r="CW566" i="1"/>
  <c r="V566" i="1" s="1"/>
  <c r="CX566" i="1"/>
  <c r="W566" i="1" s="1"/>
  <c r="FR566" i="1"/>
  <c r="GK566" i="1"/>
  <c r="GL566" i="1"/>
  <c r="GO566" i="1"/>
  <c r="CC579" i="1" s="1"/>
  <c r="GP566" i="1"/>
  <c r="GV566" i="1"/>
  <c r="HC566" i="1"/>
  <c r="GX566" i="1" s="1"/>
  <c r="C567" i="1"/>
  <c r="D567" i="1"/>
  <c r="P567" i="1"/>
  <c r="S567" i="1"/>
  <c r="CZ567" i="1" s="1"/>
  <c r="Y567" i="1" s="1"/>
  <c r="X567" i="1"/>
  <c r="AC567" i="1"/>
  <c r="AD567" i="1"/>
  <c r="AE567" i="1"/>
  <c r="Q567" i="1" s="1"/>
  <c r="AF567" i="1"/>
  <c r="AG567" i="1"/>
  <c r="AH567" i="1"/>
  <c r="CV567" i="1" s="1"/>
  <c r="U567" i="1" s="1"/>
  <c r="AI567" i="1"/>
  <c r="CW567" i="1" s="1"/>
  <c r="V567" i="1" s="1"/>
  <c r="AJ567" i="1"/>
  <c r="CQ567" i="1"/>
  <c r="CR567" i="1"/>
  <c r="CT567" i="1"/>
  <c r="CU567" i="1"/>
  <c r="T567" i="1" s="1"/>
  <c r="CX567" i="1"/>
  <c r="W567" i="1" s="1"/>
  <c r="CY567" i="1"/>
  <c r="FR567" i="1"/>
  <c r="GL567" i="1"/>
  <c r="FR579" i="1" s="1"/>
  <c r="GO567" i="1"/>
  <c r="GP567" i="1"/>
  <c r="GV567" i="1"/>
  <c r="HC567" i="1"/>
  <c r="GX567" i="1" s="1"/>
  <c r="I568" i="1"/>
  <c r="Q568" i="1" s="1"/>
  <c r="R568" i="1"/>
  <c r="GK568" i="1" s="1"/>
  <c r="AB568" i="1"/>
  <c r="AC568" i="1"/>
  <c r="P568" i="1" s="1"/>
  <c r="AE568" i="1"/>
  <c r="AD568" i="1" s="1"/>
  <c r="AF568" i="1"/>
  <c r="AG568" i="1"/>
  <c r="CU568" i="1" s="1"/>
  <c r="T568" i="1" s="1"/>
  <c r="AH568" i="1"/>
  <c r="AI568" i="1"/>
  <c r="AJ568" i="1"/>
  <c r="CX568" i="1" s="1"/>
  <c r="W568" i="1" s="1"/>
  <c r="CR568" i="1"/>
  <c r="CS568" i="1"/>
  <c r="CV568" i="1"/>
  <c r="U568" i="1" s="1"/>
  <c r="CW568" i="1"/>
  <c r="V568" i="1" s="1"/>
  <c r="FR568" i="1"/>
  <c r="GL568" i="1"/>
  <c r="GO568" i="1"/>
  <c r="GP568" i="1"/>
  <c r="GV568" i="1"/>
  <c r="HC568" i="1" s="1"/>
  <c r="GX568" i="1"/>
  <c r="I569" i="1"/>
  <c r="P569" i="1"/>
  <c r="CP569" i="1" s="1"/>
  <c r="O569" i="1" s="1"/>
  <c r="S569" i="1"/>
  <c r="CZ569" i="1" s="1"/>
  <c r="Y569" i="1" s="1"/>
  <c r="X569" i="1"/>
  <c r="AC569" i="1"/>
  <c r="AB569" i="1" s="1"/>
  <c r="AD569" i="1"/>
  <c r="AE569" i="1"/>
  <c r="Q569" i="1" s="1"/>
  <c r="AF569" i="1"/>
  <c r="AG569" i="1"/>
  <c r="AH569" i="1"/>
  <c r="CV569" i="1" s="1"/>
  <c r="U569" i="1" s="1"/>
  <c r="AI569" i="1"/>
  <c r="CW569" i="1" s="1"/>
  <c r="V569" i="1" s="1"/>
  <c r="AJ569" i="1"/>
  <c r="CQ569" i="1"/>
  <c r="CR569" i="1"/>
  <c r="CT569" i="1"/>
  <c r="CU569" i="1"/>
  <c r="T569" i="1" s="1"/>
  <c r="CX569" i="1"/>
  <c r="W569" i="1" s="1"/>
  <c r="CY569" i="1"/>
  <c r="FR569" i="1"/>
  <c r="GL569" i="1"/>
  <c r="GO569" i="1"/>
  <c r="GP569" i="1"/>
  <c r="GV569" i="1"/>
  <c r="HC569" i="1"/>
  <c r="GX569" i="1" s="1"/>
  <c r="I570" i="1"/>
  <c r="Q570" i="1" s="1"/>
  <c r="AB570" i="1"/>
  <c r="AC570" i="1"/>
  <c r="P570" i="1" s="1"/>
  <c r="AE570" i="1"/>
  <c r="AD570" i="1" s="1"/>
  <c r="AF570" i="1"/>
  <c r="AG570" i="1"/>
  <c r="CU570" i="1" s="1"/>
  <c r="AH570" i="1"/>
  <c r="AI570" i="1"/>
  <c r="AJ570" i="1"/>
  <c r="CX570" i="1" s="1"/>
  <c r="CR570" i="1"/>
  <c r="CS570" i="1"/>
  <c r="CV570" i="1"/>
  <c r="CW570" i="1"/>
  <c r="V570" i="1" s="1"/>
  <c r="FR570" i="1"/>
  <c r="GL570" i="1"/>
  <c r="GO570" i="1"/>
  <c r="GP570" i="1"/>
  <c r="GV570" i="1"/>
  <c r="HC570" i="1" s="1"/>
  <c r="GX570" i="1" s="1"/>
  <c r="CJ579" i="1" s="1"/>
  <c r="I571" i="1"/>
  <c r="P571" i="1"/>
  <c r="CP571" i="1" s="1"/>
  <c r="O571" i="1" s="1"/>
  <c r="S571" i="1"/>
  <c r="CZ571" i="1" s="1"/>
  <c r="Y571" i="1" s="1"/>
  <c r="AC571" i="1"/>
  <c r="AD571" i="1"/>
  <c r="AE571" i="1"/>
  <c r="Q571" i="1" s="1"/>
  <c r="AF571" i="1"/>
  <c r="AG571" i="1"/>
  <c r="AH571" i="1"/>
  <c r="CV571" i="1" s="1"/>
  <c r="U571" i="1" s="1"/>
  <c r="AI571" i="1"/>
  <c r="CW571" i="1" s="1"/>
  <c r="V571" i="1" s="1"/>
  <c r="AJ571" i="1"/>
  <c r="CQ571" i="1"/>
  <c r="CR571" i="1"/>
  <c r="CT571" i="1"/>
  <c r="CU571" i="1"/>
  <c r="T571" i="1" s="1"/>
  <c r="CX571" i="1"/>
  <c r="W571" i="1" s="1"/>
  <c r="CY571" i="1"/>
  <c r="X571" i="1" s="1"/>
  <c r="FR571" i="1"/>
  <c r="GL571" i="1"/>
  <c r="GO571" i="1"/>
  <c r="GP571" i="1"/>
  <c r="GV571" i="1"/>
  <c r="HC571" i="1"/>
  <c r="GX571" i="1" s="1"/>
  <c r="C572" i="1"/>
  <c r="D572" i="1"/>
  <c r="P572" i="1"/>
  <c r="AC572" i="1"/>
  <c r="AE572" i="1"/>
  <c r="CR572" i="1" s="1"/>
  <c r="AF572" i="1"/>
  <c r="S572" i="1" s="1"/>
  <c r="CY572" i="1" s="1"/>
  <c r="X572" i="1" s="1"/>
  <c r="AG572" i="1"/>
  <c r="AH572" i="1"/>
  <c r="AI572" i="1"/>
  <c r="CW572" i="1" s="1"/>
  <c r="V572" i="1" s="1"/>
  <c r="AJ572" i="1"/>
  <c r="CX572" i="1" s="1"/>
  <c r="W572" i="1" s="1"/>
  <c r="CQ572" i="1"/>
  <c r="CU572" i="1"/>
  <c r="T572" i="1" s="1"/>
  <c r="CV572" i="1"/>
  <c r="U572" i="1" s="1"/>
  <c r="CZ572" i="1"/>
  <c r="Y572" i="1" s="1"/>
  <c r="FR572" i="1"/>
  <c r="GL572" i="1"/>
  <c r="GO572" i="1"/>
  <c r="GP572" i="1"/>
  <c r="GV572" i="1"/>
  <c r="HC572" i="1" s="1"/>
  <c r="GX572" i="1" s="1"/>
  <c r="C573" i="1"/>
  <c r="D573" i="1"/>
  <c r="R573" i="1"/>
  <c r="GK573" i="1" s="1"/>
  <c r="AC573" i="1"/>
  <c r="P573" i="1" s="1"/>
  <c r="AE573" i="1"/>
  <c r="Q573" i="1" s="1"/>
  <c r="AF573" i="1"/>
  <c r="AG573" i="1"/>
  <c r="CU573" i="1" s="1"/>
  <c r="T573" i="1" s="1"/>
  <c r="AH573" i="1"/>
  <c r="AI573" i="1"/>
  <c r="AJ573" i="1"/>
  <c r="CX573" i="1" s="1"/>
  <c r="W573" i="1" s="1"/>
  <c r="CR573" i="1"/>
  <c r="CS573" i="1"/>
  <c r="CV573" i="1"/>
  <c r="U573" i="1" s="1"/>
  <c r="CW573" i="1"/>
  <c r="V573" i="1" s="1"/>
  <c r="FR573" i="1"/>
  <c r="GL573" i="1"/>
  <c r="GO573" i="1"/>
  <c r="GP573" i="1"/>
  <c r="GV573" i="1"/>
  <c r="HC573" i="1" s="1"/>
  <c r="GX573" i="1" s="1"/>
  <c r="I574" i="1"/>
  <c r="P574" i="1"/>
  <c r="CP574" i="1" s="1"/>
  <c r="O574" i="1" s="1"/>
  <c r="S574" i="1"/>
  <c r="CZ574" i="1" s="1"/>
  <c r="Y574" i="1" s="1"/>
  <c r="AC574" i="1"/>
  <c r="AD574" i="1"/>
  <c r="AE574" i="1"/>
  <c r="Q574" i="1" s="1"/>
  <c r="AF574" i="1"/>
  <c r="AG574" i="1"/>
  <c r="AH574" i="1"/>
  <c r="CV574" i="1" s="1"/>
  <c r="U574" i="1" s="1"/>
  <c r="AI574" i="1"/>
  <c r="CW574" i="1" s="1"/>
  <c r="V574" i="1" s="1"/>
  <c r="AJ574" i="1"/>
  <c r="CQ574" i="1"/>
  <c r="CR574" i="1"/>
  <c r="CT574" i="1"/>
  <c r="CU574" i="1"/>
  <c r="T574" i="1" s="1"/>
  <c r="CX574" i="1"/>
  <c r="W574" i="1" s="1"/>
  <c r="CY574" i="1"/>
  <c r="X574" i="1" s="1"/>
  <c r="FR574" i="1"/>
  <c r="GL574" i="1"/>
  <c r="GO574" i="1"/>
  <c r="GP574" i="1"/>
  <c r="GV574" i="1"/>
  <c r="HC574" i="1"/>
  <c r="GX574" i="1" s="1"/>
  <c r="I575" i="1"/>
  <c r="Q575" i="1" s="1"/>
  <c r="R575" i="1"/>
  <c r="GK575" i="1" s="1"/>
  <c r="AC575" i="1"/>
  <c r="P575" i="1" s="1"/>
  <c r="AE575" i="1"/>
  <c r="AD575" i="1" s="1"/>
  <c r="AB575" i="1" s="1"/>
  <c r="AF575" i="1"/>
  <c r="AG575" i="1"/>
  <c r="CU575" i="1" s="1"/>
  <c r="AH575" i="1"/>
  <c r="AI575" i="1"/>
  <c r="AJ575" i="1"/>
  <c r="CX575" i="1" s="1"/>
  <c r="CR575" i="1"/>
  <c r="CS575" i="1"/>
  <c r="CV575" i="1"/>
  <c r="U575" i="1" s="1"/>
  <c r="CW575" i="1"/>
  <c r="V575" i="1" s="1"/>
  <c r="FR575" i="1"/>
  <c r="GL575" i="1"/>
  <c r="GO575" i="1"/>
  <c r="GP575" i="1"/>
  <c r="GV575" i="1"/>
  <c r="HC575" i="1" s="1"/>
  <c r="GX575" i="1"/>
  <c r="C576" i="1"/>
  <c r="D576" i="1"/>
  <c r="R576" i="1"/>
  <c r="S576" i="1"/>
  <c r="AC576" i="1"/>
  <c r="AD576" i="1"/>
  <c r="AE576" i="1"/>
  <c r="Q576" i="1" s="1"/>
  <c r="AF576" i="1"/>
  <c r="AG576" i="1"/>
  <c r="CU576" i="1" s="1"/>
  <c r="T576" i="1" s="1"/>
  <c r="AH576" i="1"/>
  <c r="CV576" i="1" s="1"/>
  <c r="U576" i="1" s="1"/>
  <c r="AI576" i="1"/>
  <c r="AJ576" i="1"/>
  <c r="CR576" i="1"/>
  <c r="CS576" i="1"/>
  <c r="CT576" i="1"/>
  <c r="CW576" i="1"/>
  <c r="V576" i="1" s="1"/>
  <c r="CX576" i="1"/>
  <c r="W576" i="1" s="1"/>
  <c r="FR576" i="1"/>
  <c r="GK576" i="1"/>
  <c r="GL576" i="1"/>
  <c r="GO576" i="1"/>
  <c r="GP576" i="1"/>
  <c r="GV576" i="1"/>
  <c r="HC576" i="1"/>
  <c r="GX576" i="1" s="1"/>
  <c r="C577" i="1"/>
  <c r="D577" i="1"/>
  <c r="P577" i="1"/>
  <c r="S577" i="1"/>
  <c r="CZ577" i="1" s="1"/>
  <c r="Y577" i="1" s="1"/>
  <c r="T577" i="1"/>
  <c r="AC577" i="1"/>
  <c r="AD577" i="1"/>
  <c r="AE577" i="1"/>
  <c r="Q577" i="1" s="1"/>
  <c r="AF577" i="1"/>
  <c r="AG577" i="1"/>
  <c r="AH577" i="1"/>
  <c r="CV577" i="1" s="1"/>
  <c r="U577" i="1" s="1"/>
  <c r="AI577" i="1"/>
  <c r="CW577" i="1" s="1"/>
  <c r="V577" i="1" s="1"/>
  <c r="AJ577" i="1"/>
  <c r="CQ577" i="1"/>
  <c r="CR577" i="1"/>
  <c r="CT577" i="1"/>
  <c r="CU577" i="1"/>
  <c r="CX577" i="1"/>
  <c r="W577" i="1" s="1"/>
  <c r="CY577" i="1"/>
  <c r="X577" i="1" s="1"/>
  <c r="FR577" i="1"/>
  <c r="GL577" i="1"/>
  <c r="GO577" i="1"/>
  <c r="GP577" i="1"/>
  <c r="GV577" i="1"/>
  <c r="HC577" i="1"/>
  <c r="GX577" i="1" s="1"/>
  <c r="B579" i="1"/>
  <c r="B500" i="1" s="1"/>
  <c r="C579" i="1"/>
  <c r="C500" i="1" s="1"/>
  <c r="D579" i="1"/>
  <c r="D500" i="1" s="1"/>
  <c r="F579" i="1"/>
  <c r="F500" i="1" s="1"/>
  <c r="G579" i="1"/>
  <c r="G500" i="1" s="1"/>
  <c r="BX579" i="1"/>
  <c r="BX500" i="1" s="1"/>
  <c r="BY579" i="1"/>
  <c r="CK579" i="1"/>
  <c r="CK500" i="1" s="1"/>
  <c r="CL579" i="1"/>
  <c r="CL500" i="1" s="1"/>
  <c r="CM579" i="1"/>
  <c r="CM500" i="1" s="1"/>
  <c r="EV579" i="1"/>
  <c r="EV500" i="1" s="1"/>
  <c r="FP579" i="1"/>
  <c r="FP500" i="1" s="1"/>
  <c r="FV579" i="1"/>
  <c r="FV500" i="1" s="1"/>
  <c r="GC579" i="1"/>
  <c r="GC500" i="1" s="1"/>
  <c r="GD579" i="1"/>
  <c r="GD500" i="1" s="1"/>
  <c r="GE579" i="1"/>
  <c r="GE500" i="1" s="1"/>
  <c r="B609" i="1"/>
  <c r="B453" i="1" s="1"/>
  <c r="C609" i="1"/>
  <c r="C453" i="1" s="1"/>
  <c r="D609" i="1"/>
  <c r="D453" i="1" s="1"/>
  <c r="F609" i="1"/>
  <c r="F453" i="1" s="1"/>
  <c r="G609" i="1"/>
  <c r="G453" i="1" s="1"/>
  <c r="D639" i="1"/>
  <c r="E641" i="1"/>
  <c r="Z641" i="1"/>
  <c r="AA641" i="1"/>
  <c r="AB641" i="1"/>
  <c r="AC641" i="1"/>
  <c r="AD641" i="1"/>
  <c r="AE641" i="1"/>
  <c r="AF641" i="1"/>
  <c r="AG641" i="1"/>
  <c r="AH641" i="1"/>
  <c r="AI641" i="1"/>
  <c r="AJ641" i="1"/>
  <c r="AK641" i="1"/>
  <c r="AL641" i="1"/>
  <c r="AM641" i="1"/>
  <c r="AN641" i="1"/>
  <c r="BE641" i="1"/>
  <c r="BF641" i="1"/>
  <c r="BG641" i="1"/>
  <c r="BH641" i="1"/>
  <c r="BI641" i="1"/>
  <c r="BJ641" i="1"/>
  <c r="BK641" i="1"/>
  <c r="BL641" i="1"/>
  <c r="BM641" i="1"/>
  <c r="BN641" i="1"/>
  <c r="BO641" i="1"/>
  <c r="BP641" i="1"/>
  <c r="BQ641" i="1"/>
  <c r="BR641" i="1"/>
  <c r="BS641" i="1"/>
  <c r="BT641" i="1"/>
  <c r="BU641" i="1"/>
  <c r="BV641" i="1"/>
  <c r="BW641" i="1"/>
  <c r="BX641" i="1"/>
  <c r="BY641" i="1"/>
  <c r="BZ641" i="1"/>
  <c r="CA641" i="1"/>
  <c r="CB641" i="1"/>
  <c r="CC641" i="1"/>
  <c r="CD641" i="1"/>
  <c r="CE641" i="1"/>
  <c r="CF641" i="1"/>
  <c r="CG641" i="1"/>
  <c r="CH641" i="1"/>
  <c r="CI641" i="1"/>
  <c r="CJ641" i="1"/>
  <c r="CK641" i="1"/>
  <c r="CL641" i="1"/>
  <c r="CM641" i="1"/>
  <c r="CN641" i="1"/>
  <c r="CO641" i="1"/>
  <c r="CP641" i="1"/>
  <c r="CQ641" i="1"/>
  <c r="CR641" i="1"/>
  <c r="CS641" i="1"/>
  <c r="CT641" i="1"/>
  <c r="CU641" i="1"/>
  <c r="CV641" i="1"/>
  <c r="CW641" i="1"/>
  <c r="CX641" i="1"/>
  <c r="CY641" i="1"/>
  <c r="CZ641" i="1"/>
  <c r="DA641" i="1"/>
  <c r="DB641" i="1"/>
  <c r="DC641" i="1"/>
  <c r="DD641" i="1"/>
  <c r="DE641" i="1"/>
  <c r="DF641" i="1"/>
  <c r="DR641" i="1"/>
  <c r="DS641" i="1"/>
  <c r="DT641" i="1"/>
  <c r="DU641" i="1"/>
  <c r="DV641" i="1"/>
  <c r="DW641" i="1"/>
  <c r="DX641" i="1"/>
  <c r="DY641" i="1"/>
  <c r="DZ641" i="1"/>
  <c r="EA641" i="1"/>
  <c r="EB641" i="1"/>
  <c r="EC641" i="1"/>
  <c r="ED641" i="1"/>
  <c r="EE641" i="1"/>
  <c r="EF641" i="1"/>
  <c r="EW641" i="1"/>
  <c r="EX641" i="1"/>
  <c r="EY641" i="1"/>
  <c r="EZ641" i="1"/>
  <c r="FA641" i="1"/>
  <c r="FB641" i="1"/>
  <c r="FC641" i="1"/>
  <c r="FD641" i="1"/>
  <c r="FE641" i="1"/>
  <c r="FF641" i="1"/>
  <c r="FG641" i="1"/>
  <c r="FH641" i="1"/>
  <c r="FI641" i="1"/>
  <c r="FJ641" i="1"/>
  <c r="FK641" i="1"/>
  <c r="FL641" i="1"/>
  <c r="FM641" i="1"/>
  <c r="FN641" i="1"/>
  <c r="FO641" i="1"/>
  <c r="FP641" i="1"/>
  <c r="FQ641" i="1"/>
  <c r="FR641" i="1"/>
  <c r="FS641" i="1"/>
  <c r="FT641" i="1"/>
  <c r="FU641" i="1"/>
  <c r="FV641" i="1"/>
  <c r="FW641" i="1"/>
  <c r="FX641" i="1"/>
  <c r="FY641" i="1"/>
  <c r="FZ641" i="1"/>
  <c r="GA641" i="1"/>
  <c r="GB641" i="1"/>
  <c r="GC641" i="1"/>
  <c r="GD641" i="1"/>
  <c r="GE641" i="1"/>
  <c r="GF641" i="1"/>
  <c r="GG641" i="1"/>
  <c r="GH641" i="1"/>
  <c r="GI641" i="1"/>
  <c r="GJ641" i="1"/>
  <c r="GK641" i="1"/>
  <c r="GL641" i="1"/>
  <c r="GM641" i="1"/>
  <c r="GN641" i="1"/>
  <c r="GO641" i="1"/>
  <c r="GP641" i="1"/>
  <c r="GQ641" i="1"/>
  <c r="GR641" i="1"/>
  <c r="GS641" i="1"/>
  <c r="GT641" i="1"/>
  <c r="GU641" i="1"/>
  <c r="GV641" i="1"/>
  <c r="GW641" i="1"/>
  <c r="GX641" i="1"/>
  <c r="D643" i="1"/>
  <c r="E645" i="1"/>
  <c r="Z645" i="1"/>
  <c r="AA645" i="1"/>
  <c r="AM645" i="1"/>
  <c r="AN645" i="1"/>
  <c r="BE645" i="1"/>
  <c r="BF645" i="1"/>
  <c r="BG645" i="1"/>
  <c r="BH645" i="1"/>
  <c r="BI645" i="1"/>
  <c r="BJ645" i="1"/>
  <c r="BK645" i="1"/>
  <c r="BL645" i="1"/>
  <c r="BM645" i="1"/>
  <c r="BN645" i="1"/>
  <c r="BO645" i="1"/>
  <c r="BP645" i="1"/>
  <c r="BQ645" i="1"/>
  <c r="BR645" i="1"/>
  <c r="BS645" i="1"/>
  <c r="BT645" i="1"/>
  <c r="BU645" i="1"/>
  <c r="BV645" i="1"/>
  <c r="BW645" i="1"/>
  <c r="CN645" i="1"/>
  <c r="CO645" i="1"/>
  <c r="CP645" i="1"/>
  <c r="CQ645" i="1"/>
  <c r="CR645" i="1"/>
  <c r="CS645" i="1"/>
  <c r="CT645" i="1"/>
  <c r="CU645" i="1"/>
  <c r="CV645" i="1"/>
  <c r="CW645" i="1"/>
  <c r="CX645" i="1"/>
  <c r="CY645" i="1"/>
  <c r="CZ645" i="1"/>
  <c r="DA645" i="1"/>
  <c r="DB645" i="1"/>
  <c r="DC645" i="1"/>
  <c r="DD645" i="1"/>
  <c r="DE645" i="1"/>
  <c r="DF645" i="1"/>
  <c r="DR645" i="1"/>
  <c r="DS645" i="1"/>
  <c r="EE645" i="1"/>
  <c r="EF645" i="1"/>
  <c r="EW645" i="1"/>
  <c r="EX645" i="1"/>
  <c r="EY645" i="1"/>
  <c r="EZ645" i="1"/>
  <c r="FA645" i="1"/>
  <c r="FB645" i="1"/>
  <c r="FC645" i="1"/>
  <c r="FD645" i="1"/>
  <c r="FE645" i="1"/>
  <c r="FF645" i="1"/>
  <c r="FG645" i="1"/>
  <c r="FH645" i="1"/>
  <c r="FI645" i="1"/>
  <c r="FJ645" i="1"/>
  <c r="FK645" i="1"/>
  <c r="FL645" i="1"/>
  <c r="FM645" i="1"/>
  <c r="FN645" i="1"/>
  <c r="FO645" i="1"/>
  <c r="GF645" i="1"/>
  <c r="GG645" i="1"/>
  <c r="GH645" i="1"/>
  <c r="GI645" i="1"/>
  <c r="GJ645" i="1"/>
  <c r="GK645" i="1"/>
  <c r="GL645" i="1"/>
  <c r="GM645" i="1"/>
  <c r="GN645" i="1"/>
  <c r="GO645" i="1"/>
  <c r="GP645" i="1"/>
  <c r="GQ645" i="1"/>
  <c r="GR645" i="1"/>
  <c r="GS645" i="1"/>
  <c r="GT645" i="1"/>
  <c r="GU645" i="1"/>
  <c r="GV645" i="1"/>
  <c r="GW645" i="1"/>
  <c r="GX645" i="1"/>
  <c r="C647" i="1"/>
  <c r="D647" i="1"/>
  <c r="R647" i="1"/>
  <c r="S647" i="1"/>
  <c r="CZ647" i="1" s="1"/>
  <c r="Y647" i="1" s="1"/>
  <c r="W647" i="1"/>
  <c r="AC647" i="1"/>
  <c r="P647" i="1" s="1"/>
  <c r="AD647" i="1"/>
  <c r="AE647" i="1"/>
  <c r="Q647" i="1" s="1"/>
  <c r="AF647" i="1"/>
  <c r="AG647" i="1"/>
  <c r="AH647" i="1"/>
  <c r="CV647" i="1" s="1"/>
  <c r="U647" i="1" s="1"/>
  <c r="AI647" i="1"/>
  <c r="AJ647" i="1"/>
  <c r="CQ647" i="1"/>
  <c r="CR647" i="1"/>
  <c r="CS647" i="1"/>
  <c r="CT647" i="1"/>
  <c r="CU647" i="1"/>
  <c r="T647" i="1" s="1"/>
  <c r="CW647" i="1"/>
  <c r="V647" i="1" s="1"/>
  <c r="CX647" i="1"/>
  <c r="FR647" i="1"/>
  <c r="GK647" i="1"/>
  <c r="GL647" i="1"/>
  <c r="GN647" i="1"/>
  <c r="GP647" i="1"/>
  <c r="GV647" i="1"/>
  <c r="HC647" i="1"/>
  <c r="GX647" i="1" s="1"/>
  <c r="C648" i="1"/>
  <c r="D648" i="1"/>
  <c r="Q648" i="1"/>
  <c r="S648" i="1"/>
  <c r="W648" i="1"/>
  <c r="AC648" i="1"/>
  <c r="AD648" i="1"/>
  <c r="AE648" i="1"/>
  <c r="AF648" i="1"/>
  <c r="AG648" i="1"/>
  <c r="AH648" i="1"/>
  <c r="AI648" i="1"/>
  <c r="CW648" i="1" s="1"/>
  <c r="V648" i="1" s="1"/>
  <c r="AJ648" i="1"/>
  <c r="CQ648" i="1"/>
  <c r="CR648" i="1"/>
  <c r="CT648" i="1"/>
  <c r="CU648" i="1"/>
  <c r="T648" i="1" s="1"/>
  <c r="CV648" i="1"/>
  <c r="U648" i="1" s="1"/>
  <c r="CX648" i="1"/>
  <c r="CY648" i="1"/>
  <c r="X648" i="1" s="1"/>
  <c r="CZ648" i="1"/>
  <c r="Y648" i="1" s="1"/>
  <c r="FR648" i="1"/>
  <c r="GL648" i="1"/>
  <c r="GN648" i="1"/>
  <c r="GP648" i="1"/>
  <c r="GV648" i="1"/>
  <c r="HC648" i="1"/>
  <c r="GX648" i="1" s="1"/>
  <c r="C649" i="1"/>
  <c r="D649" i="1"/>
  <c r="P649" i="1"/>
  <c r="Q649" i="1"/>
  <c r="AC649" i="1"/>
  <c r="AE649" i="1"/>
  <c r="R649" i="1" s="1"/>
  <c r="AF649" i="1"/>
  <c r="AG649" i="1"/>
  <c r="AH649" i="1"/>
  <c r="AI649" i="1"/>
  <c r="CW649" i="1" s="1"/>
  <c r="V649" i="1" s="1"/>
  <c r="AJ649" i="1"/>
  <c r="CX649" i="1" s="1"/>
  <c r="W649" i="1" s="1"/>
  <c r="CQ649" i="1"/>
  <c r="CS649" i="1"/>
  <c r="CU649" i="1"/>
  <c r="T649" i="1" s="1"/>
  <c r="CV649" i="1"/>
  <c r="U649" i="1" s="1"/>
  <c r="FR649" i="1"/>
  <c r="GL649" i="1"/>
  <c r="GN649" i="1"/>
  <c r="GP649" i="1"/>
  <c r="GV649" i="1"/>
  <c r="HC649" i="1" s="1"/>
  <c r="GX649" i="1" s="1"/>
  <c r="C650" i="1"/>
  <c r="D650" i="1"/>
  <c r="P650" i="1"/>
  <c r="R650" i="1"/>
  <c r="GK650" i="1" s="1"/>
  <c r="AC650" i="1"/>
  <c r="AE650" i="1"/>
  <c r="AD650" i="1" s="1"/>
  <c r="AB650" i="1" s="1"/>
  <c r="AF650" i="1"/>
  <c r="S650" i="1" s="1"/>
  <c r="AG650" i="1"/>
  <c r="AH650" i="1"/>
  <c r="AI650" i="1"/>
  <c r="AJ650" i="1"/>
  <c r="CX650" i="1" s="1"/>
  <c r="W650" i="1" s="1"/>
  <c r="CQ650" i="1"/>
  <c r="CR650" i="1"/>
  <c r="CS650" i="1"/>
  <c r="CU650" i="1"/>
  <c r="T650" i="1" s="1"/>
  <c r="CV650" i="1"/>
  <c r="U650" i="1" s="1"/>
  <c r="CW650" i="1"/>
  <c r="V650" i="1" s="1"/>
  <c r="FR650" i="1"/>
  <c r="GL650" i="1"/>
  <c r="GN650" i="1"/>
  <c r="GP650" i="1"/>
  <c r="GV650" i="1"/>
  <c r="HC650" i="1" s="1"/>
  <c r="GX650" i="1" s="1"/>
  <c r="C651" i="1"/>
  <c r="D651" i="1"/>
  <c r="R651" i="1"/>
  <c r="S651" i="1"/>
  <c r="CZ651" i="1" s="1"/>
  <c r="Y651" i="1" s="1"/>
  <c r="AC651" i="1"/>
  <c r="AE651" i="1"/>
  <c r="Q651" i="1" s="1"/>
  <c r="AF651" i="1"/>
  <c r="AG651" i="1"/>
  <c r="CU651" i="1" s="1"/>
  <c r="T651" i="1" s="1"/>
  <c r="AH651" i="1"/>
  <c r="AI651" i="1"/>
  <c r="AJ651" i="1"/>
  <c r="CR651" i="1"/>
  <c r="CS651" i="1"/>
  <c r="CT651" i="1"/>
  <c r="CV651" i="1"/>
  <c r="U651" i="1" s="1"/>
  <c r="CW651" i="1"/>
  <c r="V651" i="1" s="1"/>
  <c r="CX651" i="1"/>
  <c r="W651" i="1" s="1"/>
  <c r="FR651" i="1"/>
  <c r="GK651" i="1"/>
  <c r="GL651" i="1"/>
  <c r="GN651" i="1"/>
  <c r="GP651" i="1"/>
  <c r="GV651" i="1"/>
  <c r="HC651" i="1"/>
  <c r="GX651" i="1" s="1"/>
  <c r="C652" i="1"/>
  <c r="D652" i="1"/>
  <c r="P652" i="1"/>
  <c r="R652" i="1"/>
  <c r="S652" i="1"/>
  <c r="CZ652" i="1" s="1"/>
  <c r="Y652" i="1" s="1"/>
  <c r="AC652" i="1"/>
  <c r="AB652" i="1" s="1"/>
  <c r="AD652" i="1"/>
  <c r="AE652" i="1"/>
  <c r="Q652" i="1" s="1"/>
  <c r="AF652" i="1"/>
  <c r="AG652" i="1"/>
  <c r="AH652" i="1"/>
  <c r="CV652" i="1" s="1"/>
  <c r="U652" i="1" s="1"/>
  <c r="AI652" i="1"/>
  <c r="AJ652" i="1"/>
  <c r="CQ652" i="1"/>
  <c r="CR652" i="1"/>
  <c r="CS652" i="1"/>
  <c r="CT652" i="1"/>
  <c r="CU652" i="1"/>
  <c r="T652" i="1" s="1"/>
  <c r="CW652" i="1"/>
  <c r="V652" i="1" s="1"/>
  <c r="CX652" i="1"/>
  <c r="W652" i="1" s="1"/>
  <c r="CY652" i="1"/>
  <c r="X652" i="1" s="1"/>
  <c r="FR652" i="1"/>
  <c r="GK652" i="1"/>
  <c r="GL652" i="1"/>
  <c r="GN652" i="1"/>
  <c r="GP652" i="1"/>
  <c r="GV652" i="1"/>
  <c r="HC652" i="1"/>
  <c r="GX652" i="1" s="1"/>
  <c r="C653" i="1"/>
  <c r="D653" i="1"/>
  <c r="P653" i="1"/>
  <c r="S653" i="1"/>
  <c r="AC653" i="1"/>
  <c r="AB653" i="1" s="1"/>
  <c r="AE653" i="1"/>
  <c r="AD653" i="1" s="1"/>
  <c r="AF653" i="1"/>
  <c r="AG653" i="1"/>
  <c r="AH653" i="1"/>
  <c r="AI653" i="1"/>
  <c r="CW653" i="1" s="1"/>
  <c r="V653" i="1" s="1"/>
  <c r="AJ653" i="1"/>
  <c r="CQ653" i="1"/>
  <c r="CR653" i="1"/>
  <c r="CT653" i="1"/>
  <c r="CU653" i="1"/>
  <c r="T653" i="1" s="1"/>
  <c r="CV653" i="1"/>
  <c r="U653" i="1" s="1"/>
  <c r="CX653" i="1"/>
  <c r="W653" i="1" s="1"/>
  <c r="CY653" i="1"/>
  <c r="X653" i="1" s="1"/>
  <c r="CZ653" i="1"/>
  <c r="Y653" i="1" s="1"/>
  <c r="FR653" i="1"/>
  <c r="GL653" i="1"/>
  <c r="GN653" i="1"/>
  <c r="GP653" i="1"/>
  <c r="GV653" i="1"/>
  <c r="HC653" i="1" s="1"/>
  <c r="GX653" i="1" s="1"/>
  <c r="C654" i="1"/>
  <c r="D654" i="1"/>
  <c r="P654" i="1"/>
  <c r="R654" i="1"/>
  <c r="GK654" i="1" s="1"/>
  <c r="AC654" i="1"/>
  <c r="AE654" i="1"/>
  <c r="AD654" i="1" s="1"/>
  <c r="AB654" i="1" s="1"/>
  <c r="AF654" i="1"/>
  <c r="S654" i="1" s="1"/>
  <c r="AG654" i="1"/>
  <c r="AH654" i="1"/>
  <c r="AI654" i="1"/>
  <c r="AJ654" i="1"/>
  <c r="CX654" i="1" s="1"/>
  <c r="W654" i="1" s="1"/>
  <c r="CQ654" i="1"/>
  <c r="CR654" i="1"/>
  <c r="CS654" i="1"/>
  <c r="CU654" i="1"/>
  <c r="T654" i="1" s="1"/>
  <c r="CV654" i="1"/>
  <c r="U654" i="1" s="1"/>
  <c r="CW654" i="1"/>
  <c r="V654" i="1" s="1"/>
  <c r="FR654" i="1"/>
  <c r="GL654" i="1"/>
  <c r="GN654" i="1"/>
  <c r="GP654" i="1"/>
  <c r="GV654" i="1"/>
  <c r="HC654" i="1" s="1"/>
  <c r="GX654" i="1" s="1"/>
  <c r="C655" i="1"/>
  <c r="D655" i="1"/>
  <c r="R655" i="1"/>
  <c r="S655" i="1"/>
  <c r="CZ655" i="1" s="1"/>
  <c r="Y655" i="1" s="1"/>
  <c r="AC655" i="1"/>
  <c r="AE655" i="1"/>
  <c r="Q655" i="1" s="1"/>
  <c r="AF655" i="1"/>
  <c r="AG655" i="1"/>
  <c r="CU655" i="1" s="1"/>
  <c r="T655" i="1" s="1"/>
  <c r="AH655" i="1"/>
  <c r="AI655" i="1"/>
  <c r="AJ655" i="1"/>
  <c r="CR655" i="1"/>
  <c r="CS655" i="1"/>
  <c r="CT655" i="1"/>
  <c r="CV655" i="1"/>
  <c r="U655" i="1" s="1"/>
  <c r="CW655" i="1"/>
  <c r="V655" i="1" s="1"/>
  <c r="CX655" i="1"/>
  <c r="W655" i="1" s="1"/>
  <c r="FR655" i="1"/>
  <c r="GK655" i="1"/>
  <c r="GL655" i="1"/>
  <c r="GN655" i="1"/>
  <c r="GP655" i="1"/>
  <c r="GV655" i="1"/>
  <c r="HC655" i="1"/>
  <c r="GX655" i="1" s="1"/>
  <c r="C656" i="1"/>
  <c r="D656" i="1"/>
  <c r="P656" i="1"/>
  <c r="CP656" i="1" s="1"/>
  <c r="O656" i="1" s="1"/>
  <c r="R656" i="1"/>
  <c r="S656" i="1"/>
  <c r="CZ656" i="1" s="1"/>
  <c r="Y656" i="1" s="1"/>
  <c r="AC656" i="1"/>
  <c r="AB656" i="1" s="1"/>
  <c r="AD656" i="1"/>
  <c r="AE656" i="1"/>
  <c r="Q656" i="1" s="1"/>
  <c r="AF656" i="1"/>
  <c r="AG656" i="1"/>
  <c r="AH656" i="1"/>
  <c r="CV656" i="1" s="1"/>
  <c r="U656" i="1" s="1"/>
  <c r="AI656" i="1"/>
  <c r="AJ656" i="1"/>
  <c r="CQ656" i="1"/>
  <c r="CR656" i="1"/>
  <c r="CS656" i="1"/>
  <c r="CT656" i="1"/>
  <c r="CU656" i="1"/>
  <c r="T656" i="1" s="1"/>
  <c r="CW656" i="1"/>
  <c r="V656" i="1" s="1"/>
  <c r="CX656" i="1"/>
  <c r="W656" i="1" s="1"/>
  <c r="CY656" i="1"/>
  <c r="X656" i="1" s="1"/>
  <c r="FR656" i="1"/>
  <c r="GK656" i="1"/>
  <c r="GL656" i="1"/>
  <c r="GN656" i="1"/>
  <c r="GP656" i="1"/>
  <c r="GV656" i="1"/>
  <c r="HC656" i="1"/>
  <c r="GX656" i="1" s="1"/>
  <c r="C657" i="1"/>
  <c r="D657" i="1"/>
  <c r="P657" i="1"/>
  <c r="S657" i="1"/>
  <c r="AC657" i="1"/>
  <c r="AE657" i="1"/>
  <c r="AD657" i="1" s="1"/>
  <c r="AF657" i="1"/>
  <c r="AG657" i="1"/>
  <c r="AH657" i="1"/>
  <c r="AI657" i="1"/>
  <c r="CW657" i="1" s="1"/>
  <c r="V657" i="1" s="1"/>
  <c r="AJ657" i="1"/>
  <c r="CQ657" i="1"/>
  <c r="CR657" i="1"/>
  <c r="CT657" i="1"/>
  <c r="CU657" i="1"/>
  <c r="T657" i="1" s="1"/>
  <c r="CV657" i="1"/>
  <c r="U657" i="1" s="1"/>
  <c r="CX657" i="1"/>
  <c r="W657" i="1" s="1"/>
  <c r="CY657" i="1"/>
  <c r="X657" i="1" s="1"/>
  <c r="CZ657" i="1"/>
  <c r="Y657" i="1" s="1"/>
  <c r="FR657" i="1"/>
  <c r="GL657" i="1"/>
  <c r="GN657" i="1"/>
  <c r="GP657" i="1"/>
  <c r="GV657" i="1"/>
  <c r="HC657" i="1" s="1"/>
  <c r="GX657" i="1" s="1"/>
  <c r="C658" i="1"/>
  <c r="D658" i="1"/>
  <c r="P658" i="1"/>
  <c r="R658" i="1"/>
  <c r="GK658" i="1" s="1"/>
  <c r="AC658" i="1"/>
  <c r="AE658" i="1"/>
  <c r="AD658" i="1" s="1"/>
  <c r="AB658" i="1" s="1"/>
  <c r="AF658" i="1"/>
  <c r="S658" i="1" s="1"/>
  <c r="AG658" i="1"/>
  <c r="AH658" i="1"/>
  <c r="AI658" i="1"/>
  <c r="AJ658" i="1"/>
  <c r="CX658" i="1" s="1"/>
  <c r="W658" i="1" s="1"/>
  <c r="CQ658" i="1"/>
  <c r="CR658" i="1"/>
  <c r="CS658" i="1"/>
  <c r="CU658" i="1"/>
  <c r="T658" i="1" s="1"/>
  <c r="CV658" i="1"/>
  <c r="U658" i="1" s="1"/>
  <c r="CW658" i="1"/>
  <c r="V658" i="1" s="1"/>
  <c r="FR658" i="1"/>
  <c r="GL658" i="1"/>
  <c r="GN658" i="1"/>
  <c r="GP658" i="1"/>
  <c r="GV658" i="1"/>
  <c r="HC658" i="1" s="1"/>
  <c r="GX658" i="1" s="1"/>
  <c r="C659" i="1"/>
  <c r="D659" i="1"/>
  <c r="R659" i="1"/>
  <c r="S659" i="1"/>
  <c r="CZ659" i="1" s="1"/>
  <c r="Y659" i="1" s="1"/>
  <c r="AC659" i="1"/>
  <c r="AE659" i="1"/>
  <c r="Q659" i="1" s="1"/>
  <c r="AF659" i="1"/>
  <c r="AG659" i="1"/>
  <c r="CU659" i="1" s="1"/>
  <c r="T659" i="1" s="1"/>
  <c r="AH659" i="1"/>
  <c r="AI659" i="1"/>
  <c r="AJ659" i="1"/>
  <c r="CR659" i="1"/>
  <c r="CS659" i="1"/>
  <c r="CT659" i="1"/>
  <c r="CV659" i="1"/>
  <c r="U659" i="1" s="1"/>
  <c r="CW659" i="1"/>
  <c r="V659" i="1" s="1"/>
  <c r="CX659" i="1"/>
  <c r="W659" i="1" s="1"/>
  <c r="FR659" i="1"/>
  <c r="GK659" i="1"/>
  <c r="GL659" i="1"/>
  <c r="GO659" i="1"/>
  <c r="GP659" i="1"/>
  <c r="GV659" i="1"/>
  <c r="HC659" i="1"/>
  <c r="GX659" i="1" s="1"/>
  <c r="C660" i="1"/>
  <c r="D660" i="1"/>
  <c r="P660" i="1"/>
  <c r="R660" i="1"/>
  <c r="S660" i="1"/>
  <c r="CZ660" i="1" s="1"/>
  <c r="Y660" i="1" s="1"/>
  <c r="AC660" i="1"/>
  <c r="AB660" i="1" s="1"/>
  <c r="AD660" i="1"/>
  <c r="AE660" i="1"/>
  <c r="Q660" i="1" s="1"/>
  <c r="AF660" i="1"/>
  <c r="AG660" i="1"/>
  <c r="AH660" i="1"/>
  <c r="CV660" i="1" s="1"/>
  <c r="U660" i="1" s="1"/>
  <c r="AI660" i="1"/>
  <c r="AJ660" i="1"/>
  <c r="CQ660" i="1"/>
  <c r="CR660" i="1"/>
  <c r="CS660" i="1"/>
  <c r="CT660" i="1"/>
  <c r="CU660" i="1"/>
  <c r="T660" i="1" s="1"/>
  <c r="CW660" i="1"/>
  <c r="V660" i="1" s="1"/>
  <c r="CX660" i="1"/>
  <c r="W660" i="1" s="1"/>
  <c r="CY660" i="1"/>
  <c r="X660" i="1" s="1"/>
  <c r="FR660" i="1"/>
  <c r="GK660" i="1"/>
  <c r="GL660" i="1"/>
  <c r="GO660" i="1"/>
  <c r="GP660" i="1"/>
  <c r="GV660" i="1"/>
  <c r="HC660" i="1"/>
  <c r="GX660" i="1" s="1"/>
  <c r="I661" i="1"/>
  <c r="P661" i="1" s="1"/>
  <c r="R661" i="1"/>
  <c r="GK661" i="1" s="1"/>
  <c r="AC661" i="1"/>
  <c r="AE661" i="1"/>
  <c r="AD661" i="1" s="1"/>
  <c r="AB661" i="1" s="1"/>
  <c r="AF661" i="1"/>
  <c r="S661" i="1" s="1"/>
  <c r="AG661" i="1"/>
  <c r="AH661" i="1"/>
  <c r="AI661" i="1"/>
  <c r="AJ661" i="1"/>
  <c r="CX661" i="1" s="1"/>
  <c r="W661" i="1" s="1"/>
  <c r="CQ661" i="1"/>
  <c r="CR661" i="1"/>
  <c r="CS661" i="1"/>
  <c r="CU661" i="1"/>
  <c r="T661" i="1" s="1"/>
  <c r="CV661" i="1"/>
  <c r="U661" i="1" s="1"/>
  <c r="CW661" i="1"/>
  <c r="V661" i="1" s="1"/>
  <c r="FR661" i="1"/>
  <c r="GL661" i="1"/>
  <c r="GO661" i="1"/>
  <c r="GP661" i="1"/>
  <c r="GV661" i="1"/>
  <c r="HC661" i="1" s="1"/>
  <c r="GX661" i="1" s="1"/>
  <c r="I662" i="1"/>
  <c r="Q662" i="1" s="1"/>
  <c r="P662" i="1"/>
  <c r="R662" i="1"/>
  <c r="S662" i="1"/>
  <c r="CZ662" i="1" s="1"/>
  <c r="Y662" i="1" s="1"/>
  <c r="AC662" i="1"/>
  <c r="AB662" i="1" s="1"/>
  <c r="AD662" i="1"/>
  <c r="AE662" i="1"/>
  <c r="AF662" i="1"/>
  <c r="AG662" i="1"/>
  <c r="AH662" i="1"/>
  <c r="CV662" i="1" s="1"/>
  <c r="U662" i="1" s="1"/>
  <c r="AI662" i="1"/>
  <c r="AJ662" i="1"/>
  <c r="CQ662" i="1"/>
  <c r="CR662" i="1"/>
  <c r="CS662" i="1"/>
  <c r="CT662" i="1"/>
  <c r="CU662" i="1"/>
  <c r="T662" i="1" s="1"/>
  <c r="CW662" i="1"/>
  <c r="V662" i="1" s="1"/>
  <c r="CX662" i="1"/>
  <c r="W662" i="1" s="1"/>
  <c r="CY662" i="1"/>
  <c r="X662" i="1" s="1"/>
  <c r="FR662" i="1"/>
  <c r="GK662" i="1"/>
  <c r="GL662" i="1"/>
  <c r="GO662" i="1"/>
  <c r="GP662" i="1"/>
  <c r="GV662" i="1"/>
  <c r="HC662" i="1"/>
  <c r="GX662" i="1" s="1"/>
  <c r="I663" i="1"/>
  <c r="P663" i="1" s="1"/>
  <c r="R663" i="1"/>
  <c r="GK663" i="1" s="1"/>
  <c r="AC663" i="1"/>
  <c r="AE663" i="1"/>
  <c r="AD663" i="1" s="1"/>
  <c r="AB663" i="1" s="1"/>
  <c r="AF663" i="1"/>
  <c r="S663" i="1" s="1"/>
  <c r="AG663" i="1"/>
  <c r="AH663" i="1"/>
  <c r="AI663" i="1"/>
  <c r="AJ663" i="1"/>
  <c r="CX663" i="1" s="1"/>
  <c r="W663" i="1" s="1"/>
  <c r="CQ663" i="1"/>
  <c r="CR663" i="1"/>
  <c r="CS663" i="1"/>
  <c r="CU663" i="1"/>
  <c r="T663" i="1" s="1"/>
  <c r="CV663" i="1"/>
  <c r="U663" i="1" s="1"/>
  <c r="CW663" i="1"/>
  <c r="V663" i="1" s="1"/>
  <c r="FR663" i="1"/>
  <c r="GL663" i="1"/>
  <c r="GO663" i="1"/>
  <c r="GP663" i="1"/>
  <c r="GV663" i="1"/>
  <c r="HC663" i="1" s="1"/>
  <c r="GX663" i="1" s="1"/>
  <c r="I664" i="1"/>
  <c r="Q664" i="1" s="1"/>
  <c r="P664" i="1"/>
  <c r="CP664" i="1" s="1"/>
  <c r="O664" i="1" s="1"/>
  <c r="R664" i="1"/>
  <c r="S664" i="1"/>
  <c r="CZ664" i="1" s="1"/>
  <c r="Y664" i="1" s="1"/>
  <c r="AC664" i="1"/>
  <c r="AB664" i="1" s="1"/>
  <c r="AD664" i="1"/>
  <c r="AE664" i="1"/>
  <c r="AF664" i="1"/>
  <c r="AG664" i="1"/>
  <c r="AH664" i="1"/>
  <c r="CV664" i="1" s="1"/>
  <c r="U664" i="1" s="1"/>
  <c r="AI664" i="1"/>
  <c r="AJ664" i="1"/>
  <c r="CQ664" i="1"/>
  <c r="CR664" i="1"/>
  <c r="CS664" i="1"/>
  <c r="CT664" i="1"/>
  <c r="CU664" i="1"/>
  <c r="T664" i="1" s="1"/>
  <c r="CW664" i="1"/>
  <c r="V664" i="1" s="1"/>
  <c r="CX664" i="1"/>
  <c r="W664" i="1" s="1"/>
  <c r="CY664" i="1"/>
  <c r="X664" i="1" s="1"/>
  <c r="FR664" i="1"/>
  <c r="GK664" i="1"/>
  <c r="GL664" i="1"/>
  <c r="GO664" i="1"/>
  <c r="GP664" i="1"/>
  <c r="GV664" i="1"/>
  <c r="HC664" i="1"/>
  <c r="GX664" i="1" s="1"/>
  <c r="C665" i="1"/>
  <c r="D665" i="1"/>
  <c r="P665" i="1"/>
  <c r="S665" i="1"/>
  <c r="AC665" i="1"/>
  <c r="AE665" i="1"/>
  <c r="AD665" i="1" s="1"/>
  <c r="AF665" i="1"/>
  <c r="AG665" i="1"/>
  <c r="AH665" i="1"/>
  <c r="AI665" i="1"/>
  <c r="CW665" i="1" s="1"/>
  <c r="V665" i="1" s="1"/>
  <c r="AJ665" i="1"/>
  <c r="CQ665" i="1"/>
  <c r="CR665" i="1"/>
  <c r="CT665" i="1"/>
  <c r="CU665" i="1"/>
  <c r="T665" i="1" s="1"/>
  <c r="CV665" i="1"/>
  <c r="U665" i="1" s="1"/>
  <c r="CX665" i="1"/>
  <c r="W665" i="1" s="1"/>
  <c r="CY665" i="1"/>
  <c r="X665" i="1" s="1"/>
  <c r="CZ665" i="1"/>
  <c r="Y665" i="1" s="1"/>
  <c r="FR665" i="1"/>
  <c r="GL665" i="1"/>
  <c r="GN665" i="1"/>
  <c r="GP665" i="1"/>
  <c r="GV665" i="1"/>
  <c r="HC665" i="1" s="1"/>
  <c r="GX665" i="1" s="1"/>
  <c r="C666" i="1"/>
  <c r="D666" i="1"/>
  <c r="P666" i="1"/>
  <c r="R666" i="1"/>
  <c r="GK666" i="1" s="1"/>
  <c r="AC666" i="1"/>
  <c r="AE666" i="1"/>
  <c r="AD666" i="1" s="1"/>
  <c r="AB666" i="1" s="1"/>
  <c r="AF666" i="1"/>
  <c r="S666" i="1" s="1"/>
  <c r="AG666" i="1"/>
  <c r="AH666" i="1"/>
  <c r="AI666" i="1"/>
  <c r="AJ666" i="1"/>
  <c r="CX666" i="1" s="1"/>
  <c r="W666" i="1" s="1"/>
  <c r="CQ666" i="1"/>
  <c r="CR666" i="1"/>
  <c r="CS666" i="1"/>
  <c r="CU666" i="1"/>
  <c r="T666" i="1" s="1"/>
  <c r="CV666" i="1"/>
  <c r="U666" i="1" s="1"/>
  <c r="CW666" i="1"/>
  <c r="V666" i="1" s="1"/>
  <c r="FR666" i="1"/>
  <c r="GL666" i="1"/>
  <c r="GN666" i="1"/>
  <c r="GP666" i="1"/>
  <c r="GV666" i="1"/>
  <c r="HC666" i="1" s="1"/>
  <c r="GX666" i="1" s="1"/>
  <c r="C667" i="1"/>
  <c r="D667" i="1"/>
  <c r="R667" i="1"/>
  <c r="S667" i="1"/>
  <c r="CZ667" i="1" s="1"/>
  <c r="Y667" i="1" s="1"/>
  <c r="AC667" i="1"/>
  <c r="AE667" i="1"/>
  <c r="Q667" i="1" s="1"/>
  <c r="AF667" i="1"/>
  <c r="AG667" i="1"/>
  <c r="CU667" i="1" s="1"/>
  <c r="T667" i="1" s="1"/>
  <c r="AH667" i="1"/>
  <c r="AI667" i="1"/>
  <c r="AJ667" i="1"/>
  <c r="CR667" i="1"/>
  <c r="CS667" i="1"/>
  <c r="CT667" i="1"/>
  <c r="CV667" i="1"/>
  <c r="U667" i="1" s="1"/>
  <c r="CW667" i="1"/>
  <c r="V667" i="1" s="1"/>
  <c r="CX667" i="1"/>
  <c r="W667" i="1" s="1"/>
  <c r="FR667" i="1"/>
  <c r="GK667" i="1"/>
  <c r="GL667" i="1"/>
  <c r="GN667" i="1"/>
  <c r="GP667" i="1"/>
  <c r="GV667" i="1"/>
  <c r="HC667" i="1"/>
  <c r="GX667" i="1" s="1"/>
  <c r="C668" i="1"/>
  <c r="D668" i="1"/>
  <c r="P668" i="1"/>
  <c r="R668" i="1"/>
  <c r="S668" i="1"/>
  <c r="CZ668" i="1" s="1"/>
  <c r="Y668" i="1" s="1"/>
  <c r="AC668" i="1"/>
  <c r="AB668" i="1" s="1"/>
  <c r="AD668" i="1"/>
  <c r="AE668" i="1"/>
  <c r="Q668" i="1" s="1"/>
  <c r="AF668" i="1"/>
  <c r="AG668" i="1"/>
  <c r="AH668" i="1"/>
  <c r="CV668" i="1" s="1"/>
  <c r="U668" i="1" s="1"/>
  <c r="AI668" i="1"/>
  <c r="AJ668" i="1"/>
  <c r="CQ668" i="1"/>
  <c r="CR668" i="1"/>
  <c r="CS668" i="1"/>
  <c r="CT668" i="1"/>
  <c r="CU668" i="1"/>
  <c r="T668" i="1" s="1"/>
  <c r="CW668" i="1"/>
  <c r="V668" i="1" s="1"/>
  <c r="CX668" i="1"/>
  <c r="W668" i="1" s="1"/>
  <c r="CY668" i="1"/>
  <c r="X668" i="1" s="1"/>
  <c r="FR668" i="1"/>
  <c r="GK668" i="1"/>
  <c r="GL668" i="1"/>
  <c r="GN668" i="1"/>
  <c r="GP668" i="1"/>
  <c r="GV668" i="1"/>
  <c r="HC668" i="1"/>
  <c r="GX668" i="1" s="1"/>
  <c r="C669" i="1"/>
  <c r="D669" i="1"/>
  <c r="P669" i="1"/>
  <c r="S669" i="1"/>
  <c r="AC669" i="1"/>
  <c r="AB669" i="1" s="1"/>
  <c r="AE669" i="1"/>
  <c r="AD669" i="1" s="1"/>
  <c r="AF669" i="1"/>
  <c r="AG669" i="1"/>
  <c r="AH669" i="1"/>
  <c r="AI669" i="1"/>
  <c r="CW669" i="1" s="1"/>
  <c r="V669" i="1" s="1"/>
  <c r="AJ669" i="1"/>
  <c r="CQ669" i="1"/>
  <c r="CR669" i="1"/>
  <c r="CT669" i="1"/>
  <c r="CU669" i="1"/>
  <c r="T669" i="1" s="1"/>
  <c r="CV669" i="1"/>
  <c r="U669" i="1" s="1"/>
  <c r="CX669" i="1"/>
  <c r="W669" i="1" s="1"/>
  <c r="CY669" i="1"/>
  <c r="X669" i="1" s="1"/>
  <c r="CZ669" i="1"/>
  <c r="Y669" i="1" s="1"/>
  <c r="FR669" i="1"/>
  <c r="GL669" i="1"/>
  <c r="GO669" i="1"/>
  <c r="GP669" i="1"/>
  <c r="GV669" i="1"/>
  <c r="HC669" i="1" s="1"/>
  <c r="GX669" i="1" s="1"/>
  <c r="C670" i="1"/>
  <c r="D670" i="1"/>
  <c r="P670" i="1"/>
  <c r="R670" i="1"/>
  <c r="GK670" i="1" s="1"/>
  <c r="AC670" i="1"/>
  <c r="AE670" i="1"/>
  <c r="AD670" i="1" s="1"/>
  <c r="AB670" i="1" s="1"/>
  <c r="AF670" i="1"/>
  <c r="S670" i="1" s="1"/>
  <c r="AG670" i="1"/>
  <c r="AH670" i="1"/>
  <c r="AI670" i="1"/>
  <c r="AJ670" i="1"/>
  <c r="CX670" i="1" s="1"/>
  <c r="W670" i="1" s="1"/>
  <c r="CQ670" i="1"/>
  <c r="CR670" i="1"/>
  <c r="CS670" i="1"/>
  <c r="CU670" i="1"/>
  <c r="T670" i="1" s="1"/>
  <c r="CV670" i="1"/>
  <c r="U670" i="1" s="1"/>
  <c r="CW670" i="1"/>
  <c r="V670" i="1" s="1"/>
  <c r="FR670" i="1"/>
  <c r="GL670" i="1"/>
  <c r="GO670" i="1"/>
  <c r="GP670" i="1"/>
  <c r="GV670" i="1"/>
  <c r="HC670" i="1" s="1"/>
  <c r="GX670" i="1" s="1"/>
  <c r="I671" i="1"/>
  <c r="Q671" i="1" s="1"/>
  <c r="P671" i="1"/>
  <c r="CP671" i="1" s="1"/>
  <c r="O671" i="1" s="1"/>
  <c r="R671" i="1"/>
  <c r="S671" i="1"/>
  <c r="CZ671" i="1" s="1"/>
  <c r="Y671" i="1" s="1"/>
  <c r="AC671" i="1"/>
  <c r="AB671" i="1" s="1"/>
  <c r="AD671" i="1"/>
  <c r="AE671" i="1"/>
  <c r="AF671" i="1"/>
  <c r="AG671" i="1"/>
  <c r="AH671" i="1"/>
  <c r="CV671" i="1" s="1"/>
  <c r="U671" i="1" s="1"/>
  <c r="AI671" i="1"/>
  <c r="AJ671" i="1"/>
  <c r="CQ671" i="1"/>
  <c r="CR671" i="1"/>
  <c r="CS671" i="1"/>
  <c r="CT671" i="1"/>
  <c r="CU671" i="1"/>
  <c r="T671" i="1" s="1"/>
  <c r="CW671" i="1"/>
  <c r="V671" i="1" s="1"/>
  <c r="CX671" i="1"/>
  <c r="W671" i="1" s="1"/>
  <c r="CY671" i="1"/>
  <c r="X671" i="1" s="1"/>
  <c r="FR671" i="1"/>
  <c r="GK671" i="1"/>
  <c r="GL671" i="1"/>
  <c r="BZ702" i="1" s="1"/>
  <c r="GO671" i="1"/>
  <c r="GP671" i="1"/>
  <c r="CD702" i="1" s="1"/>
  <c r="GV671" i="1"/>
  <c r="HC671" i="1"/>
  <c r="GX671" i="1" s="1"/>
  <c r="I672" i="1"/>
  <c r="P672" i="1" s="1"/>
  <c r="R672" i="1"/>
  <c r="GK672" i="1" s="1"/>
  <c r="AC672" i="1"/>
  <c r="AE672" i="1"/>
  <c r="AD672" i="1" s="1"/>
  <c r="AB672" i="1" s="1"/>
  <c r="AF672" i="1"/>
  <c r="S672" i="1" s="1"/>
  <c r="AG672" i="1"/>
  <c r="AH672" i="1"/>
  <c r="AI672" i="1"/>
  <c r="AJ672" i="1"/>
  <c r="CX672" i="1" s="1"/>
  <c r="W672" i="1" s="1"/>
  <c r="CQ672" i="1"/>
  <c r="CR672" i="1"/>
  <c r="CS672" i="1"/>
  <c r="CU672" i="1"/>
  <c r="T672" i="1" s="1"/>
  <c r="CV672" i="1"/>
  <c r="U672" i="1" s="1"/>
  <c r="CW672" i="1"/>
  <c r="V672" i="1" s="1"/>
  <c r="FR672" i="1"/>
  <c r="GL672" i="1"/>
  <c r="GO672" i="1"/>
  <c r="GP672" i="1"/>
  <c r="GV672" i="1"/>
  <c r="HC672" i="1" s="1"/>
  <c r="GX672" i="1" s="1"/>
  <c r="C673" i="1"/>
  <c r="D673" i="1"/>
  <c r="R673" i="1"/>
  <c r="S673" i="1"/>
  <c r="CZ673" i="1" s="1"/>
  <c r="Y673" i="1" s="1"/>
  <c r="AC673" i="1"/>
  <c r="AE673" i="1"/>
  <c r="Q673" i="1" s="1"/>
  <c r="AF673" i="1"/>
  <c r="AG673" i="1"/>
  <c r="CU673" i="1" s="1"/>
  <c r="T673" i="1" s="1"/>
  <c r="AH673" i="1"/>
  <c r="AI673" i="1"/>
  <c r="AJ673" i="1"/>
  <c r="CR673" i="1"/>
  <c r="CS673" i="1"/>
  <c r="CT673" i="1"/>
  <c r="CV673" i="1"/>
  <c r="U673" i="1" s="1"/>
  <c r="CW673" i="1"/>
  <c r="V673" i="1" s="1"/>
  <c r="CX673" i="1"/>
  <c r="W673" i="1" s="1"/>
  <c r="FR673" i="1"/>
  <c r="GK673" i="1"/>
  <c r="GL673" i="1"/>
  <c r="GN673" i="1"/>
  <c r="GP673" i="1"/>
  <c r="GV673" i="1"/>
  <c r="HC673" i="1"/>
  <c r="GX673" i="1" s="1"/>
  <c r="C674" i="1"/>
  <c r="D674" i="1"/>
  <c r="P674" i="1"/>
  <c r="R674" i="1"/>
  <c r="S674" i="1"/>
  <c r="CZ674" i="1" s="1"/>
  <c r="Y674" i="1" s="1"/>
  <c r="AC674" i="1"/>
  <c r="AB674" i="1" s="1"/>
  <c r="AD674" i="1"/>
  <c r="AE674" i="1"/>
  <c r="Q674" i="1" s="1"/>
  <c r="AF674" i="1"/>
  <c r="AG674" i="1"/>
  <c r="AH674" i="1"/>
  <c r="CV674" i="1" s="1"/>
  <c r="U674" i="1" s="1"/>
  <c r="AI674" i="1"/>
  <c r="AJ674" i="1"/>
  <c r="CQ674" i="1"/>
  <c r="CR674" i="1"/>
  <c r="CS674" i="1"/>
  <c r="CT674" i="1"/>
  <c r="CU674" i="1"/>
  <c r="T674" i="1" s="1"/>
  <c r="CW674" i="1"/>
  <c r="V674" i="1" s="1"/>
  <c r="CX674" i="1"/>
  <c r="W674" i="1" s="1"/>
  <c r="CY674" i="1"/>
  <c r="X674" i="1" s="1"/>
  <c r="FR674" i="1"/>
  <c r="GK674" i="1"/>
  <c r="GL674" i="1"/>
  <c r="GN674" i="1"/>
  <c r="GP674" i="1"/>
  <c r="GV674" i="1"/>
  <c r="HC674" i="1"/>
  <c r="GX674" i="1" s="1"/>
  <c r="C675" i="1"/>
  <c r="D675" i="1"/>
  <c r="P675" i="1"/>
  <c r="S675" i="1"/>
  <c r="AC675" i="1"/>
  <c r="AE675" i="1"/>
  <c r="AD675" i="1" s="1"/>
  <c r="AF675" i="1"/>
  <c r="AG675" i="1"/>
  <c r="AH675" i="1"/>
  <c r="AI675" i="1"/>
  <c r="CW675" i="1" s="1"/>
  <c r="V675" i="1" s="1"/>
  <c r="AJ675" i="1"/>
  <c r="CQ675" i="1"/>
  <c r="CR675" i="1"/>
  <c r="CT675" i="1"/>
  <c r="CU675" i="1"/>
  <c r="T675" i="1" s="1"/>
  <c r="CV675" i="1"/>
  <c r="U675" i="1" s="1"/>
  <c r="CX675" i="1"/>
  <c r="W675" i="1" s="1"/>
  <c r="CY675" i="1"/>
  <c r="X675" i="1" s="1"/>
  <c r="CZ675" i="1"/>
  <c r="Y675" i="1" s="1"/>
  <c r="FR675" i="1"/>
  <c r="GL675" i="1"/>
  <c r="GN675" i="1"/>
  <c r="GP675" i="1"/>
  <c r="GV675" i="1"/>
  <c r="HC675" i="1" s="1"/>
  <c r="GX675" i="1" s="1"/>
  <c r="C676" i="1"/>
  <c r="D676" i="1"/>
  <c r="P676" i="1"/>
  <c r="R676" i="1"/>
  <c r="GK676" i="1" s="1"/>
  <c r="AC676" i="1"/>
  <c r="AE676" i="1"/>
  <c r="AD676" i="1" s="1"/>
  <c r="AB676" i="1" s="1"/>
  <c r="AF676" i="1"/>
  <c r="S676" i="1" s="1"/>
  <c r="AG676" i="1"/>
  <c r="AH676" i="1"/>
  <c r="AI676" i="1"/>
  <c r="AJ676" i="1"/>
  <c r="CX676" i="1" s="1"/>
  <c r="W676" i="1" s="1"/>
  <c r="CQ676" i="1"/>
  <c r="CR676" i="1"/>
  <c r="CS676" i="1"/>
  <c r="CU676" i="1"/>
  <c r="T676" i="1" s="1"/>
  <c r="CV676" i="1"/>
  <c r="U676" i="1" s="1"/>
  <c r="CW676" i="1"/>
  <c r="V676" i="1" s="1"/>
  <c r="FR676" i="1"/>
  <c r="GL676" i="1"/>
  <c r="GN676" i="1"/>
  <c r="GP676" i="1"/>
  <c r="GV676" i="1"/>
  <c r="HC676" i="1" s="1"/>
  <c r="GX676" i="1" s="1"/>
  <c r="I677" i="1"/>
  <c r="Q677" i="1" s="1"/>
  <c r="P677" i="1"/>
  <c r="CP677" i="1" s="1"/>
  <c r="O677" i="1" s="1"/>
  <c r="R677" i="1"/>
  <c r="S677" i="1"/>
  <c r="CZ677" i="1" s="1"/>
  <c r="Y677" i="1" s="1"/>
  <c r="AC677" i="1"/>
  <c r="AB677" i="1" s="1"/>
  <c r="AD677" i="1"/>
  <c r="AE677" i="1"/>
  <c r="AF677" i="1"/>
  <c r="AG677" i="1"/>
  <c r="AH677" i="1"/>
  <c r="CV677" i="1" s="1"/>
  <c r="U677" i="1" s="1"/>
  <c r="AI677" i="1"/>
  <c r="AJ677" i="1"/>
  <c r="CQ677" i="1"/>
  <c r="CR677" i="1"/>
  <c r="CS677" i="1"/>
  <c r="CT677" i="1"/>
  <c r="CU677" i="1"/>
  <c r="T677" i="1" s="1"/>
  <c r="CW677" i="1"/>
  <c r="V677" i="1" s="1"/>
  <c r="CX677" i="1"/>
  <c r="W677" i="1" s="1"/>
  <c r="CY677" i="1"/>
  <c r="X677" i="1" s="1"/>
  <c r="FR677" i="1"/>
  <c r="GK677" i="1"/>
  <c r="GL677" i="1"/>
  <c r="GN677" i="1"/>
  <c r="GP677" i="1"/>
  <c r="GV677" i="1"/>
  <c r="HC677" i="1"/>
  <c r="GX677" i="1" s="1"/>
  <c r="I678" i="1"/>
  <c r="P678" i="1" s="1"/>
  <c r="R678" i="1"/>
  <c r="GK678" i="1" s="1"/>
  <c r="AC678" i="1"/>
  <c r="AE678" i="1"/>
  <c r="AD678" i="1" s="1"/>
  <c r="AB678" i="1" s="1"/>
  <c r="AF678" i="1"/>
  <c r="S678" i="1" s="1"/>
  <c r="AG678" i="1"/>
  <c r="AH678" i="1"/>
  <c r="AI678" i="1"/>
  <c r="AJ678" i="1"/>
  <c r="CX678" i="1" s="1"/>
  <c r="W678" i="1" s="1"/>
  <c r="CQ678" i="1"/>
  <c r="CR678" i="1"/>
  <c r="CS678" i="1"/>
  <c r="CU678" i="1"/>
  <c r="T678" i="1" s="1"/>
  <c r="CV678" i="1"/>
  <c r="U678" i="1" s="1"/>
  <c r="CW678" i="1"/>
  <c r="V678" i="1" s="1"/>
  <c r="FR678" i="1"/>
  <c r="GL678" i="1"/>
  <c r="GN678" i="1"/>
  <c r="GP678" i="1"/>
  <c r="GV678" i="1"/>
  <c r="HC678" i="1" s="1"/>
  <c r="GX678" i="1" s="1"/>
  <c r="C679" i="1"/>
  <c r="D679" i="1"/>
  <c r="R679" i="1"/>
  <c r="S679" i="1"/>
  <c r="CZ679" i="1" s="1"/>
  <c r="Y679" i="1" s="1"/>
  <c r="AC679" i="1"/>
  <c r="AE679" i="1"/>
  <c r="Q679" i="1" s="1"/>
  <c r="AF679" i="1"/>
  <c r="AG679" i="1"/>
  <c r="CU679" i="1" s="1"/>
  <c r="T679" i="1" s="1"/>
  <c r="AH679" i="1"/>
  <c r="AI679" i="1"/>
  <c r="AJ679" i="1"/>
  <c r="CR679" i="1"/>
  <c r="CS679" i="1"/>
  <c r="CT679" i="1"/>
  <c r="CV679" i="1"/>
  <c r="U679" i="1" s="1"/>
  <c r="CW679" i="1"/>
  <c r="V679" i="1" s="1"/>
  <c r="CX679" i="1"/>
  <c r="W679" i="1" s="1"/>
  <c r="FR679" i="1"/>
  <c r="GK679" i="1"/>
  <c r="GL679" i="1"/>
  <c r="GN679" i="1"/>
  <c r="GP679" i="1"/>
  <c r="GV679" i="1"/>
  <c r="HC679" i="1"/>
  <c r="GX679" i="1" s="1"/>
  <c r="C680" i="1"/>
  <c r="D680" i="1"/>
  <c r="P680" i="1"/>
  <c r="CP680" i="1" s="1"/>
  <c r="O680" i="1" s="1"/>
  <c r="R680" i="1"/>
  <c r="S680" i="1"/>
  <c r="CZ680" i="1" s="1"/>
  <c r="Y680" i="1" s="1"/>
  <c r="AC680" i="1"/>
  <c r="AB680" i="1" s="1"/>
  <c r="AD680" i="1"/>
  <c r="AE680" i="1"/>
  <c r="Q680" i="1" s="1"/>
  <c r="AF680" i="1"/>
  <c r="AG680" i="1"/>
  <c r="AH680" i="1"/>
  <c r="CV680" i="1" s="1"/>
  <c r="U680" i="1" s="1"/>
  <c r="AI680" i="1"/>
  <c r="AJ680" i="1"/>
  <c r="CQ680" i="1"/>
  <c r="CR680" i="1"/>
  <c r="CS680" i="1"/>
  <c r="CT680" i="1"/>
  <c r="CU680" i="1"/>
  <c r="T680" i="1" s="1"/>
  <c r="CW680" i="1"/>
  <c r="V680" i="1" s="1"/>
  <c r="CX680" i="1"/>
  <c r="W680" i="1" s="1"/>
  <c r="CY680" i="1"/>
  <c r="X680" i="1" s="1"/>
  <c r="FR680" i="1"/>
  <c r="GK680" i="1"/>
  <c r="GL680" i="1"/>
  <c r="GN680" i="1"/>
  <c r="GP680" i="1"/>
  <c r="GV680" i="1"/>
  <c r="HC680" i="1"/>
  <c r="GX680" i="1" s="1"/>
  <c r="I681" i="1"/>
  <c r="P681" i="1" s="1"/>
  <c r="R681" i="1"/>
  <c r="GK681" i="1" s="1"/>
  <c r="AC681" i="1"/>
  <c r="AE681" i="1"/>
  <c r="AD681" i="1" s="1"/>
  <c r="AB681" i="1" s="1"/>
  <c r="AF681" i="1"/>
  <c r="S681" i="1" s="1"/>
  <c r="AG681" i="1"/>
  <c r="AH681" i="1"/>
  <c r="AI681" i="1"/>
  <c r="AJ681" i="1"/>
  <c r="CX681" i="1" s="1"/>
  <c r="W681" i="1" s="1"/>
  <c r="CQ681" i="1"/>
  <c r="CR681" i="1"/>
  <c r="CS681" i="1"/>
  <c r="CU681" i="1"/>
  <c r="T681" i="1" s="1"/>
  <c r="CV681" i="1"/>
  <c r="U681" i="1" s="1"/>
  <c r="CW681" i="1"/>
  <c r="V681" i="1" s="1"/>
  <c r="FR681" i="1"/>
  <c r="GL681" i="1"/>
  <c r="GN681" i="1"/>
  <c r="GP681" i="1"/>
  <c r="GV681" i="1"/>
  <c r="HC681" i="1" s="1"/>
  <c r="GX681" i="1" s="1"/>
  <c r="I682" i="1"/>
  <c r="Q682" i="1" s="1"/>
  <c r="P682" i="1"/>
  <c r="CP682" i="1" s="1"/>
  <c r="O682" i="1" s="1"/>
  <c r="R682" i="1"/>
  <c r="S682" i="1"/>
  <c r="CZ682" i="1" s="1"/>
  <c r="Y682" i="1" s="1"/>
  <c r="AC682" i="1"/>
  <c r="AB682" i="1" s="1"/>
  <c r="AD682" i="1"/>
  <c r="AE682" i="1"/>
  <c r="AF682" i="1"/>
  <c r="AG682" i="1"/>
  <c r="AH682" i="1"/>
  <c r="CV682" i="1" s="1"/>
  <c r="U682" i="1" s="1"/>
  <c r="AI682" i="1"/>
  <c r="AJ682" i="1"/>
  <c r="CQ682" i="1"/>
  <c r="CR682" i="1"/>
  <c r="CS682" i="1"/>
  <c r="CT682" i="1"/>
  <c r="CU682" i="1"/>
  <c r="T682" i="1" s="1"/>
  <c r="CW682" i="1"/>
  <c r="V682" i="1" s="1"/>
  <c r="CX682" i="1"/>
  <c r="W682" i="1" s="1"/>
  <c r="CY682" i="1"/>
  <c r="X682" i="1" s="1"/>
  <c r="FR682" i="1"/>
  <c r="GK682" i="1"/>
  <c r="GL682" i="1"/>
  <c r="GN682" i="1"/>
  <c r="GP682" i="1"/>
  <c r="GV682" i="1"/>
  <c r="HC682" i="1"/>
  <c r="GX682" i="1" s="1"/>
  <c r="C683" i="1"/>
  <c r="D683" i="1"/>
  <c r="P683" i="1"/>
  <c r="S683" i="1"/>
  <c r="AC683" i="1"/>
  <c r="AE683" i="1"/>
  <c r="AD683" i="1" s="1"/>
  <c r="AF683" i="1"/>
  <c r="AG683" i="1"/>
  <c r="AH683" i="1"/>
  <c r="AI683" i="1"/>
  <c r="CW683" i="1" s="1"/>
  <c r="V683" i="1" s="1"/>
  <c r="AJ683" i="1"/>
  <c r="CQ683" i="1"/>
  <c r="CR683" i="1"/>
  <c r="CT683" i="1"/>
  <c r="CU683" i="1"/>
  <c r="T683" i="1" s="1"/>
  <c r="CV683" i="1"/>
  <c r="U683" i="1" s="1"/>
  <c r="CX683" i="1"/>
  <c r="W683" i="1" s="1"/>
  <c r="CY683" i="1"/>
  <c r="X683" i="1" s="1"/>
  <c r="CZ683" i="1"/>
  <c r="Y683" i="1" s="1"/>
  <c r="FR683" i="1"/>
  <c r="GL683" i="1"/>
  <c r="GN683" i="1"/>
  <c r="GP683" i="1"/>
  <c r="GV683" i="1"/>
  <c r="HC683" i="1" s="1"/>
  <c r="GX683" i="1" s="1"/>
  <c r="C684" i="1"/>
  <c r="D684" i="1"/>
  <c r="P684" i="1"/>
  <c r="R684" i="1"/>
  <c r="GK684" i="1" s="1"/>
  <c r="AC684" i="1"/>
  <c r="AE684" i="1"/>
  <c r="AD684" i="1" s="1"/>
  <c r="AB684" i="1" s="1"/>
  <c r="AF684" i="1"/>
  <c r="S684" i="1" s="1"/>
  <c r="AG684" i="1"/>
  <c r="AH684" i="1"/>
  <c r="AI684" i="1"/>
  <c r="AJ684" i="1"/>
  <c r="CX684" i="1" s="1"/>
  <c r="W684" i="1" s="1"/>
  <c r="CQ684" i="1"/>
  <c r="CR684" i="1"/>
  <c r="CS684" i="1"/>
  <c r="CU684" i="1"/>
  <c r="T684" i="1" s="1"/>
  <c r="CV684" i="1"/>
  <c r="U684" i="1" s="1"/>
  <c r="CW684" i="1"/>
  <c r="V684" i="1" s="1"/>
  <c r="FR684" i="1"/>
  <c r="GL684" i="1"/>
  <c r="GN684" i="1"/>
  <c r="GP684" i="1"/>
  <c r="GV684" i="1"/>
  <c r="HC684" i="1" s="1"/>
  <c r="GX684" i="1" s="1"/>
  <c r="I685" i="1"/>
  <c r="Q685" i="1" s="1"/>
  <c r="P685" i="1"/>
  <c r="CP685" i="1" s="1"/>
  <c r="O685" i="1" s="1"/>
  <c r="R685" i="1"/>
  <c r="S685" i="1"/>
  <c r="CZ685" i="1" s="1"/>
  <c r="Y685" i="1" s="1"/>
  <c r="AC685" i="1"/>
  <c r="AB685" i="1" s="1"/>
  <c r="AD685" i="1"/>
  <c r="AE685" i="1"/>
  <c r="AF685" i="1"/>
  <c r="AG685" i="1"/>
  <c r="AH685" i="1"/>
  <c r="CV685" i="1" s="1"/>
  <c r="U685" i="1" s="1"/>
  <c r="AI685" i="1"/>
  <c r="AJ685" i="1"/>
  <c r="CQ685" i="1"/>
  <c r="CR685" i="1"/>
  <c r="CS685" i="1"/>
  <c r="CT685" i="1"/>
  <c r="CU685" i="1"/>
  <c r="T685" i="1" s="1"/>
  <c r="CW685" i="1"/>
  <c r="V685" i="1" s="1"/>
  <c r="CX685" i="1"/>
  <c r="W685" i="1" s="1"/>
  <c r="CY685" i="1"/>
  <c r="X685" i="1" s="1"/>
  <c r="FR685" i="1"/>
  <c r="GK685" i="1"/>
  <c r="GL685" i="1"/>
  <c r="GN685" i="1"/>
  <c r="GP685" i="1"/>
  <c r="GV685" i="1"/>
  <c r="HC685" i="1"/>
  <c r="GX685" i="1" s="1"/>
  <c r="I686" i="1"/>
  <c r="P686" i="1" s="1"/>
  <c r="R686" i="1"/>
  <c r="GK686" i="1" s="1"/>
  <c r="AC686" i="1"/>
  <c r="AE686" i="1"/>
  <c r="AD686" i="1" s="1"/>
  <c r="AB686" i="1" s="1"/>
  <c r="AF686" i="1"/>
  <c r="S686" i="1" s="1"/>
  <c r="AG686" i="1"/>
  <c r="AH686" i="1"/>
  <c r="AI686" i="1"/>
  <c r="AJ686" i="1"/>
  <c r="CX686" i="1" s="1"/>
  <c r="W686" i="1" s="1"/>
  <c r="CQ686" i="1"/>
  <c r="CR686" i="1"/>
  <c r="CS686" i="1"/>
  <c r="CU686" i="1"/>
  <c r="T686" i="1" s="1"/>
  <c r="CV686" i="1"/>
  <c r="U686" i="1" s="1"/>
  <c r="CW686" i="1"/>
  <c r="V686" i="1" s="1"/>
  <c r="FR686" i="1"/>
  <c r="GL686" i="1"/>
  <c r="GN686" i="1"/>
  <c r="GP686" i="1"/>
  <c r="GV686" i="1"/>
  <c r="HC686" i="1" s="1"/>
  <c r="GX686" i="1" s="1"/>
  <c r="C687" i="1"/>
  <c r="D687" i="1"/>
  <c r="R687" i="1"/>
  <c r="S687" i="1"/>
  <c r="CZ687" i="1" s="1"/>
  <c r="Y687" i="1" s="1"/>
  <c r="AC687" i="1"/>
  <c r="AE687" i="1"/>
  <c r="Q687" i="1" s="1"/>
  <c r="AF687" i="1"/>
  <c r="AG687" i="1"/>
  <c r="CU687" i="1" s="1"/>
  <c r="T687" i="1" s="1"/>
  <c r="AH687" i="1"/>
  <c r="AI687" i="1"/>
  <c r="AJ687" i="1"/>
  <c r="CR687" i="1"/>
  <c r="CS687" i="1"/>
  <c r="CT687" i="1"/>
  <c r="CV687" i="1"/>
  <c r="U687" i="1" s="1"/>
  <c r="CW687" i="1"/>
  <c r="V687" i="1" s="1"/>
  <c r="CX687" i="1"/>
  <c r="W687" i="1" s="1"/>
  <c r="FR687" i="1"/>
  <c r="GK687" i="1"/>
  <c r="GL687" i="1"/>
  <c r="GN687" i="1"/>
  <c r="GP687" i="1"/>
  <c r="GV687" i="1"/>
  <c r="HC687" i="1"/>
  <c r="GX687" i="1" s="1"/>
  <c r="C688" i="1"/>
  <c r="D688" i="1"/>
  <c r="P688" i="1"/>
  <c r="CP688" i="1" s="1"/>
  <c r="O688" i="1" s="1"/>
  <c r="R688" i="1"/>
  <c r="S688" i="1"/>
  <c r="CZ688" i="1" s="1"/>
  <c r="Y688" i="1" s="1"/>
  <c r="AC688" i="1"/>
  <c r="AB688" i="1" s="1"/>
  <c r="AD688" i="1"/>
  <c r="AE688" i="1"/>
  <c r="Q688" i="1" s="1"/>
  <c r="AF688" i="1"/>
  <c r="AG688" i="1"/>
  <c r="AH688" i="1"/>
  <c r="CV688" i="1" s="1"/>
  <c r="U688" i="1" s="1"/>
  <c r="AI688" i="1"/>
  <c r="AJ688" i="1"/>
  <c r="CQ688" i="1"/>
  <c r="CR688" i="1"/>
  <c r="CS688" i="1"/>
  <c r="CT688" i="1"/>
  <c r="CU688" i="1"/>
  <c r="T688" i="1" s="1"/>
  <c r="CW688" i="1"/>
  <c r="V688" i="1" s="1"/>
  <c r="CX688" i="1"/>
  <c r="W688" i="1" s="1"/>
  <c r="CY688" i="1"/>
  <c r="X688" i="1" s="1"/>
  <c r="FR688" i="1"/>
  <c r="GK688" i="1"/>
  <c r="GL688" i="1"/>
  <c r="GN688" i="1"/>
  <c r="GP688" i="1"/>
  <c r="GV688" i="1"/>
  <c r="HC688" i="1"/>
  <c r="GX688" i="1" s="1"/>
  <c r="I689" i="1"/>
  <c r="P689" i="1" s="1"/>
  <c r="R689" i="1"/>
  <c r="GK689" i="1" s="1"/>
  <c r="AC689" i="1"/>
  <c r="AE689" i="1"/>
  <c r="AD689" i="1" s="1"/>
  <c r="AB689" i="1" s="1"/>
  <c r="AF689" i="1"/>
  <c r="S689" i="1" s="1"/>
  <c r="AG689" i="1"/>
  <c r="AH689" i="1"/>
  <c r="AI689" i="1"/>
  <c r="AJ689" i="1"/>
  <c r="CX689" i="1" s="1"/>
  <c r="W689" i="1" s="1"/>
  <c r="CQ689" i="1"/>
  <c r="CR689" i="1"/>
  <c r="CS689" i="1"/>
  <c r="CU689" i="1"/>
  <c r="T689" i="1" s="1"/>
  <c r="CV689" i="1"/>
  <c r="U689" i="1" s="1"/>
  <c r="CW689" i="1"/>
  <c r="V689" i="1" s="1"/>
  <c r="FR689" i="1"/>
  <c r="GL689" i="1"/>
  <c r="GN689" i="1"/>
  <c r="GP689" i="1"/>
  <c r="GV689" i="1"/>
  <c r="HC689" i="1" s="1"/>
  <c r="GX689" i="1" s="1"/>
  <c r="I690" i="1"/>
  <c r="Q690" i="1" s="1"/>
  <c r="P690" i="1"/>
  <c r="CP690" i="1" s="1"/>
  <c r="O690" i="1" s="1"/>
  <c r="R690" i="1"/>
  <c r="S690" i="1"/>
  <c r="CZ690" i="1" s="1"/>
  <c r="Y690" i="1" s="1"/>
  <c r="AC690" i="1"/>
  <c r="AB690" i="1" s="1"/>
  <c r="AD690" i="1"/>
  <c r="AE690" i="1"/>
  <c r="AF690" i="1"/>
  <c r="AG690" i="1"/>
  <c r="AH690" i="1"/>
  <c r="CV690" i="1" s="1"/>
  <c r="U690" i="1" s="1"/>
  <c r="AI690" i="1"/>
  <c r="AJ690" i="1"/>
  <c r="CQ690" i="1"/>
  <c r="CR690" i="1"/>
  <c r="CS690" i="1"/>
  <c r="CT690" i="1"/>
  <c r="CU690" i="1"/>
  <c r="T690" i="1" s="1"/>
  <c r="CW690" i="1"/>
  <c r="V690" i="1" s="1"/>
  <c r="CX690" i="1"/>
  <c r="W690" i="1" s="1"/>
  <c r="CY690" i="1"/>
  <c r="X690" i="1" s="1"/>
  <c r="FR690" i="1"/>
  <c r="GK690" i="1"/>
  <c r="GL690" i="1"/>
  <c r="GN690" i="1"/>
  <c r="GP690" i="1"/>
  <c r="GV690" i="1"/>
  <c r="HC690" i="1"/>
  <c r="GX690" i="1" s="1"/>
  <c r="C691" i="1"/>
  <c r="D691" i="1"/>
  <c r="P691" i="1"/>
  <c r="S691" i="1"/>
  <c r="AC691" i="1"/>
  <c r="AE691" i="1"/>
  <c r="AD691" i="1" s="1"/>
  <c r="AF691" i="1"/>
  <c r="AG691" i="1"/>
  <c r="AH691" i="1"/>
  <c r="AI691" i="1"/>
  <c r="CW691" i="1" s="1"/>
  <c r="V691" i="1" s="1"/>
  <c r="AJ691" i="1"/>
  <c r="CQ691" i="1"/>
  <c r="CR691" i="1"/>
  <c r="CT691" i="1"/>
  <c r="CU691" i="1"/>
  <c r="T691" i="1" s="1"/>
  <c r="CV691" i="1"/>
  <c r="U691" i="1" s="1"/>
  <c r="CX691" i="1"/>
  <c r="W691" i="1" s="1"/>
  <c r="CY691" i="1"/>
  <c r="X691" i="1" s="1"/>
  <c r="CZ691" i="1"/>
  <c r="Y691" i="1" s="1"/>
  <c r="FR691" i="1"/>
  <c r="GL691" i="1"/>
  <c r="GN691" i="1"/>
  <c r="GP691" i="1"/>
  <c r="GV691" i="1"/>
  <c r="HC691" i="1" s="1"/>
  <c r="GX691" i="1" s="1"/>
  <c r="C692" i="1"/>
  <c r="D692" i="1"/>
  <c r="P692" i="1"/>
  <c r="R692" i="1"/>
  <c r="GK692" i="1" s="1"/>
  <c r="AC692" i="1"/>
  <c r="AE692" i="1"/>
  <c r="AD692" i="1" s="1"/>
  <c r="AB692" i="1" s="1"/>
  <c r="AF692" i="1"/>
  <c r="S692" i="1" s="1"/>
  <c r="AG692" i="1"/>
  <c r="AH692" i="1"/>
  <c r="AI692" i="1"/>
  <c r="AJ692" i="1"/>
  <c r="CX692" i="1" s="1"/>
  <c r="W692" i="1" s="1"/>
  <c r="CQ692" i="1"/>
  <c r="CR692" i="1"/>
  <c r="CS692" i="1"/>
  <c r="CU692" i="1"/>
  <c r="T692" i="1" s="1"/>
  <c r="CV692" i="1"/>
  <c r="U692" i="1" s="1"/>
  <c r="CW692" i="1"/>
  <c r="V692" i="1" s="1"/>
  <c r="FR692" i="1"/>
  <c r="FQ702" i="1" s="1"/>
  <c r="GL692" i="1"/>
  <c r="GN692" i="1"/>
  <c r="GP692" i="1"/>
  <c r="GV692" i="1"/>
  <c r="HC692" i="1" s="1"/>
  <c r="GX692" i="1" s="1"/>
  <c r="I693" i="1"/>
  <c r="Q693" i="1" s="1"/>
  <c r="P693" i="1"/>
  <c r="CP693" i="1" s="1"/>
  <c r="O693" i="1" s="1"/>
  <c r="R693" i="1"/>
  <c r="S693" i="1"/>
  <c r="CZ693" i="1" s="1"/>
  <c r="Y693" i="1" s="1"/>
  <c r="AC693" i="1"/>
  <c r="AB693" i="1" s="1"/>
  <c r="AD693" i="1"/>
  <c r="AE693" i="1"/>
  <c r="AF693" i="1"/>
  <c r="AG693" i="1"/>
  <c r="AH693" i="1"/>
  <c r="CV693" i="1" s="1"/>
  <c r="U693" i="1" s="1"/>
  <c r="AI693" i="1"/>
  <c r="AJ693" i="1"/>
  <c r="CQ693" i="1"/>
  <c r="CR693" i="1"/>
  <c r="CS693" i="1"/>
  <c r="CT693" i="1"/>
  <c r="CU693" i="1"/>
  <c r="T693" i="1" s="1"/>
  <c r="CW693" i="1"/>
  <c r="V693" i="1" s="1"/>
  <c r="CX693" i="1"/>
  <c r="W693" i="1" s="1"/>
  <c r="CY693" i="1"/>
  <c r="X693" i="1" s="1"/>
  <c r="FR693" i="1"/>
  <c r="GK693" i="1"/>
  <c r="GL693" i="1"/>
  <c r="GN693" i="1"/>
  <c r="GP693" i="1"/>
  <c r="GV693" i="1"/>
  <c r="HC693" i="1"/>
  <c r="GX693" i="1" s="1"/>
  <c r="I694" i="1"/>
  <c r="P694" i="1" s="1"/>
  <c r="R694" i="1"/>
  <c r="GK694" i="1" s="1"/>
  <c r="AC694" i="1"/>
  <c r="AE694" i="1"/>
  <c r="AD694" i="1" s="1"/>
  <c r="AB694" i="1" s="1"/>
  <c r="AF694" i="1"/>
  <c r="S694" i="1" s="1"/>
  <c r="AG694" i="1"/>
  <c r="AH694" i="1"/>
  <c r="AI694" i="1"/>
  <c r="AJ694" i="1"/>
  <c r="CX694" i="1" s="1"/>
  <c r="W694" i="1" s="1"/>
  <c r="CQ694" i="1"/>
  <c r="CR694" i="1"/>
  <c r="CS694" i="1"/>
  <c r="CU694" i="1"/>
  <c r="T694" i="1" s="1"/>
  <c r="CV694" i="1"/>
  <c r="U694" i="1" s="1"/>
  <c r="CW694" i="1"/>
  <c r="V694" i="1" s="1"/>
  <c r="FR694" i="1"/>
  <c r="GL694" i="1"/>
  <c r="GN694" i="1"/>
  <c r="GP694" i="1"/>
  <c r="GV694" i="1"/>
  <c r="HC694" i="1" s="1"/>
  <c r="GX694" i="1" s="1"/>
  <c r="I695" i="1"/>
  <c r="Q695" i="1" s="1"/>
  <c r="P695" i="1"/>
  <c r="CP695" i="1" s="1"/>
  <c r="O695" i="1" s="1"/>
  <c r="R695" i="1"/>
  <c r="S695" i="1"/>
  <c r="CZ695" i="1" s="1"/>
  <c r="Y695" i="1" s="1"/>
  <c r="AC695" i="1"/>
  <c r="AB695" i="1" s="1"/>
  <c r="AD695" i="1"/>
  <c r="AE695" i="1"/>
  <c r="AF695" i="1"/>
  <c r="AG695" i="1"/>
  <c r="AH695" i="1"/>
  <c r="CV695" i="1" s="1"/>
  <c r="U695" i="1" s="1"/>
  <c r="AI695" i="1"/>
  <c r="AJ695" i="1"/>
  <c r="CQ695" i="1"/>
  <c r="CR695" i="1"/>
  <c r="CS695" i="1"/>
  <c r="CT695" i="1"/>
  <c r="CU695" i="1"/>
  <c r="T695" i="1" s="1"/>
  <c r="CW695" i="1"/>
  <c r="V695" i="1" s="1"/>
  <c r="CX695" i="1"/>
  <c r="W695" i="1" s="1"/>
  <c r="CY695" i="1"/>
  <c r="X695" i="1" s="1"/>
  <c r="FR695" i="1"/>
  <c r="GK695" i="1"/>
  <c r="GL695" i="1"/>
  <c r="GN695" i="1"/>
  <c r="GP695" i="1"/>
  <c r="GV695" i="1"/>
  <c r="HC695" i="1"/>
  <c r="GX695" i="1" s="1"/>
  <c r="I696" i="1"/>
  <c r="P696" i="1" s="1"/>
  <c r="R696" i="1"/>
  <c r="GK696" i="1" s="1"/>
  <c r="AC696" i="1"/>
  <c r="AE696" i="1"/>
  <c r="AD696" i="1" s="1"/>
  <c r="AB696" i="1" s="1"/>
  <c r="AF696" i="1"/>
  <c r="S696" i="1" s="1"/>
  <c r="AG696" i="1"/>
  <c r="AH696" i="1"/>
  <c r="AI696" i="1"/>
  <c r="AJ696" i="1"/>
  <c r="CX696" i="1" s="1"/>
  <c r="W696" i="1" s="1"/>
  <c r="CQ696" i="1"/>
  <c r="CR696" i="1"/>
  <c r="CS696" i="1"/>
  <c r="CU696" i="1"/>
  <c r="T696" i="1" s="1"/>
  <c r="CV696" i="1"/>
  <c r="U696" i="1" s="1"/>
  <c r="CW696" i="1"/>
  <c r="V696" i="1" s="1"/>
  <c r="FR696" i="1"/>
  <c r="GL696" i="1"/>
  <c r="GN696" i="1"/>
  <c r="GP696" i="1"/>
  <c r="GV696" i="1"/>
  <c r="HC696" i="1" s="1"/>
  <c r="GX696" i="1" s="1"/>
  <c r="C697" i="1"/>
  <c r="D697" i="1"/>
  <c r="R697" i="1"/>
  <c r="S697" i="1"/>
  <c r="CZ697" i="1" s="1"/>
  <c r="Y697" i="1" s="1"/>
  <c r="AC697" i="1"/>
  <c r="AE697" i="1"/>
  <c r="Q697" i="1" s="1"/>
  <c r="AF697" i="1"/>
  <c r="AG697" i="1"/>
  <c r="CU697" i="1" s="1"/>
  <c r="T697" i="1" s="1"/>
  <c r="AH697" i="1"/>
  <c r="AI697" i="1"/>
  <c r="AJ697" i="1"/>
  <c r="CR697" i="1"/>
  <c r="CS697" i="1"/>
  <c r="CT697" i="1"/>
  <c r="CV697" i="1"/>
  <c r="U697" i="1" s="1"/>
  <c r="CW697" i="1"/>
  <c r="V697" i="1" s="1"/>
  <c r="CX697" i="1"/>
  <c r="W697" i="1" s="1"/>
  <c r="FR697" i="1"/>
  <c r="GK697" i="1"/>
  <c r="GL697" i="1"/>
  <c r="GN697" i="1"/>
  <c r="GP697" i="1"/>
  <c r="GV697" i="1"/>
  <c r="HC697" i="1"/>
  <c r="GX697" i="1" s="1"/>
  <c r="C698" i="1"/>
  <c r="D698" i="1"/>
  <c r="P698" i="1"/>
  <c r="R698" i="1"/>
  <c r="S698" i="1"/>
  <c r="CZ698" i="1" s="1"/>
  <c r="Y698" i="1" s="1"/>
  <c r="AC698" i="1"/>
  <c r="AB698" i="1" s="1"/>
  <c r="AD698" i="1"/>
  <c r="AE698" i="1"/>
  <c r="Q698" i="1" s="1"/>
  <c r="AF698" i="1"/>
  <c r="AG698" i="1"/>
  <c r="AH698" i="1"/>
  <c r="CV698" i="1" s="1"/>
  <c r="U698" i="1" s="1"/>
  <c r="AI698" i="1"/>
  <c r="AJ698" i="1"/>
  <c r="CQ698" i="1"/>
  <c r="CR698" i="1"/>
  <c r="CS698" i="1"/>
  <c r="CT698" i="1"/>
  <c r="CU698" i="1"/>
  <c r="T698" i="1" s="1"/>
  <c r="CW698" i="1"/>
  <c r="V698" i="1" s="1"/>
  <c r="CX698" i="1"/>
  <c r="W698" i="1" s="1"/>
  <c r="CY698" i="1"/>
  <c r="X698" i="1" s="1"/>
  <c r="FR698" i="1"/>
  <c r="GK698" i="1"/>
  <c r="GL698" i="1"/>
  <c r="FR702" i="1" s="1"/>
  <c r="GN698" i="1"/>
  <c r="GP698" i="1"/>
  <c r="FV702" i="1" s="1"/>
  <c r="GV698" i="1"/>
  <c r="HC698" i="1"/>
  <c r="GX698" i="1" s="1"/>
  <c r="I699" i="1"/>
  <c r="P699" i="1" s="1"/>
  <c r="R699" i="1"/>
  <c r="GK699" i="1" s="1"/>
  <c r="AC699" i="1"/>
  <c r="AE699" i="1"/>
  <c r="AD699" i="1" s="1"/>
  <c r="AB699" i="1" s="1"/>
  <c r="AF699" i="1"/>
  <c r="S699" i="1" s="1"/>
  <c r="AG699" i="1"/>
  <c r="AH699" i="1"/>
  <c r="AI699" i="1"/>
  <c r="AJ699" i="1"/>
  <c r="CX699" i="1" s="1"/>
  <c r="W699" i="1" s="1"/>
  <c r="CQ699" i="1"/>
  <c r="CR699" i="1"/>
  <c r="CS699" i="1"/>
  <c r="CU699" i="1"/>
  <c r="T699" i="1" s="1"/>
  <c r="CV699" i="1"/>
  <c r="U699" i="1" s="1"/>
  <c r="CW699" i="1"/>
  <c r="V699" i="1" s="1"/>
  <c r="FR699" i="1"/>
  <c r="GL699" i="1"/>
  <c r="GN699" i="1"/>
  <c r="GP699" i="1"/>
  <c r="GV699" i="1"/>
  <c r="HC699" i="1" s="1"/>
  <c r="GX699" i="1" s="1"/>
  <c r="I700" i="1"/>
  <c r="Q700" i="1" s="1"/>
  <c r="P700" i="1"/>
  <c r="CP700" i="1" s="1"/>
  <c r="O700" i="1" s="1"/>
  <c r="R700" i="1"/>
  <c r="S700" i="1"/>
  <c r="CZ700" i="1" s="1"/>
  <c r="Y700" i="1" s="1"/>
  <c r="AC700" i="1"/>
  <c r="AB700" i="1" s="1"/>
  <c r="AD700" i="1"/>
  <c r="AE700" i="1"/>
  <c r="AF700" i="1"/>
  <c r="AG700" i="1"/>
  <c r="AH700" i="1"/>
  <c r="CV700" i="1" s="1"/>
  <c r="U700" i="1" s="1"/>
  <c r="AI700" i="1"/>
  <c r="AJ700" i="1"/>
  <c r="CQ700" i="1"/>
  <c r="CR700" i="1"/>
  <c r="CS700" i="1"/>
  <c r="CT700" i="1"/>
  <c r="CU700" i="1"/>
  <c r="T700" i="1" s="1"/>
  <c r="CW700" i="1"/>
  <c r="V700" i="1" s="1"/>
  <c r="CX700" i="1"/>
  <c r="W700" i="1" s="1"/>
  <c r="CY700" i="1"/>
  <c r="X700" i="1" s="1"/>
  <c r="FR700" i="1"/>
  <c r="GK700" i="1"/>
  <c r="GL700" i="1"/>
  <c r="GN700" i="1"/>
  <c r="GP700" i="1"/>
  <c r="GV700" i="1"/>
  <c r="HC700" i="1"/>
  <c r="GX700" i="1" s="1"/>
  <c r="B702" i="1"/>
  <c r="B645" i="1" s="1"/>
  <c r="C702" i="1"/>
  <c r="C645" i="1" s="1"/>
  <c r="D702" i="1"/>
  <c r="D645" i="1" s="1"/>
  <c r="F702" i="1"/>
  <c r="F645" i="1" s="1"/>
  <c r="G702" i="1"/>
  <c r="G645" i="1" s="1"/>
  <c r="BX702" i="1"/>
  <c r="AO702" i="1" s="1"/>
  <c r="BY702" i="1"/>
  <c r="BY645" i="1" s="1"/>
  <c r="CK702" i="1"/>
  <c r="CK645" i="1" s="1"/>
  <c r="CL702" i="1"/>
  <c r="CL645" i="1" s="1"/>
  <c r="CM702" i="1"/>
  <c r="CM645" i="1" s="1"/>
  <c r="FP702" i="1"/>
  <c r="FP645" i="1" s="1"/>
  <c r="GC702" i="1"/>
  <c r="GC645" i="1" s="1"/>
  <c r="GD702" i="1"/>
  <c r="GD645" i="1" s="1"/>
  <c r="GE702" i="1"/>
  <c r="GE645" i="1" s="1"/>
  <c r="D732" i="1"/>
  <c r="E734" i="1"/>
  <c r="Z734" i="1"/>
  <c r="AA734" i="1"/>
  <c r="AM734" i="1"/>
  <c r="AN734" i="1"/>
  <c r="BE734" i="1"/>
  <c r="BF734" i="1"/>
  <c r="BG734" i="1"/>
  <c r="BH734" i="1"/>
  <c r="BI734" i="1"/>
  <c r="BJ734" i="1"/>
  <c r="BK734" i="1"/>
  <c r="BL734" i="1"/>
  <c r="BM734" i="1"/>
  <c r="BN734" i="1"/>
  <c r="BO734" i="1"/>
  <c r="BP734" i="1"/>
  <c r="BQ734" i="1"/>
  <c r="BR734" i="1"/>
  <c r="BS734" i="1"/>
  <c r="BT734" i="1"/>
  <c r="BU734" i="1"/>
  <c r="BV734" i="1"/>
  <c r="BW734" i="1"/>
  <c r="CN734" i="1"/>
  <c r="CO734" i="1"/>
  <c r="CP734" i="1"/>
  <c r="CQ734" i="1"/>
  <c r="CR734" i="1"/>
  <c r="CS734" i="1"/>
  <c r="CT734" i="1"/>
  <c r="CU734" i="1"/>
  <c r="CV734" i="1"/>
  <c r="CW734" i="1"/>
  <c r="CX734" i="1"/>
  <c r="CY734" i="1"/>
  <c r="CZ734" i="1"/>
  <c r="DA734" i="1"/>
  <c r="DB734" i="1"/>
  <c r="DC734" i="1"/>
  <c r="DD734" i="1"/>
  <c r="DE734" i="1"/>
  <c r="DF734" i="1"/>
  <c r="DR734" i="1"/>
  <c r="DS734" i="1"/>
  <c r="EE734" i="1"/>
  <c r="EF734" i="1"/>
  <c r="EW734" i="1"/>
  <c r="EX734" i="1"/>
  <c r="EY734" i="1"/>
  <c r="EZ734" i="1"/>
  <c r="FA734" i="1"/>
  <c r="FB734" i="1"/>
  <c r="FC734" i="1"/>
  <c r="FD734" i="1"/>
  <c r="FE734" i="1"/>
  <c r="FF734" i="1"/>
  <c r="FG734" i="1"/>
  <c r="FH734" i="1"/>
  <c r="FI734" i="1"/>
  <c r="FJ734" i="1"/>
  <c r="FK734" i="1"/>
  <c r="FL734" i="1"/>
  <c r="FM734" i="1"/>
  <c r="FN734" i="1"/>
  <c r="FO734" i="1"/>
  <c r="FP734" i="1"/>
  <c r="GF734" i="1"/>
  <c r="GG734" i="1"/>
  <c r="GH734" i="1"/>
  <c r="GI734" i="1"/>
  <c r="GJ734" i="1"/>
  <c r="GK734" i="1"/>
  <c r="GL734" i="1"/>
  <c r="GM734" i="1"/>
  <c r="GN734" i="1"/>
  <c r="GO734" i="1"/>
  <c r="GP734" i="1"/>
  <c r="GQ734" i="1"/>
  <c r="GR734" i="1"/>
  <c r="GS734" i="1"/>
  <c r="GT734" i="1"/>
  <c r="GU734" i="1"/>
  <c r="GV734" i="1"/>
  <c r="GW734" i="1"/>
  <c r="GX734" i="1"/>
  <c r="AC736" i="1"/>
  <c r="AB736" i="1" s="1"/>
  <c r="AD736" i="1"/>
  <c r="AE736" i="1"/>
  <c r="CS736" i="1" s="1"/>
  <c r="R736" i="1" s="1"/>
  <c r="AF736" i="1"/>
  <c r="AG736" i="1"/>
  <c r="AH736" i="1"/>
  <c r="AI736" i="1"/>
  <c r="CW736" i="1" s="1"/>
  <c r="V736" i="1" s="1"/>
  <c r="AJ736" i="1"/>
  <c r="CQ736" i="1"/>
  <c r="P736" i="1" s="1"/>
  <c r="CR736" i="1"/>
  <c r="Q736" i="1" s="1"/>
  <c r="CT736" i="1"/>
  <c r="S736" i="1" s="1"/>
  <c r="CU736" i="1"/>
  <c r="T736" i="1" s="1"/>
  <c r="AG759" i="1" s="1"/>
  <c r="CV736" i="1"/>
  <c r="U736" i="1" s="1"/>
  <c r="CX736" i="1"/>
  <c r="W736" i="1" s="1"/>
  <c r="CY736" i="1"/>
  <c r="X736" i="1" s="1"/>
  <c r="CZ736" i="1"/>
  <c r="Y736" i="1" s="1"/>
  <c r="FR736" i="1"/>
  <c r="GL736" i="1"/>
  <c r="BZ759" i="1" s="1"/>
  <c r="GO736" i="1"/>
  <c r="GP736" i="1"/>
  <c r="CD759" i="1" s="1"/>
  <c r="GV736" i="1"/>
  <c r="HC736" i="1" s="1"/>
  <c r="GX736" i="1" s="1"/>
  <c r="AC737" i="1"/>
  <c r="AB737" i="1" s="1"/>
  <c r="AD737" i="1"/>
  <c r="CR737" i="1" s="1"/>
  <c r="Q737" i="1" s="1"/>
  <c r="AE737" i="1"/>
  <c r="AF737" i="1"/>
  <c r="AG737" i="1"/>
  <c r="AH737" i="1"/>
  <c r="CV737" i="1" s="1"/>
  <c r="U737" i="1" s="1"/>
  <c r="AI737" i="1"/>
  <c r="AJ737" i="1"/>
  <c r="CQ737" i="1"/>
  <c r="P737" i="1" s="1"/>
  <c r="CS737" i="1"/>
  <c r="R737" i="1" s="1"/>
  <c r="CT737" i="1"/>
  <c r="S737" i="1" s="1"/>
  <c r="CU737" i="1"/>
  <c r="T737" i="1" s="1"/>
  <c r="CW737" i="1"/>
  <c r="V737" i="1" s="1"/>
  <c r="CX737" i="1"/>
  <c r="W737" i="1" s="1"/>
  <c r="FR737" i="1"/>
  <c r="GL737" i="1"/>
  <c r="GO737" i="1"/>
  <c r="GP737" i="1"/>
  <c r="GV737" i="1"/>
  <c r="HC737" i="1"/>
  <c r="GX737" i="1" s="1"/>
  <c r="AC738" i="1"/>
  <c r="AB738" i="1" s="1"/>
  <c r="AD738" i="1"/>
  <c r="AE738" i="1"/>
  <c r="AF738" i="1"/>
  <c r="AG738" i="1"/>
  <c r="CU738" i="1" s="1"/>
  <c r="T738" i="1" s="1"/>
  <c r="AH738" i="1"/>
  <c r="AI738" i="1"/>
  <c r="AJ738" i="1"/>
  <c r="CR738" i="1"/>
  <c r="Q738" i="1" s="1"/>
  <c r="CS738" i="1"/>
  <c r="R738" i="1" s="1"/>
  <c r="GK738" i="1" s="1"/>
  <c r="CT738" i="1"/>
  <c r="S738" i="1" s="1"/>
  <c r="CV738" i="1"/>
  <c r="U738" i="1" s="1"/>
  <c r="CW738" i="1"/>
  <c r="V738" i="1" s="1"/>
  <c r="CX738" i="1"/>
  <c r="W738" i="1" s="1"/>
  <c r="CY738" i="1"/>
  <c r="X738" i="1" s="1"/>
  <c r="CZ738" i="1"/>
  <c r="Y738" i="1" s="1"/>
  <c r="FR738" i="1"/>
  <c r="GL738" i="1"/>
  <c r="GO738" i="1"/>
  <c r="GP738" i="1"/>
  <c r="GV738" i="1"/>
  <c r="HC738" i="1"/>
  <c r="GX738" i="1" s="1"/>
  <c r="AC739" i="1"/>
  <c r="AD739" i="1"/>
  <c r="AE739" i="1"/>
  <c r="AF739" i="1"/>
  <c r="AB739" i="1" s="1"/>
  <c r="AG739" i="1"/>
  <c r="AH739" i="1"/>
  <c r="AI739" i="1"/>
  <c r="AJ739" i="1"/>
  <c r="CX739" i="1" s="1"/>
  <c r="W739" i="1" s="1"/>
  <c r="CQ739" i="1"/>
  <c r="P739" i="1" s="1"/>
  <c r="CR739" i="1"/>
  <c r="Q739" i="1" s="1"/>
  <c r="CS739" i="1"/>
  <c r="R739" i="1" s="1"/>
  <c r="GK739" i="1" s="1"/>
  <c r="CU739" i="1"/>
  <c r="T739" i="1" s="1"/>
  <c r="CV739" i="1"/>
  <c r="U739" i="1" s="1"/>
  <c r="CW739" i="1"/>
  <c r="V739" i="1" s="1"/>
  <c r="FR739" i="1"/>
  <c r="GL739" i="1"/>
  <c r="GO739" i="1"/>
  <c r="GP739" i="1"/>
  <c r="GV739" i="1"/>
  <c r="HC739" i="1" s="1"/>
  <c r="GX739" i="1" s="1"/>
  <c r="P740" i="1"/>
  <c r="S740" i="1"/>
  <c r="AC740" i="1"/>
  <c r="AE740" i="1"/>
  <c r="AD740" i="1" s="1"/>
  <c r="AF740" i="1"/>
  <c r="AG740" i="1"/>
  <c r="AH740" i="1"/>
  <c r="AI740" i="1"/>
  <c r="CW740" i="1" s="1"/>
  <c r="V740" i="1" s="1"/>
  <c r="AJ740" i="1"/>
  <c r="CQ740" i="1"/>
  <c r="CR740" i="1"/>
  <c r="CT740" i="1"/>
  <c r="CU740" i="1"/>
  <c r="T740" i="1" s="1"/>
  <c r="CV740" i="1"/>
  <c r="U740" i="1" s="1"/>
  <c r="CX740" i="1"/>
  <c r="W740" i="1" s="1"/>
  <c r="CY740" i="1"/>
  <c r="X740" i="1" s="1"/>
  <c r="CZ740" i="1"/>
  <c r="Y740" i="1" s="1"/>
  <c r="GL740" i="1"/>
  <c r="GN740" i="1"/>
  <c r="GO740" i="1"/>
  <c r="GP740" i="1"/>
  <c r="GV740" i="1"/>
  <c r="HC740" i="1" s="1"/>
  <c r="GX740" i="1" s="1"/>
  <c r="P741" i="1"/>
  <c r="FR741" i="1" s="1"/>
  <c r="R741" i="1"/>
  <c r="S741" i="1"/>
  <c r="CZ741" i="1" s="1"/>
  <c r="Y741" i="1" s="1"/>
  <c r="AC741" i="1"/>
  <c r="AB741" i="1" s="1"/>
  <c r="AD741" i="1"/>
  <c r="AE741" i="1"/>
  <c r="Q741" i="1" s="1"/>
  <c r="AF741" i="1"/>
  <c r="AG741" i="1"/>
  <c r="AH741" i="1"/>
  <c r="CV741" i="1" s="1"/>
  <c r="U741" i="1" s="1"/>
  <c r="AI741" i="1"/>
  <c r="AJ741" i="1"/>
  <c r="CQ741" i="1"/>
  <c r="CR741" i="1"/>
  <c r="CS741" i="1"/>
  <c r="CT741" i="1"/>
  <c r="CU741" i="1"/>
  <c r="T741" i="1" s="1"/>
  <c r="CW741" i="1"/>
  <c r="V741" i="1" s="1"/>
  <c r="CX741" i="1"/>
  <c r="W741" i="1" s="1"/>
  <c r="CY741" i="1"/>
  <c r="X741" i="1" s="1"/>
  <c r="GK741" i="1"/>
  <c r="GL741" i="1"/>
  <c r="GN741" i="1"/>
  <c r="GO741" i="1"/>
  <c r="GP741" i="1"/>
  <c r="GV741" i="1"/>
  <c r="HC741" i="1"/>
  <c r="GX741" i="1" s="1"/>
  <c r="AC742" i="1"/>
  <c r="AB742" i="1" s="1"/>
  <c r="AD742" i="1"/>
  <c r="AE742" i="1"/>
  <c r="AF742" i="1"/>
  <c r="AG742" i="1"/>
  <c r="CU742" i="1" s="1"/>
  <c r="T742" i="1" s="1"/>
  <c r="AH742" i="1"/>
  <c r="AI742" i="1"/>
  <c r="AJ742" i="1"/>
  <c r="CR742" i="1"/>
  <c r="Q742" i="1" s="1"/>
  <c r="CS742" i="1"/>
  <c r="R742" i="1" s="1"/>
  <c r="GK742" i="1" s="1"/>
  <c r="CT742" i="1"/>
  <c r="S742" i="1" s="1"/>
  <c r="CV742" i="1"/>
  <c r="U742" i="1" s="1"/>
  <c r="CW742" i="1"/>
  <c r="V742" i="1" s="1"/>
  <c r="CX742" i="1"/>
  <c r="W742" i="1" s="1"/>
  <c r="CY742" i="1"/>
  <c r="X742" i="1" s="1"/>
  <c r="CZ742" i="1"/>
  <c r="Y742" i="1" s="1"/>
  <c r="FR742" i="1"/>
  <c r="GL742" i="1"/>
  <c r="GO742" i="1"/>
  <c r="GP742" i="1"/>
  <c r="GV742" i="1"/>
  <c r="HC742" i="1"/>
  <c r="GX742" i="1" s="1"/>
  <c r="AC743" i="1"/>
  <c r="AD743" i="1"/>
  <c r="AE743" i="1"/>
  <c r="AF743" i="1"/>
  <c r="AB743" i="1" s="1"/>
  <c r="AG743" i="1"/>
  <c r="AH743" i="1"/>
  <c r="AI743" i="1"/>
  <c r="AJ743" i="1"/>
  <c r="CX743" i="1" s="1"/>
  <c r="W743" i="1" s="1"/>
  <c r="CQ743" i="1"/>
  <c r="P743" i="1" s="1"/>
  <c r="CR743" i="1"/>
  <c r="Q743" i="1" s="1"/>
  <c r="CS743" i="1"/>
  <c r="R743" i="1" s="1"/>
  <c r="GK743" i="1" s="1"/>
  <c r="CU743" i="1"/>
  <c r="T743" i="1" s="1"/>
  <c r="CV743" i="1"/>
  <c r="U743" i="1" s="1"/>
  <c r="CW743" i="1"/>
  <c r="V743" i="1" s="1"/>
  <c r="FR743" i="1"/>
  <c r="GL743" i="1"/>
  <c r="GO743" i="1"/>
  <c r="GP743" i="1"/>
  <c r="GV743" i="1"/>
  <c r="HC743" i="1" s="1"/>
  <c r="GX743" i="1" s="1"/>
  <c r="AC744" i="1"/>
  <c r="AB744" i="1" s="1"/>
  <c r="AD744" i="1"/>
  <c r="AE744" i="1"/>
  <c r="CS744" i="1" s="1"/>
  <c r="R744" i="1" s="1"/>
  <c r="GK744" i="1" s="1"/>
  <c r="AF744" i="1"/>
  <c r="AG744" i="1"/>
  <c r="AH744" i="1"/>
  <c r="AI744" i="1"/>
  <c r="CW744" i="1" s="1"/>
  <c r="V744" i="1" s="1"/>
  <c r="AJ744" i="1"/>
  <c r="CQ744" i="1"/>
  <c r="P744" i="1" s="1"/>
  <c r="CP744" i="1" s="1"/>
  <c r="O744" i="1" s="1"/>
  <c r="CR744" i="1"/>
  <c r="Q744" i="1" s="1"/>
  <c r="CT744" i="1"/>
  <c r="S744" i="1" s="1"/>
  <c r="CU744" i="1"/>
  <c r="T744" i="1" s="1"/>
  <c r="CV744" i="1"/>
  <c r="U744" i="1" s="1"/>
  <c r="CX744" i="1"/>
  <c r="W744" i="1" s="1"/>
  <c r="CY744" i="1"/>
  <c r="X744" i="1" s="1"/>
  <c r="CZ744" i="1"/>
  <c r="Y744" i="1" s="1"/>
  <c r="FR744" i="1"/>
  <c r="GL744" i="1"/>
  <c r="GO744" i="1"/>
  <c r="GP744" i="1"/>
  <c r="GV744" i="1"/>
  <c r="HC744" i="1" s="1"/>
  <c r="GX744" i="1" s="1"/>
  <c r="AC745" i="1"/>
  <c r="AB745" i="1" s="1"/>
  <c r="AD745" i="1"/>
  <c r="CR745" i="1" s="1"/>
  <c r="Q745" i="1" s="1"/>
  <c r="AE745" i="1"/>
  <c r="AF745" i="1"/>
  <c r="AG745" i="1"/>
  <c r="AH745" i="1"/>
  <c r="CV745" i="1" s="1"/>
  <c r="U745" i="1" s="1"/>
  <c r="AI745" i="1"/>
  <c r="AJ745" i="1"/>
  <c r="CQ745" i="1"/>
  <c r="P745" i="1" s="1"/>
  <c r="CS745" i="1"/>
  <c r="R745" i="1" s="1"/>
  <c r="GK745" i="1" s="1"/>
  <c r="CT745" i="1"/>
  <c r="S745" i="1" s="1"/>
  <c r="CU745" i="1"/>
  <c r="T745" i="1" s="1"/>
  <c r="CW745" i="1"/>
  <c r="V745" i="1" s="1"/>
  <c r="CX745" i="1"/>
  <c r="W745" i="1" s="1"/>
  <c r="FR745" i="1"/>
  <c r="GL745" i="1"/>
  <c r="GO745" i="1"/>
  <c r="GP745" i="1"/>
  <c r="GV745" i="1"/>
  <c r="HC745" i="1"/>
  <c r="GX745" i="1" s="1"/>
  <c r="AC746" i="1"/>
  <c r="AB746" i="1" s="1"/>
  <c r="AD746" i="1"/>
  <c r="AE746" i="1"/>
  <c r="AF746" i="1"/>
  <c r="AG746" i="1"/>
  <c r="CU746" i="1" s="1"/>
  <c r="T746" i="1" s="1"/>
  <c r="AH746" i="1"/>
  <c r="AI746" i="1"/>
  <c r="AJ746" i="1"/>
  <c r="CR746" i="1"/>
  <c r="Q746" i="1" s="1"/>
  <c r="CS746" i="1"/>
  <c r="R746" i="1" s="1"/>
  <c r="GK746" i="1" s="1"/>
  <c r="CT746" i="1"/>
  <c r="S746" i="1" s="1"/>
  <c r="CV746" i="1"/>
  <c r="U746" i="1" s="1"/>
  <c r="CW746" i="1"/>
  <c r="V746" i="1" s="1"/>
  <c r="CX746" i="1"/>
  <c r="W746" i="1" s="1"/>
  <c r="CY746" i="1"/>
  <c r="X746" i="1" s="1"/>
  <c r="CZ746" i="1"/>
  <c r="Y746" i="1" s="1"/>
  <c r="FR746" i="1"/>
  <c r="GL746" i="1"/>
  <c r="GO746" i="1"/>
  <c r="GP746" i="1"/>
  <c r="GV746" i="1"/>
  <c r="HC746" i="1"/>
  <c r="GX746" i="1" s="1"/>
  <c r="AC747" i="1"/>
  <c r="AD747" i="1"/>
  <c r="AE747" i="1"/>
  <c r="AF747" i="1"/>
  <c r="AB747" i="1" s="1"/>
  <c r="AG747" i="1"/>
  <c r="AH747" i="1"/>
  <c r="AI747" i="1"/>
  <c r="AJ747" i="1"/>
  <c r="CX747" i="1" s="1"/>
  <c r="W747" i="1" s="1"/>
  <c r="CQ747" i="1"/>
  <c r="P747" i="1" s="1"/>
  <c r="CR747" i="1"/>
  <c r="Q747" i="1" s="1"/>
  <c r="CS747" i="1"/>
  <c r="R747" i="1" s="1"/>
  <c r="GK747" i="1" s="1"/>
  <c r="CU747" i="1"/>
  <c r="T747" i="1" s="1"/>
  <c r="CV747" i="1"/>
  <c r="U747" i="1" s="1"/>
  <c r="CW747" i="1"/>
  <c r="V747" i="1" s="1"/>
  <c r="FR747" i="1"/>
  <c r="GL747" i="1"/>
  <c r="GO747" i="1"/>
  <c r="GP747" i="1"/>
  <c r="GV747" i="1"/>
  <c r="HC747" i="1" s="1"/>
  <c r="GX747" i="1" s="1"/>
  <c r="AC748" i="1"/>
  <c r="AB748" i="1" s="1"/>
  <c r="AD748" i="1"/>
  <c r="AE748" i="1"/>
  <c r="CS748" i="1" s="1"/>
  <c r="R748" i="1" s="1"/>
  <c r="GK748" i="1" s="1"/>
  <c r="AF748" i="1"/>
  <c r="AG748" i="1"/>
  <c r="AH748" i="1"/>
  <c r="AI748" i="1"/>
  <c r="CW748" i="1" s="1"/>
  <c r="V748" i="1" s="1"/>
  <c r="AJ748" i="1"/>
  <c r="CQ748" i="1"/>
  <c r="P748" i="1" s="1"/>
  <c r="CR748" i="1"/>
  <c r="Q748" i="1" s="1"/>
  <c r="CT748" i="1"/>
  <c r="S748" i="1" s="1"/>
  <c r="CU748" i="1"/>
  <c r="T748" i="1" s="1"/>
  <c r="CV748" i="1"/>
  <c r="U748" i="1" s="1"/>
  <c r="CX748" i="1"/>
  <c r="W748" i="1" s="1"/>
  <c r="CY748" i="1"/>
  <c r="X748" i="1" s="1"/>
  <c r="CZ748" i="1"/>
  <c r="Y748" i="1" s="1"/>
  <c r="FR748" i="1"/>
  <c r="GL748" i="1"/>
  <c r="GO748" i="1"/>
  <c r="GP748" i="1"/>
  <c r="GV748" i="1"/>
  <c r="HC748" i="1" s="1"/>
  <c r="GX748" i="1" s="1"/>
  <c r="AC749" i="1"/>
  <c r="AB749" i="1" s="1"/>
  <c r="AD749" i="1"/>
  <c r="CR749" i="1" s="1"/>
  <c r="Q749" i="1" s="1"/>
  <c r="AE749" i="1"/>
  <c r="AF749" i="1"/>
  <c r="AG749" i="1"/>
  <c r="AH749" i="1"/>
  <c r="CV749" i="1" s="1"/>
  <c r="U749" i="1" s="1"/>
  <c r="AI749" i="1"/>
  <c r="AJ749" i="1"/>
  <c r="CQ749" i="1"/>
  <c r="P749" i="1" s="1"/>
  <c r="CS749" i="1"/>
  <c r="R749" i="1" s="1"/>
  <c r="GK749" i="1" s="1"/>
  <c r="CT749" i="1"/>
  <c r="S749" i="1" s="1"/>
  <c r="CU749" i="1"/>
  <c r="T749" i="1" s="1"/>
  <c r="CW749" i="1"/>
  <c r="V749" i="1" s="1"/>
  <c r="CX749" i="1"/>
  <c r="W749" i="1" s="1"/>
  <c r="FR749" i="1"/>
  <c r="GL749" i="1"/>
  <c r="FR759" i="1" s="1"/>
  <c r="GO749" i="1"/>
  <c r="GP749" i="1"/>
  <c r="FV759" i="1" s="1"/>
  <c r="GV749" i="1"/>
  <c r="HC749" i="1"/>
  <c r="GX749" i="1" s="1"/>
  <c r="AC750" i="1"/>
  <c r="AB750" i="1" s="1"/>
  <c r="AD750" i="1"/>
  <c r="AE750" i="1"/>
  <c r="AF750" i="1"/>
  <c r="AG750" i="1"/>
  <c r="CU750" i="1" s="1"/>
  <c r="T750" i="1" s="1"/>
  <c r="AH750" i="1"/>
  <c r="AI750" i="1"/>
  <c r="AJ750" i="1"/>
  <c r="CR750" i="1"/>
  <c r="Q750" i="1" s="1"/>
  <c r="CS750" i="1"/>
  <c r="R750" i="1" s="1"/>
  <c r="GK750" i="1" s="1"/>
  <c r="CT750" i="1"/>
  <c r="S750" i="1" s="1"/>
  <c r="CV750" i="1"/>
  <c r="U750" i="1" s="1"/>
  <c r="CW750" i="1"/>
  <c r="V750" i="1" s="1"/>
  <c r="CX750" i="1"/>
  <c r="W750" i="1" s="1"/>
  <c r="CY750" i="1"/>
  <c r="X750" i="1" s="1"/>
  <c r="CZ750" i="1"/>
  <c r="Y750" i="1" s="1"/>
  <c r="FR750" i="1"/>
  <c r="GL750" i="1"/>
  <c r="GO750" i="1"/>
  <c r="GP750" i="1"/>
  <c r="GV750" i="1"/>
  <c r="HC750" i="1"/>
  <c r="GX750" i="1" s="1"/>
  <c r="AC751" i="1"/>
  <c r="AD751" i="1"/>
  <c r="AE751" i="1"/>
  <c r="AF751" i="1"/>
  <c r="AB751" i="1" s="1"/>
  <c r="AG751" i="1"/>
  <c r="AH751" i="1"/>
  <c r="AI751" i="1"/>
  <c r="AJ751" i="1"/>
  <c r="CX751" i="1" s="1"/>
  <c r="W751" i="1" s="1"/>
  <c r="CQ751" i="1"/>
  <c r="P751" i="1" s="1"/>
  <c r="CR751" i="1"/>
  <c r="Q751" i="1" s="1"/>
  <c r="CS751" i="1"/>
  <c r="R751" i="1" s="1"/>
  <c r="GK751" i="1" s="1"/>
  <c r="CU751" i="1"/>
  <c r="T751" i="1" s="1"/>
  <c r="CV751" i="1"/>
  <c r="U751" i="1" s="1"/>
  <c r="CW751" i="1"/>
  <c r="V751" i="1" s="1"/>
  <c r="FR751" i="1"/>
  <c r="GL751" i="1"/>
  <c r="GO751" i="1"/>
  <c r="GP751" i="1"/>
  <c r="GV751" i="1"/>
  <c r="HC751" i="1" s="1"/>
  <c r="GX751" i="1" s="1"/>
  <c r="AC752" i="1"/>
  <c r="AB752" i="1" s="1"/>
  <c r="AD752" i="1"/>
  <c r="AE752" i="1"/>
  <c r="CS752" i="1" s="1"/>
  <c r="R752" i="1" s="1"/>
  <c r="GK752" i="1" s="1"/>
  <c r="AF752" i="1"/>
  <c r="AG752" i="1"/>
  <c r="AH752" i="1"/>
  <c r="AI752" i="1"/>
  <c r="CW752" i="1" s="1"/>
  <c r="V752" i="1" s="1"/>
  <c r="AJ752" i="1"/>
  <c r="CQ752" i="1"/>
  <c r="P752" i="1" s="1"/>
  <c r="CP752" i="1" s="1"/>
  <c r="O752" i="1" s="1"/>
  <c r="CR752" i="1"/>
  <c r="Q752" i="1" s="1"/>
  <c r="CT752" i="1"/>
  <c r="S752" i="1" s="1"/>
  <c r="CU752" i="1"/>
  <c r="T752" i="1" s="1"/>
  <c r="CV752" i="1"/>
  <c r="U752" i="1" s="1"/>
  <c r="CX752" i="1"/>
  <c r="W752" i="1" s="1"/>
  <c r="CY752" i="1"/>
  <c r="X752" i="1" s="1"/>
  <c r="CZ752" i="1"/>
  <c r="Y752" i="1" s="1"/>
  <c r="FR752" i="1"/>
  <c r="GL752" i="1"/>
  <c r="GO752" i="1"/>
  <c r="GP752" i="1"/>
  <c r="GV752" i="1"/>
  <c r="HC752" i="1" s="1"/>
  <c r="GX752" i="1" s="1"/>
  <c r="AC753" i="1"/>
  <c r="AB753" i="1" s="1"/>
  <c r="AD753" i="1"/>
  <c r="CR753" i="1" s="1"/>
  <c r="Q753" i="1" s="1"/>
  <c r="AE753" i="1"/>
  <c r="AF753" i="1"/>
  <c r="AG753" i="1"/>
  <c r="AH753" i="1"/>
  <c r="CV753" i="1" s="1"/>
  <c r="U753" i="1" s="1"/>
  <c r="AI753" i="1"/>
  <c r="AJ753" i="1"/>
  <c r="CQ753" i="1"/>
  <c r="P753" i="1" s="1"/>
  <c r="CS753" i="1"/>
  <c r="R753" i="1" s="1"/>
  <c r="GK753" i="1" s="1"/>
  <c r="CT753" i="1"/>
  <c r="S753" i="1" s="1"/>
  <c r="CU753" i="1"/>
  <c r="T753" i="1" s="1"/>
  <c r="CW753" i="1"/>
  <c r="V753" i="1" s="1"/>
  <c r="CX753" i="1"/>
  <c r="W753" i="1" s="1"/>
  <c r="FR753" i="1"/>
  <c r="GL753" i="1"/>
  <c r="GO753" i="1"/>
  <c r="GP753" i="1"/>
  <c r="GV753" i="1"/>
  <c r="HC753" i="1"/>
  <c r="GX753" i="1" s="1"/>
  <c r="AC754" i="1"/>
  <c r="AB754" i="1" s="1"/>
  <c r="AD754" i="1"/>
  <c r="AE754" i="1"/>
  <c r="AF754" i="1"/>
  <c r="AG754" i="1"/>
  <c r="CU754" i="1" s="1"/>
  <c r="T754" i="1" s="1"/>
  <c r="AH754" i="1"/>
  <c r="AI754" i="1"/>
  <c r="AJ754" i="1"/>
  <c r="CR754" i="1"/>
  <c r="Q754" i="1" s="1"/>
  <c r="CS754" i="1"/>
  <c r="R754" i="1" s="1"/>
  <c r="GK754" i="1" s="1"/>
  <c r="CT754" i="1"/>
  <c r="S754" i="1" s="1"/>
  <c r="CV754" i="1"/>
  <c r="U754" i="1" s="1"/>
  <c r="CW754" i="1"/>
  <c r="V754" i="1" s="1"/>
  <c r="CX754" i="1"/>
  <c r="W754" i="1" s="1"/>
  <c r="CY754" i="1"/>
  <c r="X754" i="1" s="1"/>
  <c r="CZ754" i="1"/>
  <c r="Y754" i="1" s="1"/>
  <c r="FR754" i="1"/>
  <c r="GL754" i="1"/>
  <c r="GO754" i="1"/>
  <c r="GP754" i="1"/>
  <c r="GV754" i="1"/>
  <c r="HC754" i="1"/>
  <c r="GX754" i="1" s="1"/>
  <c r="AC755" i="1"/>
  <c r="AD755" i="1"/>
  <c r="AE755" i="1"/>
  <c r="AF755" i="1"/>
  <c r="AB755" i="1" s="1"/>
  <c r="AG755" i="1"/>
  <c r="AH755" i="1"/>
  <c r="AI755" i="1"/>
  <c r="AJ755" i="1"/>
  <c r="CX755" i="1" s="1"/>
  <c r="W755" i="1" s="1"/>
  <c r="CQ755" i="1"/>
  <c r="P755" i="1" s="1"/>
  <c r="CR755" i="1"/>
  <c r="Q755" i="1" s="1"/>
  <c r="CS755" i="1"/>
  <c r="R755" i="1" s="1"/>
  <c r="GK755" i="1" s="1"/>
  <c r="CU755" i="1"/>
  <c r="T755" i="1" s="1"/>
  <c r="CV755" i="1"/>
  <c r="U755" i="1" s="1"/>
  <c r="CW755" i="1"/>
  <c r="V755" i="1" s="1"/>
  <c r="FR755" i="1"/>
  <c r="GL755" i="1"/>
  <c r="GO755" i="1"/>
  <c r="GP755" i="1"/>
  <c r="GV755" i="1"/>
  <c r="HC755" i="1" s="1"/>
  <c r="GX755" i="1" s="1"/>
  <c r="P756" i="1"/>
  <c r="S756" i="1"/>
  <c r="AC756" i="1"/>
  <c r="AB756" i="1" s="1"/>
  <c r="AE756" i="1"/>
  <c r="AD756" i="1" s="1"/>
  <c r="AF756" i="1"/>
  <c r="AG756" i="1"/>
  <c r="AH756" i="1"/>
  <c r="AI756" i="1"/>
  <c r="CW756" i="1" s="1"/>
  <c r="V756" i="1" s="1"/>
  <c r="AJ756" i="1"/>
  <c r="CQ756" i="1"/>
  <c r="CR756" i="1"/>
  <c r="CT756" i="1"/>
  <c r="CU756" i="1"/>
  <c r="T756" i="1" s="1"/>
  <c r="CV756" i="1"/>
  <c r="U756" i="1" s="1"/>
  <c r="CX756" i="1"/>
  <c r="W756" i="1" s="1"/>
  <c r="CY756" i="1"/>
  <c r="X756" i="1" s="1"/>
  <c r="CZ756" i="1"/>
  <c r="Y756" i="1" s="1"/>
  <c r="GL756" i="1"/>
  <c r="GN756" i="1"/>
  <c r="GO756" i="1"/>
  <c r="GP756" i="1"/>
  <c r="GV756" i="1"/>
  <c r="HC756" i="1" s="1"/>
  <c r="GX756" i="1" s="1"/>
  <c r="P757" i="1"/>
  <c r="FR757" i="1" s="1"/>
  <c r="R757" i="1"/>
  <c r="S757" i="1"/>
  <c r="CZ757" i="1" s="1"/>
  <c r="Y757" i="1" s="1"/>
  <c r="AC757" i="1"/>
  <c r="AB757" i="1" s="1"/>
  <c r="AD757" i="1"/>
  <c r="AE757" i="1"/>
  <c r="Q757" i="1" s="1"/>
  <c r="AF757" i="1"/>
  <c r="AG757" i="1"/>
  <c r="AH757" i="1"/>
  <c r="CV757" i="1" s="1"/>
  <c r="U757" i="1" s="1"/>
  <c r="AI757" i="1"/>
  <c r="AJ757" i="1"/>
  <c r="CQ757" i="1"/>
  <c r="CR757" i="1"/>
  <c r="CS757" i="1"/>
  <c r="CT757" i="1"/>
  <c r="CU757" i="1"/>
  <c r="T757" i="1" s="1"/>
  <c r="CW757" i="1"/>
  <c r="V757" i="1" s="1"/>
  <c r="CX757" i="1"/>
  <c r="W757" i="1" s="1"/>
  <c r="CY757" i="1"/>
  <c r="X757" i="1" s="1"/>
  <c r="GK757" i="1"/>
  <c r="GL757" i="1"/>
  <c r="GN757" i="1"/>
  <c r="GO757" i="1"/>
  <c r="FU759" i="1" s="1"/>
  <c r="GP757" i="1"/>
  <c r="GV757" i="1"/>
  <c r="HC757" i="1"/>
  <c r="GX757" i="1" s="1"/>
  <c r="B759" i="1"/>
  <c r="B734" i="1" s="1"/>
  <c r="C759" i="1"/>
  <c r="C734" i="1" s="1"/>
  <c r="D759" i="1"/>
  <c r="D734" i="1" s="1"/>
  <c r="F759" i="1"/>
  <c r="F734" i="1" s="1"/>
  <c r="G759" i="1"/>
  <c r="G734" i="1" s="1"/>
  <c r="BX759" i="1"/>
  <c r="BX734" i="1" s="1"/>
  <c r="CC759" i="1"/>
  <c r="CC734" i="1" s="1"/>
  <c r="CK759" i="1"/>
  <c r="CK734" i="1" s="1"/>
  <c r="CL759" i="1"/>
  <c r="CL734" i="1" s="1"/>
  <c r="CM759" i="1"/>
  <c r="CM734" i="1" s="1"/>
  <c r="FP759" i="1"/>
  <c r="EG759" i="1" s="1"/>
  <c r="GC759" i="1"/>
  <c r="ET759" i="1" s="1"/>
  <c r="GD759" i="1"/>
  <c r="EU759" i="1" s="1"/>
  <c r="GE759" i="1"/>
  <c r="GE734" i="1" s="1"/>
  <c r="B789" i="1"/>
  <c r="B641" i="1" s="1"/>
  <c r="C789" i="1"/>
  <c r="C641" i="1" s="1"/>
  <c r="D789" i="1"/>
  <c r="D641" i="1" s="1"/>
  <c r="F789" i="1"/>
  <c r="F641" i="1" s="1"/>
  <c r="G789" i="1"/>
  <c r="G641" i="1" s="1"/>
  <c r="D819" i="1"/>
  <c r="E821" i="1"/>
  <c r="Z821" i="1"/>
  <c r="AA821" i="1"/>
  <c r="AB821" i="1"/>
  <c r="AC821" i="1"/>
  <c r="AD821" i="1"/>
  <c r="AE821" i="1"/>
  <c r="AF821" i="1"/>
  <c r="AG821" i="1"/>
  <c r="AH821" i="1"/>
  <c r="AI821" i="1"/>
  <c r="AJ821" i="1"/>
  <c r="AK821" i="1"/>
  <c r="AL821" i="1"/>
  <c r="AM821" i="1"/>
  <c r="AN821" i="1"/>
  <c r="BE821" i="1"/>
  <c r="BF821" i="1"/>
  <c r="BG821" i="1"/>
  <c r="BH821" i="1"/>
  <c r="BI821" i="1"/>
  <c r="BJ821" i="1"/>
  <c r="BK821" i="1"/>
  <c r="BL821" i="1"/>
  <c r="BM821" i="1"/>
  <c r="BN821" i="1"/>
  <c r="BO821" i="1"/>
  <c r="BP821" i="1"/>
  <c r="BQ821" i="1"/>
  <c r="BR821" i="1"/>
  <c r="BS821" i="1"/>
  <c r="BT821" i="1"/>
  <c r="BU821" i="1"/>
  <c r="BV821" i="1"/>
  <c r="BW821" i="1"/>
  <c r="BX821" i="1"/>
  <c r="BY821" i="1"/>
  <c r="BZ821" i="1"/>
  <c r="CA821" i="1"/>
  <c r="CB821" i="1"/>
  <c r="CC821" i="1"/>
  <c r="CD821" i="1"/>
  <c r="CE821" i="1"/>
  <c r="CF821" i="1"/>
  <c r="CG821" i="1"/>
  <c r="CH821" i="1"/>
  <c r="CI821" i="1"/>
  <c r="CJ821" i="1"/>
  <c r="CK821" i="1"/>
  <c r="CL821" i="1"/>
  <c r="CM821" i="1"/>
  <c r="CN821" i="1"/>
  <c r="CO821" i="1"/>
  <c r="CP821" i="1"/>
  <c r="CQ821" i="1"/>
  <c r="CR821" i="1"/>
  <c r="CS821" i="1"/>
  <c r="CT821" i="1"/>
  <c r="CU821" i="1"/>
  <c r="CV821" i="1"/>
  <c r="CW821" i="1"/>
  <c r="CX821" i="1"/>
  <c r="CY821" i="1"/>
  <c r="CZ821" i="1"/>
  <c r="DA821" i="1"/>
  <c r="DB821" i="1"/>
  <c r="DC821" i="1"/>
  <c r="DD821" i="1"/>
  <c r="DE821" i="1"/>
  <c r="DF821" i="1"/>
  <c r="DR821" i="1"/>
  <c r="DS821" i="1"/>
  <c r="DT821" i="1"/>
  <c r="DU821" i="1"/>
  <c r="DV821" i="1"/>
  <c r="DW821" i="1"/>
  <c r="DX821" i="1"/>
  <c r="DY821" i="1"/>
  <c r="DZ821" i="1"/>
  <c r="EA821" i="1"/>
  <c r="EB821" i="1"/>
  <c r="EC821" i="1"/>
  <c r="ED821" i="1"/>
  <c r="EE821" i="1"/>
  <c r="EF821" i="1"/>
  <c r="EW821" i="1"/>
  <c r="EX821" i="1"/>
  <c r="EY821" i="1"/>
  <c r="EZ821" i="1"/>
  <c r="FA821" i="1"/>
  <c r="FB821" i="1"/>
  <c r="FC821" i="1"/>
  <c r="FD821" i="1"/>
  <c r="FE821" i="1"/>
  <c r="FF821" i="1"/>
  <c r="FG821" i="1"/>
  <c r="FH821" i="1"/>
  <c r="FI821" i="1"/>
  <c r="FJ821" i="1"/>
  <c r="FK821" i="1"/>
  <c r="FL821" i="1"/>
  <c r="FM821" i="1"/>
  <c r="FN821" i="1"/>
  <c r="FO821" i="1"/>
  <c r="FP821" i="1"/>
  <c r="FQ821" i="1"/>
  <c r="FR821" i="1"/>
  <c r="FS821" i="1"/>
  <c r="FT821" i="1"/>
  <c r="FU821" i="1"/>
  <c r="FV821" i="1"/>
  <c r="FW821" i="1"/>
  <c r="FX821" i="1"/>
  <c r="FY821" i="1"/>
  <c r="FZ821" i="1"/>
  <c r="GA821" i="1"/>
  <c r="GB821" i="1"/>
  <c r="GC821" i="1"/>
  <c r="GD821" i="1"/>
  <c r="GE821" i="1"/>
  <c r="GF821" i="1"/>
  <c r="GG821" i="1"/>
  <c r="GH821" i="1"/>
  <c r="GI821" i="1"/>
  <c r="GJ821" i="1"/>
  <c r="GK821" i="1"/>
  <c r="GL821" i="1"/>
  <c r="GM821" i="1"/>
  <c r="GN821" i="1"/>
  <c r="GO821" i="1"/>
  <c r="GP821" i="1"/>
  <c r="GQ821" i="1"/>
  <c r="GR821" i="1"/>
  <c r="GS821" i="1"/>
  <c r="GT821" i="1"/>
  <c r="GU821" i="1"/>
  <c r="GV821" i="1"/>
  <c r="GW821" i="1"/>
  <c r="GX821" i="1"/>
  <c r="D823" i="1"/>
  <c r="B825" i="1"/>
  <c r="E825" i="1"/>
  <c r="F825" i="1"/>
  <c r="Z825" i="1"/>
  <c r="AA825" i="1"/>
  <c r="AM825" i="1"/>
  <c r="AN825" i="1"/>
  <c r="BE825" i="1"/>
  <c r="BF825" i="1"/>
  <c r="BG825" i="1"/>
  <c r="BH825" i="1"/>
  <c r="BI825" i="1"/>
  <c r="BJ825" i="1"/>
  <c r="BK825" i="1"/>
  <c r="BL825" i="1"/>
  <c r="BM825" i="1"/>
  <c r="BN825" i="1"/>
  <c r="BO825" i="1"/>
  <c r="BP825" i="1"/>
  <c r="BQ825" i="1"/>
  <c r="BR825" i="1"/>
  <c r="BS825" i="1"/>
  <c r="BT825" i="1"/>
  <c r="BU825" i="1"/>
  <c r="BV825" i="1"/>
  <c r="BW825" i="1"/>
  <c r="BX825" i="1"/>
  <c r="CK825" i="1"/>
  <c r="CN825" i="1"/>
  <c r="CO825" i="1"/>
  <c r="CP825" i="1"/>
  <c r="CQ825" i="1"/>
  <c r="CR825" i="1"/>
  <c r="CS825" i="1"/>
  <c r="CT825" i="1"/>
  <c r="CU825" i="1"/>
  <c r="CV825" i="1"/>
  <c r="CW825" i="1"/>
  <c r="CX825" i="1"/>
  <c r="CY825" i="1"/>
  <c r="CZ825" i="1"/>
  <c r="DA825" i="1"/>
  <c r="DB825" i="1"/>
  <c r="DC825" i="1"/>
  <c r="DD825" i="1"/>
  <c r="DE825" i="1"/>
  <c r="DF825" i="1"/>
  <c r="DR825" i="1"/>
  <c r="DS825" i="1"/>
  <c r="EE825" i="1"/>
  <c r="EF825" i="1"/>
  <c r="EW825" i="1"/>
  <c r="EX825" i="1"/>
  <c r="EY825" i="1"/>
  <c r="EZ825" i="1"/>
  <c r="FA825" i="1"/>
  <c r="FB825" i="1"/>
  <c r="FC825" i="1"/>
  <c r="FD825" i="1"/>
  <c r="FE825" i="1"/>
  <c r="FF825" i="1"/>
  <c r="FG825" i="1"/>
  <c r="FH825" i="1"/>
  <c r="FI825" i="1"/>
  <c r="FJ825" i="1"/>
  <c r="FK825" i="1"/>
  <c r="FL825" i="1"/>
  <c r="FM825" i="1"/>
  <c r="FN825" i="1"/>
  <c r="FO825" i="1"/>
  <c r="GF825" i="1"/>
  <c r="GG825" i="1"/>
  <c r="GH825" i="1"/>
  <c r="GI825" i="1"/>
  <c r="GJ825" i="1"/>
  <c r="GK825" i="1"/>
  <c r="GL825" i="1"/>
  <c r="GM825" i="1"/>
  <c r="GN825" i="1"/>
  <c r="GO825" i="1"/>
  <c r="GP825" i="1"/>
  <c r="GQ825" i="1"/>
  <c r="GR825" i="1"/>
  <c r="GS825" i="1"/>
  <c r="GT825" i="1"/>
  <c r="GU825" i="1"/>
  <c r="GV825" i="1"/>
  <c r="GW825" i="1"/>
  <c r="GX825" i="1"/>
  <c r="C827" i="1"/>
  <c r="D827" i="1"/>
  <c r="R827" i="1"/>
  <c r="S827" i="1"/>
  <c r="CZ827" i="1" s="1"/>
  <c r="Y827" i="1" s="1"/>
  <c r="AL832" i="1" s="1"/>
  <c r="AC827" i="1"/>
  <c r="AE827" i="1"/>
  <c r="Q827" i="1" s="1"/>
  <c r="AF827" i="1"/>
  <c r="AG827" i="1"/>
  <c r="CU827" i="1" s="1"/>
  <c r="T827" i="1" s="1"/>
  <c r="AG832" i="1" s="1"/>
  <c r="AH827" i="1"/>
  <c r="AI827" i="1"/>
  <c r="AJ827" i="1"/>
  <c r="CR827" i="1"/>
  <c r="CS827" i="1"/>
  <c r="CT827" i="1"/>
  <c r="CV827" i="1"/>
  <c r="U827" i="1" s="1"/>
  <c r="CW827" i="1"/>
  <c r="V827" i="1" s="1"/>
  <c r="CX827" i="1"/>
  <c r="W827" i="1" s="1"/>
  <c r="FR827" i="1"/>
  <c r="BY832" i="1" s="1"/>
  <c r="GK827" i="1"/>
  <c r="GL827" i="1"/>
  <c r="GO827" i="1"/>
  <c r="CC832" i="1" s="1"/>
  <c r="GP827" i="1"/>
  <c r="GV827" i="1"/>
  <c r="HC827" i="1"/>
  <c r="GX827" i="1" s="1"/>
  <c r="C828" i="1"/>
  <c r="D828" i="1"/>
  <c r="P828" i="1"/>
  <c r="R828" i="1"/>
  <c r="S828" i="1"/>
  <c r="CZ828" i="1" s="1"/>
  <c r="Y828" i="1" s="1"/>
  <c r="AC828" i="1"/>
  <c r="AB828" i="1" s="1"/>
  <c r="AD828" i="1"/>
  <c r="AE828" i="1"/>
  <c r="Q828" i="1" s="1"/>
  <c r="AF828" i="1"/>
  <c r="AG828" i="1"/>
  <c r="AH828" i="1"/>
  <c r="CV828" i="1" s="1"/>
  <c r="U828" i="1" s="1"/>
  <c r="AI828" i="1"/>
  <c r="AJ828" i="1"/>
  <c r="CQ828" i="1"/>
  <c r="CR828" i="1"/>
  <c r="CS828" i="1"/>
  <c r="CT828" i="1"/>
  <c r="CU828" i="1"/>
  <c r="T828" i="1" s="1"/>
  <c r="DY832" i="1" s="1"/>
  <c r="CW828" i="1"/>
  <c r="V828" i="1" s="1"/>
  <c r="CX828" i="1"/>
  <c r="W828" i="1" s="1"/>
  <c r="EB832" i="1" s="1"/>
  <c r="CY828" i="1"/>
  <c r="X828" i="1" s="1"/>
  <c r="FR828" i="1"/>
  <c r="GK828" i="1"/>
  <c r="GL828" i="1"/>
  <c r="FR832" i="1" s="1"/>
  <c r="GO828" i="1"/>
  <c r="GP828" i="1"/>
  <c r="FV832" i="1" s="1"/>
  <c r="GV828" i="1"/>
  <c r="HC828" i="1"/>
  <c r="GX828" i="1" s="1"/>
  <c r="C829" i="1"/>
  <c r="D829" i="1"/>
  <c r="P829" i="1"/>
  <c r="S829" i="1"/>
  <c r="AC829" i="1"/>
  <c r="AE829" i="1"/>
  <c r="AD829" i="1" s="1"/>
  <c r="AF829" i="1"/>
  <c r="AG829" i="1"/>
  <c r="AH829" i="1"/>
  <c r="AI829" i="1"/>
  <c r="CW829" i="1" s="1"/>
  <c r="V829" i="1" s="1"/>
  <c r="AJ829" i="1"/>
  <c r="CQ829" i="1"/>
  <c r="CR829" i="1"/>
  <c r="CT829" i="1"/>
  <c r="CU829" i="1"/>
  <c r="T829" i="1" s="1"/>
  <c r="CV829" i="1"/>
  <c r="U829" i="1" s="1"/>
  <c r="CX829" i="1"/>
  <c r="W829" i="1" s="1"/>
  <c r="CY829" i="1"/>
  <c r="X829" i="1" s="1"/>
  <c r="CZ829" i="1"/>
  <c r="Y829" i="1" s="1"/>
  <c r="FR829" i="1"/>
  <c r="GL829" i="1"/>
  <c r="GO829" i="1"/>
  <c r="GP829" i="1"/>
  <c r="GV829" i="1"/>
  <c r="HC829" i="1" s="1"/>
  <c r="GX829" i="1" s="1"/>
  <c r="C830" i="1"/>
  <c r="D830" i="1"/>
  <c r="P830" i="1"/>
  <c r="R830" i="1"/>
  <c r="DW832" i="1" s="1"/>
  <c r="AC830" i="1"/>
  <c r="AE830" i="1"/>
  <c r="AD830" i="1" s="1"/>
  <c r="AB830" i="1" s="1"/>
  <c r="AF830" i="1"/>
  <c r="S830" i="1" s="1"/>
  <c r="AG830" i="1"/>
  <c r="AH830" i="1"/>
  <c r="AI830" i="1"/>
  <c r="AJ830" i="1"/>
  <c r="CX830" i="1" s="1"/>
  <c r="W830" i="1" s="1"/>
  <c r="CQ830" i="1"/>
  <c r="CR830" i="1"/>
  <c r="CS830" i="1"/>
  <c r="CU830" i="1"/>
  <c r="T830" i="1" s="1"/>
  <c r="CV830" i="1"/>
  <c r="U830" i="1" s="1"/>
  <c r="CW830" i="1"/>
  <c r="V830" i="1" s="1"/>
  <c r="FR830" i="1"/>
  <c r="GL830" i="1"/>
  <c r="GO830" i="1"/>
  <c r="GP830" i="1"/>
  <c r="GV830" i="1"/>
  <c r="HC830" i="1" s="1"/>
  <c r="GX830" i="1" s="1"/>
  <c r="B832" i="1"/>
  <c r="C832" i="1"/>
  <c r="C825" i="1" s="1"/>
  <c r="D832" i="1"/>
  <c r="D825" i="1" s="1"/>
  <c r="F832" i="1"/>
  <c r="G832" i="1"/>
  <c r="G825" i="1" s="1"/>
  <c r="BX832" i="1"/>
  <c r="AO832" i="1" s="1"/>
  <c r="BZ832" i="1"/>
  <c r="CG832" i="1" s="1"/>
  <c r="CD832" i="1"/>
  <c r="AU832" i="1" s="1"/>
  <c r="CK832" i="1"/>
  <c r="BB832" i="1" s="1"/>
  <c r="CL832" i="1"/>
  <c r="BC832" i="1" s="1"/>
  <c r="CM832" i="1"/>
  <c r="CM825" i="1" s="1"/>
  <c r="FP832" i="1"/>
  <c r="FP825" i="1" s="1"/>
  <c r="FQ832" i="1"/>
  <c r="FU832" i="1"/>
  <c r="FU825" i="1" s="1"/>
  <c r="FY832" i="1"/>
  <c r="GC832" i="1"/>
  <c r="GD832" i="1"/>
  <c r="GD825" i="1" s="1"/>
  <c r="GE832" i="1"/>
  <c r="GE825" i="1" s="1"/>
  <c r="D862" i="1"/>
  <c r="E864" i="1"/>
  <c r="Z864" i="1"/>
  <c r="AA864" i="1"/>
  <c r="AM864" i="1"/>
  <c r="AN864" i="1"/>
  <c r="BE864" i="1"/>
  <c r="BF864" i="1"/>
  <c r="BG864" i="1"/>
  <c r="BH864" i="1"/>
  <c r="BI864" i="1"/>
  <c r="BJ864" i="1"/>
  <c r="BK864" i="1"/>
  <c r="BL864" i="1"/>
  <c r="BM864" i="1"/>
  <c r="BN864" i="1"/>
  <c r="BO864" i="1"/>
  <c r="BP864" i="1"/>
  <c r="BQ864" i="1"/>
  <c r="BR864" i="1"/>
  <c r="BS864" i="1"/>
  <c r="BT864" i="1"/>
  <c r="BU864" i="1"/>
  <c r="BV864" i="1"/>
  <c r="BW864" i="1"/>
  <c r="CN864" i="1"/>
  <c r="CO864" i="1"/>
  <c r="CP864" i="1"/>
  <c r="CQ864" i="1"/>
  <c r="CR864" i="1"/>
  <c r="CS864" i="1"/>
  <c r="CT864" i="1"/>
  <c r="CU864" i="1"/>
  <c r="CV864" i="1"/>
  <c r="CW864" i="1"/>
  <c r="CX864" i="1"/>
  <c r="CY864" i="1"/>
  <c r="CZ864" i="1"/>
  <c r="DA864" i="1"/>
  <c r="DB864" i="1"/>
  <c r="DC864" i="1"/>
  <c r="DD864" i="1"/>
  <c r="DE864" i="1"/>
  <c r="DF864" i="1"/>
  <c r="DR864" i="1"/>
  <c r="DS864" i="1"/>
  <c r="EE864" i="1"/>
  <c r="EF864" i="1"/>
  <c r="EW864" i="1"/>
  <c r="EX864" i="1"/>
  <c r="EY864" i="1"/>
  <c r="EZ864" i="1"/>
  <c r="FA864" i="1"/>
  <c r="FB864" i="1"/>
  <c r="FC864" i="1"/>
  <c r="FD864" i="1"/>
  <c r="FE864" i="1"/>
  <c r="FF864" i="1"/>
  <c r="FG864" i="1"/>
  <c r="FH864" i="1"/>
  <c r="FI864" i="1"/>
  <c r="FJ864" i="1"/>
  <c r="FK864" i="1"/>
  <c r="FL864" i="1"/>
  <c r="FM864" i="1"/>
  <c r="FN864" i="1"/>
  <c r="FO864" i="1"/>
  <c r="GF864" i="1"/>
  <c r="GG864" i="1"/>
  <c r="GH864" i="1"/>
  <c r="GI864" i="1"/>
  <c r="GJ864" i="1"/>
  <c r="GK864" i="1"/>
  <c r="GL864" i="1"/>
  <c r="GM864" i="1"/>
  <c r="GN864" i="1"/>
  <c r="GO864" i="1"/>
  <c r="GP864" i="1"/>
  <c r="GQ864" i="1"/>
  <c r="GR864" i="1"/>
  <c r="GS864" i="1"/>
  <c r="GT864" i="1"/>
  <c r="GU864" i="1"/>
  <c r="GV864" i="1"/>
  <c r="GW864" i="1"/>
  <c r="GX864" i="1"/>
  <c r="C866" i="1"/>
  <c r="D866" i="1"/>
  <c r="P866" i="1"/>
  <c r="S866" i="1"/>
  <c r="Y866" i="1"/>
  <c r="AC866" i="1"/>
  <c r="AE866" i="1"/>
  <c r="AF866" i="1"/>
  <c r="AG866" i="1"/>
  <c r="AH866" i="1"/>
  <c r="AI866" i="1"/>
  <c r="CW866" i="1" s="1"/>
  <c r="V866" i="1" s="1"/>
  <c r="AJ866" i="1"/>
  <c r="CQ866" i="1"/>
  <c r="CT866" i="1"/>
  <c r="CU866" i="1"/>
  <c r="T866" i="1" s="1"/>
  <c r="CV866" i="1"/>
  <c r="U866" i="1" s="1"/>
  <c r="CX866" i="1"/>
  <c r="W866" i="1" s="1"/>
  <c r="CY866" i="1"/>
  <c r="X866" i="1" s="1"/>
  <c r="CZ866" i="1"/>
  <c r="FR866" i="1"/>
  <c r="GL866" i="1"/>
  <c r="GN866" i="1"/>
  <c r="GP866" i="1"/>
  <c r="GV866" i="1"/>
  <c r="HC866" i="1" s="1"/>
  <c r="GX866" i="1" s="1"/>
  <c r="C867" i="1"/>
  <c r="D867" i="1"/>
  <c r="P867" i="1"/>
  <c r="R867" i="1"/>
  <c r="GK867" i="1" s="1"/>
  <c r="AC867" i="1"/>
  <c r="AE867" i="1"/>
  <c r="AD867" i="1" s="1"/>
  <c r="AF867" i="1"/>
  <c r="AG867" i="1"/>
  <c r="AH867" i="1"/>
  <c r="AI867" i="1"/>
  <c r="AJ867" i="1"/>
  <c r="CX867" i="1" s="1"/>
  <c r="W867" i="1" s="1"/>
  <c r="CQ867" i="1"/>
  <c r="CR867" i="1"/>
  <c r="CS867" i="1"/>
  <c r="CU867" i="1"/>
  <c r="T867" i="1" s="1"/>
  <c r="CV867" i="1"/>
  <c r="U867" i="1" s="1"/>
  <c r="CW867" i="1"/>
  <c r="V867" i="1" s="1"/>
  <c r="FR867" i="1"/>
  <c r="GL867" i="1"/>
  <c r="GN867" i="1"/>
  <c r="GP867" i="1"/>
  <c r="GV867" i="1"/>
  <c r="HC867" i="1" s="1"/>
  <c r="GX867" i="1"/>
  <c r="I868" i="1"/>
  <c r="Q868" i="1" s="1"/>
  <c r="P868" i="1"/>
  <c r="CP868" i="1" s="1"/>
  <c r="O868" i="1" s="1"/>
  <c r="R868" i="1"/>
  <c r="S868" i="1"/>
  <c r="CZ868" i="1" s="1"/>
  <c r="Y868" i="1" s="1"/>
  <c r="T868" i="1"/>
  <c r="AC868" i="1"/>
  <c r="AD868" i="1"/>
  <c r="AE868" i="1"/>
  <c r="AF868" i="1"/>
  <c r="AG868" i="1"/>
  <c r="AH868" i="1"/>
  <c r="CV868" i="1" s="1"/>
  <c r="U868" i="1" s="1"/>
  <c r="AI868" i="1"/>
  <c r="AJ868" i="1"/>
  <c r="CQ868" i="1"/>
  <c r="CR868" i="1"/>
  <c r="CS868" i="1"/>
  <c r="CT868" i="1"/>
  <c r="CU868" i="1"/>
  <c r="CW868" i="1"/>
  <c r="V868" i="1" s="1"/>
  <c r="CX868" i="1"/>
  <c r="W868" i="1" s="1"/>
  <c r="CY868" i="1"/>
  <c r="X868" i="1" s="1"/>
  <c r="FR868" i="1"/>
  <c r="GK868" i="1"/>
  <c r="GL868" i="1"/>
  <c r="GN868" i="1"/>
  <c r="GP868" i="1"/>
  <c r="GV868" i="1"/>
  <c r="HC868" i="1"/>
  <c r="GX868" i="1" s="1"/>
  <c r="I869" i="1"/>
  <c r="R869" i="1" s="1"/>
  <c r="AC869" i="1"/>
  <c r="AE869" i="1"/>
  <c r="AD869" i="1" s="1"/>
  <c r="AF869" i="1"/>
  <c r="AG869" i="1"/>
  <c r="AH869" i="1"/>
  <c r="AI869" i="1"/>
  <c r="AJ869" i="1"/>
  <c r="CX869" i="1" s="1"/>
  <c r="CQ869" i="1"/>
  <c r="CR869" i="1"/>
  <c r="CS869" i="1"/>
  <c r="CU869" i="1"/>
  <c r="CV869" i="1"/>
  <c r="CW869" i="1"/>
  <c r="V869" i="1" s="1"/>
  <c r="FR869" i="1"/>
  <c r="GL869" i="1"/>
  <c r="GN869" i="1"/>
  <c r="GP869" i="1"/>
  <c r="GV869" i="1"/>
  <c r="HC869" i="1" s="1"/>
  <c r="C870" i="1"/>
  <c r="D870" i="1"/>
  <c r="R870" i="1"/>
  <c r="S870" i="1"/>
  <c r="W870" i="1"/>
  <c r="AC870" i="1"/>
  <c r="AE870" i="1"/>
  <c r="Q870" i="1" s="1"/>
  <c r="AF870" i="1"/>
  <c r="AG870" i="1"/>
  <c r="CU870" i="1" s="1"/>
  <c r="T870" i="1" s="1"/>
  <c r="AH870" i="1"/>
  <c r="AI870" i="1"/>
  <c r="AJ870" i="1"/>
  <c r="CR870" i="1"/>
  <c r="CS870" i="1"/>
  <c r="CT870" i="1"/>
  <c r="CV870" i="1"/>
  <c r="U870" i="1" s="1"/>
  <c r="CW870" i="1"/>
  <c r="V870" i="1" s="1"/>
  <c r="CX870" i="1"/>
  <c r="FR870" i="1"/>
  <c r="GK870" i="1"/>
  <c r="GL870" i="1"/>
  <c r="GN870" i="1"/>
  <c r="GP870" i="1"/>
  <c r="GV870" i="1"/>
  <c r="HC870" i="1"/>
  <c r="GX870" i="1" s="1"/>
  <c r="C871" i="1"/>
  <c r="D871" i="1"/>
  <c r="P871" i="1"/>
  <c r="R871" i="1"/>
  <c r="S871" i="1"/>
  <c r="CZ871" i="1" s="1"/>
  <c r="Y871" i="1" s="1"/>
  <c r="T871" i="1"/>
  <c r="AC871" i="1"/>
  <c r="AB871" i="1" s="1"/>
  <c r="AD871" i="1"/>
  <c r="AE871" i="1"/>
  <c r="Q871" i="1" s="1"/>
  <c r="AF871" i="1"/>
  <c r="AG871" i="1"/>
  <c r="AH871" i="1"/>
  <c r="CV871" i="1" s="1"/>
  <c r="U871" i="1" s="1"/>
  <c r="AI871" i="1"/>
  <c r="AJ871" i="1"/>
  <c r="CQ871" i="1"/>
  <c r="CR871" i="1"/>
  <c r="CS871" i="1"/>
  <c r="CT871" i="1"/>
  <c r="CU871" i="1"/>
  <c r="CW871" i="1"/>
  <c r="V871" i="1" s="1"/>
  <c r="CX871" i="1"/>
  <c r="W871" i="1" s="1"/>
  <c r="CY871" i="1"/>
  <c r="X871" i="1" s="1"/>
  <c r="FR871" i="1"/>
  <c r="GK871" i="1"/>
  <c r="GL871" i="1"/>
  <c r="GN871" i="1"/>
  <c r="GP871" i="1"/>
  <c r="GV871" i="1"/>
  <c r="HC871" i="1"/>
  <c r="GX871" i="1" s="1"/>
  <c r="I872" i="1"/>
  <c r="R872" i="1"/>
  <c r="GK872" i="1" s="1"/>
  <c r="V872" i="1"/>
  <c r="AB872" i="1"/>
  <c r="AC872" i="1"/>
  <c r="AE872" i="1"/>
  <c r="AD872" i="1" s="1"/>
  <c r="AF872" i="1"/>
  <c r="AG872" i="1"/>
  <c r="AH872" i="1"/>
  <c r="AI872" i="1"/>
  <c r="AJ872" i="1"/>
  <c r="CX872" i="1" s="1"/>
  <c r="W872" i="1" s="1"/>
  <c r="CQ872" i="1"/>
  <c r="CR872" i="1"/>
  <c r="CS872" i="1"/>
  <c r="CU872" i="1"/>
  <c r="T872" i="1" s="1"/>
  <c r="CV872" i="1"/>
  <c r="U872" i="1" s="1"/>
  <c r="CW872" i="1"/>
  <c r="FR872" i="1"/>
  <c r="GL872" i="1"/>
  <c r="GN872" i="1"/>
  <c r="GP872" i="1"/>
  <c r="GV872" i="1"/>
  <c r="HC872" i="1" s="1"/>
  <c r="GX872" i="1" s="1"/>
  <c r="I873" i="1"/>
  <c r="Q873" i="1" s="1"/>
  <c r="R873" i="1"/>
  <c r="S873" i="1"/>
  <c r="CZ873" i="1" s="1"/>
  <c r="Y873" i="1" s="1"/>
  <c r="AC873" i="1"/>
  <c r="P873" i="1" s="1"/>
  <c r="CP873" i="1" s="1"/>
  <c r="O873" i="1" s="1"/>
  <c r="AD873" i="1"/>
  <c r="AE873" i="1"/>
  <c r="AF873" i="1"/>
  <c r="AG873" i="1"/>
  <c r="AH873" i="1"/>
  <c r="CV873" i="1" s="1"/>
  <c r="U873" i="1" s="1"/>
  <c r="AI873" i="1"/>
  <c r="AJ873" i="1"/>
  <c r="CQ873" i="1"/>
  <c r="CR873" i="1"/>
  <c r="CS873" i="1"/>
  <c r="CT873" i="1"/>
  <c r="CU873" i="1"/>
  <c r="T873" i="1" s="1"/>
  <c r="CW873" i="1"/>
  <c r="V873" i="1" s="1"/>
  <c r="CX873" i="1"/>
  <c r="W873" i="1" s="1"/>
  <c r="CY873" i="1"/>
  <c r="X873" i="1" s="1"/>
  <c r="FR873" i="1"/>
  <c r="GK873" i="1"/>
  <c r="GL873" i="1"/>
  <c r="GN873" i="1"/>
  <c r="GP873" i="1"/>
  <c r="GV873" i="1"/>
  <c r="HC873" i="1"/>
  <c r="GX873" i="1" s="1"/>
  <c r="I874" i="1"/>
  <c r="P874" i="1" s="1"/>
  <c r="AC874" i="1"/>
  <c r="AE874" i="1"/>
  <c r="AD874" i="1" s="1"/>
  <c r="AB874" i="1" s="1"/>
  <c r="AF874" i="1"/>
  <c r="AG874" i="1"/>
  <c r="AH874" i="1"/>
  <c r="AI874" i="1"/>
  <c r="CW874" i="1" s="1"/>
  <c r="V874" i="1" s="1"/>
  <c r="AJ874" i="1"/>
  <c r="CX874" i="1" s="1"/>
  <c r="CQ874" i="1"/>
  <c r="CS874" i="1"/>
  <c r="CU874" i="1"/>
  <c r="CV874" i="1"/>
  <c r="U874" i="1" s="1"/>
  <c r="FR874" i="1"/>
  <c r="GL874" i="1"/>
  <c r="GN874" i="1"/>
  <c r="GP874" i="1"/>
  <c r="GV874" i="1"/>
  <c r="HC874" i="1" s="1"/>
  <c r="GX874" i="1" s="1"/>
  <c r="I875" i="1"/>
  <c r="Q875" i="1" s="1"/>
  <c r="R875" i="1"/>
  <c r="S875" i="1"/>
  <c r="CZ875" i="1" s="1"/>
  <c r="Y875" i="1" s="1"/>
  <c r="AC875" i="1"/>
  <c r="AB875" i="1" s="1"/>
  <c r="AD875" i="1"/>
  <c r="AE875" i="1"/>
  <c r="AF875" i="1"/>
  <c r="AG875" i="1"/>
  <c r="CU875" i="1" s="1"/>
  <c r="T875" i="1" s="1"/>
  <c r="AH875" i="1"/>
  <c r="CV875" i="1" s="1"/>
  <c r="U875" i="1" s="1"/>
  <c r="AI875" i="1"/>
  <c r="AJ875" i="1"/>
  <c r="CR875" i="1"/>
  <c r="CS875" i="1"/>
  <c r="CT875" i="1"/>
  <c r="CW875" i="1"/>
  <c r="V875" i="1" s="1"/>
  <c r="CX875" i="1"/>
  <c r="W875" i="1" s="1"/>
  <c r="CY875" i="1"/>
  <c r="X875" i="1" s="1"/>
  <c r="FR875" i="1"/>
  <c r="GK875" i="1"/>
  <c r="GL875" i="1"/>
  <c r="GN875" i="1"/>
  <c r="GP875" i="1"/>
  <c r="GV875" i="1"/>
  <c r="HC875" i="1"/>
  <c r="GX875" i="1" s="1"/>
  <c r="I876" i="1"/>
  <c r="P876" i="1" s="1"/>
  <c r="Q876" i="1"/>
  <c r="R876" i="1"/>
  <c r="GK876" i="1" s="1"/>
  <c r="U876" i="1"/>
  <c r="AC876" i="1"/>
  <c r="AE876" i="1"/>
  <c r="AD876" i="1" s="1"/>
  <c r="AF876" i="1"/>
  <c r="AG876" i="1"/>
  <c r="AH876" i="1"/>
  <c r="AI876" i="1"/>
  <c r="AJ876" i="1"/>
  <c r="CX876" i="1" s="1"/>
  <c r="W876" i="1" s="1"/>
  <c r="CQ876" i="1"/>
  <c r="CR876" i="1"/>
  <c r="CS876" i="1"/>
  <c r="CU876" i="1"/>
  <c r="T876" i="1" s="1"/>
  <c r="CV876" i="1"/>
  <c r="CW876" i="1"/>
  <c r="V876" i="1" s="1"/>
  <c r="FR876" i="1"/>
  <c r="GL876" i="1"/>
  <c r="GN876" i="1"/>
  <c r="GP876" i="1"/>
  <c r="GV876" i="1"/>
  <c r="HC876" i="1" s="1"/>
  <c r="GX876" i="1"/>
  <c r="I877" i="1"/>
  <c r="Q877" i="1" s="1"/>
  <c r="P877" i="1"/>
  <c r="CP877" i="1" s="1"/>
  <c r="O877" i="1" s="1"/>
  <c r="R877" i="1"/>
  <c r="S877" i="1"/>
  <c r="CZ877" i="1" s="1"/>
  <c r="Y877" i="1" s="1"/>
  <c r="X877" i="1"/>
  <c r="AC877" i="1"/>
  <c r="AD877" i="1"/>
  <c r="AE877" i="1"/>
  <c r="AF877" i="1"/>
  <c r="AG877" i="1"/>
  <c r="AH877" i="1"/>
  <c r="CV877" i="1" s="1"/>
  <c r="U877" i="1" s="1"/>
  <c r="AI877" i="1"/>
  <c r="AJ877" i="1"/>
  <c r="CQ877" i="1"/>
  <c r="CR877" i="1"/>
  <c r="CS877" i="1"/>
  <c r="CT877" i="1"/>
  <c r="CU877" i="1"/>
  <c r="T877" i="1" s="1"/>
  <c r="CW877" i="1"/>
  <c r="V877" i="1" s="1"/>
  <c r="CX877" i="1"/>
  <c r="W877" i="1" s="1"/>
  <c r="CY877" i="1"/>
  <c r="FR877" i="1"/>
  <c r="GK877" i="1"/>
  <c r="GL877" i="1"/>
  <c r="GN877" i="1"/>
  <c r="GP877" i="1"/>
  <c r="GV877" i="1"/>
  <c r="HC877" i="1"/>
  <c r="GX877" i="1" s="1"/>
  <c r="C878" i="1"/>
  <c r="D878" i="1"/>
  <c r="P878" i="1"/>
  <c r="S878" i="1"/>
  <c r="AC878" i="1"/>
  <c r="AD878" i="1"/>
  <c r="AE878" i="1"/>
  <c r="AF878" i="1"/>
  <c r="AG878" i="1"/>
  <c r="AH878" i="1"/>
  <c r="CV878" i="1" s="1"/>
  <c r="U878" i="1" s="1"/>
  <c r="AI878" i="1"/>
  <c r="CW878" i="1" s="1"/>
  <c r="V878" i="1" s="1"/>
  <c r="AJ878" i="1"/>
  <c r="CQ878" i="1"/>
  <c r="CR878" i="1"/>
  <c r="CT878" i="1"/>
  <c r="CU878" i="1"/>
  <c r="T878" i="1" s="1"/>
  <c r="CX878" i="1"/>
  <c r="W878" i="1" s="1"/>
  <c r="CY878" i="1"/>
  <c r="X878" i="1" s="1"/>
  <c r="CZ878" i="1"/>
  <c r="Y878" i="1" s="1"/>
  <c r="FR878" i="1"/>
  <c r="GL878" i="1"/>
  <c r="GN878" i="1"/>
  <c r="GP878" i="1"/>
  <c r="GV878" i="1"/>
  <c r="HC878" i="1" s="1"/>
  <c r="GX878" i="1" s="1"/>
  <c r="C879" i="1"/>
  <c r="D879" i="1"/>
  <c r="P879" i="1"/>
  <c r="Q879" i="1"/>
  <c r="T879" i="1"/>
  <c r="AC879" i="1"/>
  <c r="AE879" i="1"/>
  <c r="R879" i="1" s="1"/>
  <c r="GK879" i="1" s="1"/>
  <c r="AF879" i="1"/>
  <c r="AG879" i="1"/>
  <c r="AH879" i="1"/>
  <c r="AI879" i="1"/>
  <c r="CW879" i="1" s="1"/>
  <c r="V879" i="1" s="1"/>
  <c r="AJ879" i="1"/>
  <c r="CX879" i="1" s="1"/>
  <c r="W879" i="1" s="1"/>
  <c r="CQ879" i="1"/>
  <c r="CS879" i="1"/>
  <c r="CU879" i="1"/>
  <c r="CV879" i="1"/>
  <c r="U879" i="1" s="1"/>
  <c r="FR879" i="1"/>
  <c r="GL879" i="1"/>
  <c r="GN879" i="1"/>
  <c r="GP879" i="1"/>
  <c r="GV879" i="1"/>
  <c r="HC879" i="1" s="1"/>
  <c r="GX879" i="1"/>
  <c r="I880" i="1"/>
  <c r="Q880" i="1" s="1"/>
  <c r="R880" i="1"/>
  <c r="GK880" i="1" s="1"/>
  <c r="T880" i="1"/>
  <c r="AC880" i="1"/>
  <c r="P880" i="1" s="1"/>
  <c r="AD880" i="1"/>
  <c r="AE880" i="1"/>
  <c r="AF880" i="1"/>
  <c r="S880" i="1" s="1"/>
  <c r="AG880" i="1"/>
  <c r="AH880" i="1"/>
  <c r="CV880" i="1" s="1"/>
  <c r="U880" i="1" s="1"/>
  <c r="AI880" i="1"/>
  <c r="AJ880" i="1"/>
  <c r="CQ880" i="1"/>
  <c r="CR880" i="1"/>
  <c r="CS880" i="1"/>
  <c r="CU880" i="1"/>
  <c r="CW880" i="1"/>
  <c r="V880" i="1" s="1"/>
  <c r="CX880" i="1"/>
  <c r="W880" i="1" s="1"/>
  <c r="FR880" i="1"/>
  <c r="GL880" i="1"/>
  <c r="GN880" i="1"/>
  <c r="GP880" i="1"/>
  <c r="GV880" i="1"/>
  <c r="HC880" i="1"/>
  <c r="GX880" i="1" s="1"/>
  <c r="I881" i="1"/>
  <c r="Q881" i="1" s="1"/>
  <c r="P881" i="1"/>
  <c r="R881" i="1"/>
  <c r="GK881" i="1" s="1"/>
  <c r="AC881" i="1"/>
  <c r="AD881" i="1"/>
  <c r="AE881" i="1"/>
  <c r="AF881" i="1"/>
  <c r="AG881" i="1"/>
  <c r="AH881" i="1"/>
  <c r="CV881" i="1" s="1"/>
  <c r="U881" i="1" s="1"/>
  <c r="AI881" i="1"/>
  <c r="AJ881" i="1"/>
  <c r="CX881" i="1" s="1"/>
  <c r="W881" i="1" s="1"/>
  <c r="CQ881" i="1"/>
  <c r="CR881" i="1"/>
  <c r="CS881" i="1"/>
  <c r="CU881" i="1"/>
  <c r="T881" i="1" s="1"/>
  <c r="CW881" i="1"/>
  <c r="V881" i="1" s="1"/>
  <c r="FR881" i="1"/>
  <c r="GL881" i="1"/>
  <c r="GN881" i="1"/>
  <c r="GP881" i="1"/>
  <c r="GV881" i="1"/>
  <c r="HC881" i="1" s="1"/>
  <c r="GX881" i="1" s="1"/>
  <c r="I882" i="1"/>
  <c r="Q882" i="1" s="1"/>
  <c r="S882" i="1"/>
  <c r="CZ882" i="1" s="1"/>
  <c r="Y882" i="1" s="1"/>
  <c r="AC882" i="1"/>
  <c r="CQ882" i="1" s="1"/>
  <c r="AD882" i="1"/>
  <c r="AE882" i="1"/>
  <c r="AF882" i="1"/>
  <c r="AG882" i="1"/>
  <c r="CU882" i="1" s="1"/>
  <c r="T882" i="1" s="1"/>
  <c r="AH882" i="1"/>
  <c r="CV882" i="1" s="1"/>
  <c r="AI882" i="1"/>
  <c r="AJ882" i="1"/>
  <c r="CR882" i="1"/>
  <c r="CS882" i="1"/>
  <c r="CT882" i="1"/>
  <c r="CW882" i="1"/>
  <c r="V882" i="1" s="1"/>
  <c r="CX882" i="1"/>
  <c r="FR882" i="1"/>
  <c r="GL882" i="1"/>
  <c r="GN882" i="1"/>
  <c r="GP882" i="1"/>
  <c r="GV882" i="1"/>
  <c r="HC882" i="1"/>
  <c r="I883" i="1"/>
  <c r="P883" i="1" s="1"/>
  <c r="T883" i="1"/>
  <c r="AC883" i="1"/>
  <c r="AE883" i="1"/>
  <c r="R883" i="1" s="1"/>
  <c r="GK883" i="1" s="1"/>
  <c r="AF883" i="1"/>
  <c r="AG883" i="1"/>
  <c r="AH883" i="1"/>
  <c r="AI883" i="1"/>
  <c r="CW883" i="1" s="1"/>
  <c r="V883" i="1" s="1"/>
  <c r="AJ883" i="1"/>
  <c r="CX883" i="1" s="1"/>
  <c r="CQ883" i="1"/>
  <c r="CS883" i="1"/>
  <c r="CU883" i="1"/>
  <c r="CV883" i="1"/>
  <c r="U883" i="1" s="1"/>
  <c r="FR883" i="1"/>
  <c r="GL883" i="1"/>
  <c r="GN883" i="1"/>
  <c r="GP883" i="1"/>
  <c r="GV883" i="1"/>
  <c r="HC883" i="1" s="1"/>
  <c r="GX883" i="1"/>
  <c r="C884" i="1"/>
  <c r="D884" i="1"/>
  <c r="Q884" i="1"/>
  <c r="AC884" i="1"/>
  <c r="AE884" i="1"/>
  <c r="AD884" i="1" s="1"/>
  <c r="AF884" i="1"/>
  <c r="S884" i="1" s="1"/>
  <c r="AG884" i="1"/>
  <c r="CU884" i="1" s="1"/>
  <c r="T884" i="1" s="1"/>
  <c r="AH884" i="1"/>
  <c r="AI884" i="1"/>
  <c r="AJ884" i="1"/>
  <c r="CX884" i="1" s="1"/>
  <c r="W884" i="1" s="1"/>
  <c r="CR884" i="1"/>
  <c r="CS884" i="1"/>
  <c r="CT884" i="1"/>
  <c r="CV884" i="1"/>
  <c r="U884" i="1" s="1"/>
  <c r="CW884" i="1"/>
  <c r="V884" i="1" s="1"/>
  <c r="FR884" i="1"/>
  <c r="GL884" i="1"/>
  <c r="GN884" i="1"/>
  <c r="GP884" i="1"/>
  <c r="GV884" i="1"/>
  <c r="HC884" i="1"/>
  <c r="GX884" i="1" s="1"/>
  <c r="C885" i="1"/>
  <c r="D885" i="1"/>
  <c r="R885" i="1"/>
  <c r="S885" i="1"/>
  <c r="CZ885" i="1" s="1"/>
  <c r="Y885" i="1" s="1"/>
  <c r="V885" i="1"/>
  <c r="AC885" i="1"/>
  <c r="AB885" i="1" s="1"/>
  <c r="AD885" i="1"/>
  <c r="AE885" i="1"/>
  <c r="Q885" i="1" s="1"/>
  <c r="AF885" i="1"/>
  <c r="AG885" i="1"/>
  <c r="CU885" i="1" s="1"/>
  <c r="T885" i="1" s="1"/>
  <c r="AH885" i="1"/>
  <c r="CV885" i="1" s="1"/>
  <c r="U885" i="1" s="1"/>
  <c r="AI885" i="1"/>
  <c r="AJ885" i="1"/>
  <c r="CR885" i="1"/>
  <c r="CS885" i="1"/>
  <c r="CT885" i="1"/>
  <c r="CW885" i="1"/>
  <c r="CX885" i="1"/>
  <c r="W885" i="1" s="1"/>
  <c r="CY885" i="1"/>
  <c r="X885" i="1" s="1"/>
  <c r="FR885" i="1"/>
  <c r="GK885" i="1"/>
  <c r="GL885" i="1"/>
  <c r="GN885" i="1"/>
  <c r="GP885" i="1"/>
  <c r="GV885" i="1"/>
  <c r="GX885" i="1"/>
  <c r="HC885" i="1"/>
  <c r="I886" i="1"/>
  <c r="P886" i="1" s="1"/>
  <c r="Q886" i="1"/>
  <c r="T886" i="1"/>
  <c r="AC886" i="1"/>
  <c r="AE886" i="1"/>
  <c r="R886" i="1" s="1"/>
  <c r="GK886" i="1" s="1"/>
  <c r="AF886" i="1"/>
  <c r="AG886" i="1"/>
  <c r="AH886" i="1"/>
  <c r="AI886" i="1"/>
  <c r="CW886" i="1" s="1"/>
  <c r="V886" i="1" s="1"/>
  <c r="AJ886" i="1"/>
  <c r="CX886" i="1" s="1"/>
  <c r="CQ886" i="1"/>
  <c r="CS886" i="1"/>
  <c r="CU886" i="1"/>
  <c r="CV886" i="1"/>
  <c r="U886" i="1" s="1"/>
  <c r="FR886" i="1"/>
  <c r="GL886" i="1"/>
  <c r="GN886" i="1"/>
  <c r="GP886" i="1"/>
  <c r="GV886" i="1"/>
  <c r="HC886" i="1" s="1"/>
  <c r="GX886" i="1"/>
  <c r="I887" i="1"/>
  <c r="Q887" i="1" s="1"/>
  <c r="R887" i="1"/>
  <c r="GK887" i="1" s="1"/>
  <c r="T887" i="1"/>
  <c r="AC887" i="1"/>
  <c r="P887" i="1" s="1"/>
  <c r="AD887" i="1"/>
  <c r="AE887" i="1"/>
  <c r="AF887" i="1"/>
  <c r="S887" i="1" s="1"/>
  <c r="AG887" i="1"/>
  <c r="AH887" i="1"/>
  <c r="CV887" i="1" s="1"/>
  <c r="U887" i="1" s="1"/>
  <c r="AI887" i="1"/>
  <c r="AJ887" i="1"/>
  <c r="CQ887" i="1"/>
  <c r="CR887" i="1"/>
  <c r="CS887" i="1"/>
  <c r="CU887" i="1"/>
  <c r="CW887" i="1"/>
  <c r="V887" i="1" s="1"/>
  <c r="CX887" i="1"/>
  <c r="W887" i="1" s="1"/>
  <c r="FR887" i="1"/>
  <c r="GL887" i="1"/>
  <c r="GN887" i="1"/>
  <c r="GP887" i="1"/>
  <c r="GV887" i="1"/>
  <c r="HC887" i="1"/>
  <c r="GX887" i="1" s="1"/>
  <c r="C888" i="1"/>
  <c r="D888" i="1"/>
  <c r="S888" i="1"/>
  <c r="CY888" i="1" s="1"/>
  <c r="X888" i="1" s="1"/>
  <c r="U888" i="1"/>
  <c r="AC888" i="1"/>
  <c r="AE888" i="1"/>
  <c r="AF888" i="1"/>
  <c r="AG888" i="1"/>
  <c r="AH888" i="1"/>
  <c r="AI888" i="1"/>
  <c r="CW888" i="1" s="1"/>
  <c r="V888" i="1" s="1"/>
  <c r="AJ888" i="1"/>
  <c r="CR888" i="1"/>
  <c r="CT888" i="1"/>
  <c r="CU888" i="1"/>
  <c r="T888" i="1" s="1"/>
  <c r="CV888" i="1"/>
  <c r="CX888" i="1"/>
  <c r="W888" i="1" s="1"/>
  <c r="FR888" i="1"/>
  <c r="GL888" i="1"/>
  <c r="GN888" i="1"/>
  <c r="GP888" i="1"/>
  <c r="GV888" i="1"/>
  <c r="HC888" i="1" s="1"/>
  <c r="GX888" i="1" s="1"/>
  <c r="C889" i="1"/>
  <c r="D889" i="1"/>
  <c r="P889" i="1"/>
  <c r="Q889" i="1"/>
  <c r="R889" i="1"/>
  <c r="GK889" i="1" s="1"/>
  <c r="AC889" i="1"/>
  <c r="AD889" i="1"/>
  <c r="AB889" i="1" s="1"/>
  <c r="AE889" i="1"/>
  <c r="AF889" i="1"/>
  <c r="AG889" i="1"/>
  <c r="AH889" i="1"/>
  <c r="CV889" i="1" s="1"/>
  <c r="U889" i="1" s="1"/>
  <c r="AI889" i="1"/>
  <c r="AJ889" i="1"/>
  <c r="CX889" i="1" s="1"/>
  <c r="W889" i="1" s="1"/>
  <c r="CQ889" i="1"/>
  <c r="CR889" i="1"/>
  <c r="CS889" i="1"/>
  <c r="CU889" i="1"/>
  <c r="T889" i="1" s="1"/>
  <c r="CW889" i="1"/>
  <c r="V889" i="1" s="1"/>
  <c r="FR889" i="1"/>
  <c r="GL889" i="1"/>
  <c r="GN889" i="1"/>
  <c r="GP889" i="1"/>
  <c r="GV889" i="1"/>
  <c r="HC889" i="1" s="1"/>
  <c r="GX889" i="1" s="1"/>
  <c r="I890" i="1"/>
  <c r="Q890" i="1" s="1"/>
  <c r="S890" i="1"/>
  <c r="CZ890" i="1" s="1"/>
  <c r="Y890" i="1" s="1"/>
  <c r="V890" i="1"/>
  <c r="AC890" i="1"/>
  <c r="AB890" i="1" s="1"/>
  <c r="AD890" i="1"/>
  <c r="AE890" i="1"/>
  <c r="AF890" i="1"/>
  <c r="AG890" i="1"/>
  <c r="CU890" i="1" s="1"/>
  <c r="T890" i="1" s="1"/>
  <c r="AH890" i="1"/>
  <c r="CV890" i="1" s="1"/>
  <c r="AI890" i="1"/>
  <c r="AJ890" i="1"/>
  <c r="CR890" i="1"/>
  <c r="CS890" i="1"/>
  <c r="CT890" i="1"/>
  <c r="CW890" i="1"/>
  <c r="CX890" i="1"/>
  <c r="W890" i="1" s="1"/>
  <c r="CY890" i="1"/>
  <c r="X890" i="1" s="1"/>
  <c r="FR890" i="1"/>
  <c r="GL890" i="1"/>
  <c r="GN890" i="1"/>
  <c r="GP890" i="1"/>
  <c r="GV890" i="1"/>
  <c r="GX890" i="1"/>
  <c r="HC890" i="1"/>
  <c r="I891" i="1"/>
  <c r="P891" i="1" s="1"/>
  <c r="Q891" i="1"/>
  <c r="T891" i="1"/>
  <c r="AC891" i="1"/>
  <c r="AE891" i="1"/>
  <c r="R891" i="1" s="1"/>
  <c r="GK891" i="1" s="1"/>
  <c r="AF891" i="1"/>
  <c r="AG891" i="1"/>
  <c r="AH891" i="1"/>
  <c r="AI891" i="1"/>
  <c r="CW891" i="1" s="1"/>
  <c r="V891" i="1" s="1"/>
  <c r="AJ891" i="1"/>
  <c r="CX891" i="1" s="1"/>
  <c r="CQ891" i="1"/>
  <c r="CS891" i="1"/>
  <c r="CU891" i="1"/>
  <c r="CV891" i="1"/>
  <c r="U891" i="1" s="1"/>
  <c r="FR891" i="1"/>
  <c r="GL891" i="1"/>
  <c r="GN891" i="1"/>
  <c r="GP891" i="1"/>
  <c r="GV891" i="1"/>
  <c r="HC891" i="1" s="1"/>
  <c r="GX891" i="1"/>
  <c r="I892" i="1"/>
  <c r="Q892" i="1" s="1"/>
  <c r="R892" i="1"/>
  <c r="GK892" i="1" s="1"/>
  <c r="T892" i="1"/>
  <c r="AC892" i="1"/>
  <c r="P892" i="1" s="1"/>
  <c r="CP892" i="1" s="1"/>
  <c r="O892" i="1" s="1"/>
  <c r="AD892" i="1"/>
  <c r="AE892" i="1"/>
  <c r="AF892" i="1"/>
  <c r="S892" i="1" s="1"/>
  <c r="AG892" i="1"/>
  <c r="AH892" i="1"/>
  <c r="CV892" i="1" s="1"/>
  <c r="U892" i="1" s="1"/>
  <c r="AI892" i="1"/>
  <c r="AJ892" i="1"/>
  <c r="CQ892" i="1"/>
  <c r="CR892" i="1"/>
  <c r="CS892" i="1"/>
  <c r="CU892" i="1"/>
  <c r="CW892" i="1"/>
  <c r="V892" i="1" s="1"/>
  <c r="CX892" i="1"/>
  <c r="W892" i="1" s="1"/>
  <c r="FR892" i="1"/>
  <c r="GL892" i="1"/>
  <c r="GN892" i="1"/>
  <c r="GP892" i="1"/>
  <c r="GV892" i="1"/>
  <c r="HC892" i="1"/>
  <c r="GX892" i="1" s="1"/>
  <c r="I893" i="1"/>
  <c r="Q893" i="1" s="1"/>
  <c r="P893" i="1"/>
  <c r="R893" i="1"/>
  <c r="GK893" i="1" s="1"/>
  <c r="AC893" i="1"/>
  <c r="AD893" i="1"/>
  <c r="AE893" i="1"/>
  <c r="AF893" i="1"/>
  <c r="AG893" i="1"/>
  <c r="AH893" i="1"/>
  <c r="CV893" i="1" s="1"/>
  <c r="U893" i="1" s="1"/>
  <c r="AI893" i="1"/>
  <c r="AJ893" i="1"/>
  <c r="CX893" i="1" s="1"/>
  <c r="W893" i="1" s="1"/>
  <c r="CQ893" i="1"/>
  <c r="CR893" i="1"/>
  <c r="CS893" i="1"/>
  <c r="CU893" i="1"/>
  <c r="T893" i="1" s="1"/>
  <c r="CW893" i="1"/>
  <c r="V893" i="1" s="1"/>
  <c r="FR893" i="1"/>
  <c r="GL893" i="1"/>
  <c r="GN893" i="1"/>
  <c r="GP893" i="1"/>
  <c r="GV893" i="1"/>
  <c r="HC893" i="1" s="1"/>
  <c r="GX893" i="1" s="1"/>
  <c r="I894" i="1"/>
  <c r="Q894" i="1" s="1"/>
  <c r="S894" i="1"/>
  <c r="CZ894" i="1" s="1"/>
  <c r="Y894" i="1" s="1"/>
  <c r="AC894" i="1"/>
  <c r="CQ894" i="1" s="1"/>
  <c r="AD894" i="1"/>
  <c r="AE894" i="1"/>
  <c r="AF894" i="1"/>
  <c r="AG894" i="1"/>
  <c r="CU894" i="1" s="1"/>
  <c r="T894" i="1" s="1"/>
  <c r="AH894" i="1"/>
  <c r="CV894" i="1" s="1"/>
  <c r="AI894" i="1"/>
  <c r="AJ894" i="1"/>
  <c r="CR894" i="1"/>
  <c r="CS894" i="1"/>
  <c r="CT894" i="1"/>
  <c r="CW894" i="1"/>
  <c r="V894" i="1" s="1"/>
  <c r="CX894" i="1"/>
  <c r="FR894" i="1"/>
  <c r="GL894" i="1"/>
  <c r="GN894" i="1"/>
  <c r="GP894" i="1"/>
  <c r="GV894" i="1"/>
  <c r="HC894" i="1"/>
  <c r="I895" i="1"/>
  <c r="P895" i="1" s="1"/>
  <c r="T895" i="1"/>
  <c r="AC895" i="1"/>
  <c r="AE895" i="1"/>
  <c r="R895" i="1" s="1"/>
  <c r="GK895" i="1" s="1"/>
  <c r="AF895" i="1"/>
  <c r="AG895" i="1"/>
  <c r="AH895" i="1"/>
  <c r="AI895" i="1"/>
  <c r="CW895" i="1" s="1"/>
  <c r="V895" i="1" s="1"/>
  <c r="AJ895" i="1"/>
  <c r="CX895" i="1" s="1"/>
  <c r="CQ895" i="1"/>
  <c r="CS895" i="1"/>
  <c r="CU895" i="1"/>
  <c r="CV895" i="1"/>
  <c r="U895" i="1" s="1"/>
  <c r="FR895" i="1"/>
  <c r="GL895" i="1"/>
  <c r="GN895" i="1"/>
  <c r="GP895" i="1"/>
  <c r="GV895" i="1"/>
  <c r="HC895" i="1" s="1"/>
  <c r="GX895" i="1"/>
  <c r="C896" i="1"/>
  <c r="D896" i="1"/>
  <c r="Q896" i="1"/>
  <c r="AC896" i="1"/>
  <c r="AE896" i="1"/>
  <c r="AD896" i="1" s="1"/>
  <c r="AF896" i="1"/>
  <c r="S896" i="1" s="1"/>
  <c r="AG896" i="1"/>
  <c r="CU896" i="1" s="1"/>
  <c r="T896" i="1" s="1"/>
  <c r="AH896" i="1"/>
  <c r="AI896" i="1"/>
  <c r="AJ896" i="1"/>
  <c r="CX896" i="1" s="1"/>
  <c r="W896" i="1" s="1"/>
  <c r="CR896" i="1"/>
  <c r="CS896" i="1"/>
  <c r="CT896" i="1"/>
  <c r="CV896" i="1"/>
  <c r="U896" i="1" s="1"/>
  <c r="CW896" i="1"/>
  <c r="V896" i="1" s="1"/>
  <c r="FR896" i="1"/>
  <c r="GL896" i="1"/>
  <c r="GN896" i="1"/>
  <c r="GP896" i="1"/>
  <c r="GV896" i="1"/>
  <c r="HC896" i="1"/>
  <c r="GX896" i="1" s="1"/>
  <c r="C897" i="1"/>
  <c r="D897" i="1"/>
  <c r="R897" i="1"/>
  <c r="S897" i="1"/>
  <c r="CZ897" i="1" s="1"/>
  <c r="Y897" i="1" s="1"/>
  <c r="V897" i="1"/>
  <c r="AC897" i="1"/>
  <c r="AB897" i="1" s="1"/>
  <c r="AD897" i="1"/>
  <c r="AE897" i="1"/>
  <c r="Q897" i="1" s="1"/>
  <c r="AF897" i="1"/>
  <c r="AG897" i="1"/>
  <c r="CU897" i="1" s="1"/>
  <c r="T897" i="1" s="1"/>
  <c r="AH897" i="1"/>
  <c r="CV897" i="1" s="1"/>
  <c r="U897" i="1" s="1"/>
  <c r="AI897" i="1"/>
  <c r="AJ897" i="1"/>
  <c r="CR897" i="1"/>
  <c r="CS897" i="1"/>
  <c r="CT897" i="1"/>
  <c r="CW897" i="1"/>
  <c r="CX897" i="1"/>
  <c r="W897" i="1" s="1"/>
  <c r="CY897" i="1"/>
  <c r="X897" i="1" s="1"/>
  <c r="FR897" i="1"/>
  <c r="GK897" i="1"/>
  <c r="GL897" i="1"/>
  <c r="GN897" i="1"/>
  <c r="GP897" i="1"/>
  <c r="GV897" i="1"/>
  <c r="GX897" i="1"/>
  <c r="HC897" i="1"/>
  <c r="I898" i="1"/>
  <c r="P898" i="1" s="1"/>
  <c r="Q898" i="1"/>
  <c r="T898" i="1"/>
  <c r="AC898" i="1"/>
  <c r="AE898" i="1"/>
  <c r="R898" i="1" s="1"/>
  <c r="GK898" i="1" s="1"/>
  <c r="AF898" i="1"/>
  <c r="AG898" i="1"/>
  <c r="AH898" i="1"/>
  <c r="AI898" i="1"/>
  <c r="CW898" i="1" s="1"/>
  <c r="V898" i="1" s="1"/>
  <c r="AJ898" i="1"/>
  <c r="CX898" i="1" s="1"/>
  <c r="CQ898" i="1"/>
  <c r="CS898" i="1"/>
  <c r="CU898" i="1"/>
  <c r="CV898" i="1"/>
  <c r="U898" i="1" s="1"/>
  <c r="FR898" i="1"/>
  <c r="GL898" i="1"/>
  <c r="GN898" i="1"/>
  <c r="GP898" i="1"/>
  <c r="GV898" i="1"/>
  <c r="HC898" i="1" s="1"/>
  <c r="GX898" i="1"/>
  <c r="I899" i="1"/>
  <c r="Q899" i="1" s="1"/>
  <c r="R899" i="1"/>
  <c r="GK899" i="1" s="1"/>
  <c r="T899" i="1"/>
  <c r="AC899" i="1"/>
  <c r="P899" i="1" s="1"/>
  <c r="CP899" i="1" s="1"/>
  <c r="O899" i="1" s="1"/>
  <c r="AD899" i="1"/>
  <c r="AE899" i="1"/>
  <c r="AF899" i="1"/>
  <c r="S899" i="1" s="1"/>
  <c r="AG899" i="1"/>
  <c r="AH899" i="1"/>
  <c r="CV899" i="1" s="1"/>
  <c r="U899" i="1" s="1"/>
  <c r="AI899" i="1"/>
  <c r="AJ899" i="1"/>
  <c r="CQ899" i="1"/>
  <c r="CR899" i="1"/>
  <c r="CS899" i="1"/>
  <c r="CU899" i="1"/>
  <c r="CW899" i="1"/>
  <c r="V899" i="1" s="1"/>
  <c r="CX899" i="1"/>
  <c r="W899" i="1" s="1"/>
  <c r="FR899" i="1"/>
  <c r="GL899" i="1"/>
  <c r="GN899" i="1"/>
  <c r="GP899" i="1"/>
  <c r="GV899" i="1"/>
  <c r="HC899" i="1"/>
  <c r="GX899" i="1" s="1"/>
  <c r="C900" i="1"/>
  <c r="D900" i="1"/>
  <c r="S900" i="1"/>
  <c r="CY900" i="1" s="1"/>
  <c r="X900" i="1" s="1"/>
  <c r="U900" i="1"/>
  <c r="AC900" i="1"/>
  <c r="AE900" i="1"/>
  <c r="AF900" i="1"/>
  <c r="AG900" i="1"/>
  <c r="AH900" i="1"/>
  <c r="AI900" i="1"/>
  <c r="CW900" i="1" s="1"/>
  <c r="V900" i="1" s="1"/>
  <c r="AJ900" i="1"/>
  <c r="CR900" i="1"/>
  <c r="CT900" i="1"/>
  <c r="CU900" i="1"/>
  <c r="T900" i="1" s="1"/>
  <c r="CV900" i="1"/>
  <c r="CX900" i="1"/>
  <c r="W900" i="1" s="1"/>
  <c r="FR900" i="1"/>
  <c r="GL900" i="1"/>
  <c r="GN900" i="1"/>
  <c r="GP900" i="1"/>
  <c r="GV900" i="1"/>
  <c r="HC900" i="1" s="1"/>
  <c r="GX900" i="1" s="1"/>
  <c r="C901" i="1"/>
  <c r="D901" i="1"/>
  <c r="P901" i="1"/>
  <c r="CP901" i="1" s="1"/>
  <c r="O901" i="1" s="1"/>
  <c r="Q901" i="1"/>
  <c r="R901" i="1"/>
  <c r="GK901" i="1" s="1"/>
  <c r="AC901" i="1"/>
  <c r="AD901" i="1"/>
  <c r="AB901" i="1" s="1"/>
  <c r="AE901" i="1"/>
  <c r="AF901" i="1"/>
  <c r="S901" i="1" s="1"/>
  <c r="CZ901" i="1" s="1"/>
  <c r="Y901" i="1" s="1"/>
  <c r="AG901" i="1"/>
  <c r="AH901" i="1"/>
  <c r="CV901" i="1" s="1"/>
  <c r="U901" i="1" s="1"/>
  <c r="AI901" i="1"/>
  <c r="AJ901" i="1"/>
  <c r="CX901" i="1" s="1"/>
  <c r="W901" i="1" s="1"/>
  <c r="CQ901" i="1"/>
  <c r="CR901" i="1"/>
  <c r="CS901" i="1"/>
  <c r="CU901" i="1"/>
  <c r="T901" i="1" s="1"/>
  <c r="CW901" i="1"/>
  <c r="V901" i="1" s="1"/>
  <c r="CY901" i="1"/>
  <c r="X901" i="1" s="1"/>
  <c r="FR901" i="1"/>
  <c r="GL901" i="1"/>
  <c r="GN901" i="1"/>
  <c r="GP901" i="1"/>
  <c r="GV901" i="1"/>
  <c r="GX901" i="1"/>
  <c r="HC901" i="1"/>
  <c r="I902" i="1"/>
  <c r="Q902" i="1" s="1"/>
  <c r="R902" i="1"/>
  <c r="GK902" i="1" s="1"/>
  <c r="AC902" i="1"/>
  <c r="AD902" i="1"/>
  <c r="AE902" i="1"/>
  <c r="AF902" i="1"/>
  <c r="AB902" i="1" s="1"/>
  <c r="AG902" i="1"/>
  <c r="AH902" i="1"/>
  <c r="CV902" i="1" s="1"/>
  <c r="U902" i="1" s="1"/>
  <c r="AI902" i="1"/>
  <c r="AJ902" i="1"/>
  <c r="CX902" i="1" s="1"/>
  <c r="W902" i="1" s="1"/>
  <c r="CQ902" i="1"/>
  <c r="CR902" i="1"/>
  <c r="CS902" i="1"/>
  <c r="CU902" i="1"/>
  <c r="T902" i="1" s="1"/>
  <c r="CW902" i="1"/>
  <c r="V902" i="1" s="1"/>
  <c r="FR902" i="1"/>
  <c r="GL902" i="1"/>
  <c r="GN902" i="1"/>
  <c r="GP902" i="1"/>
  <c r="GV902" i="1"/>
  <c r="HC902" i="1" s="1"/>
  <c r="GX902" i="1" s="1"/>
  <c r="I903" i="1"/>
  <c r="Q903" i="1" s="1"/>
  <c r="P903" i="1"/>
  <c r="CP903" i="1" s="1"/>
  <c r="O903" i="1" s="1"/>
  <c r="R903" i="1"/>
  <c r="GK903" i="1" s="1"/>
  <c r="AC903" i="1"/>
  <c r="AD903" i="1"/>
  <c r="AB903" i="1" s="1"/>
  <c r="AE903" i="1"/>
  <c r="AF903" i="1"/>
  <c r="S903" i="1" s="1"/>
  <c r="AG903" i="1"/>
  <c r="AH903" i="1"/>
  <c r="CV903" i="1" s="1"/>
  <c r="U903" i="1" s="1"/>
  <c r="AI903" i="1"/>
  <c r="AJ903" i="1"/>
  <c r="CX903" i="1" s="1"/>
  <c r="W903" i="1" s="1"/>
  <c r="CQ903" i="1"/>
  <c r="CR903" i="1"/>
  <c r="CS903" i="1"/>
  <c r="CU903" i="1"/>
  <c r="T903" i="1" s="1"/>
  <c r="CW903" i="1"/>
  <c r="V903" i="1" s="1"/>
  <c r="FR903" i="1"/>
  <c r="GL903" i="1"/>
  <c r="GN903" i="1"/>
  <c r="GP903" i="1"/>
  <c r="GV903" i="1"/>
  <c r="GX903" i="1"/>
  <c r="HC903" i="1"/>
  <c r="C904" i="1"/>
  <c r="D904" i="1"/>
  <c r="S904" i="1"/>
  <c r="CY904" i="1" s="1"/>
  <c r="X904" i="1" s="1"/>
  <c r="AC904" i="1"/>
  <c r="P904" i="1" s="1"/>
  <c r="AE904" i="1"/>
  <c r="AD904" i="1" s="1"/>
  <c r="AF904" i="1"/>
  <c r="AG904" i="1"/>
  <c r="CU904" i="1" s="1"/>
  <c r="T904" i="1" s="1"/>
  <c r="AH904" i="1"/>
  <c r="AI904" i="1"/>
  <c r="CW904" i="1" s="1"/>
  <c r="V904" i="1" s="1"/>
  <c r="AJ904" i="1"/>
  <c r="CR904" i="1"/>
  <c r="CT904" i="1"/>
  <c r="CV904" i="1"/>
  <c r="U904" i="1" s="1"/>
  <c r="CX904" i="1"/>
  <c r="W904" i="1" s="1"/>
  <c r="CZ904" i="1"/>
  <c r="Y904" i="1" s="1"/>
  <c r="FR904" i="1"/>
  <c r="GL904" i="1"/>
  <c r="GN904" i="1"/>
  <c r="GP904" i="1"/>
  <c r="GV904" i="1"/>
  <c r="HC904" i="1" s="1"/>
  <c r="GX904" i="1" s="1"/>
  <c r="C905" i="1"/>
  <c r="D905" i="1"/>
  <c r="P905" i="1"/>
  <c r="R905" i="1"/>
  <c r="GK905" i="1" s="1"/>
  <c r="AC905" i="1"/>
  <c r="AD905" i="1"/>
  <c r="AE905" i="1"/>
  <c r="Q905" i="1" s="1"/>
  <c r="AF905" i="1"/>
  <c r="AB905" i="1" s="1"/>
  <c r="AG905" i="1"/>
  <c r="AH905" i="1"/>
  <c r="CV905" i="1" s="1"/>
  <c r="U905" i="1" s="1"/>
  <c r="AI905" i="1"/>
  <c r="AJ905" i="1"/>
  <c r="CX905" i="1" s="1"/>
  <c r="W905" i="1" s="1"/>
  <c r="CQ905" i="1"/>
  <c r="CR905" i="1"/>
  <c r="CS905" i="1"/>
  <c r="CU905" i="1"/>
  <c r="T905" i="1" s="1"/>
  <c r="CW905" i="1"/>
  <c r="V905" i="1" s="1"/>
  <c r="FR905" i="1"/>
  <c r="GL905" i="1"/>
  <c r="GN905" i="1"/>
  <c r="GP905" i="1"/>
  <c r="GV905" i="1"/>
  <c r="HC905" i="1" s="1"/>
  <c r="GX905" i="1" s="1"/>
  <c r="I906" i="1"/>
  <c r="Q906" i="1" s="1"/>
  <c r="P906" i="1"/>
  <c r="R906" i="1"/>
  <c r="GK906" i="1" s="1"/>
  <c r="AC906" i="1"/>
  <c r="AD906" i="1"/>
  <c r="AB906" i="1" s="1"/>
  <c r="AE906" i="1"/>
  <c r="AF906" i="1"/>
  <c r="S906" i="1" s="1"/>
  <c r="AG906" i="1"/>
  <c r="AH906" i="1"/>
  <c r="CV906" i="1" s="1"/>
  <c r="U906" i="1" s="1"/>
  <c r="AI906" i="1"/>
  <c r="AJ906" i="1"/>
  <c r="CX906" i="1" s="1"/>
  <c r="W906" i="1" s="1"/>
  <c r="CQ906" i="1"/>
  <c r="CR906" i="1"/>
  <c r="CS906" i="1"/>
  <c r="CU906" i="1"/>
  <c r="T906" i="1" s="1"/>
  <c r="CW906" i="1"/>
  <c r="V906" i="1" s="1"/>
  <c r="FR906" i="1"/>
  <c r="GL906" i="1"/>
  <c r="BZ931" i="1" s="1"/>
  <c r="GN906" i="1"/>
  <c r="GP906" i="1"/>
  <c r="CD931" i="1" s="1"/>
  <c r="GV906" i="1"/>
  <c r="GX906" i="1"/>
  <c r="HC906" i="1"/>
  <c r="I907" i="1"/>
  <c r="Q907" i="1" s="1"/>
  <c r="R907" i="1"/>
  <c r="GK907" i="1" s="1"/>
  <c r="AC907" i="1"/>
  <c r="AD907" i="1"/>
  <c r="AE907" i="1"/>
  <c r="AF907" i="1"/>
  <c r="AB907" i="1" s="1"/>
  <c r="AG907" i="1"/>
  <c r="AH907" i="1"/>
  <c r="CV907" i="1" s="1"/>
  <c r="U907" i="1" s="1"/>
  <c r="AI907" i="1"/>
  <c r="AJ907" i="1"/>
  <c r="CX907" i="1" s="1"/>
  <c r="W907" i="1" s="1"/>
  <c r="CQ907" i="1"/>
  <c r="CR907" i="1"/>
  <c r="CS907" i="1"/>
  <c r="CU907" i="1"/>
  <c r="T907" i="1" s="1"/>
  <c r="CW907" i="1"/>
  <c r="V907" i="1" s="1"/>
  <c r="FR907" i="1"/>
  <c r="GL907" i="1"/>
  <c r="GN907" i="1"/>
  <c r="GP907" i="1"/>
  <c r="GV907" i="1"/>
  <c r="HC907" i="1" s="1"/>
  <c r="GX907" i="1" s="1"/>
  <c r="C908" i="1"/>
  <c r="D908" i="1"/>
  <c r="S908" i="1"/>
  <c r="CY908" i="1" s="1"/>
  <c r="X908" i="1" s="1"/>
  <c r="AC908" i="1"/>
  <c r="AE908" i="1"/>
  <c r="R908" i="1" s="1"/>
  <c r="GK908" i="1" s="1"/>
  <c r="AF908" i="1"/>
  <c r="AG908" i="1"/>
  <c r="CU908" i="1" s="1"/>
  <c r="T908" i="1" s="1"/>
  <c r="AH908" i="1"/>
  <c r="AI908" i="1"/>
  <c r="CW908" i="1" s="1"/>
  <c r="V908" i="1" s="1"/>
  <c r="AJ908" i="1"/>
  <c r="CR908" i="1"/>
  <c r="CT908" i="1"/>
  <c r="CV908" i="1"/>
  <c r="U908" i="1" s="1"/>
  <c r="CX908" i="1"/>
  <c r="W908" i="1" s="1"/>
  <c r="FR908" i="1"/>
  <c r="GL908" i="1"/>
  <c r="GN908" i="1"/>
  <c r="GP908" i="1"/>
  <c r="GV908" i="1"/>
  <c r="HC908" i="1"/>
  <c r="GX908" i="1" s="1"/>
  <c r="C909" i="1"/>
  <c r="D909" i="1"/>
  <c r="P909" i="1"/>
  <c r="R909" i="1"/>
  <c r="GK909" i="1" s="1"/>
  <c r="AC909" i="1"/>
  <c r="AD909" i="1"/>
  <c r="AB909" i="1" s="1"/>
  <c r="AE909" i="1"/>
  <c r="Q909" i="1" s="1"/>
  <c r="AF909" i="1"/>
  <c r="S909" i="1" s="1"/>
  <c r="AG909" i="1"/>
  <c r="AH909" i="1"/>
  <c r="CV909" i="1" s="1"/>
  <c r="U909" i="1" s="1"/>
  <c r="AI909" i="1"/>
  <c r="AJ909" i="1"/>
  <c r="CX909" i="1" s="1"/>
  <c r="W909" i="1" s="1"/>
  <c r="CQ909" i="1"/>
  <c r="CR909" i="1"/>
  <c r="CS909" i="1"/>
  <c r="CU909" i="1"/>
  <c r="T909" i="1" s="1"/>
  <c r="CW909" i="1"/>
  <c r="V909" i="1" s="1"/>
  <c r="FR909" i="1"/>
  <c r="GL909" i="1"/>
  <c r="FR931" i="1" s="1"/>
  <c r="GN909" i="1"/>
  <c r="GP909" i="1"/>
  <c r="FV931" i="1" s="1"/>
  <c r="GV909" i="1"/>
  <c r="GX909" i="1"/>
  <c r="HC909" i="1"/>
  <c r="I910" i="1"/>
  <c r="Q910" i="1" s="1"/>
  <c r="R910" i="1"/>
  <c r="GK910" i="1" s="1"/>
  <c r="AC910" i="1"/>
  <c r="AD910" i="1"/>
  <c r="AE910" i="1"/>
  <c r="AF910" i="1"/>
  <c r="AB910" i="1" s="1"/>
  <c r="AG910" i="1"/>
  <c r="AH910" i="1"/>
  <c r="CV910" i="1" s="1"/>
  <c r="U910" i="1" s="1"/>
  <c r="AI910" i="1"/>
  <c r="AJ910" i="1"/>
  <c r="CX910" i="1" s="1"/>
  <c r="W910" i="1" s="1"/>
  <c r="CQ910" i="1"/>
  <c r="CR910" i="1"/>
  <c r="CS910" i="1"/>
  <c r="CU910" i="1"/>
  <c r="T910" i="1" s="1"/>
  <c r="CW910" i="1"/>
  <c r="V910" i="1" s="1"/>
  <c r="FR910" i="1"/>
  <c r="GL910" i="1"/>
  <c r="GN910" i="1"/>
  <c r="CB931" i="1" s="1"/>
  <c r="GP910" i="1"/>
  <c r="GV910" i="1"/>
  <c r="HC910" i="1" s="1"/>
  <c r="GX910" i="1" s="1"/>
  <c r="I911" i="1"/>
  <c r="Q911" i="1" s="1"/>
  <c r="P911" i="1"/>
  <c r="R911" i="1"/>
  <c r="GK911" i="1" s="1"/>
  <c r="AC911" i="1"/>
  <c r="AD911" i="1"/>
  <c r="AB911" i="1" s="1"/>
  <c r="AE911" i="1"/>
  <c r="AF911" i="1"/>
  <c r="S911" i="1" s="1"/>
  <c r="AG911" i="1"/>
  <c r="AH911" i="1"/>
  <c r="CV911" i="1" s="1"/>
  <c r="U911" i="1" s="1"/>
  <c r="AI911" i="1"/>
  <c r="AJ911" i="1"/>
  <c r="CX911" i="1" s="1"/>
  <c r="W911" i="1" s="1"/>
  <c r="CQ911" i="1"/>
  <c r="CR911" i="1"/>
  <c r="CS911" i="1"/>
  <c r="CU911" i="1"/>
  <c r="T911" i="1" s="1"/>
  <c r="CW911" i="1"/>
  <c r="V911" i="1" s="1"/>
  <c r="FR911" i="1"/>
  <c r="GL911" i="1"/>
  <c r="GN911" i="1"/>
  <c r="GP911" i="1"/>
  <c r="GV911" i="1"/>
  <c r="GX911" i="1"/>
  <c r="HC911" i="1"/>
  <c r="I912" i="1"/>
  <c r="Q912" i="1" s="1"/>
  <c r="R912" i="1"/>
  <c r="GK912" i="1" s="1"/>
  <c r="AC912" i="1"/>
  <c r="AD912" i="1"/>
  <c r="AE912" i="1"/>
  <c r="AF912" i="1"/>
  <c r="AB912" i="1" s="1"/>
  <c r="AG912" i="1"/>
  <c r="AH912" i="1"/>
  <c r="CV912" i="1" s="1"/>
  <c r="U912" i="1" s="1"/>
  <c r="AI912" i="1"/>
  <c r="AJ912" i="1"/>
  <c r="CX912" i="1" s="1"/>
  <c r="W912" i="1" s="1"/>
  <c r="CQ912" i="1"/>
  <c r="CR912" i="1"/>
  <c r="CS912" i="1"/>
  <c r="CU912" i="1"/>
  <c r="T912" i="1" s="1"/>
  <c r="CW912" i="1"/>
  <c r="V912" i="1" s="1"/>
  <c r="FR912" i="1"/>
  <c r="GL912" i="1"/>
  <c r="GN912" i="1"/>
  <c r="GP912" i="1"/>
  <c r="GV912" i="1"/>
  <c r="HC912" i="1" s="1"/>
  <c r="GX912" i="1" s="1"/>
  <c r="I913" i="1"/>
  <c r="Q913" i="1" s="1"/>
  <c r="P913" i="1"/>
  <c r="CP913" i="1" s="1"/>
  <c r="O913" i="1" s="1"/>
  <c r="R913" i="1"/>
  <c r="GK913" i="1" s="1"/>
  <c r="AC913" i="1"/>
  <c r="AD913" i="1"/>
  <c r="AB913" i="1" s="1"/>
  <c r="AE913" i="1"/>
  <c r="AF913" i="1"/>
  <c r="S913" i="1" s="1"/>
  <c r="AG913" i="1"/>
  <c r="AH913" i="1"/>
  <c r="CV913" i="1" s="1"/>
  <c r="U913" i="1" s="1"/>
  <c r="AI913" i="1"/>
  <c r="AJ913" i="1"/>
  <c r="CX913" i="1" s="1"/>
  <c r="W913" i="1" s="1"/>
  <c r="CQ913" i="1"/>
  <c r="CR913" i="1"/>
  <c r="CS913" i="1"/>
  <c r="CU913" i="1"/>
  <c r="T913" i="1" s="1"/>
  <c r="CW913" i="1"/>
  <c r="V913" i="1" s="1"/>
  <c r="FR913" i="1"/>
  <c r="GL913" i="1"/>
  <c r="GN913" i="1"/>
  <c r="GP913" i="1"/>
  <c r="GV913" i="1"/>
  <c r="GX913" i="1"/>
  <c r="HC913" i="1"/>
  <c r="I914" i="1"/>
  <c r="Q914" i="1" s="1"/>
  <c r="R914" i="1"/>
  <c r="GK914" i="1" s="1"/>
  <c r="AC914" i="1"/>
  <c r="AD914" i="1"/>
  <c r="AE914" i="1"/>
  <c r="AF914" i="1"/>
  <c r="AB914" i="1" s="1"/>
  <c r="AG914" i="1"/>
  <c r="AH914" i="1"/>
  <c r="CV914" i="1" s="1"/>
  <c r="U914" i="1" s="1"/>
  <c r="AI914" i="1"/>
  <c r="AJ914" i="1"/>
  <c r="CX914" i="1" s="1"/>
  <c r="W914" i="1" s="1"/>
  <c r="CQ914" i="1"/>
  <c r="CR914" i="1"/>
  <c r="CS914" i="1"/>
  <c r="CU914" i="1"/>
  <c r="T914" i="1" s="1"/>
  <c r="CW914" i="1"/>
  <c r="V914" i="1" s="1"/>
  <c r="FR914" i="1"/>
  <c r="GL914" i="1"/>
  <c r="GN914" i="1"/>
  <c r="GP914" i="1"/>
  <c r="GV914" i="1"/>
  <c r="HC914" i="1" s="1"/>
  <c r="GX914" i="1" s="1"/>
  <c r="I915" i="1"/>
  <c r="Q915" i="1" s="1"/>
  <c r="P915" i="1"/>
  <c r="R915" i="1"/>
  <c r="GK915" i="1" s="1"/>
  <c r="AC915" i="1"/>
  <c r="AD915" i="1"/>
  <c r="AB915" i="1" s="1"/>
  <c r="AE915" i="1"/>
  <c r="AF915" i="1"/>
  <c r="S915" i="1" s="1"/>
  <c r="AG915" i="1"/>
  <c r="AH915" i="1"/>
  <c r="CV915" i="1" s="1"/>
  <c r="U915" i="1" s="1"/>
  <c r="AI915" i="1"/>
  <c r="AJ915" i="1"/>
  <c r="CX915" i="1" s="1"/>
  <c r="W915" i="1" s="1"/>
  <c r="CQ915" i="1"/>
  <c r="CR915" i="1"/>
  <c r="CS915" i="1"/>
  <c r="CU915" i="1"/>
  <c r="T915" i="1" s="1"/>
  <c r="CW915" i="1"/>
  <c r="V915" i="1" s="1"/>
  <c r="FR915" i="1"/>
  <c r="GL915" i="1"/>
  <c r="GN915" i="1"/>
  <c r="GP915" i="1"/>
  <c r="GV915" i="1"/>
  <c r="GX915" i="1"/>
  <c r="HC915" i="1"/>
  <c r="I916" i="1"/>
  <c r="Q916" i="1" s="1"/>
  <c r="R916" i="1"/>
  <c r="GK916" i="1" s="1"/>
  <c r="AC916" i="1"/>
  <c r="AD916" i="1"/>
  <c r="AE916" i="1"/>
  <c r="AF916" i="1"/>
  <c r="AB916" i="1" s="1"/>
  <c r="AG916" i="1"/>
  <c r="AH916" i="1"/>
  <c r="CV916" i="1" s="1"/>
  <c r="U916" i="1" s="1"/>
  <c r="AI916" i="1"/>
  <c r="AJ916" i="1"/>
  <c r="CX916" i="1" s="1"/>
  <c r="W916" i="1" s="1"/>
  <c r="CQ916" i="1"/>
  <c r="CR916" i="1"/>
  <c r="CS916" i="1"/>
  <c r="CU916" i="1"/>
  <c r="T916" i="1" s="1"/>
  <c r="CW916" i="1"/>
  <c r="V916" i="1" s="1"/>
  <c r="FR916" i="1"/>
  <c r="BY931" i="1" s="1"/>
  <c r="GL916" i="1"/>
  <c r="GN916" i="1"/>
  <c r="GP916" i="1"/>
  <c r="GV916" i="1"/>
  <c r="HC916" i="1" s="1"/>
  <c r="GX916" i="1" s="1"/>
  <c r="I917" i="1"/>
  <c r="Q917" i="1" s="1"/>
  <c r="P917" i="1"/>
  <c r="R917" i="1"/>
  <c r="GK917" i="1" s="1"/>
  <c r="AC917" i="1"/>
  <c r="AD917" i="1"/>
  <c r="AB917" i="1" s="1"/>
  <c r="AE917" i="1"/>
  <c r="AF917" i="1"/>
  <c r="S917" i="1" s="1"/>
  <c r="AG917" i="1"/>
  <c r="AH917" i="1"/>
  <c r="CV917" i="1" s="1"/>
  <c r="U917" i="1" s="1"/>
  <c r="AI917" i="1"/>
  <c r="AJ917" i="1"/>
  <c r="CX917" i="1" s="1"/>
  <c r="W917" i="1" s="1"/>
  <c r="CQ917" i="1"/>
  <c r="CR917" i="1"/>
  <c r="CS917" i="1"/>
  <c r="CU917" i="1"/>
  <c r="T917" i="1" s="1"/>
  <c r="CW917" i="1"/>
  <c r="V917" i="1" s="1"/>
  <c r="FR917" i="1"/>
  <c r="GL917" i="1"/>
  <c r="GN917" i="1"/>
  <c r="GP917" i="1"/>
  <c r="GV917" i="1"/>
  <c r="GX917" i="1"/>
  <c r="HC917" i="1"/>
  <c r="C918" i="1"/>
  <c r="D918" i="1"/>
  <c r="S918" i="1"/>
  <c r="CY918" i="1" s="1"/>
  <c r="X918" i="1" s="1"/>
  <c r="AC918" i="1"/>
  <c r="P918" i="1" s="1"/>
  <c r="AE918" i="1"/>
  <c r="AD918" i="1" s="1"/>
  <c r="AF918" i="1"/>
  <c r="AG918" i="1"/>
  <c r="CU918" i="1" s="1"/>
  <c r="T918" i="1" s="1"/>
  <c r="AH918" i="1"/>
  <c r="AI918" i="1"/>
  <c r="CW918" i="1" s="1"/>
  <c r="V918" i="1" s="1"/>
  <c r="AJ918" i="1"/>
  <c r="CR918" i="1"/>
  <c r="CT918" i="1"/>
  <c r="CV918" i="1"/>
  <c r="U918" i="1" s="1"/>
  <c r="CX918" i="1"/>
  <c r="W918" i="1" s="1"/>
  <c r="CZ918" i="1"/>
  <c r="Y918" i="1" s="1"/>
  <c r="FR918" i="1"/>
  <c r="GL918" i="1"/>
  <c r="GN918" i="1"/>
  <c r="GP918" i="1"/>
  <c r="GV918" i="1"/>
  <c r="HC918" i="1" s="1"/>
  <c r="GX918" i="1" s="1"/>
  <c r="C919" i="1"/>
  <c r="D919" i="1"/>
  <c r="P919" i="1"/>
  <c r="R919" i="1"/>
  <c r="GK919" i="1" s="1"/>
  <c r="AC919" i="1"/>
  <c r="AD919" i="1"/>
  <c r="AE919" i="1"/>
  <c r="Q919" i="1" s="1"/>
  <c r="AF919" i="1"/>
  <c r="AB919" i="1" s="1"/>
  <c r="AG919" i="1"/>
  <c r="AH919" i="1"/>
  <c r="CV919" i="1" s="1"/>
  <c r="U919" i="1" s="1"/>
  <c r="AI919" i="1"/>
  <c r="AJ919" i="1"/>
  <c r="CX919" i="1" s="1"/>
  <c r="W919" i="1" s="1"/>
  <c r="CQ919" i="1"/>
  <c r="CR919" i="1"/>
  <c r="CS919" i="1"/>
  <c r="CU919" i="1"/>
  <c r="T919" i="1" s="1"/>
  <c r="CW919" i="1"/>
  <c r="V919" i="1" s="1"/>
  <c r="FR919" i="1"/>
  <c r="GL919" i="1"/>
  <c r="GN919" i="1"/>
  <c r="FT931" i="1" s="1"/>
  <c r="GP919" i="1"/>
  <c r="GV919" i="1"/>
  <c r="HC919" i="1" s="1"/>
  <c r="GX919" i="1" s="1"/>
  <c r="I920" i="1"/>
  <c r="Q920" i="1" s="1"/>
  <c r="P920" i="1"/>
  <c r="R920" i="1"/>
  <c r="GK920" i="1" s="1"/>
  <c r="AC920" i="1"/>
  <c r="AD920" i="1"/>
  <c r="AB920" i="1" s="1"/>
  <c r="AE920" i="1"/>
  <c r="AF920" i="1"/>
  <c r="S920" i="1" s="1"/>
  <c r="AG920" i="1"/>
  <c r="AH920" i="1"/>
  <c r="CV920" i="1" s="1"/>
  <c r="U920" i="1" s="1"/>
  <c r="AI920" i="1"/>
  <c r="AJ920" i="1"/>
  <c r="CX920" i="1" s="1"/>
  <c r="W920" i="1" s="1"/>
  <c r="CQ920" i="1"/>
  <c r="CR920" i="1"/>
  <c r="CS920" i="1"/>
  <c r="CU920" i="1"/>
  <c r="T920" i="1" s="1"/>
  <c r="CW920" i="1"/>
  <c r="V920" i="1" s="1"/>
  <c r="FR920" i="1"/>
  <c r="GL920" i="1"/>
  <c r="GN920" i="1"/>
  <c r="GP920" i="1"/>
  <c r="GV920" i="1"/>
  <c r="GX920" i="1"/>
  <c r="HC920" i="1"/>
  <c r="I921" i="1"/>
  <c r="Q921" i="1" s="1"/>
  <c r="R921" i="1"/>
  <c r="GK921" i="1" s="1"/>
  <c r="AC921" i="1"/>
  <c r="AD921" i="1"/>
  <c r="AE921" i="1"/>
  <c r="AF921" i="1"/>
  <c r="AB921" i="1" s="1"/>
  <c r="AG921" i="1"/>
  <c r="AH921" i="1"/>
  <c r="CV921" i="1" s="1"/>
  <c r="U921" i="1" s="1"/>
  <c r="AI921" i="1"/>
  <c r="AJ921" i="1"/>
  <c r="CX921" i="1" s="1"/>
  <c r="W921" i="1" s="1"/>
  <c r="CQ921" i="1"/>
  <c r="CR921" i="1"/>
  <c r="CS921" i="1"/>
  <c r="CU921" i="1"/>
  <c r="T921" i="1" s="1"/>
  <c r="CW921" i="1"/>
  <c r="V921" i="1" s="1"/>
  <c r="FR921" i="1"/>
  <c r="GL921" i="1"/>
  <c r="GN921" i="1"/>
  <c r="GP921" i="1"/>
  <c r="GV921" i="1"/>
  <c r="HC921" i="1" s="1"/>
  <c r="GX921" i="1" s="1"/>
  <c r="C922" i="1"/>
  <c r="D922" i="1"/>
  <c r="S922" i="1"/>
  <c r="CY922" i="1" s="1"/>
  <c r="X922" i="1" s="1"/>
  <c r="AC922" i="1"/>
  <c r="AE922" i="1"/>
  <c r="R922" i="1" s="1"/>
  <c r="GK922" i="1" s="1"/>
  <c r="AF922" i="1"/>
  <c r="AG922" i="1"/>
  <c r="CU922" i="1" s="1"/>
  <c r="T922" i="1" s="1"/>
  <c r="AH922" i="1"/>
  <c r="AI922" i="1"/>
  <c r="CW922" i="1" s="1"/>
  <c r="V922" i="1" s="1"/>
  <c r="AJ922" i="1"/>
  <c r="CR922" i="1"/>
  <c r="CT922" i="1"/>
  <c r="CV922" i="1"/>
  <c r="U922" i="1" s="1"/>
  <c r="CX922" i="1"/>
  <c r="W922" i="1" s="1"/>
  <c r="FR922" i="1"/>
  <c r="GL922" i="1"/>
  <c r="GN922" i="1"/>
  <c r="GP922" i="1"/>
  <c r="GV922" i="1"/>
  <c r="HC922" i="1"/>
  <c r="GX922" i="1" s="1"/>
  <c r="C923" i="1"/>
  <c r="D923" i="1"/>
  <c r="P923" i="1"/>
  <c r="R923" i="1"/>
  <c r="GK923" i="1" s="1"/>
  <c r="AC923" i="1"/>
  <c r="AD923" i="1"/>
  <c r="AB923" i="1" s="1"/>
  <c r="AE923" i="1"/>
  <c r="Q923" i="1" s="1"/>
  <c r="AF923" i="1"/>
  <c r="S923" i="1" s="1"/>
  <c r="AG923" i="1"/>
  <c r="AH923" i="1"/>
  <c r="CV923" i="1" s="1"/>
  <c r="U923" i="1" s="1"/>
  <c r="AI923" i="1"/>
  <c r="AJ923" i="1"/>
  <c r="CX923" i="1" s="1"/>
  <c r="W923" i="1" s="1"/>
  <c r="CQ923" i="1"/>
  <c r="CR923" i="1"/>
  <c r="CS923" i="1"/>
  <c r="CU923" i="1"/>
  <c r="T923" i="1" s="1"/>
  <c r="CW923" i="1"/>
  <c r="V923" i="1" s="1"/>
  <c r="FR923" i="1"/>
  <c r="GL923" i="1"/>
  <c r="GN923" i="1"/>
  <c r="GP923" i="1"/>
  <c r="GV923" i="1"/>
  <c r="GX923" i="1"/>
  <c r="HC923" i="1"/>
  <c r="I924" i="1"/>
  <c r="Q924" i="1" s="1"/>
  <c r="R924" i="1"/>
  <c r="GK924" i="1" s="1"/>
  <c r="AC924" i="1"/>
  <c r="AD924" i="1"/>
  <c r="AE924" i="1"/>
  <c r="AF924" i="1"/>
  <c r="AB924" i="1" s="1"/>
  <c r="AG924" i="1"/>
  <c r="AH924" i="1"/>
  <c r="CV924" i="1" s="1"/>
  <c r="U924" i="1" s="1"/>
  <c r="AI924" i="1"/>
  <c r="AJ924" i="1"/>
  <c r="CX924" i="1" s="1"/>
  <c r="W924" i="1" s="1"/>
  <c r="CQ924" i="1"/>
  <c r="CR924" i="1"/>
  <c r="CS924" i="1"/>
  <c r="CU924" i="1"/>
  <c r="T924" i="1" s="1"/>
  <c r="CW924" i="1"/>
  <c r="V924" i="1" s="1"/>
  <c r="FR924" i="1"/>
  <c r="GL924" i="1"/>
  <c r="GN924" i="1"/>
  <c r="GP924" i="1"/>
  <c r="GV924" i="1"/>
  <c r="HC924" i="1" s="1"/>
  <c r="GX924" i="1" s="1"/>
  <c r="I925" i="1"/>
  <c r="Q925" i="1" s="1"/>
  <c r="P925" i="1"/>
  <c r="R925" i="1"/>
  <c r="GK925" i="1" s="1"/>
  <c r="AC925" i="1"/>
  <c r="AD925" i="1"/>
  <c r="AB925" i="1" s="1"/>
  <c r="AE925" i="1"/>
  <c r="AF925" i="1"/>
  <c r="S925" i="1" s="1"/>
  <c r="AG925" i="1"/>
  <c r="AH925" i="1"/>
  <c r="CV925" i="1" s="1"/>
  <c r="U925" i="1" s="1"/>
  <c r="AI925" i="1"/>
  <c r="AJ925" i="1"/>
  <c r="CX925" i="1" s="1"/>
  <c r="W925" i="1" s="1"/>
  <c r="CQ925" i="1"/>
  <c r="CR925" i="1"/>
  <c r="CS925" i="1"/>
  <c r="CU925" i="1"/>
  <c r="T925" i="1" s="1"/>
  <c r="CW925" i="1"/>
  <c r="V925" i="1" s="1"/>
  <c r="FR925" i="1"/>
  <c r="GL925" i="1"/>
  <c r="GN925" i="1"/>
  <c r="GP925" i="1"/>
  <c r="GV925" i="1"/>
  <c r="GX925" i="1"/>
  <c r="HC925" i="1"/>
  <c r="C926" i="1"/>
  <c r="D926" i="1"/>
  <c r="S926" i="1"/>
  <c r="CY926" i="1" s="1"/>
  <c r="X926" i="1" s="1"/>
  <c r="AC926" i="1"/>
  <c r="P926" i="1" s="1"/>
  <c r="AE926" i="1"/>
  <c r="AD926" i="1" s="1"/>
  <c r="AF926" i="1"/>
  <c r="AG926" i="1"/>
  <c r="CU926" i="1" s="1"/>
  <c r="T926" i="1" s="1"/>
  <c r="AH926" i="1"/>
  <c r="AI926" i="1"/>
  <c r="CW926" i="1" s="1"/>
  <c r="V926" i="1" s="1"/>
  <c r="AJ926" i="1"/>
  <c r="CR926" i="1"/>
  <c r="CT926" i="1"/>
  <c r="CV926" i="1"/>
  <c r="U926" i="1" s="1"/>
  <c r="CX926" i="1"/>
  <c r="W926" i="1" s="1"/>
  <c r="CZ926" i="1"/>
  <c r="Y926" i="1" s="1"/>
  <c r="FR926" i="1"/>
  <c r="GL926" i="1"/>
  <c r="GN926" i="1"/>
  <c r="GP926" i="1"/>
  <c r="GV926" i="1"/>
  <c r="HC926" i="1" s="1"/>
  <c r="GX926" i="1" s="1"/>
  <c r="C927" i="1"/>
  <c r="D927" i="1"/>
  <c r="P927" i="1"/>
  <c r="R927" i="1"/>
  <c r="GK927" i="1" s="1"/>
  <c r="AC927" i="1"/>
  <c r="AD927" i="1"/>
  <c r="AE927" i="1"/>
  <c r="Q927" i="1" s="1"/>
  <c r="AF927" i="1"/>
  <c r="AB927" i="1" s="1"/>
  <c r="AG927" i="1"/>
  <c r="AH927" i="1"/>
  <c r="CV927" i="1" s="1"/>
  <c r="U927" i="1" s="1"/>
  <c r="AI927" i="1"/>
  <c r="AJ927" i="1"/>
  <c r="CX927" i="1" s="1"/>
  <c r="W927" i="1" s="1"/>
  <c r="CQ927" i="1"/>
  <c r="CR927" i="1"/>
  <c r="CS927" i="1"/>
  <c r="CU927" i="1"/>
  <c r="T927" i="1" s="1"/>
  <c r="CW927" i="1"/>
  <c r="V927" i="1" s="1"/>
  <c r="FR927" i="1"/>
  <c r="GL927" i="1"/>
  <c r="GN927" i="1"/>
  <c r="GP927" i="1"/>
  <c r="GV927" i="1"/>
  <c r="HC927" i="1" s="1"/>
  <c r="GX927" i="1" s="1"/>
  <c r="I928" i="1"/>
  <c r="Q928" i="1" s="1"/>
  <c r="P928" i="1"/>
  <c r="R928" i="1"/>
  <c r="GK928" i="1" s="1"/>
  <c r="AC928" i="1"/>
  <c r="AD928" i="1"/>
  <c r="AB928" i="1" s="1"/>
  <c r="AE928" i="1"/>
  <c r="AF928" i="1"/>
  <c r="S928" i="1" s="1"/>
  <c r="AG928" i="1"/>
  <c r="AH928" i="1"/>
  <c r="CV928" i="1" s="1"/>
  <c r="U928" i="1" s="1"/>
  <c r="AI928" i="1"/>
  <c r="AJ928" i="1"/>
  <c r="CX928" i="1" s="1"/>
  <c r="W928" i="1" s="1"/>
  <c r="CQ928" i="1"/>
  <c r="CR928" i="1"/>
  <c r="CS928" i="1"/>
  <c r="CU928" i="1"/>
  <c r="T928" i="1" s="1"/>
  <c r="CW928" i="1"/>
  <c r="V928" i="1" s="1"/>
  <c r="FR928" i="1"/>
  <c r="GL928" i="1"/>
  <c r="GN928" i="1"/>
  <c r="GP928" i="1"/>
  <c r="GV928" i="1"/>
  <c r="GX928" i="1"/>
  <c r="HC928" i="1"/>
  <c r="I929" i="1"/>
  <c r="Q929" i="1" s="1"/>
  <c r="R929" i="1"/>
  <c r="GK929" i="1" s="1"/>
  <c r="AC929" i="1"/>
  <c r="AD929" i="1"/>
  <c r="AE929" i="1"/>
  <c r="AF929" i="1"/>
  <c r="AB929" i="1" s="1"/>
  <c r="AG929" i="1"/>
  <c r="AH929" i="1"/>
  <c r="CV929" i="1" s="1"/>
  <c r="U929" i="1" s="1"/>
  <c r="AI929" i="1"/>
  <c r="AJ929" i="1"/>
  <c r="CX929" i="1" s="1"/>
  <c r="W929" i="1" s="1"/>
  <c r="CQ929" i="1"/>
  <c r="CR929" i="1"/>
  <c r="CS929" i="1"/>
  <c r="CU929" i="1"/>
  <c r="T929" i="1" s="1"/>
  <c r="CW929" i="1"/>
  <c r="V929" i="1" s="1"/>
  <c r="FR929" i="1"/>
  <c r="GL929" i="1"/>
  <c r="GN929" i="1"/>
  <c r="GP929" i="1"/>
  <c r="GV929" i="1"/>
  <c r="HC929" i="1" s="1"/>
  <c r="GX929" i="1" s="1"/>
  <c r="B931" i="1"/>
  <c r="B864" i="1" s="1"/>
  <c r="C931" i="1"/>
  <c r="C864" i="1" s="1"/>
  <c r="D931" i="1"/>
  <c r="D864" i="1" s="1"/>
  <c r="F931" i="1"/>
  <c r="F864" i="1" s="1"/>
  <c r="G931" i="1"/>
  <c r="G864" i="1" s="1"/>
  <c r="BX931" i="1"/>
  <c r="BX864" i="1" s="1"/>
  <c r="CK931" i="1"/>
  <c r="CK864" i="1" s="1"/>
  <c r="CL931" i="1"/>
  <c r="CL864" i="1" s="1"/>
  <c r="CM931" i="1"/>
  <c r="CM864" i="1" s="1"/>
  <c r="FP931" i="1"/>
  <c r="FP864" i="1" s="1"/>
  <c r="FQ931" i="1"/>
  <c r="FQ864" i="1" s="1"/>
  <c r="GC931" i="1"/>
  <c r="GC864" i="1" s="1"/>
  <c r="GD931" i="1"/>
  <c r="GD864" i="1" s="1"/>
  <c r="GE931" i="1"/>
  <c r="GE864" i="1" s="1"/>
  <c r="B961" i="1"/>
  <c r="B821" i="1" s="1"/>
  <c r="C961" i="1"/>
  <c r="C821" i="1" s="1"/>
  <c r="D961" i="1"/>
  <c r="D821" i="1" s="1"/>
  <c r="F961" i="1"/>
  <c r="F821" i="1" s="1"/>
  <c r="G961" i="1"/>
  <c r="G821" i="1" s="1"/>
  <c r="D991" i="1"/>
  <c r="E993" i="1"/>
  <c r="Z993" i="1"/>
  <c r="AA993" i="1"/>
  <c r="AB993" i="1"/>
  <c r="AC993" i="1"/>
  <c r="AD993" i="1"/>
  <c r="AE993" i="1"/>
  <c r="AF993" i="1"/>
  <c r="AG993" i="1"/>
  <c r="AH993" i="1"/>
  <c r="AI993" i="1"/>
  <c r="AJ993" i="1"/>
  <c r="AK993" i="1"/>
  <c r="AL993" i="1"/>
  <c r="AM993" i="1"/>
  <c r="AN993" i="1"/>
  <c r="BE993" i="1"/>
  <c r="BF993" i="1"/>
  <c r="BG993" i="1"/>
  <c r="BH993" i="1"/>
  <c r="BI993" i="1"/>
  <c r="BJ993" i="1"/>
  <c r="BK993" i="1"/>
  <c r="BL993" i="1"/>
  <c r="BM993" i="1"/>
  <c r="BN993" i="1"/>
  <c r="BO993" i="1"/>
  <c r="BP993" i="1"/>
  <c r="BQ993" i="1"/>
  <c r="BR993" i="1"/>
  <c r="BS993" i="1"/>
  <c r="BT993" i="1"/>
  <c r="BU993" i="1"/>
  <c r="BV993" i="1"/>
  <c r="BW993" i="1"/>
  <c r="BX993" i="1"/>
  <c r="BY993" i="1"/>
  <c r="BZ993" i="1"/>
  <c r="CA993" i="1"/>
  <c r="CB993" i="1"/>
  <c r="CC993" i="1"/>
  <c r="CD993" i="1"/>
  <c r="CE993" i="1"/>
  <c r="CF993" i="1"/>
  <c r="CG993" i="1"/>
  <c r="CH993" i="1"/>
  <c r="CI993" i="1"/>
  <c r="CJ993" i="1"/>
  <c r="CK993" i="1"/>
  <c r="CL993" i="1"/>
  <c r="CM993" i="1"/>
  <c r="CN993" i="1"/>
  <c r="CO993" i="1"/>
  <c r="CP993" i="1"/>
  <c r="CQ993" i="1"/>
  <c r="CR993" i="1"/>
  <c r="CS993" i="1"/>
  <c r="CT993" i="1"/>
  <c r="CU993" i="1"/>
  <c r="CV993" i="1"/>
  <c r="CW993" i="1"/>
  <c r="CX993" i="1"/>
  <c r="CY993" i="1"/>
  <c r="CZ993" i="1"/>
  <c r="DA993" i="1"/>
  <c r="DB993" i="1"/>
  <c r="DC993" i="1"/>
  <c r="DD993" i="1"/>
  <c r="DE993" i="1"/>
  <c r="DF993" i="1"/>
  <c r="DR993" i="1"/>
  <c r="DS993" i="1"/>
  <c r="DT993" i="1"/>
  <c r="DU993" i="1"/>
  <c r="DV993" i="1"/>
  <c r="DW993" i="1"/>
  <c r="DX993" i="1"/>
  <c r="DY993" i="1"/>
  <c r="DZ993" i="1"/>
  <c r="EA993" i="1"/>
  <c r="EB993" i="1"/>
  <c r="EC993" i="1"/>
  <c r="ED993" i="1"/>
  <c r="EE993" i="1"/>
  <c r="EF993" i="1"/>
  <c r="EW993" i="1"/>
  <c r="EX993" i="1"/>
  <c r="EY993" i="1"/>
  <c r="EZ993" i="1"/>
  <c r="FA993" i="1"/>
  <c r="FB993" i="1"/>
  <c r="FC993" i="1"/>
  <c r="FD993" i="1"/>
  <c r="FE993" i="1"/>
  <c r="FF993" i="1"/>
  <c r="FG993" i="1"/>
  <c r="FH993" i="1"/>
  <c r="FI993" i="1"/>
  <c r="FJ993" i="1"/>
  <c r="FK993" i="1"/>
  <c r="FL993" i="1"/>
  <c r="FM993" i="1"/>
  <c r="FN993" i="1"/>
  <c r="FO993" i="1"/>
  <c r="FP993" i="1"/>
  <c r="FQ993" i="1"/>
  <c r="FR993" i="1"/>
  <c r="FS993" i="1"/>
  <c r="FT993" i="1"/>
  <c r="FU993" i="1"/>
  <c r="FV993" i="1"/>
  <c r="FW993" i="1"/>
  <c r="FX993" i="1"/>
  <c r="FY993" i="1"/>
  <c r="FZ993" i="1"/>
  <c r="GA993" i="1"/>
  <c r="GB993" i="1"/>
  <c r="GC993" i="1"/>
  <c r="GD993" i="1"/>
  <c r="GE993" i="1"/>
  <c r="GF993" i="1"/>
  <c r="GG993" i="1"/>
  <c r="GH993" i="1"/>
  <c r="GI993" i="1"/>
  <c r="GJ993" i="1"/>
  <c r="GK993" i="1"/>
  <c r="GL993" i="1"/>
  <c r="GM993" i="1"/>
  <c r="GN993" i="1"/>
  <c r="GO993" i="1"/>
  <c r="GP993" i="1"/>
  <c r="GQ993" i="1"/>
  <c r="GR993" i="1"/>
  <c r="GS993" i="1"/>
  <c r="GT993" i="1"/>
  <c r="GU993" i="1"/>
  <c r="GV993" i="1"/>
  <c r="GW993" i="1"/>
  <c r="GX993" i="1"/>
  <c r="D995" i="1"/>
  <c r="D997" i="1"/>
  <c r="E997" i="1"/>
  <c r="F997" i="1"/>
  <c r="Z997" i="1"/>
  <c r="AA997" i="1"/>
  <c r="AM997" i="1"/>
  <c r="AN997" i="1"/>
  <c r="BE997" i="1"/>
  <c r="BF997" i="1"/>
  <c r="BG997" i="1"/>
  <c r="BH997" i="1"/>
  <c r="BI997" i="1"/>
  <c r="BJ997" i="1"/>
  <c r="BK997" i="1"/>
  <c r="BL997" i="1"/>
  <c r="BM997" i="1"/>
  <c r="BN997" i="1"/>
  <c r="BO997" i="1"/>
  <c r="BP997" i="1"/>
  <c r="BQ997" i="1"/>
  <c r="BR997" i="1"/>
  <c r="BS997" i="1"/>
  <c r="BT997" i="1"/>
  <c r="BU997" i="1"/>
  <c r="BV997" i="1"/>
  <c r="BW997" i="1"/>
  <c r="CM997" i="1"/>
  <c r="CN997" i="1"/>
  <c r="CO997" i="1"/>
  <c r="CP997" i="1"/>
  <c r="CQ997" i="1"/>
  <c r="CR997" i="1"/>
  <c r="CS997" i="1"/>
  <c r="CT997" i="1"/>
  <c r="CU997" i="1"/>
  <c r="CV997" i="1"/>
  <c r="CW997" i="1"/>
  <c r="CX997" i="1"/>
  <c r="CY997" i="1"/>
  <c r="CZ997" i="1"/>
  <c r="DA997" i="1"/>
  <c r="DB997" i="1"/>
  <c r="DC997" i="1"/>
  <c r="DD997" i="1"/>
  <c r="DE997" i="1"/>
  <c r="DF997" i="1"/>
  <c r="DR997" i="1"/>
  <c r="DS997" i="1"/>
  <c r="EE997" i="1"/>
  <c r="EF997" i="1"/>
  <c r="EW997" i="1"/>
  <c r="EX997" i="1"/>
  <c r="EY997" i="1"/>
  <c r="EZ997" i="1"/>
  <c r="FA997" i="1"/>
  <c r="FB997" i="1"/>
  <c r="FC997" i="1"/>
  <c r="FD997" i="1"/>
  <c r="FE997" i="1"/>
  <c r="FF997" i="1"/>
  <c r="FG997" i="1"/>
  <c r="FH997" i="1"/>
  <c r="FI997" i="1"/>
  <c r="FJ997" i="1"/>
  <c r="FK997" i="1"/>
  <c r="FL997" i="1"/>
  <c r="FM997" i="1"/>
  <c r="FN997" i="1"/>
  <c r="FO997" i="1"/>
  <c r="GF997" i="1"/>
  <c r="GG997" i="1"/>
  <c r="GH997" i="1"/>
  <c r="GI997" i="1"/>
  <c r="GJ997" i="1"/>
  <c r="GK997" i="1"/>
  <c r="GL997" i="1"/>
  <c r="GM997" i="1"/>
  <c r="GN997" i="1"/>
  <c r="GO997" i="1"/>
  <c r="GP997" i="1"/>
  <c r="GQ997" i="1"/>
  <c r="GR997" i="1"/>
  <c r="GS997" i="1"/>
  <c r="GT997" i="1"/>
  <c r="GU997" i="1"/>
  <c r="GV997" i="1"/>
  <c r="GW997" i="1"/>
  <c r="GX997" i="1"/>
  <c r="C999" i="1"/>
  <c r="D999" i="1"/>
  <c r="S999" i="1"/>
  <c r="CY999" i="1" s="1"/>
  <c r="X999" i="1" s="1"/>
  <c r="AC999" i="1"/>
  <c r="P999" i="1" s="1"/>
  <c r="AE999" i="1"/>
  <c r="AD999" i="1" s="1"/>
  <c r="AF999" i="1"/>
  <c r="AG999" i="1"/>
  <c r="CU999" i="1" s="1"/>
  <c r="T999" i="1" s="1"/>
  <c r="AH999" i="1"/>
  <c r="AI999" i="1"/>
  <c r="CW999" i="1" s="1"/>
  <c r="V999" i="1" s="1"/>
  <c r="AJ999" i="1"/>
  <c r="CR999" i="1"/>
  <c r="CT999" i="1"/>
  <c r="CV999" i="1"/>
  <c r="U999" i="1" s="1"/>
  <c r="CX999" i="1"/>
  <c r="W999" i="1" s="1"/>
  <c r="CZ999" i="1"/>
  <c r="Y999" i="1" s="1"/>
  <c r="FR999" i="1"/>
  <c r="GL999" i="1"/>
  <c r="GO999" i="1"/>
  <c r="GP999" i="1"/>
  <c r="GV999" i="1"/>
  <c r="HC999" i="1" s="1"/>
  <c r="GX999" i="1" s="1"/>
  <c r="C1000" i="1"/>
  <c r="D1000" i="1"/>
  <c r="P1000" i="1"/>
  <c r="DU1008" i="1" s="1"/>
  <c r="R1000" i="1"/>
  <c r="GK1000" i="1" s="1"/>
  <c r="AC1000" i="1"/>
  <c r="AD1000" i="1"/>
  <c r="AE1000" i="1"/>
  <c r="Q1000" i="1" s="1"/>
  <c r="AF1000" i="1"/>
  <c r="AB1000" i="1" s="1"/>
  <c r="AG1000" i="1"/>
  <c r="AH1000" i="1"/>
  <c r="CV1000" i="1" s="1"/>
  <c r="U1000" i="1" s="1"/>
  <c r="AI1000" i="1"/>
  <c r="AJ1000" i="1"/>
  <c r="CX1000" i="1" s="1"/>
  <c r="W1000" i="1" s="1"/>
  <c r="CQ1000" i="1"/>
  <c r="CR1000" i="1"/>
  <c r="CS1000" i="1"/>
  <c r="CU1000" i="1"/>
  <c r="T1000" i="1" s="1"/>
  <c r="CW1000" i="1"/>
  <c r="V1000" i="1" s="1"/>
  <c r="FR1000" i="1"/>
  <c r="FQ1008" i="1" s="1"/>
  <c r="GL1000" i="1"/>
  <c r="FR1008" i="1" s="1"/>
  <c r="GO1000" i="1"/>
  <c r="GP1000" i="1"/>
  <c r="FV1008" i="1" s="1"/>
  <c r="GV1000" i="1"/>
  <c r="HC1000" i="1" s="1"/>
  <c r="GX1000" i="1" s="1"/>
  <c r="C1001" i="1"/>
  <c r="D1001" i="1"/>
  <c r="S1001" i="1"/>
  <c r="CY1001" i="1" s="1"/>
  <c r="X1001" i="1" s="1"/>
  <c r="AC1001" i="1"/>
  <c r="AE1001" i="1"/>
  <c r="R1001" i="1" s="1"/>
  <c r="GK1001" i="1" s="1"/>
  <c r="AF1001" i="1"/>
  <c r="AG1001" i="1"/>
  <c r="CU1001" i="1" s="1"/>
  <c r="T1001" i="1" s="1"/>
  <c r="AH1001" i="1"/>
  <c r="AI1001" i="1"/>
  <c r="CW1001" i="1" s="1"/>
  <c r="V1001" i="1" s="1"/>
  <c r="AJ1001" i="1"/>
  <c r="CR1001" i="1"/>
  <c r="CT1001" i="1"/>
  <c r="CV1001" i="1"/>
  <c r="U1001" i="1" s="1"/>
  <c r="CX1001" i="1"/>
  <c r="W1001" i="1" s="1"/>
  <c r="FR1001" i="1"/>
  <c r="GL1001" i="1"/>
  <c r="GO1001" i="1"/>
  <c r="GP1001" i="1"/>
  <c r="GV1001" i="1"/>
  <c r="HC1001" i="1"/>
  <c r="GX1001" i="1" s="1"/>
  <c r="C1002" i="1"/>
  <c r="D1002" i="1"/>
  <c r="P1002" i="1"/>
  <c r="R1002" i="1"/>
  <c r="GK1002" i="1" s="1"/>
  <c r="AC1002" i="1"/>
  <c r="AD1002" i="1"/>
  <c r="AB1002" i="1" s="1"/>
  <c r="AE1002" i="1"/>
  <c r="Q1002" i="1" s="1"/>
  <c r="AF1002" i="1"/>
  <c r="S1002" i="1" s="1"/>
  <c r="AG1002" i="1"/>
  <c r="AH1002" i="1"/>
  <c r="CV1002" i="1" s="1"/>
  <c r="U1002" i="1" s="1"/>
  <c r="AI1002" i="1"/>
  <c r="AJ1002" i="1"/>
  <c r="CX1002" i="1" s="1"/>
  <c r="W1002" i="1" s="1"/>
  <c r="CQ1002" i="1"/>
  <c r="CR1002" i="1"/>
  <c r="CS1002" i="1"/>
  <c r="CU1002" i="1"/>
  <c r="T1002" i="1" s="1"/>
  <c r="CW1002" i="1"/>
  <c r="V1002" i="1" s="1"/>
  <c r="FR1002" i="1"/>
  <c r="GL1002" i="1"/>
  <c r="GO1002" i="1"/>
  <c r="GP1002" i="1"/>
  <c r="GV1002" i="1"/>
  <c r="GX1002" i="1"/>
  <c r="HC1002" i="1"/>
  <c r="C1003" i="1"/>
  <c r="D1003" i="1"/>
  <c r="S1003" i="1"/>
  <c r="CY1003" i="1" s="1"/>
  <c r="X1003" i="1" s="1"/>
  <c r="AC1003" i="1"/>
  <c r="P1003" i="1" s="1"/>
  <c r="AE1003" i="1"/>
  <c r="AD1003" i="1" s="1"/>
  <c r="AF1003" i="1"/>
  <c r="AG1003" i="1"/>
  <c r="CU1003" i="1" s="1"/>
  <c r="T1003" i="1" s="1"/>
  <c r="AH1003" i="1"/>
  <c r="AI1003" i="1"/>
  <c r="CW1003" i="1" s="1"/>
  <c r="V1003" i="1" s="1"/>
  <c r="AJ1003" i="1"/>
  <c r="CR1003" i="1"/>
  <c r="CT1003" i="1"/>
  <c r="CV1003" i="1"/>
  <c r="U1003" i="1" s="1"/>
  <c r="CX1003" i="1"/>
  <c r="W1003" i="1" s="1"/>
  <c r="CZ1003" i="1"/>
  <c r="Y1003" i="1" s="1"/>
  <c r="FR1003" i="1"/>
  <c r="GL1003" i="1"/>
  <c r="GO1003" i="1"/>
  <c r="GP1003" i="1"/>
  <c r="GV1003" i="1"/>
  <c r="HC1003" i="1" s="1"/>
  <c r="GX1003" i="1" s="1"/>
  <c r="C1004" i="1"/>
  <c r="D1004" i="1"/>
  <c r="P1004" i="1"/>
  <c r="R1004" i="1"/>
  <c r="GK1004" i="1" s="1"/>
  <c r="AC1004" i="1"/>
  <c r="AD1004" i="1"/>
  <c r="AE1004" i="1"/>
  <c r="Q1004" i="1" s="1"/>
  <c r="AF1004" i="1"/>
  <c r="AB1004" i="1" s="1"/>
  <c r="AG1004" i="1"/>
  <c r="AH1004" i="1"/>
  <c r="CV1004" i="1" s="1"/>
  <c r="U1004" i="1" s="1"/>
  <c r="AI1004" i="1"/>
  <c r="AJ1004" i="1"/>
  <c r="CX1004" i="1" s="1"/>
  <c r="W1004" i="1" s="1"/>
  <c r="CQ1004" i="1"/>
  <c r="CR1004" i="1"/>
  <c r="CS1004" i="1"/>
  <c r="CU1004" i="1"/>
  <c r="T1004" i="1" s="1"/>
  <c r="CW1004" i="1"/>
  <c r="V1004" i="1" s="1"/>
  <c r="FR1004" i="1"/>
  <c r="GL1004" i="1"/>
  <c r="GO1004" i="1"/>
  <c r="GP1004" i="1"/>
  <c r="GV1004" i="1"/>
  <c r="HC1004" i="1" s="1"/>
  <c r="GX1004" i="1" s="1"/>
  <c r="C1005" i="1"/>
  <c r="D1005" i="1"/>
  <c r="S1005" i="1"/>
  <c r="CY1005" i="1" s="1"/>
  <c r="X1005" i="1" s="1"/>
  <c r="AC1005" i="1"/>
  <c r="AE1005" i="1"/>
  <c r="R1005" i="1" s="1"/>
  <c r="GK1005" i="1" s="1"/>
  <c r="AF1005" i="1"/>
  <c r="AG1005" i="1"/>
  <c r="CU1005" i="1" s="1"/>
  <c r="T1005" i="1" s="1"/>
  <c r="AH1005" i="1"/>
  <c r="AI1005" i="1"/>
  <c r="CW1005" i="1" s="1"/>
  <c r="V1005" i="1" s="1"/>
  <c r="AJ1005" i="1"/>
  <c r="CR1005" i="1"/>
  <c r="CT1005" i="1"/>
  <c r="CV1005" i="1"/>
  <c r="U1005" i="1" s="1"/>
  <c r="CX1005" i="1"/>
  <c r="W1005" i="1" s="1"/>
  <c r="FR1005" i="1"/>
  <c r="GL1005" i="1"/>
  <c r="GO1005" i="1"/>
  <c r="GP1005" i="1"/>
  <c r="GV1005" i="1"/>
  <c r="HC1005" i="1"/>
  <c r="GX1005" i="1" s="1"/>
  <c r="C1006" i="1"/>
  <c r="D1006" i="1"/>
  <c r="P1006" i="1"/>
  <c r="R1006" i="1"/>
  <c r="GK1006" i="1" s="1"/>
  <c r="AC1006" i="1"/>
  <c r="AD1006" i="1"/>
  <c r="AB1006" i="1" s="1"/>
  <c r="AE1006" i="1"/>
  <c r="Q1006" i="1" s="1"/>
  <c r="AF1006" i="1"/>
  <c r="S1006" i="1" s="1"/>
  <c r="AG1006" i="1"/>
  <c r="AH1006" i="1"/>
  <c r="CV1006" i="1" s="1"/>
  <c r="U1006" i="1" s="1"/>
  <c r="AI1006" i="1"/>
  <c r="AJ1006" i="1"/>
  <c r="CX1006" i="1" s="1"/>
  <c r="W1006" i="1" s="1"/>
  <c r="CQ1006" i="1"/>
  <c r="CR1006" i="1"/>
  <c r="CS1006" i="1"/>
  <c r="CU1006" i="1"/>
  <c r="T1006" i="1" s="1"/>
  <c r="CW1006" i="1"/>
  <c r="V1006" i="1" s="1"/>
  <c r="FR1006" i="1"/>
  <c r="GL1006" i="1"/>
  <c r="GO1006" i="1"/>
  <c r="GP1006" i="1"/>
  <c r="GV1006" i="1"/>
  <c r="HC1006" i="1" s="1"/>
  <c r="GX1006" i="1" s="1"/>
  <c r="B1008" i="1"/>
  <c r="B997" i="1" s="1"/>
  <c r="C1008" i="1"/>
  <c r="C997" i="1" s="1"/>
  <c r="D1008" i="1"/>
  <c r="F1008" i="1"/>
  <c r="G1008" i="1"/>
  <c r="G997" i="1" s="1"/>
  <c r="AF1008" i="1"/>
  <c r="AF997" i="1" s="1"/>
  <c r="BX1008" i="1"/>
  <c r="AO1008" i="1" s="1"/>
  <c r="BY1008" i="1"/>
  <c r="AP1008" i="1" s="1"/>
  <c r="BZ1008" i="1"/>
  <c r="BZ997" i="1" s="1"/>
  <c r="CC1008" i="1"/>
  <c r="AT1008" i="1" s="1"/>
  <c r="CD1008" i="1"/>
  <c r="CD997" i="1" s="1"/>
  <c r="CG1008" i="1"/>
  <c r="AX1008" i="1" s="1"/>
  <c r="CK1008" i="1"/>
  <c r="BB1008" i="1" s="1"/>
  <c r="CL1008" i="1"/>
  <c r="CL997" i="1" s="1"/>
  <c r="CM1008" i="1"/>
  <c r="BD1008" i="1" s="1"/>
  <c r="FP1008" i="1"/>
  <c r="FP997" i="1" s="1"/>
  <c r="FU1008" i="1"/>
  <c r="FU997" i="1" s="1"/>
  <c r="GC1008" i="1"/>
  <c r="GC997" i="1" s="1"/>
  <c r="GD1008" i="1"/>
  <c r="GD997" i="1" s="1"/>
  <c r="GE1008" i="1"/>
  <c r="GE997" i="1" s="1"/>
  <c r="D1038" i="1"/>
  <c r="E1040" i="1"/>
  <c r="Z1040" i="1"/>
  <c r="AA1040" i="1"/>
  <c r="AM1040" i="1"/>
  <c r="AN1040" i="1"/>
  <c r="BE1040" i="1"/>
  <c r="BF1040" i="1"/>
  <c r="BG1040" i="1"/>
  <c r="BH1040" i="1"/>
  <c r="BI1040" i="1"/>
  <c r="BJ1040" i="1"/>
  <c r="BK1040" i="1"/>
  <c r="BL1040" i="1"/>
  <c r="BM1040" i="1"/>
  <c r="BN1040" i="1"/>
  <c r="BO1040" i="1"/>
  <c r="BP1040" i="1"/>
  <c r="BQ1040" i="1"/>
  <c r="BR1040" i="1"/>
  <c r="BS1040" i="1"/>
  <c r="BT1040" i="1"/>
  <c r="BU1040" i="1"/>
  <c r="BV1040" i="1"/>
  <c r="BW1040" i="1"/>
  <c r="CN1040" i="1"/>
  <c r="CO1040" i="1"/>
  <c r="CP1040" i="1"/>
  <c r="CQ1040" i="1"/>
  <c r="CR1040" i="1"/>
  <c r="CS1040" i="1"/>
  <c r="CT1040" i="1"/>
  <c r="CU1040" i="1"/>
  <c r="CV1040" i="1"/>
  <c r="CW1040" i="1"/>
  <c r="CX1040" i="1"/>
  <c r="CY1040" i="1"/>
  <c r="CZ1040" i="1"/>
  <c r="DA1040" i="1"/>
  <c r="DB1040" i="1"/>
  <c r="DC1040" i="1"/>
  <c r="DD1040" i="1"/>
  <c r="DE1040" i="1"/>
  <c r="DF1040" i="1"/>
  <c r="DR1040" i="1"/>
  <c r="DS1040" i="1"/>
  <c r="EE1040" i="1"/>
  <c r="EF1040" i="1"/>
  <c r="EW1040" i="1"/>
  <c r="EX1040" i="1"/>
  <c r="EY1040" i="1"/>
  <c r="EZ1040" i="1"/>
  <c r="FA1040" i="1"/>
  <c r="FB1040" i="1"/>
  <c r="FC1040" i="1"/>
  <c r="FD1040" i="1"/>
  <c r="FE1040" i="1"/>
  <c r="FF1040" i="1"/>
  <c r="FG1040" i="1"/>
  <c r="FH1040" i="1"/>
  <c r="FI1040" i="1"/>
  <c r="FJ1040" i="1"/>
  <c r="FK1040" i="1"/>
  <c r="FL1040" i="1"/>
  <c r="FM1040" i="1"/>
  <c r="FN1040" i="1"/>
  <c r="FO1040" i="1"/>
  <c r="GF1040" i="1"/>
  <c r="GG1040" i="1"/>
  <c r="GH1040" i="1"/>
  <c r="GI1040" i="1"/>
  <c r="GJ1040" i="1"/>
  <c r="GK1040" i="1"/>
  <c r="GL1040" i="1"/>
  <c r="GM1040" i="1"/>
  <c r="GN1040" i="1"/>
  <c r="GO1040" i="1"/>
  <c r="GP1040" i="1"/>
  <c r="GQ1040" i="1"/>
  <c r="GR1040" i="1"/>
  <c r="GS1040" i="1"/>
  <c r="GT1040" i="1"/>
  <c r="GU1040" i="1"/>
  <c r="GV1040" i="1"/>
  <c r="GW1040" i="1"/>
  <c r="GX1040" i="1"/>
  <c r="C1042" i="1"/>
  <c r="D1042" i="1"/>
  <c r="S1042" i="1"/>
  <c r="CY1042" i="1" s="1"/>
  <c r="X1042" i="1" s="1"/>
  <c r="AC1042" i="1"/>
  <c r="AE1042" i="1"/>
  <c r="R1042" i="1" s="1"/>
  <c r="AF1042" i="1"/>
  <c r="AG1042" i="1"/>
  <c r="CU1042" i="1" s="1"/>
  <c r="T1042" i="1" s="1"/>
  <c r="AH1042" i="1"/>
  <c r="AI1042" i="1"/>
  <c r="CW1042" i="1" s="1"/>
  <c r="V1042" i="1" s="1"/>
  <c r="AJ1042" i="1"/>
  <c r="CR1042" i="1"/>
  <c r="CT1042" i="1"/>
  <c r="CV1042" i="1"/>
  <c r="U1042" i="1" s="1"/>
  <c r="CX1042" i="1"/>
  <c r="W1042" i="1" s="1"/>
  <c r="FR1042" i="1"/>
  <c r="GL1042" i="1"/>
  <c r="GO1042" i="1"/>
  <c r="GP1042" i="1"/>
  <c r="GV1042" i="1"/>
  <c r="HC1042" i="1"/>
  <c r="GX1042" i="1" s="1"/>
  <c r="C1043" i="1"/>
  <c r="D1043" i="1"/>
  <c r="P1043" i="1"/>
  <c r="R1043" i="1"/>
  <c r="GK1043" i="1" s="1"/>
  <c r="AC1043" i="1"/>
  <c r="AD1043" i="1"/>
  <c r="AB1043" i="1" s="1"/>
  <c r="AE1043" i="1"/>
  <c r="Q1043" i="1" s="1"/>
  <c r="AF1043" i="1"/>
  <c r="S1043" i="1" s="1"/>
  <c r="AG1043" i="1"/>
  <c r="AH1043" i="1"/>
  <c r="CV1043" i="1" s="1"/>
  <c r="U1043" i="1" s="1"/>
  <c r="AI1043" i="1"/>
  <c r="AJ1043" i="1"/>
  <c r="CX1043" i="1" s="1"/>
  <c r="W1043" i="1" s="1"/>
  <c r="CQ1043" i="1"/>
  <c r="CR1043" i="1"/>
  <c r="CS1043" i="1"/>
  <c r="CU1043" i="1"/>
  <c r="T1043" i="1" s="1"/>
  <c r="CW1043" i="1"/>
  <c r="V1043" i="1" s="1"/>
  <c r="FR1043" i="1"/>
  <c r="GL1043" i="1"/>
  <c r="GO1043" i="1"/>
  <c r="GP1043" i="1"/>
  <c r="GV1043" i="1"/>
  <c r="HC1043" i="1" s="1"/>
  <c r="GX1043" i="1" s="1"/>
  <c r="I1044" i="1"/>
  <c r="Q1044" i="1" s="1"/>
  <c r="R1044" i="1"/>
  <c r="GK1044" i="1" s="1"/>
  <c r="AC1044" i="1"/>
  <c r="AD1044" i="1"/>
  <c r="AE1044" i="1"/>
  <c r="AF1044" i="1"/>
  <c r="AB1044" i="1" s="1"/>
  <c r="AG1044" i="1"/>
  <c r="AH1044" i="1"/>
  <c r="CV1044" i="1" s="1"/>
  <c r="U1044" i="1" s="1"/>
  <c r="AI1044" i="1"/>
  <c r="AJ1044" i="1"/>
  <c r="CX1044" i="1" s="1"/>
  <c r="W1044" i="1" s="1"/>
  <c r="CQ1044" i="1"/>
  <c r="CR1044" i="1"/>
  <c r="CS1044" i="1"/>
  <c r="CU1044" i="1"/>
  <c r="T1044" i="1" s="1"/>
  <c r="CW1044" i="1"/>
  <c r="V1044" i="1" s="1"/>
  <c r="FR1044" i="1"/>
  <c r="GL1044" i="1"/>
  <c r="GO1044" i="1"/>
  <c r="GP1044" i="1"/>
  <c r="GV1044" i="1"/>
  <c r="HC1044" i="1" s="1"/>
  <c r="GX1044" i="1" s="1"/>
  <c r="I1045" i="1"/>
  <c r="Q1045" i="1" s="1"/>
  <c r="P1045" i="1"/>
  <c r="R1045" i="1"/>
  <c r="GK1045" i="1" s="1"/>
  <c r="AC1045" i="1"/>
  <c r="AD1045" i="1"/>
  <c r="AB1045" i="1" s="1"/>
  <c r="AE1045" i="1"/>
  <c r="AF1045" i="1"/>
  <c r="S1045" i="1" s="1"/>
  <c r="AG1045" i="1"/>
  <c r="AH1045" i="1"/>
  <c r="CV1045" i="1" s="1"/>
  <c r="U1045" i="1" s="1"/>
  <c r="AI1045" i="1"/>
  <c r="AJ1045" i="1"/>
  <c r="CX1045" i="1" s="1"/>
  <c r="W1045" i="1" s="1"/>
  <c r="CQ1045" i="1"/>
  <c r="CR1045" i="1"/>
  <c r="CS1045" i="1"/>
  <c r="CU1045" i="1"/>
  <c r="T1045" i="1" s="1"/>
  <c r="CW1045" i="1"/>
  <c r="V1045" i="1" s="1"/>
  <c r="FR1045" i="1"/>
  <c r="GL1045" i="1"/>
  <c r="GO1045" i="1"/>
  <c r="GP1045" i="1"/>
  <c r="GV1045" i="1"/>
  <c r="HC1045" i="1" s="1"/>
  <c r="GX1045" i="1" s="1"/>
  <c r="I1046" i="1"/>
  <c r="Q1046" i="1" s="1"/>
  <c r="R1046" i="1"/>
  <c r="GK1046" i="1" s="1"/>
  <c r="AC1046" i="1"/>
  <c r="AD1046" i="1"/>
  <c r="AE1046" i="1"/>
  <c r="AF1046" i="1"/>
  <c r="AB1046" i="1" s="1"/>
  <c r="AG1046" i="1"/>
  <c r="AH1046" i="1"/>
  <c r="CV1046" i="1" s="1"/>
  <c r="U1046" i="1" s="1"/>
  <c r="AI1046" i="1"/>
  <c r="AJ1046" i="1"/>
  <c r="CX1046" i="1" s="1"/>
  <c r="W1046" i="1" s="1"/>
  <c r="CQ1046" i="1"/>
  <c r="CR1046" i="1"/>
  <c r="CS1046" i="1"/>
  <c r="CU1046" i="1"/>
  <c r="T1046" i="1" s="1"/>
  <c r="CW1046" i="1"/>
  <c r="V1046" i="1" s="1"/>
  <c r="FR1046" i="1"/>
  <c r="GL1046" i="1"/>
  <c r="GO1046" i="1"/>
  <c r="GP1046" i="1"/>
  <c r="GV1046" i="1"/>
  <c r="HC1046" i="1" s="1"/>
  <c r="GX1046" i="1" s="1"/>
  <c r="I1047" i="1"/>
  <c r="Q1047" i="1" s="1"/>
  <c r="P1047" i="1"/>
  <c r="CP1047" i="1" s="1"/>
  <c r="O1047" i="1" s="1"/>
  <c r="R1047" i="1"/>
  <c r="GK1047" i="1" s="1"/>
  <c r="AC1047" i="1"/>
  <c r="AD1047" i="1"/>
  <c r="AB1047" i="1" s="1"/>
  <c r="AE1047" i="1"/>
  <c r="AF1047" i="1"/>
  <c r="S1047" i="1" s="1"/>
  <c r="AG1047" i="1"/>
  <c r="AH1047" i="1"/>
  <c r="CV1047" i="1" s="1"/>
  <c r="U1047" i="1" s="1"/>
  <c r="AI1047" i="1"/>
  <c r="AJ1047" i="1"/>
  <c r="CX1047" i="1" s="1"/>
  <c r="W1047" i="1" s="1"/>
  <c r="CQ1047" i="1"/>
  <c r="CR1047" i="1"/>
  <c r="CS1047" i="1"/>
  <c r="CU1047" i="1"/>
  <c r="T1047" i="1" s="1"/>
  <c r="CW1047" i="1"/>
  <c r="V1047" i="1" s="1"/>
  <c r="FR1047" i="1"/>
  <c r="GL1047" i="1"/>
  <c r="GO1047" i="1"/>
  <c r="GP1047" i="1"/>
  <c r="GV1047" i="1"/>
  <c r="HC1047" i="1" s="1"/>
  <c r="GX1047" i="1" s="1"/>
  <c r="I1048" i="1"/>
  <c r="Q1048" i="1" s="1"/>
  <c r="R1048" i="1"/>
  <c r="GK1048" i="1" s="1"/>
  <c r="AC1048" i="1"/>
  <c r="AD1048" i="1"/>
  <c r="AE1048" i="1"/>
  <c r="AF1048" i="1"/>
  <c r="AB1048" i="1" s="1"/>
  <c r="AG1048" i="1"/>
  <c r="AH1048" i="1"/>
  <c r="CV1048" i="1" s="1"/>
  <c r="U1048" i="1" s="1"/>
  <c r="AI1048" i="1"/>
  <c r="AJ1048" i="1"/>
  <c r="CX1048" i="1" s="1"/>
  <c r="W1048" i="1" s="1"/>
  <c r="CQ1048" i="1"/>
  <c r="CR1048" i="1"/>
  <c r="CS1048" i="1"/>
  <c r="CU1048" i="1"/>
  <c r="T1048" i="1" s="1"/>
  <c r="CW1048" i="1"/>
  <c r="V1048" i="1" s="1"/>
  <c r="FR1048" i="1"/>
  <c r="GL1048" i="1"/>
  <c r="GO1048" i="1"/>
  <c r="GP1048" i="1"/>
  <c r="GV1048" i="1"/>
  <c r="HC1048" i="1" s="1"/>
  <c r="GX1048" i="1" s="1"/>
  <c r="I1049" i="1"/>
  <c r="Q1049" i="1" s="1"/>
  <c r="P1049" i="1"/>
  <c r="R1049" i="1"/>
  <c r="GK1049" i="1" s="1"/>
  <c r="AC1049" i="1"/>
  <c r="AD1049" i="1"/>
  <c r="AB1049" i="1" s="1"/>
  <c r="AE1049" i="1"/>
  <c r="AF1049" i="1"/>
  <c r="S1049" i="1" s="1"/>
  <c r="AG1049" i="1"/>
  <c r="AH1049" i="1"/>
  <c r="CV1049" i="1" s="1"/>
  <c r="U1049" i="1" s="1"/>
  <c r="AI1049" i="1"/>
  <c r="AJ1049" i="1"/>
  <c r="CX1049" i="1" s="1"/>
  <c r="W1049" i="1" s="1"/>
  <c r="CQ1049" i="1"/>
  <c r="CR1049" i="1"/>
  <c r="CS1049" i="1"/>
  <c r="CU1049" i="1"/>
  <c r="T1049" i="1" s="1"/>
  <c r="CW1049" i="1"/>
  <c r="V1049" i="1" s="1"/>
  <c r="FR1049" i="1"/>
  <c r="GL1049" i="1"/>
  <c r="GO1049" i="1"/>
  <c r="GP1049" i="1"/>
  <c r="GV1049" i="1"/>
  <c r="HC1049" i="1" s="1"/>
  <c r="GX1049" i="1" s="1"/>
  <c r="I1050" i="1"/>
  <c r="Q1050" i="1" s="1"/>
  <c r="R1050" i="1"/>
  <c r="GK1050" i="1" s="1"/>
  <c r="AC1050" i="1"/>
  <c r="AD1050" i="1"/>
  <c r="AE1050" i="1"/>
  <c r="AF1050" i="1"/>
  <c r="AB1050" i="1" s="1"/>
  <c r="AG1050" i="1"/>
  <c r="AH1050" i="1"/>
  <c r="CV1050" i="1" s="1"/>
  <c r="U1050" i="1" s="1"/>
  <c r="AI1050" i="1"/>
  <c r="AJ1050" i="1"/>
  <c r="CX1050" i="1" s="1"/>
  <c r="W1050" i="1" s="1"/>
  <c r="CQ1050" i="1"/>
  <c r="CR1050" i="1"/>
  <c r="CS1050" i="1"/>
  <c r="CU1050" i="1"/>
  <c r="T1050" i="1" s="1"/>
  <c r="CW1050" i="1"/>
  <c r="V1050" i="1" s="1"/>
  <c r="FR1050" i="1"/>
  <c r="GL1050" i="1"/>
  <c r="GO1050" i="1"/>
  <c r="GP1050" i="1"/>
  <c r="GV1050" i="1"/>
  <c r="HC1050" i="1" s="1"/>
  <c r="GX1050" i="1" s="1"/>
  <c r="I1051" i="1"/>
  <c r="Q1051" i="1" s="1"/>
  <c r="P1051" i="1"/>
  <c r="R1051" i="1"/>
  <c r="GK1051" i="1" s="1"/>
  <c r="AC1051" i="1"/>
  <c r="AD1051" i="1"/>
  <c r="AB1051" i="1" s="1"/>
  <c r="AE1051" i="1"/>
  <c r="AF1051" i="1"/>
  <c r="S1051" i="1" s="1"/>
  <c r="AG1051" i="1"/>
  <c r="AH1051" i="1"/>
  <c r="CV1051" i="1" s="1"/>
  <c r="U1051" i="1" s="1"/>
  <c r="AI1051" i="1"/>
  <c r="AJ1051" i="1"/>
  <c r="CX1051" i="1" s="1"/>
  <c r="W1051" i="1" s="1"/>
  <c r="CQ1051" i="1"/>
  <c r="CR1051" i="1"/>
  <c r="CS1051" i="1"/>
  <c r="CU1051" i="1"/>
  <c r="T1051" i="1" s="1"/>
  <c r="CW1051" i="1"/>
  <c r="V1051" i="1" s="1"/>
  <c r="FR1051" i="1"/>
  <c r="GL1051" i="1"/>
  <c r="GO1051" i="1"/>
  <c r="GP1051" i="1"/>
  <c r="GV1051" i="1"/>
  <c r="HC1051" i="1" s="1"/>
  <c r="GX1051" i="1" s="1"/>
  <c r="I1052" i="1"/>
  <c r="Q1052" i="1" s="1"/>
  <c r="R1052" i="1"/>
  <c r="GK1052" i="1" s="1"/>
  <c r="AC1052" i="1"/>
  <c r="AD1052" i="1"/>
  <c r="AE1052" i="1"/>
  <c r="AF1052" i="1"/>
  <c r="AB1052" i="1" s="1"/>
  <c r="AG1052" i="1"/>
  <c r="AH1052" i="1"/>
  <c r="CV1052" i="1" s="1"/>
  <c r="U1052" i="1" s="1"/>
  <c r="AI1052" i="1"/>
  <c r="AJ1052" i="1"/>
  <c r="CX1052" i="1" s="1"/>
  <c r="W1052" i="1" s="1"/>
  <c r="CQ1052" i="1"/>
  <c r="CR1052" i="1"/>
  <c r="CS1052" i="1"/>
  <c r="CU1052" i="1"/>
  <c r="T1052" i="1" s="1"/>
  <c r="CW1052" i="1"/>
  <c r="V1052" i="1" s="1"/>
  <c r="FR1052" i="1"/>
  <c r="GL1052" i="1"/>
  <c r="GO1052" i="1"/>
  <c r="GP1052" i="1"/>
  <c r="GV1052" i="1"/>
  <c r="HC1052" i="1" s="1"/>
  <c r="GX1052" i="1" s="1"/>
  <c r="I1053" i="1"/>
  <c r="Q1053" i="1" s="1"/>
  <c r="P1053" i="1"/>
  <c r="R1053" i="1"/>
  <c r="GK1053" i="1" s="1"/>
  <c r="AC1053" i="1"/>
  <c r="AD1053" i="1"/>
  <c r="AB1053" i="1" s="1"/>
  <c r="AE1053" i="1"/>
  <c r="AF1053" i="1"/>
  <c r="S1053" i="1" s="1"/>
  <c r="AG1053" i="1"/>
  <c r="AH1053" i="1"/>
  <c r="CV1053" i="1" s="1"/>
  <c r="U1053" i="1" s="1"/>
  <c r="AI1053" i="1"/>
  <c r="AJ1053" i="1"/>
  <c r="CX1053" i="1" s="1"/>
  <c r="W1053" i="1" s="1"/>
  <c r="CQ1053" i="1"/>
  <c r="CR1053" i="1"/>
  <c r="CS1053" i="1"/>
  <c r="CU1053" i="1"/>
  <c r="T1053" i="1" s="1"/>
  <c r="CW1053" i="1"/>
  <c r="V1053" i="1" s="1"/>
  <c r="FR1053" i="1"/>
  <c r="GL1053" i="1"/>
  <c r="GO1053" i="1"/>
  <c r="GP1053" i="1"/>
  <c r="GV1053" i="1"/>
  <c r="HC1053" i="1" s="1"/>
  <c r="GX1053" i="1" s="1"/>
  <c r="I1054" i="1"/>
  <c r="Q1054" i="1" s="1"/>
  <c r="R1054" i="1"/>
  <c r="GK1054" i="1" s="1"/>
  <c r="AC1054" i="1"/>
  <c r="AD1054" i="1"/>
  <c r="AE1054" i="1"/>
  <c r="AF1054" i="1"/>
  <c r="AB1054" i="1" s="1"/>
  <c r="AG1054" i="1"/>
  <c r="AH1054" i="1"/>
  <c r="CV1054" i="1" s="1"/>
  <c r="U1054" i="1" s="1"/>
  <c r="AI1054" i="1"/>
  <c r="AJ1054" i="1"/>
  <c r="CX1054" i="1" s="1"/>
  <c r="W1054" i="1" s="1"/>
  <c r="CQ1054" i="1"/>
  <c r="CR1054" i="1"/>
  <c r="CS1054" i="1"/>
  <c r="CU1054" i="1"/>
  <c r="T1054" i="1" s="1"/>
  <c r="CW1054" i="1"/>
  <c r="V1054" i="1" s="1"/>
  <c r="FR1054" i="1"/>
  <c r="GL1054" i="1"/>
  <c r="GO1054" i="1"/>
  <c r="GP1054" i="1"/>
  <c r="GV1054" i="1"/>
  <c r="GX1054" i="1"/>
  <c r="HC1054" i="1"/>
  <c r="I1055" i="1"/>
  <c r="Q1055" i="1" s="1"/>
  <c r="P1055" i="1"/>
  <c r="R1055" i="1"/>
  <c r="GK1055" i="1" s="1"/>
  <c r="AC1055" i="1"/>
  <c r="AD1055" i="1"/>
  <c r="AB1055" i="1" s="1"/>
  <c r="AE1055" i="1"/>
  <c r="AF1055" i="1"/>
  <c r="S1055" i="1" s="1"/>
  <c r="AG1055" i="1"/>
  <c r="AH1055" i="1"/>
  <c r="CV1055" i="1" s="1"/>
  <c r="U1055" i="1" s="1"/>
  <c r="AI1055" i="1"/>
  <c r="AJ1055" i="1"/>
  <c r="CX1055" i="1" s="1"/>
  <c r="W1055" i="1" s="1"/>
  <c r="CQ1055" i="1"/>
  <c r="CR1055" i="1"/>
  <c r="CS1055" i="1"/>
  <c r="CU1055" i="1"/>
  <c r="T1055" i="1" s="1"/>
  <c r="CW1055" i="1"/>
  <c r="V1055" i="1" s="1"/>
  <c r="FR1055" i="1"/>
  <c r="GL1055" i="1"/>
  <c r="GO1055" i="1"/>
  <c r="GP1055" i="1"/>
  <c r="GV1055" i="1"/>
  <c r="HC1055" i="1" s="1"/>
  <c r="GX1055" i="1" s="1"/>
  <c r="I1056" i="1"/>
  <c r="Q1056" i="1" s="1"/>
  <c r="R1056" i="1"/>
  <c r="GK1056" i="1" s="1"/>
  <c r="AC1056" i="1"/>
  <c r="AD1056" i="1"/>
  <c r="AE1056" i="1"/>
  <c r="AF1056" i="1"/>
  <c r="AB1056" i="1" s="1"/>
  <c r="AG1056" i="1"/>
  <c r="AH1056" i="1"/>
  <c r="CV1056" i="1" s="1"/>
  <c r="U1056" i="1" s="1"/>
  <c r="AI1056" i="1"/>
  <c r="AJ1056" i="1"/>
  <c r="CX1056" i="1" s="1"/>
  <c r="W1056" i="1" s="1"/>
  <c r="CQ1056" i="1"/>
  <c r="CR1056" i="1"/>
  <c r="CS1056" i="1"/>
  <c r="CU1056" i="1"/>
  <c r="T1056" i="1" s="1"/>
  <c r="CW1056" i="1"/>
  <c r="V1056" i="1" s="1"/>
  <c r="FR1056" i="1"/>
  <c r="GL1056" i="1"/>
  <c r="GO1056" i="1"/>
  <c r="GP1056" i="1"/>
  <c r="GV1056" i="1"/>
  <c r="GX1056" i="1"/>
  <c r="HC1056" i="1"/>
  <c r="I1057" i="1"/>
  <c r="Q1057" i="1" s="1"/>
  <c r="P1057" i="1"/>
  <c r="R1057" i="1"/>
  <c r="GK1057" i="1" s="1"/>
  <c r="AC1057" i="1"/>
  <c r="AD1057" i="1"/>
  <c r="AB1057" i="1" s="1"/>
  <c r="AE1057" i="1"/>
  <c r="AF1057" i="1"/>
  <c r="S1057" i="1" s="1"/>
  <c r="AG1057" i="1"/>
  <c r="AH1057" i="1"/>
  <c r="CV1057" i="1" s="1"/>
  <c r="U1057" i="1" s="1"/>
  <c r="AI1057" i="1"/>
  <c r="AJ1057" i="1"/>
  <c r="CX1057" i="1" s="1"/>
  <c r="W1057" i="1" s="1"/>
  <c r="CQ1057" i="1"/>
  <c r="CR1057" i="1"/>
  <c r="CS1057" i="1"/>
  <c r="CU1057" i="1"/>
  <c r="T1057" i="1" s="1"/>
  <c r="CW1057" i="1"/>
  <c r="V1057" i="1" s="1"/>
  <c r="FR1057" i="1"/>
  <c r="GL1057" i="1"/>
  <c r="GO1057" i="1"/>
  <c r="GP1057" i="1"/>
  <c r="GV1057" i="1"/>
  <c r="HC1057" i="1" s="1"/>
  <c r="GX1057" i="1" s="1"/>
  <c r="I1058" i="1"/>
  <c r="Q1058" i="1" s="1"/>
  <c r="R1058" i="1"/>
  <c r="GK1058" i="1" s="1"/>
  <c r="AC1058" i="1"/>
  <c r="AD1058" i="1"/>
  <c r="AE1058" i="1"/>
  <c r="AF1058" i="1"/>
  <c r="AB1058" i="1" s="1"/>
  <c r="AG1058" i="1"/>
  <c r="AH1058" i="1"/>
  <c r="CV1058" i="1" s="1"/>
  <c r="U1058" i="1" s="1"/>
  <c r="AI1058" i="1"/>
  <c r="AJ1058" i="1"/>
  <c r="CX1058" i="1" s="1"/>
  <c r="W1058" i="1" s="1"/>
  <c r="CQ1058" i="1"/>
  <c r="CR1058" i="1"/>
  <c r="CS1058" i="1"/>
  <c r="CU1058" i="1"/>
  <c r="T1058" i="1" s="1"/>
  <c r="CW1058" i="1"/>
  <c r="V1058" i="1" s="1"/>
  <c r="FR1058" i="1"/>
  <c r="GL1058" i="1"/>
  <c r="GO1058" i="1"/>
  <c r="GP1058" i="1"/>
  <c r="GV1058" i="1"/>
  <c r="GX1058" i="1"/>
  <c r="HC1058" i="1"/>
  <c r="I1059" i="1"/>
  <c r="Q1059" i="1" s="1"/>
  <c r="P1059" i="1"/>
  <c r="CP1059" i="1" s="1"/>
  <c r="O1059" i="1" s="1"/>
  <c r="R1059" i="1"/>
  <c r="GK1059" i="1" s="1"/>
  <c r="AC1059" i="1"/>
  <c r="AD1059" i="1"/>
  <c r="AB1059" i="1" s="1"/>
  <c r="AE1059" i="1"/>
  <c r="AF1059" i="1"/>
  <c r="S1059" i="1" s="1"/>
  <c r="AG1059" i="1"/>
  <c r="AH1059" i="1"/>
  <c r="CV1059" i="1" s="1"/>
  <c r="U1059" i="1" s="1"/>
  <c r="AI1059" i="1"/>
  <c r="AJ1059" i="1"/>
  <c r="CX1059" i="1" s="1"/>
  <c r="W1059" i="1" s="1"/>
  <c r="CQ1059" i="1"/>
  <c r="CR1059" i="1"/>
  <c r="CS1059" i="1"/>
  <c r="CU1059" i="1"/>
  <c r="T1059" i="1" s="1"/>
  <c r="CW1059" i="1"/>
  <c r="V1059" i="1" s="1"/>
  <c r="FR1059" i="1"/>
  <c r="GL1059" i="1"/>
  <c r="GO1059" i="1"/>
  <c r="GP1059" i="1"/>
  <c r="GV1059" i="1"/>
  <c r="HC1059" i="1" s="1"/>
  <c r="GX1059" i="1" s="1"/>
  <c r="I1060" i="1"/>
  <c r="Q1060" i="1" s="1"/>
  <c r="R1060" i="1"/>
  <c r="GK1060" i="1" s="1"/>
  <c r="AC1060" i="1"/>
  <c r="AD1060" i="1"/>
  <c r="AE1060" i="1"/>
  <c r="AF1060" i="1"/>
  <c r="AB1060" i="1" s="1"/>
  <c r="AG1060" i="1"/>
  <c r="AH1060" i="1"/>
  <c r="CV1060" i="1" s="1"/>
  <c r="U1060" i="1" s="1"/>
  <c r="AI1060" i="1"/>
  <c r="AJ1060" i="1"/>
  <c r="CX1060" i="1" s="1"/>
  <c r="W1060" i="1" s="1"/>
  <c r="CQ1060" i="1"/>
  <c r="CR1060" i="1"/>
  <c r="CS1060" i="1"/>
  <c r="CU1060" i="1"/>
  <c r="T1060" i="1" s="1"/>
  <c r="CW1060" i="1"/>
  <c r="V1060" i="1" s="1"/>
  <c r="FR1060" i="1"/>
  <c r="GL1060" i="1"/>
  <c r="GO1060" i="1"/>
  <c r="GP1060" i="1"/>
  <c r="GV1060" i="1"/>
  <c r="GX1060" i="1"/>
  <c r="HC1060" i="1"/>
  <c r="I1061" i="1"/>
  <c r="Q1061" i="1" s="1"/>
  <c r="P1061" i="1"/>
  <c r="R1061" i="1"/>
  <c r="GK1061" i="1" s="1"/>
  <c r="AC1061" i="1"/>
  <c r="AD1061" i="1"/>
  <c r="AB1061" i="1" s="1"/>
  <c r="AE1061" i="1"/>
  <c r="AF1061" i="1"/>
  <c r="S1061" i="1" s="1"/>
  <c r="AG1061" i="1"/>
  <c r="AH1061" i="1"/>
  <c r="CV1061" i="1" s="1"/>
  <c r="U1061" i="1" s="1"/>
  <c r="AI1061" i="1"/>
  <c r="AJ1061" i="1"/>
  <c r="CX1061" i="1" s="1"/>
  <c r="W1061" i="1" s="1"/>
  <c r="CQ1061" i="1"/>
  <c r="CR1061" i="1"/>
  <c r="CS1061" i="1"/>
  <c r="CU1061" i="1"/>
  <c r="T1061" i="1" s="1"/>
  <c r="CW1061" i="1"/>
  <c r="V1061" i="1" s="1"/>
  <c r="FR1061" i="1"/>
  <c r="GL1061" i="1"/>
  <c r="GO1061" i="1"/>
  <c r="GP1061" i="1"/>
  <c r="GV1061" i="1"/>
  <c r="HC1061" i="1" s="1"/>
  <c r="GX1061" i="1" s="1"/>
  <c r="C1062" i="1"/>
  <c r="D1062" i="1"/>
  <c r="S1062" i="1"/>
  <c r="CY1062" i="1" s="1"/>
  <c r="X1062" i="1" s="1"/>
  <c r="AC1062" i="1"/>
  <c r="P1062" i="1" s="1"/>
  <c r="AE1062" i="1"/>
  <c r="AD1062" i="1" s="1"/>
  <c r="AF1062" i="1"/>
  <c r="AG1062" i="1"/>
  <c r="CU1062" i="1" s="1"/>
  <c r="T1062" i="1" s="1"/>
  <c r="AH1062" i="1"/>
  <c r="AI1062" i="1"/>
  <c r="CW1062" i="1" s="1"/>
  <c r="V1062" i="1" s="1"/>
  <c r="AJ1062" i="1"/>
  <c r="CR1062" i="1"/>
  <c r="CT1062" i="1"/>
  <c r="CV1062" i="1"/>
  <c r="U1062" i="1" s="1"/>
  <c r="CX1062" i="1"/>
  <c r="W1062" i="1" s="1"/>
  <c r="CZ1062" i="1"/>
  <c r="Y1062" i="1" s="1"/>
  <c r="FR1062" i="1"/>
  <c r="GL1062" i="1"/>
  <c r="GO1062" i="1"/>
  <c r="GP1062" i="1"/>
  <c r="GV1062" i="1"/>
  <c r="HC1062" i="1" s="1"/>
  <c r="GX1062" i="1" s="1"/>
  <c r="C1063" i="1"/>
  <c r="D1063" i="1"/>
  <c r="P1063" i="1"/>
  <c r="R1063" i="1"/>
  <c r="DW1093" i="1" s="1"/>
  <c r="AC1063" i="1"/>
  <c r="AD1063" i="1"/>
  <c r="AE1063" i="1"/>
  <c r="Q1063" i="1" s="1"/>
  <c r="AF1063" i="1"/>
  <c r="AB1063" i="1" s="1"/>
  <c r="AG1063" i="1"/>
  <c r="AH1063" i="1"/>
  <c r="CV1063" i="1" s="1"/>
  <c r="U1063" i="1" s="1"/>
  <c r="AI1063" i="1"/>
  <c r="AJ1063" i="1"/>
  <c r="CX1063" i="1" s="1"/>
  <c r="W1063" i="1" s="1"/>
  <c r="CQ1063" i="1"/>
  <c r="CR1063" i="1"/>
  <c r="CS1063" i="1"/>
  <c r="CU1063" i="1"/>
  <c r="T1063" i="1" s="1"/>
  <c r="CW1063" i="1"/>
  <c r="V1063" i="1" s="1"/>
  <c r="FR1063" i="1"/>
  <c r="GL1063" i="1"/>
  <c r="GO1063" i="1"/>
  <c r="GP1063" i="1"/>
  <c r="GV1063" i="1"/>
  <c r="HC1063" i="1" s="1"/>
  <c r="GX1063" i="1" s="1"/>
  <c r="I1064" i="1"/>
  <c r="Q1064" i="1" s="1"/>
  <c r="P1064" i="1"/>
  <c r="R1064" i="1"/>
  <c r="GK1064" i="1" s="1"/>
  <c r="AC1064" i="1"/>
  <c r="AD1064" i="1"/>
  <c r="AB1064" i="1" s="1"/>
  <c r="AE1064" i="1"/>
  <c r="AF1064" i="1"/>
  <c r="S1064" i="1" s="1"/>
  <c r="AG1064" i="1"/>
  <c r="AH1064" i="1"/>
  <c r="CV1064" i="1" s="1"/>
  <c r="U1064" i="1" s="1"/>
  <c r="AI1064" i="1"/>
  <c r="AJ1064" i="1"/>
  <c r="CX1064" i="1" s="1"/>
  <c r="W1064" i="1" s="1"/>
  <c r="CQ1064" i="1"/>
  <c r="CR1064" i="1"/>
  <c r="CS1064" i="1"/>
  <c r="CU1064" i="1"/>
  <c r="T1064" i="1" s="1"/>
  <c r="CW1064" i="1"/>
  <c r="V1064" i="1" s="1"/>
  <c r="FR1064" i="1"/>
  <c r="GL1064" i="1"/>
  <c r="BZ1093" i="1" s="1"/>
  <c r="GO1064" i="1"/>
  <c r="GP1064" i="1"/>
  <c r="CD1093" i="1" s="1"/>
  <c r="GV1064" i="1"/>
  <c r="GX1064" i="1"/>
  <c r="HC1064" i="1"/>
  <c r="I1065" i="1"/>
  <c r="Q1065" i="1" s="1"/>
  <c r="R1065" i="1"/>
  <c r="GK1065" i="1" s="1"/>
  <c r="AC1065" i="1"/>
  <c r="AD1065" i="1"/>
  <c r="AE1065" i="1"/>
  <c r="AF1065" i="1"/>
  <c r="AB1065" i="1" s="1"/>
  <c r="AG1065" i="1"/>
  <c r="AH1065" i="1"/>
  <c r="CV1065" i="1" s="1"/>
  <c r="U1065" i="1" s="1"/>
  <c r="AI1065" i="1"/>
  <c r="AJ1065" i="1"/>
  <c r="CX1065" i="1" s="1"/>
  <c r="W1065" i="1" s="1"/>
  <c r="CQ1065" i="1"/>
  <c r="CR1065" i="1"/>
  <c r="CS1065" i="1"/>
  <c r="CU1065" i="1"/>
  <c r="T1065" i="1" s="1"/>
  <c r="CW1065" i="1"/>
  <c r="V1065" i="1" s="1"/>
  <c r="FR1065" i="1"/>
  <c r="GL1065" i="1"/>
  <c r="GO1065" i="1"/>
  <c r="GP1065" i="1"/>
  <c r="GV1065" i="1"/>
  <c r="HC1065" i="1" s="1"/>
  <c r="GX1065" i="1" s="1"/>
  <c r="I1066" i="1"/>
  <c r="Q1066" i="1" s="1"/>
  <c r="P1066" i="1"/>
  <c r="R1066" i="1"/>
  <c r="GK1066" i="1" s="1"/>
  <c r="AC1066" i="1"/>
  <c r="AD1066" i="1"/>
  <c r="AB1066" i="1" s="1"/>
  <c r="AE1066" i="1"/>
  <c r="AF1066" i="1"/>
  <c r="S1066" i="1" s="1"/>
  <c r="AG1066" i="1"/>
  <c r="AH1066" i="1"/>
  <c r="CV1066" i="1" s="1"/>
  <c r="U1066" i="1" s="1"/>
  <c r="AI1066" i="1"/>
  <c r="AJ1066" i="1"/>
  <c r="CX1066" i="1" s="1"/>
  <c r="W1066" i="1" s="1"/>
  <c r="CQ1066" i="1"/>
  <c r="CR1066" i="1"/>
  <c r="CS1066" i="1"/>
  <c r="CU1066" i="1"/>
  <c r="T1066" i="1" s="1"/>
  <c r="CW1066" i="1"/>
  <c r="V1066" i="1" s="1"/>
  <c r="FR1066" i="1"/>
  <c r="GL1066" i="1"/>
  <c r="GO1066" i="1"/>
  <c r="GP1066" i="1"/>
  <c r="GV1066" i="1"/>
  <c r="GX1066" i="1"/>
  <c r="HC1066" i="1"/>
  <c r="I1067" i="1"/>
  <c r="Q1067" i="1" s="1"/>
  <c r="R1067" i="1"/>
  <c r="GK1067" i="1" s="1"/>
  <c r="AC1067" i="1"/>
  <c r="AD1067" i="1"/>
  <c r="AE1067" i="1"/>
  <c r="AF1067" i="1"/>
  <c r="AB1067" i="1" s="1"/>
  <c r="AG1067" i="1"/>
  <c r="AH1067" i="1"/>
  <c r="CV1067" i="1" s="1"/>
  <c r="U1067" i="1" s="1"/>
  <c r="AI1067" i="1"/>
  <c r="AJ1067" i="1"/>
  <c r="CX1067" i="1" s="1"/>
  <c r="W1067" i="1" s="1"/>
  <c r="CQ1067" i="1"/>
  <c r="CR1067" i="1"/>
  <c r="CS1067" i="1"/>
  <c r="CU1067" i="1"/>
  <c r="T1067" i="1" s="1"/>
  <c r="CW1067" i="1"/>
  <c r="V1067" i="1" s="1"/>
  <c r="FR1067" i="1"/>
  <c r="GL1067" i="1"/>
  <c r="GO1067" i="1"/>
  <c r="GP1067" i="1"/>
  <c r="GV1067" i="1"/>
  <c r="HC1067" i="1" s="1"/>
  <c r="GX1067" i="1" s="1"/>
  <c r="I1068" i="1"/>
  <c r="Q1068" i="1" s="1"/>
  <c r="P1068" i="1"/>
  <c r="CP1068" i="1" s="1"/>
  <c r="O1068" i="1" s="1"/>
  <c r="R1068" i="1"/>
  <c r="GK1068" i="1" s="1"/>
  <c r="AC1068" i="1"/>
  <c r="AD1068" i="1"/>
  <c r="AB1068" i="1" s="1"/>
  <c r="AE1068" i="1"/>
  <c r="AF1068" i="1"/>
  <c r="S1068" i="1" s="1"/>
  <c r="AG1068" i="1"/>
  <c r="AH1068" i="1"/>
  <c r="CV1068" i="1" s="1"/>
  <c r="U1068" i="1" s="1"/>
  <c r="AI1068" i="1"/>
  <c r="AJ1068" i="1"/>
  <c r="CX1068" i="1" s="1"/>
  <c r="W1068" i="1" s="1"/>
  <c r="CQ1068" i="1"/>
  <c r="CR1068" i="1"/>
  <c r="CS1068" i="1"/>
  <c r="CU1068" i="1"/>
  <c r="T1068" i="1" s="1"/>
  <c r="CW1068" i="1"/>
  <c r="V1068" i="1" s="1"/>
  <c r="FR1068" i="1"/>
  <c r="GL1068" i="1"/>
  <c r="GO1068" i="1"/>
  <c r="GP1068" i="1"/>
  <c r="GV1068" i="1"/>
  <c r="GX1068" i="1"/>
  <c r="HC1068" i="1"/>
  <c r="I1069" i="1"/>
  <c r="Q1069" i="1" s="1"/>
  <c r="R1069" i="1"/>
  <c r="GK1069" i="1" s="1"/>
  <c r="AC1069" i="1"/>
  <c r="AD1069" i="1"/>
  <c r="AE1069" i="1"/>
  <c r="AF1069" i="1"/>
  <c r="AB1069" i="1" s="1"/>
  <c r="AG1069" i="1"/>
  <c r="AH1069" i="1"/>
  <c r="CV1069" i="1" s="1"/>
  <c r="U1069" i="1" s="1"/>
  <c r="AI1069" i="1"/>
  <c r="AJ1069" i="1"/>
  <c r="CX1069" i="1" s="1"/>
  <c r="W1069" i="1" s="1"/>
  <c r="CQ1069" i="1"/>
  <c r="CR1069" i="1"/>
  <c r="CS1069" i="1"/>
  <c r="CU1069" i="1"/>
  <c r="T1069" i="1" s="1"/>
  <c r="CW1069" i="1"/>
  <c r="V1069" i="1" s="1"/>
  <c r="FR1069" i="1"/>
  <c r="GL1069" i="1"/>
  <c r="GO1069" i="1"/>
  <c r="GP1069" i="1"/>
  <c r="GV1069" i="1"/>
  <c r="HC1069" i="1" s="1"/>
  <c r="GX1069" i="1" s="1"/>
  <c r="C1070" i="1"/>
  <c r="D1070" i="1"/>
  <c r="S1070" i="1"/>
  <c r="CY1070" i="1" s="1"/>
  <c r="X1070" i="1" s="1"/>
  <c r="AC1070" i="1"/>
  <c r="AE1070" i="1"/>
  <c r="R1070" i="1" s="1"/>
  <c r="GK1070" i="1" s="1"/>
  <c r="AF1070" i="1"/>
  <c r="AG1070" i="1"/>
  <c r="CU1070" i="1" s="1"/>
  <c r="T1070" i="1" s="1"/>
  <c r="AH1070" i="1"/>
  <c r="AI1070" i="1"/>
  <c r="CW1070" i="1" s="1"/>
  <c r="V1070" i="1" s="1"/>
  <c r="AJ1070" i="1"/>
  <c r="CR1070" i="1"/>
  <c r="CT1070" i="1"/>
  <c r="CV1070" i="1"/>
  <c r="U1070" i="1" s="1"/>
  <c r="CX1070" i="1"/>
  <c r="W1070" i="1" s="1"/>
  <c r="FR1070" i="1"/>
  <c r="GL1070" i="1"/>
  <c r="GO1070" i="1"/>
  <c r="GP1070" i="1"/>
  <c r="GV1070" i="1"/>
  <c r="HC1070" i="1"/>
  <c r="GX1070" i="1" s="1"/>
  <c r="C1071" i="1"/>
  <c r="D1071" i="1"/>
  <c r="P1071" i="1"/>
  <c r="R1071" i="1"/>
  <c r="GK1071" i="1" s="1"/>
  <c r="AC1071" i="1"/>
  <c r="AD1071" i="1"/>
  <c r="AB1071" i="1" s="1"/>
  <c r="AE1071" i="1"/>
  <c r="Q1071" i="1" s="1"/>
  <c r="AF1071" i="1"/>
  <c r="S1071" i="1" s="1"/>
  <c r="AG1071" i="1"/>
  <c r="AH1071" i="1"/>
  <c r="CV1071" i="1" s="1"/>
  <c r="U1071" i="1" s="1"/>
  <c r="AI1071" i="1"/>
  <c r="AJ1071" i="1"/>
  <c r="CX1071" i="1" s="1"/>
  <c r="W1071" i="1" s="1"/>
  <c r="CQ1071" i="1"/>
  <c r="CR1071" i="1"/>
  <c r="CS1071" i="1"/>
  <c r="CU1071" i="1"/>
  <c r="T1071" i="1" s="1"/>
  <c r="CW1071" i="1"/>
  <c r="V1071" i="1" s="1"/>
  <c r="FR1071" i="1"/>
  <c r="GL1071" i="1"/>
  <c r="FR1093" i="1" s="1"/>
  <c r="GO1071" i="1"/>
  <c r="GP1071" i="1"/>
  <c r="FV1093" i="1" s="1"/>
  <c r="GV1071" i="1"/>
  <c r="HC1071" i="1" s="1"/>
  <c r="GX1071" i="1" s="1"/>
  <c r="I1072" i="1"/>
  <c r="Q1072" i="1" s="1"/>
  <c r="R1072" i="1"/>
  <c r="GK1072" i="1" s="1"/>
  <c r="AC1072" i="1"/>
  <c r="AD1072" i="1"/>
  <c r="AE1072" i="1"/>
  <c r="AF1072" i="1"/>
  <c r="AB1072" i="1" s="1"/>
  <c r="AG1072" i="1"/>
  <c r="AH1072" i="1"/>
  <c r="CV1072" i="1" s="1"/>
  <c r="U1072" i="1" s="1"/>
  <c r="AI1072" i="1"/>
  <c r="AJ1072" i="1"/>
  <c r="CX1072" i="1" s="1"/>
  <c r="W1072" i="1" s="1"/>
  <c r="CQ1072" i="1"/>
  <c r="CR1072" i="1"/>
  <c r="CS1072" i="1"/>
  <c r="CU1072" i="1"/>
  <c r="T1072" i="1" s="1"/>
  <c r="CW1072" i="1"/>
  <c r="V1072" i="1" s="1"/>
  <c r="FR1072" i="1"/>
  <c r="BY1093" i="1" s="1"/>
  <c r="GL1072" i="1"/>
  <c r="GO1072" i="1"/>
  <c r="GP1072" i="1"/>
  <c r="GV1072" i="1"/>
  <c r="HC1072" i="1" s="1"/>
  <c r="GX1072" i="1" s="1"/>
  <c r="I1073" i="1"/>
  <c r="Q1073" i="1" s="1"/>
  <c r="P1073" i="1"/>
  <c r="R1073" i="1"/>
  <c r="GK1073" i="1" s="1"/>
  <c r="AC1073" i="1"/>
  <c r="AD1073" i="1"/>
  <c r="AB1073" i="1" s="1"/>
  <c r="AE1073" i="1"/>
  <c r="AF1073" i="1"/>
  <c r="S1073" i="1" s="1"/>
  <c r="AG1073" i="1"/>
  <c r="AH1073" i="1"/>
  <c r="CV1073" i="1" s="1"/>
  <c r="U1073" i="1" s="1"/>
  <c r="AI1073" i="1"/>
  <c r="AJ1073" i="1"/>
  <c r="CX1073" i="1" s="1"/>
  <c r="W1073" i="1" s="1"/>
  <c r="CQ1073" i="1"/>
  <c r="CR1073" i="1"/>
  <c r="CS1073" i="1"/>
  <c r="CU1073" i="1"/>
  <c r="T1073" i="1" s="1"/>
  <c r="CW1073" i="1"/>
  <c r="V1073" i="1" s="1"/>
  <c r="FR1073" i="1"/>
  <c r="GL1073" i="1"/>
  <c r="GO1073" i="1"/>
  <c r="GP1073" i="1"/>
  <c r="GV1073" i="1"/>
  <c r="HC1073" i="1" s="1"/>
  <c r="GX1073" i="1" s="1"/>
  <c r="I1074" i="1"/>
  <c r="Q1074" i="1" s="1"/>
  <c r="R1074" i="1"/>
  <c r="GK1074" i="1" s="1"/>
  <c r="AC1074" i="1"/>
  <c r="AD1074" i="1"/>
  <c r="AE1074" i="1"/>
  <c r="AF1074" i="1"/>
  <c r="AB1074" i="1" s="1"/>
  <c r="AG1074" i="1"/>
  <c r="AH1074" i="1"/>
  <c r="CV1074" i="1" s="1"/>
  <c r="U1074" i="1" s="1"/>
  <c r="AI1074" i="1"/>
  <c r="AJ1074" i="1"/>
  <c r="CX1074" i="1" s="1"/>
  <c r="W1074" i="1" s="1"/>
  <c r="CQ1074" i="1"/>
  <c r="CR1074" i="1"/>
  <c r="CS1074" i="1"/>
  <c r="CU1074" i="1"/>
  <c r="T1074" i="1" s="1"/>
  <c r="CW1074" i="1"/>
  <c r="V1074" i="1" s="1"/>
  <c r="FR1074" i="1"/>
  <c r="GL1074" i="1"/>
  <c r="GO1074" i="1"/>
  <c r="GP1074" i="1"/>
  <c r="GV1074" i="1"/>
  <c r="HC1074" i="1" s="1"/>
  <c r="GX1074" i="1" s="1"/>
  <c r="I1075" i="1"/>
  <c r="Q1075" i="1" s="1"/>
  <c r="P1075" i="1"/>
  <c r="R1075" i="1"/>
  <c r="GK1075" i="1" s="1"/>
  <c r="AC1075" i="1"/>
  <c r="AD1075" i="1"/>
  <c r="AB1075" i="1" s="1"/>
  <c r="AE1075" i="1"/>
  <c r="AF1075" i="1"/>
  <c r="S1075" i="1" s="1"/>
  <c r="AG1075" i="1"/>
  <c r="AH1075" i="1"/>
  <c r="CV1075" i="1" s="1"/>
  <c r="U1075" i="1" s="1"/>
  <c r="AI1075" i="1"/>
  <c r="AJ1075" i="1"/>
  <c r="CX1075" i="1" s="1"/>
  <c r="W1075" i="1" s="1"/>
  <c r="CQ1075" i="1"/>
  <c r="CR1075" i="1"/>
  <c r="CS1075" i="1"/>
  <c r="CU1075" i="1"/>
  <c r="T1075" i="1" s="1"/>
  <c r="CW1075" i="1"/>
  <c r="V1075" i="1" s="1"/>
  <c r="FR1075" i="1"/>
  <c r="GL1075" i="1"/>
  <c r="GO1075" i="1"/>
  <c r="GP1075" i="1"/>
  <c r="GV1075" i="1"/>
  <c r="HC1075" i="1" s="1"/>
  <c r="GX1075" i="1" s="1"/>
  <c r="C1076" i="1"/>
  <c r="D1076" i="1"/>
  <c r="S1076" i="1"/>
  <c r="CY1076" i="1" s="1"/>
  <c r="X1076" i="1" s="1"/>
  <c r="AC1076" i="1"/>
  <c r="P1076" i="1" s="1"/>
  <c r="AE1076" i="1"/>
  <c r="AD1076" i="1" s="1"/>
  <c r="AF1076" i="1"/>
  <c r="AG1076" i="1"/>
  <c r="CU1076" i="1" s="1"/>
  <c r="T1076" i="1" s="1"/>
  <c r="AH1076" i="1"/>
  <c r="AI1076" i="1"/>
  <c r="CW1076" i="1" s="1"/>
  <c r="V1076" i="1" s="1"/>
  <c r="AJ1076" i="1"/>
  <c r="CR1076" i="1"/>
  <c r="CT1076" i="1"/>
  <c r="CV1076" i="1"/>
  <c r="U1076" i="1" s="1"/>
  <c r="CX1076" i="1"/>
  <c r="W1076" i="1" s="1"/>
  <c r="CZ1076" i="1"/>
  <c r="Y1076" i="1" s="1"/>
  <c r="FR1076" i="1"/>
  <c r="GL1076" i="1"/>
  <c r="GO1076" i="1"/>
  <c r="GP1076" i="1"/>
  <c r="GV1076" i="1"/>
  <c r="HC1076" i="1" s="1"/>
  <c r="GX1076" i="1" s="1"/>
  <c r="C1077" i="1"/>
  <c r="D1077" i="1"/>
  <c r="P1077" i="1"/>
  <c r="R1077" i="1"/>
  <c r="GK1077" i="1" s="1"/>
  <c r="AC1077" i="1"/>
  <c r="AD1077" i="1"/>
  <c r="AE1077" i="1"/>
  <c r="Q1077" i="1" s="1"/>
  <c r="AF1077" i="1"/>
  <c r="AB1077" i="1" s="1"/>
  <c r="AG1077" i="1"/>
  <c r="AH1077" i="1"/>
  <c r="CV1077" i="1" s="1"/>
  <c r="U1077" i="1" s="1"/>
  <c r="AI1077" i="1"/>
  <c r="AJ1077" i="1"/>
  <c r="CX1077" i="1" s="1"/>
  <c r="W1077" i="1" s="1"/>
  <c r="CQ1077" i="1"/>
  <c r="CR1077" i="1"/>
  <c r="CS1077" i="1"/>
  <c r="CU1077" i="1"/>
  <c r="T1077" i="1" s="1"/>
  <c r="CW1077" i="1"/>
  <c r="V1077" i="1" s="1"/>
  <c r="FR1077" i="1"/>
  <c r="GL1077" i="1"/>
  <c r="GO1077" i="1"/>
  <c r="GP1077" i="1"/>
  <c r="GV1077" i="1"/>
  <c r="HC1077" i="1" s="1"/>
  <c r="GX1077" i="1" s="1"/>
  <c r="I1078" i="1"/>
  <c r="Q1078" i="1" s="1"/>
  <c r="P1078" i="1"/>
  <c r="R1078" i="1"/>
  <c r="GK1078" i="1" s="1"/>
  <c r="AC1078" i="1"/>
  <c r="AD1078" i="1"/>
  <c r="AB1078" i="1" s="1"/>
  <c r="AE1078" i="1"/>
  <c r="AF1078" i="1"/>
  <c r="S1078" i="1" s="1"/>
  <c r="AG1078" i="1"/>
  <c r="AH1078" i="1"/>
  <c r="CV1078" i="1" s="1"/>
  <c r="U1078" i="1" s="1"/>
  <c r="AI1078" i="1"/>
  <c r="AJ1078" i="1"/>
  <c r="CX1078" i="1" s="1"/>
  <c r="W1078" i="1" s="1"/>
  <c r="CQ1078" i="1"/>
  <c r="CR1078" i="1"/>
  <c r="CS1078" i="1"/>
  <c r="CU1078" i="1"/>
  <c r="T1078" i="1" s="1"/>
  <c r="CW1078" i="1"/>
  <c r="V1078" i="1" s="1"/>
  <c r="FR1078" i="1"/>
  <c r="GL1078" i="1"/>
  <c r="GO1078" i="1"/>
  <c r="GP1078" i="1"/>
  <c r="GV1078" i="1"/>
  <c r="GX1078" i="1"/>
  <c r="HC1078" i="1"/>
  <c r="I1079" i="1"/>
  <c r="Q1079" i="1" s="1"/>
  <c r="R1079" i="1"/>
  <c r="GK1079" i="1" s="1"/>
  <c r="AC1079" i="1"/>
  <c r="AD1079" i="1"/>
  <c r="AE1079" i="1"/>
  <c r="AF1079" i="1"/>
  <c r="AB1079" i="1" s="1"/>
  <c r="AG1079" i="1"/>
  <c r="AH1079" i="1"/>
  <c r="CV1079" i="1" s="1"/>
  <c r="U1079" i="1" s="1"/>
  <c r="AI1079" i="1"/>
  <c r="AJ1079" i="1"/>
  <c r="CX1079" i="1" s="1"/>
  <c r="W1079" i="1" s="1"/>
  <c r="CQ1079" i="1"/>
  <c r="CR1079" i="1"/>
  <c r="CS1079" i="1"/>
  <c r="CU1079" i="1"/>
  <c r="T1079" i="1" s="1"/>
  <c r="CW1079" i="1"/>
  <c r="V1079" i="1" s="1"/>
  <c r="FR1079" i="1"/>
  <c r="GL1079" i="1"/>
  <c r="GO1079" i="1"/>
  <c r="GP1079" i="1"/>
  <c r="GV1079" i="1"/>
  <c r="GX1079" i="1"/>
  <c r="HC1079" i="1"/>
  <c r="C1080" i="1"/>
  <c r="D1080" i="1"/>
  <c r="S1080" i="1"/>
  <c r="CY1080" i="1" s="1"/>
  <c r="X1080" i="1" s="1"/>
  <c r="AC1080" i="1"/>
  <c r="AE1080" i="1"/>
  <c r="R1080" i="1" s="1"/>
  <c r="GK1080" i="1" s="1"/>
  <c r="AF1080" i="1"/>
  <c r="AG1080" i="1"/>
  <c r="CU1080" i="1" s="1"/>
  <c r="T1080" i="1" s="1"/>
  <c r="AH1080" i="1"/>
  <c r="AI1080" i="1"/>
  <c r="CW1080" i="1" s="1"/>
  <c r="V1080" i="1" s="1"/>
  <c r="AJ1080" i="1"/>
  <c r="CR1080" i="1"/>
  <c r="CT1080" i="1"/>
  <c r="CV1080" i="1"/>
  <c r="U1080" i="1" s="1"/>
  <c r="CX1080" i="1"/>
  <c r="W1080" i="1" s="1"/>
  <c r="FR1080" i="1"/>
  <c r="GL1080" i="1"/>
  <c r="GO1080" i="1"/>
  <c r="CC1093" i="1" s="1"/>
  <c r="GP1080" i="1"/>
  <c r="GV1080" i="1"/>
  <c r="HC1080" i="1"/>
  <c r="GX1080" i="1" s="1"/>
  <c r="C1081" i="1"/>
  <c r="D1081" i="1"/>
  <c r="P1081" i="1"/>
  <c r="R1081" i="1"/>
  <c r="GK1081" i="1" s="1"/>
  <c r="AC1081" i="1"/>
  <c r="AD1081" i="1"/>
  <c r="AB1081" i="1" s="1"/>
  <c r="AE1081" i="1"/>
  <c r="Q1081" i="1" s="1"/>
  <c r="AF1081" i="1"/>
  <c r="S1081" i="1" s="1"/>
  <c r="AG1081" i="1"/>
  <c r="AH1081" i="1"/>
  <c r="CV1081" i="1" s="1"/>
  <c r="U1081" i="1" s="1"/>
  <c r="AI1081" i="1"/>
  <c r="AJ1081" i="1"/>
  <c r="CX1081" i="1" s="1"/>
  <c r="W1081" i="1" s="1"/>
  <c r="CQ1081" i="1"/>
  <c r="CR1081" i="1"/>
  <c r="CS1081" i="1"/>
  <c r="CU1081" i="1"/>
  <c r="T1081" i="1" s="1"/>
  <c r="CW1081" i="1"/>
  <c r="V1081" i="1" s="1"/>
  <c r="FR1081" i="1"/>
  <c r="GL1081" i="1"/>
  <c r="GO1081" i="1"/>
  <c r="GP1081" i="1"/>
  <c r="GV1081" i="1"/>
  <c r="HC1081" i="1" s="1"/>
  <c r="GX1081" i="1" s="1"/>
  <c r="I1082" i="1"/>
  <c r="Q1082" i="1" s="1"/>
  <c r="R1082" i="1"/>
  <c r="GK1082" i="1" s="1"/>
  <c r="AC1082" i="1"/>
  <c r="AD1082" i="1"/>
  <c r="AE1082" i="1"/>
  <c r="AF1082" i="1"/>
  <c r="AB1082" i="1" s="1"/>
  <c r="AG1082" i="1"/>
  <c r="AH1082" i="1"/>
  <c r="CV1082" i="1" s="1"/>
  <c r="U1082" i="1" s="1"/>
  <c r="AI1082" i="1"/>
  <c r="AJ1082" i="1"/>
  <c r="CX1082" i="1" s="1"/>
  <c r="W1082" i="1" s="1"/>
  <c r="CQ1082" i="1"/>
  <c r="CR1082" i="1"/>
  <c r="CS1082" i="1"/>
  <c r="CU1082" i="1"/>
  <c r="T1082" i="1" s="1"/>
  <c r="CW1082" i="1"/>
  <c r="V1082" i="1" s="1"/>
  <c r="FR1082" i="1"/>
  <c r="GL1082" i="1"/>
  <c r="GO1082" i="1"/>
  <c r="GP1082" i="1"/>
  <c r="GV1082" i="1"/>
  <c r="HC1082" i="1" s="1"/>
  <c r="GX1082" i="1" s="1"/>
  <c r="I1083" i="1"/>
  <c r="Q1083" i="1" s="1"/>
  <c r="P1083" i="1"/>
  <c r="CP1083" i="1" s="1"/>
  <c r="O1083" i="1" s="1"/>
  <c r="R1083" i="1"/>
  <c r="GK1083" i="1" s="1"/>
  <c r="AC1083" i="1"/>
  <c r="AD1083" i="1"/>
  <c r="AB1083" i="1" s="1"/>
  <c r="AE1083" i="1"/>
  <c r="AF1083" i="1"/>
  <c r="S1083" i="1" s="1"/>
  <c r="AG1083" i="1"/>
  <c r="AH1083" i="1"/>
  <c r="CV1083" i="1" s="1"/>
  <c r="U1083" i="1" s="1"/>
  <c r="AI1083" i="1"/>
  <c r="AJ1083" i="1"/>
  <c r="CX1083" i="1" s="1"/>
  <c r="W1083" i="1" s="1"/>
  <c r="CQ1083" i="1"/>
  <c r="CR1083" i="1"/>
  <c r="CS1083" i="1"/>
  <c r="CU1083" i="1"/>
  <c r="T1083" i="1" s="1"/>
  <c r="CW1083" i="1"/>
  <c r="V1083" i="1" s="1"/>
  <c r="FR1083" i="1"/>
  <c r="GL1083" i="1"/>
  <c r="GO1083" i="1"/>
  <c r="GP1083" i="1"/>
  <c r="GV1083" i="1"/>
  <c r="GX1083" i="1"/>
  <c r="HC1083" i="1"/>
  <c r="C1084" i="1"/>
  <c r="D1084" i="1"/>
  <c r="S1084" i="1"/>
  <c r="CY1084" i="1" s="1"/>
  <c r="X1084" i="1" s="1"/>
  <c r="AC1084" i="1"/>
  <c r="P1084" i="1" s="1"/>
  <c r="AE1084" i="1"/>
  <c r="AD1084" i="1" s="1"/>
  <c r="AF1084" i="1"/>
  <c r="AG1084" i="1"/>
  <c r="CU1084" i="1" s="1"/>
  <c r="T1084" i="1" s="1"/>
  <c r="AH1084" i="1"/>
  <c r="AI1084" i="1"/>
  <c r="CW1084" i="1" s="1"/>
  <c r="V1084" i="1" s="1"/>
  <c r="AJ1084" i="1"/>
  <c r="CR1084" i="1"/>
  <c r="CT1084" i="1"/>
  <c r="CV1084" i="1"/>
  <c r="U1084" i="1" s="1"/>
  <c r="CX1084" i="1"/>
  <c r="W1084" i="1" s="1"/>
  <c r="CZ1084" i="1"/>
  <c r="Y1084" i="1" s="1"/>
  <c r="FR1084" i="1"/>
  <c r="GL1084" i="1"/>
  <c r="GO1084" i="1"/>
  <c r="GP1084" i="1"/>
  <c r="GV1084" i="1"/>
  <c r="HC1084" i="1" s="1"/>
  <c r="GX1084" i="1" s="1"/>
  <c r="C1085" i="1"/>
  <c r="D1085" i="1"/>
  <c r="P1085" i="1"/>
  <c r="R1085" i="1"/>
  <c r="GK1085" i="1" s="1"/>
  <c r="AC1085" i="1"/>
  <c r="AD1085" i="1"/>
  <c r="AE1085" i="1"/>
  <c r="Q1085" i="1" s="1"/>
  <c r="AF1085" i="1"/>
  <c r="AB1085" i="1" s="1"/>
  <c r="AG1085" i="1"/>
  <c r="AH1085" i="1"/>
  <c r="CV1085" i="1" s="1"/>
  <c r="U1085" i="1" s="1"/>
  <c r="AI1085" i="1"/>
  <c r="AJ1085" i="1"/>
  <c r="CX1085" i="1" s="1"/>
  <c r="W1085" i="1" s="1"/>
  <c r="CQ1085" i="1"/>
  <c r="CR1085" i="1"/>
  <c r="CS1085" i="1"/>
  <c r="CU1085" i="1"/>
  <c r="T1085" i="1" s="1"/>
  <c r="CW1085" i="1"/>
  <c r="V1085" i="1" s="1"/>
  <c r="FR1085" i="1"/>
  <c r="GL1085" i="1"/>
  <c r="GO1085" i="1"/>
  <c r="GP1085" i="1"/>
  <c r="GV1085" i="1"/>
  <c r="HC1085" i="1" s="1"/>
  <c r="GX1085" i="1" s="1"/>
  <c r="I1086" i="1"/>
  <c r="Q1086" i="1" s="1"/>
  <c r="P1086" i="1"/>
  <c r="R1086" i="1"/>
  <c r="GK1086" i="1" s="1"/>
  <c r="AC1086" i="1"/>
  <c r="AD1086" i="1"/>
  <c r="AB1086" i="1" s="1"/>
  <c r="AE1086" i="1"/>
  <c r="AF1086" i="1"/>
  <c r="S1086" i="1" s="1"/>
  <c r="AG1086" i="1"/>
  <c r="AH1086" i="1"/>
  <c r="CV1086" i="1" s="1"/>
  <c r="U1086" i="1" s="1"/>
  <c r="AI1086" i="1"/>
  <c r="AJ1086" i="1"/>
  <c r="CX1086" i="1" s="1"/>
  <c r="W1086" i="1" s="1"/>
  <c r="CQ1086" i="1"/>
  <c r="CR1086" i="1"/>
  <c r="CS1086" i="1"/>
  <c r="CU1086" i="1"/>
  <c r="T1086" i="1" s="1"/>
  <c r="CW1086" i="1"/>
  <c r="V1086" i="1" s="1"/>
  <c r="FR1086" i="1"/>
  <c r="GL1086" i="1"/>
  <c r="GO1086" i="1"/>
  <c r="GP1086" i="1"/>
  <c r="GV1086" i="1"/>
  <c r="GX1086" i="1"/>
  <c r="HC1086" i="1"/>
  <c r="I1087" i="1"/>
  <c r="Q1087" i="1" s="1"/>
  <c r="R1087" i="1"/>
  <c r="GK1087" i="1" s="1"/>
  <c r="AC1087" i="1"/>
  <c r="AD1087" i="1"/>
  <c r="AE1087" i="1"/>
  <c r="AF1087" i="1"/>
  <c r="AB1087" i="1" s="1"/>
  <c r="AG1087" i="1"/>
  <c r="AH1087" i="1"/>
  <c r="CV1087" i="1" s="1"/>
  <c r="U1087" i="1" s="1"/>
  <c r="AI1087" i="1"/>
  <c r="AJ1087" i="1"/>
  <c r="CX1087" i="1" s="1"/>
  <c r="W1087" i="1" s="1"/>
  <c r="CQ1087" i="1"/>
  <c r="CR1087" i="1"/>
  <c r="CS1087" i="1"/>
  <c r="CU1087" i="1"/>
  <c r="T1087" i="1" s="1"/>
  <c r="CW1087" i="1"/>
  <c r="V1087" i="1" s="1"/>
  <c r="FR1087" i="1"/>
  <c r="GL1087" i="1"/>
  <c r="GO1087" i="1"/>
  <c r="GP1087" i="1"/>
  <c r="GV1087" i="1"/>
  <c r="HC1087" i="1" s="1"/>
  <c r="GX1087" i="1" s="1"/>
  <c r="I1088" i="1"/>
  <c r="Q1088" i="1" s="1"/>
  <c r="P1088" i="1"/>
  <c r="CP1088" i="1" s="1"/>
  <c r="O1088" i="1" s="1"/>
  <c r="R1088" i="1"/>
  <c r="GK1088" i="1" s="1"/>
  <c r="AC1088" i="1"/>
  <c r="AD1088" i="1"/>
  <c r="AB1088" i="1" s="1"/>
  <c r="AE1088" i="1"/>
  <c r="AF1088" i="1"/>
  <c r="S1088" i="1" s="1"/>
  <c r="AG1088" i="1"/>
  <c r="AH1088" i="1"/>
  <c r="CV1088" i="1" s="1"/>
  <c r="U1088" i="1" s="1"/>
  <c r="AI1088" i="1"/>
  <c r="AJ1088" i="1"/>
  <c r="CX1088" i="1" s="1"/>
  <c r="W1088" i="1" s="1"/>
  <c r="CQ1088" i="1"/>
  <c r="CR1088" i="1"/>
  <c r="CS1088" i="1"/>
  <c r="CU1088" i="1"/>
  <c r="T1088" i="1" s="1"/>
  <c r="CW1088" i="1"/>
  <c r="V1088" i="1" s="1"/>
  <c r="FR1088" i="1"/>
  <c r="GL1088" i="1"/>
  <c r="GO1088" i="1"/>
  <c r="GP1088" i="1"/>
  <c r="GV1088" i="1"/>
  <c r="GX1088" i="1"/>
  <c r="HC1088" i="1"/>
  <c r="I1089" i="1"/>
  <c r="Q1089" i="1" s="1"/>
  <c r="R1089" i="1"/>
  <c r="GK1089" i="1" s="1"/>
  <c r="AC1089" i="1"/>
  <c r="AD1089" i="1"/>
  <c r="AE1089" i="1"/>
  <c r="AF1089" i="1"/>
  <c r="AB1089" i="1" s="1"/>
  <c r="AG1089" i="1"/>
  <c r="AH1089" i="1"/>
  <c r="CV1089" i="1" s="1"/>
  <c r="U1089" i="1" s="1"/>
  <c r="AI1089" i="1"/>
  <c r="AJ1089" i="1"/>
  <c r="CX1089" i="1" s="1"/>
  <c r="W1089" i="1" s="1"/>
  <c r="CQ1089" i="1"/>
  <c r="CR1089" i="1"/>
  <c r="CS1089" i="1"/>
  <c r="CU1089" i="1"/>
  <c r="T1089" i="1" s="1"/>
  <c r="CW1089" i="1"/>
  <c r="V1089" i="1" s="1"/>
  <c r="FR1089" i="1"/>
  <c r="GL1089" i="1"/>
  <c r="GO1089" i="1"/>
  <c r="GP1089" i="1"/>
  <c r="GV1089" i="1"/>
  <c r="HC1089" i="1" s="1"/>
  <c r="GX1089" i="1" s="1"/>
  <c r="I1090" i="1"/>
  <c r="Q1090" i="1" s="1"/>
  <c r="P1090" i="1"/>
  <c r="R1090" i="1"/>
  <c r="GK1090" i="1" s="1"/>
  <c r="AC1090" i="1"/>
  <c r="AD1090" i="1"/>
  <c r="AB1090" i="1" s="1"/>
  <c r="AE1090" i="1"/>
  <c r="AF1090" i="1"/>
  <c r="S1090" i="1" s="1"/>
  <c r="AG1090" i="1"/>
  <c r="AH1090" i="1"/>
  <c r="CV1090" i="1" s="1"/>
  <c r="U1090" i="1" s="1"/>
  <c r="AI1090" i="1"/>
  <c r="AJ1090" i="1"/>
  <c r="CX1090" i="1" s="1"/>
  <c r="W1090" i="1" s="1"/>
  <c r="CQ1090" i="1"/>
  <c r="CR1090" i="1"/>
  <c r="CS1090" i="1"/>
  <c r="CU1090" i="1"/>
  <c r="T1090" i="1" s="1"/>
  <c r="CW1090" i="1"/>
  <c r="V1090" i="1" s="1"/>
  <c r="FR1090" i="1"/>
  <c r="GL1090" i="1"/>
  <c r="GO1090" i="1"/>
  <c r="GP1090" i="1"/>
  <c r="GV1090" i="1"/>
  <c r="GX1090" i="1"/>
  <c r="HC1090" i="1"/>
  <c r="I1091" i="1"/>
  <c r="Q1091" i="1" s="1"/>
  <c r="R1091" i="1"/>
  <c r="GK1091" i="1" s="1"/>
  <c r="AC1091" i="1"/>
  <c r="AD1091" i="1"/>
  <c r="AE1091" i="1"/>
  <c r="AF1091" i="1"/>
  <c r="AB1091" i="1" s="1"/>
  <c r="AG1091" i="1"/>
  <c r="AH1091" i="1"/>
  <c r="CV1091" i="1" s="1"/>
  <c r="U1091" i="1" s="1"/>
  <c r="AI1091" i="1"/>
  <c r="AJ1091" i="1"/>
  <c r="CX1091" i="1" s="1"/>
  <c r="W1091" i="1" s="1"/>
  <c r="CQ1091" i="1"/>
  <c r="CR1091" i="1"/>
  <c r="CS1091" i="1"/>
  <c r="CU1091" i="1"/>
  <c r="T1091" i="1" s="1"/>
  <c r="CW1091" i="1"/>
  <c r="V1091" i="1" s="1"/>
  <c r="FR1091" i="1"/>
  <c r="GL1091" i="1"/>
  <c r="GO1091" i="1"/>
  <c r="GP1091" i="1"/>
  <c r="GV1091" i="1"/>
  <c r="HC1091" i="1" s="1"/>
  <c r="GX1091" i="1" s="1"/>
  <c r="B1093" i="1"/>
  <c r="B1040" i="1" s="1"/>
  <c r="C1093" i="1"/>
  <c r="C1040" i="1" s="1"/>
  <c r="D1093" i="1"/>
  <c r="D1040" i="1" s="1"/>
  <c r="F1093" i="1"/>
  <c r="F1040" i="1" s="1"/>
  <c r="G1093" i="1"/>
  <c r="G1040" i="1" s="1"/>
  <c r="BX1093" i="1"/>
  <c r="BX1040" i="1" s="1"/>
  <c r="CK1093" i="1"/>
  <c r="CK1040" i="1" s="1"/>
  <c r="CL1093" i="1"/>
  <c r="BC1093" i="1" s="1"/>
  <c r="CM1093" i="1"/>
  <c r="BD1093" i="1" s="1"/>
  <c r="FP1093" i="1"/>
  <c r="FP1040" i="1" s="1"/>
  <c r="FQ1093" i="1"/>
  <c r="FQ1040" i="1" s="1"/>
  <c r="FU1093" i="1"/>
  <c r="FU1040" i="1" s="1"/>
  <c r="GC1093" i="1"/>
  <c r="GC1040" i="1" s="1"/>
  <c r="GD1093" i="1"/>
  <c r="GD1040" i="1" s="1"/>
  <c r="GE1093" i="1"/>
  <c r="GE1040" i="1" s="1"/>
  <c r="D1123" i="1"/>
  <c r="E1125" i="1"/>
  <c r="Z1125" i="1"/>
  <c r="AA1125" i="1"/>
  <c r="AM1125" i="1"/>
  <c r="AN1125" i="1"/>
  <c r="BE1125" i="1"/>
  <c r="BF1125" i="1"/>
  <c r="BG1125" i="1"/>
  <c r="BH1125" i="1"/>
  <c r="BI1125" i="1"/>
  <c r="BJ1125" i="1"/>
  <c r="BK1125" i="1"/>
  <c r="BL1125" i="1"/>
  <c r="BM1125" i="1"/>
  <c r="BN1125" i="1"/>
  <c r="BO1125" i="1"/>
  <c r="BP1125" i="1"/>
  <c r="BQ1125" i="1"/>
  <c r="BR1125" i="1"/>
  <c r="BS1125" i="1"/>
  <c r="BT1125" i="1"/>
  <c r="BU1125" i="1"/>
  <c r="BV1125" i="1"/>
  <c r="BW1125" i="1"/>
  <c r="CN1125" i="1"/>
  <c r="CO1125" i="1"/>
  <c r="CP1125" i="1"/>
  <c r="CQ1125" i="1"/>
  <c r="CR1125" i="1"/>
  <c r="CS1125" i="1"/>
  <c r="CT1125" i="1"/>
  <c r="CU1125" i="1"/>
  <c r="CV1125" i="1"/>
  <c r="CW1125" i="1"/>
  <c r="CX1125" i="1"/>
  <c r="CY1125" i="1"/>
  <c r="CZ1125" i="1"/>
  <c r="DA1125" i="1"/>
  <c r="DB1125" i="1"/>
  <c r="DC1125" i="1"/>
  <c r="DD1125" i="1"/>
  <c r="DE1125" i="1"/>
  <c r="DF1125" i="1"/>
  <c r="DR1125" i="1"/>
  <c r="DS1125" i="1"/>
  <c r="EE1125" i="1"/>
  <c r="EF1125" i="1"/>
  <c r="EW1125" i="1"/>
  <c r="EX1125" i="1"/>
  <c r="EY1125" i="1"/>
  <c r="EZ1125" i="1"/>
  <c r="FA1125" i="1"/>
  <c r="FB1125" i="1"/>
  <c r="FC1125" i="1"/>
  <c r="FD1125" i="1"/>
  <c r="FE1125" i="1"/>
  <c r="FF1125" i="1"/>
  <c r="FG1125" i="1"/>
  <c r="FH1125" i="1"/>
  <c r="FI1125" i="1"/>
  <c r="FJ1125" i="1"/>
  <c r="FK1125" i="1"/>
  <c r="FL1125" i="1"/>
  <c r="FM1125" i="1"/>
  <c r="FN1125" i="1"/>
  <c r="FO1125" i="1"/>
  <c r="GF1125" i="1"/>
  <c r="GG1125" i="1"/>
  <c r="GH1125" i="1"/>
  <c r="GI1125" i="1"/>
  <c r="GJ1125" i="1"/>
  <c r="GK1125" i="1"/>
  <c r="GL1125" i="1"/>
  <c r="GM1125" i="1"/>
  <c r="GN1125" i="1"/>
  <c r="GO1125" i="1"/>
  <c r="GP1125" i="1"/>
  <c r="GQ1125" i="1"/>
  <c r="GR1125" i="1"/>
  <c r="GS1125" i="1"/>
  <c r="GT1125" i="1"/>
  <c r="GU1125" i="1"/>
  <c r="GV1125" i="1"/>
  <c r="GW1125" i="1"/>
  <c r="GX1125" i="1"/>
  <c r="C1127" i="1"/>
  <c r="D1127" i="1"/>
  <c r="S1127" i="1"/>
  <c r="CY1127" i="1" s="1"/>
  <c r="X1127" i="1" s="1"/>
  <c r="AC1127" i="1"/>
  <c r="P1127" i="1" s="1"/>
  <c r="AE1127" i="1"/>
  <c r="AD1127" i="1" s="1"/>
  <c r="AF1127" i="1"/>
  <c r="AG1127" i="1"/>
  <c r="CU1127" i="1" s="1"/>
  <c r="T1127" i="1" s="1"/>
  <c r="AH1127" i="1"/>
  <c r="AI1127" i="1"/>
  <c r="CW1127" i="1" s="1"/>
  <c r="V1127" i="1" s="1"/>
  <c r="AJ1127" i="1"/>
  <c r="CR1127" i="1"/>
  <c r="CT1127" i="1"/>
  <c r="CV1127" i="1"/>
  <c r="U1127" i="1" s="1"/>
  <c r="CX1127" i="1"/>
  <c r="W1127" i="1" s="1"/>
  <c r="CZ1127" i="1"/>
  <c r="Y1127" i="1" s="1"/>
  <c r="FR1127" i="1"/>
  <c r="GL1127" i="1"/>
  <c r="GO1127" i="1"/>
  <c r="GP1127" i="1"/>
  <c r="GV1127" i="1"/>
  <c r="HC1127" i="1" s="1"/>
  <c r="GX1127" i="1" s="1"/>
  <c r="C1128" i="1"/>
  <c r="D1128" i="1"/>
  <c r="P1128" i="1"/>
  <c r="R1128" i="1"/>
  <c r="GK1128" i="1" s="1"/>
  <c r="AC1128" i="1"/>
  <c r="AD1128" i="1"/>
  <c r="AE1128" i="1"/>
  <c r="Q1128" i="1" s="1"/>
  <c r="AF1128" i="1"/>
  <c r="AB1128" i="1" s="1"/>
  <c r="AG1128" i="1"/>
  <c r="AH1128" i="1"/>
  <c r="CV1128" i="1" s="1"/>
  <c r="U1128" i="1" s="1"/>
  <c r="AI1128" i="1"/>
  <c r="AJ1128" i="1"/>
  <c r="CX1128" i="1" s="1"/>
  <c r="W1128" i="1" s="1"/>
  <c r="CQ1128" i="1"/>
  <c r="CR1128" i="1"/>
  <c r="CS1128" i="1"/>
  <c r="CU1128" i="1"/>
  <c r="T1128" i="1" s="1"/>
  <c r="CW1128" i="1"/>
  <c r="V1128" i="1" s="1"/>
  <c r="FR1128" i="1"/>
  <c r="GL1128" i="1"/>
  <c r="GO1128" i="1"/>
  <c r="GP1128" i="1"/>
  <c r="GV1128" i="1"/>
  <c r="HC1128" i="1" s="1"/>
  <c r="GX1128" i="1" s="1"/>
  <c r="I1129" i="1"/>
  <c r="Q1129" i="1" s="1"/>
  <c r="P1129" i="1"/>
  <c r="R1129" i="1"/>
  <c r="GK1129" i="1" s="1"/>
  <c r="AC1129" i="1"/>
  <c r="AD1129" i="1"/>
  <c r="AB1129" i="1" s="1"/>
  <c r="AE1129" i="1"/>
  <c r="AF1129" i="1"/>
  <c r="S1129" i="1" s="1"/>
  <c r="AG1129" i="1"/>
  <c r="AH1129" i="1"/>
  <c r="CV1129" i="1" s="1"/>
  <c r="U1129" i="1" s="1"/>
  <c r="AI1129" i="1"/>
  <c r="AJ1129" i="1"/>
  <c r="CX1129" i="1" s="1"/>
  <c r="W1129" i="1" s="1"/>
  <c r="CQ1129" i="1"/>
  <c r="CR1129" i="1"/>
  <c r="CS1129" i="1"/>
  <c r="CU1129" i="1"/>
  <c r="T1129" i="1" s="1"/>
  <c r="CW1129" i="1"/>
  <c r="V1129" i="1" s="1"/>
  <c r="FR1129" i="1"/>
  <c r="GL1129" i="1"/>
  <c r="GO1129" i="1"/>
  <c r="GP1129" i="1"/>
  <c r="GV1129" i="1"/>
  <c r="HC1129" i="1" s="1"/>
  <c r="GX1129" i="1" s="1"/>
  <c r="I1130" i="1"/>
  <c r="Q1130" i="1" s="1"/>
  <c r="R1130" i="1"/>
  <c r="GK1130" i="1" s="1"/>
  <c r="AC1130" i="1"/>
  <c r="AD1130" i="1"/>
  <c r="AE1130" i="1"/>
  <c r="AF1130" i="1"/>
  <c r="AB1130" i="1" s="1"/>
  <c r="AG1130" i="1"/>
  <c r="AH1130" i="1"/>
  <c r="CV1130" i="1" s="1"/>
  <c r="U1130" i="1" s="1"/>
  <c r="AI1130" i="1"/>
  <c r="AJ1130" i="1"/>
  <c r="CX1130" i="1" s="1"/>
  <c r="W1130" i="1" s="1"/>
  <c r="CQ1130" i="1"/>
  <c r="CR1130" i="1"/>
  <c r="CS1130" i="1"/>
  <c r="CU1130" i="1"/>
  <c r="T1130" i="1" s="1"/>
  <c r="CW1130" i="1"/>
  <c r="V1130" i="1" s="1"/>
  <c r="FR1130" i="1"/>
  <c r="FQ1156" i="1" s="1"/>
  <c r="GL1130" i="1"/>
  <c r="GO1130" i="1"/>
  <c r="GP1130" i="1"/>
  <c r="GV1130" i="1"/>
  <c r="HC1130" i="1" s="1"/>
  <c r="GX1130" i="1" s="1"/>
  <c r="I1131" i="1"/>
  <c r="Q1131" i="1" s="1"/>
  <c r="P1131" i="1"/>
  <c r="R1131" i="1"/>
  <c r="GK1131" i="1" s="1"/>
  <c r="AC1131" i="1"/>
  <c r="AD1131" i="1"/>
  <c r="AB1131" i="1" s="1"/>
  <c r="AE1131" i="1"/>
  <c r="AF1131" i="1"/>
  <c r="S1131" i="1" s="1"/>
  <c r="AG1131" i="1"/>
  <c r="AH1131" i="1"/>
  <c r="CV1131" i="1" s="1"/>
  <c r="U1131" i="1" s="1"/>
  <c r="AI1131" i="1"/>
  <c r="AJ1131" i="1"/>
  <c r="CX1131" i="1" s="1"/>
  <c r="W1131" i="1" s="1"/>
  <c r="CQ1131" i="1"/>
  <c r="CR1131" i="1"/>
  <c r="CS1131" i="1"/>
  <c r="CU1131" i="1"/>
  <c r="T1131" i="1" s="1"/>
  <c r="CW1131" i="1"/>
  <c r="V1131" i="1" s="1"/>
  <c r="FR1131" i="1"/>
  <c r="GL1131" i="1"/>
  <c r="GO1131" i="1"/>
  <c r="GP1131" i="1"/>
  <c r="GV1131" i="1"/>
  <c r="HC1131" i="1" s="1"/>
  <c r="GX1131" i="1" s="1"/>
  <c r="I1132" i="1"/>
  <c r="Q1132" i="1" s="1"/>
  <c r="R1132" i="1"/>
  <c r="GK1132" i="1" s="1"/>
  <c r="AC1132" i="1"/>
  <c r="AD1132" i="1"/>
  <c r="AE1132" i="1"/>
  <c r="AF1132" i="1"/>
  <c r="AB1132" i="1" s="1"/>
  <c r="AG1132" i="1"/>
  <c r="AH1132" i="1"/>
  <c r="CV1132" i="1" s="1"/>
  <c r="U1132" i="1" s="1"/>
  <c r="AI1132" i="1"/>
  <c r="AJ1132" i="1"/>
  <c r="CX1132" i="1" s="1"/>
  <c r="W1132" i="1" s="1"/>
  <c r="CQ1132" i="1"/>
  <c r="CR1132" i="1"/>
  <c r="CS1132" i="1"/>
  <c r="CU1132" i="1"/>
  <c r="T1132" i="1" s="1"/>
  <c r="CW1132" i="1"/>
  <c r="V1132" i="1" s="1"/>
  <c r="FR1132" i="1"/>
  <c r="GL1132" i="1"/>
  <c r="GO1132" i="1"/>
  <c r="GP1132" i="1"/>
  <c r="GV1132" i="1"/>
  <c r="HC1132" i="1" s="1"/>
  <c r="GX1132" i="1" s="1"/>
  <c r="I1133" i="1"/>
  <c r="Q1133" i="1" s="1"/>
  <c r="P1133" i="1"/>
  <c r="R1133" i="1"/>
  <c r="GK1133" i="1" s="1"/>
  <c r="AC1133" i="1"/>
  <c r="AD1133" i="1"/>
  <c r="AB1133" i="1" s="1"/>
  <c r="AE1133" i="1"/>
  <c r="AF1133" i="1"/>
  <c r="S1133" i="1" s="1"/>
  <c r="AG1133" i="1"/>
  <c r="AH1133" i="1"/>
  <c r="CV1133" i="1" s="1"/>
  <c r="U1133" i="1" s="1"/>
  <c r="AI1133" i="1"/>
  <c r="AJ1133" i="1"/>
  <c r="CX1133" i="1" s="1"/>
  <c r="W1133" i="1" s="1"/>
  <c r="CQ1133" i="1"/>
  <c r="CR1133" i="1"/>
  <c r="CS1133" i="1"/>
  <c r="CU1133" i="1"/>
  <c r="T1133" i="1" s="1"/>
  <c r="CW1133" i="1"/>
  <c r="V1133" i="1" s="1"/>
  <c r="FR1133" i="1"/>
  <c r="GL1133" i="1"/>
  <c r="GO1133" i="1"/>
  <c r="GP1133" i="1"/>
  <c r="GV1133" i="1"/>
  <c r="GX1133" i="1"/>
  <c r="HC1133" i="1"/>
  <c r="I1134" i="1"/>
  <c r="Q1134" i="1" s="1"/>
  <c r="R1134" i="1"/>
  <c r="GK1134" i="1" s="1"/>
  <c r="AC1134" i="1"/>
  <c r="AD1134" i="1"/>
  <c r="AE1134" i="1"/>
  <c r="AF1134" i="1"/>
  <c r="AG1134" i="1"/>
  <c r="AH1134" i="1"/>
  <c r="CV1134" i="1" s="1"/>
  <c r="U1134" i="1" s="1"/>
  <c r="AI1134" i="1"/>
  <c r="AJ1134" i="1"/>
  <c r="CX1134" i="1" s="1"/>
  <c r="W1134" i="1" s="1"/>
  <c r="CQ1134" i="1"/>
  <c r="CR1134" i="1"/>
  <c r="CS1134" i="1"/>
  <c r="CU1134" i="1"/>
  <c r="T1134" i="1" s="1"/>
  <c r="CW1134" i="1"/>
  <c r="V1134" i="1" s="1"/>
  <c r="FR1134" i="1"/>
  <c r="GL1134" i="1"/>
  <c r="GO1134" i="1"/>
  <c r="GP1134" i="1"/>
  <c r="GV1134" i="1"/>
  <c r="HC1134" i="1" s="1"/>
  <c r="GX1134" i="1"/>
  <c r="I1135" i="1"/>
  <c r="Q1135" i="1" s="1"/>
  <c r="P1135" i="1"/>
  <c r="R1135" i="1"/>
  <c r="GK1135" i="1" s="1"/>
  <c r="AC1135" i="1"/>
  <c r="AD1135" i="1"/>
  <c r="AB1135" i="1" s="1"/>
  <c r="AE1135" i="1"/>
  <c r="AF1135" i="1"/>
  <c r="S1135" i="1" s="1"/>
  <c r="CZ1135" i="1" s="1"/>
  <c r="Y1135" i="1" s="1"/>
  <c r="AG1135" i="1"/>
  <c r="AH1135" i="1"/>
  <c r="CV1135" i="1" s="1"/>
  <c r="U1135" i="1" s="1"/>
  <c r="AI1135" i="1"/>
  <c r="AJ1135" i="1"/>
  <c r="CX1135" i="1" s="1"/>
  <c r="W1135" i="1" s="1"/>
  <c r="CQ1135" i="1"/>
  <c r="CR1135" i="1"/>
  <c r="CS1135" i="1"/>
  <c r="CU1135" i="1"/>
  <c r="T1135" i="1" s="1"/>
  <c r="CW1135" i="1"/>
  <c r="V1135" i="1" s="1"/>
  <c r="FR1135" i="1"/>
  <c r="GL1135" i="1"/>
  <c r="GO1135" i="1"/>
  <c r="GP1135" i="1"/>
  <c r="GV1135" i="1"/>
  <c r="GX1135" i="1"/>
  <c r="HC1135" i="1"/>
  <c r="I1136" i="1"/>
  <c r="R1136" i="1" s="1"/>
  <c r="GK1136" i="1" s="1"/>
  <c r="V1136" i="1"/>
  <c r="AC1136" i="1"/>
  <c r="AD1136" i="1"/>
  <c r="AE1136" i="1"/>
  <c r="AF1136" i="1"/>
  <c r="AG1136" i="1"/>
  <c r="AH1136" i="1"/>
  <c r="CV1136" i="1" s="1"/>
  <c r="AI1136" i="1"/>
  <c r="AJ1136" i="1"/>
  <c r="CX1136" i="1" s="1"/>
  <c r="CQ1136" i="1"/>
  <c r="CR1136" i="1"/>
  <c r="CS1136" i="1"/>
  <c r="CU1136" i="1"/>
  <c r="CW1136" i="1"/>
  <c r="FR1136" i="1"/>
  <c r="GL1136" i="1"/>
  <c r="GO1136" i="1"/>
  <c r="GP1136" i="1"/>
  <c r="GV1136" i="1"/>
  <c r="HC1136" i="1" s="1"/>
  <c r="GX1136" i="1" s="1"/>
  <c r="C1137" i="1"/>
  <c r="D1137" i="1"/>
  <c r="S1137" i="1"/>
  <c r="AC1137" i="1"/>
  <c r="AE1137" i="1"/>
  <c r="R1137" i="1" s="1"/>
  <c r="AF1137" i="1"/>
  <c r="AG1137" i="1"/>
  <c r="CU1137" i="1" s="1"/>
  <c r="T1137" i="1" s="1"/>
  <c r="AH1137" i="1"/>
  <c r="AI1137" i="1"/>
  <c r="CW1137" i="1" s="1"/>
  <c r="V1137" i="1" s="1"/>
  <c r="AJ1137" i="1"/>
  <c r="CR1137" i="1"/>
  <c r="CT1137" i="1"/>
  <c r="CV1137" i="1"/>
  <c r="U1137" i="1" s="1"/>
  <c r="CX1137" i="1"/>
  <c r="W1137" i="1" s="1"/>
  <c r="FR1137" i="1"/>
  <c r="GK1137" i="1"/>
  <c r="GL1137" i="1"/>
  <c r="GO1137" i="1"/>
  <c r="GP1137" i="1"/>
  <c r="GV1137" i="1"/>
  <c r="HC1137" i="1"/>
  <c r="GX1137" i="1" s="1"/>
  <c r="C1138" i="1"/>
  <c r="D1138" i="1"/>
  <c r="P1138" i="1"/>
  <c r="CP1138" i="1" s="1"/>
  <c r="O1138" i="1" s="1"/>
  <c r="R1138" i="1"/>
  <c r="GK1138" i="1" s="1"/>
  <c r="AC1138" i="1"/>
  <c r="AD1138" i="1"/>
  <c r="AB1138" i="1" s="1"/>
  <c r="AE1138" i="1"/>
  <c r="Q1138" i="1" s="1"/>
  <c r="AF1138" i="1"/>
  <c r="S1138" i="1" s="1"/>
  <c r="CZ1138" i="1" s="1"/>
  <c r="Y1138" i="1" s="1"/>
  <c r="AG1138" i="1"/>
  <c r="AH1138" i="1"/>
  <c r="CV1138" i="1" s="1"/>
  <c r="U1138" i="1" s="1"/>
  <c r="AI1138" i="1"/>
  <c r="AJ1138" i="1"/>
  <c r="CX1138" i="1" s="1"/>
  <c r="W1138" i="1" s="1"/>
  <c r="CQ1138" i="1"/>
  <c r="CR1138" i="1"/>
  <c r="CS1138" i="1"/>
  <c r="CU1138" i="1"/>
  <c r="T1138" i="1" s="1"/>
  <c r="CW1138" i="1"/>
  <c r="V1138" i="1" s="1"/>
  <c r="FR1138" i="1"/>
  <c r="GL1138" i="1"/>
  <c r="GO1138" i="1"/>
  <c r="GP1138" i="1"/>
  <c r="GV1138" i="1"/>
  <c r="HC1138" i="1" s="1"/>
  <c r="GX1138" i="1" s="1"/>
  <c r="I1139" i="1"/>
  <c r="R1139" i="1"/>
  <c r="GK1139" i="1" s="1"/>
  <c r="AC1139" i="1"/>
  <c r="AD1139" i="1"/>
  <c r="AE1139" i="1"/>
  <c r="AF1139" i="1"/>
  <c r="AG1139" i="1"/>
  <c r="AH1139" i="1"/>
  <c r="CV1139" i="1" s="1"/>
  <c r="U1139" i="1" s="1"/>
  <c r="AI1139" i="1"/>
  <c r="AJ1139" i="1"/>
  <c r="CX1139" i="1" s="1"/>
  <c r="CQ1139" i="1"/>
  <c r="CR1139" i="1"/>
  <c r="CS1139" i="1"/>
  <c r="CU1139" i="1"/>
  <c r="CW1139" i="1"/>
  <c r="V1139" i="1" s="1"/>
  <c r="FR1139" i="1"/>
  <c r="BY1156" i="1" s="1"/>
  <c r="GL1139" i="1"/>
  <c r="GO1139" i="1"/>
  <c r="GP1139" i="1"/>
  <c r="GV1139" i="1"/>
  <c r="HC1139" i="1"/>
  <c r="I1140" i="1"/>
  <c r="Q1140" i="1" s="1"/>
  <c r="P1140" i="1"/>
  <c r="R1140" i="1"/>
  <c r="GK1140" i="1" s="1"/>
  <c r="AC1140" i="1"/>
  <c r="AD1140" i="1"/>
  <c r="AB1140" i="1" s="1"/>
  <c r="AE1140" i="1"/>
  <c r="AF1140" i="1"/>
  <c r="S1140" i="1" s="1"/>
  <c r="CZ1140" i="1" s="1"/>
  <c r="Y1140" i="1" s="1"/>
  <c r="AG1140" i="1"/>
  <c r="AH1140" i="1"/>
  <c r="CV1140" i="1" s="1"/>
  <c r="U1140" i="1" s="1"/>
  <c r="AI1140" i="1"/>
  <c r="AJ1140" i="1"/>
  <c r="CX1140" i="1" s="1"/>
  <c r="W1140" i="1" s="1"/>
  <c r="CQ1140" i="1"/>
  <c r="CR1140" i="1"/>
  <c r="CS1140" i="1"/>
  <c r="CU1140" i="1"/>
  <c r="T1140" i="1" s="1"/>
  <c r="CW1140" i="1"/>
  <c r="V1140" i="1" s="1"/>
  <c r="FR1140" i="1"/>
  <c r="GL1140" i="1"/>
  <c r="GO1140" i="1"/>
  <c r="GP1140" i="1"/>
  <c r="GV1140" i="1"/>
  <c r="HC1140" i="1" s="1"/>
  <c r="GX1140" i="1" s="1"/>
  <c r="I1141" i="1"/>
  <c r="R1141" i="1" s="1"/>
  <c r="GK1141" i="1" s="1"/>
  <c r="AC1141" i="1"/>
  <c r="AD1141" i="1"/>
  <c r="AE1141" i="1"/>
  <c r="AF1141" i="1"/>
  <c r="AG1141" i="1"/>
  <c r="AH1141" i="1"/>
  <c r="CV1141" i="1" s="1"/>
  <c r="AI1141" i="1"/>
  <c r="AJ1141" i="1"/>
  <c r="CX1141" i="1" s="1"/>
  <c r="CQ1141" i="1"/>
  <c r="CR1141" i="1"/>
  <c r="CS1141" i="1"/>
  <c r="CU1141" i="1"/>
  <c r="CW1141" i="1"/>
  <c r="V1141" i="1" s="1"/>
  <c r="FR1141" i="1"/>
  <c r="GL1141" i="1"/>
  <c r="GO1141" i="1"/>
  <c r="GP1141" i="1"/>
  <c r="GV1141" i="1"/>
  <c r="HC1141" i="1" s="1"/>
  <c r="GX1141" i="1" s="1"/>
  <c r="I1142" i="1"/>
  <c r="Q1142" i="1" s="1"/>
  <c r="P1142" i="1"/>
  <c r="R1142" i="1"/>
  <c r="GK1142" i="1" s="1"/>
  <c r="AC1142" i="1"/>
  <c r="AD1142" i="1"/>
  <c r="AB1142" i="1" s="1"/>
  <c r="AE1142" i="1"/>
  <c r="AF1142" i="1"/>
  <c r="S1142" i="1" s="1"/>
  <c r="CZ1142" i="1" s="1"/>
  <c r="Y1142" i="1" s="1"/>
  <c r="AG1142" i="1"/>
  <c r="AH1142" i="1"/>
  <c r="CV1142" i="1" s="1"/>
  <c r="U1142" i="1" s="1"/>
  <c r="AI1142" i="1"/>
  <c r="AJ1142" i="1"/>
  <c r="CX1142" i="1" s="1"/>
  <c r="W1142" i="1" s="1"/>
  <c r="CQ1142" i="1"/>
  <c r="CR1142" i="1"/>
  <c r="CS1142" i="1"/>
  <c r="CU1142" i="1"/>
  <c r="T1142" i="1" s="1"/>
  <c r="CW1142" i="1"/>
  <c r="V1142" i="1" s="1"/>
  <c r="FR1142" i="1"/>
  <c r="GL1142" i="1"/>
  <c r="GO1142" i="1"/>
  <c r="GP1142" i="1"/>
  <c r="GV1142" i="1"/>
  <c r="HC1142" i="1" s="1"/>
  <c r="GX1142" i="1" s="1"/>
  <c r="I1143" i="1"/>
  <c r="R1143" i="1" s="1"/>
  <c r="GK1143" i="1" s="1"/>
  <c r="AC1143" i="1"/>
  <c r="AD1143" i="1"/>
  <c r="AE1143" i="1"/>
  <c r="AF1143" i="1"/>
  <c r="AG1143" i="1"/>
  <c r="AH1143" i="1"/>
  <c r="CV1143" i="1" s="1"/>
  <c r="AI1143" i="1"/>
  <c r="AJ1143" i="1"/>
  <c r="CX1143" i="1" s="1"/>
  <c r="CQ1143" i="1"/>
  <c r="CR1143" i="1"/>
  <c r="CS1143" i="1"/>
  <c r="CU1143" i="1"/>
  <c r="CW1143" i="1"/>
  <c r="V1143" i="1" s="1"/>
  <c r="FR1143" i="1"/>
  <c r="GL1143" i="1"/>
  <c r="GO1143" i="1"/>
  <c r="GP1143" i="1"/>
  <c r="GV1143" i="1"/>
  <c r="HC1143" i="1" s="1"/>
  <c r="GX1143" i="1" s="1"/>
  <c r="I1144" i="1"/>
  <c r="Q1144" i="1" s="1"/>
  <c r="P1144" i="1"/>
  <c r="R1144" i="1"/>
  <c r="GK1144" i="1" s="1"/>
  <c r="AC1144" i="1"/>
  <c r="AD1144" i="1"/>
  <c r="AB1144" i="1" s="1"/>
  <c r="AE1144" i="1"/>
  <c r="AF1144" i="1"/>
  <c r="S1144" i="1" s="1"/>
  <c r="CZ1144" i="1" s="1"/>
  <c r="Y1144" i="1" s="1"/>
  <c r="AG1144" i="1"/>
  <c r="AH1144" i="1"/>
  <c r="CV1144" i="1" s="1"/>
  <c r="U1144" i="1" s="1"/>
  <c r="AI1144" i="1"/>
  <c r="AJ1144" i="1"/>
  <c r="CX1144" i="1" s="1"/>
  <c r="W1144" i="1" s="1"/>
  <c r="CQ1144" i="1"/>
  <c r="CR1144" i="1"/>
  <c r="CS1144" i="1"/>
  <c r="CU1144" i="1"/>
  <c r="T1144" i="1" s="1"/>
  <c r="CW1144" i="1"/>
  <c r="V1144" i="1" s="1"/>
  <c r="FR1144" i="1"/>
  <c r="GL1144" i="1"/>
  <c r="GO1144" i="1"/>
  <c r="GP1144" i="1"/>
  <c r="GV1144" i="1"/>
  <c r="HC1144" i="1" s="1"/>
  <c r="GX1144" i="1" s="1"/>
  <c r="I1145" i="1"/>
  <c r="R1145" i="1" s="1"/>
  <c r="GK1145" i="1" s="1"/>
  <c r="AC1145" i="1"/>
  <c r="AD1145" i="1"/>
  <c r="AE1145" i="1"/>
  <c r="AF1145" i="1"/>
  <c r="AG1145" i="1"/>
  <c r="AH1145" i="1"/>
  <c r="CV1145" i="1" s="1"/>
  <c r="AI1145" i="1"/>
  <c r="AJ1145" i="1"/>
  <c r="CX1145" i="1" s="1"/>
  <c r="CQ1145" i="1"/>
  <c r="CR1145" i="1"/>
  <c r="CS1145" i="1"/>
  <c r="CU1145" i="1"/>
  <c r="CW1145" i="1"/>
  <c r="V1145" i="1" s="1"/>
  <c r="FR1145" i="1"/>
  <c r="GL1145" i="1"/>
  <c r="GO1145" i="1"/>
  <c r="GP1145" i="1"/>
  <c r="GV1145" i="1"/>
  <c r="HC1145" i="1" s="1"/>
  <c r="GX1145" i="1" s="1"/>
  <c r="I1146" i="1"/>
  <c r="Q1146" i="1" s="1"/>
  <c r="P1146" i="1"/>
  <c r="R1146" i="1"/>
  <c r="GK1146" i="1" s="1"/>
  <c r="AC1146" i="1"/>
  <c r="AD1146" i="1"/>
  <c r="AB1146" i="1" s="1"/>
  <c r="AE1146" i="1"/>
  <c r="AF1146" i="1"/>
  <c r="S1146" i="1" s="1"/>
  <c r="CZ1146" i="1" s="1"/>
  <c r="Y1146" i="1" s="1"/>
  <c r="AG1146" i="1"/>
  <c r="AH1146" i="1"/>
  <c r="CV1146" i="1" s="1"/>
  <c r="U1146" i="1" s="1"/>
  <c r="AI1146" i="1"/>
  <c r="AJ1146" i="1"/>
  <c r="CX1146" i="1" s="1"/>
  <c r="W1146" i="1" s="1"/>
  <c r="CQ1146" i="1"/>
  <c r="CR1146" i="1"/>
  <c r="CS1146" i="1"/>
  <c r="CU1146" i="1"/>
  <c r="T1146" i="1" s="1"/>
  <c r="CW1146" i="1"/>
  <c r="V1146" i="1" s="1"/>
  <c r="FR1146" i="1"/>
  <c r="GL1146" i="1"/>
  <c r="GO1146" i="1"/>
  <c r="GP1146" i="1"/>
  <c r="GV1146" i="1"/>
  <c r="HC1146" i="1" s="1"/>
  <c r="GX1146" i="1" s="1"/>
  <c r="I1147" i="1"/>
  <c r="R1147" i="1" s="1"/>
  <c r="GK1147" i="1" s="1"/>
  <c r="AC1147" i="1"/>
  <c r="AD1147" i="1"/>
  <c r="AE1147" i="1"/>
  <c r="AF1147" i="1"/>
  <c r="AG1147" i="1"/>
  <c r="AH1147" i="1"/>
  <c r="CV1147" i="1" s="1"/>
  <c r="AI1147" i="1"/>
  <c r="AJ1147" i="1"/>
  <c r="CX1147" i="1" s="1"/>
  <c r="CQ1147" i="1"/>
  <c r="CR1147" i="1"/>
  <c r="CS1147" i="1"/>
  <c r="CU1147" i="1"/>
  <c r="CW1147" i="1"/>
  <c r="V1147" i="1" s="1"/>
  <c r="FR1147" i="1"/>
  <c r="GL1147" i="1"/>
  <c r="GO1147" i="1"/>
  <c r="GP1147" i="1"/>
  <c r="GV1147" i="1"/>
  <c r="HC1147" i="1" s="1"/>
  <c r="GX1147" i="1" s="1"/>
  <c r="I1148" i="1"/>
  <c r="Q1148" i="1" s="1"/>
  <c r="P1148" i="1"/>
  <c r="R1148" i="1"/>
  <c r="GK1148" i="1" s="1"/>
  <c r="AC1148" i="1"/>
  <c r="AD1148" i="1"/>
  <c r="AB1148" i="1" s="1"/>
  <c r="AE1148" i="1"/>
  <c r="AF1148" i="1"/>
  <c r="S1148" i="1" s="1"/>
  <c r="CZ1148" i="1" s="1"/>
  <c r="Y1148" i="1" s="1"/>
  <c r="AG1148" i="1"/>
  <c r="AH1148" i="1"/>
  <c r="CV1148" i="1" s="1"/>
  <c r="U1148" i="1" s="1"/>
  <c r="AI1148" i="1"/>
  <c r="AJ1148" i="1"/>
  <c r="CX1148" i="1" s="1"/>
  <c r="W1148" i="1" s="1"/>
  <c r="CQ1148" i="1"/>
  <c r="CR1148" i="1"/>
  <c r="CS1148" i="1"/>
  <c r="CU1148" i="1"/>
  <c r="T1148" i="1" s="1"/>
  <c r="CW1148" i="1"/>
  <c r="V1148" i="1" s="1"/>
  <c r="FR1148" i="1"/>
  <c r="GL1148" i="1"/>
  <c r="GO1148" i="1"/>
  <c r="GP1148" i="1"/>
  <c r="GV1148" i="1"/>
  <c r="HC1148" i="1" s="1"/>
  <c r="GX1148" i="1" s="1"/>
  <c r="I1149" i="1"/>
  <c r="R1149" i="1" s="1"/>
  <c r="GK1149" i="1" s="1"/>
  <c r="AC1149" i="1"/>
  <c r="AD1149" i="1"/>
  <c r="AE1149" i="1"/>
  <c r="AF1149" i="1"/>
  <c r="AG1149" i="1"/>
  <c r="AH1149" i="1"/>
  <c r="CV1149" i="1" s="1"/>
  <c r="AI1149" i="1"/>
  <c r="AJ1149" i="1"/>
  <c r="CX1149" i="1" s="1"/>
  <c r="CQ1149" i="1"/>
  <c r="CR1149" i="1"/>
  <c r="CS1149" i="1"/>
  <c r="CU1149" i="1"/>
  <c r="CW1149" i="1"/>
  <c r="V1149" i="1" s="1"/>
  <c r="FR1149" i="1"/>
  <c r="GL1149" i="1"/>
  <c r="GO1149" i="1"/>
  <c r="GP1149" i="1"/>
  <c r="GV1149" i="1"/>
  <c r="HC1149" i="1" s="1"/>
  <c r="GX1149" i="1" s="1"/>
  <c r="I1150" i="1"/>
  <c r="Q1150" i="1" s="1"/>
  <c r="P1150" i="1"/>
  <c r="R1150" i="1"/>
  <c r="GK1150" i="1" s="1"/>
  <c r="AC1150" i="1"/>
  <c r="AD1150" i="1"/>
  <c r="AB1150" i="1" s="1"/>
  <c r="AE1150" i="1"/>
  <c r="AF1150" i="1"/>
  <c r="S1150" i="1" s="1"/>
  <c r="CZ1150" i="1" s="1"/>
  <c r="Y1150" i="1" s="1"/>
  <c r="AG1150" i="1"/>
  <c r="AH1150" i="1"/>
  <c r="CV1150" i="1" s="1"/>
  <c r="U1150" i="1" s="1"/>
  <c r="AI1150" i="1"/>
  <c r="AJ1150" i="1"/>
  <c r="CX1150" i="1" s="1"/>
  <c r="W1150" i="1" s="1"/>
  <c r="CQ1150" i="1"/>
  <c r="CR1150" i="1"/>
  <c r="CS1150" i="1"/>
  <c r="CU1150" i="1"/>
  <c r="T1150" i="1" s="1"/>
  <c r="CW1150" i="1"/>
  <c r="V1150" i="1" s="1"/>
  <c r="FR1150" i="1"/>
  <c r="GL1150" i="1"/>
  <c r="GO1150" i="1"/>
  <c r="GP1150" i="1"/>
  <c r="GV1150" i="1"/>
  <c r="HC1150" i="1" s="1"/>
  <c r="GX1150" i="1" s="1"/>
  <c r="I1151" i="1"/>
  <c r="R1151" i="1" s="1"/>
  <c r="GK1151" i="1" s="1"/>
  <c r="AC1151" i="1"/>
  <c r="AD1151" i="1"/>
  <c r="AE1151" i="1"/>
  <c r="AF1151" i="1"/>
  <c r="AG1151" i="1"/>
  <c r="AH1151" i="1"/>
  <c r="CV1151" i="1" s="1"/>
  <c r="AI1151" i="1"/>
  <c r="AJ1151" i="1"/>
  <c r="CX1151" i="1" s="1"/>
  <c r="CQ1151" i="1"/>
  <c r="CR1151" i="1"/>
  <c r="CS1151" i="1"/>
  <c r="CU1151" i="1"/>
  <c r="CW1151" i="1"/>
  <c r="V1151" i="1" s="1"/>
  <c r="FR1151" i="1"/>
  <c r="GL1151" i="1"/>
  <c r="GO1151" i="1"/>
  <c r="GP1151" i="1"/>
  <c r="GV1151" i="1"/>
  <c r="HC1151" i="1" s="1"/>
  <c r="GX1151" i="1" s="1"/>
  <c r="I1152" i="1"/>
  <c r="Q1152" i="1" s="1"/>
  <c r="P1152" i="1"/>
  <c r="R1152" i="1"/>
  <c r="GK1152" i="1" s="1"/>
  <c r="AC1152" i="1"/>
  <c r="AD1152" i="1"/>
  <c r="AB1152" i="1" s="1"/>
  <c r="AE1152" i="1"/>
  <c r="AF1152" i="1"/>
  <c r="S1152" i="1" s="1"/>
  <c r="CZ1152" i="1" s="1"/>
  <c r="Y1152" i="1" s="1"/>
  <c r="AG1152" i="1"/>
  <c r="AH1152" i="1"/>
  <c r="CV1152" i="1" s="1"/>
  <c r="U1152" i="1" s="1"/>
  <c r="AI1152" i="1"/>
  <c r="AJ1152" i="1"/>
  <c r="CX1152" i="1" s="1"/>
  <c r="W1152" i="1" s="1"/>
  <c r="CQ1152" i="1"/>
  <c r="CR1152" i="1"/>
  <c r="CS1152" i="1"/>
  <c r="CU1152" i="1"/>
  <c r="T1152" i="1" s="1"/>
  <c r="CW1152" i="1"/>
  <c r="V1152" i="1" s="1"/>
  <c r="FR1152" i="1"/>
  <c r="GL1152" i="1"/>
  <c r="GO1152" i="1"/>
  <c r="GP1152" i="1"/>
  <c r="GV1152" i="1"/>
  <c r="HC1152" i="1" s="1"/>
  <c r="GX1152" i="1" s="1"/>
  <c r="I1153" i="1"/>
  <c r="R1153" i="1" s="1"/>
  <c r="GK1153" i="1" s="1"/>
  <c r="AC1153" i="1"/>
  <c r="AD1153" i="1"/>
  <c r="AE1153" i="1"/>
  <c r="AF1153" i="1"/>
  <c r="AG1153" i="1"/>
  <c r="AH1153" i="1"/>
  <c r="CV1153" i="1" s="1"/>
  <c r="AI1153" i="1"/>
  <c r="AJ1153" i="1"/>
  <c r="CX1153" i="1" s="1"/>
  <c r="CQ1153" i="1"/>
  <c r="CR1153" i="1"/>
  <c r="CS1153" i="1"/>
  <c r="CU1153" i="1"/>
  <c r="CW1153" i="1"/>
  <c r="V1153" i="1" s="1"/>
  <c r="FR1153" i="1"/>
  <c r="GL1153" i="1"/>
  <c r="GO1153" i="1"/>
  <c r="GP1153" i="1"/>
  <c r="GV1153" i="1"/>
  <c r="HC1153" i="1" s="1"/>
  <c r="GX1153" i="1" s="1"/>
  <c r="I1154" i="1"/>
  <c r="Q1154" i="1" s="1"/>
  <c r="P1154" i="1"/>
  <c r="R1154" i="1"/>
  <c r="GK1154" i="1" s="1"/>
  <c r="AC1154" i="1"/>
  <c r="AD1154" i="1"/>
  <c r="AB1154" i="1" s="1"/>
  <c r="AE1154" i="1"/>
  <c r="AF1154" i="1"/>
  <c r="S1154" i="1" s="1"/>
  <c r="CZ1154" i="1" s="1"/>
  <c r="Y1154" i="1" s="1"/>
  <c r="AG1154" i="1"/>
  <c r="AH1154" i="1"/>
  <c r="CV1154" i="1" s="1"/>
  <c r="U1154" i="1" s="1"/>
  <c r="AI1154" i="1"/>
  <c r="AJ1154" i="1"/>
  <c r="CX1154" i="1" s="1"/>
  <c r="W1154" i="1" s="1"/>
  <c r="CQ1154" i="1"/>
  <c r="CR1154" i="1"/>
  <c r="CS1154" i="1"/>
  <c r="CU1154" i="1"/>
  <c r="T1154" i="1" s="1"/>
  <c r="CW1154" i="1"/>
  <c r="V1154" i="1" s="1"/>
  <c r="FR1154" i="1"/>
  <c r="GL1154" i="1"/>
  <c r="GO1154" i="1"/>
  <c r="GP1154" i="1"/>
  <c r="GV1154" i="1"/>
  <c r="HC1154" i="1" s="1"/>
  <c r="GX1154" i="1" s="1"/>
  <c r="B1156" i="1"/>
  <c r="B1125" i="1" s="1"/>
  <c r="C1156" i="1"/>
  <c r="C1125" i="1" s="1"/>
  <c r="D1156" i="1"/>
  <c r="D1125" i="1" s="1"/>
  <c r="F1156" i="1"/>
  <c r="F1125" i="1" s="1"/>
  <c r="G1156" i="1"/>
  <c r="G1125" i="1" s="1"/>
  <c r="BX1156" i="1"/>
  <c r="AO1156" i="1" s="1"/>
  <c r="CC1156" i="1"/>
  <c r="CC1125" i="1" s="1"/>
  <c r="CK1156" i="1"/>
  <c r="CK1125" i="1" s="1"/>
  <c r="CL1156" i="1"/>
  <c r="CL1125" i="1" s="1"/>
  <c r="CM1156" i="1"/>
  <c r="CM1125" i="1" s="1"/>
  <c r="FP1156" i="1"/>
  <c r="FP1125" i="1" s="1"/>
  <c r="FU1156" i="1"/>
  <c r="FU1125" i="1" s="1"/>
  <c r="GC1156" i="1"/>
  <c r="GC1125" i="1" s="1"/>
  <c r="GD1156" i="1"/>
  <c r="GD1125" i="1" s="1"/>
  <c r="GE1156" i="1"/>
  <c r="GE1125" i="1" s="1"/>
  <c r="D1186" i="1"/>
  <c r="E1188" i="1"/>
  <c r="Z1188" i="1"/>
  <c r="AA1188" i="1"/>
  <c r="AM1188" i="1"/>
  <c r="AN1188" i="1"/>
  <c r="BE1188" i="1"/>
  <c r="BF1188" i="1"/>
  <c r="BG1188" i="1"/>
  <c r="BH1188" i="1"/>
  <c r="BI1188" i="1"/>
  <c r="BJ1188" i="1"/>
  <c r="BK1188" i="1"/>
  <c r="BL1188" i="1"/>
  <c r="BM1188" i="1"/>
  <c r="BN1188" i="1"/>
  <c r="BO1188" i="1"/>
  <c r="BP1188" i="1"/>
  <c r="BQ1188" i="1"/>
  <c r="BR1188" i="1"/>
  <c r="BS1188" i="1"/>
  <c r="BT1188" i="1"/>
  <c r="BU1188" i="1"/>
  <c r="BV1188" i="1"/>
  <c r="BW1188" i="1"/>
  <c r="CN1188" i="1"/>
  <c r="CO1188" i="1"/>
  <c r="CP1188" i="1"/>
  <c r="CQ1188" i="1"/>
  <c r="CR1188" i="1"/>
  <c r="CS1188" i="1"/>
  <c r="CT1188" i="1"/>
  <c r="CU1188" i="1"/>
  <c r="CV1188" i="1"/>
  <c r="CW1188" i="1"/>
  <c r="CX1188" i="1"/>
  <c r="CY1188" i="1"/>
  <c r="CZ1188" i="1"/>
  <c r="DA1188" i="1"/>
  <c r="DB1188" i="1"/>
  <c r="DC1188" i="1"/>
  <c r="DD1188" i="1"/>
  <c r="DE1188" i="1"/>
  <c r="DF1188" i="1"/>
  <c r="DR1188" i="1"/>
  <c r="DS1188" i="1"/>
  <c r="EE1188" i="1"/>
  <c r="EF1188" i="1"/>
  <c r="EW1188" i="1"/>
  <c r="EX1188" i="1"/>
  <c r="EY1188" i="1"/>
  <c r="EZ1188" i="1"/>
  <c r="FA1188" i="1"/>
  <c r="FB1188" i="1"/>
  <c r="FC1188" i="1"/>
  <c r="FD1188" i="1"/>
  <c r="FE1188" i="1"/>
  <c r="FF1188" i="1"/>
  <c r="FG1188" i="1"/>
  <c r="FH1188" i="1"/>
  <c r="FI1188" i="1"/>
  <c r="FJ1188" i="1"/>
  <c r="FK1188" i="1"/>
  <c r="FL1188" i="1"/>
  <c r="FM1188" i="1"/>
  <c r="FN1188" i="1"/>
  <c r="FO1188" i="1"/>
  <c r="GF1188" i="1"/>
  <c r="GG1188" i="1"/>
  <c r="GH1188" i="1"/>
  <c r="GI1188" i="1"/>
  <c r="GJ1188" i="1"/>
  <c r="GK1188" i="1"/>
  <c r="GL1188" i="1"/>
  <c r="GM1188" i="1"/>
  <c r="GN1188" i="1"/>
  <c r="GO1188" i="1"/>
  <c r="GP1188" i="1"/>
  <c r="GQ1188" i="1"/>
  <c r="GR1188" i="1"/>
  <c r="GS1188" i="1"/>
  <c r="GT1188" i="1"/>
  <c r="GU1188" i="1"/>
  <c r="GV1188" i="1"/>
  <c r="GW1188" i="1"/>
  <c r="GX1188" i="1"/>
  <c r="C1190" i="1"/>
  <c r="D1190" i="1"/>
  <c r="Q1190" i="1"/>
  <c r="S1190" i="1"/>
  <c r="CY1190" i="1" s="1"/>
  <c r="X1190" i="1" s="1"/>
  <c r="W1190" i="1"/>
  <c r="AC1190" i="1"/>
  <c r="AE1190" i="1"/>
  <c r="AF1190" i="1"/>
  <c r="AG1190" i="1"/>
  <c r="CU1190" i="1" s="1"/>
  <c r="T1190" i="1" s="1"/>
  <c r="AH1190" i="1"/>
  <c r="AI1190" i="1"/>
  <c r="CW1190" i="1" s="1"/>
  <c r="V1190" i="1" s="1"/>
  <c r="AJ1190" i="1"/>
  <c r="CR1190" i="1"/>
  <c r="CT1190" i="1"/>
  <c r="CV1190" i="1"/>
  <c r="U1190" i="1" s="1"/>
  <c r="CX1190" i="1"/>
  <c r="CZ1190" i="1"/>
  <c r="Y1190" i="1" s="1"/>
  <c r="FR1190" i="1"/>
  <c r="GL1190" i="1"/>
  <c r="GO1190" i="1"/>
  <c r="GP1190" i="1"/>
  <c r="GV1190" i="1"/>
  <c r="HC1190" i="1"/>
  <c r="GX1190" i="1" s="1"/>
  <c r="C1191" i="1"/>
  <c r="D1191" i="1"/>
  <c r="P1191" i="1"/>
  <c r="R1191" i="1"/>
  <c r="GK1191" i="1" s="1"/>
  <c r="V1191" i="1"/>
  <c r="AC1191" i="1"/>
  <c r="AD1191" i="1"/>
  <c r="AE1191" i="1"/>
  <c r="Q1191" i="1" s="1"/>
  <c r="AF1191" i="1"/>
  <c r="AG1191" i="1"/>
  <c r="AH1191" i="1"/>
  <c r="CV1191" i="1" s="1"/>
  <c r="U1191" i="1" s="1"/>
  <c r="AI1191" i="1"/>
  <c r="AJ1191" i="1"/>
  <c r="CX1191" i="1" s="1"/>
  <c r="W1191" i="1" s="1"/>
  <c r="CQ1191" i="1"/>
  <c r="CR1191" i="1"/>
  <c r="CS1191" i="1"/>
  <c r="CU1191" i="1"/>
  <c r="T1191" i="1" s="1"/>
  <c r="CW1191" i="1"/>
  <c r="FR1191" i="1"/>
  <c r="GL1191" i="1"/>
  <c r="GO1191" i="1"/>
  <c r="GP1191" i="1"/>
  <c r="GV1191" i="1"/>
  <c r="HC1191" i="1" s="1"/>
  <c r="GX1191" i="1" s="1"/>
  <c r="I1192" i="1"/>
  <c r="Q1192" i="1" s="1"/>
  <c r="R1192" i="1"/>
  <c r="GK1192" i="1" s="1"/>
  <c r="V1192" i="1"/>
  <c r="AC1192" i="1"/>
  <c r="AD1192" i="1"/>
  <c r="AE1192" i="1"/>
  <c r="AF1192" i="1"/>
  <c r="AG1192" i="1"/>
  <c r="AH1192" i="1"/>
  <c r="CV1192" i="1" s="1"/>
  <c r="U1192" i="1" s="1"/>
  <c r="AI1192" i="1"/>
  <c r="AJ1192" i="1"/>
  <c r="CX1192" i="1" s="1"/>
  <c r="W1192" i="1" s="1"/>
  <c r="CQ1192" i="1"/>
  <c r="CR1192" i="1"/>
  <c r="CS1192" i="1"/>
  <c r="CU1192" i="1"/>
  <c r="T1192" i="1" s="1"/>
  <c r="CW1192" i="1"/>
  <c r="FR1192" i="1"/>
  <c r="GL1192" i="1"/>
  <c r="GO1192" i="1"/>
  <c r="GP1192" i="1"/>
  <c r="GV1192" i="1"/>
  <c r="HC1192" i="1"/>
  <c r="I1193" i="1"/>
  <c r="Q1193" i="1" s="1"/>
  <c r="P1193" i="1"/>
  <c r="T1193" i="1"/>
  <c r="AC1193" i="1"/>
  <c r="AD1193" i="1"/>
  <c r="AB1193" i="1" s="1"/>
  <c r="AE1193" i="1"/>
  <c r="AF1193" i="1"/>
  <c r="AG1193" i="1"/>
  <c r="AH1193" i="1"/>
  <c r="CV1193" i="1" s="1"/>
  <c r="U1193" i="1" s="1"/>
  <c r="AI1193" i="1"/>
  <c r="AJ1193" i="1"/>
  <c r="CX1193" i="1" s="1"/>
  <c r="CQ1193" i="1"/>
  <c r="CR1193" i="1"/>
  <c r="CS1193" i="1"/>
  <c r="CU1193" i="1"/>
  <c r="CW1193" i="1"/>
  <c r="V1193" i="1" s="1"/>
  <c r="FR1193" i="1"/>
  <c r="GL1193" i="1"/>
  <c r="GO1193" i="1"/>
  <c r="GP1193" i="1"/>
  <c r="GV1193" i="1"/>
  <c r="HC1193" i="1" s="1"/>
  <c r="GX1193" i="1"/>
  <c r="I1194" i="1"/>
  <c r="Q1194" i="1" s="1"/>
  <c r="P1194" i="1"/>
  <c r="T1194" i="1"/>
  <c r="AC1194" i="1"/>
  <c r="AD1194" i="1"/>
  <c r="AB1194" i="1" s="1"/>
  <c r="AE1194" i="1"/>
  <c r="AF1194" i="1"/>
  <c r="AG1194" i="1"/>
  <c r="AH1194" i="1"/>
  <c r="CV1194" i="1" s="1"/>
  <c r="U1194" i="1" s="1"/>
  <c r="AI1194" i="1"/>
  <c r="AJ1194" i="1"/>
  <c r="CX1194" i="1" s="1"/>
  <c r="CQ1194" i="1"/>
  <c r="CR1194" i="1"/>
  <c r="CS1194" i="1"/>
  <c r="CU1194" i="1"/>
  <c r="CW1194" i="1"/>
  <c r="V1194" i="1" s="1"/>
  <c r="FR1194" i="1"/>
  <c r="GL1194" i="1"/>
  <c r="GO1194" i="1"/>
  <c r="GP1194" i="1"/>
  <c r="GV1194" i="1"/>
  <c r="HC1194" i="1" s="1"/>
  <c r="GX1194" i="1"/>
  <c r="I1195" i="1"/>
  <c r="Q1195" i="1" s="1"/>
  <c r="P1195" i="1"/>
  <c r="T1195" i="1"/>
  <c r="AC1195" i="1"/>
  <c r="AD1195" i="1"/>
  <c r="AB1195" i="1" s="1"/>
  <c r="AE1195" i="1"/>
  <c r="AF1195" i="1"/>
  <c r="AG1195" i="1"/>
  <c r="AH1195" i="1"/>
  <c r="CV1195" i="1" s="1"/>
  <c r="U1195" i="1" s="1"/>
  <c r="AI1195" i="1"/>
  <c r="AJ1195" i="1"/>
  <c r="CX1195" i="1" s="1"/>
  <c r="CQ1195" i="1"/>
  <c r="CR1195" i="1"/>
  <c r="CS1195" i="1"/>
  <c r="CU1195" i="1"/>
  <c r="CW1195" i="1"/>
  <c r="V1195" i="1" s="1"/>
  <c r="FR1195" i="1"/>
  <c r="GL1195" i="1"/>
  <c r="GO1195" i="1"/>
  <c r="GP1195" i="1"/>
  <c r="GV1195" i="1"/>
  <c r="HC1195" i="1" s="1"/>
  <c r="GX1195" i="1"/>
  <c r="I1196" i="1"/>
  <c r="Q1196" i="1" s="1"/>
  <c r="P1196" i="1"/>
  <c r="T1196" i="1"/>
  <c r="AC1196" i="1"/>
  <c r="AD1196" i="1"/>
  <c r="AB1196" i="1" s="1"/>
  <c r="AE1196" i="1"/>
  <c r="AF1196" i="1"/>
  <c r="AG1196" i="1"/>
  <c r="AH1196" i="1"/>
  <c r="CV1196" i="1" s="1"/>
  <c r="U1196" i="1" s="1"/>
  <c r="AI1196" i="1"/>
  <c r="AJ1196" i="1"/>
  <c r="CX1196" i="1" s="1"/>
  <c r="CQ1196" i="1"/>
  <c r="CR1196" i="1"/>
  <c r="CS1196" i="1"/>
  <c r="CU1196" i="1"/>
  <c r="CW1196" i="1"/>
  <c r="V1196" i="1" s="1"/>
  <c r="FR1196" i="1"/>
  <c r="GL1196" i="1"/>
  <c r="GO1196" i="1"/>
  <c r="GP1196" i="1"/>
  <c r="GV1196" i="1"/>
  <c r="HC1196" i="1" s="1"/>
  <c r="GX1196" i="1"/>
  <c r="I1197" i="1"/>
  <c r="Q1197" i="1" s="1"/>
  <c r="P1197" i="1"/>
  <c r="T1197" i="1"/>
  <c r="AC1197" i="1"/>
  <c r="AD1197" i="1"/>
  <c r="AB1197" i="1" s="1"/>
  <c r="AE1197" i="1"/>
  <c r="AF1197" i="1"/>
  <c r="AG1197" i="1"/>
  <c r="AH1197" i="1"/>
  <c r="CV1197" i="1" s="1"/>
  <c r="U1197" i="1" s="1"/>
  <c r="AI1197" i="1"/>
  <c r="AJ1197" i="1"/>
  <c r="CX1197" i="1" s="1"/>
  <c r="CQ1197" i="1"/>
  <c r="CR1197" i="1"/>
  <c r="CS1197" i="1"/>
  <c r="CU1197" i="1"/>
  <c r="CW1197" i="1"/>
  <c r="V1197" i="1" s="1"/>
  <c r="FR1197" i="1"/>
  <c r="GL1197" i="1"/>
  <c r="GO1197" i="1"/>
  <c r="GP1197" i="1"/>
  <c r="GV1197" i="1"/>
  <c r="HC1197" i="1" s="1"/>
  <c r="GX1197" i="1"/>
  <c r="C1198" i="1"/>
  <c r="D1198" i="1"/>
  <c r="S1198" i="1"/>
  <c r="CY1198" i="1" s="1"/>
  <c r="X1198" i="1" s="1"/>
  <c r="U1198" i="1"/>
  <c r="Y1198" i="1"/>
  <c r="AC1198" i="1"/>
  <c r="AE1198" i="1"/>
  <c r="AF1198" i="1"/>
  <c r="AG1198" i="1"/>
  <c r="CU1198" i="1" s="1"/>
  <c r="T1198" i="1" s="1"/>
  <c r="AH1198" i="1"/>
  <c r="AI1198" i="1"/>
  <c r="CW1198" i="1" s="1"/>
  <c r="V1198" i="1" s="1"/>
  <c r="AJ1198" i="1"/>
  <c r="CT1198" i="1"/>
  <c r="CV1198" i="1"/>
  <c r="CX1198" i="1"/>
  <c r="W1198" i="1" s="1"/>
  <c r="CZ1198" i="1"/>
  <c r="FR1198" i="1"/>
  <c r="GL1198" i="1"/>
  <c r="GO1198" i="1"/>
  <c r="GP1198" i="1"/>
  <c r="GV1198" i="1"/>
  <c r="HC1198" i="1" s="1"/>
  <c r="GX1198" i="1" s="1"/>
  <c r="C1199" i="1"/>
  <c r="D1199" i="1"/>
  <c r="P1199" i="1"/>
  <c r="R1199" i="1"/>
  <c r="GK1199" i="1" s="1"/>
  <c r="T1199" i="1"/>
  <c r="AC1199" i="1"/>
  <c r="AD1199" i="1"/>
  <c r="AE1199" i="1"/>
  <c r="Q1199" i="1" s="1"/>
  <c r="AF1199" i="1"/>
  <c r="AG1199" i="1"/>
  <c r="AH1199" i="1"/>
  <c r="CV1199" i="1" s="1"/>
  <c r="U1199" i="1" s="1"/>
  <c r="AI1199" i="1"/>
  <c r="AJ1199" i="1"/>
  <c r="CX1199" i="1" s="1"/>
  <c r="W1199" i="1" s="1"/>
  <c r="CQ1199" i="1"/>
  <c r="CR1199" i="1"/>
  <c r="CS1199" i="1"/>
  <c r="CU1199" i="1"/>
  <c r="CW1199" i="1"/>
  <c r="V1199" i="1" s="1"/>
  <c r="FR1199" i="1"/>
  <c r="GL1199" i="1"/>
  <c r="GO1199" i="1"/>
  <c r="GP1199" i="1"/>
  <c r="GV1199" i="1"/>
  <c r="HC1199" i="1" s="1"/>
  <c r="GX1199" i="1"/>
  <c r="I1200" i="1"/>
  <c r="Q1200" i="1" s="1"/>
  <c r="P1200" i="1"/>
  <c r="R1200" i="1"/>
  <c r="GK1200" i="1" s="1"/>
  <c r="T1200" i="1"/>
  <c r="AC1200" i="1"/>
  <c r="AD1200" i="1"/>
  <c r="AE1200" i="1"/>
  <c r="AF1200" i="1"/>
  <c r="AG1200" i="1"/>
  <c r="AH1200" i="1"/>
  <c r="CV1200" i="1" s="1"/>
  <c r="U1200" i="1" s="1"/>
  <c r="AI1200" i="1"/>
  <c r="AJ1200" i="1"/>
  <c r="CX1200" i="1" s="1"/>
  <c r="W1200" i="1" s="1"/>
  <c r="CQ1200" i="1"/>
  <c r="CR1200" i="1"/>
  <c r="CS1200" i="1"/>
  <c r="CU1200" i="1"/>
  <c r="CW1200" i="1"/>
  <c r="V1200" i="1" s="1"/>
  <c r="FR1200" i="1"/>
  <c r="GL1200" i="1"/>
  <c r="GO1200" i="1"/>
  <c r="GP1200" i="1"/>
  <c r="GV1200" i="1"/>
  <c r="GX1200" i="1"/>
  <c r="HC1200" i="1"/>
  <c r="I1201" i="1"/>
  <c r="Q1201" i="1" s="1"/>
  <c r="R1201" i="1"/>
  <c r="GK1201" i="1" s="1"/>
  <c r="AC1201" i="1"/>
  <c r="AD1201" i="1"/>
  <c r="AE1201" i="1"/>
  <c r="AF1201" i="1"/>
  <c r="AG1201" i="1"/>
  <c r="AH1201" i="1"/>
  <c r="CV1201" i="1" s="1"/>
  <c r="U1201" i="1" s="1"/>
  <c r="AI1201" i="1"/>
  <c r="AJ1201" i="1"/>
  <c r="CX1201" i="1" s="1"/>
  <c r="W1201" i="1" s="1"/>
  <c r="CQ1201" i="1"/>
  <c r="CR1201" i="1"/>
  <c r="CS1201" i="1"/>
  <c r="CU1201" i="1"/>
  <c r="T1201" i="1" s="1"/>
  <c r="CW1201" i="1"/>
  <c r="V1201" i="1" s="1"/>
  <c r="FR1201" i="1"/>
  <c r="GL1201" i="1"/>
  <c r="GO1201" i="1"/>
  <c r="GP1201" i="1"/>
  <c r="GV1201" i="1"/>
  <c r="HC1201" i="1" s="1"/>
  <c r="GX1201" i="1" s="1"/>
  <c r="I1202" i="1"/>
  <c r="Q1202" i="1" s="1"/>
  <c r="P1202" i="1"/>
  <c r="CP1202" i="1" s="1"/>
  <c r="O1202" i="1" s="1"/>
  <c r="R1202" i="1"/>
  <c r="GK1202" i="1" s="1"/>
  <c r="AC1202" i="1"/>
  <c r="AD1202" i="1"/>
  <c r="AB1202" i="1" s="1"/>
  <c r="AE1202" i="1"/>
  <c r="AF1202" i="1"/>
  <c r="S1202" i="1" s="1"/>
  <c r="AG1202" i="1"/>
  <c r="AH1202" i="1"/>
  <c r="CV1202" i="1" s="1"/>
  <c r="U1202" i="1" s="1"/>
  <c r="AI1202" i="1"/>
  <c r="AJ1202" i="1"/>
  <c r="CX1202" i="1" s="1"/>
  <c r="W1202" i="1" s="1"/>
  <c r="CQ1202" i="1"/>
  <c r="CR1202" i="1"/>
  <c r="CS1202" i="1"/>
  <c r="CU1202" i="1"/>
  <c r="T1202" i="1" s="1"/>
  <c r="CW1202" i="1"/>
  <c r="V1202" i="1" s="1"/>
  <c r="FR1202" i="1"/>
  <c r="GL1202" i="1"/>
  <c r="GO1202" i="1"/>
  <c r="GP1202" i="1"/>
  <c r="GV1202" i="1"/>
  <c r="GX1202" i="1"/>
  <c r="HC1202" i="1"/>
  <c r="I1203" i="1"/>
  <c r="P1203" i="1" s="1"/>
  <c r="R1203" i="1"/>
  <c r="GK1203" i="1" s="1"/>
  <c r="AC1203" i="1"/>
  <c r="AD1203" i="1"/>
  <c r="AE1203" i="1"/>
  <c r="AF1203" i="1"/>
  <c r="AB1203" i="1" s="1"/>
  <c r="AG1203" i="1"/>
  <c r="AH1203" i="1"/>
  <c r="CV1203" i="1" s="1"/>
  <c r="U1203" i="1" s="1"/>
  <c r="AI1203" i="1"/>
  <c r="AJ1203" i="1"/>
  <c r="CX1203" i="1" s="1"/>
  <c r="W1203" i="1" s="1"/>
  <c r="CQ1203" i="1"/>
  <c r="CR1203" i="1"/>
  <c r="CS1203" i="1"/>
  <c r="CU1203" i="1"/>
  <c r="T1203" i="1" s="1"/>
  <c r="CW1203" i="1"/>
  <c r="V1203" i="1" s="1"/>
  <c r="FR1203" i="1"/>
  <c r="GL1203" i="1"/>
  <c r="GO1203" i="1"/>
  <c r="GP1203" i="1"/>
  <c r="GV1203" i="1"/>
  <c r="HC1203" i="1" s="1"/>
  <c r="GX1203" i="1" s="1"/>
  <c r="I1204" i="1"/>
  <c r="Q1204" i="1" s="1"/>
  <c r="P1204" i="1"/>
  <c r="CP1204" i="1" s="1"/>
  <c r="O1204" i="1" s="1"/>
  <c r="R1204" i="1"/>
  <c r="GK1204" i="1" s="1"/>
  <c r="AC1204" i="1"/>
  <c r="AD1204" i="1"/>
  <c r="AB1204" i="1" s="1"/>
  <c r="AE1204" i="1"/>
  <c r="AF1204" i="1"/>
  <c r="S1204" i="1" s="1"/>
  <c r="AG1204" i="1"/>
  <c r="AH1204" i="1"/>
  <c r="CV1204" i="1" s="1"/>
  <c r="U1204" i="1" s="1"/>
  <c r="AI1204" i="1"/>
  <c r="AJ1204" i="1"/>
  <c r="CX1204" i="1" s="1"/>
  <c r="W1204" i="1" s="1"/>
  <c r="CQ1204" i="1"/>
  <c r="CR1204" i="1"/>
  <c r="CS1204" i="1"/>
  <c r="CU1204" i="1"/>
  <c r="T1204" i="1" s="1"/>
  <c r="CW1204" i="1"/>
  <c r="V1204" i="1" s="1"/>
  <c r="FR1204" i="1"/>
  <c r="GL1204" i="1"/>
  <c r="GO1204" i="1"/>
  <c r="GP1204" i="1"/>
  <c r="GV1204" i="1"/>
  <c r="GX1204" i="1"/>
  <c r="HC1204" i="1"/>
  <c r="I1205" i="1"/>
  <c r="P1205" i="1" s="1"/>
  <c r="R1205" i="1"/>
  <c r="GK1205" i="1" s="1"/>
  <c r="AC1205" i="1"/>
  <c r="AD1205" i="1"/>
  <c r="AE1205" i="1"/>
  <c r="AF1205" i="1"/>
  <c r="AB1205" i="1" s="1"/>
  <c r="AG1205" i="1"/>
  <c r="AH1205" i="1"/>
  <c r="CV1205" i="1" s="1"/>
  <c r="U1205" i="1" s="1"/>
  <c r="AI1205" i="1"/>
  <c r="AJ1205" i="1"/>
  <c r="CX1205" i="1" s="1"/>
  <c r="W1205" i="1" s="1"/>
  <c r="CQ1205" i="1"/>
  <c r="CR1205" i="1"/>
  <c r="CS1205" i="1"/>
  <c r="CU1205" i="1"/>
  <c r="T1205" i="1" s="1"/>
  <c r="CW1205" i="1"/>
  <c r="V1205" i="1" s="1"/>
  <c r="FR1205" i="1"/>
  <c r="GL1205" i="1"/>
  <c r="GO1205" i="1"/>
  <c r="GP1205" i="1"/>
  <c r="GV1205" i="1"/>
  <c r="HC1205" i="1" s="1"/>
  <c r="GX1205" i="1" s="1"/>
  <c r="I1206" i="1"/>
  <c r="Q1206" i="1" s="1"/>
  <c r="P1206" i="1"/>
  <c r="R1206" i="1"/>
  <c r="GK1206" i="1" s="1"/>
  <c r="AC1206" i="1"/>
  <c r="AD1206" i="1"/>
  <c r="AB1206" i="1" s="1"/>
  <c r="AE1206" i="1"/>
  <c r="AF1206" i="1"/>
  <c r="S1206" i="1" s="1"/>
  <c r="AG1206" i="1"/>
  <c r="AH1206" i="1"/>
  <c r="CV1206" i="1" s="1"/>
  <c r="U1206" i="1" s="1"/>
  <c r="AI1206" i="1"/>
  <c r="AJ1206" i="1"/>
  <c r="CX1206" i="1" s="1"/>
  <c r="W1206" i="1" s="1"/>
  <c r="CQ1206" i="1"/>
  <c r="CR1206" i="1"/>
  <c r="CS1206" i="1"/>
  <c r="CU1206" i="1"/>
  <c r="T1206" i="1" s="1"/>
  <c r="CW1206" i="1"/>
  <c r="V1206" i="1" s="1"/>
  <c r="FR1206" i="1"/>
  <c r="GL1206" i="1"/>
  <c r="BZ1223" i="1" s="1"/>
  <c r="GO1206" i="1"/>
  <c r="GP1206" i="1"/>
  <c r="CD1223" i="1" s="1"/>
  <c r="GV1206" i="1"/>
  <c r="GX1206" i="1"/>
  <c r="HC1206" i="1"/>
  <c r="I1207" i="1"/>
  <c r="P1207" i="1" s="1"/>
  <c r="R1207" i="1"/>
  <c r="GK1207" i="1" s="1"/>
  <c r="AC1207" i="1"/>
  <c r="AD1207" i="1"/>
  <c r="AE1207" i="1"/>
  <c r="AF1207" i="1"/>
  <c r="AB1207" i="1" s="1"/>
  <c r="AG1207" i="1"/>
  <c r="AH1207" i="1"/>
  <c r="CV1207" i="1" s="1"/>
  <c r="U1207" i="1" s="1"/>
  <c r="AI1207" i="1"/>
  <c r="AJ1207" i="1"/>
  <c r="CX1207" i="1" s="1"/>
  <c r="W1207" i="1" s="1"/>
  <c r="CQ1207" i="1"/>
  <c r="CR1207" i="1"/>
  <c r="CS1207" i="1"/>
  <c r="CU1207" i="1"/>
  <c r="T1207" i="1" s="1"/>
  <c r="CW1207" i="1"/>
  <c r="V1207" i="1" s="1"/>
  <c r="FR1207" i="1"/>
  <c r="GL1207" i="1"/>
  <c r="GO1207" i="1"/>
  <c r="GP1207" i="1"/>
  <c r="GV1207" i="1"/>
  <c r="HC1207" i="1" s="1"/>
  <c r="GX1207" i="1" s="1"/>
  <c r="I1208" i="1"/>
  <c r="Q1208" i="1" s="1"/>
  <c r="P1208" i="1"/>
  <c r="R1208" i="1"/>
  <c r="GK1208" i="1" s="1"/>
  <c r="AC1208" i="1"/>
  <c r="AD1208" i="1"/>
  <c r="AB1208" i="1" s="1"/>
  <c r="AE1208" i="1"/>
  <c r="AF1208" i="1"/>
  <c r="S1208" i="1" s="1"/>
  <c r="AG1208" i="1"/>
  <c r="AH1208" i="1"/>
  <c r="CV1208" i="1" s="1"/>
  <c r="U1208" i="1" s="1"/>
  <c r="AI1208" i="1"/>
  <c r="AJ1208" i="1"/>
  <c r="CX1208" i="1" s="1"/>
  <c r="W1208" i="1" s="1"/>
  <c r="CQ1208" i="1"/>
  <c r="CR1208" i="1"/>
  <c r="CS1208" i="1"/>
  <c r="CU1208" i="1"/>
  <c r="T1208" i="1" s="1"/>
  <c r="CW1208" i="1"/>
  <c r="V1208" i="1" s="1"/>
  <c r="FR1208" i="1"/>
  <c r="GL1208" i="1"/>
  <c r="GO1208" i="1"/>
  <c r="GP1208" i="1"/>
  <c r="GV1208" i="1"/>
  <c r="GX1208" i="1"/>
  <c r="HC1208" i="1"/>
  <c r="I1209" i="1"/>
  <c r="P1209" i="1" s="1"/>
  <c r="R1209" i="1"/>
  <c r="GK1209" i="1" s="1"/>
  <c r="AC1209" i="1"/>
  <c r="AD1209" i="1"/>
  <c r="AE1209" i="1"/>
  <c r="AF1209" i="1"/>
  <c r="AB1209" i="1" s="1"/>
  <c r="AG1209" i="1"/>
  <c r="AH1209" i="1"/>
  <c r="CV1209" i="1" s="1"/>
  <c r="U1209" i="1" s="1"/>
  <c r="AI1209" i="1"/>
  <c r="AJ1209" i="1"/>
  <c r="CX1209" i="1" s="1"/>
  <c r="W1209" i="1" s="1"/>
  <c r="CQ1209" i="1"/>
  <c r="CR1209" i="1"/>
  <c r="CS1209" i="1"/>
  <c r="CU1209" i="1"/>
  <c r="T1209" i="1" s="1"/>
  <c r="CW1209" i="1"/>
  <c r="V1209" i="1" s="1"/>
  <c r="FR1209" i="1"/>
  <c r="GL1209" i="1"/>
  <c r="GO1209" i="1"/>
  <c r="GP1209" i="1"/>
  <c r="GV1209" i="1"/>
  <c r="HC1209" i="1" s="1"/>
  <c r="GX1209" i="1" s="1"/>
  <c r="C1210" i="1"/>
  <c r="D1210" i="1"/>
  <c r="S1210" i="1"/>
  <c r="CZ1210" i="1" s="1"/>
  <c r="Y1210" i="1" s="1"/>
  <c r="AC1210" i="1"/>
  <c r="AE1210" i="1"/>
  <c r="Q1210" i="1" s="1"/>
  <c r="AF1210" i="1"/>
  <c r="AG1210" i="1"/>
  <c r="CU1210" i="1" s="1"/>
  <c r="T1210" i="1" s="1"/>
  <c r="AH1210" i="1"/>
  <c r="AI1210" i="1"/>
  <c r="CW1210" i="1" s="1"/>
  <c r="V1210" i="1" s="1"/>
  <c r="AJ1210" i="1"/>
  <c r="CR1210" i="1"/>
  <c r="CT1210" i="1"/>
  <c r="CV1210" i="1"/>
  <c r="U1210" i="1" s="1"/>
  <c r="CX1210" i="1"/>
  <c r="W1210" i="1" s="1"/>
  <c r="FR1210" i="1"/>
  <c r="GL1210" i="1"/>
  <c r="GO1210" i="1"/>
  <c r="GP1210" i="1"/>
  <c r="GV1210" i="1"/>
  <c r="HC1210" i="1"/>
  <c r="GX1210" i="1" s="1"/>
  <c r="C1211" i="1"/>
  <c r="D1211" i="1"/>
  <c r="P1211" i="1"/>
  <c r="R1211" i="1"/>
  <c r="GK1211" i="1" s="1"/>
  <c r="AC1211" i="1"/>
  <c r="AD1211" i="1"/>
  <c r="AB1211" i="1" s="1"/>
  <c r="AE1211" i="1"/>
  <c r="Q1211" i="1" s="1"/>
  <c r="AF1211" i="1"/>
  <c r="S1211" i="1" s="1"/>
  <c r="AG1211" i="1"/>
  <c r="AH1211" i="1"/>
  <c r="CV1211" i="1" s="1"/>
  <c r="U1211" i="1" s="1"/>
  <c r="AI1211" i="1"/>
  <c r="AJ1211" i="1"/>
  <c r="CX1211" i="1" s="1"/>
  <c r="W1211" i="1" s="1"/>
  <c r="CQ1211" i="1"/>
  <c r="CR1211" i="1"/>
  <c r="CS1211" i="1"/>
  <c r="CU1211" i="1"/>
  <c r="T1211" i="1" s="1"/>
  <c r="CW1211" i="1"/>
  <c r="V1211" i="1" s="1"/>
  <c r="FR1211" i="1"/>
  <c r="GL1211" i="1"/>
  <c r="FR1223" i="1" s="1"/>
  <c r="GO1211" i="1"/>
  <c r="GP1211" i="1"/>
  <c r="FV1223" i="1" s="1"/>
  <c r="GV1211" i="1"/>
  <c r="GX1211" i="1"/>
  <c r="HC1211" i="1"/>
  <c r="I1212" i="1"/>
  <c r="P1212" i="1" s="1"/>
  <c r="R1212" i="1"/>
  <c r="GK1212" i="1" s="1"/>
  <c r="AC1212" i="1"/>
  <c r="AD1212" i="1"/>
  <c r="AE1212" i="1"/>
  <c r="AF1212" i="1"/>
  <c r="AB1212" i="1" s="1"/>
  <c r="AG1212" i="1"/>
  <c r="AH1212" i="1"/>
  <c r="CV1212" i="1" s="1"/>
  <c r="U1212" i="1" s="1"/>
  <c r="AI1212" i="1"/>
  <c r="AJ1212" i="1"/>
  <c r="CX1212" i="1" s="1"/>
  <c r="W1212" i="1" s="1"/>
  <c r="CQ1212" i="1"/>
  <c r="CR1212" i="1"/>
  <c r="CS1212" i="1"/>
  <c r="CU1212" i="1"/>
  <c r="T1212" i="1" s="1"/>
  <c r="CW1212" i="1"/>
  <c r="V1212" i="1" s="1"/>
  <c r="FR1212" i="1"/>
  <c r="GL1212" i="1"/>
  <c r="GO1212" i="1"/>
  <c r="GP1212" i="1"/>
  <c r="GV1212" i="1"/>
  <c r="HC1212" i="1" s="1"/>
  <c r="GX1212" i="1" s="1"/>
  <c r="I1213" i="1"/>
  <c r="Q1213" i="1" s="1"/>
  <c r="P1213" i="1"/>
  <c r="R1213" i="1"/>
  <c r="GK1213" i="1" s="1"/>
  <c r="AC1213" i="1"/>
  <c r="AD1213" i="1"/>
  <c r="AB1213" i="1" s="1"/>
  <c r="AE1213" i="1"/>
  <c r="AF1213" i="1"/>
  <c r="S1213" i="1" s="1"/>
  <c r="AG1213" i="1"/>
  <c r="AH1213" i="1"/>
  <c r="CV1213" i="1" s="1"/>
  <c r="U1213" i="1" s="1"/>
  <c r="AI1213" i="1"/>
  <c r="AJ1213" i="1"/>
  <c r="CX1213" i="1" s="1"/>
  <c r="W1213" i="1" s="1"/>
  <c r="CQ1213" i="1"/>
  <c r="CR1213" i="1"/>
  <c r="CS1213" i="1"/>
  <c r="CU1213" i="1"/>
  <c r="T1213" i="1" s="1"/>
  <c r="CW1213" i="1"/>
  <c r="V1213" i="1" s="1"/>
  <c r="FR1213" i="1"/>
  <c r="GL1213" i="1"/>
  <c r="GO1213" i="1"/>
  <c r="GP1213" i="1"/>
  <c r="GV1213" i="1"/>
  <c r="GX1213" i="1"/>
  <c r="HC1213" i="1"/>
  <c r="I1214" i="1"/>
  <c r="P1214" i="1" s="1"/>
  <c r="R1214" i="1"/>
  <c r="GK1214" i="1" s="1"/>
  <c r="AC1214" i="1"/>
  <c r="AD1214" i="1"/>
  <c r="AE1214" i="1"/>
  <c r="AF1214" i="1"/>
  <c r="AB1214" i="1" s="1"/>
  <c r="AG1214" i="1"/>
  <c r="AH1214" i="1"/>
  <c r="CV1214" i="1" s="1"/>
  <c r="U1214" i="1" s="1"/>
  <c r="AI1214" i="1"/>
  <c r="AJ1214" i="1"/>
  <c r="CX1214" i="1" s="1"/>
  <c r="W1214" i="1" s="1"/>
  <c r="CQ1214" i="1"/>
  <c r="CR1214" i="1"/>
  <c r="CS1214" i="1"/>
  <c r="CU1214" i="1"/>
  <c r="T1214" i="1" s="1"/>
  <c r="CW1214" i="1"/>
  <c r="V1214" i="1" s="1"/>
  <c r="FR1214" i="1"/>
  <c r="BY1223" i="1" s="1"/>
  <c r="GL1214" i="1"/>
  <c r="GO1214" i="1"/>
  <c r="GP1214" i="1"/>
  <c r="GV1214" i="1"/>
  <c r="HC1214" i="1" s="1"/>
  <c r="GX1214" i="1" s="1"/>
  <c r="I1215" i="1"/>
  <c r="Q1215" i="1" s="1"/>
  <c r="P1215" i="1"/>
  <c r="CP1215" i="1" s="1"/>
  <c r="O1215" i="1" s="1"/>
  <c r="R1215" i="1"/>
  <c r="GK1215" i="1" s="1"/>
  <c r="AC1215" i="1"/>
  <c r="AD1215" i="1"/>
  <c r="AB1215" i="1" s="1"/>
  <c r="AE1215" i="1"/>
  <c r="AF1215" i="1"/>
  <c r="S1215" i="1" s="1"/>
  <c r="AG1215" i="1"/>
  <c r="AH1215" i="1"/>
  <c r="CV1215" i="1" s="1"/>
  <c r="U1215" i="1" s="1"/>
  <c r="AI1215" i="1"/>
  <c r="AJ1215" i="1"/>
  <c r="CX1215" i="1" s="1"/>
  <c r="W1215" i="1" s="1"/>
  <c r="CQ1215" i="1"/>
  <c r="CR1215" i="1"/>
  <c r="CS1215" i="1"/>
  <c r="CU1215" i="1"/>
  <c r="T1215" i="1" s="1"/>
  <c r="CW1215" i="1"/>
  <c r="V1215" i="1" s="1"/>
  <c r="FR1215" i="1"/>
  <c r="GL1215" i="1"/>
  <c r="GO1215" i="1"/>
  <c r="GP1215" i="1"/>
  <c r="GV1215" i="1"/>
  <c r="GX1215" i="1"/>
  <c r="HC1215" i="1"/>
  <c r="C1216" i="1"/>
  <c r="D1216" i="1"/>
  <c r="S1216" i="1"/>
  <c r="CY1216" i="1" s="1"/>
  <c r="X1216" i="1" s="1"/>
  <c r="AC1216" i="1"/>
  <c r="P1216" i="1" s="1"/>
  <c r="AE1216" i="1"/>
  <c r="AD1216" i="1" s="1"/>
  <c r="AF1216" i="1"/>
  <c r="AG1216" i="1"/>
  <c r="CU1216" i="1" s="1"/>
  <c r="T1216" i="1" s="1"/>
  <c r="AH1216" i="1"/>
  <c r="AI1216" i="1"/>
  <c r="CW1216" i="1" s="1"/>
  <c r="V1216" i="1" s="1"/>
  <c r="AJ1216" i="1"/>
  <c r="CR1216" i="1"/>
  <c r="CT1216" i="1"/>
  <c r="CV1216" i="1"/>
  <c r="U1216" i="1" s="1"/>
  <c r="CX1216" i="1"/>
  <c r="W1216" i="1" s="1"/>
  <c r="CZ1216" i="1"/>
  <c r="Y1216" i="1" s="1"/>
  <c r="FR1216" i="1"/>
  <c r="GL1216" i="1"/>
  <c r="GO1216" i="1"/>
  <c r="GP1216" i="1"/>
  <c r="GV1216" i="1"/>
  <c r="HC1216" i="1" s="1"/>
  <c r="GX1216" i="1" s="1"/>
  <c r="C1217" i="1"/>
  <c r="D1217" i="1"/>
  <c r="P1217" i="1"/>
  <c r="R1217" i="1"/>
  <c r="GK1217" i="1" s="1"/>
  <c r="AC1217" i="1"/>
  <c r="AD1217" i="1"/>
  <c r="AE1217" i="1"/>
  <c r="Q1217" i="1" s="1"/>
  <c r="AF1217" i="1"/>
  <c r="AB1217" i="1" s="1"/>
  <c r="AG1217" i="1"/>
  <c r="AH1217" i="1"/>
  <c r="CV1217" i="1" s="1"/>
  <c r="U1217" i="1" s="1"/>
  <c r="AI1217" i="1"/>
  <c r="AJ1217" i="1"/>
  <c r="CX1217" i="1" s="1"/>
  <c r="W1217" i="1" s="1"/>
  <c r="CQ1217" i="1"/>
  <c r="CR1217" i="1"/>
  <c r="CS1217" i="1"/>
  <c r="CU1217" i="1"/>
  <c r="T1217" i="1" s="1"/>
  <c r="CW1217" i="1"/>
  <c r="V1217" i="1" s="1"/>
  <c r="FR1217" i="1"/>
  <c r="GL1217" i="1"/>
  <c r="GO1217" i="1"/>
  <c r="GP1217" i="1"/>
  <c r="GV1217" i="1"/>
  <c r="HC1217" i="1" s="1"/>
  <c r="GX1217" i="1" s="1"/>
  <c r="I1218" i="1"/>
  <c r="Q1218" i="1" s="1"/>
  <c r="P1218" i="1"/>
  <c r="R1218" i="1"/>
  <c r="GK1218" i="1" s="1"/>
  <c r="AC1218" i="1"/>
  <c r="AD1218" i="1"/>
  <c r="AB1218" i="1" s="1"/>
  <c r="AE1218" i="1"/>
  <c r="AF1218" i="1"/>
  <c r="S1218" i="1" s="1"/>
  <c r="AG1218" i="1"/>
  <c r="AH1218" i="1"/>
  <c r="CV1218" i="1" s="1"/>
  <c r="U1218" i="1" s="1"/>
  <c r="AI1218" i="1"/>
  <c r="AJ1218" i="1"/>
  <c r="CX1218" i="1" s="1"/>
  <c r="W1218" i="1" s="1"/>
  <c r="CQ1218" i="1"/>
  <c r="CR1218" i="1"/>
  <c r="CS1218" i="1"/>
  <c r="CU1218" i="1"/>
  <c r="T1218" i="1" s="1"/>
  <c r="CW1218" i="1"/>
  <c r="V1218" i="1" s="1"/>
  <c r="FR1218" i="1"/>
  <c r="GL1218" i="1"/>
  <c r="GO1218" i="1"/>
  <c r="GP1218" i="1"/>
  <c r="GV1218" i="1"/>
  <c r="GX1218" i="1"/>
  <c r="HC1218" i="1"/>
  <c r="I1219" i="1"/>
  <c r="P1219" i="1" s="1"/>
  <c r="R1219" i="1"/>
  <c r="GK1219" i="1" s="1"/>
  <c r="AC1219" i="1"/>
  <c r="AD1219" i="1"/>
  <c r="AE1219" i="1"/>
  <c r="AF1219" i="1"/>
  <c r="AB1219" i="1" s="1"/>
  <c r="AG1219" i="1"/>
  <c r="AH1219" i="1"/>
  <c r="CV1219" i="1" s="1"/>
  <c r="U1219" i="1" s="1"/>
  <c r="AI1219" i="1"/>
  <c r="AJ1219" i="1"/>
  <c r="CX1219" i="1" s="1"/>
  <c r="W1219" i="1" s="1"/>
  <c r="CQ1219" i="1"/>
  <c r="CR1219" i="1"/>
  <c r="CS1219" i="1"/>
  <c r="CU1219" i="1"/>
  <c r="T1219" i="1" s="1"/>
  <c r="CW1219" i="1"/>
  <c r="V1219" i="1" s="1"/>
  <c r="FR1219" i="1"/>
  <c r="GL1219" i="1"/>
  <c r="GO1219" i="1"/>
  <c r="GP1219" i="1"/>
  <c r="GV1219" i="1"/>
  <c r="HC1219" i="1" s="1"/>
  <c r="GX1219" i="1" s="1"/>
  <c r="I1220" i="1"/>
  <c r="Q1220" i="1" s="1"/>
  <c r="P1220" i="1"/>
  <c r="CP1220" i="1" s="1"/>
  <c r="O1220" i="1" s="1"/>
  <c r="R1220" i="1"/>
  <c r="GK1220" i="1" s="1"/>
  <c r="AC1220" i="1"/>
  <c r="AD1220" i="1"/>
  <c r="AB1220" i="1" s="1"/>
  <c r="AE1220" i="1"/>
  <c r="AF1220" i="1"/>
  <c r="S1220" i="1" s="1"/>
  <c r="AG1220" i="1"/>
  <c r="AH1220" i="1"/>
  <c r="CV1220" i="1" s="1"/>
  <c r="U1220" i="1" s="1"/>
  <c r="AI1220" i="1"/>
  <c r="AJ1220" i="1"/>
  <c r="CX1220" i="1" s="1"/>
  <c r="W1220" i="1" s="1"/>
  <c r="CQ1220" i="1"/>
  <c r="CR1220" i="1"/>
  <c r="CS1220" i="1"/>
  <c r="CU1220" i="1"/>
  <c r="T1220" i="1" s="1"/>
  <c r="CW1220" i="1"/>
  <c r="V1220" i="1" s="1"/>
  <c r="FR1220" i="1"/>
  <c r="GL1220" i="1"/>
  <c r="GO1220" i="1"/>
  <c r="GP1220" i="1"/>
  <c r="GV1220" i="1"/>
  <c r="GX1220" i="1"/>
  <c r="HC1220" i="1"/>
  <c r="I1221" i="1"/>
  <c r="P1221" i="1" s="1"/>
  <c r="R1221" i="1"/>
  <c r="GK1221" i="1" s="1"/>
  <c r="AC1221" i="1"/>
  <c r="AD1221" i="1"/>
  <c r="AE1221" i="1"/>
  <c r="AF1221" i="1"/>
  <c r="AB1221" i="1" s="1"/>
  <c r="AG1221" i="1"/>
  <c r="AH1221" i="1"/>
  <c r="CV1221" i="1" s="1"/>
  <c r="U1221" i="1" s="1"/>
  <c r="AI1221" i="1"/>
  <c r="AJ1221" i="1"/>
  <c r="CX1221" i="1" s="1"/>
  <c r="W1221" i="1" s="1"/>
  <c r="CQ1221" i="1"/>
  <c r="CR1221" i="1"/>
  <c r="CS1221" i="1"/>
  <c r="CU1221" i="1"/>
  <c r="T1221" i="1" s="1"/>
  <c r="CW1221" i="1"/>
  <c r="V1221" i="1" s="1"/>
  <c r="FR1221" i="1"/>
  <c r="GL1221" i="1"/>
  <c r="GO1221" i="1"/>
  <c r="GP1221" i="1"/>
  <c r="GV1221" i="1"/>
  <c r="HC1221" i="1" s="1"/>
  <c r="GX1221" i="1" s="1"/>
  <c r="B1223" i="1"/>
  <c r="B1188" i="1" s="1"/>
  <c r="C1223" i="1"/>
  <c r="C1188" i="1" s="1"/>
  <c r="D1223" i="1"/>
  <c r="D1188" i="1" s="1"/>
  <c r="F1223" i="1"/>
  <c r="F1188" i="1" s="1"/>
  <c r="G1223" i="1"/>
  <c r="G1188" i="1" s="1"/>
  <c r="BX1223" i="1"/>
  <c r="BX1188" i="1" s="1"/>
  <c r="CC1223" i="1"/>
  <c r="CC1188" i="1" s="1"/>
  <c r="CK1223" i="1"/>
  <c r="BB1223" i="1" s="1"/>
  <c r="CL1223" i="1"/>
  <c r="CL1188" i="1" s="1"/>
  <c r="CM1223" i="1"/>
  <c r="CM1188" i="1" s="1"/>
  <c r="FP1223" i="1"/>
  <c r="FP1188" i="1" s="1"/>
  <c r="FQ1223" i="1"/>
  <c r="GA1223" i="1" s="1"/>
  <c r="FU1223" i="1"/>
  <c r="FU1188" i="1" s="1"/>
  <c r="GC1223" i="1"/>
  <c r="GC1188" i="1" s="1"/>
  <c r="GD1223" i="1"/>
  <c r="GD1188" i="1" s="1"/>
  <c r="GE1223" i="1"/>
  <c r="EV1223" i="1" s="1"/>
  <c r="D1253" i="1"/>
  <c r="D1255" i="1"/>
  <c r="E1255" i="1"/>
  <c r="F1255" i="1"/>
  <c r="Z1255" i="1"/>
  <c r="AA1255" i="1"/>
  <c r="AM1255" i="1"/>
  <c r="AN1255" i="1"/>
  <c r="BE1255" i="1"/>
  <c r="BF1255" i="1"/>
  <c r="BG1255" i="1"/>
  <c r="BH1255" i="1"/>
  <c r="BI1255" i="1"/>
  <c r="BJ1255" i="1"/>
  <c r="BK1255" i="1"/>
  <c r="BL1255" i="1"/>
  <c r="BM1255" i="1"/>
  <c r="BN1255" i="1"/>
  <c r="BO1255" i="1"/>
  <c r="BP1255" i="1"/>
  <c r="BQ1255" i="1"/>
  <c r="BR1255" i="1"/>
  <c r="BS1255" i="1"/>
  <c r="BT1255" i="1"/>
  <c r="BU1255" i="1"/>
  <c r="BV1255" i="1"/>
  <c r="BW1255" i="1"/>
  <c r="CM1255" i="1"/>
  <c r="CN1255" i="1"/>
  <c r="CO1255" i="1"/>
  <c r="CP1255" i="1"/>
  <c r="CQ1255" i="1"/>
  <c r="CR1255" i="1"/>
  <c r="CS1255" i="1"/>
  <c r="CT1255" i="1"/>
  <c r="CU1255" i="1"/>
  <c r="CV1255" i="1"/>
  <c r="CW1255" i="1"/>
  <c r="CX1255" i="1"/>
  <c r="CY1255" i="1"/>
  <c r="CZ1255" i="1"/>
  <c r="DA1255" i="1"/>
  <c r="DB1255" i="1"/>
  <c r="DC1255" i="1"/>
  <c r="DD1255" i="1"/>
  <c r="DE1255" i="1"/>
  <c r="DF1255" i="1"/>
  <c r="DR1255" i="1"/>
  <c r="DS1255" i="1"/>
  <c r="EE1255" i="1"/>
  <c r="EF1255" i="1"/>
  <c r="EW1255" i="1"/>
  <c r="EX1255" i="1"/>
  <c r="EY1255" i="1"/>
  <c r="EZ1255" i="1"/>
  <c r="FA1255" i="1"/>
  <c r="FB1255" i="1"/>
  <c r="FC1255" i="1"/>
  <c r="FD1255" i="1"/>
  <c r="FE1255" i="1"/>
  <c r="FF1255" i="1"/>
  <c r="FG1255" i="1"/>
  <c r="FH1255" i="1"/>
  <c r="FI1255" i="1"/>
  <c r="FJ1255" i="1"/>
  <c r="FK1255" i="1"/>
  <c r="FL1255" i="1"/>
  <c r="FM1255" i="1"/>
  <c r="FN1255" i="1"/>
  <c r="FO1255" i="1"/>
  <c r="GF1255" i="1"/>
  <c r="GG1255" i="1"/>
  <c r="GH1255" i="1"/>
  <c r="GI1255" i="1"/>
  <c r="GJ1255" i="1"/>
  <c r="GK1255" i="1"/>
  <c r="GL1255" i="1"/>
  <c r="GM1255" i="1"/>
  <c r="GN1255" i="1"/>
  <c r="GO1255" i="1"/>
  <c r="GP1255" i="1"/>
  <c r="GQ1255" i="1"/>
  <c r="GR1255" i="1"/>
  <c r="GS1255" i="1"/>
  <c r="GT1255" i="1"/>
  <c r="GU1255" i="1"/>
  <c r="GV1255" i="1"/>
  <c r="GW1255" i="1"/>
  <c r="GX1255" i="1"/>
  <c r="C1257" i="1"/>
  <c r="D1257" i="1"/>
  <c r="S1257" i="1"/>
  <c r="CY1257" i="1" s="1"/>
  <c r="X1257" i="1" s="1"/>
  <c r="AC1257" i="1"/>
  <c r="P1257" i="1" s="1"/>
  <c r="AE1257" i="1"/>
  <c r="AD1257" i="1" s="1"/>
  <c r="AF1257" i="1"/>
  <c r="AG1257" i="1"/>
  <c r="CU1257" i="1" s="1"/>
  <c r="T1257" i="1" s="1"/>
  <c r="AH1257" i="1"/>
  <c r="AI1257" i="1"/>
  <c r="CW1257" i="1" s="1"/>
  <c r="V1257" i="1" s="1"/>
  <c r="AJ1257" i="1"/>
  <c r="CR1257" i="1"/>
  <c r="CT1257" i="1"/>
  <c r="CV1257" i="1"/>
  <c r="U1257" i="1" s="1"/>
  <c r="CX1257" i="1"/>
  <c r="W1257" i="1" s="1"/>
  <c r="CZ1257" i="1"/>
  <c r="Y1257" i="1" s="1"/>
  <c r="FR1257" i="1"/>
  <c r="GL1257" i="1"/>
  <c r="GO1257" i="1"/>
  <c r="GP1257" i="1"/>
  <c r="GV1257" i="1"/>
  <c r="HC1257" i="1" s="1"/>
  <c r="GX1257" i="1" s="1"/>
  <c r="C1258" i="1"/>
  <c r="D1258" i="1"/>
  <c r="P1258" i="1"/>
  <c r="R1258" i="1"/>
  <c r="GK1258" i="1" s="1"/>
  <c r="AC1258" i="1"/>
  <c r="AD1258" i="1"/>
  <c r="AE1258" i="1"/>
  <c r="Q1258" i="1" s="1"/>
  <c r="AF1258" i="1"/>
  <c r="AB1258" i="1" s="1"/>
  <c r="AG1258" i="1"/>
  <c r="AH1258" i="1"/>
  <c r="CV1258" i="1" s="1"/>
  <c r="U1258" i="1" s="1"/>
  <c r="AI1258" i="1"/>
  <c r="AJ1258" i="1"/>
  <c r="CX1258" i="1" s="1"/>
  <c r="W1258" i="1" s="1"/>
  <c r="CQ1258" i="1"/>
  <c r="CR1258" i="1"/>
  <c r="CS1258" i="1"/>
  <c r="CU1258" i="1"/>
  <c r="T1258" i="1" s="1"/>
  <c r="CW1258" i="1"/>
  <c r="V1258" i="1" s="1"/>
  <c r="FR1258" i="1"/>
  <c r="FQ1264" i="1" s="1"/>
  <c r="GL1258" i="1"/>
  <c r="FR1264" i="1" s="1"/>
  <c r="GO1258" i="1"/>
  <c r="GP1258" i="1"/>
  <c r="GV1258" i="1"/>
  <c r="HC1258" i="1" s="1"/>
  <c r="GX1258" i="1" s="1"/>
  <c r="C1259" i="1"/>
  <c r="D1259" i="1"/>
  <c r="S1259" i="1"/>
  <c r="CZ1259" i="1" s="1"/>
  <c r="Y1259" i="1" s="1"/>
  <c r="AC1259" i="1"/>
  <c r="AE1259" i="1"/>
  <c r="Q1259" i="1" s="1"/>
  <c r="AF1259" i="1"/>
  <c r="AG1259" i="1"/>
  <c r="CU1259" i="1" s="1"/>
  <c r="T1259" i="1" s="1"/>
  <c r="AH1259" i="1"/>
  <c r="AI1259" i="1"/>
  <c r="CW1259" i="1" s="1"/>
  <c r="V1259" i="1" s="1"/>
  <c r="AJ1259" i="1"/>
  <c r="CR1259" i="1"/>
  <c r="CT1259" i="1"/>
  <c r="CV1259" i="1"/>
  <c r="U1259" i="1" s="1"/>
  <c r="CX1259" i="1"/>
  <c r="W1259" i="1" s="1"/>
  <c r="FR1259" i="1"/>
  <c r="GL1259" i="1"/>
  <c r="BZ1264" i="1" s="1"/>
  <c r="GN1259" i="1"/>
  <c r="GO1259" i="1"/>
  <c r="GV1259" i="1"/>
  <c r="GX1259" i="1"/>
  <c r="HC1259" i="1"/>
  <c r="C1260" i="1"/>
  <c r="D1260" i="1"/>
  <c r="S1260" i="1"/>
  <c r="CY1260" i="1" s="1"/>
  <c r="X1260" i="1" s="1"/>
  <c r="AC1260" i="1"/>
  <c r="P1260" i="1" s="1"/>
  <c r="AE1260" i="1"/>
  <c r="AD1260" i="1" s="1"/>
  <c r="AF1260" i="1"/>
  <c r="AG1260" i="1"/>
  <c r="CU1260" i="1" s="1"/>
  <c r="T1260" i="1" s="1"/>
  <c r="AH1260" i="1"/>
  <c r="AI1260" i="1"/>
  <c r="CW1260" i="1" s="1"/>
  <c r="V1260" i="1" s="1"/>
  <c r="AJ1260" i="1"/>
  <c r="CR1260" i="1"/>
  <c r="CT1260" i="1"/>
  <c r="CV1260" i="1"/>
  <c r="U1260" i="1" s="1"/>
  <c r="CX1260" i="1"/>
  <c r="W1260" i="1" s="1"/>
  <c r="CZ1260" i="1"/>
  <c r="Y1260" i="1" s="1"/>
  <c r="FR1260" i="1"/>
  <c r="GL1260" i="1"/>
  <c r="GN1260" i="1"/>
  <c r="GO1260" i="1"/>
  <c r="GV1260" i="1"/>
  <c r="HC1260" i="1" s="1"/>
  <c r="GX1260" i="1" s="1"/>
  <c r="C1261" i="1"/>
  <c r="D1261" i="1"/>
  <c r="P1261" i="1"/>
  <c r="R1261" i="1"/>
  <c r="AC1261" i="1"/>
  <c r="AD1261" i="1"/>
  <c r="AE1261" i="1"/>
  <c r="Q1261" i="1" s="1"/>
  <c r="AF1261" i="1"/>
  <c r="AB1261" i="1" s="1"/>
  <c r="AG1261" i="1"/>
  <c r="AH1261" i="1"/>
  <c r="CV1261" i="1" s="1"/>
  <c r="U1261" i="1" s="1"/>
  <c r="AI1261" i="1"/>
  <c r="AJ1261" i="1"/>
  <c r="CX1261" i="1" s="1"/>
  <c r="W1261" i="1" s="1"/>
  <c r="CQ1261" i="1"/>
  <c r="CR1261" i="1"/>
  <c r="CS1261" i="1"/>
  <c r="CU1261" i="1"/>
  <c r="T1261" i="1" s="1"/>
  <c r="CW1261" i="1"/>
  <c r="V1261" i="1" s="1"/>
  <c r="FR1261" i="1"/>
  <c r="GL1261" i="1"/>
  <c r="GN1261" i="1"/>
  <c r="GO1261" i="1"/>
  <c r="GV1261" i="1"/>
  <c r="HC1261" i="1"/>
  <c r="GX1261" i="1" s="1"/>
  <c r="C1262" i="1"/>
  <c r="D1262" i="1"/>
  <c r="P1262" i="1"/>
  <c r="R1262" i="1"/>
  <c r="GK1262" i="1" s="1"/>
  <c r="AC1262" i="1"/>
  <c r="AD1262" i="1"/>
  <c r="AB1262" i="1" s="1"/>
  <c r="AE1262" i="1"/>
  <c r="Q1262" i="1" s="1"/>
  <c r="AF1262" i="1"/>
  <c r="S1262" i="1" s="1"/>
  <c r="AG1262" i="1"/>
  <c r="AH1262" i="1"/>
  <c r="CV1262" i="1" s="1"/>
  <c r="U1262" i="1" s="1"/>
  <c r="AI1262" i="1"/>
  <c r="AJ1262" i="1"/>
  <c r="CX1262" i="1" s="1"/>
  <c r="W1262" i="1" s="1"/>
  <c r="CQ1262" i="1"/>
  <c r="CR1262" i="1"/>
  <c r="CS1262" i="1"/>
  <c r="CU1262" i="1"/>
  <c r="T1262" i="1" s="1"/>
  <c r="CW1262" i="1"/>
  <c r="V1262" i="1" s="1"/>
  <c r="FR1262" i="1"/>
  <c r="GL1262" i="1"/>
  <c r="GN1262" i="1"/>
  <c r="GO1262" i="1"/>
  <c r="GV1262" i="1"/>
  <c r="GX1262" i="1"/>
  <c r="HC1262" i="1"/>
  <c r="B1264" i="1"/>
  <c r="B1255" i="1" s="1"/>
  <c r="C1264" i="1"/>
  <c r="C1255" i="1" s="1"/>
  <c r="D1264" i="1"/>
  <c r="F1264" i="1"/>
  <c r="G1264" i="1"/>
  <c r="G1255" i="1" s="1"/>
  <c r="BX1264" i="1"/>
  <c r="AO1264" i="1" s="1"/>
  <c r="BY1264" i="1"/>
  <c r="BY1255" i="1" s="1"/>
  <c r="CC1264" i="1"/>
  <c r="CC1255" i="1" s="1"/>
  <c r="CK1264" i="1"/>
  <c r="CK1255" i="1" s="1"/>
  <c r="CL1264" i="1"/>
  <c r="CL1255" i="1" s="1"/>
  <c r="CM1264" i="1"/>
  <c r="BD1264" i="1" s="1"/>
  <c r="FP1264" i="1"/>
  <c r="FP1255" i="1" s="1"/>
  <c r="FU1264" i="1"/>
  <c r="FU1255" i="1" s="1"/>
  <c r="GC1264" i="1"/>
  <c r="GC1255" i="1" s="1"/>
  <c r="GD1264" i="1"/>
  <c r="GD1255" i="1" s="1"/>
  <c r="GE1264" i="1"/>
  <c r="GE1255" i="1" s="1"/>
  <c r="B1294" i="1"/>
  <c r="B993" i="1" s="1"/>
  <c r="C1294" i="1"/>
  <c r="C993" i="1" s="1"/>
  <c r="D1294" i="1"/>
  <c r="D993" i="1" s="1"/>
  <c r="F1294" i="1"/>
  <c r="F993" i="1" s="1"/>
  <c r="G1294" i="1"/>
  <c r="G993" i="1" s="1"/>
  <c r="D1324" i="1"/>
  <c r="E1326" i="1"/>
  <c r="Z1326" i="1"/>
  <c r="AA1326" i="1"/>
  <c r="AB1326" i="1"/>
  <c r="AC1326" i="1"/>
  <c r="AD1326" i="1"/>
  <c r="AE1326" i="1"/>
  <c r="AF1326" i="1"/>
  <c r="AG1326" i="1"/>
  <c r="AH1326" i="1"/>
  <c r="AI1326" i="1"/>
  <c r="AJ1326" i="1"/>
  <c r="AK1326" i="1"/>
  <c r="AL1326" i="1"/>
  <c r="AM1326" i="1"/>
  <c r="AN1326" i="1"/>
  <c r="BE1326" i="1"/>
  <c r="BF1326" i="1"/>
  <c r="BG1326" i="1"/>
  <c r="BH1326" i="1"/>
  <c r="BI1326" i="1"/>
  <c r="BJ1326" i="1"/>
  <c r="BK1326" i="1"/>
  <c r="BL1326" i="1"/>
  <c r="BM1326" i="1"/>
  <c r="BN1326" i="1"/>
  <c r="BO1326" i="1"/>
  <c r="BP1326" i="1"/>
  <c r="BQ1326" i="1"/>
  <c r="BR1326" i="1"/>
  <c r="BS1326" i="1"/>
  <c r="BT1326" i="1"/>
  <c r="BU1326" i="1"/>
  <c r="BV1326" i="1"/>
  <c r="BW1326" i="1"/>
  <c r="BX1326" i="1"/>
  <c r="BY1326" i="1"/>
  <c r="BZ1326" i="1"/>
  <c r="CA1326" i="1"/>
  <c r="CB1326" i="1"/>
  <c r="CC1326" i="1"/>
  <c r="CD1326" i="1"/>
  <c r="CE1326" i="1"/>
  <c r="CF1326" i="1"/>
  <c r="CG1326" i="1"/>
  <c r="CH1326" i="1"/>
  <c r="CI1326" i="1"/>
  <c r="CJ1326" i="1"/>
  <c r="CK1326" i="1"/>
  <c r="CL1326" i="1"/>
  <c r="CM1326" i="1"/>
  <c r="CN1326" i="1"/>
  <c r="CO1326" i="1"/>
  <c r="CP1326" i="1"/>
  <c r="CQ1326" i="1"/>
  <c r="CR1326" i="1"/>
  <c r="CS1326" i="1"/>
  <c r="CT1326" i="1"/>
  <c r="CU1326" i="1"/>
  <c r="CV1326" i="1"/>
  <c r="CW1326" i="1"/>
  <c r="CX1326" i="1"/>
  <c r="CY1326" i="1"/>
  <c r="CZ1326" i="1"/>
  <c r="DA1326" i="1"/>
  <c r="DB1326" i="1"/>
  <c r="DC1326" i="1"/>
  <c r="DD1326" i="1"/>
  <c r="DE1326" i="1"/>
  <c r="DF1326" i="1"/>
  <c r="DR1326" i="1"/>
  <c r="DS1326" i="1"/>
  <c r="DT1326" i="1"/>
  <c r="DU1326" i="1"/>
  <c r="DV1326" i="1"/>
  <c r="DW1326" i="1"/>
  <c r="DX1326" i="1"/>
  <c r="DY1326" i="1"/>
  <c r="DZ1326" i="1"/>
  <c r="EA1326" i="1"/>
  <c r="EB1326" i="1"/>
  <c r="EC1326" i="1"/>
  <c r="ED1326" i="1"/>
  <c r="EE1326" i="1"/>
  <c r="EF1326" i="1"/>
  <c r="EW1326" i="1"/>
  <c r="EX1326" i="1"/>
  <c r="EY1326" i="1"/>
  <c r="EZ1326" i="1"/>
  <c r="FA1326" i="1"/>
  <c r="FB1326" i="1"/>
  <c r="FC1326" i="1"/>
  <c r="FD1326" i="1"/>
  <c r="FE1326" i="1"/>
  <c r="FF1326" i="1"/>
  <c r="FG1326" i="1"/>
  <c r="FH1326" i="1"/>
  <c r="FI1326" i="1"/>
  <c r="FJ1326" i="1"/>
  <c r="FK1326" i="1"/>
  <c r="FL1326" i="1"/>
  <c r="FM1326" i="1"/>
  <c r="FN1326" i="1"/>
  <c r="FO1326" i="1"/>
  <c r="FP1326" i="1"/>
  <c r="FQ1326" i="1"/>
  <c r="FR1326" i="1"/>
  <c r="FS1326" i="1"/>
  <c r="FT1326" i="1"/>
  <c r="FU1326" i="1"/>
  <c r="FV1326" i="1"/>
  <c r="FW1326" i="1"/>
  <c r="FX1326" i="1"/>
  <c r="FY1326" i="1"/>
  <c r="FZ1326" i="1"/>
  <c r="GA1326" i="1"/>
  <c r="GB1326" i="1"/>
  <c r="GC1326" i="1"/>
  <c r="GD1326" i="1"/>
  <c r="GE1326" i="1"/>
  <c r="GF1326" i="1"/>
  <c r="GG1326" i="1"/>
  <c r="GH1326" i="1"/>
  <c r="GI1326" i="1"/>
  <c r="GJ1326" i="1"/>
  <c r="GK1326" i="1"/>
  <c r="GL1326" i="1"/>
  <c r="GM1326" i="1"/>
  <c r="GN1326" i="1"/>
  <c r="GO1326" i="1"/>
  <c r="GP1326" i="1"/>
  <c r="GQ1326" i="1"/>
  <c r="GR1326" i="1"/>
  <c r="GS1326" i="1"/>
  <c r="GT1326" i="1"/>
  <c r="GU1326" i="1"/>
  <c r="GV1326" i="1"/>
  <c r="GW1326" i="1"/>
  <c r="GX1326" i="1"/>
  <c r="D1328" i="1"/>
  <c r="E1330" i="1"/>
  <c r="Z1330" i="1"/>
  <c r="AA1330" i="1"/>
  <c r="AM1330" i="1"/>
  <c r="AN1330" i="1"/>
  <c r="BE1330" i="1"/>
  <c r="BF1330" i="1"/>
  <c r="BG1330" i="1"/>
  <c r="BH1330" i="1"/>
  <c r="BI1330" i="1"/>
  <c r="BJ1330" i="1"/>
  <c r="BK1330" i="1"/>
  <c r="BL1330" i="1"/>
  <c r="BM1330" i="1"/>
  <c r="BN1330" i="1"/>
  <c r="BO1330" i="1"/>
  <c r="BP1330" i="1"/>
  <c r="BQ1330" i="1"/>
  <c r="BR1330" i="1"/>
  <c r="BS1330" i="1"/>
  <c r="BT1330" i="1"/>
  <c r="BU1330" i="1"/>
  <c r="BV1330" i="1"/>
  <c r="BW1330" i="1"/>
  <c r="CN1330" i="1"/>
  <c r="CO1330" i="1"/>
  <c r="CP1330" i="1"/>
  <c r="CQ1330" i="1"/>
  <c r="CR1330" i="1"/>
  <c r="CS1330" i="1"/>
  <c r="CT1330" i="1"/>
  <c r="CU1330" i="1"/>
  <c r="CV1330" i="1"/>
  <c r="CW1330" i="1"/>
  <c r="CX1330" i="1"/>
  <c r="CY1330" i="1"/>
  <c r="CZ1330" i="1"/>
  <c r="DA1330" i="1"/>
  <c r="DB1330" i="1"/>
  <c r="DC1330" i="1"/>
  <c r="DD1330" i="1"/>
  <c r="DE1330" i="1"/>
  <c r="DF1330" i="1"/>
  <c r="DR1330" i="1"/>
  <c r="DS1330" i="1"/>
  <c r="EE1330" i="1"/>
  <c r="EF1330" i="1"/>
  <c r="EW1330" i="1"/>
  <c r="EX1330" i="1"/>
  <c r="EY1330" i="1"/>
  <c r="EZ1330" i="1"/>
  <c r="FA1330" i="1"/>
  <c r="FB1330" i="1"/>
  <c r="FC1330" i="1"/>
  <c r="FD1330" i="1"/>
  <c r="FE1330" i="1"/>
  <c r="FF1330" i="1"/>
  <c r="FG1330" i="1"/>
  <c r="FH1330" i="1"/>
  <c r="FI1330" i="1"/>
  <c r="FJ1330" i="1"/>
  <c r="FK1330" i="1"/>
  <c r="FL1330" i="1"/>
  <c r="FM1330" i="1"/>
  <c r="FN1330" i="1"/>
  <c r="FO1330" i="1"/>
  <c r="GF1330" i="1"/>
  <c r="GG1330" i="1"/>
  <c r="GH1330" i="1"/>
  <c r="GI1330" i="1"/>
  <c r="GJ1330" i="1"/>
  <c r="GK1330" i="1"/>
  <c r="GL1330" i="1"/>
  <c r="GM1330" i="1"/>
  <c r="GN1330" i="1"/>
  <c r="GO1330" i="1"/>
  <c r="GP1330" i="1"/>
  <c r="GQ1330" i="1"/>
  <c r="GR1330" i="1"/>
  <c r="GS1330" i="1"/>
  <c r="GT1330" i="1"/>
  <c r="GU1330" i="1"/>
  <c r="GV1330" i="1"/>
  <c r="GW1330" i="1"/>
  <c r="GX1330" i="1"/>
  <c r="C1332" i="1"/>
  <c r="D1332" i="1"/>
  <c r="S1332" i="1"/>
  <c r="CZ1332" i="1" s="1"/>
  <c r="Y1332" i="1" s="1"/>
  <c r="AC1332" i="1"/>
  <c r="AE1332" i="1"/>
  <c r="Q1332" i="1" s="1"/>
  <c r="AF1332" i="1"/>
  <c r="AG1332" i="1"/>
  <c r="CU1332" i="1" s="1"/>
  <c r="T1332" i="1" s="1"/>
  <c r="AH1332" i="1"/>
  <c r="AI1332" i="1"/>
  <c r="CW1332" i="1" s="1"/>
  <c r="V1332" i="1" s="1"/>
  <c r="AJ1332" i="1"/>
  <c r="CR1332" i="1"/>
  <c r="CT1332" i="1"/>
  <c r="CV1332" i="1"/>
  <c r="U1332" i="1" s="1"/>
  <c r="CX1332" i="1"/>
  <c r="W1332" i="1" s="1"/>
  <c r="FR1332" i="1"/>
  <c r="GL1332" i="1"/>
  <c r="GO1332" i="1"/>
  <c r="GP1332" i="1"/>
  <c r="GV1332" i="1"/>
  <c r="HC1332" i="1"/>
  <c r="GX1332" i="1" s="1"/>
  <c r="C1333" i="1"/>
  <c r="D1333" i="1"/>
  <c r="P1333" i="1"/>
  <c r="R1333" i="1"/>
  <c r="GK1333" i="1" s="1"/>
  <c r="AC1333" i="1"/>
  <c r="AD1333" i="1"/>
  <c r="AB1333" i="1" s="1"/>
  <c r="AE1333" i="1"/>
  <c r="Q1333" i="1" s="1"/>
  <c r="AF1333" i="1"/>
  <c r="S1333" i="1" s="1"/>
  <c r="AG1333" i="1"/>
  <c r="AH1333" i="1"/>
  <c r="CV1333" i="1" s="1"/>
  <c r="U1333" i="1" s="1"/>
  <c r="AI1333" i="1"/>
  <c r="AJ1333" i="1"/>
  <c r="CX1333" i="1" s="1"/>
  <c r="W1333" i="1" s="1"/>
  <c r="CQ1333" i="1"/>
  <c r="CR1333" i="1"/>
  <c r="CS1333" i="1"/>
  <c r="CU1333" i="1"/>
  <c r="T1333" i="1" s="1"/>
  <c r="CW1333" i="1"/>
  <c r="V1333" i="1" s="1"/>
  <c r="FR1333" i="1"/>
  <c r="GL1333" i="1"/>
  <c r="GO1333" i="1"/>
  <c r="GP1333" i="1"/>
  <c r="GV1333" i="1"/>
  <c r="GX1333" i="1"/>
  <c r="HC1333" i="1"/>
  <c r="I1334" i="1"/>
  <c r="P1334" i="1" s="1"/>
  <c r="R1334" i="1"/>
  <c r="GK1334" i="1" s="1"/>
  <c r="AC1334" i="1"/>
  <c r="AD1334" i="1"/>
  <c r="AE1334" i="1"/>
  <c r="AF1334" i="1"/>
  <c r="AB1334" i="1" s="1"/>
  <c r="AG1334" i="1"/>
  <c r="AH1334" i="1"/>
  <c r="CV1334" i="1" s="1"/>
  <c r="U1334" i="1" s="1"/>
  <c r="AI1334" i="1"/>
  <c r="AJ1334" i="1"/>
  <c r="CX1334" i="1" s="1"/>
  <c r="W1334" i="1" s="1"/>
  <c r="CQ1334" i="1"/>
  <c r="CR1334" i="1"/>
  <c r="CS1334" i="1"/>
  <c r="CU1334" i="1"/>
  <c r="T1334" i="1" s="1"/>
  <c r="CW1334" i="1"/>
  <c r="V1334" i="1" s="1"/>
  <c r="FR1334" i="1"/>
  <c r="GL1334" i="1"/>
  <c r="GO1334" i="1"/>
  <c r="GP1334" i="1"/>
  <c r="GV1334" i="1"/>
  <c r="HC1334" i="1" s="1"/>
  <c r="GX1334" i="1" s="1"/>
  <c r="I1335" i="1"/>
  <c r="Q1335" i="1" s="1"/>
  <c r="P1335" i="1"/>
  <c r="R1335" i="1"/>
  <c r="GK1335" i="1" s="1"/>
  <c r="AC1335" i="1"/>
  <c r="AD1335" i="1"/>
  <c r="AB1335" i="1" s="1"/>
  <c r="AE1335" i="1"/>
  <c r="AF1335" i="1"/>
  <c r="S1335" i="1" s="1"/>
  <c r="AG1335" i="1"/>
  <c r="AH1335" i="1"/>
  <c r="CV1335" i="1" s="1"/>
  <c r="U1335" i="1" s="1"/>
  <c r="AI1335" i="1"/>
  <c r="AJ1335" i="1"/>
  <c r="CX1335" i="1" s="1"/>
  <c r="W1335" i="1" s="1"/>
  <c r="CQ1335" i="1"/>
  <c r="CR1335" i="1"/>
  <c r="CS1335" i="1"/>
  <c r="CU1335" i="1"/>
  <c r="T1335" i="1" s="1"/>
  <c r="CW1335" i="1"/>
  <c r="V1335" i="1" s="1"/>
  <c r="FR1335" i="1"/>
  <c r="GL1335" i="1"/>
  <c r="FR1357" i="1" s="1"/>
  <c r="GO1335" i="1"/>
  <c r="GP1335" i="1"/>
  <c r="FV1357" i="1" s="1"/>
  <c r="GV1335" i="1"/>
  <c r="GX1335" i="1"/>
  <c r="HC1335" i="1"/>
  <c r="I1336" i="1"/>
  <c r="P1336" i="1" s="1"/>
  <c r="R1336" i="1"/>
  <c r="GK1336" i="1" s="1"/>
  <c r="AC1336" i="1"/>
  <c r="AD1336" i="1"/>
  <c r="AE1336" i="1"/>
  <c r="AF1336" i="1"/>
  <c r="AB1336" i="1" s="1"/>
  <c r="AG1336" i="1"/>
  <c r="AH1336" i="1"/>
  <c r="CV1336" i="1" s="1"/>
  <c r="U1336" i="1" s="1"/>
  <c r="AI1336" i="1"/>
  <c r="AJ1336" i="1"/>
  <c r="CX1336" i="1" s="1"/>
  <c r="W1336" i="1" s="1"/>
  <c r="CQ1336" i="1"/>
  <c r="CR1336" i="1"/>
  <c r="CS1336" i="1"/>
  <c r="CU1336" i="1"/>
  <c r="T1336" i="1" s="1"/>
  <c r="CW1336" i="1"/>
  <c r="V1336" i="1" s="1"/>
  <c r="FR1336" i="1"/>
  <c r="GL1336" i="1"/>
  <c r="GO1336" i="1"/>
  <c r="GP1336" i="1"/>
  <c r="GV1336" i="1"/>
  <c r="HC1336" i="1" s="1"/>
  <c r="GX1336" i="1" s="1"/>
  <c r="I1337" i="1"/>
  <c r="Q1337" i="1" s="1"/>
  <c r="P1337" i="1"/>
  <c r="CP1337" i="1" s="1"/>
  <c r="O1337" i="1" s="1"/>
  <c r="R1337" i="1"/>
  <c r="GK1337" i="1" s="1"/>
  <c r="AC1337" i="1"/>
  <c r="AD1337" i="1"/>
  <c r="AB1337" i="1" s="1"/>
  <c r="AE1337" i="1"/>
  <c r="AF1337" i="1"/>
  <c r="S1337" i="1" s="1"/>
  <c r="AG1337" i="1"/>
  <c r="AH1337" i="1"/>
  <c r="CV1337" i="1" s="1"/>
  <c r="U1337" i="1" s="1"/>
  <c r="AI1337" i="1"/>
  <c r="AJ1337" i="1"/>
  <c r="CX1337" i="1" s="1"/>
  <c r="W1337" i="1" s="1"/>
  <c r="CQ1337" i="1"/>
  <c r="CR1337" i="1"/>
  <c r="CS1337" i="1"/>
  <c r="CU1337" i="1"/>
  <c r="T1337" i="1" s="1"/>
  <c r="CW1337" i="1"/>
  <c r="V1337" i="1" s="1"/>
  <c r="FR1337" i="1"/>
  <c r="GL1337" i="1"/>
  <c r="GO1337" i="1"/>
  <c r="GP1337" i="1"/>
  <c r="GV1337" i="1"/>
  <c r="GX1337" i="1"/>
  <c r="HC1337" i="1"/>
  <c r="C1338" i="1"/>
  <c r="D1338" i="1"/>
  <c r="S1338" i="1"/>
  <c r="CY1338" i="1" s="1"/>
  <c r="X1338" i="1" s="1"/>
  <c r="AC1338" i="1"/>
  <c r="P1338" i="1" s="1"/>
  <c r="AE1338" i="1"/>
  <c r="AD1338" i="1" s="1"/>
  <c r="AF1338" i="1"/>
  <c r="AG1338" i="1"/>
  <c r="CU1338" i="1" s="1"/>
  <c r="T1338" i="1" s="1"/>
  <c r="AH1338" i="1"/>
  <c r="AI1338" i="1"/>
  <c r="CW1338" i="1" s="1"/>
  <c r="V1338" i="1" s="1"/>
  <c r="AJ1338" i="1"/>
  <c r="CR1338" i="1"/>
  <c r="CT1338" i="1"/>
  <c r="CV1338" i="1"/>
  <c r="U1338" i="1" s="1"/>
  <c r="CX1338" i="1"/>
  <c r="W1338" i="1" s="1"/>
  <c r="CZ1338" i="1"/>
  <c r="Y1338" i="1" s="1"/>
  <c r="FR1338" i="1"/>
  <c r="GL1338" i="1"/>
  <c r="GO1338" i="1"/>
  <c r="GP1338" i="1"/>
  <c r="GV1338" i="1"/>
  <c r="HC1338" i="1" s="1"/>
  <c r="GX1338" i="1" s="1"/>
  <c r="C1339" i="1"/>
  <c r="D1339" i="1"/>
  <c r="P1339" i="1"/>
  <c r="R1339" i="1"/>
  <c r="GK1339" i="1" s="1"/>
  <c r="AC1339" i="1"/>
  <c r="AD1339" i="1"/>
  <c r="AE1339" i="1"/>
  <c r="Q1339" i="1" s="1"/>
  <c r="AF1339" i="1"/>
  <c r="AB1339" i="1" s="1"/>
  <c r="AG1339" i="1"/>
  <c r="AH1339" i="1"/>
  <c r="CV1339" i="1" s="1"/>
  <c r="U1339" i="1" s="1"/>
  <c r="AI1339" i="1"/>
  <c r="AJ1339" i="1"/>
  <c r="CX1339" i="1" s="1"/>
  <c r="W1339" i="1" s="1"/>
  <c r="CQ1339" i="1"/>
  <c r="CR1339" i="1"/>
  <c r="CS1339" i="1"/>
  <c r="CU1339" i="1"/>
  <c r="T1339" i="1" s="1"/>
  <c r="CW1339" i="1"/>
  <c r="V1339" i="1" s="1"/>
  <c r="FR1339" i="1"/>
  <c r="GL1339" i="1"/>
  <c r="GO1339" i="1"/>
  <c r="GP1339" i="1"/>
  <c r="GV1339" i="1"/>
  <c r="HC1339" i="1" s="1"/>
  <c r="GX1339" i="1" s="1"/>
  <c r="I1340" i="1"/>
  <c r="Q1340" i="1" s="1"/>
  <c r="P1340" i="1"/>
  <c r="R1340" i="1"/>
  <c r="GK1340" i="1" s="1"/>
  <c r="AC1340" i="1"/>
  <c r="AD1340" i="1"/>
  <c r="AB1340" i="1" s="1"/>
  <c r="AE1340" i="1"/>
  <c r="AF1340" i="1"/>
  <c r="S1340" i="1" s="1"/>
  <c r="AG1340" i="1"/>
  <c r="AH1340" i="1"/>
  <c r="CV1340" i="1" s="1"/>
  <c r="U1340" i="1" s="1"/>
  <c r="AI1340" i="1"/>
  <c r="AJ1340" i="1"/>
  <c r="CX1340" i="1" s="1"/>
  <c r="W1340" i="1" s="1"/>
  <c r="CQ1340" i="1"/>
  <c r="CR1340" i="1"/>
  <c r="CS1340" i="1"/>
  <c r="CU1340" i="1"/>
  <c r="T1340" i="1" s="1"/>
  <c r="CW1340" i="1"/>
  <c r="V1340" i="1" s="1"/>
  <c r="FR1340" i="1"/>
  <c r="GL1340" i="1"/>
  <c r="BZ1357" i="1" s="1"/>
  <c r="GO1340" i="1"/>
  <c r="GP1340" i="1"/>
  <c r="CD1357" i="1" s="1"/>
  <c r="GV1340" i="1"/>
  <c r="GX1340" i="1"/>
  <c r="HC1340" i="1"/>
  <c r="I1341" i="1"/>
  <c r="P1341" i="1" s="1"/>
  <c r="R1341" i="1"/>
  <c r="GK1341" i="1" s="1"/>
  <c r="AC1341" i="1"/>
  <c r="AD1341" i="1"/>
  <c r="AE1341" i="1"/>
  <c r="AF1341" i="1"/>
  <c r="AB1341" i="1" s="1"/>
  <c r="AG1341" i="1"/>
  <c r="AH1341" i="1"/>
  <c r="CV1341" i="1" s="1"/>
  <c r="U1341" i="1" s="1"/>
  <c r="AI1341" i="1"/>
  <c r="AJ1341" i="1"/>
  <c r="CX1341" i="1" s="1"/>
  <c r="W1341" i="1" s="1"/>
  <c r="CQ1341" i="1"/>
  <c r="CR1341" i="1"/>
  <c r="CS1341" i="1"/>
  <c r="CU1341" i="1"/>
  <c r="T1341" i="1" s="1"/>
  <c r="CW1341" i="1"/>
  <c r="V1341" i="1" s="1"/>
  <c r="FR1341" i="1"/>
  <c r="GL1341" i="1"/>
  <c r="GO1341" i="1"/>
  <c r="GP1341" i="1"/>
  <c r="GV1341" i="1"/>
  <c r="HC1341" i="1" s="1"/>
  <c r="GX1341" i="1" s="1"/>
  <c r="I1342" i="1"/>
  <c r="Q1342" i="1" s="1"/>
  <c r="P1342" i="1"/>
  <c r="R1342" i="1"/>
  <c r="GK1342" i="1" s="1"/>
  <c r="AC1342" i="1"/>
  <c r="AD1342" i="1"/>
  <c r="AB1342" i="1" s="1"/>
  <c r="AE1342" i="1"/>
  <c r="AF1342" i="1"/>
  <c r="S1342" i="1" s="1"/>
  <c r="AG1342" i="1"/>
  <c r="AH1342" i="1"/>
  <c r="CV1342" i="1" s="1"/>
  <c r="U1342" i="1" s="1"/>
  <c r="AI1342" i="1"/>
  <c r="AJ1342" i="1"/>
  <c r="CX1342" i="1" s="1"/>
  <c r="W1342" i="1" s="1"/>
  <c r="CQ1342" i="1"/>
  <c r="CR1342" i="1"/>
  <c r="CS1342" i="1"/>
  <c r="CU1342" i="1"/>
  <c r="T1342" i="1" s="1"/>
  <c r="CW1342" i="1"/>
  <c r="V1342" i="1" s="1"/>
  <c r="FR1342" i="1"/>
  <c r="GL1342" i="1"/>
  <c r="GO1342" i="1"/>
  <c r="GP1342" i="1"/>
  <c r="GV1342" i="1"/>
  <c r="GX1342" i="1"/>
  <c r="HC1342" i="1"/>
  <c r="I1343" i="1"/>
  <c r="P1343" i="1" s="1"/>
  <c r="R1343" i="1"/>
  <c r="GK1343" i="1" s="1"/>
  <c r="AC1343" i="1"/>
  <c r="AD1343" i="1"/>
  <c r="AE1343" i="1"/>
  <c r="AF1343" i="1"/>
  <c r="AB1343" i="1" s="1"/>
  <c r="AG1343" i="1"/>
  <c r="AH1343" i="1"/>
  <c r="CV1343" i="1" s="1"/>
  <c r="U1343" i="1" s="1"/>
  <c r="AI1343" i="1"/>
  <c r="AJ1343" i="1"/>
  <c r="CX1343" i="1" s="1"/>
  <c r="W1343" i="1" s="1"/>
  <c r="CQ1343" i="1"/>
  <c r="CR1343" i="1"/>
  <c r="CS1343" i="1"/>
  <c r="CU1343" i="1"/>
  <c r="T1343" i="1" s="1"/>
  <c r="CW1343" i="1"/>
  <c r="V1343" i="1" s="1"/>
  <c r="FR1343" i="1"/>
  <c r="GL1343" i="1"/>
  <c r="GO1343" i="1"/>
  <c r="GP1343" i="1"/>
  <c r="GV1343" i="1"/>
  <c r="HC1343" i="1" s="1"/>
  <c r="GX1343" i="1" s="1"/>
  <c r="I1344" i="1"/>
  <c r="Q1344" i="1" s="1"/>
  <c r="P1344" i="1"/>
  <c r="CP1344" i="1" s="1"/>
  <c r="O1344" i="1" s="1"/>
  <c r="R1344" i="1"/>
  <c r="GK1344" i="1" s="1"/>
  <c r="AC1344" i="1"/>
  <c r="AD1344" i="1"/>
  <c r="AB1344" i="1" s="1"/>
  <c r="AE1344" i="1"/>
  <c r="AF1344" i="1"/>
  <c r="S1344" i="1" s="1"/>
  <c r="AG1344" i="1"/>
  <c r="AH1344" i="1"/>
  <c r="CV1344" i="1" s="1"/>
  <c r="U1344" i="1" s="1"/>
  <c r="AI1344" i="1"/>
  <c r="AJ1344" i="1"/>
  <c r="CX1344" i="1" s="1"/>
  <c r="W1344" i="1" s="1"/>
  <c r="CQ1344" i="1"/>
  <c r="CR1344" i="1"/>
  <c r="CS1344" i="1"/>
  <c r="CU1344" i="1"/>
  <c r="T1344" i="1" s="1"/>
  <c r="CW1344" i="1"/>
  <c r="V1344" i="1" s="1"/>
  <c r="FR1344" i="1"/>
  <c r="GL1344" i="1"/>
  <c r="GO1344" i="1"/>
  <c r="GP1344" i="1"/>
  <c r="GV1344" i="1"/>
  <c r="GX1344" i="1"/>
  <c r="HC1344" i="1"/>
  <c r="I1345" i="1"/>
  <c r="P1345" i="1" s="1"/>
  <c r="R1345" i="1"/>
  <c r="GK1345" i="1" s="1"/>
  <c r="AC1345" i="1"/>
  <c r="AD1345" i="1"/>
  <c r="AE1345" i="1"/>
  <c r="AF1345" i="1"/>
  <c r="AB1345" i="1" s="1"/>
  <c r="AG1345" i="1"/>
  <c r="AH1345" i="1"/>
  <c r="CV1345" i="1" s="1"/>
  <c r="U1345" i="1" s="1"/>
  <c r="AI1345" i="1"/>
  <c r="AJ1345" i="1"/>
  <c r="CX1345" i="1" s="1"/>
  <c r="W1345" i="1" s="1"/>
  <c r="CQ1345" i="1"/>
  <c r="CR1345" i="1"/>
  <c r="CS1345" i="1"/>
  <c r="CU1345" i="1"/>
  <c r="T1345" i="1" s="1"/>
  <c r="CW1345" i="1"/>
  <c r="V1345" i="1" s="1"/>
  <c r="FR1345" i="1"/>
  <c r="GL1345" i="1"/>
  <c r="GO1345" i="1"/>
  <c r="GP1345" i="1"/>
  <c r="GV1345" i="1"/>
  <c r="HC1345" i="1" s="1"/>
  <c r="GX1345" i="1" s="1"/>
  <c r="C1346" i="1"/>
  <c r="D1346" i="1"/>
  <c r="S1346" i="1"/>
  <c r="CZ1346" i="1" s="1"/>
  <c r="Y1346" i="1" s="1"/>
  <c r="AC1346" i="1"/>
  <c r="AE1346" i="1"/>
  <c r="Q1346" i="1" s="1"/>
  <c r="AF1346" i="1"/>
  <c r="AG1346" i="1"/>
  <c r="CU1346" i="1" s="1"/>
  <c r="T1346" i="1" s="1"/>
  <c r="AH1346" i="1"/>
  <c r="AI1346" i="1"/>
  <c r="CW1346" i="1" s="1"/>
  <c r="V1346" i="1" s="1"/>
  <c r="AJ1346" i="1"/>
  <c r="CR1346" i="1"/>
  <c r="CT1346" i="1"/>
  <c r="CV1346" i="1"/>
  <c r="U1346" i="1" s="1"/>
  <c r="CX1346" i="1"/>
  <c r="W1346" i="1" s="1"/>
  <c r="FR1346" i="1"/>
  <c r="GL1346" i="1"/>
  <c r="GN1346" i="1"/>
  <c r="GP1346" i="1"/>
  <c r="GV1346" i="1"/>
  <c r="HC1346" i="1"/>
  <c r="GX1346" i="1" s="1"/>
  <c r="C1347" i="1"/>
  <c r="D1347" i="1"/>
  <c r="P1347" i="1"/>
  <c r="R1347" i="1"/>
  <c r="GK1347" i="1" s="1"/>
  <c r="AC1347" i="1"/>
  <c r="AD1347" i="1"/>
  <c r="AB1347" i="1" s="1"/>
  <c r="AE1347" i="1"/>
  <c r="Q1347" i="1" s="1"/>
  <c r="AF1347" i="1"/>
  <c r="S1347" i="1" s="1"/>
  <c r="AG1347" i="1"/>
  <c r="AH1347" i="1"/>
  <c r="CV1347" i="1" s="1"/>
  <c r="U1347" i="1" s="1"/>
  <c r="AI1347" i="1"/>
  <c r="AJ1347" i="1"/>
  <c r="CX1347" i="1" s="1"/>
  <c r="W1347" i="1" s="1"/>
  <c r="CQ1347" i="1"/>
  <c r="CR1347" i="1"/>
  <c r="CS1347" i="1"/>
  <c r="CU1347" i="1"/>
  <c r="T1347" i="1" s="1"/>
  <c r="CW1347" i="1"/>
  <c r="V1347" i="1" s="1"/>
  <c r="FR1347" i="1"/>
  <c r="GL1347" i="1"/>
  <c r="GN1347" i="1"/>
  <c r="GP1347" i="1"/>
  <c r="GV1347" i="1"/>
  <c r="GX1347" i="1"/>
  <c r="HC1347" i="1"/>
  <c r="C1348" i="1"/>
  <c r="D1348" i="1"/>
  <c r="S1348" i="1"/>
  <c r="CY1348" i="1" s="1"/>
  <c r="X1348" i="1" s="1"/>
  <c r="AC1348" i="1"/>
  <c r="P1348" i="1" s="1"/>
  <c r="AE1348" i="1"/>
  <c r="AD1348" i="1" s="1"/>
  <c r="AF1348" i="1"/>
  <c r="AG1348" i="1"/>
  <c r="CU1348" i="1" s="1"/>
  <c r="T1348" i="1" s="1"/>
  <c r="AH1348" i="1"/>
  <c r="AI1348" i="1"/>
  <c r="CW1348" i="1" s="1"/>
  <c r="V1348" i="1" s="1"/>
  <c r="AJ1348" i="1"/>
  <c r="CR1348" i="1"/>
  <c r="CT1348" i="1"/>
  <c r="CV1348" i="1"/>
  <c r="U1348" i="1" s="1"/>
  <c r="CX1348" i="1"/>
  <c r="W1348" i="1" s="1"/>
  <c r="CZ1348" i="1"/>
  <c r="Y1348" i="1" s="1"/>
  <c r="FR1348" i="1"/>
  <c r="GL1348" i="1"/>
  <c r="GO1348" i="1"/>
  <c r="GP1348" i="1"/>
  <c r="GV1348" i="1"/>
  <c r="HC1348" i="1" s="1"/>
  <c r="GX1348" i="1" s="1"/>
  <c r="C1349" i="1"/>
  <c r="D1349" i="1"/>
  <c r="P1349" i="1"/>
  <c r="R1349" i="1"/>
  <c r="GK1349" i="1" s="1"/>
  <c r="AC1349" i="1"/>
  <c r="AD1349" i="1"/>
  <c r="AE1349" i="1"/>
  <c r="Q1349" i="1" s="1"/>
  <c r="AF1349" i="1"/>
  <c r="AB1349" i="1" s="1"/>
  <c r="AG1349" i="1"/>
  <c r="AH1349" i="1"/>
  <c r="CV1349" i="1" s="1"/>
  <c r="U1349" i="1" s="1"/>
  <c r="AI1349" i="1"/>
  <c r="AJ1349" i="1"/>
  <c r="CX1349" i="1" s="1"/>
  <c r="W1349" i="1" s="1"/>
  <c r="CQ1349" i="1"/>
  <c r="CR1349" i="1"/>
  <c r="CS1349" i="1"/>
  <c r="CU1349" i="1"/>
  <c r="T1349" i="1" s="1"/>
  <c r="CW1349" i="1"/>
  <c r="V1349" i="1" s="1"/>
  <c r="FR1349" i="1"/>
  <c r="FQ1357" i="1" s="1"/>
  <c r="GL1349" i="1"/>
  <c r="GO1349" i="1"/>
  <c r="GP1349" i="1"/>
  <c r="GV1349" i="1"/>
  <c r="HC1349" i="1" s="1"/>
  <c r="GX1349" i="1" s="1"/>
  <c r="I1350" i="1"/>
  <c r="Q1350" i="1" s="1"/>
  <c r="P1350" i="1"/>
  <c r="R1350" i="1"/>
  <c r="GK1350" i="1" s="1"/>
  <c r="AC1350" i="1"/>
  <c r="AD1350" i="1"/>
  <c r="AB1350" i="1" s="1"/>
  <c r="AE1350" i="1"/>
  <c r="AF1350" i="1"/>
  <c r="S1350" i="1" s="1"/>
  <c r="AG1350" i="1"/>
  <c r="AH1350" i="1"/>
  <c r="CV1350" i="1" s="1"/>
  <c r="U1350" i="1" s="1"/>
  <c r="AI1350" i="1"/>
  <c r="AJ1350" i="1"/>
  <c r="CX1350" i="1" s="1"/>
  <c r="W1350" i="1" s="1"/>
  <c r="CQ1350" i="1"/>
  <c r="CR1350" i="1"/>
  <c r="CS1350" i="1"/>
  <c r="CU1350" i="1"/>
  <c r="T1350" i="1" s="1"/>
  <c r="CW1350" i="1"/>
  <c r="V1350" i="1" s="1"/>
  <c r="FR1350" i="1"/>
  <c r="GL1350" i="1"/>
  <c r="GO1350" i="1"/>
  <c r="GP1350" i="1"/>
  <c r="GV1350" i="1"/>
  <c r="GX1350" i="1"/>
  <c r="HC1350" i="1"/>
  <c r="I1351" i="1"/>
  <c r="P1351" i="1" s="1"/>
  <c r="R1351" i="1"/>
  <c r="GK1351" i="1" s="1"/>
  <c r="AC1351" i="1"/>
  <c r="AD1351" i="1"/>
  <c r="AE1351" i="1"/>
  <c r="AF1351" i="1"/>
  <c r="AB1351" i="1" s="1"/>
  <c r="AG1351" i="1"/>
  <c r="AH1351" i="1"/>
  <c r="CV1351" i="1" s="1"/>
  <c r="U1351" i="1" s="1"/>
  <c r="AI1351" i="1"/>
  <c r="AJ1351" i="1"/>
  <c r="CX1351" i="1" s="1"/>
  <c r="W1351" i="1" s="1"/>
  <c r="CQ1351" i="1"/>
  <c r="CR1351" i="1"/>
  <c r="CS1351" i="1"/>
  <c r="CU1351" i="1"/>
  <c r="T1351" i="1" s="1"/>
  <c r="CW1351" i="1"/>
  <c r="V1351" i="1" s="1"/>
  <c r="FR1351" i="1"/>
  <c r="GL1351" i="1"/>
  <c r="GO1351" i="1"/>
  <c r="GP1351" i="1"/>
  <c r="GV1351" i="1"/>
  <c r="HC1351" i="1" s="1"/>
  <c r="GX1351" i="1" s="1"/>
  <c r="I1352" i="1"/>
  <c r="Q1352" i="1" s="1"/>
  <c r="P1352" i="1"/>
  <c r="CP1352" i="1" s="1"/>
  <c r="O1352" i="1" s="1"/>
  <c r="R1352" i="1"/>
  <c r="GK1352" i="1" s="1"/>
  <c r="AC1352" i="1"/>
  <c r="AD1352" i="1"/>
  <c r="AB1352" i="1" s="1"/>
  <c r="AE1352" i="1"/>
  <c r="AF1352" i="1"/>
  <c r="S1352" i="1" s="1"/>
  <c r="AG1352" i="1"/>
  <c r="AH1352" i="1"/>
  <c r="CV1352" i="1" s="1"/>
  <c r="U1352" i="1" s="1"/>
  <c r="AI1352" i="1"/>
  <c r="AJ1352" i="1"/>
  <c r="CX1352" i="1" s="1"/>
  <c r="W1352" i="1" s="1"/>
  <c r="CQ1352" i="1"/>
  <c r="CR1352" i="1"/>
  <c r="CS1352" i="1"/>
  <c r="CU1352" i="1"/>
  <c r="T1352" i="1" s="1"/>
  <c r="CW1352" i="1"/>
  <c r="V1352" i="1" s="1"/>
  <c r="FR1352" i="1"/>
  <c r="GL1352" i="1"/>
  <c r="GO1352" i="1"/>
  <c r="GP1352" i="1"/>
  <c r="GV1352" i="1"/>
  <c r="GX1352" i="1"/>
  <c r="HC1352" i="1"/>
  <c r="I1353" i="1"/>
  <c r="P1353" i="1" s="1"/>
  <c r="R1353" i="1"/>
  <c r="GK1353" i="1" s="1"/>
  <c r="AC1353" i="1"/>
  <c r="AD1353" i="1"/>
  <c r="AE1353" i="1"/>
  <c r="AF1353" i="1"/>
  <c r="AB1353" i="1" s="1"/>
  <c r="AG1353" i="1"/>
  <c r="AH1353" i="1"/>
  <c r="CV1353" i="1" s="1"/>
  <c r="U1353" i="1" s="1"/>
  <c r="AI1353" i="1"/>
  <c r="AJ1353" i="1"/>
  <c r="CX1353" i="1" s="1"/>
  <c r="W1353" i="1" s="1"/>
  <c r="CQ1353" i="1"/>
  <c r="CR1353" i="1"/>
  <c r="CS1353" i="1"/>
  <c r="CU1353" i="1"/>
  <c r="T1353" i="1" s="1"/>
  <c r="CW1353" i="1"/>
  <c r="V1353" i="1" s="1"/>
  <c r="FR1353" i="1"/>
  <c r="GL1353" i="1"/>
  <c r="GO1353" i="1"/>
  <c r="GP1353" i="1"/>
  <c r="GV1353" i="1"/>
  <c r="HC1353" i="1" s="1"/>
  <c r="GX1353" i="1" s="1"/>
  <c r="C1354" i="1"/>
  <c r="D1354" i="1"/>
  <c r="S1354" i="1"/>
  <c r="CZ1354" i="1" s="1"/>
  <c r="Y1354" i="1" s="1"/>
  <c r="AC1354" i="1"/>
  <c r="AE1354" i="1"/>
  <c r="Q1354" i="1" s="1"/>
  <c r="AF1354" i="1"/>
  <c r="AG1354" i="1"/>
  <c r="CU1354" i="1" s="1"/>
  <c r="T1354" i="1" s="1"/>
  <c r="AH1354" i="1"/>
  <c r="AI1354" i="1"/>
  <c r="CW1354" i="1" s="1"/>
  <c r="V1354" i="1" s="1"/>
  <c r="AJ1354" i="1"/>
  <c r="CR1354" i="1"/>
  <c r="CT1354" i="1"/>
  <c r="CV1354" i="1"/>
  <c r="U1354" i="1" s="1"/>
  <c r="CX1354" i="1"/>
  <c r="W1354" i="1" s="1"/>
  <c r="FR1354" i="1"/>
  <c r="GL1354" i="1"/>
  <c r="GO1354" i="1"/>
  <c r="GP1354" i="1"/>
  <c r="GV1354" i="1"/>
  <c r="HC1354" i="1"/>
  <c r="GX1354" i="1" s="1"/>
  <c r="C1355" i="1"/>
  <c r="D1355" i="1"/>
  <c r="P1355" i="1"/>
  <c r="R1355" i="1"/>
  <c r="GK1355" i="1" s="1"/>
  <c r="AC1355" i="1"/>
  <c r="AD1355" i="1"/>
  <c r="AB1355" i="1" s="1"/>
  <c r="AE1355" i="1"/>
  <c r="Q1355" i="1" s="1"/>
  <c r="AF1355" i="1"/>
  <c r="S1355" i="1" s="1"/>
  <c r="AG1355" i="1"/>
  <c r="AH1355" i="1"/>
  <c r="CV1355" i="1" s="1"/>
  <c r="U1355" i="1" s="1"/>
  <c r="AI1355" i="1"/>
  <c r="AJ1355" i="1"/>
  <c r="CX1355" i="1" s="1"/>
  <c r="W1355" i="1" s="1"/>
  <c r="CQ1355" i="1"/>
  <c r="CR1355" i="1"/>
  <c r="CS1355" i="1"/>
  <c r="CU1355" i="1"/>
  <c r="T1355" i="1" s="1"/>
  <c r="CW1355" i="1"/>
  <c r="V1355" i="1" s="1"/>
  <c r="FR1355" i="1"/>
  <c r="GL1355" i="1"/>
  <c r="GO1355" i="1"/>
  <c r="GP1355" i="1"/>
  <c r="GV1355" i="1"/>
  <c r="GX1355" i="1"/>
  <c r="HC1355" i="1"/>
  <c r="B1357" i="1"/>
  <c r="B1330" i="1" s="1"/>
  <c r="C1357" i="1"/>
  <c r="C1330" i="1" s="1"/>
  <c r="D1357" i="1"/>
  <c r="D1330" i="1" s="1"/>
  <c r="F1357" i="1"/>
  <c r="F1330" i="1" s="1"/>
  <c r="G1357" i="1"/>
  <c r="G1330" i="1" s="1"/>
  <c r="BX1357" i="1"/>
  <c r="BX1330" i="1" s="1"/>
  <c r="BY1357" i="1"/>
  <c r="CI1357" i="1" s="1"/>
  <c r="CK1357" i="1"/>
  <c r="CK1330" i="1" s="1"/>
  <c r="CL1357" i="1"/>
  <c r="CL1330" i="1" s="1"/>
  <c r="CM1357" i="1"/>
  <c r="CM1330" i="1" s="1"/>
  <c r="FP1357" i="1"/>
  <c r="FP1330" i="1" s="1"/>
  <c r="GC1357" i="1"/>
  <c r="ET1357" i="1" s="1"/>
  <c r="GD1357" i="1"/>
  <c r="EU1357" i="1" s="1"/>
  <c r="GE1357" i="1"/>
  <c r="GE1330" i="1" s="1"/>
  <c r="D1387" i="1"/>
  <c r="E1389" i="1"/>
  <c r="F1389" i="1"/>
  <c r="Z1389" i="1"/>
  <c r="AA1389" i="1"/>
  <c r="AM1389" i="1"/>
  <c r="AN1389" i="1"/>
  <c r="BE1389" i="1"/>
  <c r="BF1389" i="1"/>
  <c r="BG1389" i="1"/>
  <c r="BH1389" i="1"/>
  <c r="BI1389" i="1"/>
  <c r="BJ1389" i="1"/>
  <c r="BK1389" i="1"/>
  <c r="BL1389" i="1"/>
  <c r="BM1389" i="1"/>
  <c r="BN1389" i="1"/>
  <c r="BO1389" i="1"/>
  <c r="BP1389" i="1"/>
  <c r="BQ1389" i="1"/>
  <c r="BR1389" i="1"/>
  <c r="BS1389" i="1"/>
  <c r="BT1389" i="1"/>
  <c r="BU1389" i="1"/>
  <c r="BV1389" i="1"/>
  <c r="BW1389" i="1"/>
  <c r="CN1389" i="1"/>
  <c r="CO1389" i="1"/>
  <c r="CP1389" i="1"/>
  <c r="CQ1389" i="1"/>
  <c r="CR1389" i="1"/>
  <c r="CS1389" i="1"/>
  <c r="CT1389" i="1"/>
  <c r="CU1389" i="1"/>
  <c r="CV1389" i="1"/>
  <c r="CW1389" i="1"/>
  <c r="CX1389" i="1"/>
  <c r="CY1389" i="1"/>
  <c r="CZ1389" i="1"/>
  <c r="DA1389" i="1"/>
  <c r="DB1389" i="1"/>
  <c r="DC1389" i="1"/>
  <c r="DD1389" i="1"/>
  <c r="DE1389" i="1"/>
  <c r="DF1389" i="1"/>
  <c r="DR1389" i="1"/>
  <c r="DS1389" i="1"/>
  <c r="EE1389" i="1"/>
  <c r="EF1389" i="1"/>
  <c r="EW1389" i="1"/>
  <c r="EX1389" i="1"/>
  <c r="EY1389" i="1"/>
  <c r="EZ1389" i="1"/>
  <c r="FA1389" i="1"/>
  <c r="FB1389" i="1"/>
  <c r="FC1389" i="1"/>
  <c r="FD1389" i="1"/>
  <c r="FE1389" i="1"/>
  <c r="FF1389" i="1"/>
  <c r="FG1389" i="1"/>
  <c r="FH1389" i="1"/>
  <c r="FI1389" i="1"/>
  <c r="FJ1389" i="1"/>
  <c r="FK1389" i="1"/>
  <c r="FL1389" i="1"/>
  <c r="FM1389" i="1"/>
  <c r="FN1389" i="1"/>
  <c r="FO1389" i="1"/>
  <c r="GF1389" i="1"/>
  <c r="GG1389" i="1"/>
  <c r="GH1389" i="1"/>
  <c r="GI1389" i="1"/>
  <c r="GJ1389" i="1"/>
  <c r="GK1389" i="1"/>
  <c r="GL1389" i="1"/>
  <c r="GM1389" i="1"/>
  <c r="GN1389" i="1"/>
  <c r="GO1389" i="1"/>
  <c r="GP1389" i="1"/>
  <c r="GQ1389" i="1"/>
  <c r="GR1389" i="1"/>
  <c r="GS1389" i="1"/>
  <c r="GT1389" i="1"/>
  <c r="GU1389" i="1"/>
  <c r="GV1389" i="1"/>
  <c r="GW1389" i="1"/>
  <c r="GX1389" i="1"/>
  <c r="AC1391" i="1"/>
  <c r="CQ1391" i="1" s="1"/>
  <c r="P1391" i="1" s="1"/>
  <c r="AD1391" i="1"/>
  <c r="AE1391" i="1"/>
  <c r="CS1391" i="1" s="1"/>
  <c r="R1391" i="1" s="1"/>
  <c r="GK1391" i="1" s="1"/>
  <c r="AF1391" i="1"/>
  <c r="AG1391" i="1"/>
  <c r="CU1391" i="1" s="1"/>
  <c r="T1391" i="1" s="1"/>
  <c r="AH1391" i="1"/>
  <c r="AI1391" i="1"/>
  <c r="CW1391" i="1" s="1"/>
  <c r="V1391" i="1" s="1"/>
  <c r="AJ1391" i="1"/>
  <c r="CR1391" i="1"/>
  <c r="Q1391" i="1" s="1"/>
  <c r="CT1391" i="1"/>
  <c r="S1391" i="1" s="1"/>
  <c r="CV1391" i="1"/>
  <c r="U1391" i="1" s="1"/>
  <c r="CX1391" i="1"/>
  <c r="W1391" i="1" s="1"/>
  <c r="CY1391" i="1"/>
  <c r="X1391" i="1" s="1"/>
  <c r="CZ1391" i="1"/>
  <c r="Y1391" i="1" s="1"/>
  <c r="FR1391" i="1"/>
  <c r="GL1391" i="1"/>
  <c r="GO1391" i="1"/>
  <c r="GP1391" i="1"/>
  <c r="GV1391" i="1"/>
  <c r="HC1391" i="1" s="1"/>
  <c r="GX1391" i="1" s="1"/>
  <c r="AC1392" i="1"/>
  <c r="AD1392" i="1"/>
  <c r="AB1392" i="1" s="1"/>
  <c r="AE1392" i="1"/>
  <c r="AF1392" i="1"/>
  <c r="CT1392" i="1" s="1"/>
  <c r="S1392" i="1" s="1"/>
  <c r="AG1392" i="1"/>
  <c r="AH1392" i="1"/>
  <c r="CV1392" i="1" s="1"/>
  <c r="U1392" i="1" s="1"/>
  <c r="AI1392" i="1"/>
  <c r="AJ1392" i="1"/>
  <c r="CX1392" i="1" s="1"/>
  <c r="W1392" i="1" s="1"/>
  <c r="CQ1392" i="1"/>
  <c r="P1392" i="1" s="1"/>
  <c r="CS1392" i="1"/>
  <c r="R1392" i="1" s="1"/>
  <c r="GK1392" i="1" s="1"/>
  <c r="CU1392" i="1"/>
  <c r="T1392" i="1" s="1"/>
  <c r="CW1392" i="1"/>
  <c r="V1392" i="1" s="1"/>
  <c r="FR1392" i="1"/>
  <c r="GL1392" i="1"/>
  <c r="GO1392" i="1"/>
  <c r="GP1392" i="1"/>
  <c r="GV1392" i="1"/>
  <c r="GX1392" i="1"/>
  <c r="HC1392" i="1"/>
  <c r="S1393" i="1"/>
  <c r="CZ1393" i="1" s="1"/>
  <c r="Y1393" i="1" s="1"/>
  <c r="AC1393" i="1"/>
  <c r="AE1393" i="1"/>
  <c r="Q1393" i="1" s="1"/>
  <c r="AF1393" i="1"/>
  <c r="AG1393" i="1"/>
  <c r="CU1393" i="1" s="1"/>
  <c r="T1393" i="1" s="1"/>
  <c r="AH1393" i="1"/>
  <c r="AI1393" i="1"/>
  <c r="CW1393" i="1" s="1"/>
  <c r="V1393" i="1" s="1"/>
  <c r="AJ1393" i="1"/>
  <c r="CR1393" i="1"/>
  <c r="CT1393" i="1"/>
  <c r="CV1393" i="1"/>
  <c r="U1393" i="1" s="1"/>
  <c r="CX1393" i="1"/>
  <c r="W1393" i="1" s="1"/>
  <c r="GL1393" i="1"/>
  <c r="GN1393" i="1"/>
  <c r="GO1393" i="1"/>
  <c r="GP1393" i="1"/>
  <c r="GV1393" i="1"/>
  <c r="HC1393" i="1"/>
  <c r="GX1393" i="1" s="1"/>
  <c r="P1394" i="1"/>
  <c r="R1394" i="1"/>
  <c r="GK1394" i="1" s="1"/>
  <c r="AC1394" i="1"/>
  <c r="AD1394" i="1"/>
  <c r="AE1394" i="1"/>
  <c r="Q1394" i="1" s="1"/>
  <c r="AF1394" i="1"/>
  <c r="AB1394" i="1" s="1"/>
  <c r="AG1394" i="1"/>
  <c r="AH1394" i="1"/>
  <c r="CV1394" i="1" s="1"/>
  <c r="U1394" i="1" s="1"/>
  <c r="AI1394" i="1"/>
  <c r="AJ1394" i="1"/>
  <c r="CX1394" i="1" s="1"/>
  <c r="W1394" i="1" s="1"/>
  <c r="CQ1394" i="1"/>
  <c r="CR1394" i="1"/>
  <c r="CS1394" i="1"/>
  <c r="CU1394" i="1"/>
  <c r="T1394" i="1" s="1"/>
  <c r="CW1394" i="1"/>
  <c r="V1394" i="1" s="1"/>
  <c r="FR1394" i="1"/>
  <c r="GL1394" i="1"/>
  <c r="GN1394" i="1"/>
  <c r="GO1394" i="1"/>
  <c r="GP1394" i="1"/>
  <c r="GV1394" i="1"/>
  <c r="HC1394" i="1" s="1"/>
  <c r="GX1394" i="1" s="1"/>
  <c r="AC1395" i="1"/>
  <c r="CQ1395" i="1" s="1"/>
  <c r="P1395" i="1" s="1"/>
  <c r="AD1395" i="1"/>
  <c r="AE1395" i="1"/>
  <c r="CS1395" i="1" s="1"/>
  <c r="R1395" i="1" s="1"/>
  <c r="GK1395" i="1" s="1"/>
  <c r="AF1395" i="1"/>
  <c r="AG1395" i="1"/>
  <c r="CU1395" i="1" s="1"/>
  <c r="T1395" i="1" s="1"/>
  <c r="AH1395" i="1"/>
  <c r="AI1395" i="1"/>
  <c r="CW1395" i="1" s="1"/>
  <c r="V1395" i="1" s="1"/>
  <c r="AJ1395" i="1"/>
  <c r="CR1395" i="1"/>
  <c r="Q1395" i="1" s="1"/>
  <c r="CT1395" i="1"/>
  <c r="S1395" i="1" s="1"/>
  <c r="CV1395" i="1"/>
  <c r="U1395" i="1" s="1"/>
  <c r="CX1395" i="1"/>
  <c r="W1395" i="1" s="1"/>
  <c r="CY1395" i="1"/>
  <c r="X1395" i="1" s="1"/>
  <c r="CZ1395" i="1"/>
  <c r="Y1395" i="1" s="1"/>
  <c r="FR1395" i="1"/>
  <c r="GL1395" i="1"/>
  <c r="GO1395" i="1"/>
  <c r="GP1395" i="1"/>
  <c r="GV1395" i="1"/>
  <c r="HC1395" i="1" s="1"/>
  <c r="GX1395" i="1" s="1"/>
  <c r="AC1396" i="1"/>
  <c r="AD1396" i="1"/>
  <c r="AB1396" i="1" s="1"/>
  <c r="AE1396" i="1"/>
  <c r="AF1396" i="1"/>
  <c r="CT1396" i="1" s="1"/>
  <c r="S1396" i="1" s="1"/>
  <c r="AG1396" i="1"/>
  <c r="AH1396" i="1"/>
  <c r="CV1396" i="1" s="1"/>
  <c r="U1396" i="1" s="1"/>
  <c r="AI1396" i="1"/>
  <c r="AJ1396" i="1"/>
  <c r="CX1396" i="1" s="1"/>
  <c r="W1396" i="1" s="1"/>
  <c r="CQ1396" i="1"/>
  <c r="P1396" i="1" s="1"/>
  <c r="CS1396" i="1"/>
  <c r="R1396" i="1" s="1"/>
  <c r="GK1396" i="1" s="1"/>
  <c r="CU1396" i="1"/>
  <c r="T1396" i="1" s="1"/>
  <c r="CW1396" i="1"/>
  <c r="V1396" i="1" s="1"/>
  <c r="FR1396" i="1"/>
  <c r="GL1396" i="1"/>
  <c r="GO1396" i="1"/>
  <c r="GP1396" i="1"/>
  <c r="GV1396" i="1"/>
  <c r="GX1396" i="1"/>
  <c r="HC1396" i="1"/>
  <c r="S1397" i="1"/>
  <c r="CZ1397" i="1" s="1"/>
  <c r="Y1397" i="1" s="1"/>
  <c r="AC1397" i="1"/>
  <c r="AE1397" i="1"/>
  <c r="Q1397" i="1" s="1"/>
  <c r="AF1397" i="1"/>
  <c r="AG1397" i="1"/>
  <c r="CU1397" i="1" s="1"/>
  <c r="T1397" i="1" s="1"/>
  <c r="AH1397" i="1"/>
  <c r="AI1397" i="1"/>
  <c r="CW1397" i="1" s="1"/>
  <c r="V1397" i="1" s="1"/>
  <c r="AJ1397" i="1"/>
  <c r="CR1397" i="1"/>
  <c r="CT1397" i="1"/>
  <c r="CV1397" i="1"/>
  <c r="U1397" i="1" s="1"/>
  <c r="CX1397" i="1"/>
  <c r="W1397" i="1" s="1"/>
  <c r="GL1397" i="1"/>
  <c r="GN1397" i="1"/>
  <c r="GO1397" i="1"/>
  <c r="GP1397" i="1"/>
  <c r="GV1397" i="1"/>
  <c r="HC1397" i="1"/>
  <c r="GX1397" i="1" s="1"/>
  <c r="P1398" i="1"/>
  <c r="R1398" i="1"/>
  <c r="GK1398" i="1" s="1"/>
  <c r="AC1398" i="1"/>
  <c r="AD1398" i="1"/>
  <c r="AE1398" i="1"/>
  <c r="Q1398" i="1" s="1"/>
  <c r="AF1398" i="1"/>
  <c r="AB1398" i="1" s="1"/>
  <c r="AG1398" i="1"/>
  <c r="AH1398" i="1"/>
  <c r="CV1398" i="1" s="1"/>
  <c r="U1398" i="1" s="1"/>
  <c r="AI1398" i="1"/>
  <c r="AJ1398" i="1"/>
  <c r="CX1398" i="1" s="1"/>
  <c r="W1398" i="1" s="1"/>
  <c r="CQ1398" i="1"/>
  <c r="CR1398" i="1"/>
  <c r="CS1398" i="1"/>
  <c r="CU1398" i="1"/>
  <c r="T1398" i="1" s="1"/>
  <c r="CW1398" i="1"/>
  <c r="V1398" i="1" s="1"/>
  <c r="FR1398" i="1"/>
  <c r="GL1398" i="1"/>
  <c r="GN1398" i="1"/>
  <c r="GO1398" i="1"/>
  <c r="GP1398" i="1"/>
  <c r="GV1398" i="1"/>
  <c r="HC1398" i="1" s="1"/>
  <c r="GX1398" i="1" s="1"/>
  <c r="S1399" i="1"/>
  <c r="CY1399" i="1" s="1"/>
  <c r="X1399" i="1" s="1"/>
  <c r="AC1399" i="1"/>
  <c r="P1399" i="1" s="1"/>
  <c r="AE1399" i="1"/>
  <c r="AD1399" i="1" s="1"/>
  <c r="AF1399" i="1"/>
  <c r="AG1399" i="1"/>
  <c r="CU1399" i="1" s="1"/>
  <c r="T1399" i="1" s="1"/>
  <c r="AH1399" i="1"/>
  <c r="AI1399" i="1"/>
  <c r="CW1399" i="1" s="1"/>
  <c r="V1399" i="1" s="1"/>
  <c r="AJ1399" i="1"/>
  <c r="CR1399" i="1"/>
  <c r="CT1399" i="1"/>
  <c r="CV1399" i="1"/>
  <c r="U1399" i="1" s="1"/>
  <c r="CX1399" i="1"/>
  <c r="W1399" i="1" s="1"/>
  <c r="CZ1399" i="1"/>
  <c r="Y1399" i="1" s="1"/>
  <c r="GL1399" i="1"/>
  <c r="GN1399" i="1"/>
  <c r="GO1399" i="1"/>
  <c r="GP1399" i="1"/>
  <c r="GV1399" i="1"/>
  <c r="HC1399" i="1" s="1"/>
  <c r="GX1399" i="1" s="1"/>
  <c r="P1400" i="1"/>
  <c r="FR1400" i="1" s="1"/>
  <c r="R1400" i="1"/>
  <c r="GK1400" i="1" s="1"/>
  <c r="AC1400" i="1"/>
  <c r="AD1400" i="1"/>
  <c r="AB1400" i="1" s="1"/>
  <c r="AE1400" i="1"/>
  <c r="Q1400" i="1" s="1"/>
  <c r="AF1400" i="1"/>
  <c r="S1400" i="1" s="1"/>
  <c r="AG1400" i="1"/>
  <c r="AH1400" i="1"/>
  <c r="CV1400" i="1" s="1"/>
  <c r="U1400" i="1" s="1"/>
  <c r="AI1400" i="1"/>
  <c r="AJ1400" i="1"/>
  <c r="CX1400" i="1" s="1"/>
  <c r="W1400" i="1" s="1"/>
  <c r="CQ1400" i="1"/>
  <c r="CR1400" i="1"/>
  <c r="CS1400" i="1"/>
  <c r="CU1400" i="1"/>
  <c r="T1400" i="1" s="1"/>
  <c r="CW1400" i="1"/>
  <c r="V1400" i="1" s="1"/>
  <c r="GL1400" i="1"/>
  <c r="GN1400" i="1"/>
  <c r="GO1400" i="1"/>
  <c r="GP1400" i="1"/>
  <c r="GV1400" i="1"/>
  <c r="HC1400" i="1" s="1"/>
  <c r="GX1400" i="1" s="1"/>
  <c r="S1401" i="1"/>
  <c r="CZ1401" i="1" s="1"/>
  <c r="Y1401" i="1" s="1"/>
  <c r="AC1401" i="1"/>
  <c r="AE1401" i="1"/>
  <c r="Q1401" i="1" s="1"/>
  <c r="AF1401" i="1"/>
  <c r="AG1401" i="1"/>
  <c r="CU1401" i="1" s="1"/>
  <c r="T1401" i="1" s="1"/>
  <c r="AH1401" i="1"/>
  <c r="AI1401" i="1"/>
  <c r="CW1401" i="1" s="1"/>
  <c r="V1401" i="1" s="1"/>
  <c r="AJ1401" i="1"/>
  <c r="CR1401" i="1"/>
  <c r="CT1401" i="1"/>
  <c r="CV1401" i="1"/>
  <c r="U1401" i="1" s="1"/>
  <c r="CX1401" i="1"/>
  <c r="W1401" i="1" s="1"/>
  <c r="GL1401" i="1"/>
  <c r="GN1401" i="1"/>
  <c r="GO1401" i="1"/>
  <c r="GP1401" i="1"/>
  <c r="GV1401" i="1"/>
  <c r="HC1401" i="1"/>
  <c r="GX1401" i="1" s="1"/>
  <c r="P1402" i="1"/>
  <c r="R1402" i="1"/>
  <c r="GK1402" i="1" s="1"/>
  <c r="AC1402" i="1"/>
  <c r="AD1402" i="1"/>
  <c r="AE1402" i="1"/>
  <c r="Q1402" i="1" s="1"/>
  <c r="AF1402" i="1"/>
  <c r="AB1402" i="1" s="1"/>
  <c r="AG1402" i="1"/>
  <c r="AH1402" i="1"/>
  <c r="CV1402" i="1" s="1"/>
  <c r="U1402" i="1" s="1"/>
  <c r="AI1402" i="1"/>
  <c r="AJ1402" i="1"/>
  <c r="CX1402" i="1" s="1"/>
  <c r="W1402" i="1" s="1"/>
  <c r="CQ1402" i="1"/>
  <c r="CR1402" i="1"/>
  <c r="CS1402" i="1"/>
  <c r="CU1402" i="1"/>
  <c r="T1402" i="1" s="1"/>
  <c r="CW1402" i="1"/>
  <c r="V1402" i="1" s="1"/>
  <c r="FR1402" i="1"/>
  <c r="GL1402" i="1"/>
  <c r="GN1402" i="1"/>
  <c r="GO1402" i="1"/>
  <c r="GP1402" i="1"/>
  <c r="GV1402" i="1"/>
  <c r="HC1402" i="1" s="1"/>
  <c r="GX1402" i="1" s="1"/>
  <c r="S1403" i="1"/>
  <c r="CY1403" i="1" s="1"/>
  <c r="X1403" i="1" s="1"/>
  <c r="AC1403" i="1"/>
  <c r="P1403" i="1" s="1"/>
  <c r="AE1403" i="1"/>
  <c r="AD1403" i="1" s="1"/>
  <c r="AF1403" i="1"/>
  <c r="AG1403" i="1"/>
  <c r="CU1403" i="1" s="1"/>
  <c r="T1403" i="1" s="1"/>
  <c r="AH1403" i="1"/>
  <c r="AI1403" i="1"/>
  <c r="CW1403" i="1" s="1"/>
  <c r="V1403" i="1" s="1"/>
  <c r="AJ1403" i="1"/>
  <c r="CR1403" i="1"/>
  <c r="CT1403" i="1"/>
  <c r="CV1403" i="1"/>
  <c r="U1403" i="1" s="1"/>
  <c r="CX1403" i="1"/>
  <c r="W1403" i="1" s="1"/>
  <c r="CZ1403" i="1"/>
  <c r="Y1403" i="1" s="1"/>
  <c r="GL1403" i="1"/>
  <c r="GN1403" i="1"/>
  <c r="GO1403" i="1"/>
  <c r="GP1403" i="1"/>
  <c r="GV1403" i="1"/>
  <c r="HC1403" i="1" s="1"/>
  <c r="GX1403" i="1" s="1"/>
  <c r="P1404" i="1"/>
  <c r="FR1404" i="1" s="1"/>
  <c r="R1404" i="1"/>
  <c r="GK1404" i="1" s="1"/>
  <c r="AC1404" i="1"/>
  <c r="AD1404" i="1"/>
  <c r="AB1404" i="1" s="1"/>
  <c r="AE1404" i="1"/>
  <c r="Q1404" i="1" s="1"/>
  <c r="AF1404" i="1"/>
  <c r="S1404" i="1" s="1"/>
  <c r="AG1404" i="1"/>
  <c r="AH1404" i="1"/>
  <c r="CV1404" i="1" s="1"/>
  <c r="U1404" i="1" s="1"/>
  <c r="AI1404" i="1"/>
  <c r="AJ1404" i="1"/>
  <c r="CX1404" i="1" s="1"/>
  <c r="W1404" i="1" s="1"/>
  <c r="CQ1404" i="1"/>
  <c r="CR1404" i="1"/>
  <c r="CS1404" i="1"/>
  <c r="CU1404" i="1"/>
  <c r="T1404" i="1" s="1"/>
  <c r="CW1404" i="1"/>
  <c r="V1404" i="1" s="1"/>
  <c r="GL1404" i="1"/>
  <c r="GN1404" i="1"/>
  <c r="GO1404" i="1"/>
  <c r="GP1404" i="1"/>
  <c r="GV1404" i="1"/>
  <c r="HC1404" i="1" s="1"/>
  <c r="GX1404" i="1" s="1"/>
  <c r="S1405" i="1"/>
  <c r="CZ1405" i="1" s="1"/>
  <c r="Y1405" i="1" s="1"/>
  <c r="AC1405" i="1"/>
  <c r="AE1405" i="1"/>
  <c r="Q1405" i="1" s="1"/>
  <c r="AF1405" i="1"/>
  <c r="AG1405" i="1"/>
  <c r="CU1405" i="1" s="1"/>
  <c r="T1405" i="1" s="1"/>
  <c r="AH1405" i="1"/>
  <c r="AI1405" i="1"/>
  <c r="CW1405" i="1" s="1"/>
  <c r="V1405" i="1" s="1"/>
  <c r="AJ1405" i="1"/>
  <c r="CR1405" i="1"/>
  <c r="CT1405" i="1"/>
  <c r="CV1405" i="1"/>
  <c r="U1405" i="1" s="1"/>
  <c r="CX1405" i="1"/>
  <c r="W1405" i="1" s="1"/>
  <c r="GL1405" i="1"/>
  <c r="GN1405" i="1"/>
  <c r="GO1405" i="1"/>
  <c r="GP1405" i="1"/>
  <c r="GV1405" i="1"/>
  <c r="HC1405" i="1"/>
  <c r="GX1405" i="1" s="1"/>
  <c r="P1406" i="1"/>
  <c r="DU1418" i="1" s="1"/>
  <c r="R1406" i="1"/>
  <c r="GK1406" i="1" s="1"/>
  <c r="AC1406" i="1"/>
  <c r="AD1406" i="1"/>
  <c r="AE1406" i="1"/>
  <c r="Q1406" i="1" s="1"/>
  <c r="AF1406" i="1"/>
  <c r="AB1406" i="1" s="1"/>
  <c r="AG1406" i="1"/>
  <c r="AH1406" i="1"/>
  <c r="CV1406" i="1" s="1"/>
  <c r="U1406" i="1" s="1"/>
  <c r="AI1406" i="1"/>
  <c r="AJ1406" i="1"/>
  <c r="CX1406" i="1" s="1"/>
  <c r="W1406" i="1" s="1"/>
  <c r="CQ1406" i="1"/>
  <c r="CR1406" i="1"/>
  <c r="CS1406" i="1"/>
  <c r="CU1406" i="1"/>
  <c r="T1406" i="1" s="1"/>
  <c r="CW1406" i="1"/>
  <c r="V1406" i="1" s="1"/>
  <c r="FR1406" i="1"/>
  <c r="FQ1418" i="1" s="1"/>
  <c r="GL1406" i="1"/>
  <c r="GN1406" i="1"/>
  <c r="GO1406" i="1"/>
  <c r="GP1406" i="1"/>
  <c r="GV1406" i="1"/>
  <c r="HC1406" i="1" s="1"/>
  <c r="GX1406" i="1" s="1"/>
  <c r="S1407" i="1"/>
  <c r="CY1407" i="1" s="1"/>
  <c r="X1407" i="1" s="1"/>
  <c r="AC1407" i="1"/>
  <c r="P1407" i="1" s="1"/>
  <c r="AE1407" i="1"/>
  <c r="AD1407" i="1" s="1"/>
  <c r="AF1407" i="1"/>
  <c r="AG1407" i="1"/>
  <c r="CU1407" i="1" s="1"/>
  <c r="T1407" i="1" s="1"/>
  <c r="AH1407" i="1"/>
  <c r="AI1407" i="1"/>
  <c r="CW1407" i="1" s="1"/>
  <c r="V1407" i="1" s="1"/>
  <c r="AJ1407" i="1"/>
  <c r="CR1407" i="1"/>
  <c r="CT1407" i="1"/>
  <c r="CV1407" i="1"/>
  <c r="U1407" i="1" s="1"/>
  <c r="CX1407" i="1"/>
  <c r="W1407" i="1" s="1"/>
  <c r="CZ1407" i="1"/>
  <c r="Y1407" i="1" s="1"/>
  <c r="FR1407" i="1"/>
  <c r="GL1407" i="1"/>
  <c r="GO1407" i="1"/>
  <c r="GP1407" i="1"/>
  <c r="GV1407" i="1"/>
  <c r="HC1407" i="1" s="1"/>
  <c r="GX1407" i="1" s="1"/>
  <c r="P1408" i="1"/>
  <c r="R1408" i="1"/>
  <c r="GK1408" i="1" s="1"/>
  <c r="AC1408" i="1"/>
  <c r="AD1408" i="1"/>
  <c r="AB1408" i="1" s="1"/>
  <c r="AE1408" i="1"/>
  <c r="Q1408" i="1" s="1"/>
  <c r="AF1408" i="1"/>
  <c r="S1408" i="1" s="1"/>
  <c r="AG1408" i="1"/>
  <c r="AH1408" i="1"/>
  <c r="CV1408" i="1" s="1"/>
  <c r="U1408" i="1" s="1"/>
  <c r="AI1408" i="1"/>
  <c r="AJ1408" i="1"/>
  <c r="CX1408" i="1" s="1"/>
  <c r="W1408" i="1" s="1"/>
  <c r="CQ1408" i="1"/>
  <c r="CR1408" i="1"/>
  <c r="CS1408" i="1"/>
  <c r="CU1408" i="1"/>
  <c r="T1408" i="1" s="1"/>
  <c r="CW1408" i="1"/>
  <c r="V1408" i="1" s="1"/>
  <c r="FR1408" i="1"/>
  <c r="GL1408" i="1"/>
  <c r="FR1418" i="1" s="1"/>
  <c r="GO1408" i="1"/>
  <c r="GP1408" i="1"/>
  <c r="FV1418" i="1" s="1"/>
  <c r="GV1408" i="1"/>
  <c r="HC1408" i="1" s="1"/>
  <c r="GX1408" i="1" s="1"/>
  <c r="S1409" i="1"/>
  <c r="CZ1409" i="1" s="1"/>
  <c r="Y1409" i="1" s="1"/>
  <c r="AC1409" i="1"/>
  <c r="AE1409" i="1"/>
  <c r="Q1409" i="1" s="1"/>
  <c r="AF1409" i="1"/>
  <c r="AG1409" i="1"/>
  <c r="CU1409" i="1" s="1"/>
  <c r="T1409" i="1" s="1"/>
  <c r="AH1409" i="1"/>
  <c r="AI1409" i="1"/>
  <c r="CW1409" i="1" s="1"/>
  <c r="V1409" i="1" s="1"/>
  <c r="AJ1409" i="1"/>
  <c r="CR1409" i="1"/>
  <c r="CT1409" i="1"/>
  <c r="CV1409" i="1"/>
  <c r="U1409" i="1" s="1"/>
  <c r="CX1409" i="1"/>
  <c r="W1409" i="1" s="1"/>
  <c r="FR1409" i="1"/>
  <c r="GL1409" i="1"/>
  <c r="GO1409" i="1"/>
  <c r="GP1409" i="1"/>
  <c r="GV1409" i="1"/>
  <c r="HC1409" i="1"/>
  <c r="GX1409" i="1" s="1"/>
  <c r="P1410" i="1"/>
  <c r="R1410" i="1"/>
  <c r="GK1410" i="1" s="1"/>
  <c r="AC1410" i="1"/>
  <c r="AD1410" i="1"/>
  <c r="AE1410" i="1"/>
  <c r="Q1410" i="1" s="1"/>
  <c r="AF1410" i="1"/>
  <c r="AB1410" i="1" s="1"/>
  <c r="AG1410" i="1"/>
  <c r="AH1410" i="1"/>
  <c r="CV1410" i="1" s="1"/>
  <c r="U1410" i="1" s="1"/>
  <c r="AI1410" i="1"/>
  <c r="AJ1410" i="1"/>
  <c r="CX1410" i="1" s="1"/>
  <c r="W1410" i="1" s="1"/>
  <c r="CQ1410" i="1"/>
  <c r="CR1410" i="1"/>
  <c r="CS1410" i="1"/>
  <c r="CU1410" i="1"/>
  <c r="T1410" i="1" s="1"/>
  <c r="CW1410" i="1"/>
  <c r="V1410" i="1" s="1"/>
  <c r="FR1410" i="1"/>
  <c r="GL1410" i="1"/>
  <c r="GO1410" i="1"/>
  <c r="GP1410" i="1"/>
  <c r="GV1410" i="1"/>
  <c r="HC1410" i="1" s="1"/>
  <c r="GX1410" i="1" s="1"/>
  <c r="S1411" i="1"/>
  <c r="CY1411" i="1" s="1"/>
  <c r="X1411" i="1" s="1"/>
  <c r="AC1411" i="1"/>
  <c r="P1411" i="1" s="1"/>
  <c r="AE1411" i="1"/>
  <c r="AD1411" i="1" s="1"/>
  <c r="AF1411" i="1"/>
  <c r="AG1411" i="1"/>
  <c r="CU1411" i="1" s="1"/>
  <c r="T1411" i="1" s="1"/>
  <c r="AH1411" i="1"/>
  <c r="AI1411" i="1"/>
  <c r="CW1411" i="1" s="1"/>
  <c r="V1411" i="1" s="1"/>
  <c r="AJ1411" i="1"/>
  <c r="CR1411" i="1"/>
  <c r="CT1411" i="1"/>
  <c r="CV1411" i="1"/>
  <c r="U1411" i="1" s="1"/>
  <c r="CX1411" i="1"/>
  <c r="W1411" i="1" s="1"/>
  <c r="CZ1411" i="1"/>
  <c r="Y1411" i="1" s="1"/>
  <c r="FR1411" i="1"/>
  <c r="GL1411" i="1"/>
  <c r="GO1411" i="1"/>
  <c r="GP1411" i="1"/>
  <c r="GV1411" i="1"/>
  <c r="HC1411" i="1" s="1"/>
  <c r="GX1411" i="1" s="1"/>
  <c r="P1412" i="1"/>
  <c r="R1412" i="1"/>
  <c r="GK1412" i="1" s="1"/>
  <c r="AC1412" i="1"/>
  <c r="AD1412" i="1"/>
  <c r="AB1412" i="1" s="1"/>
  <c r="AE1412" i="1"/>
  <c r="Q1412" i="1" s="1"/>
  <c r="AF1412" i="1"/>
  <c r="S1412" i="1" s="1"/>
  <c r="AG1412" i="1"/>
  <c r="AH1412" i="1"/>
  <c r="CV1412" i="1" s="1"/>
  <c r="U1412" i="1" s="1"/>
  <c r="AI1412" i="1"/>
  <c r="AJ1412" i="1"/>
  <c r="CX1412" i="1" s="1"/>
  <c r="W1412" i="1" s="1"/>
  <c r="CQ1412" i="1"/>
  <c r="CR1412" i="1"/>
  <c r="CS1412" i="1"/>
  <c r="CU1412" i="1"/>
  <c r="T1412" i="1" s="1"/>
  <c r="CW1412" i="1"/>
  <c r="V1412" i="1" s="1"/>
  <c r="FR1412" i="1"/>
  <c r="GL1412" i="1"/>
  <c r="GO1412" i="1"/>
  <c r="GP1412" i="1"/>
  <c r="GV1412" i="1"/>
  <c r="HC1412" i="1" s="1"/>
  <c r="GX1412" i="1" s="1"/>
  <c r="S1413" i="1"/>
  <c r="CZ1413" i="1" s="1"/>
  <c r="Y1413" i="1" s="1"/>
  <c r="AC1413" i="1"/>
  <c r="AE1413" i="1"/>
  <c r="Q1413" i="1" s="1"/>
  <c r="AF1413" i="1"/>
  <c r="AG1413" i="1"/>
  <c r="CU1413" i="1" s="1"/>
  <c r="T1413" i="1" s="1"/>
  <c r="AH1413" i="1"/>
  <c r="AI1413" i="1"/>
  <c r="CW1413" i="1" s="1"/>
  <c r="V1413" i="1" s="1"/>
  <c r="AJ1413" i="1"/>
  <c r="CR1413" i="1"/>
  <c r="CT1413" i="1"/>
  <c r="CV1413" i="1"/>
  <c r="U1413" i="1" s="1"/>
  <c r="CX1413" i="1"/>
  <c r="W1413" i="1" s="1"/>
  <c r="FR1413" i="1"/>
  <c r="GL1413" i="1"/>
  <c r="GO1413" i="1"/>
  <c r="GP1413" i="1"/>
  <c r="GV1413" i="1"/>
  <c r="HC1413" i="1"/>
  <c r="GX1413" i="1" s="1"/>
  <c r="P1414" i="1"/>
  <c r="R1414" i="1"/>
  <c r="GK1414" i="1" s="1"/>
  <c r="AC1414" i="1"/>
  <c r="AD1414" i="1"/>
  <c r="AE1414" i="1"/>
  <c r="Q1414" i="1" s="1"/>
  <c r="AF1414" i="1"/>
  <c r="AB1414" i="1" s="1"/>
  <c r="AG1414" i="1"/>
  <c r="AH1414" i="1"/>
  <c r="CV1414" i="1" s="1"/>
  <c r="U1414" i="1" s="1"/>
  <c r="AI1414" i="1"/>
  <c r="AJ1414" i="1"/>
  <c r="CX1414" i="1" s="1"/>
  <c r="W1414" i="1" s="1"/>
  <c r="CQ1414" i="1"/>
  <c r="CR1414" i="1"/>
  <c r="CS1414" i="1"/>
  <c r="CU1414" i="1"/>
  <c r="T1414" i="1" s="1"/>
  <c r="CW1414" i="1"/>
  <c r="V1414" i="1" s="1"/>
  <c r="FR1414" i="1"/>
  <c r="GL1414" i="1"/>
  <c r="GO1414" i="1"/>
  <c r="GP1414" i="1"/>
  <c r="GV1414" i="1"/>
  <c r="HC1414" i="1" s="1"/>
  <c r="GX1414" i="1" s="1"/>
  <c r="S1415" i="1"/>
  <c r="CY1415" i="1" s="1"/>
  <c r="X1415" i="1" s="1"/>
  <c r="AC1415" i="1"/>
  <c r="P1415" i="1" s="1"/>
  <c r="AE1415" i="1"/>
  <c r="AD1415" i="1" s="1"/>
  <c r="AF1415" i="1"/>
  <c r="AG1415" i="1"/>
  <c r="CU1415" i="1" s="1"/>
  <c r="T1415" i="1" s="1"/>
  <c r="AH1415" i="1"/>
  <c r="AI1415" i="1"/>
  <c r="CW1415" i="1" s="1"/>
  <c r="V1415" i="1" s="1"/>
  <c r="AJ1415" i="1"/>
  <c r="CR1415" i="1"/>
  <c r="CT1415" i="1"/>
  <c r="CV1415" i="1"/>
  <c r="U1415" i="1" s="1"/>
  <c r="CX1415" i="1"/>
  <c r="W1415" i="1" s="1"/>
  <c r="CZ1415" i="1"/>
  <c r="Y1415" i="1" s="1"/>
  <c r="FR1415" i="1"/>
  <c r="GL1415" i="1"/>
  <c r="GO1415" i="1"/>
  <c r="GP1415" i="1"/>
  <c r="GV1415" i="1"/>
  <c r="HC1415" i="1" s="1"/>
  <c r="GX1415" i="1" s="1"/>
  <c r="P1416" i="1"/>
  <c r="R1416" i="1"/>
  <c r="GK1416" i="1" s="1"/>
  <c r="AC1416" i="1"/>
  <c r="AD1416" i="1"/>
  <c r="AB1416" i="1" s="1"/>
  <c r="AE1416" i="1"/>
  <c r="Q1416" i="1" s="1"/>
  <c r="AF1416" i="1"/>
  <c r="S1416" i="1" s="1"/>
  <c r="AG1416" i="1"/>
  <c r="AH1416" i="1"/>
  <c r="CV1416" i="1" s="1"/>
  <c r="U1416" i="1" s="1"/>
  <c r="AI1416" i="1"/>
  <c r="AJ1416" i="1"/>
  <c r="CX1416" i="1" s="1"/>
  <c r="W1416" i="1" s="1"/>
  <c r="CQ1416" i="1"/>
  <c r="CR1416" i="1"/>
  <c r="CS1416" i="1"/>
  <c r="CU1416" i="1"/>
  <c r="T1416" i="1" s="1"/>
  <c r="CW1416" i="1"/>
  <c r="V1416" i="1" s="1"/>
  <c r="FR1416" i="1"/>
  <c r="GL1416" i="1"/>
  <c r="GO1416" i="1"/>
  <c r="GP1416" i="1"/>
  <c r="GV1416" i="1"/>
  <c r="GX1416" i="1"/>
  <c r="HC1416" i="1"/>
  <c r="B1418" i="1"/>
  <c r="B1389" i="1" s="1"/>
  <c r="C1418" i="1"/>
  <c r="C1389" i="1" s="1"/>
  <c r="D1418" i="1"/>
  <c r="D1389" i="1" s="1"/>
  <c r="F1418" i="1"/>
  <c r="G1418" i="1"/>
  <c r="G1389" i="1" s="1"/>
  <c r="AF1418" i="1"/>
  <c r="AF1389" i="1" s="1"/>
  <c r="BX1418" i="1"/>
  <c r="BX1389" i="1" s="1"/>
  <c r="BZ1418" i="1"/>
  <c r="BZ1389" i="1" s="1"/>
  <c r="CC1418" i="1"/>
  <c r="AT1418" i="1" s="1"/>
  <c r="CD1418" i="1"/>
  <c r="CD1389" i="1" s="1"/>
  <c r="CG1418" i="1"/>
  <c r="AX1418" i="1" s="1"/>
  <c r="CK1418" i="1"/>
  <c r="BB1418" i="1" s="1"/>
  <c r="CL1418" i="1"/>
  <c r="CL1389" i="1" s="1"/>
  <c r="CM1418" i="1"/>
  <c r="CM1389" i="1" s="1"/>
  <c r="FP1418" i="1"/>
  <c r="FP1389" i="1" s="1"/>
  <c r="FU1418" i="1"/>
  <c r="EL1418" i="1" s="1"/>
  <c r="GC1418" i="1"/>
  <c r="ET1418" i="1" s="1"/>
  <c r="GD1418" i="1"/>
  <c r="EU1418" i="1" s="1"/>
  <c r="GE1418" i="1"/>
  <c r="GE1389" i="1" s="1"/>
  <c r="B1448" i="1"/>
  <c r="B1326" i="1" s="1"/>
  <c r="C1448" i="1"/>
  <c r="C1326" i="1" s="1"/>
  <c r="D1448" i="1"/>
  <c r="D1326" i="1" s="1"/>
  <c r="F1448" i="1"/>
  <c r="F1326" i="1" s="1"/>
  <c r="G1448" i="1"/>
  <c r="G1326" i="1" s="1"/>
  <c r="D1478" i="1"/>
  <c r="E1480" i="1"/>
  <c r="G1480" i="1"/>
  <c r="Z1480" i="1"/>
  <c r="AA1480" i="1"/>
  <c r="AM1480" i="1"/>
  <c r="AN1480" i="1"/>
  <c r="BE1480" i="1"/>
  <c r="BF1480" i="1"/>
  <c r="BG1480" i="1"/>
  <c r="BH1480" i="1"/>
  <c r="BI1480" i="1"/>
  <c r="BJ1480" i="1"/>
  <c r="BK1480" i="1"/>
  <c r="BL1480" i="1"/>
  <c r="BM1480" i="1"/>
  <c r="BN1480" i="1"/>
  <c r="BO1480" i="1"/>
  <c r="BP1480" i="1"/>
  <c r="BQ1480" i="1"/>
  <c r="BR1480" i="1"/>
  <c r="BS1480" i="1"/>
  <c r="BT1480" i="1"/>
  <c r="BU1480" i="1"/>
  <c r="BV1480" i="1"/>
  <c r="BW1480" i="1"/>
  <c r="CN1480" i="1"/>
  <c r="CO1480" i="1"/>
  <c r="CP1480" i="1"/>
  <c r="CQ1480" i="1"/>
  <c r="CR1480" i="1"/>
  <c r="CS1480" i="1"/>
  <c r="CT1480" i="1"/>
  <c r="CU1480" i="1"/>
  <c r="CV1480" i="1"/>
  <c r="CW1480" i="1"/>
  <c r="CX1480" i="1"/>
  <c r="CY1480" i="1"/>
  <c r="CZ1480" i="1"/>
  <c r="DA1480" i="1"/>
  <c r="DB1480" i="1"/>
  <c r="DC1480" i="1"/>
  <c r="DD1480" i="1"/>
  <c r="DE1480" i="1"/>
  <c r="DF1480" i="1"/>
  <c r="DR1480" i="1"/>
  <c r="DS1480" i="1"/>
  <c r="EE1480" i="1"/>
  <c r="EF1480" i="1"/>
  <c r="EW1480" i="1"/>
  <c r="EX1480" i="1"/>
  <c r="EY1480" i="1"/>
  <c r="EZ1480" i="1"/>
  <c r="FA1480" i="1"/>
  <c r="FB1480" i="1"/>
  <c r="FC1480" i="1"/>
  <c r="FD1480" i="1"/>
  <c r="FE1480" i="1"/>
  <c r="FF1480" i="1"/>
  <c r="FG1480" i="1"/>
  <c r="FH1480" i="1"/>
  <c r="FI1480" i="1"/>
  <c r="FJ1480" i="1"/>
  <c r="FK1480" i="1"/>
  <c r="FL1480" i="1"/>
  <c r="FM1480" i="1"/>
  <c r="FN1480" i="1"/>
  <c r="FO1480" i="1"/>
  <c r="FP1480" i="1"/>
  <c r="GF1480" i="1"/>
  <c r="GG1480" i="1"/>
  <c r="GH1480" i="1"/>
  <c r="GI1480" i="1"/>
  <c r="GJ1480" i="1"/>
  <c r="GK1480" i="1"/>
  <c r="GL1480" i="1"/>
  <c r="GM1480" i="1"/>
  <c r="GN1480" i="1"/>
  <c r="GO1480" i="1"/>
  <c r="GP1480" i="1"/>
  <c r="GQ1480" i="1"/>
  <c r="GR1480" i="1"/>
  <c r="GS1480" i="1"/>
  <c r="GT1480" i="1"/>
  <c r="GU1480" i="1"/>
  <c r="GV1480" i="1"/>
  <c r="GW1480" i="1"/>
  <c r="GX1480" i="1"/>
  <c r="T1482" i="1"/>
  <c r="AG1485" i="1" s="1"/>
  <c r="AB1482" i="1"/>
  <c r="AC1482" i="1"/>
  <c r="AD1482" i="1"/>
  <c r="AE1482" i="1"/>
  <c r="AF1482" i="1"/>
  <c r="AG1482" i="1"/>
  <c r="AH1482" i="1"/>
  <c r="AI1482" i="1"/>
  <c r="AJ1482" i="1"/>
  <c r="CP1482" i="1"/>
  <c r="O1482" i="1" s="1"/>
  <c r="CQ1482" i="1"/>
  <c r="P1482" i="1" s="1"/>
  <c r="AC1485" i="1" s="1"/>
  <c r="CR1482" i="1"/>
  <c r="Q1482" i="1" s="1"/>
  <c r="AD1485" i="1" s="1"/>
  <c r="CS1482" i="1"/>
  <c r="R1482" i="1" s="1"/>
  <c r="CT1482" i="1"/>
  <c r="S1482" i="1" s="1"/>
  <c r="AF1485" i="1" s="1"/>
  <c r="CU1482" i="1"/>
  <c r="CV1482" i="1"/>
  <c r="U1482" i="1" s="1"/>
  <c r="AH1485" i="1" s="1"/>
  <c r="CW1482" i="1"/>
  <c r="V1482" i="1" s="1"/>
  <c r="AI1485" i="1" s="1"/>
  <c r="CX1482" i="1"/>
  <c r="W1482" i="1" s="1"/>
  <c r="AJ1485" i="1" s="1"/>
  <c r="CY1482" i="1"/>
  <c r="X1482" i="1" s="1"/>
  <c r="AK1485" i="1" s="1"/>
  <c r="CZ1482" i="1"/>
  <c r="Y1482" i="1" s="1"/>
  <c r="AL1485" i="1" s="1"/>
  <c r="FR1482" i="1"/>
  <c r="BY1485" i="1" s="1"/>
  <c r="GL1482" i="1"/>
  <c r="BZ1485" i="1" s="1"/>
  <c r="GO1482" i="1"/>
  <c r="CC1485" i="1" s="1"/>
  <c r="GP1482" i="1"/>
  <c r="CD1485" i="1" s="1"/>
  <c r="GV1482" i="1"/>
  <c r="GX1482" i="1"/>
  <c r="HC1482" i="1"/>
  <c r="AB1483" i="1"/>
  <c r="AC1483" i="1"/>
  <c r="T1483" i="1" s="1"/>
  <c r="DY1485" i="1" s="1"/>
  <c r="AD1483" i="1"/>
  <c r="AE1483" i="1"/>
  <c r="AF1483" i="1"/>
  <c r="AG1483" i="1"/>
  <c r="AH1483" i="1"/>
  <c r="AI1483" i="1"/>
  <c r="AJ1483" i="1"/>
  <c r="CP1483" i="1"/>
  <c r="O1483" i="1" s="1"/>
  <c r="CQ1483" i="1"/>
  <c r="P1483" i="1" s="1"/>
  <c r="DU1485" i="1" s="1"/>
  <c r="CR1483" i="1"/>
  <c r="Q1483" i="1" s="1"/>
  <c r="DV1485" i="1" s="1"/>
  <c r="CS1483" i="1"/>
  <c r="R1483" i="1" s="1"/>
  <c r="CT1483" i="1"/>
  <c r="S1483" i="1" s="1"/>
  <c r="CV1483" i="1"/>
  <c r="U1483" i="1" s="1"/>
  <c r="DZ1485" i="1" s="1"/>
  <c r="CW1483" i="1"/>
  <c r="V1483" i="1" s="1"/>
  <c r="EA1485" i="1" s="1"/>
  <c r="CX1483" i="1"/>
  <c r="W1483" i="1" s="1"/>
  <c r="EB1485" i="1" s="1"/>
  <c r="FR1483" i="1"/>
  <c r="GL1483" i="1"/>
  <c r="GO1483" i="1"/>
  <c r="FU1485" i="1" s="1"/>
  <c r="GP1483" i="1"/>
  <c r="GV1483" i="1"/>
  <c r="HC1483" i="1"/>
  <c r="GX1483" i="1" s="1"/>
  <c r="GB1485" i="1" s="1"/>
  <c r="B1485" i="1"/>
  <c r="B1480" i="1" s="1"/>
  <c r="C1485" i="1"/>
  <c r="C1480" i="1" s="1"/>
  <c r="D1485" i="1"/>
  <c r="D1480" i="1" s="1"/>
  <c r="F1485" i="1"/>
  <c r="F1480" i="1" s="1"/>
  <c r="G1485" i="1"/>
  <c r="BX1485" i="1"/>
  <c r="AO1485" i="1" s="1"/>
  <c r="CJ1485" i="1"/>
  <c r="CJ1480" i="1" s="1"/>
  <c r="CK1485" i="1"/>
  <c r="CK1480" i="1" s="1"/>
  <c r="CL1485" i="1"/>
  <c r="BC1485" i="1" s="1"/>
  <c r="CM1485" i="1"/>
  <c r="CM1480" i="1" s="1"/>
  <c r="FP1485" i="1"/>
  <c r="EG1485" i="1" s="1"/>
  <c r="FQ1485" i="1"/>
  <c r="EH1485" i="1" s="1"/>
  <c r="FR1485" i="1"/>
  <c r="FR1480" i="1" s="1"/>
  <c r="FV1485" i="1"/>
  <c r="FV1480" i="1" s="1"/>
  <c r="GC1485" i="1"/>
  <c r="ET1485" i="1" s="1"/>
  <c r="GD1485" i="1"/>
  <c r="EU1485" i="1" s="1"/>
  <c r="GE1485" i="1"/>
  <c r="GE1480" i="1" s="1"/>
  <c r="B1515" i="1"/>
  <c r="B18" i="1" s="1"/>
  <c r="C1515" i="1"/>
  <c r="C18" i="1" s="1"/>
  <c r="D1515" i="1"/>
  <c r="D18" i="1" s="1"/>
  <c r="F1515" i="1"/>
  <c r="F18" i="1" s="1"/>
  <c r="G1515" i="1"/>
  <c r="G18" i="1" s="1"/>
  <c r="E535" i="9" l="1"/>
  <c r="E307" i="9"/>
  <c r="E482" i="9"/>
  <c r="E287" i="9"/>
  <c r="E491" i="9"/>
  <c r="E355" i="9"/>
  <c r="E493" i="9"/>
  <c r="E69" i="9"/>
  <c r="E171" i="9"/>
  <c r="E172" i="9"/>
  <c r="E93" i="9"/>
  <c r="E319" i="9"/>
  <c r="E345" i="9"/>
  <c r="E501" i="9"/>
  <c r="E533" i="9"/>
  <c r="E537" i="9"/>
  <c r="E530" i="9"/>
  <c r="E534" i="9"/>
  <c r="E506" i="9"/>
  <c r="E447" i="9"/>
  <c r="E425" i="9"/>
  <c r="F36" i="9"/>
  <c r="F208" i="9"/>
  <c r="E224" i="9" s="1"/>
  <c r="F101" i="9"/>
  <c r="E162" i="9" s="1"/>
  <c r="E43" i="9"/>
  <c r="E384" i="9"/>
  <c r="E274" i="9"/>
  <c r="E305" i="9"/>
  <c r="E347" i="9"/>
  <c r="E342" i="9"/>
  <c r="E518" i="9"/>
  <c r="E492" i="9"/>
  <c r="E361" i="9"/>
  <c r="E192" i="9"/>
  <c r="E372" i="9"/>
  <c r="F180" i="9"/>
  <c r="E65" i="9"/>
  <c r="E526" i="9"/>
  <c r="E554" i="9"/>
  <c r="E302" i="9"/>
  <c r="E309" i="9"/>
  <c r="E299" i="9"/>
  <c r="F226" i="9"/>
  <c r="F236" i="9"/>
  <c r="J1652" i="6"/>
  <c r="J1683" i="6"/>
  <c r="J1424" i="6"/>
  <c r="H630" i="6"/>
  <c r="H627" i="6"/>
  <c r="H1131" i="6"/>
  <c r="H661" i="6"/>
  <c r="O286" i="6"/>
  <c r="O727" i="6"/>
  <c r="P1426" i="6"/>
  <c r="H1683" i="6"/>
  <c r="H1652" i="6"/>
  <c r="H1522" i="6"/>
  <c r="O1465" i="6"/>
  <c r="H1489" i="6" s="1"/>
  <c r="P1536" i="6"/>
  <c r="P1289" i="6"/>
  <c r="J1147" i="6"/>
  <c r="J1550" i="6"/>
  <c r="H1216" i="6"/>
  <c r="H372" i="6"/>
  <c r="H591" i="6"/>
  <c r="J514" i="6"/>
  <c r="O691" i="6"/>
  <c r="H818" i="6" s="1"/>
  <c r="O331" i="6"/>
  <c r="J1599" i="6"/>
  <c r="H1550" i="6"/>
  <c r="H1463" i="6"/>
  <c r="J1346" i="6"/>
  <c r="J1580" i="6"/>
  <c r="H1694" i="6"/>
  <c r="H1698" i="6"/>
  <c r="I29" i="6"/>
  <c r="J1597" i="6"/>
  <c r="H1296" i="6"/>
  <c r="H1114" i="6"/>
  <c r="J1145" i="6"/>
  <c r="H1088" i="6"/>
  <c r="H1045" i="6"/>
  <c r="J1026" i="6"/>
  <c r="H814" i="6"/>
  <c r="J1088" i="6"/>
  <c r="J1045" i="6"/>
  <c r="P514" i="6"/>
  <c r="J559" i="6" s="1"/>
  <c r="H1129" i="6"/>
  <c r="H219" i="6"/>
  <c r="J119" i="6"/>
  <c r="J1445" i="6"/>
  <c r="H1346" i="6"/>
  <c r="H1580" i="6"/>
  <c r="J1612" i="6"/>
  <c r="H1445" i="6"/>
  <c r="H1387" i="6"/>
  <c r="J1245" i="6"/>
  <c r="P1162" i="6"/>
  <c r="J1296" i="6" s="1"/>
  <c r="P1216" i="6"/>
  <c r="J814" i="6"/>
  <c r="H119" i="6"/>
  <c r="H595" i="6"/>
  <c r="H269" i="6"/>
  <c r="J1696" i="6"/>
  <c r="J49" i="6"/>
  <c r="J123" i="6"/>
  <c r="J818" i="6"/>
  <c r="J630" i="6"/>
  <c r="P182" i="6"/>
  <c r="J595" i="6" s="1"/>
  <c r="H1696" i="6"/>
  <c r="H49" i="6"/>
  <c r="H123" i="6"/>
  <c r="P1489" i="1"/>
  <c r="EG1480" i="1"/>
  <c r="DX1485" i="1"/>
  <c r="CY1483" i="1"/>
  <c r="X1483" i="1" s="1"/>
  <c r="EC1485" i="1" s="1"/>
  <c r="CZ1483" i="1"/>
  <c r="Y1483" i="1" s="1"/>
  <c r="ED1485" i="1" s="1"/>
  <c r="CI1485" i="1"/>
  <c r="BY1480" i="1"/>
  <c r="AP1485" i="1"/>
  <c r="CY1400" i="1"/>
  <c r="X1400" i="1" s="1"/>
  <c r="CZ1400" i="1"/>
  <c r="Y1400" i="1" s="1"/>
  <c r="CP1395" i="1"/>
  <c r="O1395" i="1" s="1"/>
  <c r="DY1418" i="1"/>
  <c r="EB1418" i="1"/>
  <c r="AJ1418" i="1"/>
  <c r="CI1330" i="1"/>
  <c r="AZ1357" i="1"/>
  <c r="CP1355" i="1"/>
  <c r="O1355" i="1" s="1"/>
  <c r="CP1347" i="1"/>
  <c r="O1347" i="1" s="1"/>
  <c r="CD1330" i="1"/>
  <c r="AU1357" i="1"/>
  <c r="GB1357" i="1"/>
  <c r="EM1357" i="1"/>
  <c r="FV1330" i="1"/>
  <c r="DY1357" i="1"/>
  <c r="EB1357" i="1"/>
  <c r="CY1333" i="1"/>
  <c r="X1333" i="1" s="1"/>
  <c r="CZ1333" i="1"/>
  <c r="Y1333" i="1" s="1"/>
  <c r="CJ1357" i="1"/>
  <c r="F1289" i="1"/>
  <c r="BD1255" i="1"/>
  <c r="CP1262" i="1"/>
  <c r="O1262" i="1" s="1"/>
  <c r="EA1264" i="1"/>
  <c r="AH1264" i="1"/>
  <c r="AI1264" i="1"/>
  <c r="CY1211" i="1"/>
  <c r="X1211" i="1" s="1"/>
  <c r="CZ1211" i="1"/>
  <c r="Y1211" i="1" s="1"/>
  <c r="CY1208" i="1"/>
  <c r="X1208" i="1" s="1"/>
  <c r="CZ1208" i="1"/>
  <c r="Y1208" i="1" s="1"/>
  <c r="BZ1188" i="1"/>
  <c r="CG1223" i="1"/>
  <c r="AQ1223" i="1"/>
  <c r="CP1206" i="1"/>
  <c r="O1206" i="1" s="1"/>
  <c r="DZ1223" i="1"/>
  <c r="AH1223" i="1"/>
  <c r="DY1480" i="1"/>
  <c r="DL1485" i="1"/>
  <c r="GK1482" i="1"/>
  <c r="AE1485" i="1"/>
  <c r="F1489" i="1"/>
  <c r="AO1480" i="1"/>
  <c r="DO1485" i="1"/>
  <c r="EB1480" i="1"/>
  <c r="DW1485" i="1"/>
  <c r="GK1483" i="1"/>
  <c r="AU1485" i="1"/>
  <c r="CD1480" i="1"/>
  <c r="AL1480" i="1"/>
  <c r="Y1485" i="1"/>
  <c r="U1485" i="1"/>
  <c r="AH1480" i="1"/>
  <c r="AD1480" i="1"/>
  <c r="Q1485" i="1"/>
  <c r="T1485" i="1"/>
  <c r="AG1480" i="1"/>
  <c r="P1431" i="1"/>
  <c r="ET1389" i="1"/>
  <c r="AT1389" i="1"/>
  <c r="F1436" i="1"/>
  <c r="CP1414" i="1"/>
  <c r="O1414" i="1" s="1"/>
  <c r="EM1418" i="1"/>
  <c r="FV1389" i="1"/>
  <c r="FR1403" i="1"/>
  <c r="AB1397" i="1"/>
  <c r="GB1418" i="1"/>
  <c r="DV1418" i="1"/>
  <c r="AH1418" i="1"/>
  <c r="AI1418" i="1"/>
  <c r="CP1391" i="1"/>
  <c r="O1391" i="1" s="1"/>
  <c r="EH1357" i="1"/>
  <c r="FQ1330" i="1"/>
  <c r="GA1357" i="1"/>
  <c r="CY1340" i="1"/>
  <c r="X1340" i="1" s="1"/>
  <c r="CZ1340" i="1"/>
  <c r="Y1340" i="1" s="1"/>
  <c r="CY1335" i="1"/>
  <c r="X1335" i="1" s="1"/>
  <c r="CZ1335" i="1"/>
  <c r="Y1335" i="1" s="1"/>
  <c r="CP1333" i="1"/>
  <c r="O1333" i="1" s="1"/>
  <c r="AG1357" i="1"/>
  <c r="AO1255" i="1"/>
  <c r="F1268" i="1"/>
  <c r="DY1264" i="1"/>
  <c r="EB1264" i="1"/>
  <c r="CJ1264" i="1"/>
  <c r="AC1264" i="1"/>
  <c r="CY1218" i="1"/>
  <c r="X1218" i="1" s="1"/>
  <c r="CZ1218" i="1"/>
  <c r="Y1218" i="1" s="1"/>
  <c r="AP1223" i="1"/>
  <c r="CI1223" i="1"/>
  <c r="BY1188" i="1"/>
  <c r="CY1213" i="1"/>
  <c r="X1213" i="1" s="1"/>
  <c r="CZ1213" i="1"/>
  <c r="Y1213" i="1" s="1"/>
  <c r="FR1188" i="1"/>
  <c r="FY1223" i="1"/>
  <c r="EI1223" i="1"/>
  <c r="CP1211" i="1"/>
  <c r="O1211" i="1" s="1"/>
  <c r="CP1208" i="1"/>
  <c r="O1208" i="1" s="1"/>
  <c r="CY1202" i="1"/>
  <c r="X1202" i="1" s="1"/>
  <c r="CZ1202" i="1"/>
  <c r="Y1202" i="1" s="1"/>
  <c r="AI1223" i="1"/>
  <c r="GB1223" i="1"/>
  <c r="EU1480" i="1"/>
  <c r="P1501" i="1"/>
  <c r="P1498" i="1"/>
  <c r="ET1480" i="1"/>
  <c r="DT1485" i="1"/>
  <c r="GM1483" i="1"/>
  <c r="FS1485" i="1" s="1"/>
  <c r="AI1480" i="1"/>
  <c r="V1485" i="1"/>
  <c r="EU1389" i="1"/>
  <c r="P1434" i="1"/>
  <c r="F1501" i="1"/>
  <c r="BC1480" i="1"/>
  <c r="EL1485" i="1"/>
  <c r="FU1480" i="1"/>
  <c r="EA1480" i="1"/>
  <c r="DN1485" i="1"/>
  <c r="DV1480" i="1"/>
  <c r="DI1485" i="1"/>
  <c r="CC1480" i="1"/>
  <c r="AT1485" i="1"/>
  <c r="X1485" i="1"/>
  <c r="AK1480" i="1"/>
  <c r="CH1485" i="1"/>
  <c r="P1485" i="1"/>
  <c r="CE1485" i="1"/>
  <c r="AC1480" i="1"/>
  <c r="CF1485" i="1"/>
  <c r="P1436" i="1"/>
  <c r="EL1389" i="1"/>
  <c r="F1431" i="1"/>
  <c r="BB1389" i="1"/>
  <c r="CY1416" i="1"/>
  <c r="X1416" i="1" s="1"/>
  <c r="CZ1416" i="1"/>
  <c r="Y1416" i="1" s="1"/>
  <c r="CY1412" i="1"/>
  <c r="X1412" i="1" s="1"/>
  <c r="CZ1412" i="1"/>
  <c r="Y1412" i="1" s="1"/>
  <c r="AB1409" i="1"/>
  <c r="CY1408" i="1"/>
  <c r="X1408" i="1" s="1"/>
  <c r="CZ1408" i="1"/>
  <c r="Y1408" i="1" s="1"/>
  <c r="FZ1418" i="1"/>
  <c r="DH1418" i="1"/>
  <c r="DU1389" i="1"/>
  <c r="FW1418" i="1"/>
  <c r="FX1418" i="1"/>
  <c r="FR1399" i="1"/>
  <c r="CY1396" i="1"/>
  <c r="X1396" i="1" s="1"/>
  <c r="CZ1396" i="1"/>
  <c r="Y1396" i="1" s="1"/>
  <c r="DZ1418" i="1"/>
  <c r="CJ1418" i="1"/>
  <c r="AB1393" i="1"/>
  <c r="EU1330" i="1"/>
  <c r="P1373" i="1"/>
  <c r="EU1448" i="1"/>
  <c r="CY1350" i="1"/>
  <c r="X1350" i="1" s="1"/>
  <c r="CZ1350" i="1"/>
  <c r="Y1350" i="1" s="1"/>
  <c r="CY1342" i="1"/>
  <c r="X1342" i="1" s="1"/>
  <c r="CZ1342" i="1"/>
  <c r="Y1342" i="1" s="1"/>
  <c r="CG1357" i="1"/>
  <c r="BZ1330" i="1"/>
  <c r="AQ1357" i="1"/>
  <c r="CP1340" i="1"/>
  <c r="O1340" i="1" s="1"/>
  <c r="CY1337" i="1"/>
  <c r="X1337" i="1" s="1"/>
  <c r="CZ1337" i="1"/>
  <c r="Y1337" i="1" s="1"/>
  <c r="FY1357" i="1"/>
  <c r="EI1357" i="1"/>
  <c r="FR1330" i="1"/>
  <c r="CP1335" i="1"/>
  <c r="O1335" i="1" s="1"/>
  <c r="DZ1357" i="1"/>
  <c r="AJ1357" i="1"/>
  <c r="FY1264" i="1"/>
  <c r="FR1255" i="1"/>
  <c r="EI1264" i="1"/>
  <c r="DU1264" i="1"/>
  <c r="AG1264" i="1"/>
  <c r="EV1188" i="1"/>
  <c r="P1248" i="1"/>
  <c r="GA1188" i="1"/>
  <c r="ER1223" i="1"/>
  <c r="BB1188" i="1"/>
  <c r="F1236" i="1"/>
  <c r="CY1220" i="1"/>
  <c r="X1220" i="1" s="1"/>
  <c r="CZ1220" i="1"/>
  <c r="Y1220" i="1" s="1"/>
  <c r="CP1218" i="1"/>
  <c r="O1218" i="1" s="1"/>
  <c r="CY1215" i="1"/>
  <c r="X1215" i="1" s="1"/>
  <c r="CZ1215" i="1"/>
  <c r="Y1215" i="1" s="1"/>
  <c r="CP1213" i="1"/>
  <c r="O1213" i="1" s="1"/>
  <c r="CD1188" i="1"/>
  <c r="AU1223" i="1"/>
  <c r="CY1204" i="1"/>
  <c r="X1204" i="1" s="1"/>
  <c r="CZ1204" i="1"/>
  <c r="Y1204" i="1" s="1"/>
  <c r="GN1202" i="1"/>
  <c r="GM1202" i="1"/>
  <c r="AG1223" i="1"/>
  <c r="BY1125" i="1"/>
  <c r="AP1156" i="1"/>
  <c r="P1494" i="1"/>
  <c r="G23" i="2" s="1"/>
  <c r="EH1480" i="1"/>
  <c r="GB1480" i="1"/>
  <c r="ES1485" i="1"/>
  <c r="DM1485" i="1"/>
  <c r="DZ1480" i="1"/>
  <c r="FX1485" i="1"/>
  <c r="FZ1485" i="1"/>
  <c r="DU1480" i="1"/>
  <c r="DH1485" i="1"/>
  <c r="FW1485" i="1"/>
  <c r="BZ1480" i="1"/>
  <c r="AQ1485" i="1"/>
  <c r="AJ1480" i="1"/>
  <c r="W1485" i="1"/>
  <c r="AF1480" i="1"/>
  <c r="S1485" i="1"/>
  <c r="GN1482" i="1"/>
  <c r="CB1485" i="1" s="1"/>
  <c r="GM1482" i="1"/>
  <c r="CA1485" i="1" s="1"/>
  <c r="AB1485" i="1"/>
  <c r="F1425" i="1"/>
  <c r="AX1389" i="1"/>
  <c r="CP1416" i="1"/>
  <c r="O1416" i="1" s="1"/>
  <c r="CP1412" i="1"/>
  <c r="O1412" i="1" s="1"/>
  <c r="EI1418" i="1"/>
  <c r="FR1389" i="1"/>
  <c r="FY1418" i="1"/>
  <c r="CP1408" i="1"/>
  <c r="O1408" i="1" s="1"/>
  <c r="EH1418" i="1"/>
  <c r="FQ1389" i="1"/>
  <c r="GA1418" i="1"/>
  <c r="CY1404" i="1"/>
  <c r="X1404" i="1" s="1"/>
  <c r="CZ1404" i="1"/>
  <c r="Y1404" i="1" s="1"/>
  <c r="CP1402" i="1"/>
  <c r="O1402" i="1" s="1"/>
  <c r="EA1418" i="1"/>
  <c r="AG1418" i="1"/>
  <c r="AL1418" i="1"/>
  <c r="CY1392" i="1"/>
  <c r="X1392" i="1" s="1"/>
  <c r="CZ1392" i="1"/>
  <c r="Y1392" i="1" s="1"/>
  <c r="ET1448" i="1"/>
  <c r="P1370" i="1"/>
  <c r="ET1330" i="1"/>
  <c r="CY1355" i="1"/>
  <c r="X1355" i="1" s="1"/>
  <c r="CZ1355" i="1"/>
  <c r="Y1355" i="1" s="1"/>
  <c r="CY1352" i="1"/>
  <c r="X1352" i="1" s="1"/>
  <c r="GM1352" i="1" s="1"/>
  <c r="CZ1352" i="1"/>
  <c r="Y1352" i="1" s="1"/>
  <c r="CP1350" i="1"/>
  <c r="O1350" i="1" s="1"/>
  <c r="CY1347" i="1"/>
  <c r="X1347" i="1" s="1"/>
  <c r="CZ1347" i="1"/>
  <c r="Y1347" i="1" s="1"/>
  <c r="CY1344" i="1"/>
  <c r="X1344" i="1" s="1"/>
  <c r="GM1344" i="1" s="1"/>
  <c r="CZ1344" i="1"/>
  <c r="Y1344" i="1" s="1"/>
  <c r="CP1342" i="1"/>
  <c r="O1342" i="1" s="1"/>
  <c r="CP1339" i="1"/>
  <c r="O1339" i="1" s="1"/>
  <c r="GN1337" i="1"/>
  <c r="GM1337" i="1"/>
  <c r="EA1357" i="1"/>
  <c r="AH1357" i="1"/>
  <c r="AI1357" i="1"/>
  <c r="CY1262" i="1"/>
  <c r="X1262" i="1" s="1"/>
  <c r="CZ1262" i="1"/>
  <c r="Y1262" i="1" s="1"/>
  <c r="BZ1255" i="1"/>
  <c r="CG1264" i="1"/>
  <c r="AQ1264" i="1"/>
  <c r="GB1264" i="1"/>
  <c r="FQ1255" i="1"/>
  <c r="EH1264" i="1"/>
  <c r="GA1264" i="1"/>
  <c r="DZ1264" i="1"/>
  <c r="AJ1264" i="1"/>
  <c r="GN1220" i="1"/>
  <c r="GM1220" i="1"/>
  <c r="GN1215" i="1"/>
  <c r="GM1215" i="1"/>
  <c r="FV1188" i="1"/>
  <c r="EM1223" i="1"/>
  <c r="CY1206" i="1"/>
  <c r="X1206" i="1" s="1"/>
  <c r="CZ1206" i="1"/>
  <c r="Y1206" i="1" s="1"/>
  <c r="GN1204" i="1"/>
  <c r="GM1204" i="1"/>
  <c r="EA1223" i="1"/>
  <c r="DY1223" i="1"/>
  <c r="EM1485" i="1"/>
  <c r="EI1485" i="1"/>
  <c r="BA1485" i="1"/>
  <c r="BX1480" i="1"/>
  <c r="GD1480" i="1"/>
  <c r="CL1480" i="1"/>
  <c r="GA1485" i="1"/>
  <c r="EV1485" i="1"/>
  <c r="CG1485" i="1"/>
  <c r="BB1485" i="1"/>
  <c r="CU1483" i="1"/>
  <c r="GC1480" i="1"/>
  <c r="FQ1480" i="1"/>
  <c r="EG1418" i="1"/>
  <c r="DW1418" i="1"/>
  <c r="BC1418" i="1"/>
  <c r="AU1418" i="1"/>
  <c r="AQ1418" i="1"/>
  <c r="S1418" i="1"/>
  <c r="CS1415" i="1"/>
  <c r="AB1415" i="1"/>
  <c r="R1415" i="1"/>
  <c r="GK1415" i="1" s="1"/>
  <c r="CT1414" i="1"/>
  <c r="S1414" i="1"/>
  <c r="CY1413" i="1"/>
  <c r="X1413" i="1" s="1"/>
  <c r="CQ1413" i="1"/>
  <c r="AD1413" i="1"/>
  <c r="AB1413" i="1" s="1"/>
  <c r="P1413" i="1"/>
  <c r="CP1413" i="1" s="1"/>
  <c r="O1413" i="1" s="1"/>
  <c r="CS1411" i="1"/>
  <c r="AB1411" i="1"/>
  <c r="R1411" i="1"/>
  <c r="GK1411" i="1" s="1"/>
  <c r="CT1410" i="1"/>
  <c r="S1410" i="1"/>
  <c r="CP1410" i="1" s="1"/>
  <c r="O1410" i="1" s="1"/>
  <c r="CY1409" i="1"/>
  <c r="X1409" i="1" s="1"/>
  <c r="CQ1409" i="1"/>
  <c r="AD1409" i="1"/>
  <c r="P1409" i="1"/>
  <c r="CP1409" i="1" s="1"/>
  <c r="O1409" i="1" s="1"/>
  <c r="CS1407" i="1"/>
  <c r="AB1407" i="1"/>
  <c r="R1407" i="1"/>
  <c r="GK1407" i="1" s="1"/>
  <c r="CT1406" i="1"/>
  <c r="CP1406" i="1"/>
  <c r="O1406" i="1" s="1"/>
  <c r="S1406" i="1"/>
  <c r="CY1405" i="1"/>
  <c r="X1405" i="1" s="1"/>
  <c r="CQ1405" i="1"/>
  <c r="AD1405" i="1"/>
  <c r="AB1405" i="1" s="1"/>
  <c r="P1405" i="1"/>
  <c r="CS1403" i="1"/>
  <c r="AB1403" i="1"/>
  <c r="R1403" i="1"/>
  <c r="GK1403" i="1" s="1"/>
  <c r="CT1402" i="1"/>
  <c r="S1402" i="1"/>
  <c r="CY1401" i="1"/>
  <c r="X1401" i="1" s="1"/>
  <c r="CQ1401" i="1"/>
  <c r="AD1401" i="1"/>
  <c r="AB1401" i="1" s="1"/>
  <c r="P1401" i="1"/>
  <c r="CS1399" i="1"/>
  <c r="AB1399" i="1"/>
  <c r="R1399" i="1"/>
  <c r="GK1399" i="1" s="1"/>
  <c r="CT1398" i="1"/>
  <c r="S1398" i="1"/>
  <c r="CP1398" i="1" s="1"/>
  <c r="O1398" i="1" s="1"/>
  <c r="CY1397" i="1"/>
  <c r="X1397" i="1" s="1"/>
  <c r="CQ1397" i="1"/>
  <c r="AD1397" i="1"/>
  <c r="P1397" i="1"/>
  <c r="CR1396" i="1"/>
  <c r="Q1396" i="1" s="1"/>
  <c r="CP1396" i="1" s="1"/>
  <c r="O1396" i="1" s="1"/>
  <c r="AB1395" i="1"/>
  <c r="CT1394" i="1"/>
  <c r="S1394" i="1"/>
  <c r="CP1394" i="1" s="1"/>
  <c r="O1394" i="1" s="1"/>
  <c r="CY1393" i="1"/>
  <c r="X1393" i="1" s="1"/>
  <c r="AK1418" i="1" s="1"/>
  <c r="CQ1393" i="1"/>
  <c r="AD1393" i="1"/>
  <c r="P1393" i="1"/>
  <c r="CR1392" i="1"/>
  <c r="Q1392" i="1" s="1"/>
  <c r="CP1392" i="1" s="1"/>
  <c r="O1392" i="1" s="1"/>
  <c r="AB1391" i="1"/>
  <c r="GD1389" i="1"/>
  <c r="EG1357" i="1"/>
  <c r="DW1357" i="1"/>
  <c r="BC1357" i="1"/>
  <c r="CY1354" i="1"/>
  <c r="X1354" i="1" s="1"/>
  <c r="CQ1354" i="1"/>
  <c r="AD1354" i="1"/>
  <c r="AB1354" i="1" s="1"/>
  <c r="P1354" i="1"/>
  <c r="CP1354" i="1" s="1"/>
  <c r="O1354" i="1" s="1"/>
  <c r="CT1353" i="1"/>
  <c r="S1353" i="1"/>
  <c r="CT1351" i="1"/>
  <c r="S1351" i="1"/>
  <c r="CT1349" i="1"/>
  <c r="S1349" i="1"/>
  <c r="CP1349" i="1" s="1"/>
  <c r="O1349" i="1" s="1"/>
  <c r="CS1348" i="1"/>
  <c r="AB1348" i="1"/>
  <c r="R1348" i="1"/>
  <c r="GK1348" i="1" s="1"/>
  <c r="CY1346" i="1"/>
  <c r="X1346" i="1" s="1"/>
  <c r="CQ1346" i="1"/>
  <c r="AD1346" i="1"/>
  <c r="AB1346" i="1" s="1"/>
  <c r="P1346" i="1"/>
  <c r="CP1346" i="1" s="1"/>
  <c r="O1346" i="1" s="1"/>
  <c r="CT1345" i="1"/>
  <c r="S1345" i="1"/>
  <c r="CT1343" i="1"/>
  <c r="S1343" i="1"/>
  <c r="CT1341" i="1"/>
  <c r="S1341" i="1"/>
  <c r="CT1339" i="1"/>
  <c r="S1339" i="1"/>
  <c r="CS1338" i="1"/>
  <c r="AB1338" i="1"/>
  <c r="R1338" i="1"/>
  <c r="GK1338" i="1" s="1"/>
  <c r="CT1336" i="1"/>
  <c r="S1336" i="1"/>
  <c r="CT1334" i="1"/>
  <c r="S1334" i="1"/>
  <c r="CY1332" i="1"/>
  <c r="X1332" i="1" s="1"/>
  <c r="CQ1332" i="1"/>
  <c r="AD1332" i="1"/>
  <c r="AB1332" i="1" s="1"/>
  <c r="P1332" i="1"/>
  <c r="GD1330" i="1"/>
  <c r="EG1264" i="1"/>
  <c r="DW1264" i="1"/>
  <c r="BC1264" i="1"/>
  <c r="CT1261" i="1"/>
  <c r="S1261" i="1"/>
  <c r="CP1261" i="1" s="1"/>
  <c r="O1261" i="1" s="1"/>
  <c r="CS1260" i="1"/>
  <c r="AB1260" i="1"/>
  <c r="R1260" i="1"/>
  <c r="GK1260" i="1" s="1"/>
  <c r="CY1259" i="1"/>
  <c r="X1259" i="1" s="1"/>
  <c r="CQ1259" i="1"/>
  <c r="AD1259" i="1"/>
  <c r="AB1259" i="1" s="1"/>
  <c r="P1259" i="1"/>
  <c r="CP1259" i="1" s="1"/>
  <c r="O1259" i="1" s="1"/>
  <c r="CT1258" i="1"/>
  <c r="CP1258" i="1"/>
  <c r="O1258" i="1" s="1"/>
  <c r="S1258" i="1"/>
  <c r="CS1257" i="1"/>
  <c r="AB1257" i="1"/>
  <c r="R1257" i="1"/>
  <c r="BX1255" i="1"/>
  <c r="EU1223" i="1"/>
  <c r="AO1223" i="1"/>
  <c r="CT1221" i="1"/>
  <c r="S1221" i="1"/>
  <c r="CT1219" i="1"/>
  <c r="S1219" i="1"/>
  <c r="CT1217" i="1"/>
  <c r="S1217" i="1"/>
  <c r="CP1217" i="1" s="1"/>
  <c r="O1217" i="1" s="1"/>
  <c r="CS1216" i="1"/>
  <c r="AB1216" i="1"/>
  <c r="R1216" i="1"/>
  <c r="GK1216" i="1" s="1"/>
  <c r="CT1214" i="1"/>
  <c r="S1214" i="1"/>
  <c r="CT1212" i="1"/>
  <c r="S1212" i="1"/>
  <c r="CY1210" i="1"/>
  <c r="X1210" i="1" s="1"/>
  <c r="CQ1210" i="1"/>
  <c r="AD1210" i="1"/>
  <c r="AB1210" i="1" s="1"/>
  <c r="P1210" i="1"/>
  <c r="CP1210" i="1" s="1"/>
  <c r="O1210" i="1" s="1"/>
  <c r="CT1209" i="1"/>
  <c r="S1209" i="1"/>
  <c r="CT1207" i="1"/>
  <c r="S1207" i="1"/>
  <c r="CT1205" i="1"/>
  <c r="S1205" i="1"/>
  <c r="CT1203" i="1"/>
  <c r="S1203" i="1"/>
  <c r="W1197" i="1"/>
  <c r="S1197" i="1"/>
  <c r="CT1197" i="1"/>
  <c r="R1197" i="1"/>
  <c r="GK1197" i="1" s="1"/>
  <c r="W1196" i="1"/>
  <c r="S1196" i="1"/>
  <c r="CT1196" i="1"/>
  <c r="R1196" i="1"/>
  <c r="GK1196" i="1" s="1"/>
  <c r="W1195" i="1"/>
  <c r="S1195" i="1"/>
  <c r="CT1195" i="1"/>
  <c r="R1195" i="1"/>
  <c r="GK1195" i="1" s="1"/>
  <c r="W1194" i="1"/>
  <c r="AJ1223" i="1" s="1"/>
  <c r="S1194" i="1"/>
  <c r="CT1194" i="1"/>
  <c r="R1194" i="1"/>
  <c r="GK1194" i="1" s="1"/>
  <c r="W1193" i="1"/>
  <c r="EB1223" i="1" s="1"/>
  <c r="S1193" i="1"/>
  <c r="CT1193" i="1"/>
  <c r="R1193" i="1"/>
  <c r="GX1192" i="1"/>
  <c r="CJ1223" i="1" s="1"/>
  <c r="R1190" i="1"/>
  <c r="CS1190" i="1"/>
  <c r="AD1190" i="1"/>
  <c r="AB1190" i="1" s="1"/>
  <c r="FQ1188" i="1"/>
  <c r="BB1156" i="1"/>
  <c r="CP1154" i="1"/>
  <c r="O1154" i="1" s="1"/>
  <c r="U1153" i="1"/>
  <c r="CP1152" i="1"/>
  <c r="O1152" i="1" s="1"/>
  <c r="U1151" i="1"/>
  <c r="CP1150" i="1"/>
  <c r="O1150" i="1" s="1"/>
  <c r="U1149" i="1"/>
  <c r="CP1148" i="1"/>
  <c r="O1148" i="1" s="1"/>
  <c r="U1147" i="1"/>
  <c r="CP1146" i="1"/>
  <c r="O1146" i="1" s="1"/>
  <c r="U1145" i="1"/>
  <c r="CP1144" i="1"/>
  <c r="O1144" i="1" s="1"/>
  <c r="U1143" i="1"/>
  <c r="CP1142" i="1"/>
  <c r="O1142" i="1" s="1"/>
  <c r="U1141" i="1"/>
  <c r="CP1140" i="1"/>
  <c r="O1140" i="1" s="1"/>
  <c r="FV1156" i="1"/>
  <c r="CY1138" i="1"/>
  <c r="X1138" i="1" s="1"/>
  <c r="GN1138" i="1" s="1"/>
  <c r="CY1137" i="1"/>
  <c r="X1137" i="1" s="1"/>
  <c r="CZ1137" i="1"/>
  <c r="Y1137" i="1" s="1"/>
  <c r="T1136" i="1"/>
  <c r="W1136" i="1"/>
  <c r="S1136" i="1"/>
  <c r="CT1136" i="1"/>
  <c r="AB1136" i="1"/>
  <c r="CP1135" i="1"/>
  <c r="O1135" i="1" s="1"/>
  <c r="BZ1156" i="1"/>
  <c r="CI1156" i="1" s="1"/>
  <c r="CP1129" i="1"/>
  <c r="O1129" i="1" s="1"/>
  <c r="DY1156" i="1"/>
  <c r="EB1156" i="1"/>
  <c r="BD1040" i="1"/>
  <c r="F1118" i="1"/>
  <c r="CY1088" i="1"/>
  <c r="X1088" i="1" s="1"/>
  <c r="CZ1088" i="1"/>
  <c r="Y1088" i="1" s="1"/>
  <c r="CP1086" i="1"/>
  <c r="O1086" i="1" s="1"/>
  <c r="CY1083" i="1"/>
  <c r="X1083" i="1" s="1"/>
  <c r="GM1083" i="1" s="1"/>
  <c r="CZ1083" i="1"/>
  <c r="Y1083" i="1" s="1"/>
  <c r="CC1040" i="1"/>
  <c r="AT1093" i="1"/>
  <c r="CP1078" i="1"/>
  <c r="O1078" i="1" s="1"/>
  <c r="CP1073" i="1"/>
  <c r="O1073" i="1" s="1"/>
  <c r="CY1071" i="1"/>
  <c r="X1071" i="1" s="1"/>
  <c r="CZ1071" i="1"/>
  <c r="Y1071" i="1" s="1"/>
  <c r="CY1068" i="1"/>
  <c r="X1068" i="1" s="1"/>
  <c r="CZ1068" i="1"/>
  <c r="Y1068" i="1" s="1"/>
  <c r="CP1066" i="1"/>
  <c r="O1066" i="1" s="1"/>
  <c r="CY1059" i="1"/>
  <c r="X1059" i="1" s="1"/>
  <c r="GM1059" i="1" s="1"/>
  <c r="CZ1059" i="1"/>
  <c r="Y1059" i="1" s="1"/>
  <c r="CP1057" i="1"/>
  <c r="O1057" i="1" s="1"/>
  <c r="CP1049" i="1"/>
  <c r="O1049" i="1" s="1"/>
  <c r="CY1047" i="1"/>
  <c r="X1047" i="1" s="1"/>
  <c r="GM1047" i="1" s="1"/>
  <c r="CZ1047" i="1"/>
  <c r="Y1047" i="1" s="1"/>
  <c r="GB1093" i="1"/>
  <c r="DZ1093" i="1"/>
  <c r="AJ1093" i="1"/>
  <c r="AX997" i="1"/>
  <c r="F1015" i="1"/>
  <c r="AP997" i="1"/>
  <c r="F1017" i="1"/>
  <c r="CY1002" i="1"/>
  <c r="X1002" i="1" s="1"/>
  <c r="CZ1002" i="1"/>
  <c r="Y1002" i="1" s="1"/>
  <c r="GB1008" i="1"/>
  <c r="GA1008" i="1"/>
  <c r="FQ997" i="1"/>
  <c r="EH1008" i="1"/>
  <c r="DZ1008" i="1"/>
  <c r="AJ1008" i="1"/>
  <c r="CP925" i="1"/>
  <c r="O925" i="1" s="1"/>
  <c r="CP917" i="1"/>
  <c r="O917" i="1" s="1"/>
  <c r="CY911" i="1"/>
  <c r="X911" i="1" s="1"/>
  <c r="CZ911" i="1"/>
  <c r="Y911" i="1" s="1"/>
  <c r="FR864" i="1"/>
  <c r="FY931" i="1"/>
  <c r="EI931" i="1"/>
  <c r="CP909" i="1"/>
  <c r="O909" i="1" s="1"/>
  <c r="BZ864" i="1"/>
  <c r="AQ931" i="1"/>
  <c r="CG931" i="1"/>
  <c r="CP906" i="1"/>
  <c r="O906" i="1" s="1"/>
  <c r="CY903" i="1"/>
  <c r="X903" i="1" s="1"/>
  <c r="CZ903" i="1"/>
  <c r="Y903" i="1" s="1"/>
  <c r="CP887" i="1"/>
  <c r="O887" i="1" s="1"/>
  <c r="CP880" i="1"/>
  <c r="O880" i="1" s="1"/>
  <c r="GM877" i="1"/>
  <c r="GO877" i="1"/>
  <c r="GM873" i="1"/>
  <c r="GO873" i="1"/>
  <c r="EV1418" i="1"/>
  <c r="Q1415" i="1"/>
  <c r="CP1415" i="1" s="1"/>
  <c r="O1415" i="1" s="1"/>
  <c r="Q1411" i="1"/>
  <c r="CP1411" i="1" s="1"/>
  <c r="O1411" i="1" s="1"/>
  <c r="Q1407" i="1"/>
  <c r="AD1418" i="1" s="1"/>
  <c r="Q1403" i="1"/>
  <c r="CP1403" i="1" s="1"/>
  <c r="O1403" i="1" s="1"/>
  <c r="GM1403" i="1" s="1"/>
  <c r="Q1399" i="1"/>
  <c r="CP1399" i="1" s="1"/>
  <c r="O1399" i="1" s="1"/>
  <c r="GM1399" i="1" s="1"/>
  <c r="GC1389" i="1"/>
  <c r="FU1389" i="1"/>
  <c r="CK1389" i="1"/>
  <c r="CG1389" i="1"/>
  <c r="CC1389" i="1"/>
  <c r="EV1357" i="1"/>
  <c r="BB1357" i="1"/>
  <c r="AP1357" i="1"/>
  <c r="Q1348" i="1"/>
  <c r="CP1348" i="1" s="1"/>
  <c r="O1348" i="1" s="1"/>
  <c r="Q1338" i="1"/>
  <c r="CP1338" i="1" s="1"/>
  <c r="O1338" i="1" s="1"/>
  <c r="GC1330" i="1"/>
  <c r="BY1330" i="1"/>
  <c r="EV1264" i="1"/>
  <c r="BB1264" i="1"/>
  <c r="AT1264" i="1"/>
  <c r="AP1264" i="1"/>
  <c r="Q1260" i="1"/>
  <c r="CP1260" i="1" s="1"/>
  <c r="O1260" i="1" s="1"/>
  <c r="Q1257" i="1"/>
  <c r="AD1264" i="1" s="1"/>
  <c r="ET1223" i="1"/>
  <c r="EL1223" i="1"/>
  <c r="EH1223" i="1"/>
  <c r="BD1223" i="1"/>
  <c r="Q1216" i="1"/>
  <c r="CP1216" i="1" s="1"/>
  <c r="O1216" i="1" s="1"/>
  <c r="S1201" i="1"/>
  <c r="CT1201" i="1"/>
  <c r="AB1201" i="1"/>
  <c r="AD1198" i="1"/>
  <c r="R1198" i="1"/>
  <c r="GK1198" i="1" s="1"/>
  <c r="CS1198" i="1"/>
  <c r="CP1197" i="1"/>
  <c r="O1197" i="1" s="1"/>
  <c r="CP1196" i="1"/>
  <c r="O1196" i="1" s="1"/>
  <c r="CP1195" i="1"/>
  <c r="O1195" i="1" s="1"/>
  <c r="CP1194" i="1"/>
  <c r="O1194" i="1" s="1"/>
  <c r="CP1193" i="1"/>
  <c r="O1193" i="1" s="1"/>
  <c r="S1192" i="1"/>
  <c r="CT1192" i="1"/>
  <c r="AB1192" i="1"/>
  <c r="S1191" i="1"/>
  <c r="CT1191" i="1"/>
  <c r="AB1191" i="1"/>
  <c r="P1190" i="1"/>
  <c r="CQ1190" i="1"/>
  <c r="GE1188" i="1"/>
  <c r="CK1188" i="1"/>
  <c r="Q1153" i="1"/>
  <c r="P1153" i="1"/>
  <c r="Q1151" i="1"/>
  <c r="P1151" i="1"/>
  <c r="Q1149" i="1"/>
  <c r="P1149" i="1"/>
  <c r="Q1147" i="1"/>
  <c r="P1147" i="1"/>
  <c r="Q1145" i="1"/>
  <c r="P1145" i="1"/>
  <c r="Q1143" i="1"/>
  <c r="P1143" i="1"/>
  <c r="Q1141" i="1"/>
  <c r="P1141" i="1"/>
  <c r="GM1138" i="1"/>
  <c r="CY1133" i="1"/>
  <c r="X1133" i="1" s="1"/>
  <c r="CZ1133" i="1"/>
  <c r="Y1133" i="1" s="1"/>
  <c r="FQ1125" i="1"/>
  <c r="EH1156" i="1"/>
  <c r="F1109" i="1"/>
  <c r="BC1040" i="1"/>
  <c r="CY1090" i="1"/>
  <c r="X1090" i="1" s="1"/>
  <c r="CZ1090" i="1"/>
  <c r="Y1090" i="1" s="1"/>
  <c r="GM1088" i="1"/>
  <c r="GN1088" i="1"/>
  <c r="GN1083" i="1"/>
  <c r="CY1081" i="1"/>
  <c r="X1081" i="1" s="1"/>
  <c r="CZ1081" i="1"/>
  <c r="Y1081" i="1" s="1"/>
  <c r="FY1093" i="1"/>
  <c r="FR1040" i="1"/>
  <c r="EI1093" i="1"/>
  <c r="CP1071" i="1"/>
  <c r="O1071" i="1" s="1"/>
  <c r="GM1068" i="1"/>
  <c r="GN1068" i="1"/>
  <c r="AU1093" i="1"/>
  <c r="CD1040" i="1"/>
  <c r="CY1061" i="1"/>
  <c r="X1061" i="1" s="1"/>
  <c r="CZ1061" i="1"/>
  <c r="Y1061" i="1" s="1"/>
  <c r="GN1059" i="1"/>
  <c r="CY1053" i="1"/>
  <c r="X1053" i="1" s="1"/>
  <c r="CZ1053" i="1"/>
  <c r="Y1053" i="1" s="1"/>
  <c r="GN1047" i="1"/>
  <c r="CY1045" i="1"/>
  <c r="X1045" i="1" s="1"/>
  <c r="CZ1045" i="1"/>
  <c r="Y1045" i="1" s="1"/>
  <c r="EA1093" i="1"/>
  <c r="AH1093" i="1"/>
  <c r="AI1093" i="1"/>
  <c r="GK1042" i="1"/>
  <c r="F1033" i="1"/>
  <c r="BD997" i="1"/>
  <c r="F1012" i="1"/>
  <c r="AO997" i="1"/>
  <c r="CP1002" i="1"/>
  <c r="O1002" i="1" s="1"/>
  <c r="FV997" i="1"/>
  <c r="EM1008" i="1"/>
  <c r="EA1008" i="1"/>
  <c r="AH1008" i="1"/>
  <c r="AI1008" i="1"/>
  <c r="CY913" i="1"/>
  <c r="X913" i="1" s="1"/>
  <c r="CZ913" i="1"/>
  <c r="Y913" i="1" s="1"/>
  <c r="GO913" i="1" s="1"/>
  <c r="CP911" i="1"/>
  <c r="O911" i="1" s="1"/>
  <c r="CB864" i="1"/>
  <c r="AS931" i="1"/>
  <c r="GO903" i="1"/>
  <c r="GM903" i="1"/>
  <c r="CZ887" i="1"/>
  <c r="Y887" i="1" s="1"/>
  <c r="CY887" i="1"/>
  <c r="X887" i="1" s="1"/>
  <c r="CZ880" i="1"/>
  <c r="Y880" i="1" s="1"/>
  <c r="CY880" i="1"/>
  <c r="X880" i="1" s="1"/>
  <c r="EA931" i="1"/>
  <c r="FY1485" i="1"/>
  <c r="BD1485" i="1"/>
  <c r="AO1418" i="1"/>
  <c r="CT1416" i="1"/>
  <c r="CQ1415" i="1"/>
  <c r="CS1413" i="1"/>
  <c r="R1413" i="1"/>
  <c r="GK1413" i="1" s="1"/>
  <c r="CT1412" i="1"/>
  <c r="CQ1411" i="1"/>
  <c r="CS1409" i="1"/>
  <c r="R1409" i="1"/>
  <c r="GK1409" i="1" s="1"/>
  <c r="CT1408" i="1"/>
  <c r="CQ1407" i="1"/>
  <c r="CS1405" i="1"/>
  <c r="R1405" i="1"/>
  <c r="GK1405" i="1" s="1"/>
  <c r="CT1404" i="1"/>
  <c r="CP1404" i="1"/>
  <c r="O1404" i="1" s="1"/>
  <c r="GM1404" i="1" s="1"/>
  <c r="CQ1403" i="1"/>
  <c r="CS1401" i="1"/>
  <c r="R1401" i="1"/>
  <c r="GK1401" i="1" s="1"/>
  <c r="CT1400" i="1"/>
  <c r="CP1400" i="1"/>
  <c r="O1400" i="1" s="1"/>
  <c r="GM1400" i="1" s="1"/>
  <c r="CQ1399" i="1"/>
  <c r="CS1397" i="1"/>
  <c r="R1397" i="1"/>
  <c r="GK1397" i="1" s="1"/>
  <c r="CS1393" i="1"/>
  <c r="R1393" i="1"/>
  <c r="DU1357" i="1"/>
  <c r="AO1357" i="1"/>
  <c r="CT1355" i="1"/>
  <c r="CS1354" i="1"/>
  <c r="R1354" i="1"/>
  <c r="GK1354" i="1" s="1"/>
  <c r="Q1353" i="1"/>
  <c r="CP1353" i="1" s="1"/>
  <c r="O1353" i="1" s="1"/>
  <c r="CT1352" i="1"/>
  <c r="Q1351" i="1"/>
  <c r="CP1351" i="1" s="1"/>
  <c r="O1351" i="1" s="1"/>
  <c r="CT1350" i="1"/>
  <c r="CQ1348" i="1"/>
  <c r="CT1347" i="1"/>
  <c r="CS1346" i="1"/>
  <c r="R1346" i="1"/>
  <c r="GK1346" i="1" s="1"/>
  <c r="Q1345" i="1"/>
  <c r="CP1345" i="1" s="1"/>
  <c r="O1345" i="1" s="1"/>
  <c r="CT1344" i="1"/>
  <c r="Q1343" i="1"/>
  <c r="CP1343" i="1" s="1"/>
  <c r="O1343" i="1" s="1"/>
  <c r="CT1342" i="1"/>
  <c r="Q1341" i="1"/>
  <c r="DV1357" i="1" s="1"/>
  <c r="CT1340" i="1"/>
  <c r="CQ1338" i="1"/>
  <c r="CT1337" i="1"/>
  <c r="Q1336" i="1"/>
  <c r="CP1336" i="1" s="1"/>
  <c r="O1336" i="1" s="1"/>
  <c r="CT1335" i="1"/>
  <c r="Q1334" i="1"/>
  <c r="CP1334" i="1" s="1"/>
  <c r="O1334" i="1" s="1"/>
  <c r="CT1333" i="1"/>
  <c r="CS1332" i="1"/>
  <c r="R1332" i="1"/>
  <c r="EU1264" i="1"/>
  <c r="CT1262" i="1"/>
  <c r="CQ1260" i="1"/>
  <c r="CS1259" i="1"/>
  <c r="R1259" i="1"/>
  <c r="CQ1257" i="1"/>
  <c r="EG1223" i="1"/>
  <c r="BC1223" i="1"/>
  <c r="Q1221" i="1"/>
  <c r="CP1221" i="1" s="1"/>
  <c r="O1221" i="1" s="1"/>
  <c r="CT1220" i="1"/>
  <c r="Q1219" i="1"/>
  <c r="CP1219" i="1" s="1"/>
  <c r="O1219" i="1" s="1"/>
  <c r="CT1218" i="1"/>
  <c r="CQ1216" i="1"/>
  <c r="CT1215" i="1"/>
  <c r="Q1214" i="1"/>
  <c r="CP1214" i="1" s="1"/>
  <c r="O1214" i="1" s="1"/>
  <c r="CT1213" i="1"/>
  <c r="Q1212" i="1"/>
  <c r="CP1212" i="1" s="1"/>
  <c r="O1212" i="1" s="1"/>
  <c r="CT1211" i="1"/>
  <c r="CS1210" i="1"/>
  <c r="R1210" i="1"/>
  <c r="GK1210" i="1" s="1"/>
  <c r="Q1209" i="1"/>
  <c r="CP1209" i="1" s="1"/>
  <c r="O1209" i="1" s="1"/>
  <c r="CT1208" i="1"/>
  <c r="Q1207" i="1"/>
  <c r="CP1207" i="1" s="1"/>
  <c r="O1207" i="1" s="1"/>
  <c r="CT1206" i="1"/>
  <c r="Q1205" i="1"/>
  <c r="CP1205" i="1" s="1"/>
  <c r="O1205" i="1" s="1"/>
  <c r="CT1204" i="1"/>
  <c r="Q1203" i="1"/>
  <c r="DV1223" i="1" s="1"/>
  <c r="CT1202" i="1"/>
  <c r="P1201" i="1"/>
  <c r="S1200" i="1"/>
  <c r="CT1200" i="1"/>
  <c r="AB1200" i="1"/>
  <c r="S1199" i="1"/>
  <c r="CT1199" i="1"/>
  <c r="AB1199" i="1"/>
  <c r="CR1198" i="1"/>
  <c r="P1198" i="1"/>
  <c r="CQ1198" i="1"/>
  <c r="AB1198" i="1"/>
  <c r="P1192" i="1"/>
  <c r="CP1192" i="1" s="1"/>
  <c r="O1192" i="1" s="1"/>
  <c r="CP1191" i="1"/>
  <c r="O1191" i="1" s="1"/>
  <c r="AT1156" i="1"/>
  <c r="T1153" i="1"/>
  <c r="W1153" i="1"/>
  <c r="S1153" i="1"/>
  <c r="CT1153" i="1"/>
  <c r="AB1153" i="1"/>
  <c r="T1151" i="1"/>
  <c r="W1151" i="1"/>
  <c r="S1151" i="1"/>
  <c r="CT1151" i="1"/>
  <c r="AB1151" i="1"/>
  <c r="T1149" i="1"/>
  <c r="W1149" i="1"/>
  <c r="S1149" i="1"/>
  <c r="CT1149" i="1"/>
  <c r="AB1149" i="1"/>
  <c r="T1147" i="1"/>
  <c r="W1147" i="1"/>
  <c r="S1147" i="1"/>
  <c r="CT1147" i="1"/>
  <c r="AB1147" i="1"/>
  <c r="T1145" i="1"/>
  <c r="W1145" i="1"/>
  <c r="S1145" i="1"/>
  <c r="CT1145" i="1"/>
  <c r="AB1145" i="1"/>
  <c r="T1143" i="1"/>
  <c r="W1143" i="1"/>
  <c r="S1143" i="1"/>
  <c r="CT1143" i="1"/>
  <c r="AB1143" i="1"/>
  <c r="T1141" i="1"/>
  <c r="W1141" i="1"/>
  <c r="S1141" i="1"/>
  <c r="CT1141" i="1"/>
  <c r="AB1141" i="1"/>
  <c r="Q1139" i="1"/>
  <c r="P1139" i="1"/>
  <c r="FR1156" i="1"/>
  <c r="P1137" i="1"/>
  <c r="CQ1137" i="1"/>
  <c r="U1136" i="1"/>
  <c r="DZ1156" i="1" s="1"/>
  <c r="S1134" i="1"/>
  <c r="CT1134" i="1"/>
  <c r="AB1134" i="1"/>
  <c r="CP1133" i="1"/>
  <c r="O1133" i="1" s="1"/>
  <c r="CY1131" i="1"/>
  <c r="X1131" i="1" s="1"/>
  <c r="CZ1131" i="1"/>
  <c r="Y1131" i="1" s="1"/>
  <c r="CD1156" i="1"/>
  <c r="GB1156" i="1"/>
  <c r="CP1090" i="1"/>
  <c r="O1090" i="1" s="1"/>
  <c r="CP1081" i="1"/>
  <c r="O1081" i="1" s="1"/>
  <c r="CY1075" i="1"/>
  <c r="X1075" i="1" s="1"/>
  <c r="CZ1075" i="1"/>
  <c r="Y1075" i="1" s="1"/>
  <c r="BY1040" i="1"/>
  <c r="CI1093" i="1"/>
  <c r="AP1093" i="1"/>
  <c r="CY1064" i="1"/>
  <c r="X1064" i="1" s="1"/>
  <c r="CZ1064" i="1"/>
  <c r="Y1064" i="1" s="1"/>
  <c r="CP1061" i="1"/>
  <c r="O1061" i="1" s="1"/>
  <c r="CY1055" i="1"/>
  <c r="X1055" i="1" s="1"/>
  <c r="CZ1055" i="1"/>
  <c r="Y1055" i="1" s="1"/>
  <c r="CP1053" i="1"/>
  <c r="O1053" i="1" s="1"/>
  <c r="CY1051" i="1"/>
  <c r="X1051" i="1" s="1"/>
  <c r="CZ1051" i="1"/>
  <c r="Y1051" i="1" s="1"/>
  <c r="CP1045" i="1"/>
  <c r="O1045" i="1" s="1"/>
  <c r="DY1093" i="1"/>
  <c r="EB1093" i="1"/>
  <c r="CY1043" i="1"/>
  <c r="X1043" i="1" s="1"/>
  <c r="CZ1043" i="1"/>
  <c r="Y1043" i="1" s="1"/>
  <c r="CJ1093" i="1"/>
  <c r="AT997" i="1"/>
  <c r="F1026" i="1"/>
  <c r="CY1006" i="1"/>
  <c r="X1006" i="1" s="1"/>
  <c r="CZ1006" i="1"/>
  <c r="Y1006" i="1" s="1"/>
  <c r="DY1008" i="1"/>
  <c r="EB1008" i="1"/>
  <c r="CJ1008" i="1"/>
  <c r="CY928" i="1"/>
  <c r="X928" i="1" s="1"/>
  <c r="CZ928" i="1"/>
  <c r="Y928" i="1" s="1"/>
  <c r="CY923" i="1"/>
  <c r="X923" i="1" s="1"/>
  <c r="CZ923" i="1"/>
  <c r="Y923" i="1" s="1"/>
  <c r="CY920" i="1"/>
  <c r="X920" i="1" s="1"/>
  <c r="CZ920" i="1"/>
  <c r="Y920" i="1" s="1"/>
  <c r="BY864" i="1"/>
  <c r="CI931" i="1"/>
  <c r="AP931" i="1"/>
  <c r="CY915" i="1"/>
  <c r="X915" i="1" s="1"/>
  <c r="CZ915" i="1"/>
  <c r="Y915" i="1" s="1"/>
  <c r="GM913" i="1"/>
  <c r="FV864" i="1"/>
  <c r="EM931" i="1"/>
  <c r="CD864" i="1"/>
  <c r="AU931" i="1"/>
  <c r="GO901" i="1"/>
  <c r="GM901" i="1"/>
  <c r="CZ899" i="1"/>
  <c r="Y899" i="1" s="1"/>
  <c r="CY899" i="1"/>
  <c r="X899" i="1" s="1"/>
  <c r="GO899" i="1" s="1"/>
  <c r="CZ892" i="1"/>
  <c r="Y892" i="1" s="1"/>
  <c r="CY892" i="1"/>
  <c r="X892" i="1" s="1"/>
  <c r="GM892" i="1" s="1"/>
  <c r="CY884" i="1"/>
  <c r="X884" i="1" s="1"/>
  <c r="CZ884" i="1"/>
  <c r="Y884" i="1" s="1"/>
  <c r="GK869" i="1"/>
  <c r="DW931" i="1"/>
  <c r="BD1418" i="1"/>
  <c r="BD1357" i="1"/>
  <c r="ET1264" i="1"/>
  <c r="EL1264" i="1"/>
  <c r="CI1264" i="1"/>
  <c r="AT1223" i="1"/>
  <c r="CP1200" i="1"/>
  <c r="O1200" i="1" s="1"/>
  <c r="CP1199" i="1"/>
  <c r="O1199" i="1" s="1"/>
  <c r="Q1198" i="1"/>
  <c r="AD1223" i="1" s="1"/>
  <c r="EV1156" i="1"/>
  <c r="F1160" i="1"/>
  <c r="AO1125" i="1"/>
  <c r="CY1154" i="1"/>
  <c r="X1154" i="1" s="1"/>
  <c r="CY1152" i="1"/>
  <c r="X1152" i="1" s="1"/>
  <c r="CY1150" i="1"/>
  <c r="X1150" i="1" s="1"/>
  <c r="CY1148" i="1"/>
  <c r="X1148" i="1" s="1"/>
  <c r="CY1146" i="1"/>
  <c r="X1146" i="1" s="1"/>
  <c r="CY1144" i="1"/>
  <c r="X1144" i="1" s="1"/>
  <c r="CY1142" i="1"/>
  <c r="X1142" i="1" s="1"/>
  <c r="CY1140" i="1"/>
  <c r="X1140" i="1" s="1"/>
  <c r="GX1139" i="1"/>
  <c r="CJ1156" i="1" s="1"/>
  <c r="T1139" i="1"/>
  <c r="AG1156" i="1" s="1"/>
  <c r="W1139" i="1"/>
  <c r="AJ1156" i="1" s="1"/>
  <c r="S1139" i="1"/>
  <c r="CT1139" i="1"/>
  <c r="AB1139" i="1"/>
  <c r="Q1136" i="1"/>
  <c r="DV1156" i="1" s="1"/>
  <c r="P1136" i="1"/>
  <c r="CY1135" i="1"/>
  <c r="X1135" i="1" s="1"/>
  <c r="CP1131" i="1"/>
  <c r="O1131" i="1" s="1"/>
  <c r="CY1129" i="1"/>
  <c r="X1129" i="1" s="1"/>
  <c r="CZ1129" i="1"/>
  <c r="Y1129" i="1" s="1"/>
  <c r="EA1156" i="1"/>
  <c r="AH1156" i="1"/>
  <c r="AI1156" i="1"/>
  <c r="CY1086" i="1"/>
  <c r="X1086" i="1" s="1"/>
  <c r="CZ1086" i="1"/>
  <c r="Y1086" i="1" s="1"/>
  <c r="CY1078" i="1"/>
  <c r="X1078" i="1" s="1"/>
  <c r="CZ1078" i="1"/>
  <c r="Y1078" i="1" s="1"/>
  <c r="CP1075" i="1"/>
  <c r="O1075" i="1" s="1"/>
  <c r="CY1073" i="1"/>
  <c r="X1073" i="1" s="1"/>
  <c r="CZ1073" i="1"/>
  <c r="Y1073" i="1" s="1"/>
  <c r="FV1040" i="1"/>
  <c r="EM1093" i="1"/>
  <c r="CY1066" i="1"/>
  <c r="X1066" i="1" s="1"/>
  <c r="CZ1066" i="1"/>
  <c r="Y1066" i="1" s="1"/>
  <c r="AQ1093" i="1"/>
  <c r="BZ1040" i="1"/>
  <c r="CG1093" i="1"/>
  <c r="CP1064" i="1"/>
  <c r="O1064" i="1" s="1"/>
  <c r="DJ1093" i="1"/>
  <c r="DW1040" i="1"/>
  <c r="CY1057" i="1"/>
  <c r="X1057" i="1" s="1"/>
  <c r="CZ1057" i="1"/>
  <c r="Y1057" i="1" s="1"/>
  <c r="CP1055" i="1"/>
  <c r="O1055" i="1" s="1"/>
  <c r="CP1051" i="1"/>
  <c r="O1051" i="1" s="1"/>
  <c r="CY1049" i="1"/>
  <c r="X1049" i="1" s="1"/>
  <c r="CZ1049" i="1"/>
  <c r="Y1049" i="1" s="1"/>
  <c r="DV1093" i="1"/>
  <c r="CP1043" i="1"/>
  <c r="O1043" i="1" s="1"/>
  <c r="AG1093" i="1"/>
  <c r="BB997" i="1"/>
  <c r="F1021" i="1"/>
  <c r="CP1006" i="1"/>
  <c r="O1006" i="1" s="1"/>
  <c r="FR997" i="1"/>
  <c r="EI1008" i="1"/>
  <c r="FY1008" i="1"/>
  <c r="DV1008" i="1"/>
  <c r="FZ1008" i="1"/>
  <c r="DH1008" i="1"/>
  <c r="FW1008" i="1"/>
  <c r="FX1008" i="1"/>
  <c r="DU997" i="1"/>
  <c r="AG1008" i="1"/>
  <c r="AK1008" i="1"/>
  <c r="CP928" i="1"/>
  <c r="O928" i="1" s="1"/>
  <c r="CY925" i="1"/>
  <c r="X925" i="1" s="1"/>
  <c r="CZ925" i="1"/>
  <c r="Y925" i="1" s="1"/>
  <c r="CP923" i="1"/>
  <c r="O923" i="1" s="1"/>
  <c r="CP920" i="1"/>
  <c r="O920" i="1" s="1"/>
  <c r="FT864" i="1"/>
  <c r="EK931" i="1"/>
  <c r="CY917" i="1"/>
  <c r="X917" i="1" s="1"/>
  <c r="CZ917" i="1"/>
  <c r="Y917" i="1" s="1"/>
  <c r="CP915" i="1"/>
  <c r="O915" i="1" s="1"/>
  <c r="CY909" i="1"/>
  <c r="X909" i="1" s="1"/>
  <c r="CZ909" i="1"/>
  <c r="Y909" i="1" s="1"/>
  <c r="CY906" i="1"/>
  <c r="X906" i="1" s="1"/>
  <c r="CZ906" i="1"/>
  <c r="Y906" i="1" s="1"/>
  <c r="CY896" i="1"/>
  <c r="X896" i="1" s="1"/>
  <c r="CZ896" i="1"/>
  <c r="Y896" i="1" s="1"/>
  <c r="AI931" i="1"/>
  <c r="ET1156" i="1"/>
  <c r="EL1156" i="1"/>
  <c r="BD1156" i="1"/>
  <c r="Q1137" i="1"/>
  <c r="P1134" i="1"/>
  <c r="CP1134" i="1" s="1"/>
  <c r="O1134" i="1" s="1"/>
  <c r="P1132" i="1"/>
  <c r="P1130" i="1"/>
  <c r="GA1093" i="1"/>
  <c r="EV1093" i="1"/>
  <c r="BB1093" i="1"/>
  <c r="P1091" i="1"/>
  <c r="P1089" i="1"/>
  <c r="P1087" i="1"/>
  <c r="P1082" i="1"/>
  <c r="CZ1080" i="1"/>
  <c r="Y1080" i="1" s="1"/>
  <c r="Q1080" i="1"/>
  <c r="P1079" i="1"/>
  <c r="P1074" i="1"/>
  <c r="P1072" i="1"/>
  <c r="CZ1070" i="1"/>
  <c r="Y1070" i="1" s="1"/>
  <c r="Q1070" i="1"/>
  <c r="P1069" i="1"/>
  <c r="P1067" i="1"/>
  <c r="P1065" i="1"/>
  <c r="DU1093" i="1" s="1"/>
  <c r="P1060" i="1"/>
  <c r="P1058" i="1"/>
  <c r="P1056" i="1"/>
  <c r="P1054" i="1"/>
  <c r="P1052" i="1"/>
  <c r="P1050" i="1"/>
  <c r="P1048" i="1"/>
  <c r="P1046" i="1"/>
  <c r="P1044" i="1"/>
  <c r="CZ1042" i="1"/>
  <c r="Y1042" i="1" s="1"/>
  <c r="Q1042" i="1"/>
  <c r="CM1040" i="1"/>
  <c r="ET1008" i="1"/>
  <c r="EL1008" i="1"/>
  <c r="CI1008" i="1"/>
  <c r="CZ1005" i="1"/>
  <c r="Y1005" i="1" s="1"/>
  <c r="AL1008" i="1" s="1"/>
  <c r="Q1005" i="1"/>
  <c r="CZ1001" i="1"/>
  <c r="Y1001" i="1" s="1"/>
  <c r="Q1001" i="1"/>
  <c r="CK997" i="1"/>
  <c r="CG997" i="1"/>
  <c r="CC997" i="1"/>
  <c r="BY997" i="1"/>
  <c r="GA931" i="1"/>
  <c r="EV931" i="1"/>
  <c r="BB931" i="1"/>
  <c r="P929" i="1"/>
  <c r="P924" i="1"/>
  <c r="CZ922" i="1"/>
  <c r="Y922" i="1" s="1"/>
  <c r="Q922" i="1"/>
  <c r="P921" i="1"/>
  <c r="P916" i="1"/>
  <c r="P914" i="1"/>
  <c r="P912" i="1"/>
  <c r="P910" i="1"/>
  <c r="CZ908" i="1"/>
  <c r="Y908" i="1" s="1"/>
  <c r="Q908" i="1"/>
  <c r="P907" i="1"/>
  <c r="P902" i="1"/>
  <c r="CZ900" i="1"/>
  <c r="Y900" i="1" s="1"/>
  <c r="P900" i="1"/>
  <c r="Q895" i="1"/>
  <c r="CP895" i="1" s="1"/>
  <c r="O895" i="1" s="1"/>
  <c r="GX894" i="1"/>
  <c r="CY894" i="1"/>
  <c r="X894" i="1" s="1"/>
  <c r="P894" i="1"/>
  <c r="CP894" i="1" s="1"/>
  <c r="O894" i="1" s="1"/>
  <c r="S889" i="1"/>
  <c r="CP889" i="1" s="1"/>
  <c r="O889" i="1" s="1"/>
  <c r="CT889" i="1"/>
  <c r="CZ888" i="1"/>
  <c r="Y888" i="1" s="1"/>
  <c r="P888" i="1"/>
  <c r="Q883" i="1"/>
  <c r="CP883" i="1" s="1"/>
  <c r="O883" i="1" s="1"/>
  <c r="GX882" i="1"/>
  <c r="CJ931" i="1" s="1"/>
  <c r="CY882" i="1"/>
  <c r="X882" i="1" s="1"/>
  <c r="P882" i="1"/>
  <c r="CP882" i="1" s="1"/>
  <c r="O882" i="1" s="1"/>
  <c r="S876" i="1"/>
  <c r="CT876" i="1"/>
  <c r="P875" i="1"/>
  <c r="CP875" i="1" s="1"/>
  <c r="O875" i="1" s="1"/>
  <c r="R874" i="1"/>
  <c r="GK874" i="1" s="1"/>
  <c r="GX869" i="1"/>
  <c r="GB931" i="1" s="1"/>
  <c r="T869" i="1"/>
  <c r="DY931" i="1" s="1"/>
  <c r="W869" i="1"/>
  <c r="S869" i="1"/>
  <c r="CT869" i="1"/>
  <c r="S867" i="1"/>
  <c r="CT867" i="1"/>
  <c r="AD866" i="1"/>
  <c r="R866" i="1"/>
  <c r="CS866" i="1"/>
  <c r="BC825" i="1"/>
  <c r="F848" i="1"/>
  <c r="F836" i="1"/>
  <c r="AO825" i="1"/>
  <c r="DW825" i="1"/>
  <c r="DJ832" i="1"/>
  <c r="GB832" i="1"/>
  <c r="FR825" i="1"/>
  <c r="EI832" i="1"/>
  <c r="EB825" i="1"/>
  <c r="DO832" i="1"/>
  <c r="CJ832" i="1"/>
  <c r="AI832" i="1"/>
  <c r="AG825" i="1"/>
  <c r="T832" i="1"/>
  <c r="AL825" i="1"/>
  <c r="Y832" i="1"/>
  <c r="EU734" i="1"/>
  <c r="P775" i="1"/>
  <c r="EL759" i="1"/>
  <c r="FU734" i="1"/>
  <c r="FY759" i="1"/>
  <c r="EI759" i="1"/>
  <c r="FR734" i="1"/>
  <c r="CP748" i="1"/>
  <c r="O748" i="1" s="1"/>
  <c r="FQ759" i="1"/>
  <c r="EA759" i="1"/>
  <c r="CP737" i="1"/>
  <c r="O737" i="1" s="1"/>
  <c r="DU759" i="1"/>
  <c r="CG759" i="1"/>
  <c r="BZ734" i="1"/>
  <c r="AQ759" i="1"/>
  <c r="AJ759" i="1"/>
  <c r="GO700" i="1"/>
  <c r="GM700" i="1"/>
  <c r="EM702" i="1"/>
  <c r="FV645" i="1"/>
  <c r="CY694" i="1"/>
  <c r="X694" i="1" s="1"/>
  <c r="CZ694" i="1"/>
  <c r="Y694" i="1" s="1"/>
  <c r="EH702" i="1"/>
  <c r="GA702" i="1"/>
  <c r="FQ645" i="1"/>
  <c r="CY689" i="1"/>
  <c r="X689" i="1" s="1"/>
  <c r="CZ689" i="1"/>
  <c r="Y689" i="1" s="1"/>
  <c r="CY686" i="1"/>
  <c r="X686" i="1" s="1"/>
  <c r="CZ686" i="1"/>
  <c r="Y686" i="1" s="1"/>
  <c r="CY681" i="1"/>
  <c r="X681" i="1" s="1"/>
  <c r="CZ681" i="1"/>
  <c r="Y681" i="1" s="1"/>
  <c r="CY678" i="1"/>
  <c r="X678" i="1" s="1"/>
  <c r="CZ678" i="1"/>
  <c r="Y678" i="1" s="1"/>
  <c r="CD645" i="1"/>
  <c r="AU702" i="1"/>
  <c r="CY670" i="1"/>
  <c r="X670" i="1" s="1"/>
  <c r="CZ670" i="1"/>
  <c r="Y670" i="1" s="1"/>
  <c r="CP668" i="1"/>
  <c r="O668" i="1" s="1"/>
  <c r="AB665" i="1"/>
  <c r="CP660" i="1"/>
  <c r="O660" i="1" s="1"/>
  <c r="AB657" i="1"/>
  <c r="CY654" i="1"/>
  <c r="X654" i="1" s="1"/>
  <c r="CZ654" i="1"/>
  <c r="Y654" i="1" s="1"/>
  <c r="CP652" i="1"/>
  <c r="O652" i="1" s="1"/>
  <c r="EA702" i="1"/>
  <c r="CJ702" i="1"/>
  <c r="AI702" i="1"/>
  <c r="FR500" i="1"/>
  <c r="EI579" i="1"/>
  <c r="CC500" i="1"/>
  <c r="AT579" i="1"/>
  <c r="EG1156" i="1"/>
  <c r="DW1156" i="1"/>
  <c r="BC1156" i="1"/>
  <c r="AD1137" i="1"/>
  <c r="AB1137" i="1" s="1"/>
  <c r="CT1132" i="1"/>
  <c r="S1132" i="1"/>
  <c r="CT1130" i="1"/>
  <c r="S1130" i="1"/>
  <c r="CT1128" i="1"/>
  <c r="S1128" i="1"/>
  <c r="CS1127" i="1"/>
  <c r="AB1127" i="1"/>
  <c r="R1127" i="1"/>
  <c r="BX1125" i="1"/>
  <c r="EU1093" i="1"/>
  <c r="AO1093" i="1"/>
  <c r="CT1091" i="1"/>
  <c r="S1091" i="1"/>
  <c r="CT1089" i="1"/>
  <c r="S1089" i="1"/>
  <c r="CT1087" i="1"/>
  <c r="S1087" i="1"/>
  <c r="CT1085" i="1"/>
  <c r="S1085" i="1"/>
  <c r="CP1085" i="1" s="1"/>
  <c r="O1085" i="1" s="1"/>
  <c r="CS1084" i="1"/>
  <c r="AB1084" i="1"/>
  <c r="R1084" i="1"/>
  <c r="GK1084" i="1" s="1"/>
  <c r="CT1082" i="1"/>
  <c r="S1082" i="1"/>
  <c r="CQ1080" i="1"/>
  <c r="AD1080" i="1"/>
  <c r="AB1080" i="1" s="1"/>
  <c r="P1080" i="1"/>
  <c r="CP1080" i="1" s="1"/>
  <c r="O1080" i="1" s="1"/>
  <c r="CT1079" i="1"/>
  <c r="S1079" i="1"/>
  <c r="CT1077" i="1"/>
  <c r="S1077" i="1"/>
  <c r="CS1076" i="1"/>
  <c r="AB1076" i="1"/>
  <c r="R1076" i="1"/>
  <c r="GK1076" i="1" s="1"/>
  <c r="CT1074" i="1"/>
  <c r="S1074" i="1"/>
  <c r="CT1072" i="1"/>
  <c r="S1072" i="1"/>
  <c r="CQ1070" i="1"/>
  <c r="AD1070" i="1"/>
  <c r="AB1070" i="1" s="1"/>
  <c r="P1070" i="1"/>
  <c r="CP1070" i="1" s="1"/>
  <c r="O1070" i="1" s="1"/>
  <c r="CT1069" i="1"/>
  <c r="S1069" i="1"/>
  <c r="CT1067" i="1"/>
  <c r="S1067" i="1"/>
  <c r="CT1065" i="1"/>
  <c r="S1065" i="1"/>
  <c r="GK1063" i="1"/>
  <c r="CT1063" i="1"/>
  <c r="S1063" i="1"/>
  <c r="CS1062" i="1"/>
  <c r="AB1062" i="1"/>
  <c r="R1062" i="1"/>
  <c r="GK1062" i="1" s="1"/>
  <c r="CT1060" i="1"/>
  <c r="S1060" i="1"/>
  <c r="CT1058" i="1"/>
  <c r="S1058" i="1"/>
  <c r="CT1056" i="1"/>
  <c r="S1056" i="1"/>
  <c r="CT1054" i="1"/>
  <c r="S1054" i="1"/>
  <c r="CT1052" i="1"/>
  <c r="S1052" i="1"/>
  <c r="CT1050" i="1"/>
  <c r="S1050" i="1"/>
  <c r="CT1048" i="1"/>
  <c r="S1048" i="1"/>
  <c r="CT1046" i="1"/>
  <c r="S1046" i="1"/>
  <c r="CT1044" i="1"/>
  <c r="S1044" i="1"/>
  <c r="CQ1042" i="1"/>
  <c r="AD1042" i="1"/>
  <c r="AB1042" i="1" s="1"/>
  <c r="P1042" i="1"/>
  <c r="CL1040" i="1"/>
  <c r="EG1008" i="1"/>
  <c r="DW1008" i="1"/>
  <c r="BC1008" i="1"/>
  <c r="AU1008" i="1"/>
  <c r="AQ1008" i="1"/>
  <c r="S1008" i="1"/>
  <c r="CQ1005" i="1"/>
  <c r="AD1005" i="1"/>
  <c r="AB1005" i="1" s="1"/>
  <c r="P1005" i="1"/>
  <c r="CP1005" i="1" s="1"/>
  <c r="O1005" i="1" s="1"/>
  <c r="CT1004" i="1"/>
  <c r="S1004" i="1"/>
  <c r="CS1003" i="1"/>
  <c r="AB1003" i="1"/>
  <c r="R1003" i="1"/>
  <c r="GK1003" i="1" s="1"/>
  <c r="CQ1001" i="1"/>
  <c r="AD1001" i="1"/>
  <c r="AB1001" i="1" s="1"/>
  <c r="P1001" i="1"/>
  <c r="CP1001" i="1" s="1"/>
  <c r="O1001" i="1" s="1"/>
  <c r="CT1000" i="1"/>
  <c r="S1000" i="1"/>
  <c r="CP1000" i="1" s="1"/>
  <c r="O1000" i="1" s="1"/>
  <c r="CS999" i="1"/>
  <c r="AB999" i="1"/>
  <c r="R999" i="1"/>
  <c r="BX997" i="1"/>
  <c r="EU931" i="1"/>
  <c r="AO931" i="1"/>
  <c r="CT929" i="1"/>
  <c r="S929" i="1"/>
  <c r="CT927" i="1"/>
  <c r="S927" i="1"/>
  <c r="CP927" i="1" s="1"/>
  <c r="O927" i="1" s="1"/>
  <c r="CS926" i="1"/>
  <c r="AB926" i="1"/>
  <c r="R926" i="1"/>
  <c r="GK926" i="1" s="1"/>
  <c r="CT924" i="1"/>
  <c r="S924" i="1"/>
  <c r="CQ922" i="1"/>
  <c r="AD922" i="1"/>
  <c r="AB922" i="1" s="1"/>
  <c r="P922" i="1"/>
  <c r="CP922" i="1" s="1"/>
  <c r="O922" i="1" s="1"/>
  <c r="CT921" i="1"/>
  <c r="S921" i="1"/>
  <c r="CT919" i="1"/>
  <c r="S919" i="1"/>
  <c r="CS918" i="1"/>
  <c r="AB918" i="1"/>
  <c r="R918" i="1"/>
  <c r="GK918" i="1" s="1"/>
  <c r="CT916" i="1"/>
  <c r="S916" i="1"/>
  <c r="CT914" i="1"/>
  <c r="S914" i="1"/>
  <c r="CT912" i="1"/>
  <c r="S912" i="1"/>
  <c r="CT910" i="1"/>
  <c r="S910" i="1"/>
  <c r="CQ908" i="1"/>
  <c r="AD908" i="1"/>
  <c r="AB908" i="1" s="1"/>
  <c r="P908" i="1"/>
  <c r="CP908" i="1" s="1"/>
  <c r="O908" i="1" s="1"/>
  <c r="CT907" i="1"/>
  <c r="S907" i="1"/>
  <c r="CT905" i="1"/>
  <c r="S905" i="1"/>
  <c r="CS904" i="1"/>
  <c r="AB904" i="1"/>
  <c r="R904" i="1"/>
  <c r="GK904" i="1" s="1"/>
  <c r="CT902" i="1"/>
  <c r="S902" i="1"/>
  <c r="CT899" i="1"/>
  <c r="CR898" i="1"/>
  <c r="AD898" i="1"/>
  <c r="AB898" i="1" s="1"/>
  <c r="CQ897" i="1"/>
  <c r="R896" i="1"/>
  <c r="GK896" i="1" s="1"/>
  <c r="W895" i="1"/>
  <c r="S895" i="1"/>
  <c r="CT895" i="1"/>
  <c r="AB894" i="1"/>
  <c r="CT892" i="1"/>
  <c r="CR891" i="1"/>
  <c r="AD891" i="1"/>
  <c r="AB891" i="1" s="1"/>
  <c r="CQ890" i="1"/>
  <c r="U890" i="1"/>
  <c r="R890" i="1"/>
  <c r="GK890" i="1" s="1"/>
  <c r="CT887" i="1"/>
  <c r="CR886" i="1"/>
  <c r="AD886" i="1"/>
  <c r="AB886" i="1" s="1"/>
  <c r="CQ885" i="1"/>
  <c r="R884" i="1"/>
  <c r="GK884" i="1" s="1"/>
  <c r="W883" i="1"/>
  <c r="S883" i="1"/>
  <c r="CT883" i="1"/>
  <c r="AB882" i="1"/>
  <c r="CT880" i="1"/>
  <c r="CR879" i="1"/>
  <c r="AD879" i="1"/>
  <c r="AB879" i="1" s="1"/>
  <c r="R878" i="1"/>
  <c r="GK878" i="1" s="1"/>
  <c r="CS878" i="1"/>
  <c r="Q878" i="1"/>
  <c r="AB877" i="1"/>
  <c r="CP876" i="1"/>
  <c r="O876" i="1" s="1"/>
  <c r="CQ875" i="1"/>
  <c r="T874" i="1"/>
  <c r="AG931" i="1" s="1"/>
  <c r="W874" i="1"/>
  <c r="AJ931" i="1" s="1"/>
  <c r="S874" i="1"/>
  <c r="CT874" i="1"/>
  <c r="Q874" i="1"/>
  <c r="P872" i="1"/>
  <c r="CP872" i="1" s="1"/>
  <c r="O872" i="1" s="1"/>
  <c r="Q872" i="1"/>
  <c r="CP871" i="1"/>
  <c r="O871" i="1" s="1"/>
  <c r="P870" i="1"/>
  <c r="CQ870" i="1"/>
  <c r="AB868" i="1"/>
  <c r="CR866" i="1"/>
  <c r="AB866" i="1"/>
  <c r="Q866" i="1"/>
  <c r="GA832" i="1"/>
  <c r="BB825" i="1"/>
  <c r="F845" i="1"/>
  <c r="CY830" i="1"/>
  <c r="X830" i="1" s="1"/>
  <c r="CZ830" i="1"/>
  <c r="Y830" i="1" s="1"/>
  <c r="DX832" i="1"/>
  <c r="CP830" i="1"/>
  <c r="O830" i="1" s="1"/>
  <c r="EA832" i="1"/>
  <c r="DZ832" i="1"/>
  <c r="CP828" i="1"/>
  <c r="O828" i="1" s="1"/>
  <c r="AH832" i="1"/>
  <c r="P772" i="1"/>
  <c r="ET734" i="1"/>
  <c r="CP753" i="1"/>
  <c r="O753" i="1" s="1"/>
  <c r="CY749" i="1"/>
  <c r="X749" i="1" s="1"/>
  <c r="CZ749" i="1"/>
  <c r="Y749" i="1" s="1"/>
  <c r="CP745" i="1"/>
  <c r="O745" i="1" s="1"/>
  <c r="AB740" i="1"/>
  <c r="GB759" i="1"/>
  <c r="DY759" i="1"/>
  <c r="CJ759" i="1"/>
  <c r="AH759" i="1"/>
  <c r="CP736" i="1"/>
  <c r="O736" i="1" s="1"/>
  <c r="AO645" i="1"/>
  <c r="F706" i="1"/>
  <c r="CY699" i="1"/>
  <c r="X699" i="1" s="1"/>
  <c r="CZ699" i="1"/>
  <c r="Y699" i="1" s="1"/>
  <c r="AB697" i="1"/>
  <c r="CY696" i="1"/>
  <c r="X696" i="1" s="1"/>
  <c r="CZ696" i="1"/>
  <c r="Y696" i="1" s="1"/>
  <c r="AB691" i="1"/>
  <c r="AB683" i="1"/>
  <c r="AB675" i="1"/>
  <c r="CY672" i="1"/>
  <c r="X672" i="1" s="1"/>
  <c r="CZ672" i="1"/>
  <c r="Y672" i="1" s="1"/>
  <c r="CP662" i="1"/>
  <c r="O662" i="1" s="1"/>
  <c r="AG702" i="1"/>
  <c r="CP647" i="1"/>
  <c r="O647" i="1" s="1"/>
  <c r="Q1127" i="1"/>
  <c r="AD1156" i="1" s="1"/>
  <c r="ET1093" i="1"/>
  <c r="EL1093" i="1"/>
  <c r="EH1093" i="1"/>
  <c r="Q1084" i="1"/>
  <c r="CP1084" i="1" s="1"/>
  <c r="O1084" i="1" s="1"/>
  <c r="Q1076" i="1"/>
  <c r="CP1076" i="1" s="1"/>
  <c r="O1076" i="1" s="1"/>
  <c r="Q1062" i="1"/>
  <c r="CP1062" i="1" s="1"/>
  <c r="O1062" i="1" s="1"/>
  <c r="EV1008" i="1"/>
  <c r="Q1003" i="1"/>
  <c r="CP1003" i="1" s="1"/>
  <c r="O1003" i="1" s="1"/>
  <c r="Q999" i="1"/>
  <c r="CP999" i="1" s="1"/>
  <c r="O999" i="1" s="1"/>
  <c r="ET931" i="1"/>
  <c r="EH931" i="1"/>
  <c r="BD931" i="1"/>
  <c r="Q926" i="1"/>
  <c r="CP926" i="1" s="1"/>
  <c r="O926" i="1" s="1"/>
  <c r="Q918" i="1"/>
  <c r="CP918" i="1" s="1"/>
  <c r="O918" i="1" s="1"/>
  <c r="Q904" i="1"/>
  <c r="CP904" i="1" s="1"/>
  <c r="O904" i="1" s="1"/>
  <c r="R900" i="1"/>
  <c r="GK900" i="1" s="1"/>
  <c r="CS900" i="1"/>
  <c r="AB899" i="1"/>
  <c r="P897" i="1"/>
  <c r="CP897" i="1" s="1"/>
  <c r="O897" i="1" s="1"/>
  <c r="P896" i="1"/>
  <c r="CP896" i="1" s="1"/>
  <c r="O896" i="1" s="1"/>
  <c r="CQ896" i="1"/>
  <c r="S893" i="1"/>
  <c r="CT893" i="1"/>
  <c r="AB893" i="1"/>
  <c r="AB892" i="1"/>
  <c r="P890" i="1"/>
  <c r="CP890" i="1" s="1"/>
  <c r="O890" i="1" s="1"/>
  <c r="R888" i="1"/>
  <c r="GK888" i="1" s="1"/>
  <c r="CS888" i="1"/>
  <c r="AB887" i="1"/>
  <c r="P885" i="1"/>
  <c r="CP885" i="1" s="1"/>
  <c r="O885" i="1" s="1"/>
  <c r="P884" i="1"/>
  <c r="CP884" i="1" s="1"/>
  <c r="O884" i="1" s="1"/>
  <c r="CQ884" i="1"/>
  <c r="S881" i="1"/>
  <c r="CT881" i="1"/>
  <c r="AB881" i="1"/>
  <c r="AB880" i="1"/>
  <c r="CP878" i="1"/>
  <c r="O878" i="1" s="1"/>
  <c r="CP874" i="1"/>
  <c r="O874" i="1" s="1"/>
  <c r="P869" i="1"/>
  <c r="Q869" i="1"/>
  <c r="GO868" i="1"/>
  <c r="GM868" i="1"/>
  <c r="CP866" i="1"/>
  <c r="O866" i="1" s="1"/>
  <c r="GC825" i="1"/>
  <c r="ET832" i="1"/>
  <c r="AU825" i="1"/>
  <c r="F851" i="1"/>
  <c r="FV825" i="1"/>
  <c r="EM832" i="1"/>
  <c r="DL832" i="1"/>
  <c r="DY825" i="1"/>
  <c r="AP832" i="1"/>
  <c r="BY825" i="1"/>
  <c r="CI832" i="1"/>
  <c r="P763" i="1"/>
  <c r="EG734" i="1"/>
  <c r="GM752" i="1"/>
  <c r="GN752" i="1"/>
  <c r="EM759" i="1"/>
  <c r="FV734" i="1"/>
  <c r="GM744" i="1"/>
  <c r="GN744" i="1"/>
  <c r="CY737" i="1"/>
  <c r="X737" i="1" s="1"/>
  <c r="CZ737" i="1"/>
  <c r="Y737" i="1" s="1"/>
  <c r="CD734" i="1"/>
  <c r="AU759" i="1"/>
  <c r="AL759" i="1"/>
  <c r="T759" i="1"/>
  <c r="AG734" i="1"/>
  <c r="FR645" i="1"/>
  <c r="FY702" i="1"/>
  <c r="EI702" i="1"/>
  <c r="GO693" i="1"/>
  <c r="GM693" i="1"/>
  <c r="GO688" i="1"/>
  <c r="GM688" i="1"/>
  <c r="GO685" i="1"/>
  <c r="GM685" i="1"/>
  <c r="GO680" i="1"/>
  <c r="GM680" i="1"/>
  <c r="GO677" i="1"/>
  <c r="GM677" i="1"/>
  <c r="BZ645" i="1"/>
  <c r="CG702" i="1"/>
  <c r="AQ702" i="1"/>
  <c r="CY666" i="1"/>
  <c r="X666" i="1" s="1"/>
  <c r="CZ666" i="1"/>
  <c r="Y666" i="1" s="1"/>
  <c r="CP665" i="1"/>
  <c r="O665" i="1" s="1"/>
  <c r="GN664" i="1"/>
  <c r="GM664" i="1"/>
  <c r="CY661" i="1"/>
  <c r="X661" i="1" s="1"/>
  <c r="CZ661" i="1"/>
  <c r="Y661" i="1" s="1"/>
  <c r="CY658" i="1"/>
  <c r="X658" i="1" s="1"/>
  <c r="CZ658" i="1"/>
  <c r="Y658" i="1" s="1"/>
  <c r="ED702" i="1" s="1"/>
  <c r="GO656" i="1"/>
  <c r="GM656" i="1"/>
  <c r="EB702" i="1"/>
  <c r="CY650" i="1"/>
  <c r="X650" i="1" s="1"/>
  <c r="EC702" i="1" s="1"/>
  <c r="DX702" i="1"/>
  <c r="CZ650" i="1"/>
  <c r="Y650" i="1" s="1"/>
  <c r="AH702" i="1"/>
  <c r="AJ702" i="1"/>
  <c r="DZ702" i="1"/>
  <c r="CJ500" i="1"/>
  <c r="BA579" i="1"/>
  <c r="AI579" i="1"/>
  <c r="EU1156" i="1"/>
  <c r="CT1154" i="1"/>
  <c r="CT1152" i="1"/>
  <c r="CT1150" i="1"/>
  <c r="CT1148" i="1"/>
  <c r="CT1146" i="1"/>
  <c r="CT1144" i="1"/>
  <c r="CT1142" i="1"/>
  <c r="CT1140" i="1"/>
  <c r="CT1138" i="1"/>
  <c r="CS1137" i="1"/>
  <c r="CT1135" i="1"/>
  <c r="CT1133" i="1"/>
  <c r="CT1131" i="1"/>
  <c r="CT1129" i="1"/>
  <c r="CQ1127" i="1"/>
  <c r="EG1093" i="1"/>
  <c r="CT1090" i="1"/>
  <c r="CT1088" i="1"/>
  <c r="CT1086" i="1"/>
  <c r="CQ1084" i="1"/>
  <c r="CT1083" i="1"/>
  <c r="CT1081" i="1"/>
  <c r="CS1080" i="1"/>
  <c r="CT1078" i="1"/>
  <c r="CQ1076" i="1"/>
  <c r="CT1075" i="1"/>
  <c r="CT1073" i="1"/>
  <c r="CT1071" i="1"/>
  <c r="CS1070" i="1"/>
  <c r="CT1068" i="1"/>
  <c r="CT1066" i="1"/>
  <c r="CT1064" i="1"/>
  <c r="CQ1062" i="1"/>
  <c r="CT1061" i="1"/>
  <c r="CT1059" i="1"/>
  <c r="CT1057" i="1"/>
  <c r="CT1055" i="1"/>
  <c r="CT1053" i="1"/>
  <c r="CT1051" i="1"/>
  <c r="CT1049" i="1"/>
  <c r="CT1047" i="1"/>
  <c r="CT1045" i="1"/>
  <c r="CT1043" i="1"/>
  <c r="CS1042" i="1"/>
  <c r="EU1008" i="1"/>
  <c r="CT1006" i="1"/>
  <c r="CS1005" i="1"/>
  <c r="CQ1003" i="1"/>
  <c r="CT1002" i="1"/>
  <c r="CS1001" i="1"/>
  <c r="CQ999" i="1"/>
  <c r="EG931" i="1"/>
  <c r="BC931" i="1"/>
  <c r="CT928" i="1"/>
  <c r="CQ926" i="1"/>
  <c r="CT925" i="1"/>
  <c r="CT923" i="1"/>
  <c r="CS922" i="1"/>
  <c r="CT920" i="1"/>
  <c r="CQ918" i="1"/>
  <c r="CT917" i="1"/>
  <c r="CT915" i="1"/>
  <c r="CT913" i="1"/>
  <c r="CT911" i="1"/>
  <c r="CT909" i="1"/>
  <c r="CS908" i="1"/>
  <c r="CT906" i="1"/>
  <c r="CQ904" i="1"/>
  <c r="CT903" i="1"/>
  <c r="CT901" i="1"/>
  <c r="CQ900" i="1"/>
  <c r="AD900" i="1"/>
  <c r="AB900" i="1" s="1"/>
  <c r="Q900" i="1"/>
  <c r="W898" i="1"/>
  <c r="S898" i="1"/>
  <c r="CT898" i="1"/>
  <c r="AB896" i="1"/>
  <c r="CR895" i="1"/>
  <c r="AD895" i="1"/>
  <c r="AB895" i="1" s="1"/>
  <c r="U894" i="1"/>
  <c r="W894" i="1"/>
  <c r="R894" i="1"/>
  <c r="GK894" i="1" s="1"/>
  <c r="W891" i="1"/>
  <c r="S891" i="1"/>
  <c r="CT891" i="1"/>
  <c r="CQ888" i="1"/>
  <c r="AD888" i="1"/>
  <c r="AB888" i="1" s="1"/>
  <c r="Q888" i="1"/>
  <c r="W886" i="1"/>
  <c r="S886" i="1"/>
  <c r="CT886" i="1"/>
  <c r="AB884" i="1"/>
  <c r="CR883" i="1"/>
  <c r="AD883" i="1"/>
  <c r="AB883" i="1" s="1"/>
  <c r="U882" i="1"/>
  <c r="AH931" i="1" s="1"/>
  <c r="W882" i="1"/>
  <c r="R882" i="1"/>
  <c r="GK882" i="1" s="1"/>
  <c r="S879" i="1"/>
  <c r="CT879" i="1"/>
  <c r="CP879" i="1"/>
  <c r="O879" i="1" s="1"/>
  <c r="AB878" i="1"/>
  <c r="AB876" i="1"/>
  <c r="CR874" i="1"/>
  <c r="AB873" i="1"/>
  <c r="S872" i="1"/>
  <c r="CT872" i="1"/>
  <c r="CZ870" i="1"/>
  <c r="Y870" i="1" s="1"/>
  <c r="CY870" i="1"/>
  <c r="X870" i="1" s="1"/>
  <c r="U869" i="1"/>
  <c r="DZ931" i="1" s="1"/>
  <c r="AB869" i="1"/>
  <c r="AB867" i="1"/>
  <c r="FY825" i="1"/>
  <c r="EP832" i="1"/>
  <c r="AX832" i="1"/>
  <c r="CG825" i="1"/>
  <c r="AB829" i="1"/>
  <c r="EC832" i="1"/>
  <c r="ED832" i="1"/>
  <c r="AT832" i="1"/>
  <c r="CC825" i="1"/>
  <c r="AJ832" i="1"/>
  <c r="CP755" i="1"/>
  <c r="O755" i="1" s="1"/>
  <c r="CY753" i="1"/>
  <c r="X753" i="1" s="1"/>
  <c r="CZ753" i="1"/>
  <c r="Y753" i="1" s="1"/>
  <c r="CP749" i="1"/>
  <c r="O749" i="1" s="1"/>
  <c r="CP747" i="1"/>
  <c r="O747" i="1" s="1"/>
  <c r="CY745" i="1"/>
  <c r="X745" i="1" s="1"/>
  <c r="CZ745" i="1"/>
  <c r="Y745" i="1" s="1"/>
  <c r="EB759" i="1"/>
  <c r="GK737" i="1"/>
  <c r="DW759" i="1"/>
  <c r="DZ759" i="1"/>
  <c r="DV759" i="1"/>
  <c r="AK759" i="1"/>
  <c r="AF759" i="1"/>
  <c r="AI759" i="1"/>
  <c r="GK736" i="1"/>
  <c r="CP698" i="1"/>
  <c r="O698" i="1" s="1"/>
  <c r="GO695" i="1"/>
  <c r="GM695" i="1"/>
  <c r="CY692" i="1"/>
  <c r="X692" i="1" s="1"/>
  <c r="CZ692" i="1"/>
  <c r="Y692" i="1" s="1"/>
  <c r="CP691" i="1"/>
  <c r="O691" i="1" s="1"/>
  <c r="GO690" i="1"/>
  <c r="GM690" i="1"/>
  <c r="CY684" i="1"/>
  <c r="X684" i="1" s="1"/>
  <c r="CZ684" i="1"/>
  <c r="Y684" i="1" s="1"/>
  <c r="GO682" i="1"/>
  <c r="GM682" i="1"/>
  <c r="CY676" i="1"/>
  <c r="X676" i="1" s="1"/>
  <c r="CZ676" i="1"/>
  <c r="Y676" i="1" s="1"/>
  <c r="CP675" i="1"/>
  <c r="O675" i="1" s="1"/>
  <c r="CP674" i="1"/>
  <c r="O674" i="1" s="1"/>
  <c r="GN671" i="1"/>
  <c r="GM671" i="1"/>
  <c r="CY663" i="1"/>
  <c r="X663" i="1" s="1"/>
  <c r="CZ663" i="1"/>
  <c r="Y663" i="1" s="1"/>
  <c r="GB702" i="1"/>
  <c r="GK649" i="1"/>
  <c r="DY702" i="1"/>
  <c r="AD870" i="1"/>
  <c r="AB870" i="1" s="1"/>
  <c r="EU832" i="1"/>
  <c r="DU832" i="1"/>
  <c r="GK830" i="1"/>
  <c r="CT830" i="1"/>
  <c r="CS829" i="1"/>
  <c r="R829" i="1"/>
  <c r="GK829" i="1" s="1"/>
  <c r="CY827" i="1"/>
  <c r="X827" i="1" s="1"/>
  <c r="AK832" i="1" s="1"/>
  <c r="CQ827" i="1"/>
  <c r="AD827" i="1"/>
  <c r="AB827" i="1" s="1"/>
  <c r="P827" i="1"/>
  <c r="CL825" i="1"/>
  <c r="CD825" i="1"/>
  <c r="BZ825" i="1"/>
  <c r="BC759" i="1"/>
  <c r="FR756" i="1"/>
  <c r="CS756" i="1"/>
  <c r="R756" i="1"/>
  <c r="GK756" i="1" s="1"/>
  <c r="CT755" i="1"/>
  <c r="S755" i="1" s="1"/>
  <c r="CQ754" i="1"/>
  <c r="P754" i="1" s="1"/>
  <c r="CP754" i="1" s="1"/>
  <c r="O754" i="1" s="1"/>
  <c r="CT751" i="1"/>
  <c r="S751" i="1" s="1"/>
  <c r="CP751" i="1" s="1"/>
  <c r="O751" i="1" s="1"/>
  <c r="CQ750" i="1"/>
  <c r="P750" i="1" s="1"/>
  <c r="CP750" i="1" s="1"/>
  <c r="O750" i="1" s="1"/>
  <c r="CT747" i="1"/>
  <c r="S747" i="1" s="1"/>
  <c r="CQ746" i="1"/>
  <c r="P746" i="1" s="1"/>
  <c r="CP746" i="1" s="1"/>
  <c r="O746" i="1" s="1"/>
  <c r="CT743" i="1"/>
  <c r="S743" i="1" s="1"/>
  <c r="CP743" i="1" s="1"/>
  <c r="O743" i="1" s="1"/>
  <c r="CQ742" i="1"/>
  <c r="P742" i="1" s="1"/>
  <c r="CP742" i="1" s="1"/>
  <c r="O742" i="1" s="1"/>
  <c r="FR740" i="1"/>
  <c r="BY759" i="1" s="1"/>
  <c r="CS740" i="1"/>
  <c r="R740" i="1"/>
  <c r="GK740" i="1" s="1"/>
  <c r="CT739" i="1"/>
  <c r="S739" i="1" s="1"/>
  <c r="CP739" i="1" s="1"/>
  <c r="O739" i="1" s="1"/>
  <c r="CQ738" i="1"/>
  <c r="P738" i="1" s="1"/>
  <c r="CP738" i="1" s="1"/>
  <c r="O738" i="1" s="1"/>
  <c r="GD734" i="1"/>
  <c r="EG702" i="1"/>
  <c r="BC702" i="1"/>
  <c r="CT699" i="1"/>
  <c r="CY697" i="1"/>
  <c r="X697" i="1" s="1"/>
  <c r="CQ697" i="1"/>
  <c r="AD697" i="1"/>
  <c r="P697" i="1"/>
  <c r="CP697" i="1" s="1"/>
  <c r="O697" i="1" s="1"/>
  <c r="CT696" i="1"/>
  <c r="CT694" i="1"/>
  <c r="CT692" i="1"/>
  <c r="CS691" i="1"/>
  <c r="R691" i="1"/>
  <c r="GK691" i="1" s="1"/>
  <c r="CT689" i="1"/>
  <c r="CY687" i="1"/>
  <c r="X687" i="1" s="1"/>
  <c r="CQ687" i="1"/>
  <c r="AD687" i="1"/>
  <c r="AB687" i="1" s="1"/>
  <c r="P687" i="1"/>
  <c r="CP687" i="1" s="1"/>
  <c r="O687" i="1" s="1"/>
  <c r="CT686" i="1"/>
  <c r="CT684" i="1"/>
  <c r="CS683" i="1"/>
  <c r="R683" i="1"/>
  <c r="GK683" i="1" s="1"/>
  <c r="CT681" i="1"/>
  <c r="CY679" i="1"/>
  <c r="X679" i="1" s="1"/>
  <c r="CQ679" i="1"/>
  <c r="AD679" i="1"/>
  <c r="AB679" i="1" s="1"/>
  <c r="P679" i="1"/>
  <c r="CP679" i="1" s="1"/>
  <c r="O679" i="1" s="1"/>
  <c r="CT678" i="1"/>
  <c r="CT676" i="1"/>
  <c r="CS675" i="1"/>
  <c r="R675" i="1"/>
  <c r="GK675" i="1" s="1"/>
  <c r="CY673" i="1"/>
  <c r="X673" i="1" s="1"/>
  <c r="CQ673" i="1"/>
  <c r="AD673" i="1"/>
  <c r="AB673" i="1" s="1"/>
  <c r="P673" i="1"/>
  <c r="CP673" i="1" s="1"/>
  <c r="O673" i="1" s="1"/>
  <c r="CT672" i="1"/>
  <c r="CT670" i="1"/>
  <c r="CS669" i="1"/>
  <c r="R669" i="1"/>
  <c r="GK669" i="1" s="1"/>
  <c r="CY667" i="1"/>
  <c r="X667" i="1" s="1"/>
  <c r="CQ667" i="1"/>
  <c r="AD667" i="1"/>
  <c r="AB667" i="1" s="1"/>
  <c r="P667" i="1"/>
  <c r="CP667" i="1" s="1"/>
  <c r="O667" i="1" s="1"/>
  <c r="CT666" i="1"/>
  <c r="CS665" i="1"/>
  <c r="R665" i="1"/>
  <c r="GK665" i="1" s="1"/>
  <c r="CT663" i="1"/>
  <c r="CT661" i="1"/>
  <c r="CY659" i="1"/>
  <c r="X659" i="1" s="1"/>
  <c r="CQ659" i="1"/>
  <c r="AD659" i="1"/>
  <c r="AB659" i="1" s="1"/>
  <c r="P659" i="1"/>
  <c r="CP659" i="1" s="1"/>
  <c r="O659" i="1" s="1"/>
  <c r="CT658" i="1"/>
  <c r="CS657" i="1"/>
  <c r="R657" i="1"/>
  <c r="GK657" i="1" s="1"/>
  <c r="CY655" i="1"/>
  <c r="X655" i="1" s="1"/>
  <c r="CQ655" i="1"/>
  <c r="AD655" i="1"/>
  <c r="AB655" i="1" s="1"/>
  <c r="P655" i="1"/>
  <c r="CP655" i="1" s="1"/>
  <c r="O655" i="1" s="1"/>
  <c r="CT654" i="1"/>
  <c r="CS653" i="1"/>
  <c r="R653" i="1"/>
  <c r="GK653" i="1" s="1"/>
  <c r="CY651" i="1"/>
  <c r="X651" i="1" s="1"/>
  <c r="CQ651" i="1"/>
  <c r="AD651" i="1"/>
  <c r="AB651" i="1" s="1"/>
  <c r="P651" i="1"/>
  <c r="CP651" i="1" s="1"/>
  <c r="O651" i="1" s="1"/>
  <c r="CT650" i="1"/>
  <c r="CR649" i="1"/>
  <c r="AD649" i="1"/>
  <c r="AB649" i="1" s="1"/>
  <c r="R648" i="1"/>
  <c r="CS648" i="1"/>
  <c r="AB647" i="1"/>
  <c r="BX645" i="1"/>
  <c r="P604" i="1"/>
  <c r="BB579" i="1"/>
  <c r="CY576" i="1"/>
  <c r="X576" i="1" s="1"/>
  <c r="CZ576" i="1"/>
  <c r="Y576" i="1" s="1"/>
  <c r="W575" i="1"/>
  <c r="EB579" i="1" s="1"/>
  <c r="S575" i="1"/>
  <c r="CT575" i="1"/>
  <c r="U570" i="1"/>
  <c r="AH579" i="1" s="1"/>
  <c r="R570" i="1"/>
  <c r="GK570" i="1" s="1"/>
  <c r="CP568" i="1"/>
  <c r="O568" i="1" s="1"/>
  <c r="FU579" i="1"/>
  <c r="AB567" i="1"/>
  <c r="CP567" i="1"/>
  <c r="O567" i="1" s="1"/>
  <c r="T565" i="1"/>
  <c r="DY579" i="1" s="1"/>
  <c r="S563" i="1"/>
  <c r="CT563" i="1"/>
  <c r="AD562" i="1"/>
  <c r="AB562" i="1" s="1"/>
  <c r="R562" i="1"/>
  <c r="GK562" i="1" s="1"/>
  <c r="CS562" i="1"/>
  <c r="Q562" i="1"/>
  <c r="CP562" i="1" s="1"/>
  <c r="O562" i="1" s="1"/>
  <c r="W560" i="1"/>
  <c r="S560" i="1"/>
  <c r="CT560" i="1"/>
  <c r="CP559" i="1"/>
  <c r="O559" i="1" s="1"/>
  <c r="CZ557" i="1"/>
  <c r="Y557" i="1" s="1"/>
  <c r="CY557" i="1"/>
  <c r="X557" i="1" s="1"/>
  <c r="GM557" i="1" s="1"/>
  <c r="FQ579" i="1"/>
  <c r="CY554" i="1"/>
  <c r="X554" i="1" s="1"/>
  <c r="CZ554" i="1"/>
  <c r="Y554" i="1" s="1"/>
  <c r="CP552" i="1"/>
  <c r="O552" i="1" s="1"/>
  <c r="CP551" i="1"/>
  <c r="O551" i="1" s="1"/>
  <c r="CZ548" i="1"/>
  <c r="Y548" i="1" s="1"/>
  <c r="GM548" i="1" s="1"/>
  <c r="CY548" i="1"/>
  <c r="X548" i="1" s="1"/>
  <c r="CP544" i="1"/>
  <c r="O544" i="1" s="1"/>
  <c r="CP543" i="1"/>
  <c r="O543" i="1" s="1"/>
  <c r="CZ540" i="1"/>
  <c r="Y540" i="1" s="1"/>
  <c r="GM540" i="1" s="1"/>
  <c r="CY540" i="1"/>
  <c r="X540" i="1" s="1"/>
  <c r="CP537" i="1"/>
  <c r="O537" i="1" s="1"/>
  <c r="CP536" i="1"/>
  <c r="O536" i="1" s="1"/>
  <c r="CZ533" i="1"/>
  <c r="Y533" i="1" s="1"/>
  <c r="GN533" i="1" s="1"/>
  <c r="CY533" i="1"/>
  <c r="X533" i="1" s="1"/>
  <c r="CP529" i="1"/>
  <c r="O529" i="1" s="1"/>
  <c r="CP528" i="1"/>
  <c r="O528" i="1" s="1"/>
  <c r="CZ525" i="1"/>
  <c r="Y525" i="1" s="1"/>
  <c r="GM525" i="1" s="1"/>
  <c r="CY525" i="1"/>
  <c r="X525" i="1" s="1"/>
  <c r="CY522" i="1"/>
  <c r="X522" i="1" s="1"/>
  <c r="CZ522" i="1"/>
  <c r="Y522" i="1" s="1"/>
  <c r="CP520" i="1"/>
  <c r="O520" i="1" s="1"/>
  <c r="CP519" i="1"/>
  <c r="O519" i="1" s="1"/>
  <c r="CZ517" i="1"/>
  <c r="Y517" i="1" s="1"/>
  <c r="GN517" i="1" s="1"/>
  <c r="CY517" i="1"/>
  <c r="X517" i="1" s="1"/>
  <c r="CP513" i="1"/>
  <c r="O513" i="1" s="1"/>
  <c r="CP512" i="1"/>
  <c r="O512" i="1" s="1"/>
  <c r="CZ508" i="1"/>
  <c r="Y508" i="1" s="1"/>
  <c r="CY508" i="1"/>
  <c r="X508" i="1" s="1"/>
  <c r="CC457" i="1"/>
  <c r="AT468" i="1"/>
  <c r="DM468" i="1"/>
  <c r="DZ457" i="1"/>
  <c r="AJ468" i="1"/>
  <c r="EL832" i="1"/>
  <c r="EH832" i="1"/>
  <c r="BD832" i="1"/>
  <c r="Q829" i="1"/>
  <c r="CP829" i="1" s="1"/>
  <c r="O829" i="1" s="1"/>
  <c r="FQ825" i="1"/>
  <c r="EV759" i="1"/>
  <c r="BB759" i="1"/>
  <c r="AT759" i="1"/>
  <c r="Q756" i="1"/>
  <c r="CP756" i="1" s="1"/>
  <c r="O756" i="1" s="1"/>
  <c r="GM756" i="1" s="1"/>
  <c r="Q740" i="1"/>
  <c r="AD759" i="1" s="1"/>
  <c r="GC734" i="1"/>
  <c r="EV702" i="1"/>
  <c r="BB702" i="1"/>
  <c r="AP702" i="1"/>
  <c r="Q691" i="1"/>
  <c r="Q683" i="1"/>
  <c r="CP683" i="1" s="1"/>
  <c r="O683" i="1" s="1"/>
  <c r="Q675" i="1"/>
  <c r="Q669" i="1"/>
  <c r="CP669" i="1" s="1"/>
  <c r="O669" i="1" s="1"/>
  <c r="Q665" i="1"/>
  <c r="Q657" i="1"/>
  <c r="AD702" i="1" s="1"/>
  <c r="Q653" i="1"/>
  <c r="CP653" i="1" s="1"/>
  <c r="O653" i="1" s="1"/>
  <c r="GM569" i="1"/>
  <c r="CY566" i="1"/>
  <c r="X566" i="1" s="1"/>
  <c r="CZ566" i="1"/>
  <c r="Y566" i="1" s="1"/>
  <c r="S565" i="1"/>
  <c r="CT565" i="1"/>
  <c r="BZ579" i="1"/>
  <c r="CZ555" i="1"/>
  <c r="Y555" i="1" s="1"/>
  <c r="CY555" i="1"/>
  <c r="X555" i="1" s="1"/>
  <c r="CP549" i="1"/>
  <c r="O549" i="1" s="1"/>
  <c r="CZ546" i="1"/>
  <c r="Y546" i="1" s="1"/>
  <c r="CY546" i="1"/>
  <c r="X546" i="1" s="1"/>
  <c r="GN542" i="1"/>
  <c r="CP541" i="1"/>
  <c r="O541" i="1" s="1"/>
  <c r="CP534" i="1"/>
  <c r="O534" i="1" s="1"/>
  <c r="CZ531" i="1"/>
  <c r="Y531" i="1" s="1"/>
  <c r="CY531" i="1"/>
  <c r="X531" i="1" s="1"/>
  <c r="CP526" i="1"/>
  <c r="O526" i="1" s="1"/>
  <c r="CZ523" i="1"/>
  <c r="Y523" i="1" s="1"/>
  <c r="CY523" i="1"/>
  <c r="X523" i="1" s="1"/>
  <c r="CZ515" i="1"/>
  <c r="Y515" i="1" s="1"/>
  <c r="CY515" i="1"/>
  <c r="X515" i="1" s="1"/>
  <c r="FY468" i="1"/>
  <c r="FR457" i="1"/>
  <c r="EI468" i="1"/>
  <c r="GA468" i="1"/>
  <c r="EB457" i="1"/>
  <c r="DO468" i="1"/>
  <c r="CJ457" i="1"/>
  <c r="BA468" i="1"/>
  <c r="V468" i="1"/>
  <c r="AI457" i="1"/>
  <c r="GB468" i="1"/>
  <c r="U468" i="1"/>
  <c r="AH457" i="1"/>
  <c r="Q867" i="1"/>
  <c r="DV931" i="1" s="1"/>
  <c r="EG832" i="1"/>
  <c r="AQ832" i="1"/>
  <c r="Q830" i="1"/>
  <c r="DV832" i="1" s="1"/>
  <c r="AO759" i="1"/>
  <c r="AO789" i="1" s="1"/>
  <c r="CP757" i="1"/>
  <c r="O757" i="1" s="1"/>
  <c r="GM757" i="1" s="1"/>
  <c r="CP741" i="1"/>
  <c r="O741" i="1" s="1"/>
  <c r="GM741" i="1" s="1"/>
  <c r="EU702" i="1"/>
  <c r="Q699" i="1"/>
  <c r="CP699" i="1" s="1"/>
  <c r="O699" i="1" s="1"/>
  <c r="Q696" i="1"/>
  <c r="CP696" i="1" s="1"/>
  <c r="O696" i="1" s="1"/>
  <c r="Q694" i="1"/>
  <c r="CP694" i="1" s="1"/>
  <c r="O694" i="1" s="1"/>
  <c r="Q692" i="1"/>
  <c r="CP692" i="1" s="1"/>
  <c r="O692" i="1" s="1"/>
  <c r="Q689" i="1"/>
  <c r="CP689" i="1" s="1"/>
  <c r="O689" i="1" s="1"/>
  <c r="Q686" i="1"/>
  <c r="CP686" i="1" s="1"/>
  <c r="O686" i="1" s="1"/>
  <c r="Q684" i="1"/>
  <c r="CP684" i="1" s="1"/>
  <c r="O684" i="1" s="1"/>
  <c r="Q681" i="1"/>
  <c r="CP681" i="1" s="1"/>
  <c r="O681" i="1" s="1"/>
  <c r="Q678" i="1"/>
  <c r="CP678" i="1" s="1"/>
  <c r="O678" i="1" s="1"/>
  <c r="Q676" i="1"/>
  <c r="CP676" i="1" s="1"/>
  <c r="O676" i="1" s="1"/>
  <c r="Q672" i="1"/>
  <c r="CP672" i="1" s="1"/>
  <c r="O672" i="1" s="1"/>
  <c r="Q670" i="1"/>
  <c r="CP670" i="1" s="1"/>
  <c r="O670" i="1" s="1"/>
  <c r="Q666" i="1"/>
  <c r="CP666" i="1" s="1"/>
  <c r="O666" i="1" s="1"/>
  <c r="Q663" i="1"/>
  <c r="CP663" i="1" s="1"/>
  <c r="O663" i="1" s="1"/>
  <c r="Q661" i="1"/>
  <c r="CP661" i="1" s="1"/>
  <c r="O661" i="1" s="1"/>
  <c r="Q658" i="1"/>
  <c r="CP658" i="1" s="1"/>
  <c r="O658" i="1" s="1"/>
  <c r="Q654" i="1"/>
  <c r="CP654" i="1" s="1"/>
  <c r="O654" i="1" s="1"/>
  <c r="Q650" i="1"/>
  <c r="CP650" i="1" s="1"/>
  <c r="O650" i="1" s="1"/>
  <c r="S649" i="1"/>
  <c r="CT649" i="1"/>
  <c r="CP649" i="1"/>
  <c r="O649" i="1" s="1"/>
  <c r="AB648" i="1"/>
  <c r="P648" i="1"/>
  <c r="BY500" i="1"/>
  <c r="CI579" i="1"/>
  <c r="AP579" i="1"/>
  <c r="AB576" i="1"/>
  <c r="P576" i="1"/>
  <c r="CP576" i="1" s="1"/>
  <c r="O576" i="1" s="1"/>
  <c r="CQ576" i="1"/>
  <c r="CP575" i="1"/>
  <c r="O575" i="1" s="1"/>
  <c r="AB574" i="1"/>
  <c r="GN574" i="1"/>
  <c r="AB571" i="1"/>
  <c r="GM571" i="1"/>
  <c r="T570" i="1"/>
  <c r="AG579" i="1" s="1"/>
  <c r="S568" i="1"/>
  <c r="CT568" i="1"/>
  <c r="CP563" i="1"/>
  <c r="O563" i="1" s="1"/>
  <c r="CP560" i="1"/>
  <c r="O560" i="1" s="1"/>
  <c r="GN557" i="1"/>
  <c r="CP556" i="1"/>
  <c r="O556" i="1" s="1"/>
  <c r="CZ552" i="1"/>
  <c r="Y552" i="1" s="1"/>
  <c r="CY552" i="1"/>
  <c r="X552" i="1" s="1"/>
  <c r="CP547" i="1"/>
  <c r="O547" i="1" s="1"/>
  <c r="CZ544" i="1"/>
  <c r="Y544" i="1" s="1"/>
  <c r="CY544" i="1"/>
  <c r="X544" i="1" s="1"/>
  <c r="GN540" i="1"/>
  <c r="CP539" i="1"/>
  <c r="O539" i="1" s="1"/>
  <c r="CZ537" i="1"/>
  <c r="Y537" i="1" s="1"/>
  <c r="CY537" i="1"/>
  <c r="X537" i="1" s="1"/>
  <c r="GM533" i="1"/>
  <c r="CP532" i="1"/>
  <c r="O532" i="1" s="1"/>
  <c r="CZ529" i="1"/>
  <c r="Y529" i="1" s="1"/>
  <c r="CY529" i="1"/>
  <c r="X529" i="1" s="1"/>
  <c r="CP524" i="1"/>
  <c r="O524" i="1" s="1"/>
  <c r="CZ520" i="1"/>
  <c r="Y520" i="1" s="1"/>
  <c r="CY520" i="1"/>
  <c r="X520" i="1" s="1"/>
  <c r="GM517" i="1"/>
  <c r="CP516" i="1"/>
  <c r="O516" i="1" s="1"/>
  <c r="CZ513" i="1"/>
  <c r="Y513" i="1" s="1"/>
  <c r="CY513" i="1"/>
  <c r="X513" i="1" s="1"/>
  <c r="CY510" i="1"/>
  <c r="X510" i="1" s="1"/>
  <c r="CZ510" i="1"/>
  <c r="Y510" i="1" s="1"/>
  <c r="CZ505" i="1"/>
  <c r="Y505" i="1" s="1"/>
  <c r="CY505" i="1"/>
  <c r="X505" i="1" s="1"/>
  <c r="GM503" i="1"/>
  <c r="GN503" i="1"/>
  <c r="FV457" i="1"/>
  <c r="EM468" i="1"/>
  <c r="DY457" i="1"/>
  <c r="DL468" i="1"/>
  <c r="CP464" i="1"/>
  <c r="O464" i="1" s="1"/>
  <c r="DN468" i="1"/>
  <c r="EA457" i="1"/>
  <c r="AG468" i="1"/>
  <c r="EV832" i="1"/>
  <c r="AF832" i="1"/>
  <c r="BD759" i="1"/>
  <c r="ET702" i="1"/>
  <c r="CI702" i="1"/>
  <c r="BD702" i="1"/>
  <c r="CY647" i="1"/>
  <c r="X647" i="1" s="1"/>
  <c r="EU579" i="1"/>
  <c r="EM579" i="1"/>
  <c r="DU579" i="1"/>
  <c r="AO579" i="1"/>
  <c r="AB577" i="1"/>
  <c r="CP577" i="1"/>
  <c r="O577" i="1" s="1"/>
  <c r="T575" i="1"/>
  <c r="S573" i="1"/>
  <c r="CP573" i="1" s="1"/>
  <c r="O573" i="1" s="1"/>
  <c r="CT573" i="1"/>
  <c r="AD572" i="1"/>
  <c r="AB572" i="1" s="1"/>
  <c r="R572" i="1"/>
  <c r="GK572" i="1" s="1"/>
  <c r="CS572" i="1"/>
  <c r="Q572" i="1"/>
  <c r="CP572" i="1" s="1"/>
  <c r="O572" i="1" s="1"/>
  <c r="W570" i="1"/>
  <c r="S570" i="1"/>
  <c r="CT570" i="1"/>
  <c r="AB566" i="1"/>
  <c r="P566" i="1"/>
  <c r="CP566" i="1" s="1"/>
  <c r="O566" i="1" s="1"/>
  <c r="CQ566" i="1"/>
  <c r="CP565" i="1"/>
  <c r="O565" i="1" s="1"/>
  <c r="AB564" i="1"/>
  <c r="CP564" i="1"/>
  <c r="O564" i="1" s="1"/>
  <c r="AB561" i="1"/>
  <c r="CP561" i="1"/>
  <c r="O561" i="1" s="1"/>
  <c r="T560" i="1"/>
  <c r="CD579" i="1"/>
  <c r="CP555" i="1"/>
  <c r="O555" i="1" s="1"/>
  <c r="CP553" i="1"/>
  <c r="O553" i="1" s="1"/>
  <c r="CZ550" i="1"/>
  <c r="Y550" i="1" s="1"/>
  <c r="GM550" i="1" s="1"/>
  <c r="CY550" i="1"/>
  <c r="X550" i="1" s="1"/>
  <c r="GN550" i="1" s="1"/>
  <c r="CP546" i="1"/>
  <c r="O546" i="1" s="1"/>
  <c r="CP545" i="1"/>
  <c r="O545" i="1" s="1"/>
  <c r="CZ542" i="1"/>
  <c r="Y542" i="1" s="1"/>
  <c r="CY542" i="1"/>
  <c r="X542" i="1" s="1"/>
  <c r="GM542" i="1" s="1"/>
  <c r="CZ535" i="1"/>
  <c r="Y535" i="1" s="1"/>
  <c r="GM535" i="1" s="1"/>
  <c r="CY535" i="1"/>
  <c r="X535" i="1" s="1"/>
  <c r="GN535" i="1" s="1"/>
  <c r="CP531" i="1"/>
  <c r="O531" i="1" s="1"/>
  <c r="CP530" i="1"/>
  <c r="O530" i="1" s="1"/>
  <c r="CZ527" i="1"/>
  <c r="Y527" i="1" s="1"/>
  <c r="GN527" i="1" s="1"/>
  <c r="CY527" i="1"/>
  <c r="X527" i="1" s="1"/>
  <c r="GM527" i="1" s="1"/>
  <c r="CP523" i="1"/>
  <c r="O523" i="1" s="1"/>
  <c r="CP521" i="1"/>
  <c r="O521" i="1" s="1"/>
  <c r="CP515" i="1"/>
  <c r="O515" i="1" s="1"/>
  <c r="CP514" i="1"/>
  <c r="O514" i="1" s="1"/>
  <c r="CZ511" i="1"/>
  <c r="Y511" i="1" s="1"/>
  <c r="CY511" i="1"/>
  <c r="X511" i="1" s="1"/>
  <c r="GM511" i="1" s="1"/>
  <c r="EA579" i="1"/>
  <c r="CY502" i="1"/>
  <c r="X502" i="1" s="1"/>
  <c r="CZ502" i="1"/>
  <c r="Y502" i="1" s="1"/>
  <c r="EV457" i="1"/>
  <c r="P493" i="1"/>
  <c r="EV609" i="1"/>
  <c r="GN461" i="1"/>
  <c r="GM461" i="1"/>
  <c r="FY579" i="1"/>
  <c r="ET579" i="1"/>
  <c r="BD579" i="1"/>
  <c r="CS577" i="1"/>
  <c r="R577" i="1"/>
  <c r="GK577" i="1" s="1"/>
  <c r="CQ575" i="1"/>
  <c r="CS574" i="1"/>
  <c r="R574" i="1"/>
  <c r="GK574" i="1" s="1"/>
  <c r="GM574" i="1" s="1"/>
  <c r="CQ573" i="1"/>
  <c r="AD573" i="1"/>
  <c r="AB573" i="1" s="1"/>
  <c r="CT572" i="1"/>
  <c r="CS571" i="1"/>
  <c r="R571" i="1"/>
  <c r="GK571" i="1" s="1"/>
  <c r="GN571" i="1" s="1"/>
  <c r="CQ570" i="1"/>
  <c r="CS569" i="1"/>
  <c r="R569" i="1"/>
  <c r="GK569" i="1" s="1"/>
  <c r="GN569" i="1" s="1"/>
  <c r="CQ568" i="1"/>
  <c r="CS567" i="1"/>
  <c r="R567" i="1"/>
  <c r="GK567" i="1" s="1"/>
  <c r="CQ565" i="1"/>
  <c r="CS564" i="1"/>
  <c r="R564" i="1"/>
  <c r="GK564" i="1" s="1"/>
  <c r="CQ563" i="1"/>
  <c r="AD563" i="1"/>
  <c r="AB563" i="1" s="1"/>
  <c r="CT562" i="1"/>
  <c r="CS561" i="1"/>
  <c r="R561" i="1"/>
  <c r="GK561" i="1" s="1"/>
  <c r="CQ560" i="1"/>
  <c r="CS559" i="1"/>
  <c r="R559" i="1"/>
  <c r="GK559" i="1" s="1"/>
  <c r="CZ558" i="1"/>
  <c r="Y558" i="1" s="1"/>
  <c r="CQ557" i="1"/>
  <c r="CS556" i="1"/>
  <c r="R556" i="1"/>
  <c r="GK556" i="1" s="1"/>
  <c r="CQ555" i="1"/>
  <c r="AD555" i="1"/>
  <c r="AB555" i="1" s="1"/>
  <c r="CT554" i="1"/>
  <c r="CS553" i="1"/>
  <c r="R553" i="1"/>
  <c r="GK553" i="1" s="1"/>
  <c r="CQ552" i="1"/>
  <c r="CS551" i="1"/>
  <c r="R551" i="1"/>
  <c r="GK551" i="1" s="1"/>
  <c r="CQ550" i="1"/>
  <c r="CS549" i="1"/>
  <c r="R549" i="1"/>
  <c r="GK549" i="1" s="1"/>
  <c r="CQ548" i="1"/>
  <c r="CS547" i="1"/>
  <c r="R547" i="1"/>
  <c r="GK547" i="1" s="1"/>
  <c r="CQ546" i="1"/>
  <c r="CS545" i="1"/>
  <c r="R545" i="1"/>
  <c r="GK545" i="1" s="1"/>
  <c r="CQ544" i="1"/>
  <c r="CS543" i="1"/>
  <c r="R543" i="1"/>
  <c r="GK543" i="1" s="1"/>
  <c r="CQ542" i="1"/>
  <c r="CS541" i="1"/>
  <c r="R541" i="1"/>
  <c r="GK541" i="1" s="1"/>
  <c r="CQ540" i="1"/>
  <c r="CS539" i="1"/>
  <c r="R539" i="1"/>
  <c r="GK539" i="1" s="1"/>
  <c r="CZ538" i="1"/>
  <c r="Y538" i="1" s="1"/>
  <c r="CQ537" i="1"/>
  <c r="CS536" i="1"/>
  <c r="R536" i="1"/>
  <c r="GK536" i="1" s="1"/>
  <c r="CQ535" i="1"/>
  <c r="CS534" i="1"/>
  <c r="R534" i="1"/>
  <c r="GK534" i="1" s="1"/>
  <c r="CQ533" i="1"/>
  <c r="CS532" i="1"/>
  <c r="R532" i="1"/>
  <c r="GK532" i="1" s="1"/>
  <c r="CQ531" i="1"/>
  <c r="CS530" i="1"/>
  <c r="R530" i="1"/>
  <c r="GK530" i="1" s="1"/>
  <c r="CQ529" i="1"/>
  <c r="CS528" i="1"/>
  <c r="R528" i="1"/>
  <c r="GK528" i="1" s="1"/>
  <c r="CQ527" i="1"/>
  <c r="CS526" i="1"/>
  <c r="R526" i="1"/>
  <c r="GK526" i="1" s="1"/>
  <c r="CQ525" i="1"/>
  <c r="CS524" i="1"/>
  <c r="R524" i="1"/>
  <c r="GK524" i="1" s="1"/>
  <c r="CQ523" i="1"/>
  <c r="AD523" i="1"/>
  <c r="AB523" i="1" s="1"/>
  <c r="CT522" i="1"/>
  <c r="CS521" i="1"/>
  <c r="R521" i="1"/>
  <c r="GK521" i="1" s="1"/>
  <c r="CQ520" i="1"/>
  <c r="CS519" i="1"/>
  <c r="R519" i="1"/>
  <c r="GK519" i="1" s="1"/>
  <c r="CZ518" i="1"/>
  <c r="Y518" i="1" s="1"/>
  <c r="CQ517" i="1"/>
  <c r="CS516" i="1"/>
  <c r="R516" i="1"/>
  <c r="GK516" i="1" s="1"/>
  <c r="CQ515" i="1"/>
  <c r="CS514" i="1"/>
  <c r="R514" i="1"/>
  <c r="GK514" i="1" s="1"/>
  <c r="CQ513" i="1"/>
  <c r="CS512" i="1"/>
  <c r="R512" i="1"/>
  <c r="GK512" i="1" s="1"/>
  <c r="CQ511" i="1"/>
  <c r="AD511" i="1"/>
  <c r="AB511" i="1" s="1"/>
  <c r="CT510" i="1"/>
  <c r="AB510" i="1"/>
  <c r="Q507" i="1"/>
  <c r="DV579" i="1" s="1"/>
  <c r="CZ506" i="1"/>
  <c r="Y506" i="1" s="1"/>
  <c r="P506" i="1"/>
  <c r="CP506" i="1" s="1"/>
  <c r="O506" i="1" s="1"/>
  <c r="CQ505" i="1"/>
  <c r="U505" i="1"/>
  <c r="DZ579" i="1" s="1"/>
  <c r="R505" i="1"/>
  <c r="W504" i="1"/>
  <c r="AJ579" i="1" s="1"/>
  <c r="S504" i="1"/>
  <c r="CT504" i="1"/>
  <c r="AB503" i="1"/>
  <c r="EU468" i="1"/>
  <c r="BB468" i="1"/>
  <c r="P466" i="1"/>
  <c r="CP466" i="1" s="1"/>
  <c r="O466" i="1" s="1"/>
  <c r="CR465" i="1"/>
  <c r="CP462" i="1"/>
  <c r="O462" i="1" s="1"/>
  <c r="AB461" i="1"/>
  <c r="S460" i="1"/>
  <c r="CT460" i="1"/>
  <c r="Q460" i="1"/>
  <c r="DV468" i="1" s="1"/>
  <c r="BZ468" i="1"/>
  <c r="CR459" i="1"/>
  <c r="AC468" i="1"/>
  <c r="EV380" i="1"/>
  <c r="P416" i="1"/>
  <c r="GA391" i="1"/>
  <c r="BB380" i="1"/>
  <c r="F404" i="1"/>
  <c r="AP391" i="1"/>
  <c r="BY380" i="1"/>
  <c r="CI391" i="1"/>
  <c r="EA391" i="1"/>
  <c r="AG391" i="1"/>
  <c r="FV225" i="1"/>
  <c r="EM348" i="1"/>
  <c r="FR225" i="1"/>
  <c r="EI348" i="1"/>
  <c r="AB344" i="1"/>
  <c r="CP341" i="1"/>
  <c r="O341" i="1" s="1"/>
  <c r="AB339" i="1"/>
  <c r="AB335" i="1"/>
  <c r="AB331" i="1"/>
  <c r="AB325" i="1"/>
  <c r="AB315" i="1"/>
  <c r="AB311" i="1"/>
  <c r="AB303" i="1"/>
  <c r="AB297" i="1"/>
  <c r="AB293" i="1"/>
  <c r="AB289" i="1"/>
  <c r="CZ276" i="1"/>
  <c r="Y276" i="1" s="1"/>
  <c r="CY276" i="1"/>
  <c r="X276" i="1" s="1"/>
  <c r="DY348" i="1"/>
  <c r="AI348" i="1"/>
  <c r="EG579" i="1"/>
  <c r="BC579" i="1"/>
  <c r="CQ558" i="1"/>
  <c r="P558" i="1"/>
  <c r="CP558" i="1" s="1"/>
  <c r="O558" i="1" s="1"/>
  <c r="CT557" i="1"/>
  <c r="CT555" i="1"/>
  <c r="CS554" i="1"/>
  <c r="R554" i="1"/>
  <c r="GK554" i="1" s="1"/>
  <c r="CT552" i="1"/>
  <c r="CT550" i="1"/>
  <c r="CT548" i="1"/>
  <c r="CT546" i="1"/>
  <c r="CT544" i="1"/>
  <c r="CT542" i="1"/>
  <c r="CT540" i="1"/>
  <c r="CQ538" i="1"/>
  <c r="P538" i="1"/>
  <c r="CP538" i="1" s="1"/>
  <c r="O538" i="1" s="1"/>
  <c r="CT537" i="1"/>
  <c r="CT535" i="1"/>
  <c r="CT533" i="1"/>
  <c r="CT531" i="1"/>
  <c r="CT529" i="1"/>
  <c r="CT527" i="1"/>
  <c r="CT525" i="1"/>
  <c r="CT523" i="1"/>
  <c r="CS522" i="1"/>
  <c r="R522" i="1"/>
  <c r="GK522" i="1" s="1"/>
  <c r="CT520" i="1"/>
  <c r="CQ518" i="1"/>
  <c r="P518" i="1"/>
  <c r="CP518" i="1" s="1"/>
  <c r="O518" i="1" s="1"/>
  <c r="CT517" i="1"/>
  <c r="CT515" i="1"/>
  <c r="CT513" i="1"/>
  <c r="CT511" i="1"/>
  <c r="CS510" i="1"/>
  <c r="CQ508" i="1"/>
  <c r="S507" i="1"/>
  <c r="CP507" i="1" s="1"/>
  <c r="O507" i="1" s="1"/>
  <c r="CT507" i="1"/>
  <c r="GX505" i="1"/>
  <c r="GB579" i="1" s="1"/>
  <c r="CT505" i="1"/>
  <c r="CQ466" i="1"/>
  <c r="R465" i="1"/>
  <c r="GK465" i="1" s="1"/>
  <c r="CD468" i="1"/>
  <c r="AB459" i="1"/>
  <c r="BC457" i="1"/>
  <c r="P407" i="1"/>
  <c r="EU380" i="1"/>
  <c r="AX391" i="1"/>
  <c r="CG380" i="1"/>
  <c r="GP388" i="1"/>
  <c r="GM388" i="1"/>
  <c r="FR380" i="1"/>
  <c r="FY391" i="1"/>
  <c r="EI391" i="1"/>
  <c r="EB391" i="1"/>
  <c r="AT391" i="1"/>
  <c r="CC380" i="1"/>
  <c r="AF391" i="1"/>
  <c r="AB322" i="1"/>
  <c r="CY321" i="1"/>
  <c r="X321" i="1" s="1"/>
  <c r="CZ321" i="1"/>
  <c r="Y321" i="1" s="1"/>
  <c r="CY307" i="1"/>
  <c r="X307" i="1" s="1"/>
  <c r="CZ307" i="1"/>
  <c r="Y307" i="1" s="1"/>
  <c r="GN301" i="1"/>
  <c r="GM301" i="1"/>
  <c r="GN287" i="1"/>
  <c r="GM287" i="1"/>
  <c r="CY283" i="1"/>
  <c r="X283" i="1" s="1"/>
  <c r="CZ283" i="1"/>
  <c r="Y283" i="1" s="1"/>
  <c r="CY265" i="1"/>
  <c r="X265" i="1" s="1"/>
  <c r="CZ265" i="1"/>
  <c r="Y265" i="1" s="1"/>
  <c r="Q554" i="1"/>
  <c r="CP554" i="1" s="1"/>
  <c r="O554" i="1" s="1"/>
  <c r="Q522" i="1"/>
  <c r="CP522" i="1" s="1"/>
  <c r="O522" i="1" s="1"/>
  <c r="R510" i="1"/>
  <c r="GK510" i="1" s="1"/>
  <c r="P508" i="1"/>
  <c r="CP508" i="1" s="1"/>
  <c r="O508" i="1" s="1"/>
  <c r="R506" i="1"/>
  <c r="GK506" i="1" s="1"/>
  <c r="CS506" i="1"/>
  <c r="AB505" i="1"/>
  <c r="R502" i="1"/>
  <c r="BY457" i="1"/>
  <c r="CI468" i="1"/>
  <c r="AP468" i="1"/>
  <c r="S465" i="1"/>
  <c r="CT465" i="1"/>
  <c r="GE457" i="1"/>
  <c r="BD380" i="1"/>
  <c r="F416" i="1"/>
  <c r="AO380" i="1"/>
  <c r="F395" i="1"/>
  <c r="GB380" i="1"/>
  <c r="ES391" i="1"/>
  <c r="DZ391" i="1"/>
  <c r="CJ391" i="1"/>
  <c r="AJ380" i="1"/>
  <c r="W391" i="1"/>
  <c r="CP344" i="1"/>
  <c r="O344" i="1" s="1"/>
  <c r="FQ225" i="1"/>
  <c r="GA348" i="1"/>
  <c r="EH348" i="1"/>
  <c r="GB348" i="1"/>
  <c r="Q510" i="1"/>
  <c r="CP510" i="1" s="1"/>
  <c r="O510" i="1" s="1"/>
  <c r="S509" i="1"/>
  <c r="CP509" i="1" s="1"/>
  <c r="O509" i="1" s="1"/>
  <c r="CT509" i="1"/>
  <c r="AB509" i="1"/>
  <c r="CR507" i="1"/>
  <c r="AD507" i="1"/>
  <c r="AB507" i="1" s="1"/>
  <c r="AD506" i="1"/>
  <c r="AB506" i="1" s="1"/>
  <c r="Q506" i="1"/>
  <c r="CR502" i="1"/>
  <c r="P502" i="1"/>
  <c r="CQ502" i="1"/>
  <c r="Q502" i="1"/>
  <c r="F493" i="1"/>
  <c r="EL468" i="1"/>
  <c r="AO468" i="1"/>
  <c r="CP465" i="1"/>
  <c r="O465" i="1" s="1"/>
  <c r="AB464" i="1"/>
  <c r="P463" i="1"/>
  <c r="CP463" i="1" s="1"/>
  <c r="O463" i="1" s="1"/>
  <c r="CQ463" i="1"/>
  <c r="CZ463" i="1"/>
  <c r="Y463" i="1" s="1"/>
  <c r="CY463" i="1"/>
  <c r="X463" i="1" s="1"/>
  <c r="S462" i="1"/>
  <c r="CT462" i="1"/>
  <c r="GK460" i="1"/>
  <c r="DW468" i="1"/>
  <c r="R459" i="1"/>
  <c r="CS459" i="1"/>
  <c r="Q459" i="1"/>
  <c r="AD468" i="1" s="1"/>
  <c r="F407" i="1"/>
  <c r="BC380" i="1"/>
  <c r="CY389" i="1"/>
  <c r="X389" i="1" s="1"/>
  <c r="CZ389" i="1"/>
  <c r="Y389" i="1" s="1"/>
  <c r="DX391" i="1"/>
  <c r="AB387" i="1"/>
  <c r="AB386" i="1"/>
  <c r="CY384" i="1"/>
  <c r="X384" i="1" s="1"/>
  <c r="AK391" i="1" s="1"/>
  <c r="CZ384" i="1"/>
  <c r="Y384" i="1" s="1"/>
  <c r="CP384" i="1"/>
  <c r="O384" i="1" s="1"/>
  <c r="ED391" i="1"/>
  <c r="DY391" i="1"/>
  <c r="AI391" i="1"/>
  <c r="AH391" i="1"/>
  <c r="AB342" i="1"/>
  <c r="FU225" i="1"/>
  <c r="EL348" i="1"/>
  <c r="CY337" i="1"/>
  <c r="X337" i="1" s="1"/>
  <c r="CZ337" i="1"/>
  <c r="Y337" i="1" s="1"/>
  <c r="CP336" i="1"/>
  <c r="O336" i="1" s="1"/>
  <c r="AB334" i="1"/>
  <c r="CP332" i="1"/>
  <c r="O332" i="1" s="1"/>
  <c r="AB330" i="1"/>
  <c r="CP328" i="1"/>
  <c r="O328" i="1" s="1"/>
  <c r="CP327" i="1"/>
  <c r="O327" i="1" s="1"/>
  <c r="AB324" i="1"/>
  <c r="AB320" i="1"/>
  <c r="CP318" i="1"/>
  <c r="O318" i="1" s="1"/>
  <c r="CP317" i="1"/>
  <c r="O317" i="1" s="1"/>
  <c r="AB314" i="1"/>
  <c r="AB310" i="1"/>
  <c r="AB306" i="1"/>
  <c r="AB302" i="1"/>
  <c r="AB300" i="1"/>
  <c r="CY295" i="1"/>
  <c r="X295" i="1" s="1"/>
  <c r="CZ295" i="1"/>
  <c r="Y295" i="1" s="1"/>
  <c r="CP294" i="1"/>
  <c r="O294" i="1" s="1"/>
  <c r="AB292" i="1"/>
  <c r="CP290" i="1"/>
  <c r="O290" i="1" s="1"/>
  <c r="AB288" i="1"/>
  <c r="AB286" i="1"/>
  <c r="CZ281" i="1"/>
  <c r="Y281" i="1" s="1"/>
  <c r="CY281" i="1"/>
  <c r="X281" i="1" s="1"/>
  <c r="GM281" i="1" s="1"/>
  <c r="CY275" i="1"/>
  <c r="X275" i="1" s="1"/>
  <c r="CZ275" i="1"/>
  <c r="Y275" i="1" s="1"/>
  <c r="CZ273" i="1"/>
  <c r="Y273" i="1" s="1"/>
  <c r="CY273" i="1"/>
  <c r="X273" i="1" s="1"/>
  <c r="GN273" i="1" s="1"/>
  <c r="CZ268" i="1"/>
  <c r="Y268" i="1" s="1"/>
  <c r="CY268" i="1"/>
  <c r="X268" i="1" s="1"/>
  <c r="EA348" i="1"/>
  <c r="EG468" i="1"/>
  <c r="AD463" i="1"/>
  <c r="AB463" i="1" s="1"/>
  <c r="CT389" i="1"/>
  <c r="CY387" i="1"/>
  <c r="X387" i="1" s="1"/>
  <c r="EC391" i="1" s="1"/>
  <c r="CQ387" i="1"/>
  <c r="AD387" i="1"/>
  <c r="P387" i="1"/>
  <c r="CP387" i="1" s="1"/>
  <c r="O387" i="1" s="1"/>
  <c r="CS386" i="1"/>
  <c r="R386" i="1"/>
  <c r="AE391" i="1" s="1"/>
  <c r="CT384" i="1"/>
  <c r="CS383" i="1"/>
  <c r="R383" i="1"/>
  <c r="CZ382" i="1"/>
  <c r="Y382" i="1" s="1"/>
  <c r="AL391" i="1" s="1"/>
  <c r="GE380" i="1"/>
  <c r="CM380" i="1"/>
  <c r="FY348" i="1"/>
  <c r="ET348" i="1"/>
  <c r="CI348" i="1"/>
  <c r="BD348" i="1"/>
  <c r="CS346" i="1"/>
  <c r="R346" i="1"/>
  <c r="GK346" i="1" s="1"/>
  <c r="CY345" i="1"/>
  <c r="X345" i="1" s="1"/>
  <c r="CQ345" i="1"/>
  <c r="P345" i="1"/>
  <c r="CP345" i="1" s="1"/>
  <c r="O345" i="1" s="1"/>
  <c r="CS344" i="1"/>
  <c r="R344" i="1"/>
  <c r="GK344" i="1" s="1"/>
  <c r="CY342" i="1"/>
  <c r="X342" i="1" s="1"/>
  <c r="CQ342" i="1"/>
  <c r="P342" i="1"/>
  <c r="CP342" i="1" s="1"/>
  <c r="O342" i="1" s="1"/>
  <c r="CS341" i="1"/>
  <c r="R341" i="1"/>
  <c r="GK341" i="1" s="1"/>
  <c r="CY340" i="1"/>
  <c r="X340" i="1" s="1"/>
  <c r="CQ340" i="1"/>
  <c r="P340" i="1"/>
  <c r="CP340" i="1" s="1"/>
  <c r="O340" i="1" s="1"/>
  <c r="CS339" i="1"/>
  <c r="R339" i="1"/>
  <c r="GK339" i="1" s="1"/>
  <c r="CY338" i="1"/>
  <c r="X338" i="1" s="1"/>
  <c r="CQ338" i="1"/>
  <c r="AD338" i="1"/>
  <c r="AB338" i="1" s="1"/>
  <c r="P338" i="1"/>
  <c r="CP338" i="1" s="1"/>
  <c r="O338" i="1" s="1"/>
  <c r="CT337" i="1"/>
  <c r="CS336" i="1"/>
  <c r="R336" i="1"/>
  <c r="GK336" i="1" s="1"/>
  <c r="CY335" i="1"/>
  <c r="X335" i="1" s="1"/>
  <c r="CQ335" i="1"/>
  <c r="P335" i="1"/>
  <c r="CP335" i="1" s="1"/>
  <c r="O335" i="1" s="1"/>
  <c r="CS334" i="1"/>
  <c r="R334" i="1"/>
  <c r="GK334" i="1" s="1"/>
  <c r="CY333" i="1"/>
  <c r="X333" i="1" s="1"/>
  <c r="CQ333" i="1"/>
  <c r="P333" i="1"/>
  <c r="CP333" i="1" s="1"/>
  <c r="O333" i="1" s="1"/>
  <c r="CS332" i="1"/>
  <c r="R332" i="1"/>
  <c r="GK332" i="1" s="1"/>
  <c r="CY331" i="1"/>
  <c r="X331" i="1" s="1"/>
  <c r="CQ331" i="1"/>
  <c r="P331" i="1"/>
  <c r="CP331" i="1" s="1"/>
  <c r="O331" i="1" s="1"/>
  <c r="CS330" i="1"/>
  <c r="R330" i="1"/>
  <c r="GK330" i="1" s="1"/>
  <c r="CY329" i="1"/>
  <c r="X329" i="1" s="1"/>
  <c r="CQ329" i="1"/>
  <c r="P329" i="1"/>
  <c r="CP329" i="1" s="1"/>
  <c r="O329" i="1" s="1"/>
  <c r="CS328" i="1"/>
  <c r="R328" i="1"/>
  <c r="GK328" i="1" s="1"/>
  <c r="CY326" i="1"/>
  <c r="X326" i="1" s="1"/>
  <c r="CQ326" i="1"/>
  <c r="P326" i="1"/>
  <c r="CP326" i="1" s="1"/>
  <c r="O326" i="1" s="1"/>
  <c r="CS325" i="1"/>
  <c r="R325" i="1"/>
  <c r="GK325" i="1" s="1"/>
  <c r="CY324" i="1"/>
  <c r="X324" i="1" s="1"/>
  <c r="CQ324" i="1"/>
  <c r="P324" i="1"/>
  <c r="CP324" i="1" s="1"/>
  <c r="O324" i="1" s="1"/>
  <c r="CS323" i="1"/>
  <c r="R323" i="1"/>
  <c r="GK323" i="1" s="1"/>
  <c r="CY322" i="1"/>
  <c r="X322" i="1" s="1"/>
  <c r="CQ322" i="1"/>
  <c r="AD322" i="1"/>
  <c r="P322" i="1"/>
  <c r="CP322" i="1" s="1"/>
  <c r="O322" i="1" s="1"/>
  <c r="CT321" i="1"/>
  <c r="CS320" i="1"/>
  <c r="R320" i="1"/>
  <c r="GK320" i="1" s="1"/>
  <c r="CY319" i="1"/>
  <c r="X319" i="1" s="1"/>
  <c r="CQ319" i="1"/>
  <c r="P319" i="1"/>
  <c r="CP319" i="1" s="1"/>
  <c r="O319" i="1" s="1"/>
  <c r="CS318" i="1"/>
  <c r="R318" i="1"/>
  <c r="GK318" i="1" s="1"/>
  <c r="CY316" i="1"/>
  <c r="X316" i="1" s="1"/>
  <c r="CQ316" i="1"/>
  <c r="P316" i="1"/>
  <c r="CP316" i="1" s="1"/>
  <c r="O316" i="1" s="1"/>
  <c r="CS315" i="1"/>
  <c r="R315" i="1"/>
  <c r="GK315" i="1" s="1"/>
  <c r="CY314" i="1"/>
  <c r="X314" i="1" s="1"/>
  <c r="CQ314" i="1"/>
  <c r="P314" i="1"/>
  <c r="CP314" i="1" s="1"/>
  <c r="O314" i="1" s="1"/>
  <c r="CS313" i="1"/>
  <c r="R313" i="1"/>
  <c r="GK313" i="1" s="1"/>
  <c r="CY312" i="1"/>
  <c r="X312" i="1" s="1"/>
  <c r="CQ312" i="1"/>
  <c r="P312" i="1"/>
  <c r="CP312" i="1" s="1"/>
  <c r="O312" i="1" s="1"/>
  <c r="CS311" i="1"/>
  <c r="R311" i="1"/>
  <c r="GK311" i="1" s="1"/>
  <c r="CY310" i="1"/>
  <c r="X310" i="1" s="1"/>
  <c r="CQ310" i="1"/>
  <c r="P310" i="1"/>
  <c r="CP310" i="1" s="1"/>
  <c r="O310" i="1" s="1"/>
  <c r="CS309" i="1"/>
  <c r="R309" i="1"/>
  <c r="GK309" i="1" s="1"/>
  <c r="CY308" i="1"/>
  <c r="X308" i="1" s="1"/>
  <c r="CQ308" i="1"/>
  <c r="AD308" i="1"/>
  <c r="AB308" i="1" s="1"/>
  <c r="P308" i="1"/>
  <c r="CP308" i="1" s="1"/>
  <c r="O308" i="1" s="1"/>
  <c r="CT307" i="1"/>
  <c r="CS306" i="1"/>
  <c r="R306" i="1"/>
  <c r="GK306" i="1" s="1"/>
  <c r="CY305" i="1"/>
  <c r="X305" i="1" s="1"/>
  <c r="CQ305" i="1"/>
  <c r="P305" i="1"/>
  <c r="CP305" i="1" s="1"/>
  <c r="O305" i="1" s="1"/>
  <c r="CS304" i="1"/>
  <c r="R304" i="1"/>
  <c r="GK304" i="1" s="1"/>
  <c r="CY303" i="1"/>
  <c r="X303" i="1" s="1"/>
  <c r="CQ303" i="1"/>
  <c r="P303" i="1"/>
  <c r="CP303" i="1" s="1"/>
  <c r="O303" i="1" s="1"/>
  <c r="CS302" i="1"/>
  <c r="R302" i="1"/>
  <c r="GK302" i="1" s="1"/>
  <c r="CY300" i="1"/>
  <c r="X300" i="1" s="1"/>
  <c r="CQ300" i="1"/>
  <c r="P300" i="1"/>
  <c r="CP300" i="1" s="1"/>
  <c r="O300" i="1" s="1"/>
  <c r="CS299" i="1"/>
  <c r="R299" i="1"/>
  <c r="GK299" i="1" s="1"/>
  <c r="CY298" i="1"/>
  <c r="X298" i="1" s="1"/>
  <c r="CQ298" i="1"/>
  <c r="P298" i="1"/>
  <c r="CP298" i="1" s="1"/>
  <c r="O298" i="1" s="1"/>
  <c r="CS297" i="1"/>
  <c r="R297" i="1"/>
  <c r="GK297" i="1" s="1"/>
  <c r="CY296" i="1"/>
  <c r="X296" i="1" s="1"/>
  <c r="CQ296" i="1"/>
  <c r="AD296" i="1"/>
  <c r="AB296" i="1" s="1"/>
  <c r="P296" i="1"/>
  <c r="CP296" i="1" s="1"/>
  <c r="O296" i="1" s="1"/>
  <c r="CT295" i="1"/>
  <c r="CS294" i="1"/>
  <c r="R294" i="1"/>
  <c r="GK294" i="1" s="1"/>
  <c r="CY293" i="1"/>
  <c r="X293" i="1" s="1"/>
  <c r="CQ293" i="1"/>
  <c r="P293" i="1"/>
  <c r="CP293" i="1" s="1"/>
  <c r="O293" i="1" s="1"/>
  <c r="CS292" i="1"/>
  <c r="R292" i="1"/>
  <c r="GK292" i="1" s="1"/>
  <c r="CY291" i="1"/>
  <c r="X291" i="1" s="1"/>
  <c r="CQ291" i="1"/>
  <c r="P291" i="1"/>
  <c r="CP291" i="1" s="1"/>
  <c r="O291" i="1" s="1"/>
  <c r="CS290" i="1"/>
  <c r="R290" i="1"/>
  <c r="GK290" i="1" s="1"/>
  <c r="CY289" i="1"/>
  <c r="X289" i="1" s="1"/>
  <c r="CQ289" i="1"/>
  <c r="P289" i="1"/>
  <c r="CP289" i="1" s="1"/>
  <c r="O289" i="1" s="1"/>
  <c r="CS288" i="1"/>
  <c r="R288" i="1"/>
  <c r="GK288" i="1" s="1"/>
  <c r="CY286" i="1"/>
  <c r="X286" i="1" s="1"/>
  <c r="CQ286" i="1"/>
  <c r="P286" i="1"/>
  <c r="CP286" i="1" s="1"/>
  <c r="O286" i="1" s="1"/>
  <c r="CS285" i="1"/>
  <c r="R285" i="1"/>
  <c r="GK285" i="1" s="1"/>
  <c r="CY284" i="1"/>
  <c r="X284" i="1" s="1"/>
  <c r="CQ284" i="1"/>
  <c r="P284" i="1"/>
  <c r="CP284" i="1" s="1"/>
  <c r="O284" i="1" s="1"/>
  <c r="CT281" i="1"/>
  <c r="R279" i="1"/>
  <c r="GK279" i="1" s="1"/>
  <c r="CS279" i="1"/>
  <c r="AB278" i="1"/>
  <c r="CR277" i="1"/>
  <c r="AD277" i="1"/>
  <c r="AB277" i="1" s="1"/>
  <c r="CQ276" i="1"/>
  <c r="R275" i="1"/>
  <c r="GK275" i="1" s="1"/>
  <c r="CT273" i="1"/>
  <c r="R271" i="1"/>
  <c r="GK271" i="1" s="1"/>
  <c r="CS271" i="1"/>
  <c r="AB270" i="1"/>
  <c r="CR269" i="1"/>
  <c r="AD269" i="1"/>
  <c r="AB269" i="1" s="1"/>
  <c r="CQ268" i="1"/>
  <c r="U268" i="1"/>
  <c r="DZ348" i="1" s="1"/>
  <c r="R268" i="1"/>
  <c r="GK268" i="1" s="1"/>
  <c r="W267" i="1"/>
  <c r="S267" i="1"/>
  <c r="CT267" i="1"/>
  <c r="P267" i="1"/>
  <c r="CP267" i="1" s="1"/>
  <c r="O267" i="1" s="1"/>
  <c r="AB266" i="1"/>
  <c r="P263" i="1"/>
  <c r="CP258" i="1"/>
  <c r="O258" i="1" s="1"/>
  <c r="CP253" i="1"/>
  <c r="O253" i="1" s="1"/>
  <c r="P251" i="1"/>
  <c r="Q251" i="1"/>
  <c r="CY250" i="1"/>
  <c r="X250" i="1" s="1"/>
  <c r="CP248" i="1"/>
  <c r="O248" i="1" s="1"/>
  <c r="CY242" i="1"/>
  <c r="X242" i="1" s="1"/>
  <c r="CZ242" i="1"/>
  <c r="Y242" i="1" s="1"/>
  <c r="CY239" i="1"/>
  <c r="X239" i="1" s="1"/>
  <c r="CZ239" i="1"/>
  <c r="Y239" i="1" s="1"/>
  <c r="GM239" i="1" s="1"/>
  <c r="CP237" i="1"/>
  <c r="O237" i="1" s="1"/>
  <c r="CY234" i="1"/>
  <c r="X234" i="1" s="1"/>
  <c r="CZ234" i="1"/>
  <c r="Y234" i="1" s="1"/>
  <c r="GN234" i="1" s="1"/>
  <c r="CZ184" i="1"/>
  <c r="Y184" i="1" s="1"/>
  <c r="CY184" i="1"/>
  <c r="X184" i="1" s="1"/>
  <c r="ET391" i="1"/>
  <c r="EL391" i="1"/>
  <c r="EH391" i="1"/>
  <c r="Q386" i="1"/>
  <c r="CP386" i="1" s="1"/>
  <c r="O386" i="1" s="1"/>
  <c r="P385" i="1"/>
  <c r="CP385" i="1" s="1"/>
  <c r="O385" i="1" s="1"/>
  <c r="Q383" i="1"/>
  <c r="P382" i="1"/>
  <c r="CL380" i="1"/>
  <c r="BZ380" i="1"/>
  <c r="EG348" i="1"/>
  <c r="BC348" i="1"/>
  <c r="AU348" i="1"/>
  <c r="AQ348" i="1"/>
  <c r="Q346" i="1"/>
  <c r="CP346" i="1" s="1"/>
  <c r="O346" i="1" s="1"/>
  <c r="Q344" i="1"/>
  <c r="P343" i="1"/>
  <c r="CP343" i="1" s="1"/>
  <c r="O343" i="1" s="1"/>
  <c r="Q341" i="1"/>
  <c r="Q339" i="1"/>
  <c r="CP339" i="1" s="1"/>
  <c r="O339" i="1" s="1"/>
  <c r="Q336" i="1"/>
  <c r="Q334" i="1"/>
  <c r="CP334" i="1" s="1"/>
  <c r="O334" i="1" s="1"/>
  <c r="Q332" i="1"/>
  <c r="Q330" i="1"/>
  <c r="CP330" i="1" s="1"/>
  <c r="O330" i="1" s="1"/>
  <c r="Q328" i="1"/>
  <c r="Q325" i="1"/>
  <c r="CP325" i="1" s="1"/>
  <c r="O325" i="1" s="1"/>
  <c r="Q323" i="1"/>
  <c r="CP323" i="1" s="1"/>
  <c r="O323" i="1" s="1"/>
  <c r="Q320" i="1"/>
  <c r="CP320" i="1" s="1"/>
  <c r="O320" i="1" s="1"/>
  <c r="Q318" i="1"/>
  <c r="Q315" i="1"/>
  <c r="CP315" i="1" s="1"/>
  <c r="O315" i="1" s="1"/>
  <c r="Q313" i="1"/>
  <c r="CP313" i="1" s="1"/>
  <c r="O313" i="1" s="1"/>
  <c r="Q311" i="1"/>
  <c r="CP311" i="1" s="1"/>
  <c r="O311" i="1" s="1"/>
  <c r="Q309" i="1"/>
  <c r="CP309" i="1" s="1"/>
  <c r="O309" i="1" s="1"/>
  <c r="Q306" i="1"/>
  <c r="CP306" i="1" s="1"/>
  <c r="O306" i="1" s="1"/>
  <c r="Q304" i="1"/>
  <c r="CP304" i="1" s="1"/>
  <c r="O304" i="1" s="1"/>
  <c r="Q302" i="1"/>
  <c r="CP302" i="1" s="1"/>
  <c r="O302" i="1" s="1"/>
  <c r="Q299" i="1"/>
  <c r="CP299" i="1" s="1"/>
  <c r="O299" i="1" s="1"/>
  <c r="Q297" i="1"/>
  <c r="CP297" i="1" s="1"/>
  <c r="O297" i="1" s="1"/>
  <c r="Q294" i="1"/>
  <c r="Q292" i="1"/>
  <c r="CP292" i="1" s="1"/>
  <c r="O292" i="1" s="1"/>
  <c r="Q290" i="1"/>
  <c r="Q288" i="1"/>
  <c r="CP288" i="1" s="1"/>
  <c r="O288" i="1" s="1"/>
  <c r="Q285" i="1"/>
  <c r="CP285" i="1" s="1"/>
  <c r="O285" i="1" s="1"/>
  <c r="S282" i="1"/>
  <c r="CT282" i="1"/>
  <c r="CP282" i="1"/>
  <c r="O282" i="1" s="1"/>
  <c r="AB281" i="1"/>
  <c r="P276" i="1"/>
  <c r="CP276" i="1" s="1"/>
  <c r="O276" i="1" s="1"/>
  <c r="P275" i="1"/>
  <c r="CP275" i="1" s="1"/>
  <c r="O275" i="1" s="1"/>
  <c r="CQ275" i="1"/>
  <c r="S274" i="1"/>
  <c r="CT274" i="1"/>
  <c r="CP274" i="1"/>
  <c r="O274" i="1" s="1"/>
  <c r="AB273" i="1"/>
  <c r="P268" i="1"/>
  <c r="CP268" i="1" s="1"/>
  <c r="O268" i="1" s="1"/>
  <c r="S256" i="1"/>
  <c r="CT256" i="1"/>
  <c r="AB256" i="1"/>
  <c r="S254" i="1"/>
  <c r="CT254" i="1"/>
  <c r="AB254" i="1"/>
  <c r="S251" i="1"/>
  <c r="CT251" i="1"/>
  <c r="AB251" i="1"/>
  <c r="GN250" i="1"/>
  <c r="GM250" i="1"/>
  <c r="CP242" i="1"/>
  <c r="O242" i="1" s="1"/>
  <c r="GN239" i="1"/>
  <c r="CP236" i="1"/>
  <c r="O236" i="1" s="1"/>
  <c r="GM234" i="1"/>
  <c r="CY187" i="1"/>
  <c r="X187" i="1" s="1"/>
  <c r="CZ187" i="1"/>
  <c r="Y187" i="1" s="1"/>
  <c r="CJ152" i="1"/>
  <c r="BA193" i="1"/>
  <c r="DY152" i="1"/>
  <c r="DL193" i="1"/>
  <c r="BZ152" i="1"/>
  <c r="AQ193" i="1"/>
  <c r="EA193" i="1"/>
  <c r="EG391" i="1"/>
  <c r="AQ391" i="1"/>
  <c r="Q389" i="1"/>
  <c r="CP389" i="1" s="1"/>
  <c r="O389" i="1" s="1"/>
  <c r="Q384" i="1"/>
  <c r="AD391" i="1" s="1"/>
  <c r="FQ380" i="1"/>
  <c r="EV348" i="1"/>
  <c r="BB348" i="1"/>
  <c r="AX348" i="1"/>
  <c r="AT348" i="1"/>
  <c r="AP348" i="1"/>
  <c r="Q337" i="1"/>
  <c r="CP337" i="1" s="1"/>
  <c r="O337" i="1" s="1"/>
  <c r="Q321" i="1"/>
  <c r="CP321" i="1" s="1"/>
  <c r="O321" i="1" s="1"/>
  <c r="Q307" i="1"/>
  <c r="CP307" i="1" s="1"/>
  <c r="O307" i="1" s="1"/>
  <c r="Q295" i="1"/>
  <c r="CP295" i="1" s="1"/>
  <c r="O295" i="1" s="1"/>
  <c r="P283" i="1"/>
  <c r="CP283" i="1" s="1"/>
  <c r="O283" i="1" s="1"/>
  <c r="AB279" i="1"/>
  <c r="P279" i="1"/>
  <c r="CP279" i="1" s="1"/>
  <c r="O279" i="1" s="1"/>
  <c r="U278" i="1"/>
  <c r="W278" i="1"/>
  <c r="R278" i="1"/>
  <c r="GK278" i="1" s="1"/>
  <c r="S277" i="1"/>
  <c r="CP277" i="1" s="1"/>
  <c r="O277" i="1" s="1"/>
  <c r="CT277" i="1"/>
  <c r="AB275" i="1"/>
  <c r="AB271" i="1"/>
  <c r="P271" i="1"/>
  <c r="CP271" i="1" s="1"/>
  <c r="O271" i="1" s="1"/>
  <c r="U270" i="1"/>
  <c r="W270" i="1"/>
  <c r="EB348" i="1" s="1"/>
  <c r="R270" i="1"/>
  <c r="GK270" i="1" s="1"/>
  <c r="S269" i="1"/>
  <c r="CT269" i="1"/>
  <c r="CP269" i="1"/>
  <c r="O269" i="1" s="1"/>
  <c r="CR267" i="1"/>
  <c r="AD267" i="1"/>
  <c r="AB267" i="1" s="1"/>
  <c r="R265" i="1"/>
  <c r="GK265" i="1" s="1"/>
  <c r="T263" i="1"/>
  <c r="AD261" i="1"/>
  <c r="R261" i="1"/>
  <c r="GK261" i="1" s="1"/>
  <c r="CS261" i="1"/>
  <c r="S260" i="1"/>
  <c r="CT260" i="1"/>
  <c r="AB260" i="1"/>
  <c r="S259" i="1"/>
  <c r="CT259" i="1"/>
  <c r="AB259" i="1"/>
  <c r="R257" i="1"/>
  <c r="GK257" i="1" s="1"/>
  <c r="CS257" i="1"/>
  <c r="AD257" i="1"/>
  <c r="CP256" i="1"/>
  <c r="O256" i="1" s="1"/>
  <c r="S255" i="1"/>
  <c r="CT255" i="1"/>
  <c r="AB255" i="1"/>
  <c r="P249" i="1"/>
  <c r="Q249" i="1"/>
  <c r="CY246" i="1"/>
  <c r="X246" i="1" s="1"/>
  <c r="CZ246" i="1"/>
  <c r="Y246" i="1" s="1"/>
  <c r="AB245" i="1"/>
  <c r="CP241" i="1"/>
  <c r="O241" i="1" s="1"/>
  <c r="CY232" i="1"/>
  <c r="X232" i="1" s="1"/>
  <c r="CZ232" i="1"/>
  <c r="Y232" i="1" s="1"/>
  <c r="CZ227" i="1"/>
  <c r="Y227" i="1" s="1"/>
  <c r="CY227" i="1"/>
  <c r="X227" i="1" s="1"/>
  <c r="CY189" i="1"/>
  <c r="X189" i="1" s="1"/>
  <c r="CZ189" i="1"/>
  <c r="Y189" i="1" s="1"/>
  <c r="GB193" i="1"/>
  <c r="DZ193" i="1"/>
  <c r="AJ193" i="1"/>
  <c r="EU348" i="1"/>
  <c r="AO348" i="1"/>
  <c r="CR282" i="1"/>
  <c r="AD282" i="1"/>
  <c r="AB282" i="1" s="1"/>
  <c r="U281" i="1"/>
  <c r="R281" i="1"/>
  <c r="GK281" i="1" s="1"/>
  <c r="S280" i="1"/>
  <c r="CT280" i="1"/>
  <c r="CY278" i="1"/>
  <c r="X278" i="1" s="1"/>
  <c r="GM278" i="1" s="1"/>
  <c r="CR274" i="1"/>
  <c r="AD274" i="1"/>
  <c r="AB274" i="1" s="1"/>
  <c r="U273" i="1"/>
  <c r="AH348" i="1" s="1"/>
  <c r="R273" i="1"/>
  <c r="GK273" i="1" s="1"/>
  <c r="S272" i="1"/>
  <c r="CT272" i="1"/>
  <c r="CY270" i="1"/>
  <c r="X270" i="1" s="1"/>
  <c r="GM270" i="1" s="1"/>
  <c r="CY266" i="1"/>
  <c r="X266" i="1" s="1"/>
  <c r="GM266" i="1" s="1"/>
  <c r="CR265" i="1"/>
  <c r="P265" i="1"/>
  <c r="CQ265" i="1"/>
  <c r="Q265" i="1"/>
  <c r="S264" i="1"/>
  <c r="CT264" i="1"/>
  <c r="CP264" i="1"/>
  <c r="O264" i="1" s="1"/>
  <c r="W263" i="1"/>
  <c r="S263" i="1"/>
  <c r="CT263" i="1"/>
  <c r="R263" i="1"/>
  <c r="GK263" i="1" s="1"/>
  <c r="S262" i="1"/>
  <c r="CT262" i="1"/>
  <c r="CR261" i="1"/>
  <c r="P261" i="1"/>
  <c r="CP261" i="1" s="1"/>
  <c r="O261" i="1" s="1"/>
  <c r="CQ261" i="1"/>
  <c r="AB261" i="1"/>
  <c r="CP259" i="1"/>
  <c r="O259" i="1" s="1"/>
  <c r="S258" i="1"/>
  <c r="CT258" i="1"/>
  <c r="CR257" i="1"/>
  <c r="AB257" i="1"/>
  <c r="P257" i="1"/>
  <c r="CP257" i="1" s="1"/>
  <c r="O257" i="1" s="1"/>
  <c r="CQ257" i="1"/>
  <c r="CP255" i="1"/>
  <c r="O255" i="1" s="1"/>
  <c r="AD253" i="1"/>
  <c r="R253" i="1"/>
  <c r="GK253" i="1" s="1"/>
  <c r="CS253" i="1"/>
  <c r="GN252" i="1"/>
  <c r="GM252" i="1"/>
  <c r="GX249" i="1"/>
  <c r="CJ348" i="1" s="1"/>
  <c r="T249" i="1"/>
  <c r="AG348" i="1" s="1"/>
  <c r="W249" i="1"/>
  <c r="S249" i="1"/>
  <c r="CT249" i="1"/>
  <c r="AB249" i="1"/>
  <c r="CY248" i="1"/>
  <c r="X248" i="1" s="1"/>
  <c r="CZ248" i="1"/>
  <c r="Y248" i="1" s="1"/>
  <c r="CP246" i="1"/>
  <c r="O246" i="1" s="1"/>
  <c r="CP240" i="1"/>
  <c r="O240" i="1" s="1"/>
  <c r="CY237" i="1"/>
  <c r="X237" i="1" s="1"/>
  <c r="CZ237" i="1"/>
  <c r="Y237" i="1" s="1"/>
  <c r="CY229" i="1"/>
  <c r="X229" i="1" s="1"/>
  <c r="CZ229" i="1"/>
  <c r="Y229" i="1" s="1"/>
  <c r="FV152" i="1"/>
  <c r="EM193" i="1"/>
  <c r="CZ190" i="1"/>
  <c r="Y190" i="1" s="1"/>
  <c r="CY190" i="1"/>
  <c r="X190" i="1" s="1"/>
  <c r="AI152" i="1"/>
  <c r="V193" i="1"/>
  <c r="AB253" i="1"/>
  <c r="CT247" i="1"/>
  <c r="S247" i="1"/>
  <c r="CY245" i="1"/>
  <c r="X245" i="1" s="1"/>
  <c r="CQ245" i="1"/>
  <c r="AD245" i="1"/>
  <c r="P245" i="1"/>
  <c r="CP245" i="1" s="1"/>
  <c r="O245" i="1" s="1"/>
  <c r="CT244" i="1"/>
  <c r="S244" i="1"/>
  <c r="CP244" i="1" s="1"/>
  <c r="O244" i="1" s="1"/>
  <c r="CY243" i="1"/>
  <c r="X243" i="1" s="1"/>
  <c r="CQ243" i="1"/>
  <c r="AD243" i="1"/>
  <c r="AB243" i="1" s="1"/>
  <c r="P243" i="1"/>
  <c r="CP243" i="1" s="1"/>
  <c r="O243" i="1" s="1"/>
  <c r="CS241" i="1"/>
  <c r="AB241" i="1"/>
  <c r="R241" i="1"/>
  <c r="GK241" i="1" s="1"/>
  <c r="CT240" i="1"/>
  <c r="S240" i="1"/>
  <c r="CT238" i="1"/>
  <c r="S238" i="1"/>
  <c r="CT236" i="1"/>
  <c r="S236" i="1"/>
  <c r="CS235" i="1"/>
  <c r="AB235" i="1"/>
  <c r="R235" i="1"/>
  <c r="GK235" i="1" s="1"/>
  <c r="CY233" i="1"/>
  <c r="X233" i="1" s="1"/>
  <c r="CR231" i="1"/>
  <c r="AD231" i="1"/>
  <c r="AB231" i="1" s="1"/>
  <c r="AD230" i="1"/>
  <c r="CR229" i="1"/>
  <c r="P229" i="1"/>
  <c r="CQ229" i="1"/>
  <c r="CY228" i="1"/>
  <c r="X228" i="1" s="1"/>
  <c r="CT227" i="1"/>
  <c r="P218" i="1"/>
  <c r="FP152" i="1"/>
  <c r="FY193" i="1"/>
  <c r="EG193" i="1"/>
  <c r="BB193" i="1"/>
  <c r="AB191" i="1"/>
  <c r="P191" i="1"/>
  <c r="CQ190" i="1"/>
  <c r="R189" i="1"/>
  <c r="GK189" i="1" s="1"/>
  <c r="AB188" i="1"/>
  <c r="P188" i="1"/>
  <c r="CP188" i="1" s="1"/>
  <c r="O188" i="1" s="1"/>
  <c r="AB185" i="1"/>
  <c r="U184" i="1"/>
  <c r="T184" i="1"/>
  <c r="AG193" i="1" s="1"/>
  <c r="R184" i="1"/>
  <c r="GK184" i="1" s="1"/>
  <c r="CQ182" i="1"/>
  <c r="R180" i="1"/>
  <c r="GK180" i="1" s="1"/>
  <c r="CS180" i="1"/>
  <c r="Q180" i="1"/>
  <c r="AB177" i="1"/>
  <c r="CP174" i="1"/>
  <c r="O174" i="1" s="1"/>
  <c r="AB171" i="1"/>
  <c r="CP168" i="1"/>
  <c r="O168" i="1" s="1"/>
  <c r="CY164" i="1"/>
  <c r="X164" i="1" s="1"/>
  <c r="CZ164" i="1"/>
  <c r="Y164" i="1" s="1"/>
  <c r="AB161" i="1"/>
  <c r="CY158" i="1"/>
  <c r="X158" i="1" s="1"/>
  <c r="CZ158" i="1"/>
  <c r="Y158" i="1" s="1"/>
  <c r="CP156" i="1"/>
  <c r="O156" i="1" s="1"/>
  <c r="EL63" i="1"/>
  <c r="P104" i="1"/>
  <c r="CP81" i="1"/>
  <c r="O81" i="1" s="1"/>
  <c r="AB80" i="1"/>
  <c r="CP77" i="1"/>
  <c r="O77" i="1" s="1"/>
  <c r="AB74" i="1"/>
  <c r="CY73" i="1"/>
  <c r="X73" i="1" s="1"/>
  <c r="CZ73" i="1"/>
  <c r="Y73" i="1" s="1"/>
  <c r="AB70" i="1"/>
  <c r="CC63" i="1"/>
  <c r="AT86" i="1"/>
  <c r="AB68" i="1"/>
  <c r="DZ86" i="1"/>
  <c r="AI86" i="1"/>
  <c r="Q241" i="1"/>
  <c r="Q235" i="1"/>
  <c r="CP235" i="1" s="1"/>
  <c r="O235" i="1" s="1"/>
  <c r="R233" i="1"/>
  <c r="GK233" i="1" s="1"/>
  <c r="CS233" i="1"/>
  <c r="R232" i="1"/>
  <c r="GK232" i="1" s="1"/>
  <c r="AB230" i="1"/>
  <c r="P230" i="1"/>
  <c r="CP230" i="1" s="1"/>
  <c r="O230" i="1" s="1"/>
  <c r="R228" i="1"/>
  <c r="CS228" i="1"/>
  <c r="AB227" i="1"/>
  <c r="BY152" i="1"/>
  <c r="CI193" i="1"/>
  <c r="AU193" i="1"/>
  <c r="AP193" i="1"/>
  <c r="P190" i="1"/>
  <c r="CP190" i="1" s="1"/>
  <c r="O190" i="1" s="1"/>
  <c r="P189" i="1"/>
  <c r="CP189" i="1" s="1"/>
  <c r="O189" i="1" s="1"/>
  <c r="CQ189" i="1"/>
  <c r="P181" i="1"/>
  <c r="CP181" i="1" s="1"/>
  <c r="O181" i="1" s="1"/>
  <c r="CQ181" i="1"/>
  <c r="CZ181" i="1"/>
  <c r="Y181" i="1" s="1"/>
  <c r="CY181" i="1"/>
  <c r="X181" i="1" s="1"/>
  <c r="CP180" i="1"/>
  <c r="O180" i="1" s="1"/>
  <c r="P179" i="1"/>
  <c r="CP179" i="1" s="1"/>
  <c r="O179" i="1" s="1"/>
  <c r="CQ179" i="1"/>
  <c r="CZ179" i="1"/>
  <c r="Y179" i="1" s="1"/>
  <c r="CY179" i="1"/>
  <c r="X179" i="1" s="1"/>
  <c r="FQ193" i="1"/>
  <c r="AH193" i="1"/>
  <c r="CD63" i="1"/>
  <c r="AU86" i="1"/>
  <c r="AH86" i="1"/>
  <c r="GB26" i="1"/>
  <c r="ES31" i="1"/>
  <c r="CQ253" i="1"/>
  <c r="CT252" i="1"/>
  <c r="CT250" i="1"/>
  <c r="CT248" i="1"/>
  <c r="Q247" i="1"/>
  <c r="CP247" i="1" s="1"/>
  <c r="O247" i="1" s="1"/>
  <c r="CT246" i="1"/>
  <c r="CS245" i="1"/>
  <c r="R245" i="1"/>
  <c r="GK245" i="1" s="1"/>
  <c r="CS243" i="1"/>
  <c r="R243" i="1"/>
  <c r="GK243" i="1" s="1"/>
  <c r="CT242" i="1"/>
  <c r="CQ241" i="1"/>
  <c r="Q240" i="1"/>
  <c r="CT239" i="1"/>
  <c r="Q238" i="1"/>
  <c r="CP238" i="1" s="1"/>
  <c r="O238" i="1" s="1"/>
  <c r="CT237" i="1"/>
  <c r="CQ235" i="1"/>
  <c r="CT234" i="1"/>
  <c r="AD233" i="1"/>
  <c r="Q233" i="1"/>
  <c r="AD348" i="1" s="1"/>
  <c r="CR232" i="1"/>
  <c r="P232" i="1"/>
  <c r="CQ232" i="1"/>
  <c r="Q232" i="1"/>
  <c r="S231" i="1"/>
  <c r="CT231" i="1"/>
  <c r="AD228" i="1"/>
  <c r="AB228" i="1" s="1"/>
  <c r="Q228" i="1"/>
  <c r="EU193" i="1"/>
  <c r="AT193" i="1"/>
  <c r="AO193" i="1"/>
  <c r="R191" i="1"/>
  <c r="GK191" i="1" s="1"/>
  <c r="CS191" i="1"/>
  <c r="AB189" i="1"/>
  <c r="R188" i="1"/>
  <c r="GK188" i="1" s="1"/>
  <c r="CS188" i="1"/>
  <c r="R187" i="1"/>
  <c r="GK187" i="1" s="1"/>
  <c r="R185" i="1"/>
  <c r="GK185" i="1" s="1"/>
  <c r="CS185" i="1"/>
  <c r="Q185" i="1"/>
  <c r="R183" i="1"/>
  <c r="GK183" i="1" s="1"/>
  <c r="CS183" i="1"/>
  <c r="Q183" i="1"/>
  <c r="CP183" i="1" s="1"/>
  <c r="O183" i="1" s="1"/>
  <c r="AB181" i="1"/>
  <c r="AB180" i="1"/>
  <c r="AB175" i="1"/>
  <c r="AB173" i="1"/>
  <c r="CY172" i="1"/>
  <c r="X172" i="1" s="1"/>
  <c r="CZ172" i="1"/>
  <c r="Y172" i="1" s="1"/>
  <c r="CP172" i="1"/>
  <c r="O172" i="1" s="1"/>
  <c r="AB169" i="1"/>
  <c r="FU193" i="1"/>
  <c r="AB167" i="1"/>
  <c r="AB163" i="1"/>
  <c r="CP160" i="1"/>
  <c r="O160" i="1" s="1"/>
  <c r="AB157" i="1"/>
  <c r="EB193" i="1"/>
  <c r="CY154" i="1"/>
  <c r="X154" i="1" s="1"/>
  <c r="CZ154" i="1"/>
  <c r="Y154" i="1" s="1"/>
  <c r="ET63" i="1"/>
  <c r="P99" i="1"/>
  <c r="EH63" i="1"/>
  <c r="P95" i="1"/>
  <c r="AB84" i="1"/>
  <c r="CP80" i="1"/>
  <c r="O80" i="1" s="1"/>
  <c r="AB78" i="1"/>
  <c r="AB76" i="1"/>
  <c r="AB72" i="1"/>
  <c r="CP70" i="1"/>
  <c r="O70" i="1" s="1"/>
  <c r="CP69" i="1"/>
  <c r="O69" i="1" s="1"/>
  <c r="EB86" i="1"/>
  <c r="AG86" i="1"/>
  <c r="AJ86" i="1"/>
  <c r="CY65" i="1"/>
  <c r="X65" i="1" s="1"/>
  <c r="CZ65" i="1"/>
  <c r="Y65" i="1" s="1"/>
  <c r="AF86" i="1"/>
  <c r="AB233" i="1"/>
  <c r="P233" i="1"/>
  <c r="R230" i="1"/>
  <c r="GK230" i="1" s="1"/>
  <c r="CS230" i="1"/>
  <c r="R229" i="1"/>
  <c r="P228" i="1"/>
  <c r="EI193" i="1"/>
  <c r="CG193" i="1"/>
  <c r="BC193" i="1"/>
  <c r="Q191" i="1"/>
  <c r="P187" i="1"/>
  <c r="CP187" i="1" s="1"/>
  <c r="O187" i="1" s="1"/>
  <c r="CQ187" i="1"/>
  <c r="Q187" i="1"/>
  <c r="S186" i="1"/>
  <c r="CT186" i="1"/>
  <c r="CR185" i="1"/>
  <c r="AD185" i="1"/>
  <c r="CP185" i="1"/>
  <c r="O185" i="1" s="1"/>
  <c r="P184" i="1"/>
  <c r="CP184" i="1" s="1"/>
  <c r="O184" i="1" s="1"/>
  <c r="CQ184" i="1"/>
  <c r="CR183" i="1"/>
  <c r="AD183" i="1"/>
  <c r="AB183" i="1" s="1"/>
  <c r="P182" i="1"/>
  <c r="CP182" i="1" s="1"/>
  <c r="O182" i="1" s="1"/>
  <c r="S178" i="1"/>
  <c r="CT178" i="1"/>
  <c r="AB176" i="1"/>
  <c r="AB170" i="1"/>
  <c r="P90" i="1"/>
  <c r="EG63" i="1"/>
  <c r="BZ63" i="1"/>
  <c r="AQ86" i="1"/>
  <c r="AB79" i="1"/>
  <c r="CP75" i="1"/>
  <c r="O75" i="1" s="1"/>
  <c r="AB67" i="1"/>
  <c r="GB86" i="1"/>
  <c r="EA86" i="1"/>
  <c r="DY86" i="1"/>
  <c r="ED86" i="1"/>
  <c r="CJ86" i="1"/>
  <c r="CI86" i="1"/>
  <c r="BY63" i="1"/>
  <c r="AP86" i="1"/>
  <c r="ET193" i="1"/>
  <c r="DX193" i="1"/>
  <c r="BD193" i="1"/>
  <c r="AD179" i="1"/>
  <c r="AB179" i="1" s="1"/>
  <c r="CS177" i="1"/>
  <c r="R177" i="1"/>
  <c r="GK177" i="1" s="1"/>
  <c r="CY176" i="1"/>
  <c r="X176" i="1" s="1"/>
  <c r="CQ176" i="1"/>
  <c r="P176" i="1"/>
  <c r="CP176" i="1" s="1"/>
  <c r="O176" i="1" s="1"/>
  <c r="CS175" i="1"/>
  <c r="R175" i="1"/>
  <c r="GK175" i="1" s="1"/>
  <c r="CY173" i="1"/>
  <c r="X173" i="1" s="1"/>
  <c r="CQ173" i="1"/>
  <c r="AD173" i="1"/>
  <c r="P173" i="1"/>
  <c r="CP173" i="1" s="1"/>
  <c r="O173" i="1" s="1"/>
  <c r="CT172" i="1"/>
  <c r="CS171" i="1"/>
  <c r="R171" i="1"/>
  <c r="GK171" i="1" s="1"/>
  <c r="CY170" i="1"/>
  <c r="X170" i="1" s="1"/>
  <c r="CQ170" i="1"/>
  <c r="P170" i="1"/>
  <c r="CP170" i="1" s="1"/>
  <c r="O170" i="1" s="1"/>
  <c r="CS169" i="1"/>
  <c r="R169" i="1"/>
  <c r="GK169" i="1" s="1"/>
  <c r="CY167" i="1"/>
  <c r="X167" i="1" s="1"/>
  <c r="CQ167" i="1"/>
  <c r="P167" i="1"/>
  <c r="CP167" i="1" s="1"/>
  <c r="O167" i="1" s="1"/>
  <c r="CS166" i="1"/>
  <c r="R166" i="1"/>
  <c r="CY165" i="1"/>
  <c r="X165" i="1" s="1"/>
  <c r="CQ165" i="1"/>
  <c r="AD165" i="1"/>
  <c r="AB165" i="1" s="1"/>
  <c r="P165" i="1"/>
  <c r="CP165" i="1" s="1"/>
  <c r="O165" i="1" s="1"/>
  <c r="CT164" i="1"/>
  <c r="CS163" i="1"/>
  <c r="R163" i="1"/>
  <c r="GK163" i="1" s="1"/>
  <c r="CY162" i="1"/>
  <c r="X162" i="1" s="1"/>
  <c r="CQ162" i="1"/>
  <c r="P162" i="1"/>
  <c r="CS161" i="1"/>
  <c r="R161" i="1"/>
  <c r="GK161" i="1" s="1"/>
  <c r="CY159" i="1"/>
  <c r="X159" i="1" s="1"/>
  <c r="CQ159" i="1"/>
  <c r="AD159" i="1"/>
  <c r="AB159" i="1" s="1"/>
  <c r="P159" i="1"/>
  <c r="CP159" i="1" s="1"/>
  <c r="O159" i="1" s="1"/>
  <c r="CT158" i="1"/>
  <c r="CS157" i="1"/>
  <c r="R157" i="1"/>
  <c r="CY155" i="1"/>
  <c r="X155" i="1" s="1"/>
  <c r="CQ155" i="1"/>
  <c r="AD155" i="1"/>
  <c r="AB155" i="1" s="1"/>
  <c r="P155" i="1"/>
  <c r="CT154" i="1"/>
  <c r="P101" i="1"/>
  <c r="GA86" i="1"/>
  <c r="EV86" i="1"/>
  <c r="CG86" i="1"/>
  <c r="BB86" i="1"/>
  <c r="CY84" i="1"/>
  <c r="X84" i="1" s="1"/>
  <c r="CQ84" i="1"/>
  <c r="P84" i="1"/>
  <c r="CP84" i="1" s="1"/>
  <c r="O84" i="1" s="1"/>
  <c r="CS83" i="1"/>
  <c r="R83" i="1"/>
  <c r="GK83" i="1" s="1"/>
  <c r="CY82" i="1"/>
  <c r="X82" i="1" s="1"/>
  <c r="CQ82" i="1"/>
  <c r="AD82" i="1"/>
  <c r="AB82" i="1" s="1"/>
  <c r="P82" i="1"/>
  <c r="CP82" i="1" s="1"/>
  <c r="O82" i="1" s="1"/>
  <c r="CX53" i="3"/>
  <c r="CX50" i="3"/>
  <c r="CX54" i="3"/>
  <c r="CS80" i="1"/>
  <c r="R80" i="1"/>
  <c r="GK80" i="1" s="1"/>
  <c r="CY79" i="1"/>
  <c r="X79" i="1" s="1"/>
  <c r="CQ79" i="1"/>
  <c r="P79" i="1"/>
  <c r="CP79" i="1" s="1"/>
  <c r="O79" i="1" s="1"/>
  <c r="CS78" i="1"/>
  <c r="R78" i="1"/>
  <c r="GK78" i="1" s="1"/>
  <c r="CY76" i="1"/>
  <c r="X76" i="1" s="1"/>
  <c r="CQ76" i="1"/>
  <c r="P76" i="1"/>
  <c r="CP76" i="1" s="1"/>
  <c r="O76" i="1" s="1"/>
  <c r="CS75" i="1"/>
  <c r="R75" i="1"/>
  <c r="GK75" i="1" s="1"/>
  <c r="CY74" i="1"/>
  <c r="X74" i="1" s="1"/>
  <c r="CQ74" i="1"/>
  <c r="AD74" i="1"/>
  <c r="P74" i="1"/>
  <c r="CP74" i="1" s="1"/>
  <c r="O74" i="1" s="1"/>
  <c r="CT73" i="1"/>
  <c r="CS72" i="1"/>
  <c r="R72" i="1"/>
  <c r="GK72" i="1" s="1"/>
  <c r="CY71" i="1"/>
  <c r="X71" i="1" s="1"/>
  <c r="CQ71" i="1"/>
  <c r="P71" i="1"/>
  <c r="CS70" i="1"/>
  <c r="R70" i="1"/>
  <c r="CY68" i="1"/>
  <c r="X68" i="1" s="1"/>
  <c r="CQ68" i="1"/>
  <c r="P68" i="1"/>
  <c r="CP68" i="1" s="1"/>
  <c r="O68" i="1" s="1"/>
  <c r="CS67" i="1"/>
  <c r="R67" i="1"/>
  <c r="CY66" i="1"/>
  <c r="X66" i="1" s="1"/>
  <c r="CQ66" i="1"/>
  <c r="AD66" i="1"/>
  <c r="AB66" i="1" s="1"/>
  <c r="P66" i="1"/>
  <c r="CT65" i="1"/>
  <c r="GC63" i="1"/>
  <c r="FU63" i="1"/>
  <c r="FQ63" i="1"/>
  <c r="P56" i="1"/>
  <c r="P54" i="1"/>
  <c r="GA31" i="1"/>
  <c r="ET31" i="1"/>
  <c r="EL31" i="1"/>
  <c r="EB26" i="1"/>
  <c r="DO31" i="1"/>
  <c r="BD31" i="1"/>
  <c r="AL26" i="1"/>
  <c r="Y31" i="1"/>
  <c r="DY26" i="1"/>
  <c r="DL31" i="1"/>
  <c r="CY29" i="1"/>
  <c r="X29" i="1" s="1"/>
  <c r="EC31" i="1" s="1"/>
  <c r="CZ29" i="1"/>
  <c r="Y29" i="1" s="1"/>
  <c r="ED31" i="1" s="1"/>
  <c r="CP29" i="1"/>
  <c r="O29" i="1" s="1"/>
  <c r="AG26" i="1"/>
  <c r="T31" i="1"/>
  <c r="DI1073" i="3"/>
  <c r="DF1073" i="3"/>
  <c r="DG1073" i="3"/>
  <c r="DJ1073" i="3" s="1"/>
  <c r="DH1073" i="3"/>
  <c r="DF1027" i="3"/>
  <c r="DJ1027" i="3" s="1"/>
  <c r="DG1027" i="3"/>
  <c r="DH1027" i="3"/>
  <c r="DI1027" i="3"/>
  <c r="Q177" i="1"/>
  <c r="CP177" i="1" s="1"/>
  <c r="O177" i="1" s="1"/>
  <c r="Q175" i="1"/>
  <c r="CP175" i="1" s="1"/>
  <c r="O175" i="1" s="1"/>
  <c r="Q171" i="1"/>
  <c r="CP171" i="1" s="1"/>
  <c r="O171" i="1" s="1"/>
  <c r="Q169" i="1"/>
  <c r="CP169" i="1" s="1"/>
  <c r="O169" i="1" s="1"/>
  <c r="Q166" i="1"/>
  <c r="CP166" i="1" s="1"/>
  <c r="O166" i="1" s="1"/>
  <c r="Q163" i="1"/>
  <c r="CP163" i="1" s="1"/>
  <c r="O163" i="1" s="1"/>
  <c r="Q161" i="1"/>
  <c r="CP161" i="1" s="1"/>
  <c r="O161" i="1" s="1"/>
  <c r="Q157" i="1"/>
  <c r="CP157" i="1" s="1"/>
  <c r="O157" i="1" s="1"/>
  <c r="EU86" i="1"/>
  <c r="EM86" i="1"/>
  <c r="EI86" i="1"/>
  <c r="AO86" i="1"/>
  <c r="Q83" i="1"/>
  <c r="CP83" i="1" s="1"/>
  <c r="O83" i="1" s="1"/>
  <c r="Q80" i="1"/>
  <c r="Q78" i="1"/>
  <c r="CP78" i="1" s="1"/>
  <c r="O78" i="1" s="1"/>
  <c r="Q75" i="1"/>
  <c r="Q72" i="1"/>
  <c r="CP72" i="1" s="1"/>
  <c r="O72" i="1" s="1"/>
  <c r="Q70" i="1"/>
  <c r="DV86" i="1" s="1"/>
  <c r="Q67" i="1"/>
  <c r="CP67" i="1" s="1"/>
  <c r="O67" i="1" s="1"/>
  <c r="FP63" i="1"/>
  <c r="DX26" i="1"/>
  <c r="DK31" i="1"/>
  <c r="CG26" i="1"/>
  <c r="AX31" i="1"/>
  <c r="AH26" i="1"/>
  <c r="U31" i="1"/>
  <c r="AK26" i="1"/>
  <c r="X31" i="1"/>
  <c r="V31" i="1"/>
  <c r="AI26" i="1"/>
  <c r="DI1085" i="3"/>
  <c r="DJ1085" i="3" s="1"/>
  <c r="DF1085" i="3"/>
  <c r="DG1085" i="3"/>
  <c r="DH1085" i="3"/>
  <c r="DI1081" i="3"/>
  <c r="DF1081" i="3"/>
  <c r="DG1081" i="3"/>
  <c r="DJ1081" i="3" s="1"/>
  <c r="DH1081" i="3"/>
  <c r="DI1077" i="3"/>
  <c r="DF1077" i="3"/>
  <c r="DJ1077" i="3" s="1"/>
  <c r="DG1077" i="3"/>
  <c r="DH1077" i="3"/>
  <c r="DF1059" i="3"/>
  <c r="DJ1059" i="3" s="1"/>
  <c r="DG1059" i="3"/>
  <c r="DH1059" i="3"/>
  <c r="DI1059" i="3"/>
  <c r="DF1043" i="3"/>
  <c r="DJ1043" i="3" s="1"/>
  <c r="DG1043" i="3"/>
  <c r="DH1043" i="3"/>
  <c r="DI1043" i="3"/>
  <c r="DI1016" i="3"/>
  <c r="DF1016" i="3"/>
  <c r="DJ1016" i="3" s="1"/>
  <c r="DG1016" i="3"/>
  <c r="DH1016" i="3"/>
  <c r="Q178" i="1"/>
  <c r="CP178" i="1" s="1"/>
  <c r="O178" i="1" s="1"/>
  <c r="Q172" i="1"/>
  <c r="Q164" i="1"/>
  <c r="CP164" i="1" s="1"/>
  <c r="O164" i="1" s="1"/>
  <c r="Q158" i="1"/>
  <c r="CP158" i="1" s="1"/>
  <c r="O158" i="1" s="1"/>
  <c r="Q154" i="1"/>
  <c r="FY86" i="1"/>
  <c r="BD86" i="1"/>
  <c r="Q73" i="1"/>
  <c r="CP73" i="1" s="1"/>
  <c r="O73" i="1" s="1"/>
  <c r="Q65" i="1"/>
  <c r="CP65" i="1" s="1"/>
  <c r="O65" i="1" s="1"/>
  <c r="FX31" i="1"/>
  <c r="FP26" i="1"/>
  <c r="FZ31" i="1"/>
  <c r="EP31" i="1"/>
  <c r="EH31" i="1"/>
  <c r="AV31" i="1"/>
  <c r="W31" i="1"/>
  <c r="AJ26" i="1"/>
  <c r="AB28" i="1"/>
  <c r="DI1093" i="3"/>
  <c r="DF1093" i="3"/>
  <c r="DG1093" i="3"/>
  <c r="DJ1093" i="3" s="1"/>
  <c r="DH1093" i="3"/>
  <c r="DI1089" i="3"/>
  <c r="DF1089" i="3"/>
  <c r="DJ1089" i="3" s="1"/>
  <c r="DG1089" i="3"/>
  <c r="DH1089" i="3"/>
  <c r="DI1032" i="3"/>
  <c r="DF1032" i="3"/>
  <c r="DG1032" i="3"/>
  <c r="DJ1032" i="3" s="1"/>
  <c r="DH1032" i="3"/>
  <c r="BC86" i="1"/>
  <c r="CX58" i="3"/>
  <c r="CX57" i="3"/>
  <c r="FW31" i="1"/>
  <c r="EG31" i="1"/>
  <c r="DZ26" i="1"/>
  <c r="DM31" i="1"/>
  <c r="CJ26" i="1"/>
  <c r="BA31" i="1"/>
  <c r="DI1109" i="3"/>
  <c r="DJ1109" i="3" s="1"/>
  <c r="DF1109" i="3"/>
  <c r="DG1109" i="3"/>
  <c r="DH1109" i="3"/>
  <c r="DI1105" i="3"/>
  <c r="DJ1105" i="3" s="1"/>
  <c r="DF1105" i="3"/>
  <c r="DG1105" i="3"/>
  <c r="DH1105" i="3"/>
  <c r="DI1101" i="3"/>
  <c r="DJ1101" i="3" s="1"/>
  <c r="DF1101" i="3"/>
  <c r="DG1101" i="3"/>
  <c r="DH1101" i="3"/>
  <c r="DI1097" i="3"/>
  <c r="DF1097" i="3"/>
  <c r="DJ1097" i="3" s="1"/>
  <c r="DG1097" i="3"/>
  <c r="DH1097" i="3"/>
  <c r="DI1064" i="3"/>
  <c r="DF1064" i="3"/>
  <c r="DJ1064" i="3" s="1"/>
  <c r="DG1064" i="3"/>
  <c r="DH1064" i="3"/>
  <c r="DI1048" i="3"/>
  <c r="DF1048" i="3"/>
  <c r="DJ1048" i="3" s="1"/>
  <c r="DG1048" i="3"/>
  <c r="DH1048" i="3"/>
  <c r="EU31" i="1"/>
  <c r="EM31" i="1"/>
  <c r="EI31" i="1"/>
  <c r="CF31" i="1"/>
  <c r="AO31" i="1"/>
  <c r="CT29" i="1"/>
  <c r="CS28" i="1"/>
  <c r="R28" i="1"/>
  <c r="AF26" i="1"/>
  <c r="DI1112" i="3"/>
  <c r="DF1111" i="3"/>
  <c r="DI1108" i="3"/>
  <c r="DF1107" i="3"/>
  <c r="DJ1107" i="3" s="1"/>
  <c r="DI1104" i="3"/>
  <c r="DF1103" i="3"/>
  <c r="DJ1103" i="3" s="1"/>
  <c r="DI1100" i="3"/>
  <c r="DJ1100" i="3" s="1"/>
  <c r="DF1099" i="3"/>
  <c r="DI1096" i="3"/>
  <c r="DF1095" i="3"/>
  <c r="DJ1095" i="3" s="1"/>
  <c r="DI1092" i="3"/>
  <c r="DJ1092" i="3" s="1"/>
  <c r="DF1091" i="3"/>
  <c r="DJ1091" i="3" s="1"/>
  <c r="DI1088" i="3"/>
  <c r="DF1087" i="3"/>
  <c r="DI1084" i="3"/>
  <c r="DF1083" i="3"/>
  <c r="DJ1083" i="3" s="1"/>
  <c r="DI1080" i="3"/>
  <c r="DJ1080" i="3" s="1"/>
  <c r="DF1079" i="3"/>
  <c r="DJ1079" i="3" s="1"/>
  <c r="DI1076" i="3"/>
  <c r="DF1075" i="3"/>
  <c r="DI1072" i="3"/>
  <c r="DG1068" i="3"/>
  <c r="DG1067" i="3"/>
  <c r="DF1066" i="3"/>
  <c r="DJ1066" i="3" s="1"/>
  <c r="DF1065" i="3"/>
  <c r="DH1063" i="3"/>
  <c r="DH1062" i="3"/>
  <c r="DG1061" i="3"/>
  <c r="DI1057" i="3"/>
  <c r="DF1056" i="3"/>
  <c r="DJ1056" i="3" s="1"/>
  <c r="DG1052" i="3"/>
  <c r="DG1051" i="3"/>
  <c r="DJ1051" i="3" s="1"/>
  <c r="DF1050" i="3"/>
  <c r="DF1049" i="3"/>
  <c r="DJ1049" i="3" s="1"/>
  <c r="DH1047" i="3"/>
  <c r="DH1046" i="3"/>
  <c r="DG1045" i="3"/>
  <c r="DI1041" i="3"/>
  <c r="DF1040" i="3"/>
  <c r="DG1036" i="3"/>
  <c r="DG1035" i="3"/>
  <c r="DF1034" i="3"/>
  <c r="DJ1034" i="3" s="1"/>
  <c r="DF1033" i="3"/>
  <c r="DJ1033" i="3" s="1"/>
  <c r="DH1031" i="3"/>
  <c r="DH1030" i="3"/>
  <c r="DG1029" i="3"/>
  <c r="DI1025" i="3"/>
  <c r="DF1024" i="3"/>
  <c r="DG1020" i="3"/>
  <c r="DG1019" i="3"/>
  <c r="DF1018" i="3"/>
  <c r="DJ1018" i="3" s="1"/>
  <c r="DF1017" i="3"/>
  <c r="DJ1017" i="3" s="1"/>
  <c r="DH1015" i="3"/>
  <c r="DH1014" i="3"/>
  <c r="DG1013" i="3"/>
  <c r="DI937" i="3"/>
  <c r="DF937" i="3"/>
  <c r="DJ937" i="3" s="1"/>
  <c r="DG937" i="3"/>
  <c r="DH937" i="3"/>
  <c r="DI933" i="3"/>
  <c r="DF933" i="3"/>
  <c r="DG933" i="3"/>
  <c r="DJ933" i="3" s="1"/>
  <c r="DH933" i="3"/>
  <c r="DF928" i="3"/>
  <c r="DJ928" i="3" s="1"/>
  <c r="DG928" i="3"/>
  <c r="DH928" i="3"/>
  <c r="DI928" i="3"/>
  <c r="DI913" i="3"/>
  <c r="DF913" i="3"/>
  <c r="DJ913" i="3" s="1"/>
  <c r="DG913" i="3"/>
  <c r="DH913" i="3"/>
  <c r="DI909" i="3"/>
  <c r="DF909" i="3"/>
  <c r="DG909" i="3"/>
  <c r="DJ909" i="3" s="1"/>
  <c r="DH909" i="3"/>
  <c r="DF904" i="3"/>
  <c r="DJ904" i="3" s="1"/>
  <c r="DG904" i="3"/>
  <c r="DH904" i="3"/>
  <c r="DI904" i="3"/>
  <c r="DI889" i="3"/>
  <c r="DJ889" i="3" s="1"/>
  <c r="DF889" i="3"/>
  <c r="DG889" i="3"/>
  <c r="DH889" i="3"/>
  <c r="DF884" i="3"/>
  <c r="DJ884" i="3" s="1"/>
  <c r="DG884" i="3"/>
  <c r="DH884" i="3"/>
  <c r="DI884" i="3"/>
  <c r="DF880" i="3"/>
  <c r="DJ880" i="3" s="1"/>
  <c r="DG880" i="3"/>
  <c r="DH880" i="3"/>
  <c r="DI880" i="3"/>
  <c r="DI865" i="3"/>
  <c r="DF865" i="3"/>
  <c r="DJ865" i="3" s="1"/>
  <c r="DG865" i="3"/>
  <c r="DH865" i="3"/>
  <c r="DF860" i="3"/>
  <c r="DJ860" i="3" s="1"/>
  <c r="DG860" i="3"/>
  <c r="DH860" i="3"/>
  <c r="DI860" i="3"/>
  <c r="DI845" i="3"/>
  <c r="DF845" i="3"/>
  <c r="DJ845" i="3" s="1"/>
  <c r="DG845" i="3"/>
  <c r="DH845" i="3"/>
  <c r="DF840" i="3"/>
  <c r="DJ840" i="3" s="1"/>
  <c r="DG840" i="3"/>
  <c r="DH840" i="3"/>
  <c r="DI840" i="3"/>
  <c r="DI821" i="3"/>
  <c r="DF821" i="3"/>
  <c r="DJ821" i="3" s="1"/>
  <c r="DG821" i="3"/>
  <c r="DH821" i="3"/>
  <c r="DF816" i="3"/>
  <c r="DG816" i="3"/>
  <c r="DJ816" i="3" s="1"/>
  <c r="DH816" i="3"/>
  <c r="DI816" i="3"/>
  <c r="DF812" i="3"/>
  <c r="DJ812" i="3" s="1"/>
  <c r="DG812" i="3"/>
  <c r="DH812" i="3"/>
  <c r="DI812" i="3"/>
  <c r="DI804" i="3"/>
  <c r="DF804" i="3"/>
  <c r="DG804" i="3"/>
  <c r="DJ804" i="3" s="1"/>
  <c r="DH804" i="3"/>
  <c r="DF783" i="3"/>
  <c r="DG783" i="3"/>
  <c r="DH783" i="3"/>
  <c r="DI783" i="3"/>
  <c r="DJ783" i="3" s="1"/>
  <c r="DI776" i="3"/>
  <c r="DJ776" i="3" s="1"/>
  <c r="DF776" i="3"/>
  <c r="DG776" i="3"/>
  <c r="DH776" i="3"/>
  <c r="DF771" i="3"/>
  <c r="DG771" i="3"/>
  <c r="DH771" i="3"/>
  <c r="DI771" i="3"/>
  <c r="DJ771" i="3" s="1"/>
  <c r="DF751" i="3"/>
  <c r="DG751" i="3"/>
  <c r="DH751" i="3"/>
  <c r="DI751" i="3"/>
  <c r="DJ751" i="3" s="1"/>
  <c r="DI744" i="3"/>
  <c r="DF744" i="3"/>
  <c r="DJ744" i="3" s="1"/>
  <c r="DG744" i="3"/>
  <c r="DH744" i="3"/>
  <c r="DF739" i="3"/>
  <c r="DG739" i="3"/>
  <c r="DH739" i="3"/>
  <c r="DI739" i="3"/>
  <c r="DJ739" i="3" s="1"/>
  <c r="P31" i="1"/>
  <c r="Q28" i="1"/>
  <c r="AD31" i="1" s="1"/>
  <c r="DG1011" i="3"/>
  <c r="DJ1011" i="3" s="1"/>
  <c r="DF1011" i="3"/>
  <c r="DG1007" i="3"/>
  <c r="DF1007" i="3"/>
  <c r="DJ1007" i="3" s="1"/>
  <c r="DG1003" i="3"/>
  <c r="DF1003" i="3"/>
  <c r="DJ1003" i="3" s="1"/>
  <c r="DG999" i="3"/>
  <c r="DF999" i="3"/>
  <c r="DJ999" i="3" s="1"/>
  <c r="DG995" i="3"/>
  <c r="DF995" i="3"/>
  <c r="DG991" i="3"/>
  <c r="DF991" i="3"/>
  <c r="DJ991" i="3" s="1"/>
  <c r="DG987" i="3"/>
  <c r="DF987" i="3"/>
  <c r="DJ987" i="3" s="1"/>
  <c r="DG983" i="3"/>
  <c r="DF983" i="3"/>
  <c r="DJ983" i="3" s="1"/>
  <c r="DG979" i="3"/>
  <c r="DF979" i="3"/>
  <c r="DJ979" i="3" s="1"/>
  <c r="DG975" i="3"/>
  <c r="DF975" i="3"/>
  <c r="DJ975" i="3" s="1"/>
  <c r="DG971" i="3"/>
  <c r="DF971" i="3"/>
  <c r="DJ971" i="3" s="1"/>
  <c r="DG967" i="3"/>
  <c r="DJ967" i="3" s="1"/>
  <c r="DF967" i="3"/>
  <c r="DG963" i="3"/>
  <c r="DF963" i="3"/>
  <c r="DJ963" i="3" s="1"/>
  <c r="DF944" i="3"/>
  <c r="DG944" i="3"/>
  <c r="DJ944" i="3" s="1"/>
  <c r="DH944" i="3"/>
  <c r="DI944" i="3"/>
  <c r="DI929" i="3"/>
  <c r="DF929" i="3"/>
  <c r="DJ929" i="3" s="1"/>
  <c r="DG929" i="3"/>
  <c r="DH929" i="3"/>
  <c r="DF924" i="3"/>
  <c r="DG924" i="3"/>
  <c r="DJ924" i="3" s="1"/>
  <c r="DH924" i="3"/>
  <c r="DI924" i="3"/>
  <c r="DF920" i="3"/>
  <c r="DJ920" i="3" s="1"/>
  <c r="DG920" i="3"/>
  <c r="DH920" i="3"/>
  <c r="DI920" i="3"/>
  <c r="DI905" i="3"/>
  <c r="DF905" i="3"/>
  <c r="DJ905" i="3" s="1"/>
  <c r="DG905" i="3"/>
  <c r="DH905" i="3"/>
  <c r="DF900" i="3"/>
  <c r="DJ900" i="3" s="1"/>
  <c r="DG900" i="3"/>
  <c r="DH900" i="3"/>
  <c r="DI900" i="3"/>
  <c r="DF896" i="3"/>
  <c r="DG896" i="3"/>
  <c r="DJ896" i="3" s="1"/>
  <c r="DH896" i="3"/>
  <c r="DI896" i="3"/>
  <c r="DI885" i="3"/>
  <c r="DF885" i="3"/>
  <c r="DJ885" i="3" s="1"/>
  <c r="DG885" i="3"/>
  <c r="DH885" i="3"/>
  <c r="DI881" i="3"/>
  <c r="DJ881" i="3" s="1"/>
  <c r="DF881" i="3"/>
  <c r="DG881" i="3"/>
  <c r="DH881" i="3"/>
  <c r="DF876" i="3"/>
  <c r="DJ876" i="3" s="1"/>
  <c r="DG876" i="3"/>
  <c r="DH876" i="3"/>
  <c r="DI876" i="3"/>
  <c r="DF872" i="3"/>
  <c r="DJ872" i="3" s="1"/>
  <c r="DG872" i="3"/>
  <c r="DH872" i="3"/>
  <c r="DI872" i="3"/>
  <c r="DI861" i="3"/>
  <c r="DF861" i="3"/>
  <c r="DJ861" i="3" s="1"/>
  <c r="DG861" i="3"/>
  <c r="DH861" i="3"/>
  <c r="DF856" i="3"/>
  <c r="DJ856" i="3" s="1"/>
  <c r="DG856" i="3"/>
  <c r="DH856" i="3"/>
  <c r="DI856" i="3"/>
  <c r="DF852" i="3"/>
  <c r="DG852" i="3"/>
  <c r="DH852" i="3"/>
  <c r="DI852" i="3"/>
  <c r="DJ852" i="3" s="1"/>
  <c r="DI841" i="3"/>
  <c r="DF841" i="3"/>
  <c r="DJ841" i="3" s="1"/>
  <c r="DG841" i="3"/>
  <c r="DH841" i="3"/>
  <c r="DF836" i="3"/>
  <c r="DJ836" i="3" s="1"/>
  <c r="DG836" i="3"/>
  <c r="DH836" i="3"/>
  <c r="DI836" i="3"/>
  <c r="DF832" i="3"/>
  <c r="DG832" i="3"/>
  <c r="DJ832" i="3" s="1"/>
  <c r="DH832" i="3"/>
  <c r="DI832" i="3"/>
  <c r="DI817" i="3"/>
  <c r="DF817" i="3"/>
  <c r="DJ817" i="3" s="1"/>
  <c r="DG817" i="3"/>
  <c r="DH817" i="3"/>
  <c r="DI813" i="3"/>
  <c r="DJ813" i="3" s="1"/>
  <c r="DF813" i="3"/>
  <c r="DG813" i="3"/>
  <c r="DH813" i="3"/>
  <c r="DI772" i="3"/>
  <c r="DF772" i="3"/>
  <c r="DJ772" i="3" s="1"/>
  <c r="DG772" i="3"/>
  <c r="DH772" i="3"/>
  <c r="DI740" i="3"/>
  <c r="DF740" i="3"/>
  <c r="DJ740" i="3" s="1"/>
  <c r="DG740" i="3"/>
  <c r="DH740" i="3"/>
  <c r="BC31" i="1"/>
  <c r="AY31" i="1"/>
  <c r="AU31" i="1"/>
  <c r="AQ31" i="1"/>
  <c r="Q29" i="1"/>
  <c r="DV31" i="1" s="1"/>
  <c r="BZ26" i="1"/>
  <c r="DG1112" i="3"/>
  <c r="DG1108" i="3"/>
  <c r="DG1104" i="3"/>
  <c r="DG1100" i="3"/>
  <c r="DG1096" i="3"/>
  <c r="DG1092" i="3"/>
  <c r="DG1088" i="3"/>
  <c r="DG1084" i="3"/>
  <c r="DG1080" i="3"/>
  <c r="DG1076" i="3"/>
  <c r="DJ1076" i="3" s="1"/>
  <c r="DG1072" i="3"/>
  <c r="DJ1072" i="3" s="1"/>
  <c r="DH1071" i="3"/>
  <c r="DH1070" i="3"/>
  <c r="DI1065" i="3"/>
  <c r="DJ1065" i="3" s="1"/>
  <c r="DG1060" i="3"/>
  <c r="DH1055" i="3"/>
  <c r="DH1054" i="3"/>
  <c r="DI1049" i="3"/>
  <c r="DG1044" i="3"/>
  <c r="DH1039" i="3"/>
  <c r="DH1038" i="3"/>
  <c r="DI1033" i="3"/>
  <c r="DG1028" i="3"/>
  <c r="DH1023" i="3"/>
  <c r="DH1022" i="3"/>
  <c r="DI1017" i="3"/>
  <c r="DI1011" i="3"/>
  <c r="DI1009" i="3"/>
  <c r="DJ1009" i="3" s="1"/>
  <c r="DH1009" i="3"/>
  <c r="DI1007" i="3"/>
  <c r="DI1005" i="3"/>
  <c r="DH1005" i="3"/>
  <c r="DI1003" i="3"/>
  <c r="DI1001" i="3"/>
  <c r="DH1001" i="3"/>
  <c r="DI999" i="3"/>
  <c r="DI997" i="3"/>
  <c r="DH997" i="3"/>
  <c r="DI995" i="3"/>
  <c r="DJ995" i="3" s="1"/>
  <c r="DI993" i="3"/>
  <c r="DH993" i="3"/>
  <c r="DI991" i="3"/>
  <c r="DI989" i="3"/>
  <c r="DH989" i="3"/>
  <c r="DI987" i="3"/>
  <c r="DI985" i="3"/>
  <c r="DH985" i="3"/>
  <c r="DI983" i="3"/>
  <c r="DI981" i="3"/>
  <c r="DH981" i="3"/>
  <c r="DI979" i="3"/>
  <c r="DI977" i="3"/>
  <c r="DH977" i="3"/>
  <c r="DI975" i="3"/>
  <c r="DI973" i="3"/>
  <c r="DJ973" i="3" s="1"/>
  <c r="DH973" i="3"/>
  <c r="DI971" i="3"/>
  <c r="DI969" i="3"/>
  <c r="DH969" i="3"/>
  <c r="DI967" i="3"/>
  <c r="DI965" i="3"/>
  <c r="DH965" i="3"/>
  <c r="DI963" i="3"/>
  <c r="DI961" i="3"/>
  <c r="DH961" i="3"/>
  <c r="DI945" i="3"/>
  <c r="DF945" i="3"/>
  <c r="DJ945" i="3" s="1"/>
  <c r="DG945" i="3"/>
  <c r="DH945" i="3"/>
  <c r="DF940" i="3"/>
  <c r="DJ940" i="3" s="1"/>
  <c r="DG940" i="3"/>
  <c r="DH940" i="3"/>
  <c r="DI940" i="3"/>
  <c r="DI925" i="3"/>
  <c r="DF925" i="3"/>
  <c r="DJ925" i="3" s="1"/>
  <c r="DG925" i="3"/>
  <c r="DH925" i="3"/>
  <c r="DI921" i="3"/>
  <c r="DJ921" i="3" s="1"/>
  <c r="DF921" i="3"/>
  <c r="DG921" i="3"/>
  <c r="DH921" i="3"/>
  <c r="DF916" i="3"/>
  <c r="DJ916" i="3" s="1"/>
  <c r="DG916" i="3"/>
  <c r="DH916" i="3"/>
  <c r="DI916" i="3"/>
  <c r="DI901" i="3"/>
  <c r="DF901" i="3"/>
  <c r="DJ901" i="3" s="1"/>
  <c r="DG901" i="3"/>
  <c r="DH901" i="3"/>
  <c r="DI897" i="3"/>
  <c r="DF897" i="3"/>
  <c r="DG897" i="3"/>
  <c r="DJ897" i="3" s="1"/>
  <c r="DH897" i="3"/>
  <c r="DF892" i="3"/>
  <c r="DG892" i="3"/>
  <c r="DH892" i="3"/>
  <c r="DI892" i="3"/>
  <c r="DJ892" i="3" s="1"/>
  <c r="DI877" i="3"/>
  <c r="DF877" i="3"/>
  <c r="DJ877" i="3" s="1"/>
  <c r="DG877" i="3"/>
  <c r="DH877" i="3"/>
  <c r="DI873" i="3"/>
  <c r="DJ873" i="3" s="1"/>
  <c r="DF873" i="3"/>
  <c r="DG873" i="3"/>
  <c r="DH873" i="3"/>
  <c r="DF868" i="3"/>
  <c r="DJ868" i="3" s="1"/>
  <c r="DG868" i="3"/>
  <c r="DH868" i="3"/>
  <c r="DI868" i="3"/>
  <c r="DI857" i="3"/>
  <c r="DF857" i="3"/>
  <c r="DJ857" i="3" s="1"/>
  <c r="DG857" i="3"/>
  <c r="DH857" i="3"/>
  <c r="DI853" i="3"/>
  <c r="DF853" i="3"/>
  <c r="DG853" i="3"/>
  <c r="DJ853" i="3" s="1"/>
  <c r="DH853" i="3"/>
  <c r="DF848" i="3"/>
  <c r="DJ848" i="3" s="1"/>
  <c r="DG848" i="3"/>
  <c r="DH848" i="3"/>
  <c r="DI848" i="3"/>
  <c r="DI837" i="3"/>
  <c r="DF837" i="3"/>
  <c r="DJ837" i="3" s="1"/>
  <c r="DG837" i="3"/>
  <c r="DH837" i="3"/>
  <c r="DI833" i="3"/>
  <c r="DF833" i="3"/>
  <c r="DG833" i="3"/>
  <c r="DJ833" i="3" s="1"/>
  <c r="DH833" i="3"/>
  <c r="DF828" i="3"/>
  <c r="DG828" i="3"/>
  <c r="DH828" i="3"/>
  <c r="DI828" i="3"/>
  <c r="DJ828" i="3" s="1"/>
  <c r="DF824" i="3"/>
  <c r="DJ824" i="3" s="1"/>
  <c r="DG824" i="3"/>
  <c r="DH824" i="3"/>
  <c r="DI824" i="3"/>
  <c r="DF799" i="3"/>
  <c r="DG799" i="3"/>
  <c r="DH799" i="3"/>
  <c r="DI799" i="3"/>
  <c r="DJ799" i="3" s="1"/>
  <c r="DI792" i="3"/>
  <c r="DF792" i="3"/>
  <c r="DJ792" i="3" s="1"/>
  <c r="DG792" i="3"/>
  <c r="DH792" i="3"/>
  <c r="DF787" i="3"/>
  <c r="DG787" i="3"/>
  <c r="DH787" i="3"/>
  <c r="DI787" i="3"/>
  <c r="DJ787" i="3" s="1"/>
  <c r="DF767" i="3"/>
  <c r="DG767" i="3"/>
  <c r="DH767" i="3"/>
  <c r="DI767" i="3"/>
  <c r="DJ767" i="3" s="1"/>
  <c r="DI760" i="3"/>
  <c r="DF760" i="3"/>
  <c r="DJ760" i="3" s="1"/>
  <c r="DG760" i="3"/>
  <c r="DH760" i="3"/>
  <c r="DF755" i="3"/>
  <c r="DG755" i="3"/>
  <c r="DH755" i="3"/>
  <c r="DI755" i="3"/>
  <c r="DJ755" i="3" s="1"/>
  <c r="DF735" i="3"/>
  <c r="DG735" i="3"/>
  <c r="DH735" i="3"/>
  <c r="DI735" i="3"/>
  <c r="DJ735" i="3" s="1"/>
  <c r="DI728" i="3"/>
  <c r="DF728" i="3"/>
  <c r="DJ728" i="3" s="1"/>
  <c r="DG728" i="3"/>
  <c r="DH728" i="3"/>
  <c r="BB31" i="1"/>
  <c r="AT31" i="1"/>
  <c r="AP31" i="1"/>
  <c r="DG1071" i="3"/>
  <c r="DJ1071" i="3" s="1"/>
  <c r="DF1070" i="3"/>
  <c r="DH1067" i="3"/>
  <c r="DH1066" i="3"/>
  <c r="DG1065" i="3"/>
  <c r="DI1061" i="3"/>
  <c r="DJ1061" i="3" s="1"/>
  <c r="DF1060" i="3"/>
  <c r="DJ1060" i="3" s="1"/>
  <c r="DG1056" i="3"/>
  <c r="DG1055" i="3"/>
  <c r="DF1054" i="3"/>
  <c r="DJ1054" i="3" s="1"/>
  <c r="DH1051" i="3"/>
  <c r="DH1050" i="3"/>
  <c r="DG1049" i="3"/>
  <c r="DI1045" i="3"/>
  <c r="DF1044" i="3"/>
  <c r="DJ1044" i="3" s="1"/>
  <c r="DG1040" i="3"/>
  <c r="DJ1040" i="3" s="1"/>
  <c r="DG1039" i="3"/>
  <c r="DF1038" i="3"/>
  <c r="DJ1038" i="3" s="1"/>
  <c r="DH1035" i="3"/>
  <c r="DH1034" i="3"/>
  <c r="DG1033" i="3"/>
  <c r="DI1029" i="3"/>
  <c r="DF1028" i="3"/>
  <c r="DJ1028" i="3" s="1"/>
  <c r="DG1024" i="3"/>
  <c r="DJ1024" i="3" s="1"/>
  <c r="DG1023" i="3"/>
  <c r="DF1022" i="3"/>
  <c r="DJ1022" i="3" s="1"/>
  <c r="DH1019" i="3"/>
  <c r="DH1018" i="3"/>
  <c r="DG1017" i="3"/>
  <c r="DI1013" i="3"/>
  <c r="DF1012" i="3"/>
  <c r="DI1012" i="3"/>
  <c r="DH1011" i="3"/>
  <c r="DF1008" i="3"/>
  <c r="DJ1008" i="3" s="1"/>
  <c r="DI1008" i="3"/>
  <c r="DH1007" i="3"/>
  <c r="DF1004" i="3"/>
  <c r="DJ1004" i="3" s="1"/>
  <c r="DI1004" i="3"/>
  <c r="DH1003" i="3"/>
  <c r="DF1000" i="3"/>
  <c r="DJ1000" i="3" s="1"/>
  <c r="DI1000" i="3"/>
  <c r="DH999" i="3"/>
  <c r="DF996" i="3"/>
  <c r="DI996" i="3"/>
  <c r="DH995" i="3"/>
  <c r="DF992" i="3"/>
  <c r="DJ992" i="3" s="1"/>
  <c r="DI992" i="3"/>
  <c r="DH991" i="3"/>
  <c r="DF988" i="3"/>
  <c r="DJ988" i="3" s="1"/>
  <c r="DI988" i="3"/>
  <c r="DH987" i="3"/>
  <c r="DF984" i="3"/>
  <c r="DI984" i="3"/>
  <c r="DJ984" i="3" s="1"/>
  <c r="DH983" i="3"/>
  <c r="DF980" i="3"/>
  <c r="DJ980" i="3" s="1"/>
  <c r="DI980" i="3"/>
  <c r="DH979" i="3"/>
  <c r="DF976" i="3"/>
  <c r="DJ976" i="3" s="1"/>
  <c r="DI976" i="3"/>
  <c r="DH975" i="3"/>
  <c r="DF972" i="3"/>
  <c r="DJ972" i="3" s="1"/>
  <c r="DI972" i="3"/>
  <c r="DH971" i="3"/>
  <c r="DF968" i="3"/>
  <c r="DJ968" i="3" s="1"/>
  <c r="DI968" i="3"/>
  <c r="DH967" i="3"/>
  <c r="DF964" i="3"/>
  <c r="DJ964" i="3" s="1"/>
  <c r="DI964" i="3"/>
  <c r="DH963" i="3"/>
  <c r="DF960" i="3"/>
  <c r="DI960" i="3"/>
  <c r="DG959" i="3"/>
  <c r="DI959" i="3"/>
  <c r="DJ959" i="3" s="1"/>
  <c r="DF959" i="3"/>
  <c r="DI957" i="3"/>
  <c r="DG957" i="3"/>
  <c r="DH957" i="3"/>
  <c r="DF956" i="3"/>
  <c r="DJ956" i="3" s="1"/>
  <c r="DH956" i="3"/>
  <c r="DI956" i="3"/>
  <c r="DG955" i="3"/>
  <c r="DI955" i="3"/>
  <c r="DF955" i="3"/>
  <c r="DJ955" i="3" s="1"/>
  <c r="DI953" i="3"/>
  <c r="DG953" i="3"/>
  <c r="DH953" i="3"/>
  <c r="DF952" i="3"/>
  <c r="DH952" i="3"/>
  <c r="DI952" i="3"/>
  <c r="DG951" i="3"/>
  <c r="DI951" i="3"/>
  <c r="DJ951" i="3" s="1"/>
  <c r="DF951" i="3"/>
  <c r="DI949" i="3"/>
  <c r="DG949" i="3"/>
  <c r="DH949" i="3"/>
  <c r="DF948" i="3"/>
  <c r="DJ948" i="3" s="1"/>
  <c r="DH948" i="3"/>
  <c r="DI948" i="3"/>
  <c r="DG947" i="3"/>
  <c r="DI947" i="3"/>
  <c r="DF947" i="3"/>
  <c r="DJ947" i="3" s="1"/>
  <c r="DI941" i="3"/>
  <c r="DF941" i="3"/>
  <c r="DJ941" i="3" s="1"/>
  <c r="DG941" i="3"/>
  <c r="DH941" i="3"/>
  <c r="DF936" i="3"/>
  <c r="DJ936" i="3" s="1"/>
  <c r="DG936" i="3"/>
  <c r="DH936" i="3"/>
  <c r="DI936" i="3"/>
  <c r="DF932" i="3"/>
  <c r="DG932" i="3"/>
  <c r="DH932" i="3"/>
  <c r="DI932" i="3"/>
  <c r="DJ932" i="3" s="1"/>
  <c r="DI917" i="3"/>
  <c r="DF917" i="3"/>
  <c r="DJ917" i="3" s="1"/>
  <c r="DG917" i="3"/>
  <c r="DH917" i="3"/>
  <c r="DF912" i="3"/>
  <c r="DJ912" i="3" s="1"/>
  <c r="DG912" i="3"/>
  <c r="DH912" i="3"/>
  <c r="DI912" i="3"/>
  <c r="DF908" i="3"/>
  <c r="DG908" i="3"/>
  <c r="DH908" i="3"/>
  <c r="DI908" i="3"/>
  <c r="DJ908" i="3" s="1"/>
  <c r="DI893" i="3"/>
  <c r="DF893" i="3"/>
  <c r="DJ893" i="3" s="1"/>
  <c r="DG893" i="3"/>
  <c r="DH893" i="3"/>
  <c r="DF888" i="3"/>
  <c r="DJ888" i="3" s="1"/>
  <c r="DG888" i="3"/>
  <c r="DH888" i="3"/>
  <c r="DI888" i="3"/>
  <c r="DI869" i="3"/>
  <c r="DF869" i="3"/>
  <c r="DJ869" i="3" s="1"/>
  <c r="DG869" i="3"/>
  <c r="DH869" i="3"/>
  <c r="DF864" i="3"/>
  <c r="DJ864" i="3" s="1"/>
  <c r="DG864" i="3"/>
  <c r="DH864" i="3"/>
  <c r="DI864" i="3"/>
  <c r="DI849" i="3"/>
  <c r="DF849" i="3"/>
  <c r="DJ849" i="3" s="1"/>
  <c r="DG849" i="3"/>
  <c r="DH849" i="3"/>
  <c r="DF844" i="3"/>
  <c r="DJ844" i="3" s="1"/>
  <c r="DG844" i="3"/>
  <c r="DH844" i="3"/>
  <c r="DI844" i="3"/>
  <c r="DI829" i="3"/>
  <c r="DF829" i="3"/>
  <c r="DG829" i="3"/>
  <c r="DJ829" i="3" s="1"/>
  <c r="DH829" i="3"/>
  <c r="DI825" i="3"/>
  <c r="DJ825" i="3" s="1"/>
  <c r="DF825" i="3"/>
  <c r="DG825" i="3"/>
  <c r="DH825" i="3"/>
  <c r="DF820" i="3"/>
  <c r="DJ820" i="3" s="1"/>
  <c r="DG820" i="3"/>
  <c r="DH820" i="3"/>
  <c r="DI820" i="3"/>
  <c r="DI808" i="3"/>
  <c r="DF808" i="3"/>
  <c r="DJ808" i="3" s="1"/>
  <c r="DG808" i="3"/>
  <c r="DH808" i="3"/>
  <c r="DF803" i="3"/>
  <c r="DG803" i="3"/>
  <c r="DJ803" i="3" s="1"/>
  <c r="DH803" i="3"/>
  <c r="DI803" i="3"/>
  <c r="DI788" i="3"/>
  <c r="DF788" i="3"/>
  <c r="DJ788" i="3" s="1"/>
  <c r="DG788" i="3"/>
  <c r="DH788" i="3"/>
  <c r="DI756" i="3"/>
  <c r="DF756" i="3"/>
  <c r="DJ756" i="3" s="1"/>
  <c r="DG756" i="3"/>
  <c r="DH756" i="3"/>
  <c r="DF943" i="3"/>
  <c r="DF939" i="3"/>
  <c r="DJ939" i="3" s="1"/>
  <c r="DF935" i="3"/>
  <c r="DF931" i="3"/>
  <c r="DJ931" i="3" s="1"/>
  <c r="DF927" i="3"/>
  <c r="DJ927" i="3" s="1"/>
  <c r="DF923" i="3"/>
  <c r="DF919" i="3"/>
  <c r="DJ919" i="3" s="1"/>
  <c r="DF915" i="3"/>
  <c r="DJ915" i="3" s="1"/>
  <c r="DF911" i="3"/>
  <c r="DF907" i="3"/>
  <c r="DJ907" i="3" s="1"/>
  <c r="DF903" i="3"/>
  <c r="DJ903" i="3" s="1"/>
  <c r="DF899" i="3"/>
  <c r="DJ899" i="3" s="1"/>
  <c r="DF895" i="3"/>
  <c r="DF891" i="3"/>
  <c r="DJ891" i="3" s="1"/>
  <c r="DF887" i="3"/>
  <c r="DJ887" i="3" s="1"/>
  <c r="DF883" i="3"/>
  <c r="DJ883" i="3" s="1"/>
  <c r="DF879" i="3"/>
  <c r="DJ879" i="3" s="1"/>
  <c r="DF875" i="3"/>
  <c r="DJ875" i="3" s="1"/>
  <c r="DF871" i="3"/>
  <c r="DJ871" i="3" s="1"/>
  <c r="DF867" i="3"/>
  <c r="DJ867" i="3" s="1"/>
  <c r="DF863" i="3"/>
  <c r="DJ863" i="3" s="1"/>
  <c r="DF859" i="3"/>
  <c r="DJ859" i="3" s="1"/>
  <c r="DF855" i="3"/>
  <c r="DF851" i="3"/>
  <c r="DJ851" i="3" s="1"/>
  <c r="DF847" i="3"/>
  <c r="DJ847" i="3" s="1"/>
  <c r="DF843" i="3"/>
  <c r="DJ843" i="3" s="1"/>
  <c r="DF839" i="3"/>
  <c r="DJ839" i="3" s="1"/>
  <c r="DF835" i="3"/>
  <c r="DJ835" i="3" s="1"/>
  <c r="DF831" i="3"/>
  <c r="DF827" i="3"/>
  <c r="DJ827" i="3" s="1"/>
  <c r="DF823" i="3"/>
  <c r="DJ823" i="3" s="1"/>
  <c r="DF819" i="3"/>
  <c r="DJ819" i="3" s="1"/>
  <c r="DF815" i="3"/>
  <c r="DF811" i="3"/>
  <c r="DJ811" i="3" s="1"/>
  <c r="DF810" i="3"/>
  <c r="DJ810" i="3" s="1"/>
  <c r="DF809" i="3"/>
  <c r="DJ809" i="3" s="1"/>
  <c r="DH807" i="3"/>
  <c r="DH806" i="3"/>
  <c r="DG805" i="3"/>
  <c r="DI801" i="3"/>
  <c r="DJ801" i="3" s="1"/>
  <c r="DF800" i="3"/>
  <c r="DJ800" i="3" s="1"/>
  <c r="DG796" i="3"/>
  <c r="DG795" i="3"/>
  <c r="DF794" i="3"/>
  <c r="DJ794" i="3" s="1"/>
  <c r="DF793" i="3"/>
  <c r="DH791" i="3"/>
  <c r="DH790" i="3"/>
  <c r="DG789" i="3"/>
  <c r="DI785" i="3"/>
  <c r="DJ785" i="3" s="1"/>
  <c r="DF784" i="3"/>
  <c r="DJ784" i="3" s="1"/>
  <c r="DG780" i="3"/>
  <c r="DG779" i="3"/>
  <c r="DF778" i="3"/>
  <c r="DJ778" i="3" s="1"/>
  <c r="DF777" i="3"/>
  <c r="DJ777" i="3" s="1"/>
  <c r="DH775" i="3"/>
  <c r="DH774" i="3"/>
  <c r="DG773" i="3"/>
  <c r="DI769" i="3"/>
  <c r="DJ769" i="3" s="1"/>
  <c r="DF768" i="3"/>
  <c r="DJ768" i="3" s="1"/>
  <c r="DG764" i="3"/>
  <c r="DG763" i="3"/>
  <c r="DF762" i="3"/>
  <c r="DJ762" i="3" s="1"/>
  <c r="DF761" i="3"/>
  <c r="DH759" i="3"/>
  <c r="DH758" i="3"/>
  <c r="DG757" i="3"/>
  <c r="DI753" i="3"/>
  <c r="DF752" i="3"/>
  <c r="DJ752" i="3" s="1"/>
  <c r="DG748" i="3"/>
  <c r="DG747" i="3"/>
  <c r="DF746" i="3"/>
  <c r="DJ746" i="3" s="1"/>
  <c r="DF745" i="3"/>
  <c r="DH743" i="3"/>
  <c r="DH742" i="3"/>
  <c r="DG741" i="3"/>
  <c r="DI737" i="3"/>
  <c r="DF736" i="3"/>
  <c r="DJ736" i="3" s="1"/>
  <c r="DG732" i="3"/>
  <c r="DG731" i="3"/>
  <c r="DF730" i="3"/>
  <c r="DJ730" i="3" s="1"/>
  <c r="DF729" i="3"/>
  <c r="DH727" i="3"/>
  <c r="DG723" i="3"/>
  <c r="DF723" i="3"/>
  <c r="DG719" i="3"/>
  <c r="DF719" i="3"/>
  <c r="DG715" i="3"/>
  <c r="DF715" i="3"/>
  <c r="DJ715" i="3" s="1"/>
  <c r="DG711" i="3"/>
  <c r="DF711" i="3"/>
  <c r="DG707" i="3"/>
  <c r="DF707" i="3"/>
  <c r="DI701" i="3"/>
  <c r="DJ701" i="3" s="1"/>
  <c r="DF701" i="3"/>
  <c r="DH701" i="3"/>
  <c r="DF700" i="3"/>
  <c r="DJ700" i="3" s="1"/>
  <c r="DG700" i="3"/>
  <c r="DI700" i="3"/>
  <c r="DI622" i="3"/>
  <c r="DF622" i="3"/>
  <c r="DJ622" i="3" s="1"/>
  <c r="DG622" i="3"/>
  <c r="DH622" i="3"/>
  <c r="DI943" i="3"/>
  <c r="DJ943" i="3" s="1"/>
  <c r="DI939" i="3"/>
  <c r="DI935" i="3"/>
  <c r="DI931" i="3"/>
  <c r="DI927" i="3"/>
  <c r="DI923" i="3"/>
  <c r="DI919" i="3"/>
  <c r="DI915" i="3"/>
  <c r="DI911" i="3"/>
  <c r="DI907" i="3"/>
  <c r="DI903" i="3"/>
  <c r="DI899" i="3"/>
  <c r="DI895" i="3"/>
  <c r="DJ895" i="3" s="1"/>
  <c r="DI891" i="3"/>
  <c r="DI887" i="3"/>
  <c r="DI883" i="3"/>
  <c r="DI879" i="3"/>
  <c r="DI875" i="3"/>
  <c r="DI871" i="3"/>
  <c r="DI867" i="3"/>
  <c r="DI863" i="3"/>
  <c r="DI859" i="3"/>
  <c r="DI855" i="3"/>
  <c r="DI851" i="3"/>
  <c r="DI847" i="3"/>
  <c r="DI843" i="3"/>
  <c r="DI839" i="3"/>
  <c r="DI835" i="3"/>
  <c r="DI831" i="3"/>
  <c r="DJ831" i="3" s="1"/>
  <c r="DI827" i="3"/>
  <c r="DI823" i="3"/>
  <c r="DI819" i="3"/>
  <c r="DI815" i="3"/>
  <c r="DI811" i="3"/>
  <c r="DF805" i="3"/>
  <c r="DJ805" i="3" s="1"/>
  <c r="DF789" i="3"/>
  <c r="DF773" i="3"/>
  <c r="DJ773" i="3" s="1"/>
  <c r="DF757" i="3"/>
  <c r="DJ757" i="3" s="1"/>
  <c r="DF741" i="3"/>
  <c r="DJ741" i="3" s="1"/>
  <c r="DI725" i="3"/>
  <c r="DJ725" i="3" s="1"/>
  <c r="DH725" i="3"/>
  <c r="DI721" i="3"/>
  <c r="DJ721" i="3" s="1"/>
  <c r="DH721" i="3"/>
  <c r="DI717" i="3"/>
  <c r="DH717" i="3"/>
  <c r="DI713" i="3"/>
  <c r="DJ713" i="3" s="1"/>
  <c r="DH713" i="3"/>
  <c r="DI709" i="3"/>
  <c r="DJ709" i="3" s="1"/>
  <c r="DH709" i="3"/>
  <c r="DI697" i="3"/>
  <c r="DJ697" i="3" s="1"/>
  <c r="DF697" i="3"/>
  <c r="DH697" i="3"/>
  <c r="DF696" i="3"/>
  <c r="DJ696" i="3" s="1"/>
  <c r="DG696" i="3"/>
  <c r="DI696" i="3"/>
  <c r="DI670" i="3"/>
  <c r="DJ670" i="3" s="1"/>
  <c r="DF670" i="3"/>
  <c r="DG670" i="3"/>
  <c r="DH670" i="3"/>
  <c r="DI638" i="3"/>
  <c r="DF638" i="3"/>
  <c r="DJ638" i="3" s="1"/>
  <c r="DG638" i="3"/>
  <c r="DH638" i="3"/>
  <c r="DF724" i="3"/>
  <c r="DI724" i="3"/>
  <c r="DJ724" i="3" s="1"/>
  <c r="DF720" i="3"/>
  <c r="DJ720" i="3" s="1"/>
  <c r="DI720" i="3"/>
  <c r="DF716" i="3"/>
  <c r="DI716" i="3"/>
  <c r="DJ716" i="3" s="1"/>
  <c r="DF712" i="3"/>
  <c r="DJ712" i="3" s="1"/>
  <c r="DI712" i="3"/>
  <c r="DF708" i="3"/>
  <c r="DJ708" i="3" s="1"/>
  <c r="DI708" i="3"/>
  <c r="DI693" i="3"/>
  <c r="DJ693" i="3" s="1"/>
  <c r="DF693" i="3"/>
  <c r="DH693" i="3"/>
  <c r="DF692" i="3"/>
  <c r="DJ692" i="3" s="1"/>
  <c r="DG692" i="3"/>
  <c r="DI692" i="3"/>
  <c r="DF649" i="3"/>
  <c r="DJ649" i="3" s="1"/>
  <c r="DG649" i="3"/>
  <c r="DH649" i="3"/>
  <c r="DI649" i="3"/>
  <c r="DF617" i="3"/>
  <c r="DJ617" i="3" s="1"/>
  <c r="DG617" i="3"/>
  <c r="DH617" i="3"/>
  <c r="DI617" i="3"/>
  <c r="DF601" i="3"/>
  <c r="DJ601" i="3" s="1"/>
  <c r="DG601" i="3"/>
  <c r="DH601" i="3"/>
  <c r="DI601" i="3"/>
  <c r="DH810" i="3"/>
  <c r="DG809" i="3"/>
  <c r="DI805" i="3"/>
  <c r="DG800" i="3"/>
  <c r="DF798" i="3"/>
  <c r="DJ798" i="3" s="1"/>
  <c r="DH795" i="3"/>
  <c r="DH794" i="3"/>
  <c r="DG793" i="3"/>
  <c r="DI789" i="3"/>
  <c r="DJ789" i="3" s="1"/>
  <c r="DG784" i="3"/>
  <c r="DF782" i="3"/>
  <c r="DJ782" i="3" s="1"/>
  <c r="DH779" i="3"/>
  <c r="DH778" i="3"/>
  <c r="DG777" i="3"/>
  <c r="DI773" i="3"/>
  <c r="DG768" i="3"/>
  <c r="DF766" i="3"/>
  <c r="DJ766" i="3" s="1"/>
  <c r="DH763" i="3"/>
  <c r="DH762" i="3"/>
  <c r="DG761" i="3"/>
  <c r="DI757" i="3"/>
  <c r="DG752" i="3"/>
  <c r="DF750" i="3"/>
  <c r="DJ750" i="3" s="1"/>
  <c r="DH747" i="3"/>
  <c r="DH746" i="3"/>
  <c r="DG745" i="3"/>
  <c r="DI741" i="3"/>
  <c r="DG736" i="3"/>
  <c r="DF734" i="3"/>
  <c r="DJ734" i="3" s="1"/>
  <c r="DH731" i="3"/>
  <c r="DH730" i="3"/>
  <c r="DG729" i="3"/>
  <c r="DG725" i="3"/>
  <c r="DH724" i="3"/>
  <c r="DG721" i="3"/>
  <c r="DH720" i="3"/>
  <c r="DG717" i="3"/>
  <c r="DH716" i="3"/>
  <c r="DG713" i="3"/>
  <c r="DH712" i="3"/>
  <c r="DG709" i="3"/>
  <c r="DH708" i="3"/>
  <c r="DI705" i="3"/>
  <c r="DJ705" i="3" s="1"/>
  <c r="DF705" i="3"/>
  <c r="DH705" i="3"/>
  <c r="DF704" i="3"/>
  <c r="DJ704" i="3" s="1"/>
  <c r="DG704" i="3"/>
  <c r="DI704" i="3"/>
  <c r="DH696" i="3"/>
  <c r="DI689" i="3"/>
  <c r="DF689" i="3"/>
  <c r="DJ689" i="3" s="1"/>
  <c r="DH689" i="3"/>
  <c r="DI685" i="3"/>
  <c r="DJ685" i="3" s="1"/>
  <c r="DF685" i="3"/>
  <c r="DG685" i="3"/>
  <c r="DH685" i="3"/>
  <c r="DI681" i="3"/>
  <c r="DF681" i="3"/>
  <c r="DJ681" i="3" s="1"/>
  <c r="DG681" i="3"/>
  <c r="DH681" i="3"/>
  <c r="DI677" i="3"/>
  <c r="DF677" i="3"/>
  <c r="DJ677" i="3" s="1"/>
  <c r="DG677" i="3"/>
  <c r="DH677" i="3"/>
  <c r="DI673" i="3"/>
  <c r="DJ673" i="3" s="1"/>
  <c r="DF673" i="3"/>
  <c r="DG673" i="3"/>
  <c r="DH673" i="3"/>
  <c r="DF665" i="3"/>
  <c r="DG665" i="3"/>
  <c r="DH665" i="3"/>
  <c r="DI665" i="3"/>
  <c r="DJ665" i="3" s="1"/>
  <c r="DI654" i="3"/>
  <c r="DF654" i="3"/>
  <c r="DJ654" i="3" s="1"/>
  <c r="DG654" i="3"/>
  <c r="DH654" i="3"/>
  <c r="DF633" i="3"/>
  <c r="DJ633" i="3" s="1"/>
  <c r="DG633" i="3"/>
  <c r="DH633" i="3"/>
  <c r="DI633" i="3"/>
  <c r="DI606" i="3"/>
  <c r="DF606" i="3"/>
  <c r="DG606" i="3"/>
  <c r="DJ606" i="3" s="1"/>
  <c r="DH606" i="3"/>
  <c r="DF703" i="3"/>
  <c r="DF699" i="3"/>
  <c r="DF695" i="3"/>
  <c r="DF691" i="3"/>
  <c r="DJ691" i="3" s="1"/>
  <c r="DI688" i="3"/>
  <c r="DF687" i="3"/>
  <c r="DI684" i="3"/>
  <c r="DJ684" i="3" s="1"/>
  <c r="DF683" i="3"/>
  <c r="DI680" i="3"/>
  <c r="DF679" i="3"/>
  <c r="DI676" i="3"/>
  <c r="DF675" i="3"/>
  <c r="DI672" i="3"/>
  <c r="DJ672" i="3" s="1"/>
  <c r="DF671" i="3"/>
  <c r="DH669" i="3"/>
  <c r="DH668" i="3"/>
  <c r="DG667" i="3"/>
  <c r="DI663" i="3"/>
  <c r="DJ663" i="3" s="1"/>
  <c r="DF662" i="3"/>
  <c r="DG658" i="3"/>
  <c r="DJ658" i="3" s="1"/>
  <c r="DG657" i="3"/>
  <c r="DJ657" i="3" s="1"/>
  <c r="DF656" i="3"/>
  <c r="DF655" i="3"/>
  <c r="DJ655" i="3" s="1"/>
  <c r="DH653" i="3"/>
  <c r="DH652" i="3"/>
  <c r="DG651" i="3"/>
  <c r="DI647" i="3"/>
  <c r="DF646" i="3"/>
  <c r="DG642" i="3"/>
  <c r="DJ642" i="3" s="1"/>
  <c r="DG641" i="3"/>
  <c r="DF640" i="3"/>
  <c r="DJ640" i="3" s="1"/>
  <c r="DF639" i="3"/>
  <c r="DJ639" i="3" s="1"/>
  <c r="DH637" i="3"/>
  <c r="DH636" i="3"/>
  <c r="DG635" i="3"/>
  <c r="DI631" i="3"/>
  <c r="DF630" i="3"/>
  <c r="DG626" i="3"/>
  <c r="DJ626" i="3" s="1"/>
  <c r="DG625" i="3"/>
  <c r="DF624" i="3"/>
  <c r="DJ624" i="3" s="1"/>
  <c r="DF623" i="3"/>
  <c r="DJ623" i="3" s="1"/>
  <c r="DH621" i="3"/>
  <c r="DH620" i="3"/>
  <c r="DG619" i="3"/>
  <c r="DI615" i="3"/>
  <c r="DF614" i="3"/>
  <c r="DG610" i="3"/>
  <c r="DJ610" i="3" s="1"/>
  <c r="DG609" i="3"/>
  <c r="DF608" i="3"/>
  <c r="DJ608" i="3" s="1"/>
  <c r="DF607" i="3"/>
  <c r="DJ607" i="3" s="1"/>
  <c r="DH605" i="3"/>
  <c r="DH604" i="3"/>
  <c r="DG603" i="3"/>
  <c r="DF597" i="3"/>
  <c r="DG597" i="3"/>
  <c r="DF593" i="3"/>
  <c r="DG593" i="3"/>
  <c r="DJ593" i="3" s="1"/>
  <c r="DF583" i="3"/>
  <c r="DJ583" i="3" s="1"/>
  <c r="DH583" i="3"/>
  <c r="DI583" i="3"/>
  <c r="DG582" i="3"/>
  <c r="DI582" i="3"/>
  <c r="DF582" i="3"/>
  <c r="DJ582" i="3" s="1"/>
  <c r="DF567" i="3"/>
  <c r="DJ567" i="3" s="1"/>
  <c r="DH567" i="3"/>
  <c r="DI567" i="3"/>
  <c r="DG566" i="3"/>
  <c r="DJ566" i="3" s="1"/>
  <c r="DI566" i="3"/>
  <c r="DF566" i="3"/>
  <c r="DF531" i="3"/>
  <c r="DG531" i="3"/>
  <c r="DJ531" i="3" s="1"/>
  <c r="DH531" i="3"/>
  <c r="DI531" i="3"/>
  <c r="DF527" i="3"/>
  <c r="DJ527" i="3" s="1"/>
  <c r="DG527" i="3"/>
  <c r="DH527" i="3"/>
  <c r="DI527" i="3"/>
  <c r="DF523" i="3"/>
  <c r="DJ523" i="3" s="1"/>
  <c r="DG523" i="3"/>
  <c r="DH523" i="3"/>
  <c r="DI523" i="3"/>
  <c r="DI467" i="3"/>
  <c r="DF467" i="3"/>
  <c r="DG467" i="3"/>
  <c r="DJ467" i="3" s="1"/>
  <c r="DH467" i="3"/>
  <c r="DH599" i="3"/>
  <c r="DI599" i="3"/>
  <c r="DH595" i="3"/>
  <c r="DI595" i="3"/>
  <c r="DH591" i="3"/>
  <c r="DI591" i="3"/>
  <c r="DJ591" i="3" s="1"/>
  <c r="DF579" i="3"/>
  <c r="DJ579" i="3" s="1"/>
  <c r="DH579" i="3"/>
  <c r="DI579" i="3"/>
  <c r="DG578" i="3"/>
  <c r="DI578" i="3"/>
  <c r="DF578" i="3"/>
  <c r="DJ578" i="3" s="1"/>
  <c r="DF563" i="3"/>
  <c r="DH563" i="3"/>
  <c r="DI563" i="3"/>
  <c r="DG562" i="3"/>
  <c r="DJ562" i="3" s="1"/>
  <c r="DI562" i="3"/>
  <c r="DF562" i="3"/>
  <c r="DF547" i="3"/>
  <c r="DG547" i="3"/>
  <c r="DJ547" i="3" s="1"/>
  <c r="DH547" i="3"/>
  <c r="DI547" i="3"/>
  <c r="DF543" i="3"/>
  <c r="DJ543" i="3" s="1"/>
  <c r="DG543" i="3"/>
  <c r="DH543" i="3"/>
  <c r="DI543" i="3"/>
  <c r="DF539" i="3"/>
  <c r="DJ539" i="3" s="1"/>
  <c r="DG539" i="3"/>
  <c r="DH539" i="3"/>
  <c r="DI539" i="3"/>
  <c r="DF535" i="3"/>
  <c r="DG535" i="3"/>
  <c r="DJ535" i="3" s="1"/>
  <c r="DH535" i="3"/>
  <c r="DI535" i="3"/>
  <c r="DF515" i="3"/>
  <c r="DG515" i="3"/>
  <c r="DH515" i="3"/>
  <c r="DI515" i="3"/>
  <c r="DJ515" i="3" s="1"/>
  <c r="DF499" i="3"/>
  <c r="DJ499" i="3" s="1"/>
  <c r="DG499" i="3"/>
  <c r="DH499" i="3"/>
  <c r="DI499" i="3"/>
  <c r="DF483" i="3"/>
  <c r="DJ483" i="3" s="1"/>
  <c r="DG483" i="3"/>
  <c r="DH483" i="3"/>
  <c r="DI483" i="3"/>
  <c r="DF458" i="3"/>
  <c r="DJ458" i="3" s="1"/>
  <c r="DG458" i="3"/>
  <c r="DH458" i="3"/>
  <c r="DI458" i="3"/>
  <c r="DG688" i="3"/>
  <c r="DG684" i="3"/>
  <c r="DG680" i="3"/>
  <c r="DG676" i="3"/>
  <c r="DG672" i="3"/>
  <c r="DH671" i="3"/>
  <c r="DG666" i="3"/>
  <c r="DH661" i="3"/>
  <c r="DH660" i="3"/>
  <c r="DI655" i="3"/>
  <c r="DG650" i="3"/>
  <c r="DH645" i="3"/>
  <c r="DH644" i="3"/>
  <c r="DI639" i="3"/>
  <c r="DG634" i="3"/>
  <c r="DH629" i="3"/>
  <c r="DH628" i="3"/>
  <c r="DI623" i="3"/>
  <c r="DG618" i="3"/>
  <c r="DH613" i="3"/>
  <c r="DH612" i="3"/>
  <c r="DI607" i="3"/>
  <c r="DG602" i="3"/>
  <c r="DI598" i="3"/>
  <c r="DF598" i="3"/>
  <c r="DI594" i="3"/>
  <c r="DF594" i="3"/>
  <c r="DI590" i="3"/>
  <c r="DF590" i="3"/>
  <c r="DJ590" i="3" s="1"/>
  <c r="DF575" i="3"/>
  <c r="DH575" i="3"/>
  <c r="DI575" i="3"/>
  <c r="DJ575" i="3" s="1"/>
  <c r="DG574" i="3"/>
  <c r="DI574" i="3"/>
  <c r="DF574" i="3"/>
  <c r="DJ574" i="3" s="1"/>
  <c r="DF559" i="3"/>
  <c r="DJ559" i="3" s="1"/>
  <c r="DH559" i="3"/>
  <c r="DI559" i="3"/>
  <c r="DG558" i="3"/>
  <c r="DI558" i="3"/>
  <c r="DF558" i="3"/>
  <c r="DJ558" i="3" s="1"/>
  <c r="DF555" i="3"/>
  <c r="DJ555" i="3" s="1"/>
  <c r="DG555" i="3"/>
  <c r="DH555" i="3"/>
  <c r="DI555" i="3"/>
  <c r="DF551" i="3"/>
  <c r="DG551" i="3"/>
  <c r="DJ551" i="3" s="1"/>
  <c r="DH551" i="3"/>
  <c r="DI551" i="3"/>
  <c r="DI520" i="3"/>
  <c r="DF520" i="3"/>
  <c r="DG520" i="3"/>
  <c r="DJ520" i="3" s="1"/>
  <c r="DH520" i="3"/>
  <c r="DI459" i="3"/>
  <c r="DJ459" i="3" s="1"/>
  <c r="DF459" i="3"/>
  <c r="DG459" i="3"/>
  <c r="DH459" i="3"/>
  <c r="DI667" i="3"/>
  <c r="DJ667" i="3" s="1"/>
  <c r="DF666" i="3"/>
  <c r="DJ666" i="3" s="1"/>
  <c r="DG662" i="3"/>
  <c r="DG661" i="3"/>
  <c r="DF660" i="3"/>
  <c r="DJ660" i="3" s="1"/>
  <c r="DH657" i="3"/>
  <c r="DH656" i="3"/>
  <c r="DG655" i="3"/>
  <c r="DI651" i="3"/>
  <c r="DJ651" i="3" s="1"/>
  <c r="DF650" i="3"/>
  <c r="DJ650" i="3" s="1"/>
  <c r="DG646" i="3"/>
  <c r="DG645" i="3"/>
  <c r="DF644" i="3"/>
  <c r="DJ644" i="3" s="1"/>
  <c r="DH641" i="3"/>
  <c r="DH640" i="3"/>
  <c r="DG639" i="3"/>
  <c r="DI635" i="3"/>
  <c r="DF634" i="3"/>
  <c r="DJ634" i="3" s="1"/>
  <c r="DG630" i="3"/>
  <c r="DJ630" i="3" s="1"/>
  <c r="DG629" i="3"/>
  <c r="DJ629" i="3" s="1"/>
  <c r="DF628" i="3"/>
  <c r="DH625" i="3"/>
  <c r="DH624" i="3"/>
  <c r="DG623" i="3"/>
  <c r="DI619" i="3"/>
  <c r="DF618" i="3"/>
  <c r="DJ618" i="3" s="1"/>
  <c r="DG614" i="3"/>
  <c r="DJ614" i="3" s="1"/>
  <c r="DG613" i="3"/>
  <c r="DJ613" i="3" s="1"/>
  <c r="DF612" i="3"/>
  <c r="DH609" i="3"/>
  <c r="DH608" i="3"/>
  <c r="DG607" i="3"/>
  <c r="DI603" i="3"/>
  <c r="DJ603" i="3" s="1"/>
  <c r="DF602" i="3"/>
  <c r="DJ602" i="3" s="1"/>
  <c r="DG599" i="3"/>
  <c r="DJ599" i="3" s="1"/>
  <c r="DH598" i="3"/>
  <c r="DG595" i="3"/>
  <c r="DH594" i="3"/>
  <c r="DG591" i="3"/>
  <c r="DH590" i="3"/>
  <c r="DF587" i="3"/>
  <c r="DH587" i="3"/>
  <c r="DI587" i="3"/>
  <c r="DG586" i="3"/>
  <c r="DJ586" i="3" s="1"/>
  <c r="DI586" i="3"/>
  <c r="DF586" i="3"/>
  <c r="DH578" i="3"/>
  <c r="DF571" i="3"/>
  <c r="DJ571" i="3" s="1"/>
  <c r="DH571" i="3"/>
  <c r="DI571" i="3"/>
  <c r="DG570" i="3"/>
  <c r="DI570" i="3"/>
  <c r="DF570" i="3"/>
  <c r="DJ570" i="3" s="1"/>
  <c r="DH562" i="3"/>
  <c r="DI504" i="3"/>
  <c r="DF504" i="3"/>
  <c r="DJ504" i="3" s="1"/>
  <c r="DG504" i="3"/>
  <c r="DH504" i="3"/>
  <c r="DI488" i="3"/>
  <c r="DJ488" i="3" s="1"/>
  <c r="DF488" i="3"/>
  <c r="DG488" i="3"/>
  <c r="DH488" i="3"/>
  <c r="DI472" i="3"/>
  <c r="DF472" i="3"/>
  <c r="DG472" i="3"/>
  <c r="DJ472" i="3" s="1"/>
  <c r="DH472" i="3"/>
  <c r="DG589" i="3"/>
  <c r="DG585" i="3"/>
  <c r="DG581" i="3"/>
  <c r="DJ581" i="3" s="1"/>
  <c r="DG577" i="3"/>
  <c r="DG573" i="3"/>
  <c r="DG569" i="3"/>
  <c r="DG565" i="3"/>
  <c r="DJ565" i="3" s="1"/>
  <c r="DG561" i="3"/>
  <c r="DJ561" i="3" s="1"/>
  <c r="DG557" i="3"/>
  <c r="DF554" i="3"/>
  <c r="DJ554" i="3" s="1"/>
  <c r="DG553" i="3"/>
  <c r="DF550" i="3"/>
  <c r="DG549" i="3"/>
  <c r="DJ549" i="3" s="1"/>
  <c r="DF546" i="3"/>
  <c r="DG545" i="3"/>
  <c r="DF542" i="3"/>
  <c r="DJ542" i="3" s="1"/>
  <c r="DG541" i="3"/>
  <c r="DF538" i="3"/>
  <c r="DJ538" i="3" s="1"/>
  <c r="DG537" i="3"/>
  <c r="DF534" i="3"/>
  <c r="DG533" i="3"/>
  <c r="DJ533" i="3" s="1"/>
  <c r="DF530" i="3"/>
  <c r="DG529" i="3"/>
  <c r="DF526" i="3"/>
  <c r="DJ526" i="3" s="1"/>
  <c r="DG525" i="3"/>
  <c r="DF522" i="3"/>
  <c r="DJ522" i="3" s="1"/>
  <c r="DG521" i="3"/>
  <c r="DI517" i="3"/>
  <c r="DF516" i="3"/>
  <c r="DG512" i="3"/>
  <c r="DG511" i="3"/>
  <c r="DJ511" i="3" s="1"/>
  <c r="DF510" i="3"/>
  <c r="DH507" i="3"/>
  <c r="DH506" i="3"/>
  <c r="DG505" i="3"/>
  <c r="DI501" i="3"/>
  <c r="DF500" i="3"/>
  <c r="DJ500" i="3" s="1"/>
  <c r="DG496" i="3"/>
  <c r="DG495" i="3"/>
  <c r="DF494" i="3"/>
  <c r="DH491" i="3"/>
  <c r="DH490" i="3"/>
  <c r="DG489" i="3"/>
  <c r="DJ489" i="3" s="1"/>
  <c r="DI485" i="3"/>
  <c r="DF484" i="3"/>
  <c r="DJ484" i="3" s="1"/>
  <c r="DG480" i="3"/>
  <c r="DG479" i="3"/>
  <c r="DF478" i="3"/>
  <c r="DJ478" i="3" s="1"/>
  <c r="DH475" i="3"/>
  <c r="DH474" i="3"/>
  <c r="DG473" i="3"/>
  <c r="DJ473" i="3" s="1"/>
  <c r="DI469" i="3"/>
  <c r="DH468" i="3"/>
  <c r="DI468" i="3"/>
  <c r="DI466" i="3"/>
  <c r="DG464" i="3"/>
  <c r="DH463" i="3"/>
  <c r="DH460" i="3"/>
  <c r="DI460" i="3"/>
  <c r="DH444" i="3"/>
  <c r="DF444" i="3"/>
  <c r="DG444" i="3"/>
  <c r="DJ444" i="3" s="1"/>
  <c r="DI444" i="3"/>
  <c r="DG437" i="3"/>
  <c r="DI437" i="3"/>
  <c r="DF437" i="3"/>
  <c r="DJ437" i="3" s="1"/>
  <c r="DH437" i="3"/>
  <c r="DF430" i="3"/>
  <c r="DH430" i="3"/>
  <c r="DG430" i="3"/>
  <c r="DJ430" i="3" s="1"/>
  <c r="DI430" i="3"/>
  <c r="DH428" i="3"/>
  <c r="DF428" i="3"/>
  <c r="DJ428" i="3" s="1"/>
  <c r="DG428" i="3"/>
  <c r="DI428" i="3"/>
  <c r="DG421" i="3"/>
  <c r="DJ421" i="3" s="1"/>
  <c r="DI421" i="3"/>
  <c r="DF421" i="3"/>
  <c r="DH421" i="3"/>
  <c r="DF414" i="3"/>
  <c r="DH414" i="3"/>
  <c r="DG414" i="3"/>
  <c r="DJ414" i="3" s="1"/>
  <c r="DI414" i="3"/>
  <c r="DH412" i="3"/>
  <c r="DF412" i="3"/>
  <c r="DG412" i="3"/>
  <c r="DJ412" i="3" s="1"/>
  <c r="DI412" i="3"/>
  <c r="DG405" i="3"/>
  <c r="DI405" i="3"/>
  <c r="DF405" i="3"/>
  <c r="DJ405" i="3" s="1"/>
  <c r="DH405" i="3"/>
  <c r="DF398" i="3"/>
  <c r="DH398" i="3"/>
  <c r="DG398" i="3"/>
  <c r="DI398" i="3"/>
  <c r="DJ398" i="3" s="1"/>
  <c r="DH396" i="3"/>
  <c r="DF396" i="3"/>
  <c r="DJ396" i="3" s="1"/>
  <c r="DG396" i="3"/>
  <c r="DI396" i="3"/>
  <c r="DG389" i="3"/>
  <c r="DI389" i="3"/>
  <c r="DF389" i="3"/>
  <c r="DJ389" i="3" s="1"/>
  <c r="DH389" i="3"/>
  <c r="DF382" i="3"/>
  <c r="DJ382" i="3" s="1"/>
  <c r="DH382" i="3"/>
  <c r="DG382" i="3"/>
  <c r="DI382" i="3"/>
  <c r="DF364" i="3"/>
  <c r="DG364" i="3"/>
  <c r="DH364" i="3"/>
  <c r="DI364" i="3"/>
  <c r="DJ364" i="3" s="1"/>
  <c r="DG331" i="3"/>
  <c r="DF331" i="3"/>
  <c r="DJ331" i="3" s="1"/>
  <c r="DH331" i="3"/>
  <c r="DI331" i="3"/>
  <c r="DF281" i="3"/>
  <c r="DG281" i="3"/>
  <c r="DH281" i="3"/>
  <c r="DI281" i="3"/>
  <c r="DJ281" i="3" s="1"/>
  <c r="DI554" i="3"/>
  <c r="DI550" i="3"/>
  <c r="DI546" i="3"/>
  <c r="DI542" i="3"/>
  <c r="DI538" i="3"/>
  <c r="DI534" i="3"/>
  <c r="DI530" i="3"/>
  <c r="DJ530" i="3" s="1"/>
  <c r="DI526" i="3"/>
  <c r="DI522" i="3"/>
  <c r="DF521" i="3"/>
  <c r="DJ521" i="3" s="1"/>
  <c r="DH519" i="3"/>
  <c r="DH518" i="3"/>
  <c r="DG517" i="3"/>
  <c r="DJ517" i="3" s="1"/>
  <c r="DI513" i="3"/>
  <c r="DF512" i="3"/>
  <c r="DJ512" i="3" s="1"/>
  <c r="DG508" i="3"/>
  <c r="DG507" i="3"/>
  <c r="DF506" i="3"/>
  <c r="DF505" i="3"/>
  <c r="DH503" i="3"/>
  <c r="DH502" i="3"/>
  <c r="DG501" i="3"/>
  <c r="DI497" i="3"/>
  <c r="DF496" i="3"/>
  <c r="DJ496" i="3" s="1"/>
  <c r="DG492" i="3"/>
  <c r="DJ492" i="3" s="1"/>
  <c r="DG491" i="3"/>
  <c r="DJ491" i="3" s="1"/>
  <c r="DF490" i="3"/>
  <c r="DF489" i="3"/>
  <c r="DH487" i="3"/>
  <c r="DH486" i="3"/>
  <c r="DG485" i="3"/>
  <c r="DI481" i="3"/>
  <c r="DF480" i="3"/>
  <c r="DJ480" i="3" s="1"/>
  <c r="DG476" i="3"/>
  <c r="DJ476" i="3" s="1"/>
  <c r="DG475" i="3"/>
  <c r="DJ475" i="3" s="1"/>
  <c r="DF474" i="3"/>
  <c r="DF473" i="3"/>
  <c r="DH471" i="3"/>
  <c r="DH470" i="3"/>
  <c r="DG469" i="3"/>
  <c r="DG465" i="3"/>
  <c r="DH465" i="3"/>
  <c r="DF462" i="3"/>
  <c r="DG462" i="3"/>
  <c r="DJ462" i="3" s="1"/>
  <c r="DG457" i="3"/>
  <c r="DF457" i="3"/>
  <c r="DJ457" i="3" s="1"/>
  <c r="DF450" i="3"/>
  <c r="DG450" i="3"/>
  <c r="DJ450" i="3" s="1"/>
  <c r="DH450" i="3"/>
  <c r="DI450" i="3"/>
  <c r="DI345" i="3"/>
  <c r="DG345" i="3"/>
  <c r="DH345" i="3"/>
  <c r="DF345" i="3"/>
  <c r="DJ345" i="3" s="1"/>
  <c r="DH464" i="3"/>
  <c r="DI464" i="3"/>
  <c r="DI455" i="3"/>
  <c r="DG455" i="3"/>
  <c r="DJ455" i="3" s="1"/>
  <c r="DH455" i="3"/>
  <c r="DF454" i="3"/>
  <c r="DG454" i="3"/>
  <c r="DJ454" i="3" s="1"/>
  <c r="DH454" i="3"/>
  <c r="DI451" i="3"/>
  <c r="DG451" i="3"/>
  <c r="DH451" i="3"/>
  <c r="DI435" i="3"/>
  <c r="DG435" i="3"/>
  <c r="DJ435" i="3" s="1"/>
  <c r="DF435" i="3"/>
  <c r="DH435" i="3"/>
  <c r="DI419" i="3"/>
  <c r="DJ419" i="3" s="1"/>
  <c r="DG419" i="3"/>
  <c r="DF419" i="3"/>
  <c r="DH419" i="3"/>
  <c r="DI403" i="3"/>
  <c r="DJ403" i="3" s="1"/>
  <c r="DG403" i="3"/>
  <c r="DF403" i="3"/>
  <c r="DH403" i="3"/>
  <c r="DI387" i="3"/>
  <c r="DG387" i="3"/>
  <c r="DF387" i="3"/>
  <c r="DJ387" i="3" s="1"/>
  <c r="DH387" i="3"/>
  <c r="DI381" i="3"/>
  <c r="DF381" i="3"/>
  <c r="DJ381" i="3" s="1"/>
  <c r="DH381" i="3"/>
  <c r="DG381" i="3"/>
  <c r="DI369" i="3"/>
  <c r="DG369" i="3"/>
  <c r="DF369" i="3"/>
  <c r="DJ369" i="3" s="1"/>
  <c r="DH369" i="3"/>
  <c r="DF348" i="3"/>
  <c r="DJ348" i="3" s="1"/>
  <c r="DG348" i="3"/>
  <c r="DH348" i="3"/>
  <c r="DI348" i="3"/>
  <c r="DF297" i="3"/>
  <c r="DJ297" i="3" s="1"/>
  <c r="DG297" i="3"/>
  <c r="DI297" i="3"/>
  <c r="DH297" i="3"/>
  <c r="DG516" i="3"/>
  <c r="DJ516" i="3" s="1"/>
  <c r="DH511" i="3"/>
  <c r="DH510" i="3"/>
  <c r="DI505" i="3"/>
  <c r="DJ505" i="3" s="1"/>
  <c r="DG500" i="3"/>
  <c r="DH495" i="3"/>
  <c r="DH494" i="3"/>
  <c r="DI489" i="3"/>
  <c r="DG484" i="3"/>
  <c r="DH479" i="3"/>
  <c r="DH478" i="3"/>
  <c r="DI473" i="3"/>
  <c r="DF466" i="3"/>
  <c r="DG466" i="3"/>
  <c r="DJ466" i="3" s="1"/>
  <c r="DI463" i="3"/>
  <c r="DF463" i="3"/>
  <c r="DJ463" i="3" s="1"/>
  <c r="DG461" i="3"/>
  <c r="DJ461" i="3" s="1"/>
  <c r="DH461" i="3"/>
  <c r="DF460" i="3"/>
  <c r="DG453" i="3"/>
  <c r="DF453" i="3"/>
  <c r="DH453" i="3"/>
  <c r="DH448" i="3"/>
  <c r="DF448" i="3"/>
  <c r="DG448" i="3"/>
  <c r="DJ448" i="3" s="1"/>
  <c r="DI448" i="3"/>
  <c r="DI447" i="3"/>
  <c r="DJ447" i="3" s="1"/>
  <c r="DH447" i="3"/>
  <c r="DF447" i="3"/>
  <c r="DF446" i="3"/>
  <c r="DJ446" i="3" s="1"/>
  <c r="DH446" i="3"/>
  <c r="DI446" i="3"/>
  <c r="DI361" i="3"/>
  <c r="DG361" i="3"/>
  <c r="DH361" i="3"/>
  <c r="DF361" i="3"/>
  <c r="DJ361" i="3" s="1"/>
  <c r="DF456" i="3"/>
  <c r="DG452" i="3"/>
  <c r="DI442" i="3"/>
  <c r="DG441" i="3"/>
  <c r="DJ441" i="3" s="1"/>
  <c r="DI441" i="3"/>
  <c r="DI439" i="3"/>
  <c r="DG439" i="3"/>
  <c r="DJ439" i="3" s="1"/>
  <c r="DF434" i="3"/>
  <c r="DH434" i="3"/>
  <c r="DH432" i="3"/>
  <c r="DF432" i="3"/>
  <c r="DI426" i="3"/>
  <c r="DG425" i="3"/>
  <c r="DJ425" i="3" s="1"/>
  <c r="DI425" i="3"/>
  <c r="DI423" i="3"/>
  <c r="DG423" i="3"/>
  <c r="DF418" i="3"/>
  <c r="DH418" i="3"/>
  <c r="DH416" i="3"/>
  <c r="DF416" i="3"/>
  <c r="DI410" i="3"/>
  <c r="DG409" i="3"/>
  <c r="DI409" i="3"/>
  <c r="DI407" i="3"/>
  <c r="DJ407" i="3" s="1"/>
  <c r="DG407" i="3"/>
  <c r="DF402" i="3"/>
  <c r="DJ402" i="3" s="1"/>
  <c r="DH402" i="3"/>
  <c r="DH400" i="3"/>
  <c r="DF400" i="3"/>
  <c r="DJ400" i="3" s="1"/>
  <c r="DI394" i="3"/>
  <c r="DG393" i="3"/>
  <c r="DI393" i="3"/>
  <c r="DJ393" i="3" s="1"/>
  <c r="DI391" i="3"/>
  <c r="DG391" i="3"/>
  <c r="DF386" i="3"/>
  <c r="DH386" i="3"/>
  <c r="DH384" i="3"/>
  <c r="DF384" i="3"/>
  <c r="DF380" i="3"/>
  <c r="DJ380" i="3" s="1"/>
  <c r="DH380" i="3"/>
  <c r="DI377" i="3"/>
  <c r="DG377" i="3"/>
  <c r="DH374" i="3"/>
  <c r="DF374" i="3"/>
  <c r="DI374" i="3"/>
  <c r="DG371" i="3"/>
  <c r="DH371" i="3"/>
  <c r="DF368" i="3"/>
  <c r="DI368" i="3"/>
  <c r="DG368" i="3"/>
  <c r="DJ368" i="3" s="1"/>
  <c r="DG363" i="3"/>
  <c r="DF363" i="3"/>
  <c r="DJ363" i="3" s="1"/>
  <c r="DH363" i="3"/>
  <c r="DG347" i="3"/>
  <c r="DF347" i="3"/>
  <c r="DJ347" i="3" s="1"/>
  <c r="DH347" i="3"/>
  <c r="DI337" i="3"/>
  <c r="DF337" i="3"/>
  <c r="DJ337" i="3" s="1"/>
  <c r="DG337" i="3"/>
  <c r="DI318" i="3"/>
  <c r="DH318" i="3"/>
  <c r="DF318" i="3"/>
  <c r="DG318" i="3"/>
  <c r="DJ318" i="3" s="1"/>
  <c r="DI310" i="3"/>
  <c r="DH310" i="3"/>
  <c r="DF310" i="3"/>
  <c r="DJ310" i="3" s="1"/>
  <c r="DG310" i="3"/>
  <c r="DF285" i="3"/>
  <c r="DJ285" i="3" s="1"/>
  <c r="DG285" i="3"/>
  <c r="DI285" i="3"/>
  <c r="DH285" i="3"/>
  <c r="DF452" i="3"/>
  <c r="DJ452" i="3" s="1"/>
  <c r="DI443" i="3"/>
  <c r="DG443" i="3"/>
  <c r="DJ443" i="3" s="1"/>
  <c r="DF438" i="3"/>
  <c r="DH438" i="3"/>
  <c r="DH436" i="3"/>
  <c r="DF436" i="3"/>
  <c r="DJ436" i="3" s="1"/>
  <c r="DG429" i="3"/>
  <c r="DI429" i="3"/>
  <c r="DJ429" i="3" s="1"/>
  <c r="DI427" i="3"/>
  <c r="DG427" i="3"/>
  <c r="DJ427" i="3" s="1"/>
  <c r="DF422" i="3"/>
  <c r="DH422" i="3"/>
  <c r="DH420" i="3"/>
  <c r="DF420" i="3"/>
  <c r="DG413" i="3"/>
  <c r="DJ413" i="3" s="1"/>
  <c r="DI413" i="3"/>
  <c r="DI411" i="3"/>
  <c r="DG411" i="3"/>
  <c r="DJ411" i="3" s="1"/>
  <c r="DF406" i="3"/>
  <c r="DJ406" i="3" s="1"/>
  <c r="DH406" i="3"/>
  <c r="DH404" i="3"/>
  <c r="DF404" i="3"/>
  <c r="DG397" i="3"/>
  <c r="DI397" i="3"/>
  <c r="DI395" i="3"/>
  <c r="DG395" i="3"/>
  <c r="DF390" i="3"/>
  <c r="DJ390" i="3" s="1"/>
  <c r="DH390" i="3"/>
  <c r="DH388" i="3"/>
  <c r="DF388" i="3"/>
  <c r="DJ388" i="3" s="1"/>
  <c r="DF376" i="3"/>
  <c r="DG376" i="3"/>
  <c r="DJ376" i="3" s="1"/>
  <c r="DI376" i="3"/>
  <c r="DI373" i="3"/>
  <c r="DJ373" i="3" s="1"/>
  <c r="DH373" i="3"/>
  <c r="DF373" i="3"/>
  <c r="DI353" i="3"/>
  <c r="DF353" i="3"/>
  <c r="DJ353" i="3" s="1"/>
  <c r="DG353" i="3"/>
  <c r="DF336" i="3"/>
  <c r="DI336" i="3"/>
  <c r="DG336" i="3"/>
  <c r="DJ336" i="3" s="1"/>
  <c r="DH326" i="3"/>
  <c r="DF326" i="3"/>
  <c r="DG326" i="3"/>
  <c r="DJ326" i="3" s="1"/>
  <c r="DI326" i="3"/>
  <c r="DI325" i="3"/>
  <c r="DH325" i="3"/>
  <c r="DF325" i="3"/>
  <c r="DF324" i="3"/>
  <c r="DH324" i="3"/>
  <c r="DI324" i="3"/>
  <c r="DI302" i="3"/>
  <c r="DJ302" i="3" s="1"/>
  <c r="DH302" i="3"/>
  <c r="DF302" i="3"/>
  <c r="DG302" i="3"/>
  <c r="DF293" i="3"/>
  <c r="DH293" i="3"/>
  <c r="DG293" i="3"/>
  <c r="DI293" i="3"/>
  <c r="DJ293" i="3" s="1"/>
  <c r="DF442" i="3"/>
  <c r="DH442" i="3"/>
  <c r="DH440" i="3"/>
  <c r="DF440" i="3"/>
  <c r="DG433" i="3"/>
  <c r="DJ433" i="3" s="1"/>
  <c r="DI433" i="3"/>
  <c r="DI431" i="3"/>
  <c r="DG431" i="3"/>
  <c r="DJ431" i="3" s="1"/>
  <c r="DF426" i="3"/>
  <c r="DH426" i="3"/>
  <c r="DH424" i="3"/>
  <c r="DF424" i="3"/>
  <c r="DG417" i="3"/>
  <c r="DJ417" i="3" s="1"/>
  <c r="DI417" i="3"/>
  <c r="DI415" i="3"/>
  <c r="DG415" i="3"/>
  <c r="DJ415" i="3" s="1"/>
  <c r="DF410" i="3"/>
  <c r="DJ410" i="3" s="1"/>
  <c r="DH410" i="3"/>
  <c r="DH408" i="3"/>
  <c r="DF408" i="3"/>
  <c r="DG401" i="3"/>
  <c r="DI401" i="3"/>
  <c r="DI399" i="3"/>
  <c r="DG399" i="3"/>
  <c r="DF394" i="3"/>
  <c r="DJ394" i="3" s="1"/>
  <c r="DH394" i="3"/>
  <c r="DH392" i="3"/>
  <c r="DF392" i="3"/>
  <c r="DJ392" i="3" s="1"/>
  <c r="DG385" i="3"/>
  <c r="DJ385" i="3" s="1"/>
  <c r="DI385" i="3"/>
  <c r="DI383" i="3"/>
  <c r="DJ383" i="3" s="1"/>
  <c r="DG383" i="3"/>
  <c r="DG379" i="3"/>
  <c r="DH379" i="3"/>
  <c r="DF372" i="3"/>
  <c r="DJ372" i="3" s="1"/>
  <c r="DH372" i="3"/>
  <c r="DH358" i="3"/>
  <c r="DF358" i="3"/>
  <c r="DG358" i="3"/>
  <c r="DJ358" i="3" s="1"/>
  <c r="DI358" i="3"/>
  <c r="DI357" i="3"/>
  <c r="DH357" i="3"/>
  <c r="DF357" i="3"/>
  <c r="DF356" i="3"/>
  <c r="DH356" i="3"/>
  <c r="DI356" i="3"/>
  <c r="DF352" i="3"/>
  <c r="DJ352" i="3" s="1"/>
  <c r="DI352" i="3"/>
  <c r="DG352" i="3"/>
  <c r="DH342" i="3"/>
  <c r="DF342" i="3"/>
  <c r="DJ342" i="3" s="1"/>
  <c r="DG342" i="3"/>
  <c r="DI342" i="3"/>
  <c r="DI341" i="3"/>
  <c r="DH341" i="3"/>
  <c r="DF341" i="3"/>
  <c r="DJ341" i="3" s="1"/>
  <c r="DF340" i="3"/>
  <c r="DJ340" i="3" s="1"/>
  <c r="DH340" i="3"/>
  <c r="DI340" i="3"/>
  <c r="DF332" i="3"/>
  <c r="DJ332" i="3" s="1"/>
  <c r="DG332" i="3"/>
  <c r="DH332" i="3"/>
  <c r="DI329" i="3"/>
  <c r="DG329" i="3"/>
  <c r="DH329" i="3"/>
  <c r="DI322" i="3"/>
  <c r="DH322" i="3"/>
  <c r="DF322" i="3"/>
  <c r="DJ322" i="3" s="1"/>
  <c r="DG322" i="3"/>
  <c r="DI314" i="3"/>
  <c r="DH314" i="3"/>
  <c r="DF314" i="3"/>
  <c r="DJ314" i="3" s="1"/>
  <c r="DG314" i="3"/>
  <c r="DI306" i="3"/>
  <c r="DH306" i="3"/>
  <c r="DF306" i="3"/>
  <c r="DJ306" i="3" s="1"/>
  <c r="DG306" i="3"/>
  <c r="DI298" i="3"/>
  <c r="DG298" i="3"/>
  <c r="DF298" i="3"/>
  <c r="DJ298" i="3" s="1"/>
  <c r="DH298" i="3"/>
  <c r="DG296" i="3"/>
  <c r="DF296" i="3"/>
  <c r="DJ296" i="3" s="1"/>
  <c r="DH296" i="3"/>
  <c r="DI296" i="3"/>
  <c r="DG378" i="3"/>
  <c r="DF367" i="3"/>
  <c r="DG362" i="3"/>
  <c r="DF351" i="3"/>
  <c r="DJ351" i="3" s="1"/>
  <c r="DG346" i="3"/>
  <c r="DF335" i="3"/>
  <c r="DG330" i="3"/>
  <c r="DF321" i="3"/>
  <c r="DJ321" i="3" s="1"/>
  <c r="DI321" i="3"/>
  <c r="DF317" i="3"/>
  <c r="DI317" i="3"/>
  <c r="DJ317" i="3" s="1"/>
  <c r="DF313" i="3"/>
  <c r="DJ313" i="3" s="1"/>
  <c r="DI313" i="3"/>
  <c r="DF309" i="3"/>
  <c r="DJ309" i="3" s="1"/>
  <c r="DI309" i="3"/>
  <c r="DF305" i="3"/>
  <c r="DJ305" i="3" s="1"/>
  <c r="DI305" i="3"/>
  <c r="DF301" i="3"/>
  <c r="DJ301" i="3" s="1"/>
  <c r="DI301" i="3"/>
  <c r="DG290" i="3"/>
  <c r="DG280" i="3"/>
  <c r="DF280" i="3"/>
  <c r="DJ280" i="3" s="1"/>
  <c r="DH280" i="3"/>
  <c r="DH275" i="3"/>
  <c r="DI275" i="3"/>
  <c r="DG275" i="3"/>
  <c r="DJ275" i="3" s="1"/>
  <c r="DF275" i="3"/>
  <c r="DH267" i="3"/>
  <c r="DI267" i="3"/>
  <c r="DG267" i="3"/>
  <c r="DJ267" i="3" s="1"/>
  <c r="DF267" i="3"/>
  <c r="DH255" i="3"/>
  <c r="DI255" i="3"/>
  <c r="DJ255" i="3" s="1"/>
  <c r="DG255" i="3"/>
  <c r="DF255" i="3"/>
  <c r="DH247" i="3"/>
  <c r="DI247" i="3"/>
  <c r="DG247" i="3"/>
  <c r="DF247" i="3"/>
  <c r="DJ247" i="3" s="1"/>
  <c r="DH239" i="3"/>
  <c r="DI239" i="3"/>
  <c r="DJ239" i="3" s="1"/>
  <c r="DG239" i="3"/>
  <c r="DF239" i="3"/>
  <c r="DH231" i="3"/>
  <c r="DI231" i="3"/>
  <c r="DG231" i="3"/>
  <c r="DF231" i="3"/>
  <c r="DJ231" i="3" s="1"/>
  <c r="DG218" i="3"/>
  <c r="DJ218" i="3" s="1"/>
  <c r="DI218" i="3"/>
  <c r="DF218" i="3"/>
  <c r="DH218" i="3"/>
  <c r="DI166" i="3"/>
  <c r="DF166" i="3"/>
  <c r="DJ166" i="3" s="1"/>
  <c r="DG166" i="3"/>
  <c r="DH166" i="3"/>
  <c r="DG365" i="3"/>
  <c r="DJ365" i="3" s="1"/>
  <c r="DF362" i="3"/>
  <c r="DJ362" i="3" s="1"/>
  <c r="DH360" i="3"/>
  <c r="DH359" i="3"/>
  <c r="DI354" i="3"/>
  <c r="DG349" i="3"/>
  <c r="DF346" i="3"/>
  <c r="DJ346" i="3" s="1"/>
  <c r="DH344" i="3"/>
  <c r="DH343" i="3"/>
  <c r="DI338" i="3"/>
  <c r="DG333" i="3"/>
  <c r="DF330" i="3"/>
  <c r="DJ330" i="3" s="1"/>
  <c r="DH328" i="3"/>
  <c r="DH327" i="3"/>
  <c r="DH321" i="3"/>
  <c r="DH317" i="3"/>
  <c r="DH313" i="3"/>
  <c r="DH309" i="3"/>
  <c r="DH305" i="3"/>
  <c r="DH301" i="3"/>
  <c r="DG292" i="3"/>
  <c r="DH292" i="3"/>
  <c r="DF292" i="3"/>
  <c r="DJ292" i="3" s="1"/>
  <c r="DH259" i="3"/>
  <c r="DI259" i="3"/>
  <c r="DG259" i="3"/>
  <c r="DF259" i="3"/>
  <c r="DJ259" i="3" s="1"/>
  <c r="DF219" i="3"/>
  <c r="DH219" i="3"/>
  <c r="DI219" i="3"/>
  <c r="DG219" i="3"/>
  <c r="DJ219" i="3" s="1"/>
  <c r="DG320" i="3"/>
  <c r="DF320" i="3"/>
  <c r="DJ320" i="3" s="1"/>
  <c r="DG316" i="3"/>
  <c r="DF316" i="3"/>
  <c r="DJ316" i="3" s="1"/>
  <c r="DG312" i="3"/>
  <c r="DJ312" i="3" s="1"/>
  <c r="DF312" i="3"/>
  <c r="DG308" i="3"/>
  <c r="DF308" i="3"/>
  <c r="DJ308" i="3" s="1"/>
  <c r="DG304" i="3"/>
  <c r="DF304" i="3"/>
  <c r="DJ304" i="3" s="1"/>
  <c r="DH291" i="3"/>
  <c r="DG291" i="3"/>
  <c r="DF291" i="3"/>
  <c r="DJ291" i="3" s="1"/>
  <c r="DI290" i="3"/>
  <c r="DH290" i="3"/>
  <c r="DH287" i="3"/>
  <c r="DI287" i="3"/>
  <c r="DJ287" i="3" s="1"/>
  <c r="DG287" i="3"/>
  <c r="DI286" i="3"/>
  <c r="DF286" i="3"/>
  <c r="DJ286" i="3" s="1"/>
  <c r="DG286" i="3"/>
  <c r="DH271" i="3"/>
  <c r="DI271" i="3"/>
  <c r="DG271" i="3"/>
  <c r="DF271" i="3"/>
  <c r="DJ271" i="3" s="1"/>
  <c r="DH263" i="3"/>
  <c r="DI263" i="3"/>
  <c r="DG263" i="3"/>
  <c r="DF263" i="3"/>
  <c r="DJ263" i="3" s="1"/>
  <c r="DH251" i="3"/>
  <c r="DI251" i="3"/>
  <c r="DJ251" i="3" s="1"/>
  <c r="DG251" i="3"/>
  <c r="DF251" i="3"/>
  <c r="DH243" i="3"/>
  <c r="DI243" i="3"/>
  <c r="DG243" i="3"/>
  <c r="DF243" i="3"/>
  <c r="DJ243" i="3" s="1"/>
  <c r="DH235" i="3"/>
  <c r="DI235" i="3"/>
  <c r="DG235" i="3"/>
  <c r="DJ235" i="3" s="1"/>
  <c r="DF235" i="3"/>
  <c r="DI299" i="3"/>
  <c r="DG294" i="3"/>
  <c r="DJ294" i="3" s="1"/>
  <c r="DH289" i="3"/>
  <c r="DH288" i="3"/>
  <c r="DI283" i="3"/>
  <c r="DF282" i="3"/>
  <c r="DF277" i="3"/>
  <c r="DJ277" i="3" s="1"/>
  <c r="DG277" i="3"/>
  <c r="DF273" i="3"/>
  <c r="DG273" i="3"/>
  <c r="DF269" i="3"/>
  <c r="DJ269" i="3" s="1"/>
  <c r="DG269" i="3"/>
  <c r="DF265" i="3"/>
  <c r="DG265" i="3"/>
  <c r="DF261" i="3"/>
  <c r="DG261" i="3"/>
  <c r="DJ261" i="3" s="1"/>
  <c r="DF257" i="3"/>
  <c r="DJ257" i="3" s="1"/>
  <c r="DG257" i="3"/>
  <c r="DF253" i="3"/>
  <c r="DG253" i="3"/>
  <c r="DF249" i="3"/>
  <c r="DJ249" i="3" s="1"/>
  <c r="DG249" i="3"/>
  <c r="DF245" i="3"/>
  <c r="DG245" i="3"/>
  <c r="DF241" i="3"/>
  <c r="DJ241" i="3" s="1"/>
  <c r="DG241" i="3"/>
  <c r="DF237" i="3"/>
  <c r="DJ237" i="3" s="1"/>
  <c r="DG237" i="3"/>
  <c r="DF233" i="3"/>
  <c r="DG233" i="3"/>
  <c r="DF229" i="3"/>
  <c r="DG229" i="3"/>
  <c r="DJ229" i="3" s="1"/>
  <c r="DF223" i="3"/>
  <c r="DH223" i="3"/>
  <c r="DI223" i="3"/>
  <c r="DG222" i="3"/>
  <c r="DI222" i="3"/>
  <c r="DJ222" i="3" s="1"/>
  <c r="DF222" i="3"/>
  <c r="DF207" i="3"/>
  <c r="DJ207" i="3" s="1"/>
  <c r="DH207" i="3"/>
  <c r="DI207" i="3"/>
  <c r="DG206" i="3"/>
  <c r="DI206" i="3"/>
  <c r="DF206" i="3"/>
  <c r="DJ206" i="3" s="1"/>
  <c r="DF203" i="3"/>
  <c r="DG203" i="3"/>
  <c r="DJ203" i="3" s="1"/>
  <c r="DH203" i="3"/>
  <c r="DI203" i="3"/>
  <c r="DF199" i="3"/>
  <c r="DJ199" i="3" s="1"/>
  <c r="DG199" i="3"/>
  <c r="DH199" i="3"/>
  <c r="DI199" i="3"/>
  <c r="DF195" i="3"/>
  <c r="DJ195" i="3" s="1"/>
  <c r="DG195" i="3"/>
  <c r="DH195" i="3"/>
  <c r="DI195" i="3"/>
  <c r="DF161" i="3"/>
  <c r="DG161" i="3"/>
  <c r="DH161" i="3"/>
  <c r="DI161" i="3"/>
  <c r="DJ161" i="3" s="1"/>
  <c r="DI278" i="3"/>
  <c r="DF278" i="3"/>
  <c r="DJ278" i="3" s="1"/>
  <c r="DI274" i="3"/>
  <c r="DF274" i="3"/>
  <c r="DI270" i="3"/>
  <c r="DF270" i="3"/>
  <c r="DJ270" i="3" s="1"/>
  <c r="DI266" i="3"/>
  <c r="DF266" i="3"/>
  <c r="DI262" i="3"/>
  <c r="DF262" i="3"/>
  <c r="DJ262" i="3" s="1"/>
  <c r="DI258" i="3"/>
  <c r="DF258" i="3"/>
  <c r="DJ258" i="3" s="1"/>
  <c r="DI254" i="3"/>
  <c r="DF254" i="3"/>
  <c r="DJ254" i="3" s="1"/>
  <c r="DI250" i="3"/>
  <c r="DF250" i="3"/>
  <c r="DJ250" i="3" s="1"/>
  <c r="DI246" i="3"/>
  <c r="DF246" i="3"/>
  <c r="DJ246" i="3" s="1"/>
  <c r="DI242" i="3"/>
  <c r="DF242" i="3"/>
  <c r="DJ242" i="3" s="1"/>
  <c r="DI238" i="3"/>
  <c r="DF238" i="3"/>
  <c r="DJ238" i="3" s="1"/>
  <c r="DI234" i="3"/>
  <c r="DF234" i="3"/>
  <c r="DI230" i="3"/>
  <c r="DF230" i="3"/>
  <c r="DJ230" i="3" s="1"/>
  <c r="DF215" i="3"/>
  <c r="DH215" i="3"/>
  <c r="DI215" i="3"/>
  <c r="DG214" i="3"/>
  <c r="DJ214" i="3" s="1"/>
  <c r="DI214" i="3"/>
  <c r="DF214" i="3"/>
  <c r="DG282" i="3"/>
  <c r="DJ282" i="3" s="1"/>
  <c r="DH278" i="3"/>
  <c r="DH274" i="3"/>
  <c r="DH270" i="3"/>
  <c r="DH266" i="3"/>
  <c r="DH262" i="3"/>
  <c r="DH258" i="3"/>
  <c r="DH254" i="3"/>
  <c r="DH250" i="3"/>
  <c r="DH246" i="3"/>
  <c r="DH242" i="3"/>
  <c r="DH238" i="3"/>
  <c r="DH234" i="3"/>
  <c r="DH230" i="3"/>
  <c r="DF227" i="3"/>
  <c r="DH227" i="3"/>
  <c r="DI227" i="3"/>
  <c r="DJ227" i="3" s="1"/>
  <c r="DG226" i="3"/>
  <c r="DI226" i="3"/>
  <c r="DF226" i="3"/>
  <c r="DJ226" i="3" s="1"/>
  <c r="DF211" i="3"/>
  <c r="DH211" i="3"/>
  <c r="DI211" i="3"/>
  <c r="DG210" i="3"/>
  <c r="DJ210" i="3" s="1"/>
  <c r="DI210" i="3"/>
  <c r="DF210" i="3"/>
  <c r="DF191" i="3"/>
  <c r="DG191" i="3"/>
  <c r="DH191" i="3"/>
  <c r="DI191" i="3"/>
  <c r="DJ191" i="3" s="1"/>
  <c r="DF187" i="3"/>
  <c r="DJ187" i="3" s="1"/>
  <c r="DG187" i="3"/>
  <c r="DH187" i="3"/>
  <c r="DI187" i="3"/>
  <c r="DF183" i="3"/>
  <c r="DJ183" i="3" s="1"/>
  <c r="DG183" i="3"/>
  <c r="DH183" i="3"/>
  <c r="DI183" i="3"/>
  <c r="DF179" i="3"/>
  <c r="DG179" i="3"/>
  <c r="DJ179" i="3" s="1"/>
  <c r="DH179" i="3"/>
  <c r="DI179" i="3"/>
  <c r="DF177" i="3"/>
  <c r="DG177" i="3"/>
  <c r="DJ177" i="3" s="1"/>
  <c r="DH177" i="3"/>
  <c r="DI177" i="3"/>
  <c r="DG225" i="3"/>
  <c r="DG221" i="3"/>
  <c r="DG217" i="3"/>
  <c r="DG213" i="3"/>
  <c r="DG209" i="3"/>
  <c r="DG205" i="3"/>
  <c r="DF202" i="3"/>
  <c r="DG201" i="3"/>
  <c r="DJ201" i="3" s="1"/>
  <c r="DF198" i="3"/>
  <c r="DJ198" i="3" s="1"/>
  <c r="DG197" i="3"/>
  <c r="DF194" i="3"/>
  <c r="DG193" i="3"/>
  <c r="DJ193" i="3" s="1"/>
  <c r="DF190" i="3"/>
  <c r="DJ190" i="3" s="1"/>
  <c r="DG189" i="3"/>
  <c r="DF186" i="3"/>
  <c r="DJ186" i="3" s="1"/>
  <c r="DG185" i="3"/>
  <c r="DF182" i="3"/>
  <c r="DJ182" i="3" s="1"/>
  <c r="DG181" i="3"/>
  <c r="DF178" i="3"/>
  <c r="DG174" i="3"/>
  <c r="DG173" i="3"/>
  <c r="DF172" i="3"/>
  <c r="DJ172" i="3" s="1"/>
  <c r="DH169" i="3"/>
  <c r="DH168" i="3"/>
  <c r="DG167" i="3"/>
  <c r="DI163" i="3"/>
  <c r="DF162" i="3"/>
  <c r="DG158" i="3"/>
  <c r="DJ158" i="3" s="1"/>
  <c r="DG157" i="3"/>
  <c r="DJ157" i="3" s="1"/>
  <c r="DI154" i="3"/>
  <c r="DF154" i="3"/>
  <c r="DI150" i="3"/>
  <c r="DF150" i="3"/>
  <c r="DI146" i="3"/>
  <c r="DF146" i="3"/>
  <c r="DI142" i="3"/>
  <c r="DF142" i="3"/>
  <c r="DJ142" i="3" s="1"/>
  <c r="DI138" i="3"/>
  <c r="DF138" i="3"/>
  <c r="DI134" i="3"/>
  <c r="DF134" i="3"/>
  <c r="DJ134" i="3" s="1"/>
  <c r="DI130" i="3"/>
  <c r="DF130" i="3"/>
  <c r="DI126" i="3"/>
  <c r="DF126" i="3"/>
  <c r="DI122" i="3"/>
  <c r="DF122" i="3"/>
  <c r="DJ122" i="3" s="1"/>
  <c r="DI118" i="3"/>
  <c r="DF118" i="3"/>
  <c r="DJ118" i="3" s="1"/>
  <c r="DI114" i="3"/>
  <c r="DF114" i="3"/>
  <c r="DI98" i="3"/>
  <c r="DF98" i="3"/>
  <c r="DH98" i="3"/>
  <c r="DG98" i="3"/>
  <c r="DJ98" i="3" s="1"/>
  <c r="DG96" i="3"/>
  <c r="DH96" i="3"/>
  <c r="DF96" i="3"/>
  <c r="DJ96" i="3" s="1"/>
  <c r="DI96" i="3"/>
  <c r="DI202" i="3"/>
  <c r="DI198" i="3"/>
  <c r="DI194" i="3"/>
  <c r="DI190" i="3"/>
  <c r="DI186" i="3"/>
  <c r="DI182" i="3"/>
  <c r="DI178" i="3"/>
  <c r="DI175" i="3"/>
  <c r="DF174" i="3"/>
  <c r="DJ174" i="3" s="1"/>
  <c r="DG170" i="3"/>
  <c r="DG169" i="3"/>
  <c r="DF168" i="3"/>
  <c r="DJ168" i="3" s="1"/>
  <c r="DF167" i="3"/>
  <c r="DJ167" i="3" s="1"/>
  <c r="DH165" i="3"/>
  <c r="DH164" i="3"/>
  <c r="DG163" i="3"/>
  <c r="DJ163" i="3" s="1"/>
  <c r="DI159" i="3"/>
  <c r="DF158" i="3"/>
  <c r="DH154" i="3"/>
  <c r="DH150" i="3"/>
  <c r="DH146" i="3"/>
  <c r="DH142" i="3"/>
  <c r="DH138" i="3"/>
  <c r="DH134" i="3"/>
  <c r="DH130" i="3"/>
  <c r="DH126" i="3"/>
  <c r="DH122" i="3"/>
  <c r="DH118" i="3"/>
  <c r="DH114" i="3"/>
  <c r="DF111" i="3"/>
  <c r="DH111" i="3"/>
  <c r="DI111" i="3"/>
  <c r="DG110" i="3"/>
  <c r="DJ110" i="3" s="1"/>
  <c r="DI110" i="3"/>
  <c r="DF110" i="3"/>
  <c r="DF89" i="3"/>
  <c r="DJ89" i="3" s="1"/>
  <c r="DG89" i="3"/>
  <c r="DI89" i="3"/>
  <c r="DH89" i="3"/>
  <c r="DF153" i="3"/>
  <c r="DG153" i="3"/>
  <c r="DF149" i="3"/>
  <c r="DG149" i="3"/>
  <c r="DJ149" i="3" s="1"/>
  <c r="DF145" i="3"/>
  <c r="DG145" i="3"/>
  <c r="DF141" i="3"/>
  <c r="DJ141" i="3" s="1"/>
  <c r="DG141" i="3"/>
  <c r="DF137" i="3"/>
  <c r="DG137" i="3"/>
  <c r="DF133" i="3"/>
  <c r="DJ133" i="3" s="1"/>
  <c r="DG133" i="3"/>
  <c r="DF129" i="3"/>
  <c r="DG129" i="3"/>
  <c r="DF125" i="3"/>
  <c r="DG125" i="3"/>
  <c r="DF121" i="3"/>
  <c r="DG121" i="3"/>
  <c r="DF117" i="3"/>
  <c r="DG117" i="3"/>
  <c r="DF113" i="3"/>
  <c r="DG113" i="3"/>
  <c r="DF107" i="3"/>
  <c r="DH107" i="3"/>
  <c r="DI107" i="3"/>
  <c r="DG106" i="3"/>
  <c r="DJ106" i="3" s="1"/>
  <c r="DI106" i="3"/>
  <c r="DF106" i="3"/>
  <c r="DH173" i="3"/>
  <c r="DH172" i="3"/>
  <c r="DI167" i="3"/>
  <c r="DG162" i="3"/>
  <c r="DJ162" i="3" s="1"/>
  <c r="DH157" i="3"/>
  <c r="DH155" i="3"/>
  <c r="DI155" i="3"/>
  <c r="DI153" i="3"/>
  <c r="DJ153" i="3" s="1"/>
  <c r="DH151" i="3"/>
  <c r="DI151" i="3"/>
  <c r="DI149" i="3"/>
  <c r="DH147" i="3"/>
  <c r="DI147" i="3"/>
  <c r="DI145" i="3"/>
  <c r="DJ145" i="3" s="1"/>
  <c r="DH143" i="3"/>
  <c r="DI143" i="3"/>
  <c r="DI141" i="3"/>
  <c r="DH139" i="3"/>
  <c r="DI139" i="3"/>
  <c r="DI137" i="3"/>
  <c r="DJ137" i="3" s="1"/>
  <c r="DH135" i="3"/>
  <c r="DI135" i="3"/>
  <c r="DI133" i="3"/>
  <c r="DH131" i="3"/>
  <c r="DI131" i="3"/>
  <c r="DI129" i="3"/>
  <c r="DJ129" i="3" s="1"/>
  <c r="DH127" i="3"/>
  <c r="DI127" i="3"/>
  <c r="DJ127" i="3" s="1"/>
  <c r="DI125" i="3"/>
  <c r="DJ125" i="3" s="1"/>
  <c r="DH123" i="3"/>
  <c r="DI123" i="3"/>
  <c r="DJ123" i="3" s="1"/>
  <c r="DI121" i="3"/>
  <c r="DJ121" i="3" s="1"/>
  <c r="DH119" i="3"/>
  <c r="DI119" i="3"/>
  <c r="DJ119" i="3" s="1"/>
  <c r="DI117" i="3"/>
  <c r="DJ117" i="3" s="1"/>
  <c r="DH115" i="3"/>
  <c r="DI115" i="3"/>
  <c r="DI113" i="3"/>
  <c r="DJ113" i="3" s="1"/>
  <c r="DF103" i="3"/>
  <c r="DH103" i="3"/>
  <c r="DI103" i="3"/>
  <c r="DG102" i="3"/>
  <c r="DJ102" i="3" s="1"/>
  <c r="DI102" i="3"/>
  <c r="DF102" i="3"/>
  <c r="DF93" i="3"/>
  <c r="DG93" i="3"/>
  <c r="DI93" i="3"/>
  <c r="DJ93" i="3" s="1"/>
  <c r="DH93" i="3"/>
  <c r="DG109" i="3"/>
  <c r="DG105" i="3"/>
  <c r="DG101" i="3"/>
  <c r="DF97" i="3"/>
  <c r="DG97" i="3"/>
  <c r="DI94" i="3"/>
  <c r="DF94" i="3"/>
  <c r="DI90" i="3"/>
  <c r="DJ90" i="3" s="1"/>
  <c r="DF90" i="3"/>
  <c r="DI86" i="3"/>
  <c r="DF86" i="3"/>
  <c r="DJ86" i="3" s="1"/>
  <c r="DI82" i="3"/>
  <c r="DF82" i="3"/>
  <c r="DI78" i="3"/>
  <c r="DF78" i="3"/>
  <c r="DJ78" i="3" s="1"/>
  <c r="DI74" i="3"/>
  <c r="DJ74" i="3" s="1"/>
  <c r="DF74" i="3"/>
  <c r="DI70" i="3"/>
  <c r="DF70" i="3"/>
  <c r="DG68" i="3"/>
  <c r="DJ68" i="3" s="1"/>
  <c r="DH68" i="3"/>
  <c r="DF65" i="3"/>
  <c r="DJ65" i="3" s="1"/>
  <c r="DG65" i="3"/>
  <c r="DI64" i="3"/>
  <c r="DI62" i="3"/>
  <c r="DF62" i="3"/>
  <c r="CX60" i="3"/>
  <c r="CX52" i="3"/>
  <c r="DH99" i="3"/>
  <c r="DI99" i="3"/>
  <c r="DI97" i="3"/>
  <c r="DJ97" i="3" s="1"/>
  <c r="DH94" i="3"/>
  <c r="DH90" i="3"/>
  <c r="DH86" i="3"/>
  <c r="DH82" i="3"/>
  <c r="DH78" i="3"/>
  <c r="DH74" i="3"/>
  <c r="DH70" i="3"/>
  <c r="DH67" i="3"/>
  <c r="DI67" i="3"/>
  <c r="DJ67" i="3" s="1"/>
  <c r="DI65" i="3"/>
  <c r="DH62" i="3"/>
  <c r="CX59" i="3"/>
  <c r="DF85" i="3"/>
  <c r="DG85" i="3"/>
  <c r="DJ85" i="3" s="1"/>
  <c r="DF81" i="3"/>
  <c r="DG81" i="3"/>
  <c r="DF77" i="3"/>
  <c r="DG77" i="3"/>
  <c r="DF73" i="3"/>
  <c r="DG73" i="3"/>
  <c r="DF69" i="3"/>
  <c r="DG69" i="3"/>
  <c r="DJ69" i="3" s="1"/>
  <c r="DI66" i="3"/>
  <c r="DF66" i="3"/>
  <c r="DJ66" i="3" s="1"/>
  <c r="DG64" i="3"/>
  <c r="DJ64" i="3" s="1"/>
  <c r="DH64" i="3"/>
  <c r="DF61" i="3"/>
  <c r="DG61" i="3"/>
  <c r="CX56" i="3"/>
  <c r="DI48" i="3"/>
  <c r="DF48" i="3"/>
  <c r="DJ48" i="3" s="1"/>
  <c r="DH48" i="3"/>
  <c r="DH95" i="3"/>
  <c r="DI95" i="3"/>
  <c r="DH91" i="3"/>
  <c r="DI91" i="3"/>
  <c r="DH87" i="3"/>
  <c r="DI87" i="3"/>
  <c r="DJ87" i="3" s="1"/>
  <c r="DI85" i="3"/>
  <c r="DH83" i="3"/>
  <c r="DI83" i="3"/>
  <c r="DI81" i="3"/>
  <c r="DJ81" i="3" s="1"/>
  <c r="DH79" i="3"/>
  <c r="DI79" i="3"/>
  <c r="DJ79" i="3" s="1"/>
  <c r="DI77" i="3"/>
  <c r="DJ77" i="3" s="1"/>
  <c r="DH75" i="3"/>
  <c r="DI75" i="3"/>
  <c r="DJ75" i="3" s="1"/>
  <c r="DI73" i="3"/>
  <c r="DJ73" i="3" s="1"/>
  <c r="DH71" i="3"/>
  <c r="DI71" i="3"/>
  <c r="DI69" i="3"/>
  <c r="DH66" i="3"/>
  <c r="DH63" i="3"/>
  <c r="DI63" i="3"/>
  <c r="DI61" i="3"/>
  <c r="DJ61" i="3" s="1"/>
  <c r="CX55" i="3"/>
  <c r="CX51" i="3"/>
  <c r="CX49" i="3"/>
  <c r="DI47" i="3"/>
  <c r="DJ47" i="3" s="1"/>
  <c r="DH45" i="3"/>
  <c r="DI45" i="3"/>
  <c r="DJ45" i="3" s="1"/>
  <c r="DH44" i="3"/>
  <c r="DI44" i="3"/>
  <c r="DF44" i="3"/>
  <c r="DJ44" i="3" s="1"/>
  <c r="DI43" i="3"/>
  <c r="DF43" i="3"/>
  <c r="DJ43" i="3" s="1"/>
  <c r="DG43" i="3"/>
  <c r="DG41" i="3"/>
  <c r="DH41" i="3"/>
  <c r="DI41" i="3"/>
  <c r="DJ41" i="3" s="1"/>
  <c r="DH40" i="3"/>
  <c r="DI40" i="3"/>
  <c r="DF40" i="3"/>
  <c r="DJ40" i="3" s="1"/>
  <c r="DI39" i="3"/>
  <c r="DF39" i="3"/>
  <c r="DJ39" i="3" s="1"/>
  <c r="DG39" i="3"/>
  <c r="DF38" i="3"/>
  <c r="DJ38" i="3" s="1"/>
  <c r="DG38" i="3"/>
  <c r="DH38" i="3"/>
  <c r="DG37" i="3"/>
  <c r="DH37" i="3"/>
  <c r="DI37" i="3"/>
  <c r="DJ37" i="3" s="1"/>
  <c r="DH36" i="3"/>
  <c r="DI36" i="3"/>
  <c r="DF36" i="3"/>
  <c r="DJ36" i="3" s="1"/>
  <c r="DG32" i="3"/>
  <c r="DJ32" i="3" s="1"/>
  <c r="DH32" i="3"/>
  <c r="DI32" i="3"/>
  <c r="DF32" i="3"/>
  <c r="DG28" i="3"/>
  <c r="DH28" i="3"/>
  <c r="DI28" i="3"/>
  <c r="DJ28" i="3" s="1"/>
  <c r="DF28" i="3"/>
  <c r="DG24" i="3"/>
  <c r="DJ24" i="3" s="1"/>
  <c r="DH24" i="3"/>
  <c r="DI24" i="3"/>
  <c r="DF24" i="3"/>
  <c r="DG20" i="3"/>
  <c r="DJ20" i="3" s="1"/>
  <c r="DH20" i="3"/>
  <c r="DI20" i="3"/>
  <c r="DF20" i="3"/>
  <c r="DG16" i="3"/>
  <c r="DJ16" i="3" s="1"/>
  <c r="DH16" i="3"/>
  <c r="DI16" i="3"/>
  <c r="DF16" i="3"/>
  <c r="DG12" i="3"/>
  <c r="DJ12" i="3" s="1"/>
  <c r="DH12" i="3"/>
  <c r="DI12" i="3"/>
  <c r="DF12" i="3"/>
  <c r="DG8" i="3"/>
  <c r="DJ8" i="3" s="1"/>
  <c r="DH8" i="3"/>
  <c r="DI8" i="3"/>
  <c r="DF8" i="3"/>
  <c r="DG4" i="3"/>
  <c r="DJ4" i="3" s="1"/>
  <c r="DH4" i="3"/>
  <c r="DI4" i="3"/>
  <c r="DF4" i="3"/>
  <c r="DF33" i="3"/>
  <c r="DG33" i="3"/>
  <c r="DJ33" i="3" s="1"/>
  <c r="DH33" i="3"/>
  <c r="DI33" i="3"/>
  <c r="DF29" i="3"/>
  <c r="DG29" i="3"/>
  <c r="DJ29" i="3" s="1"/>
  <c r="DH29" i="3"/>
  <c r="DI29" i="3"/>
  <c r="DF25" i="3"/>
  <c r="DG25" i="3"/>
  <c r="DJ25" i="3" s="1"/>
  <c r="DH25" i="3"/>
  <c r="DI25" i="3"/>
  <c r="DF21" i="3"/>
  <c r="DG21" i="3"/>
  <c r="DJ21" i="3" s="1"/>
  <c r="DH21" i="3"/>
  <c r="DI21" i="3"/>
  <c r="DF17" i="3"/>
  <c r="DJ17" i="3" s="1"/>
  <c r="DG17" i="3"/>
  <c r="DH17" i="3"/>
  <c r="DI17" i="3"/>
  <c r="DF13" i="3"/>
  <c r="DG13" i="3"/>
  <c r="DJ13" i="3" s="1"/>
  <c r="DH13" i="3"/>
  <c r="DI13" i="3"/>
  <c r="DF9" i="3"/>
  <c r="DJ9" i="3" s="1"/>
  <c r="DG9" i="3"/>
  <c r="DH9" i="3"/>
  <c r="DI9" i="3"/>
  <c r="DF5" i="3"/>
  <c r="DG5" i="3"/>
  <c r="DJ5" i="3" s="1"/>
  <c r="DH5" i="3"/>
  <c r="DI5" i="3"/>
  <c r="DF1" i="3"/>
  <c r="DG1" i="3"/>
  <c r="DH1" i="3"/>
  <c r="DI1" i="3"/>
  <c r="DJ1" i="3" s="1"/>
  <c r="DF47" i="3"/>
  <c r="DG47" i="3"/>
  <c r="DI34" i="3"/>
  <c r="DF34" i="3"/>
  <c r="DG34" i="3"/>
  <c r="DJ34" i="3" s="1"/>
  <c r="DH34" i="3"/>
  <c r="DI30" i="3"/>
  <c r="DF30" i="3"/>
  <c r="DG30" i="3"/>
  <c r="DJ30" i="3" s="1"/>
  <c r="DH30" i="3"/>
  <c r="DI26" i="3"/>
  <c r="DF26" i="3"/>
  <c r="DJ26" i="3" s="1"/>
  <c r="DG26" i="3"/>
  <c r="DH26" i="3"/>
  <c r="DI22" i="3"/>
  <c r="DF22" i="3"/>
  <c r="DG22" i="3"/>
  <c r="DJ22" i="3" s="1"/>
  <c r="DH22" i="3"/>
  <c r="DI18" i="3"/>
  <c r="DF18" i="3"/>
  <c r="DJ18" i="3" s="1"/>
  <c r="DG18" i="3"/>
  <c r="DH18" i="3"/>
  <c r="DI14" i="3"/>
  <c r="DF14" i="3"/>
  <c r="DG14" i="3"/>
  <c r="DJ14" i="3" s="1"/>
  <c r="DH14" i="3"/>
  <c r="DI10" i="3"/>
  <c r="DF10" i="3"/>
  <c r="DJ10" i="3" s="1"/>
  <c r="DG10" i="3"/>
  <c r="DH10" i="3"/>
  <c r="DI6" i="3"/>
  <c r="DF6" i="3"/>
  <c r="DG6" i="3"/>
  <c r="DJ6" i="3" s="1"/>
  <c r="DH6" i="3"/>
  <c r="DI2" i="3"/>
  <c r="DJ2" i="3" s="1"/>
  <c r="DF2" i="3"/>
  <c r="DG2" i="3"/>
  <c r="DH2" i="3"/>
  <c r="DG35" i="3"/>
  <c r="DG31" i="3"/>
  <c r="DJ31" i="3" s="1"/>
  <c r="DG27" i="3"/>
  <c r="DG23" i="3"/>
  <c r="DJ23" i="3" s="1"/>
  <c r="DG19" i="3"/>
  <c r="DG15" i="3"/>
  <c r="DJ15" i="3" s="1"/>
  <c r="DG11" i="3"/>
  <c r="DG7" i="3"/>
  <c r="DJ7" i="3" s="1"/>
  <c r="DG3" i="3"/>
  <c r="DF35" i="3"/>
  <c r="DJ35" i="3" s="1"/>
  <c r="DF31" i="3"/>
  <c r="DF27" i="3"/>
  <c r="DJ27" i="3" s="1"/>
  <c r="DF23" i="3"/>
  <c r="DF19" i="3"/>
  <c r="DF15" i="3"/>
  <c r="DF11" i="3"/>
  <c r="DF7" i="3"/>
  <c r="DF3" i="3"/>
  <c r="E552" i="9" l="1"/>
  <c r="E44" i="9"/>
  <c r="E551" i="9"/>
  <c r="E261" i="9"/>
  <c r="E266" i="9"/>
  <c r="E264" i="9"/>
  <c r="E181" i="9"/>
  <c r="E39" i="9"/>
  <c r="E173" i="9"/>
  <c r="E265" i="9"/>
  <c r="E550" i="9"/>
  <c r="J1292" i="6"/>
  <c r="J269" i="6"/>
  <c r="H559" i="6"/>
  <c r="GM164" i="1"/>
  <c r="GN164" i="1"/>
  <c r="GM72" i="1"/>
  <c r="GN72" i="1"/>
  <c r="GM83" i="1"/>
  <c r="GN83" i="1"/>
  <c r="GN177" i="1"/>
  <c r="GM177" i="1"/>
  <c r="AG152" i="1"/>
  <c r="T193" i="1"/>
  <c r="GM307" i="1"/>
  <c r="GN307" i="1"/>
  <c r="GM292" i="1"/>
  <c r="GN292" i="1"/>
  <c r="GM302" i="1"/>
  <c r="GN302" i="1"/>
  <c r="GM311" i="1"/>
  <c r="GN311" i="1"/>
  <c r="GM320" i="1"/>
  <c r="GN320" i="1"/>
  <c r="GM330" i="1"/>
  <c r="GN330" i="1"/>
  <c r="GM339" i="1"/>
  <c r="GN339" i="1"/>
  <c r="GM346" i="1"/>
  <c r="GN346" i="1"/>
  <c r="DZ225" i="1"/>
  <c r="DM348" i="1"/>
  <c r="AK380" i="1"/>
  <c r="X391" i="1"/>
  <c r="GM554" i="1"/>
  <c r="GN554" i="1"/>
  <c r="GM658" i="1"/>
  <c r="GO658" i="1"/>
  <c r="GM670" i="1"/>
  <c r="GN670" i="1"/>
  <c r="GM681" i="1"/>
  <c r="GO681" i="1"/>
  <c r="GM692" i="1"/>
  <c r="GO692" i="1"/>
  <c r="DI832" i="1"/>
  <c r="DV825" i="1"/>
  <c r="AH864" i="1"/>
  <c r="U931" i="1"/>
  <c r="DP702" i="1"/>
  <c r="EC645" i="1"/>
  <c r="ED645" i="1"/>
  <c r="DQ702" i="1"/>
  <c r="GM918" i="1"/>
  <c r="GO918" i="1"/>
  <c r="GM1062" i="1"/>
  <c r="GN1062" i="1"/>
  <c r="CJ864" i="1"/>
  <c r="BA931" i="1"/>
  <c r="AJ1125" i="1"/>
  <c r="W1156" i="1"/>
  <c r="GM1415" i="1"/>
  <c r="GN1415" i="1"/>
  <c r="GM169" i="1"/>
  <c r="GN169" i="1"/>
  <c r="GM235" i="1"/>
  <c r="GN235" i="1"/>
  <c r="GM321" i="1"/>
  <c r="GN321" i="1"/>
  <c r="AD380" i="1"/>
  <c r="Q391" i="1"/>
  <c r="GM285" i="1"/>
  <c r="GN285" i="1"/>
  <c r="GM304" i="1"/>
  <c r="GN304" i="1"/>
  <c r="GM313" i="1"/>
  <c r="GN313" i="1"/>
  <c r="GM323" i="1"/>
  <c r="GN323" i="1"/>
  <c r="R391" i="1"/>
  <c r="AE380" i="1"/>
  <c r="ES579" i="1"/>
  <c r="GB500" i="1"/>
  <c r="GN572" i="1"/>
  <c r="GM572" i="1"/>
  <c r="AG500" i="1"/>
  <c r="T579" i="1"/>
  <c r="GM661" i="1"/>
  <c r="GN661" i="1"/>
  <c r="GM672" i="1"/>
  <c r="GN672" i="1"/>
  <c r="GM684" i="1"/>
  <c r="GO684" i="1"/>
  <c r="GM694" i="1"/>
  <c r="GO694" i="1"/>
  <c r="GM669" i="1"/>
  <c r="GN669" i="1"/>
  <c r="Q759" i="1"/>
  <c r="AD734" i="1"/>
  <c r="GM926" i="1"/>
  <c r="GO926" i="1"/>
  <c r="AB1008" i="1"/>
  <c r="GM1076" i="1"/>
  <c r="GN1076" i="1"/>
  <c r="AG1125" i="1"/>
  <c r="T1156" i="1"/>
  <c r="DZ1125" i="1"/>
  <c r="DM1156" i="1"/>
  <c r="DV1330" i="1"/>
  <c r="DI1357" i="1"/>
  <c r="GM1216" i="1"/>
  <c r="GN1216" i="1"/>
  <c r="GM65" i="1"/>
  <c r="GN65" i="1"/>
  <c r="GM78" i="1"/>
  <c r="GN78" i="1"/>
  <c r="GM161" i="1"/>
  <c r="GN161" i="1"/>
  <c r="GM171" i="1"/>
  <c r="GN171" i="1"/>
  <c r="EB225" i="1"/>
  <c r="DO348" i="1"/>
  <c r="GM337" i="1"/>
  <c r="GN337" i="1"/>
  <c r="GP389" i="1"/>
  <c r="GM389" i="1"/>
  <c r="GM288" i="1"/>
  <c r="GN288" i="1"/>
  <c r="GM297" i="1"/>
  <c r="GN297" i="1"/>
  <c r="GM306" i="1"/>
  <c r="GN306" i="1"/>
  <c r="GM315" i="1"/>
  <c r="GN315" i="1"/>
  <c r="GM325" i="1"/>
  <c r="GN325" i="1"/>
  <c r="GM334" i="1"/>
  <c r="GN334" i="1"/>
  <c r="GP386" i="1"/>
  <c r="GM386" i="1"/>
  <c r="DP391" i="1"/>
  <c r="EC380" i="1"/>
  <c r="GM650" i="1"/>
  <c r="GO650" i="1"/>
  <c r="GM663" i="1"/>
  <c r="GN663" i="1"/>
  <c r="GM676" i="1"/>
  <c r="GO676" i="1"/>
  <c r="GM686" i="1"/>
  <c r="GO686" i="1"/>
  <c r="GM696" i="1"/>
  <c r="GO696" i="1"/>
  <c r="GO653" i="1"/>
  <c r="GM653" i="1"/>
  <c r="EB500" i="1"/>
  <c r="DO579" i="1"/>
  <c r="GM1003" i="1"/>
  <c r="GN1003" i="1"/>
  <c r="GM1084" i="1"/>
  <c r="GN1084" i="1"/>
  <c r="BA1156" i="1"/>
  <c r="CJ1125" i="1"/>
  <c r="GM1338" i="1"/>
  <c r="GN1338" i="1"/>
  <c r="Q1418" i="1"/>
  <c r="AD1389" i="1"/>
  <c r="CI1125" i="1"/>
  <c r="AZ1156" i="1"/>
  <c r="GN1392" i="1"/>
  <c r="GM1392" i="1"/>
  <c r="GN1396" i="1"/>
  <c r="GM1396" i="1"/>
  <c r="GM73" i="1"/>
  <c r="GN73" i="1"/>
  <c r="GM158" i="1"/>
  <c r="GN158" i="1"/>
  <c r="DV63" i="1"/>
  <c r="DI86" i="1"/>
  <c r="GM163" i="1"/>
  <c r="GN163" i="1"/>
  <c r="GM175" i="1"/>
  <c r="GN175" i="1"/>
  <c r="GN183" i="1"/>
  <c r="GM183" i="1"/>
  <c r="AH225" i="1"/>
  <c r="U348" i="1"/>
  <c r="GM295" i="1"/>
  <c r="GN295" i="1"/>
  <c r="GM299" i="1"/>
  <c r="GN299" i="1"/>
  <c r="GM309" i="1"/>
  <c r="GN309" i="1"/>
  <c r="GM510" i="1"/>
  <c r="GN510" i="1"/>
  <c r="GM522" i="1"/>
  <c r="GN522" i="1"/>
  <c r="DT579" i="1"/>
  <c r="GM654" i="1"/>
  <c r="GO654" i="1"/>
  <c r="GM666" i="1"/>
  <c r="GO666" i="1"/>
  <c r="GM678" i="1"/>
  <c r="GO678" i="1"/>
  <c r="GM689" i="1"/>
  <c r="GO689" i="1"/>
  <c r="GM699" i="1"/>
  <c r="GO699" i="1"/>
  <c r="AO641" i="1"/>
  <c r="F793" i="1"/>
  <c r="Q702" i="1"/>
  <c r="AD645" i="1"/>
  <c r="GO683" i="1"/>
  <c r="GM683" i="1"/>
  <c r="GM829" i="1"/>
  <c r="GN829" i="1"/>
  <c r="GN562" i="1"/>
  <c r="GM562" i="1"/>
  <c r="AH500" i="1"/>
  <c r="U579" i="1"/>
  <c r="GM904" i="1"/>
  <c r="GO904" i="1"/>
  <c r="AL997" i="1"/>
  <c r="Y1008" i="1"/>
  <c r="FX1093" i="1"/>
  <c r="DU1040" i="1"/>
  <c r="FZ1093" i="1"/>
  <c r="DH1093" i="1"/>
  <c r="FW1093" i="1"/>
  <c r="GP1260" i="1"/>
  <c r="GM1260" i="1"/>
  <c r="GM1348" i="1"/>
  <c r="GN1348" i="1"/>
  <c r="GM1411" i="1"/>
  <c r="GN1411" i="1"/>
  <c r="DT1418" i="1"/>
  <c r="AT26" i="1"/>
  <c r="F49" i="1"/>
  <c r="AT116" i="1"/>
  <c r="DV26" i="1"/>
  <c r="DI31" i="1"/>
  <c r="BC26" i="1"/>
  <c r="F47" i="1"/>
  <c r="BC116" i="1"/>
  <c r="P26" i="1"/>
  <c r="F34" i="1"/>
  <c r="AO26" i="1"/>
  <c r="F35" i="1"/>
  <c r="AO116" i="1"/>
  <c r="EU26" i="1"/>
  <c r="P47" i="1"/>
  <c r="EU116" i="1"/>
  <c r="DI58" i="3"/>
  <c r="DF58" i="3"/>
  <c r="DJ58" i="3" s="1"/>
  <c r="DH58" i="3"/>
  <c r="DG58" i="3"/>
  <c r="W26" i="1"/>
  <c r="F55" i="1"/>
  <c r="FZ26" i="1"/>
  <c r="EQ31" i="1"/>
  <c r="U26" i="1"/>
  <c r="F53" i="1"/>
  <c r="DK26" i="1"/>
  <c r="DK116" i="1"/>
  <c r="P46" i="1"/>
  <c r="EM63" i="1"/>
  <c r="P105" i="1"/>
  <c r="DL26" i="1"/>
  <c r="P52" i="1"/>
  <c r="BD26" i="1"/>
  <c r="BD116" i="1"/>
  <c r="F56" i="1"/>
  <c r="ET26" i="1"/>
  <c r="ET116" i="1"/>
  <c r="P44" i="1"/>
  <c r="CP66" i="1"/>
  <c r="O66" i="1" s="1"/>
  <c r="DU86" i="1"/>
  <c r="GK67" i="1"/>
  <c r="GM67" i="1" s="1"/>
  <c r="AE86" i="1"/>
  <c r="GM79" i="1"/>
  <c r="GN79" i="1"/>
  <c r="GM82" i="1"/>
  <c r="GN82" i="1"/>
  <c r="GA63" i="1"/>
  <c r="ER86" i="1"/>
  <c r="CP162" i="1"/>
  <c r="O162" i="1" s="1"/>
  <c r="AC193" i="1"/>
  <c r="GM167" i="1"/>
  <c r="GN167" i="1"/>
  <c r="DX152" i="1"/>
  <c r="DK193" i="1"/>
  <c r="CI63" i="1"/>
  <c r="AZ86" i="1"/>
  <c r="EA63" i="1"/>
  <c r="DN86" i="1"/>
  <c r="GM184" i="1"/>
  <c r="GN184" i="1"/>
  <c r="GM187" i="1"/>
  <c r="GN187" i="1"/>
  <c r="EI152" i="1"/>
  <c r="P203" i="1"/>
  <c r="EI421" i="1"/>
  <c r="W86" i="1"/>
  <c r="W116" i="1" s="1"/>
  <c r="AJ63" i="1"/>
  <c r="GN69" i="1"/>
  <c r="GM69" i="1"/>
  <c r="GM172" i="1"/>
  <c r="GN172" i="1"/>
  <c r="DV348" i="1"/>
  <c r="CY231" i="1"/>
  <c r="X231" i="1" s="1"/>
  <c r="AK348" i="1" s="1"/>
  <c r="CZ231" i="1"/>
  <c r="Y231" i="1" s="1"/>
  <c r="AF348" i="1"/>
  <c r="AH152" i="1"/>
  <c r="U193" i="1"/>
  <c r="ED193" i="1"/>
  <c r="AU152" i="1"/>
  <c r="F212" i="1"/>
  <c r="AT63" i="1"/>
  <c r="F104" i="1"/>
  <c r="GN77" i="1"/>
  <c r="GM77" i="1"/>
  <c r="CY238" i="1"/>
  <c r="X238" i="1" s="1"/>
  <c r="GM238" i="1" s="1"/>
  <c r="CZ238" i="1"/>
  <c r="Y238" i="1" s="1"/>
  <c r="V152" i="1"/>
  <c r="F216" i="1"/>
  <c r="GN246" i="1"/>
  <c r="GM246" i="1"/>
  <c r="CJ225" i="1"/>
  <c r="BA348" i="1"/>
  <c r="GN257" i="1"/>
  <c r="GM257" i="1"/>
  <c r="CZ258" i="1"/>
  <c r="Y258" i="1" s="1"/>
  <c r="CY258" i="1"/>
  <c r="X258" i="1" s="1"/>
  <c r="CZ262" i="1"/>
  <c r="Y262" i="1" s="1"/>
  <c r="CY262" i="1"/>
  <c r="X262" i="1" s="1"/>
  <c r="CZ272" i="1"/>
  <c r="Y272" i="1" s="1"/>
  <c r="CY272" i="1"/>
  <c r="X272" i="1" s="1"/>
  <c r="CZ280" i="1"/>
  <c r="Y280" i="1" s="1"/>
  <c r="CY280" i="1"/>
  <c r="X280" i="1" s="1"/>
  <c r="DZ152" i="1"/>
  <c r="DM193" i="1"/>
  <c r="CZ260" i="1"/>
  <c r="Y260" i="1" s="1"/>
  <c r="CY260" i="1"/>
  <c r="X260" i="1" s="1"/>
  <c r="AX225" i="1"/>
  <c r="F355" i="1"/>
  <c r="EA152" i="1"/>
  <c r="DN193" i="1"/>
  <c r="GN242" i="1"/>
  <c r="GM242" i="1"/>
  <c r="GM275" i="1"/>
  <c r="GN275" i="1"/>
  <c r="BC225" i="1"/>
  <c r="F364" i="1"/>
  <c r="CP382" i="1"/>
  <c r="O382" i="1" s="1"/>
  <c r="AC391" i="1"/>
  <c r="P400" i="1"/>
  <c r="EH380" i="1"/>
  <c r="GN237" i="1"/>
  <c r="GM237" i="1"/>
  <c r="CP251" i="1"/>
  <c r="O251" i="1" s="1"/>
  <c r="CP262" i="1"/>
  <c r="O262" i="1" s="1"/>
  <c r="GM284" i="1"/>
  <c r="GN284" i="1"/>
  <c r="GM293" i="1"/>
  <c r="GN293" i="1"/>
  <c r="GM298" i="1"/>
  <c r="GN298" i="1"/>
  <c r="GM312" i="1"/>
  <c r="GN312" i="1"/>
  <c r="GM326" i="1"/>
  <c r="GN326" i="1"/>
  <c r="GM335" i="1"/>
  <c r="GN335" i="1"/>
  <c r="GM340" i="1"/>
  <c r="GN340" i="1"/>
  <c r="CI225" i="1"/>
  <c r="AZ348" i="1"/>
  <c r="DU391" i="1"/>
  <c r="EL225" i="1"/>
  <c r="P366" i="1"/>
  <c r="V391" i="1"/>
  <c r="AI380" i="1"/>
  <c r="AD457" i="1"/>
  <c r="Q468" i="1"/>
  <c r="AD579" i="1"/>
  <c r="GM273" i="1"/>
  <c r="GA225" i="1"/>
  <c r="ER348" i="1"/>
  <c r="CJ380" i="1"/>
  <c r="BA391" i="1"/>
  <c r="AZ468" i="1"/>
  <c r="CI457" i="1"/>
  <c r="FY380" i="1"/>
  <c r="EP391" i="1"/>
  <c r="CP460" i="1"/>
  <c r="O460" i="1" s="1"/>
  <c r="GN558" i="1"/>
  <c r="GM558" i="1"/>
  <c r="AI225" i="1"/>
  <c r="V348" i="1"/>
  <c r="EM225" i="1"/>
  <c r="P367" i="1"/>
  <c r="AQ468" i="1"/>
  <c r="CG468" i="1"/>
  <c r="BZ457" i="1"/>
  <c r="BB457" i="1"/>
  <c r="F481" i="1"/>
  <c r="BB609" i="1"/>
  <c r="CY504" i="1"/>
  <c r="X504" i="1" s="1"/>
  <c r="CZ504" i="1"/>
  <c r="Y504" i="1" s="1"/>
  <c r="AF579" i="1"/>
  <c r="DV500" i="1"/>
  <c r="DI579" i="1"/>
  <c r="FY500" i="1"/>
  <c r="EP579" i="1"/>
  <c r="EV453" i="1"/>
  <c r="P634" i="1"/>
  <c r="GM530" i="1"/>
  <c r="GN530" i="1"/>
  <c r="GM555" i="1"/>
  <c r="GN555" i="1"/>
  <c r="CZ570" i="1"/>
  <c r="Y570" i="1" s="1"/>
  <c r="CY570" i="1"/>
  <c r="X570" i="1" s="1"/>
  <c r="DU500" i="1"/>
  <c r="FX579" i="1"/>
  <c r="FW579" i="1"/>
  <c r="DH579" i="1"/>
  <c r="FZ579" i="1"/>
  <c r="BD789" i="1"/>
  <c r="F727" i="1"/>
  <c r="BD645" i="1"/>
  <c r="AF825" i="1"/>
  <c r="S832" i="1"/>
  <c r="DL457" i="1"/>
  <c r="P489" i="1"/>
  <c r="GM524" i="1"/>
  <c r="GN524" i="1"/>
  <c r="GN548" i="1"/>
  <c r="GM556" i="1"/>
  <c r="GN556" i="1"/>
  <c r="GN576" i="1"/>
  <c r="GM576" i="1"/>
  <c r="EU645" i="1"/>
  <c r="P718" i="1"/>
  <c r="EU789" i="1"/>
  <c r="V457" i="1"/>
  <c r="F491" i="1"/>
  <c r="FY457" i="1"/>
  <c r="EP468" i="1"/>
  <c r="GN511" i="1"/>
  <c r="BZ500" i="1"/>
  <c r="AQ579" i="1"/>
  <c r="CG579" i="1"/>
  <c r="CP570" i="1"/>
  <c r="O570" i="1" s="1"/>
  <c r="F772" i="1"/>
  <c r="BB734" i="1"/>
  <c r="BD825" i="1"/>
  <c r="F857" i="1"/>
  <c r="BD961" i="1"/>
  <c r="GM528" i="1"/>
  <c r="GN528" i="1"/>
  <c r="GM536" i="1"/>
  <c r="GN536" i="1"/>
  <c r="GM543" i="1"/>
  <c r="GN543" i="1"/>
  <c r="GM551" i="1"/>
  <c r="GN551" i="1"/>
  <c r="FQ500" i="1"/>
  <c r="EH579" i="1"/>
  <c r="GA579" i="1"/>
  <c r="CZ563" i="1"/>
  <c r="Y563" i="1" s="1"/>
  <c r="CY563" i="1"/>
  <c r="X563" i="1" s="1"/>
  <c r="GN563" i="1" s="1"/>
  <c r="FU500" i="1"/>
  <c r="EL579" i="1"/>
  <c r="GM746" i="1"/>
  <c r="GN746" i="1"/>
  <c r="GM754" i="1"/>
  <c r="GN754" i="1"/>
  <c r="AK825" i="1"/>
  <c r="X832" i="1"/>
  <c r="DY645" i="1"/>
  <c r="DL702" i="1"/>
  <c r="GB645" i="1"/>
  <c r="ES702" i="1"/>
  <c r="AI734" i="1"/>
  <c r="V759" i="1"/>
  <c r="DZ734" i="1"/>
  <c r="DM759" i="1"/>
  <c r="CP740" i="1"/>
  <c r="O740" i="1" s="1"/>
  <c r="GM740" i="1" s="1"/>
  <c r="GN749" i="1"/>
  <c r="GM749" i="1"/>
  <c r="DQ832" i="1"/>
  <c r="ED825" i="1"/>
  <c r="AX825" i="1"/>
  <c r="F839" i="1"/>
  <c r="CZ879" i="1"/>
  <c r="Y879" i="1" s="1"/>
  <c r="CY879" i="1"/>
  <c r="X879" i="1" s="1"/>
  <c r="CZ886" i="1"/>
  <c r="Y886" i="1" s="1"/>
  <c r="CY886" i="1"/>
  <c r="X886" i="1" s="1"/>
  <c r="BA500" i="1"/>
  <c r="F599" i="1"/>
  <c r="U702" i="1"/>
  <c r="AH645" i="1"/>
  <c r="AQ645" i="1"/>
  <c r="F712" i="1"/>
  <c r="AQ789" i="1"/>
  <c r="EM734" i="1"/>
  <c r="P778" i="1"/>
  <c r="AP825" i="1"/>
  <c r="F841" i="1"/>
  <c r="AP961" i="1"/>
  <c r="GO878" i="1"/>
  <c r="GM878" i="1"/>
  <c r="GM885" i="1"/>
  <c r="GO885" i="1"/>
  <c r="GM890" i="1"/>
  <c r="GO890" i="1"/>
  <c r="GM897" i="1"/>
  <c r="GO897" i="1"/>
  <c r="EH864" i="1"/>
  <c r="P940" i="1"/>
  <c r="P1033" i="1"/>
  <c r="EV997" i="1"/>
  <c r="EV1294" i="1"/>
  <c r="EH1040" i="1"/>
  <c r="P1102" i="1"/>
  <c r="AC702" i="1"/>
  <c r="GN662" i="1"/>
  <c r="GM662" i="1"/>
  <c r="U759" i="1"/>
  <c r="AH734" i="1"/>
  <c r="DM832" i="1"/>
  <c r="DZ825" i="1"/>
  <c r="DX825" i="1"/>
  <c r="DK832" i="1"/>
  <c r="AG864" i="1"/>
  <c r="T931" i="1"/>
  <c r="CY883" i="1"/>
  <c r="X883" i="1" s="1"/>
  <c r="GO883" i="1" s="1"/>
  <c r="CZ883" i="1"/>
  <c r="Y883" i="1" s="1"/>
  <c r="CZ912" i="1"/>
  <c r="Y912" i="1" s="1"/>
  <c r="CY912" i="1"/>
  <c r="X912" i="1" s="1"/>
  <c r="CZ916" i="1"/>
  <c r="Y916" i="1" s="1"/>
  <c r="CY916" i="1"/>
  <c r="X916" i="1" s="1"/>
  <c r="CZ924" i="1"/>
  <c r="Y924" i="1" s="1"/>
  <c r="CY924" i="1"/>
  <c r="X924" i="1" s="1"/>
  <c r="AE1008" i="1"/>
  <c r="GK999" i="1"/>
  <c r="GM999" i="1" s="1"/>
  <c r="CA1008" i="1" s="1"/>
  <c r="CZ1004" i="1"/>
  <c r="Y1004" i="1" s="1"/>
  <c r="CY1004" i="1"/>
  <c r="X1004" i="1" s="1"/>
  <c r="BC997" i="1"/>
  <c r="F1024" i="1"/>
  <c r="BC1294" i="1"/>
  <c r="AC1093" i="1"/>
  <c r="CP1042" i="1"/>
  <c r="O1042" i="1" s="1"/>
  <c r="CZ1063" i="1"/>
  <c r="Y1063" i="1" s="1"/>
  <c r="CY1063" i="1"/>
  <c r="X1063" i="1" s="1"/>
  <c r="CZ1072" i="1"/>
  <c r="Y1072" i="1" s="1"/>
  <c r="CY1072" i="1"/>
  <c r="X1072" i="1" s="1"/>
  <c r="CZ1130" i="1"/>
  <c r="Y1130" i="1" s="1"/>
  <c r="CY1130" i="1"/>
  <c r="X1130" i="1" s="1"/>
  <c r="AT500" i="1"/>
  <c r="F597" i="1"/>
  <c r="AI645" i="1"/>
  <c r="V702" i="1"/>
  <c r="GO652" i="1"/>
  <c r="GM652" i="1"/>
  <c r="EH645" i="1"/>
  <c r="P711" i="1"/>
  <c r="CG734" i="1"/>
  <c r="AX759" i="1"/>
  <c r="EH759" i="1"/>
  <c r="FQ734" i="1"/>
  <c r="GA759" i="1"/>
  <c r="EP759" i="1"/>
  <c r="FY734" i="1"/>
  <c r="T825" i="1"/>
  <c r="F853" i="1"/>
  <c r="T961" i="1"/>
  <c r="CY867" i="1"/>
  <c r="X867" i="1" s="1"/>
  <c r="CZ867" i="1"/>
  <c r="Y867" i="1" s="1"/>
  <c r="DX931" i="1"/>
  <c r="DY864" i="1"/>
  <c r="DL931" i="1"/>
  <c r="GM894" i="1"/>
  <c r="GO894" i="1"/>
  <c r="CP900" i="1"/>
  <c r="O900" i="1" s="1"/>
  <c r="CP907" i="1"/>
  <c r="O907" i="1" s="1"/>
  <c r="CP912" i="1"/>
  <c r="O912" i="1" s="1"/>
  <c r="BB864" i="1"/>
  <c r="F944" i="1"/>
  <c r="BB961" i="1"/>
  <c r="EL997" i="1"/>
  <c r="P1026" i="1"/>
  <c r="EL1294" i="1"/>
  <c r="CP1050" i="1"/>
  <c r="O1050" i="1" s="1"/>
  <c r="CP1058" i="1"/>
  <c r="O1058" i="1" s="1"/>
  <c r="CP1069" i="1"/>
  <c r="O1069" i="1" s="1"/>
  <c r="CP1074" i="1"/>
  <c r="O1074" i="1" s="1"/>
  <c r="CP1082" i="1"/>
  <c r="O1082" i="1" s="1"/>
  <c r="BB1040" i="1"/>
  <c r="F1106" i="1"/>
  <c r="BB1294" i="1"/>
  <c r="CP1132" i="1"/>
  <c r="O1132" i="1" s="1"/>
  <c r="EL1125" i="1"/>
  <c r="P1174" i="1"/>
  <c r="GO915" i="1"/>
  <c r="GM915" i="1"/>
  <c r="EK864" i="1"/>
  <c r="P948" i="1"/>
  <c r="AK997" i="1"/>
  <c r="X1008" i="1"/>
  <c r="FX997" i="1"/>
  <c r="EO1008" i="1"/>
  <c r="DV997" i="1"/>
  <c r="DI1008" i="1"/>
  <c r="GM1006" i="1"/>
  <c r="GN1006" i="1"/>
  <c r="AG1040" i="1"/>
  <c r="T1093" i="1"/>
  <c r="GM1064" i="1"/>
  <c r="GN1064" i="1"/>
  <c r="AH1125" i="1"/>
  <c r="U1156" i="1"/>
  <c r="GM1131" i="1"/>
  <c r="GN1131" i="1"/>
  <c r="EV1125" i="1"/>
  <c r="P1181" i="1"/>
  <c r="AT1188" i="1"/>
  <c r="F1241" i="1"/>
  <c r="BD1448" i="1"/>
  <c r="BD1330" i="1"/>
  <c r="F1382" i="1"/>
  <c r="DW864" i="1"/>
  <c r="DJ931" i="1"/>
  <c r="AZ931" i="1"/>
  <c r="CI864" i="1"/>
  <c r="DO1008" i="1"/>
  <c r="EB997" i="1"/>
  <c r="CJ1040" i="1"/>
  <c r="BA1093" i="1"/>
  <c r="EB1040" i="1"/>
  <c r="DO1093" i="1"/>
  <c r="GM1061" i="1"/>
  <c r="GN1061" i="1"/>
  <c r="AZ1093" i="1"/>
  <c r="CI1040" i="1"/>
  <c r="GM1081" i="1"/>
  <c r="GN1081" i="1"/>
  <c r="CP1137" i="1"/>
  <c r="O1137" i="1" s="1"/>
  <c r="CZ1143" i="1"/>
  <c r="Y1143" i="1" s="1"/>
  <c r="CY1143" i="1"/>
  <c r="X1143" i="1" s="1"/>
  <c r="CZ1151" i="1"/>
  <c r="Y1151" i="1" s="1"/>
  <c r="CY1151" i="1"/>
  <c r="X1151" i="1" s="1"/>
  <c r="AT1125" i="1"/>
  <c r="F1174" i="1"/>
  <c r="CZ1200" i="1"/>
  <c r="Y1200" i="1" s="1"/>
  <c r="CY1200" i="1"/>
  <c r="X1200" i="1" s="1"/>
  <c r="FZ1357" i="1"/>
  <c r="DU1330" i="1"/>
  <c r="DH1357" i="1"/>
  <c r="FW1357" i="1"/>
  <c r="FX1357" i="1"/>
  <c r="DN931" i="1"/>
  <c r="EA864" i="1"/>
  <c r="GM899" i="1"/>
  <c r="AS864" i="1"/>
  <c r="F948" i="1"/>
  <c r="EM997" i="1"/>
  <c r="P1027" i="1"/>
  <c r="AE1093" i="1"/>
  <c r="DN1093" i="1"/>
  <c r="EA1040" i="1"/>
  <c r="F1112" i="1"/>
  <c r="AU1040" i="1"/>
  <c r="P1103" i="1"/>
  <c r="EI1040" i="1"/>
  <c r="EH1125" i="1"/>
  <c r="P1165" i="1"/>
  <c r="CP1143" i="1"/>
  <c r="O1143" i="1" s="1"/>
  <c r="CP1147" i="1"/>
  <c r="O1147" i="1" s="1"/>
  <c r="CP1151" i="1"/>
  <c r="O1151" i="1" s="1"/>
  <c r="EH1188" i="1"/>
  <c r="P1232" i="1"/>
  <c r="P1289" i="1"/>
  <c r="EV1255" i="1"/>
  <c r="GM880" i="1"/>
  <c r="GO880" i="1"/>
  <c r="CG864" i="1"/>
  <c r="AX931" i="1"/>
  <c r="AX961" i="1" s="1"/>
  <c r="EI864" i="1"/>
  <c r="P941" i="1"/>
  <c r="DM1093" i="1"/>
  <c r="DZ1040" i="1"/>
  <c r="GM1049" i="1"/>
  <c r="GN1049" i="1"/>
  <c r="CP1063" i="1"/>
  <c r="O1063" i="1" s="1"/>
  <c r="CP1127" i="1"/>
  <c r="O1127" i="1" s="1"/>
  <c r="DY1125" i="1"/>
  <c r="DL1156" i="1"/>
  <c r="FV1125" i="1"/>
  <c r="EM1156" i="1"/>
  <c r="BB1125" i="1"/>
  <c r="F1169" i="1"/>
  <c r="GK1190" i="1"/>
  <c r="AE1223" i="1"/>
  <c r="CZ1193" i="1"/>
  <c r="Y1193" i="1" s="1"/>
  <c r="CY1193" i="1"/>
  <c r="X1193" i="1" s="1"/>
  <c r="CZ1194" i="1"/>
  <c r="Y1194" i="1" s="1"/>
  <c r="CY1194" i="1"/>
  <c r="X1194" i="1" s="1"/>
  <c r="GN1194" i="1" s="1"/>
  <c r="CZ1195" i="1"/>
  <c r="Y1195" i="1" s="1"/>
  <c r="CY1195" i="1"/>
  <c r="X1195" i="1" s="1"/>
  <c r="CZ1196" i="1"/>
  <c r="Y1196" i="1" s="1"/>
  <c r="CY1196" i="1"/>
  <c r="X1196" i="1" s="1"/>
  <c r="CZ1197" i="1"/>
  <c r="Y1197" i="1" s="1"/>
  <c r="CY1197" i="1"/>
  <c r="X1197" i="1" s="1"/>
  <c r="CY1205" i="1"/>
  <c r="X1205" i="1" s="1"/>
  <c r="GM1205" i="1" s="1"/>
  <c r="CZ1205" i="1"/>
  <c r="Y1205" i="1" s="1"/>
  <c r="CY1209" i="1"/>
  <c r="X1209" i="1" s="1"/>
  <c r="GN1209" i="1" s="1"/>
  <c r="CZ1209" i="1"/>
  <c r="Y1209" i="1" s="1"/>
  <c r="CY1214" i="1"/>
  <c r="X1214" i="1" s="1"/>
  <c r="GM1214" i="1" s="1"/>
  <c r="CZ1214" i="1"/>
  <c r="Y1214" i="1" s="1"/>
  <c r="EU1188" i="1"/>
  <c r="P1239" i="1"/>
  <c r="GP1259" i="1"/>
  <c r="GM1259" i="1"/>
  <c r="CY1339" i="1"/>
  <c r="X1339" i="1" s="1"/>
  <c r="CZ1339" i="1"/>
  <c r="Y1339" i="1" s="1"/>
  <c r="CY1343" i="1"/>
  <c r="X1343" i="1" s="1"/>
  <c r="GN1343" i="1" s="1"/>
  <c r="CZ1343" i="1"/>
  <c r="Y1343" i="1" s="1"/>
  <c r="GM1346" i="1"/>
  <c r="GO1346" i="1"/>
  <c r="CC1357" i="1" s="1"/>
  <c r="FR1401" i="1"/>
  <c r="CP1401" i="1"/>
  <c r="O1401" i="1" s="1"/>
  <c r="GM1401" i="1" s="1"/>
  <c r="CY1402" i="1"/>
  <c r="X1402" i="1" s="1"/>
  <c r="CZ1402" i="1"/>
  <c r="Y1402" i="1" s="1"/>
  <c r="GM1413" i="1"/>
  <c r="GN1413" i="1"/>
  <c r="CY1414" i="1"/>
  <c r="X1414" i="1" s="1"/>
  <c r="CZ1414" i="1"/>
  <c r="Y1414" i="1" s="1"/>
  <c r="BC1389" i="1"/>
  <c r="F1434" i="1"/>
  <c r="EV1480" i="1"/>
  <c r="P1510" i="1"/>
  <c r="DY1188" i="1"/>
  <c r="DL1223" i="1"/>
  <c r="DZ1255" i="1"/>
  <c r="DM1264" i="1"/>
  <c r="GB1255" i="1"/>
  <c r="ES1264" i="1"/>
  <c r="AD1357" i="1"/>
  <c r="GN1342" i="1"/>
  <c r="GM1342" i="1"/>
  <c r="EA1389" i="1"/>
  <c r="DN1418" i="1"/>
  <c r="GN1408" i="1"/>
  <c r="GM1408" i="1"/>
  <c r="GN1412" i="1"/>
  <c r="GM1412" i="1"/>
  <c r="O1485" i="1"/>
  <c r="AB1480" i="1"/>
  <c r="FZ1480" i="1"/>
  <c r="EQ1485" i="1"/>
  <c r="P1505" i="1"/>
  <c r="ES1480" i="1"/>
  <c r="AP1125" i="1"/>
  <c r="F1165" i="1"/>
  <c r="AG1188" i="1"/>
  <c r="T1223" i="1"/>
  <c r="GN1213" i="1"/>
  <c r="GM1213" i="1"/>
  <c r="GN1218" i="1"/>
  <c r="GM1218" i="1"/>
  <c r="DU1255" i="1"/>
  <c r="FZ1264" i="1"/>
  <c r="DH1264" i="1"/>
  <c r="FW1264" i="1"/>
  <c r="FX1264" i="1"/>
  <c r="FY1255" i="1"/>
  <c r="EP1264" i="1"/>
  <c r="GN1335" i="1"/>
  <c r="GM1335" i="1"/>
  <c r="AQ1330" i="1"/>
  <c r="F1367" i="1"/>
  <c r="AQ1448" i="1"/>
  <c r="FX1389" i="1"/>
  <c r="EO1418" i="1"/>
  <c r="EQ1418" i="1"/>
  <c r="FZ1389" i="1"/>
  <c r="F1488" i="1"/>
  <c r="P1480" i="1"/>
  <c r="AT1480" i="1"/>
  <c r="F1503" i="1"/>
  <c r="U23" i="2" s="1"/>
  <c r="P1508" i="1"/>
  <c r="DN1480" i="1"/>
  <c r="F1508" i="1"/>
  <c r="V1480" i="1"/>
  <c r="GN1483" i="1"/>
  <c r="FT1485" i="1" s="1"/>
  <c r="AI1188" i="1"/>
  <c r="V1223" i="1"/>
  <c r="GN1208" i="1"/>
  <c r="GM1208" i="1"/>
  <c r="CI1188" i="1"/>
  <c r="AZ1223" i="1"/>
  <c r="DO1264" i="1"/>
  <c r="EB1255" i="1"/>
  <c r="U1418" i="1"/>
  <c r="AH1389" i="1"/>
  <c r="AE1480" i="1"/>
  <c r="R1485" i="1"/>
  <c r="AH1188" i="1"/>
  <c r="U1223" i="1"/>
  <c r="AQ1188" i="1"/>
  <c r="F1233" i="1"/>
  <c r="DN1264" i="1"/>
  <c r="EA1255" i="1"/>
  <c r="AU1330" i="1"/>
  <c r="F1376" i="1"/>
  <c r="AU1448" i="1"/>
  <c r="GN1344" i="1"/>
  <c r="GN1352" i="1"/>
  <c r="AJ1389" i="1"/>
  <c r="W1418" i="1"/>
  <c r="GM1395" i="1"/>
  <c r="GN1395" i="1"/>
  <c r="F1494" i="1"/>
  <c r="V23" i="2" s="1"/>
  <c r="AP1480" i="1"/>
  <c r="EC1480" i="1"/>
  <c r="DP1485" i="1"/>
  <c r="DH59" i="3"/>
  <c r="DI59" i="3"/>
  <c r="DG59" i="3"/>
  <c r="DF59" i="3"/>
  <c r="DJ59" i="3" s="1"/>
  <c r="BB26" i="1"/>
  <c r="F44" i="1"/>
  <c r="BB116" i="1"/>
  <c r="AQ26" i="1"/>
  <c r="F41" i="1"/>
  <c r="AQ116" i="1"/>
  <c r="GK28" i="1"/>
  <c r="AE31" i="1"/>
  <c r="CF26" i="1"/>
  <c r="AW31" i="1"/>
  <c r="BA26" i="1"/>
  <c r="F51" i="1"/>
  <c r="EG26" i="1"/>
  <c r="P35" i="1"/>
  <c r="EG116" i="1"/>
  <c r="F102" i="1"/>
  <c r="BC63" i="1"/>
  <c r="AV26" i="1"/>
  <c r="F36" i="1"/>
  <c r="BD63" i="1"/>
  <c r="F111" i="1"/>
  <c r="V26" i="1"/>
  <c r="F54" i="1"/>
  <c r="EU63" i="1"/>
  <c r="P102" i="1"/>
  <c r="GM29" i="1"/>
  <c r="FS31" i="1" s="1"/>
  <c r="GN29" i="1"/>
  <c r="FT31" i="1" s="1"/>
  <c r="DT31" i="1"/>
  <c r="DO26" i="1"/>
  <c r="P55" i="1"/>
  <c r="ER31" i="1"/>
  <c r="GA26" i="1"/>
  <c r="GK70" i="1"/>
  <c r="DW86" i="1"/>
  <c r="GM74" i="1"/>
  <c r="GN74" i="1"/>
  <c r="DG54" i="3"/>
  <c r="DI54" i="3"/>
  <c r="DF54" i="3"/>
  <c r="DJ54" i="3" s="1"/>
  <c r="DH54" i="3"/>
  <c r="BB63" i="1"/>
  <c r="F99" i="1"/>
  <c r="GM170" i="1"/>
  <c r="GN170" i="1"/>
  <c r="GM176" i="1"/>
  <c r="GN176" i="1"/>
  <c r="ET152" i="1"/>
  <c r="P206" i="1"/>
  <c r="ET421" i="1"/>
  <c r="CJ63" i="1"/>
  <c r="BA86" i="1"/>
  <c r="BA116" i="1" s="1"/>
  <c r="ES86" i="1"/>
  <c r="ES116" i="1" s="1"/>
  <c r="GB63" i="1"/>
  <c r="F96" i="1"/>
  <c r="AQ63" i="1"/>
  <c r="GN185" i="1"/>
  <c r="GM185" i="1"/>
  <c r="CZ186" i="1"/>
  <c r="Y186" i="1" s="1"/>
  <c r="CY186" i="1"/>
  <c r="X186" i="1" s="1"/>
  <c r="CP228" i="1"/>
  <c r="O228" i="1" s="1"/>
  <c r="DU348" i="1"/>
  <c r="S86" i="1"/>
  <c r="AF63" i="1"/>
  <c r="T86" i="1"/>
  <c r="AG63" i="1"/>
  <c r="GM70" i="1"/>
  <c r="GN70" i="1"/>
  <c r="GM80" i="1"/>
  <c r="GN80" i="1"/>
  <c r="GN160" i="1"/>
  <c r="GM160" i="1"/>
  <c r="FU152" i="1"/>
  <c r="EL193" i="1"/>
  <c r="AO152" i="1"/>
  <c r="F197" i="1"/>
  <c r="AO421" i="1"/>
  <c r="AD225" i="1"/>
  <c r="Q348" i="1"/>
  <c r="ES26" i="1"/>
  <c r="P51" i="1"/>
  <c r="FQ152" i="1"/>
  <c r="EH193" i="1"/>
  <c r="GA193" i="1"/>
  <c r="GM189" i="1"/>
  <c r="GN189" i="1"/>
  <c r="CI152" i="1"/>
  <c r="AZ193" i="1"/>
  <c r="GK228" i="1"/>
  <c r="DW348" i="1"/>
  <c r="AI63" i="1"/>
  <c r="V86" i="1"/>
  <c r="V116" i="1" s="1"/>
  <c r="BB152" i="1"/>
  <c r="F206" i="1"/>
  <c r="BB421" i="1"/>
  <c r="CP229" i="1"/>
  <c r="O229" i="1" s="1"/>
  <c r="AC348" i="1"/>
  <c r="GM245" i="1"/>
  <c r="GN245" i="1"/>
  <c r="CY247" i="1"/>
  <c r="X247" i="1" s="1"/>
  <c r="GM247" i="1" s="1"/>
  <c r="CZ247" i="1"/>
  <c r="Y247" i="1" s="1"/>
  <c r="EM152" i="1"/>
  <c r="P212" i="1"/>
  <c r="CY249" i="1"/>
  <c r="X249" i="1" s="1"/>
  <c r="CZ249" i="1"/>
  <c r="Y249" i="1" s="1"/>
  <c r="AL348" i="1" s="1"/>
  <c r="GM259" i="1"/>
  <c r="GN261" i="1"/>
  <c r="GM261" i="1"/>
  <c r="AO225" i="1"/>
  <c r="F352" i="1"/>
  <c r="GB152" i="1"/>
  <c r="ES193" i="1"/>
  <c r="GM241" i="1"/>
  <c r="GN241" i="1"/>
  <c r="CZ259" i="1"/>
  <c r="Y259" i="1" s="1"/>
  <c r="CY259" i="1"/>
  <c r="X259" i="1" s="1"/>
  <c r="GN259" i="1" s="1"/>
  <c r="GM283" i="1"/>
  <c r="GN283" i="1"/>
  <c r="BB225" i="1"/>
  <c r="F361" i="1"/>
  <c r="AQ152" i="1"/>
  <c r="F203" i="1"/>
  <c r="AQ421" i="1"/>
  <c r="BA152" i="1"/>
  <c r="F213" i="1"/>
  <c r="BA421" i="1"/>
  <c r="GN227" i="1"/>
  <c r="CZ256" i="1"/>
  <c r="Y256" i="1" s="1"/>
  <c r="CY256" i="1"/>
  <c r="X256" i="1" s="1"/>
  <c r="GM276" i="1"/>
  <c r="GN276" i="1"/>
  <c r="CY282" i="1"/>
  <c r="X282" i="1" s="1"/>
  <c r="CZ282" i="1"/>
  <c r="Y282" i="1" s="1"/>
  <c r="EG225" i="1"/>
  <c r="P352" i="1"/>
  <c r="DV391" i="1"/>
  <c r="EL380" i="1"/>
  <c r="P409" i="1"/>
  <c r="GN248" i="1"/>
  <c r="GM248" i="1"/>
  <c r="GN253" i="1"/>
  <c r="GM253" i="1"/>
  <c r="CP263" i="1"/>
  <c r="O263" i="1" s="1"/>
  <c r="CY267" i="1"/>
  <c r="X267" i="1" s="1"/>
  <c r="CZ267" i="1"/>
  <c r="Y267" i="1" s="1"/>
  <c r="GM286" i="1"/>
  <c r="GN286" i="1"/>
  <c r="GM300" i="1"/>
  <c r="GN300" i="1"/>
  <c r="GM308" i="1"/>
  <c r="GN308" i="1"/>
  <c r="GM314" i="1"/>
  <c r="GN314" i="1"/>
  <c r="GM322" i="1"/>
  <c r="GN322" i="1"/>
  <c r="GM329" i="1"/>
  <c r="GN329" i="1"/>
  <c r="GM342" i="1"/>
  <c r="GN342" i="1"/>
  <c r="ET225" i="1"/>
  <c r="P361" i="1"/>
  <c r="AL380" i="1"/>
  <c r="Y391" i="1"/>
  <c r="GN266" i="1"/>
  <c r="GM290" i="1"/>
  <c r="GN290" i="1"/>
  <c r="GM332" i="1"/>
  <c r="GN332" i="1"/>
  <c r="CP383" i="1"/>
  <c r="O383" i="1" s="1"/>
  <c r="GM384" i="1"/>
  <c r="GP384" i="1"/>
  <c r="CD391" i="1" s="1"/>
  <c r="AO457" i="1"/>
  <c r="F472" i="1"/>
  <c r="AO609" i="1"/>
  <c r="GB225" i="1"/>
  <c r="ES348" i="1"/>
  <c r="GN281" i="1"/>
  <c r="DM391" i="1"/>
  <c r="DZ380" i="1"/>
  <c r="F409" i="1"/>
  <c r="AT380" i="1"/>
  <c r="DY225" i="1"/>
  <c r="DL348" i="1"/>
  <c r="EI225" i="1"/>
  <c r="P358" i="1"/>
  <c r="AZ391" i="1"/>
  <c r="CI380" i="1"/>
  <c r="AC457" i="1"/>
  <c r="P468" i="1"/>
  <c r="CE468" i="1"/>
  <c r="CH468" i="1"/>
  <c r="CF468" i="1"/>
  <c r="DI468" i="1"/>
  <c r="DV457" i="1"/>
  <c r="EU457" i="1"/>
  <c r="P484" i="1"/>
  <c r="EU609" i="1"/>
  <c r="AJ500" i="1"/>
  <c r="W579" i="1"/>
  <c r="GN506" i="1"/>
  <c r="GM506" i="1"/>
  <c r="EA500" i="1"/>
  <c r="DN579" i="1"/>
  <c r="GM514" i="1"/>
  <c r="GN514" i="1"/>
  <c r="GM523" i="1"/>
  <c r="GN523" i="1"/>
  <c r="GM531" i="1"/>
  <c r="GN531" i="1"/>
  <c r="CD500" i="1"/>
  <c r="AU579" i="1"/>
  <c r="GM564" i="1"/>
  <c r="GN564" i="1"/>
  <c r="GN566" i="1"/>
  <c r="GM566" i="1"/>
  <c r="GM577" i="1"/>
  <c r="GN577" i="1"/>
  <c r="EM500" i="1"/>
  <c r="P598" i="1"/>
  <c r="CI645" i="1"/>
  <c r="AZ702" i="1"/>
  <c r="P857" i="1"/>
  <c r="EV825" i="1"/>
  <c r="EV961" i="1"/>
  <c r="DN457" i="1"/>
  <c r="P491" i="1"/>
  <c r="DN609" i="1"/>
  <c r="GN525" i="1"/>
  <c r="GM532" i="1"/>
  <c r="GN532" i="1"/>
  <c r="CP648" i="1"/>
  <c r="O648" i="1" s="1"/>
  <c r="DU702" i="1"/>
  <c r="CY649" i="1"/>
  <c r="X649" i="1" s="1"/>
  <c r="CZ649" i="1"/>
  <c r="Y649" i="1" s="1"/>
  <c r="AL702" i="1" s="1"/>
  <c r="AF702" i="1"/>
  <c r="AQ825" i="1"/>
  <c r="F842" i="1"/>
  <c r="AQ961" i="1"/>
  <c r="U457" i="1"/>
  <c r="F490" i="1"/>
  <c r="U609" i="1"/>
  <c r="BA457" i="1"/>
  <c r="F488" i="1"/>
  <c r="BA609" i="1"/>
  <c r="ER468" i="1"/>
  <c r="GA457" i="1"/>
  <c r="AP645" i="1"/>
  <c r="F711" i="1"/>
  <c r="EV734" i="1"/>
  <c r="P784" i="1"/>
  <c r="P841" i="1"/>
  <c r="EH825" i="1"/>
  <c r="EH961" i="1"/>
  <c r="DM457" i="1"/>
  <c r="P490" i="1"/>
  <c r="GM529" i="1"/>
  <c r="GN529" i="1"/>
  <c r="GM537" i="1"/>
  <c r="GN537" i="1"/>
  <c r="GM544" i="1"/>
  <c r="GN544" i="1"/>
  <c r="GM552" i="1"/>
  <c r="GN552" i="1"/>
  <c r="CZ560" i="1"/>
  <c r="Y560" i="1" s="1"/>
  <c r="CY560" i="1"/>
  <c r="X560" i="1" s="1"/>
  <c r="AK579" i="1" s="1"/>
  <c r="DY500" i="1"/>
  <c r="DL579" i="1"/>
  <c r="GM659" i="1"/>
  <c r="GN659" i="1"/>
  <c r="CB702" i="1" s="1"/>
  <c r="GM697" i="1"/>
  <c r="GO697" i="1"/>
  <c r="GM738" i="1"/>
  <c r="GN738" i="1"/>
  <c r="CI759" i="1"/>
  <c r="BY734" i="1"/>
  <c r="AP759" i="1"/>
  <c r="AP789" i="1" s="1"/>
  <c r="CY747" i="1"/>
  <c r="X747" i="1" s="1"/>
  <c r="CZ747" i="1"/>
  <c r="Y747" i="1" s="1"/>
  <c r="CY755" i="1"/>
  <c r="X755" i="1" s="1"/>
  <c r="CZ755" i="1"/>
  <c r="Y755" i="1" s="1"/>
  <c r="BC734" i="1"/>
  <c r="F775" i="1"/>
  <c r="AC832" i="1"/>
  <c r="CP827" i="1"/>
  <c r="O827" i="1" s="1"/>
  <c r="DH832" i="1"/>
  <c r="FW832" i="1"/>
  <c r="FX832" i="1"/>
  <c r="DU825" i="1"/>
  <c r="FZ832" i="1"/>
  <c r="GO698" i="1"/>
  <c r="GM698" i="1"/>
  <c r="AF734" i="1"/>
  <c r="S759" i="1"/>
  <c r="DW734" i="1"/>
  <c r="DJ759" i="1"/>
  <c r="AJ825" i="1"/>
  <c r="W832" i="1"/>
  <c r="DP832" i="1"/>
  <c r="EC825" i="1"/>
  <c r="P839" i="1"/>
  <c r="EP825" i="1"/>
  <c r="DZ864" i="1"/>
  <c r="DM931" i="1"/>
  <c r="CY872" i="1"/>
  <c r="X872" i="1" s="1"/>
  <c r="AK931" i="1" s="1"/>
  <c r="CZ872" i="1"/>
  <c r="Y872" i="1" s="1"/>
  <c r="AF931" i="1"/>
  <c r="F947" i="1"/>
  <c r="BC961" i="1"/>
  <c r="BC864" i="1"/>
  <c r="EU997" i="1"/>
  <c r="P1024" i="1"/>
  <c r="EU1294" i="1"/>
  <c r="DO702" i="1"/>
  <c r="EB645" i="1"/>
  <c r="CP657" i="1"/>
  <c r="O657" i="1" s="1"/>
  <c r="CG645" i="1"/>
  <c r="AX702" i="1"/>
  <c r="EI645" i="1"/>
  <c r="P712" i="1"/>
  <c r="EI789" i="1"/>
  <c r="T734" i="1"/>
  <c r="F780" i="1"/>
  <c r="AD832" i="1"/>
  <c r="CY881" i="1"/>
  <c r="X881" i="1" s="1"/>
  <c r="CZ881" i="1"/>
  <c r="Y881" i="1" s="1"/>
  <c r="CY893" i="1"/>
  <c r="X893" i="1" s="1"/>
  <c r="CZ893" i="1"/>
  <c r="Y893" i="1" s="1"/>
  <c r="ET864" i="1"/>
  <c r="P944" i="1"/>
  <c r="P1111" i="1"/>
  <c r="EL1040" i="1"/>
  <c r="GM647" i="1"/>
  <c r="GO647" i="1"/>
  <c r="CJ734" i="1"/>
  <c r="BA759" i="1"/>
  <c r="AE832" i="1"/>
  <c r="EA825" i="1"/>
  <c r="DN832" i="1"/>
  <c r="GA825" i="1"/>
  <c r="ER832" i="1"/>
  <c r="GO871" i="1"/>
  <c r="GM871" i="1"/>
  <c r="CZ907" i="1"/>
  <c r="Y907" i="1" s="1"/>
  <c r="CY907" i="1"/>
  <c r="X907" i="1" s="1"/>
  <c r="CZ919" i="1"/>
  <c r="Y919" i="1" s="1"/>
  <c r="CY919" i="1"/>
  <c r="X919" i="1" s="1"/>
  <c r="GO922" i="1"/>
  <c r="GM922" i="1"/>
  <c r="CZ927" i="1"/>
  <c r="Y927" i="1" s="1"/>
  <c r="CY927" i="1"/>
  <c r="X927" i="1" s="1"/>
  <c r="GO927" i="1" s="1"/>
  <c r="AO864" i="1"/>
  <c r="F935" i="1"/>
  <c r="AO961" i="1"/>
  <c r="F1023" i="1"/>
  <c r="S997" i="1"/>
  <c r="DW997" i="1"/>
  <c r="DJ1008" i="1"/>
  <c r="CZ1046" i="1"/>
  <c r="Y1046" i="1" s="1"/>
  <c r="CY1046" i="1"/>
  <c r="X1046" i="1" s="1"/>
  <c r="CZ1050" i="1"/>
  <c r="Y1050" i="1" s="1"/>
  <c r="CY1050" i="1"/>
  <c r="X1050" i="1" s="1"/>
  <c r="CZ1054" i="1"/>
  <c r="Y1054" i="1" s="1"/>
  <c r="CY1054" i="1"/>
  <c r="X1054" i="1" s="1"/>
  <c r="CZ1058" i="1"/>
  <c r="Y1058" i="1" s="1"/>
  <c r="CY1058" i="1"/>
  <c r="X1058" i="1" s="1"/>
  <c r="CZ1067" i="1"/>
  <c r="Y1067" i="1" s="1"/>
  <c r="CY1067" i="1"/>
  <c r="X1067" i="1" s="1"/>
  <c r="GN1070" i="1"/>
  <c r="GM1070" i="1"/>
  <c r="CZ1079" i="1"/>
  <c r="Y1079" i="1" s="1"/>
  <c r="CY1079" i="1"/>
  <c r="X1079" i="1" s="1"/>
  <c r="CZ1087" i="1"/>
  <c r="Y1087" i="1" s="1"/>
  <c r="CY1087" i="1"/>
  <c r="X1087" i="1" s="1"/>
  <c r="CZ1091" i="1"/>
  <c r="Y1091" i="1" s="1"/>
  <c r="CY1091" i="1"/>
  <c r="X1091" i="1" s="1"/>
  <c r="P1109" i="1"/>
  <c r="EU1040" i="1"/>
  <c r="BC1125" i="1"/>
  <c r="F1172" i="1"/>
  <c r="CJ645" i="1"/>
  <c r="BA702" i="1"/>
  <c r="GO668" i="1"/>
  <c r="GM668" i="1"/>
  <c r="EM645" i="1"/>
  <c r="P721" i="1"/>
  <c r="EM789" i="1"/>
  <c r="AJ734" i="1"/>
  <c r="W759" i="1"/>
  <c r="FZ759" i="1"/>
  <c r="DU734" i="1"/>
  <c r="DH759" i="1"/>
  <c r="FW759" i="1"/>
  <c r="FX759" i="1"/>
  <c r="GM748" i="1"/>
  <c r="GN748" i="1"/>
  <c r="DO825" i="1"/>
  <c r="P856" i="1"/>
  <c r="GB825" i="1"/>
  <c r="ES832" i="1"/>
  <c r="GK866" i="1"/>
  <c r="GM866" i="1" s="1"/>
  <c r="AE931" i="1"/>
  <c r="GB864" i="1"/>
  <c r="ES931" i="1"/>
  <c r="CY876" i="1"/>
  <c r="X876" i="1" s="1"/>
  <c r="CZ876" i="1"/>
  <c r="Y876" i="1" s="1"/>
  <c r="CP914" i="1"/>
  <c r="O914" i="1" s="1"/>
  <c r="EV864" i="1"/>
  <c r="P956" i="1"/>
  <c r="ET997" i="1"/>
  <c r="P1021" i="1"/>
  <c r="ET1294" i="1"/>
  <c r="CP1044" i="1"/>
  <c r="O1044" i="1" s="1"/>
  <c r="CP1052" i="1"/>
  <c r="O1052" i="1" s="1"/>
  <c r="CP1060" i="1"/>
  <c r="O1060" i="1" s="1"/>
  <c r="CP1079" i="1"/>
  <c r="O1079" i="1" s="1"/>
  <c r="CP1087" i="1"/>
  <c r="O1087" i="1" s="1"/>
  <c r="EV1040" i="1"/>
  <c r="P1118" i="1"/>
  <c r="ET1125" i="1"/>
  <c r="P1169" i="1"/>
  <c r="AG997" i="1"/>
  <c r="T1008" i="1"/>
  <c r="FW997" i="1"/>
  <c r="EN1008" i="1"/>
  <c r="FY997" i="1"/>
  <c r="EP1008" i="1"/>
  <c r="GM1043" i="1"/>
  <c r="GN1043" i="1"/>
  <c r="GM1051" i="1"/>
  <c r="GN1051" i="1"/>
  <c r="CG1040" i="1"/>
  <c r="AX1093" i="1"/>
  <c r="EA1125" i="1"/>
  <c r="DN1156" i="1"/>
  <c r="AD1188" i="1"/>
  <c r="Q1223" i="1"/>
  <c r="AZ1264" i="1"/>
  <c r="CI1255" i="1"/>
  <c r="BD1389" i="1"/>
  <c r="F1443" i="1"/>
  <c r="EM864" i="1"/>
  <c r="P950" i="1"/>
  <c r="DL1008" i="1"/>
  <c r="DY997" i="1"/>
  <c r="DY1040" i="1"/>
  <c r="DL1093" i="1"/>
  <c r="GM1053" i="1"/>
  <c r="GN1053" i="1"/>
  <c r="GM1090" i="1"/>
  <c r="GN1090" i="1"/>
  <c r="CZ1134" i="1"/>
  <c r="Y1134" i="1" s="1"/>
  <c r="CY1134" i="1"/>
  <c r="X1134" i="1" s="1"/>
  <c r="GM1134" i="1" s="1"/>
  <c r="CZ1145" i="1"/>
  <c r="Y1145" i="1" s="1"/>
  <c r="CY1145" i="1"/>
  <c r="X1145" i="1" s="1"/>
  <c r="CZ1153" i="1"/>
  <c r="Y1153" i="1" s="1"/>
  <c r="CY1153" i="1"/>
  <c r="X1153" i="1" s="1"/>
  <c r="CP1198" i="1"/>
  <c r="O1198" i="1" s="1"/>
  <c r="CZ1199" i="1"/>
  <c r="Y1199" i="1" s="1"/>
  <c r="CY1199" i="1"/>
  <c r="X1199" i="1" s="1"/>
  <c r="CP1201" i="1"/>
  <c r="O1201" i="1" s="1"/>
  <c r="DT1223" i="1" s="1"/>
  <c r="DU1223" i="1"/>
  <c r="P1280" i="1"/>
  <c r="EU1255" i="1"/>
  <c r="AE1418" i="1"/>
  <c r="GK1393" i="1"/>
  <c r="AO1389" i="1"/>
  <c r="F1422" i="1"/>
  <c r="GO892" i="1"/>
  <c r="AI997" i="1"/>
  <c r="V1008" i="1"/>
  <c r="GM1195" i="1"/>
  <c r="GN1195" i="1"/>
  <c r="CY1201" i="1"/>
  <c r="X1201" i="1" s="1"/>
  <c r="CZ1201" i="1"/>
  <c r="Y1201" i="1" s="1"/>
  <c r="EL1188" i="1"/>
  <c r="P1241" i="1"/>
  <c r="AP1255" i="1"/>
  <c r="F1273" i="1"/>
  <c r="F1366" i="1"/>
  <c r="AP1330" i="1"/>
  <c r="GM887" i="1"/>
  <c r="GO887" i="1"/>
  <c r="F941" i="1"/>
  <c r="AQ864" i="1"/>
  <c r="FY864" i="1"/>
  <c r="EP931" i="1"/>
  <c r="GO917" i="1"/>
  <c r="GM917" i="1"/>
  <c r="AJ997" i="1"/>
  <c r="W1008" i="1"/>
  <c r="GA997" i="1"/>
  <c r="ER1008" i="1"/>
  <c r="GB1040" i="1"/>
  <c r="ES1093" i="1"/>
  <c r="GM1057" i="1"/>
  <c r="GN1057" i="1"/>
  <c r="GM1066" i="1"/>
  <c r="GN1066" i="1"/>
  <c r="GM1078" i="1"/>
  <c r="GN1078" i="1"/>
  <c r="AC1156" i="1"/>
  <c r="GM1129" i="1"/>
  <c r="GN1129" i="1"/>
  <c r="GM1140" i="1"/>
  <c r="GN1140" i="1"/>
  <c r="GM1144" i="1"/>
  <c r="GN1144" i="1"/>
  <c r="GM1148" i="1"/>
  <c r="GN1148" i="1"/>
  <c r="GM1152" i="1"/>
  <c r="GN1152" i="1"/>
  <c r="CJ1188" i="1"/>
  <c r="BA1223" i="1"/>
  <c r="EB1188" i="1"/>
  <c r="DO1223" i="1"/>
  <c r="AJ1188" i="1"/>
  <c r="W1223" i="1"/>
  <c r="CY1217" i="1"/>
  <c r="X1217" i="1" s="1"/>
  <c r="GN1217" i="1" s="1"/>
  <c r="CZ1217" i="1"/>
  <c r="Y1217" i="1" s="1"/>
  <c r="CY1221" i="1"/>
  <c r="X1221" i="1" s="1"/>
  <c r="GN1221" i="1" s="1"/>
  <c r="CZ1221" i="1"/>
  <c r="Y1221" i="1" s="1"/>
  <c r="CY1258" i="1"/>
  <c r="X1258" i="1" s="1"/>
  <c r="EC1264" i="1" s="1"/>
  <c r="DX1264" i="1"/>
  <c r="CZ1258" i="1"/>
  <c r="Y1258" i="1" s="1"/>
  <c r="ED1264" i="1" s="1"/>
  <c r="BC1255" i="1"/>
  <c r="F1280" i="1"/>
  <c r="CP1332" i="1"/>
  <c r="O1332" i="1" s="1"/>
  <c r="AC1357" i="1"/>
  <c r="CY1334" i="1"/>
  <c r="X1334" i="1" s="1"/>
  <c r="GM1334" i="1" s="1"/>
  <c r="CZ1334" i="1"/>
  <c r="Y1334" i="1" s="1"/>
  <c r="AF1357" i="1"/>
  <c r="CY1351" i="1"/>
  <c r="X1351" i="1" s="1"/>
  <c r="GM1351" i="1" s="1"/>
  <c r="CZ1351" i="1"/>
  <c r="Y1351" i="1" s="1"/>
  <c r="GM1354" i="1"/>
  <c r="GN1354" i="1"/>
  <c r="BC1330" i="1"/>
  <c r="F1373" i="1"/>
  <c r="BC1448" i="1"/>
  <c r="FR1405" i="1"/>
  <c r="CP1405" i="1"/>
  <c r="O1405" i="1" s="1"/>
  <c r="GM1405" i="1" s="1"/>
  <c r="CY1406" i="1"/>
  <c r="X1406" i="1" s="1"/>
  <c r="CZ1406" i="1"/>
  <c r="Y1406" i="1" s="1"/>
  <c r="S1389" i="1"/>
  <c r="F1433" i="1"/>
  <c r="DW1389" i="1"/>
  <c r="DJ1418" i="1"/>
  <c r="GA1480" i="1"/>
  <c r="ER1485" i="1"/>
  <c r="F1505" i="1"/>
  <c r="BA1480" i="1"/>
  <c r="EA1188" i="1"/>
  <c r="DN1223" i="1"/>
  <c r="GA1255" i="1"/>
  <c r="ER1264" i="1"/>
  <c r="AI1330" i="1"/>
  <c r="V1357" i="1"/>
  <c r="GM1402" i="1"/>
  <c r="GA1389" i="1"/>
  <c r="ER1418" i="1"/>
  <c r="EP1418" i="1"/>
  <c r="FY1389" i="1"/>
  <c r="GN1416" i="1"/>
  <c r="GM1416" i="1"/>
  <c r="CA1480" i="1"/>
  <c r="AR1485" i="1"/>
  <c r="F1509" i="1"/>
  <c r="W1480" i="1"/>
  <c r="FW1480" i="1"/>
  <c r="EN1485" i="1"/>
  <c r="EO1485" i="1"/>
  <c r="FX1480" i="1"/>
  <c r="AU1188" i="1"/>
  <c r="F1242" i="1"/>
  <c r="ER1188" i="1"/>
  <c r="P1234" i="1"/>
  <c r="DV1264" i="1"/>
  <c r="EU1326" i="1"/>
  <c r="P1464" i="1"/>
  <c r="FW1389" i="1"/>
  <c r="EN1418" i="1"/>
  <c r="CF1480" i="1"/>
  <c r="AW1485" i="1"/>
  <c r="CH1480" i="1"/>
  <c r="AY1485" i="1"/>
  <c r="GN1211" i="1"/>
  <c r="GM1211" i="1"/>
  <c r="AP1188" i="1"/>
  <c r="F1232" i="1"/>
  <c r="AC1255" i="1"/>
  <c r="P1264" i="1"/>
  <c r="CE1264" i="1"/>
  <c r="CF1264" i="1"/>
  <c r="CH1264" i="1"/>
  <c r="DY1255" i="1"/>
  <c r="DL1264" i="1"/>
  <c r="T1357" i="1"/>
  <c r="AG1330" i="1"/>
  <c r="GA1330" i="1"/>
  <c r="ER1357" i="1"/>
  <c r="GM1391" i="1"/>
  <c r="GN1391" i="1"/>
  <c r="EM1389" i="1"/>
  <c r="P1437" i="1"/>
  <c r="T1480" i="1"/>
  <c r="F1506" i="1"/>
  <c r="F1507" i="1"/>
  <c r="U1480" i="1"/>
  <c r="AU1480" i="1"/>
  <c r="F1504" i="1"/>
  <c r="W23" i="2" s="1"/>
  <c r="DO1480" i="1"/>
  <c r="P1509" i="1"/>
  <c r="DZ1188" i="1"/>
  <c r="DM1223" i="1"/>
  <c r="AX1223" i="1"/>
  <c r="CG1188" i="1"/>
  <c r="DX1357" i="1"/>
  <c r="EM1330" i="1"/>
  <c r="P1376" i="1"/>
  <c r="EM1448" i="1"/>
  <c r="GO1347" i="1"/>
  <c r="FU1357" i="1" s="1"/>
  <c r="GM1347" i="1"/>
  <c r="GN1355" i="1"/>
  <c r="GM1355" i="1"/>
  <c r="EB1389" i="1"/>
  <c r="DO1418" i="1"/>
  <c r="CP1407" i="1"/>
  <c r="O1407" i="1" s="1"/>
  <c r="DX1480" i="1"/>
  <c r="DK1485" i="1"/>
  <c r="DG60" i="3"/>
  <c r="DH60" i="3"/>
  <c r="DF60" i="3"/>
  <c r="DJ60" i="3" s="1"/>
  <c r="DI60" i="3"/>
  <c r="DH49" i="3"/>
  <c r="DF49" i="3"/>
  <c r="DG49" i="3"/>
  <c r="DI49" i="3"/>
  <c r="DJ49" i="3" s="1"/>
  <c r="AU26" i="1"/>
  <c r="AU116" i="1"/>
  <c r="F50" i="1"/>
  <c r="EI26" i="1"/>
  <c r="P41" i="1"/>
  <c r="EI116" i="1"/>
  <c r="EN31" i="1"/>
  <c r="FW26" i="1"/>
  <c r="EH26" i="1"/>
  <c r="EH116" i="1"/>
  <c r="P40" i="1"/>
  <c r="FX26" i="1"/>
  <c r="EO31" i="1"/>
  <c r="EP86" i="1"/>
  <c r="FY63" i="1"/>
  <c r="X26" i="1"/>
  <c r="F57" i="1"/>
  <c r="AX26" i="1"/>
  <c r="F38" i="1"/>
  <c r="F90" i="1"/>
  <c r="AO63" i="1"/>
  <c r="DV193" i="1"/>
  <c r="CP28" i="1"/>
  <c r="O28" i="1" s="1"/>
  <c r="ED26" i="1"/>
  <c r="DQ31" i="1"/>
  <c r="Y26" i="1"/>
  <c r="F58" i="1"/>
  <c r="GM68" i="1"/>
  <c r="GN68" i="1"/>
  <c r="DG50" i="3"/>
  <c r="DJ50" i="3" s="1"/>
  <c r="DI50" i="3"/>
  <c r="DF50" i="3"/>
  <c r="DH50" i="3"/>
  <c r="GM84" i="1"/>
  <c r="GN84" i="1"/>
  <c r="CG63" i="1"/>
  <c r="AX86" i="1"/>
  <c r="AX116" i="1" s="1"/>
  <c r="EC193" i="1"/>
  <c r="GM159" i="1"/>
  <c r="GN159" i="1"/>
  <c r="GM165" i="1"/>
  <c r="GN165" i="1"/>
  <c r="GK166" i="1"/>
  <c r="GM166" i="1" s="1"/>
  <c r="AE193" i="1"/>
  <c r="AP63" i="1"/>
  <c r="F95" i="1"/>
  <c r="ED63" i="1"/>
  <c r="DQ86" i="1"/>
  <c r="CY178" i="1"/>
  <c r="X178" i="1" s="1"/>
  <c r="GM178" i="1" s="1"/>
  <c r="CZ178" i="1"/>
  <c r="Y178" i="1" s="1"/>
  <c r="AL193" i="1" s="1"/>
  <c r="AF193" i="1"/>
  <c r="BC152" i="1"/>
  <c r="F209" i="1"/>
  <c r="BC421" i="1"/>
  <c r="CP233" i="1"/>
  <c r="O233" i="1" s="1"/>
  <c r="AL86" i="1"/>
  <c r="AT152" i="1"/>
  <c r="F211" i="1"/>
  <c r="AT421" i="1"/>
  <c r="CP231" i="1"/>
  <c r="O231" i="1" s="1"/>
  <c r="AU63" i="1"/>
  <c r="F105" i="1"/>
  <c r="GM179" i="1"/>
  <c r="GN179" i="1"/>
  <c r="GM190" i="1"/>
  <c r="GN190" i="1"/>
  <c r="GN230" i="1"/>
  <c r="GM230" i="1"/>
  <c r="DZ63" i="1"/>
  <c r="DM86" i="1"/>
  <c r="GN174" i="1"/>
  <c r="GM174" i="1"/>
  <c r="CP186" i="1"/>
  <c r="O186" i="1" s="1"/>
  <c r="EG152" i="1"/>
  <c r="P197" i="1"/>
  <c r="EG421" i="1"/>
  <c r="CY236" i="1"/>
  <c r="X236" i="1" s="1"/>
  <c r="GN236" i="1" s="1"/>
  <c r="CZ236" i="1"/>
  <c r="Y236" i="1" s="1"/>
  <c r="DX348" i="1"/>
  <c r="CY240" i="1"/>
  <c r="X240" i="1" s="1"/>
  <c r="CZ240" i="1"/>
  <c r="Y240" i="1" s="1"/>
  <c r="ED348" i="1" s="1"/>
  <c r="AJ348" i="1"/>
  <c r="CP260" i="1"/>
  <c r="O260" i="1" s="1"/>
  <c r="CP265" i="1"/>
  <c r="O265" i="1" s="1"/>
  <c r="CP272" i="1"/>
  <c r="O272" i="1" s="1"/>
  <c r="CP280" i="1"/>
  <c r="O280" i="1" s="1"/>
  <c r="EU225" i="1"/>
  <c r="P364" i="1"/>
  <c r="CZ255" i="1"/>
  <c r="Y255" i="1" s="1"/>
  <c r="CY255" i="1"/>
  <c r="X255" i="1" s="1"/>
  <c r="GN255" i="1" s="1"/>
  <c r="CY269" i="1"/>
  <c r="X269" i="1" s="1"/>
  <c r="GM269" i="1" s="1"/>
  <c r="CZ269" i="1"/>
  <c r="Y269" i="1" s="1"/>
  <c r="GN271" i="1"/>
  <c r="GM271" i="1"/>
  <c r="AP225" i="1"/>
  <c r="F357" i="1"/>
  <c r="EV225" i="1"/>
  <c r="P373" i="1"/>
  <c r="EV421" i="1"/>
  <c r="F401" i="1"/>
  <c r="AQ380" i="1"/>
  <c r="GM227" i="1"/>
  <c r="CY254" i="1"/>
  <c r="X254" i="1" s="1"/>
  <c r="CZ254" i="1"/>
  <c r="Y254" i="1" s="1"/>
  <c r="GM268" i="1"/>
  <c r="GN268" i="1"/>
  <c r="CY274" i="1"/>
  <c r="X274" i="1" s="1"/>
  <c r="GM274" i="1" s="1"/>
  <c r="CZ274" i="1"/>
  <c r="Y274" i="1" s="1"/>
  <c r="AQ225" i="1"/>
  <c r="F358" i="1"/>
  <c r="GP385" i="1"/>
  <c r="GM385" i="1"/>
  <c r="P404" i="1"/>
  <c r="ET380" i="1"/>
  <c r="CP254" i="1"/>
  <c r="O254" i="1" s="1"/>
  <c r="GM289" i="1"/>
  <c r="GN289" i="1"/>
  <c r="GM296" i="1"/>
  <c r="GN296" i="1"/>
  <c r="GM303" i="1"/>
  <c r="GN303" i="1"/>
  <c r="GM316" i="1"/>
  <c r="GN316" i="1"/>
  <c r="GM331" i="1"/>
  <c r="GN331" i="1"/>
  <c r="GM338" i="1"/>
  <c r="GN338" i="1"/>
  <c r="GM345" i="1"/>
  <c r="GN345" i="1"/>
  <c r="FY225" i="1"/>
  <c r="EP348" i="1"/>
  <c r="GK383" i="1"/>
  <c r="DW391" i="1"/>
  <c r="EG457" i="1"/>
  <c r="P472" i="1"/>
  <c r="EG609" i="1"/>
  <c r="GN317" i="1"/>
  <c r="GM317" i="1"/>
  <c r="GN327" i="1"/>
  <c r="GM327" i="1"/>
  <c r="DL391" i="1"/>
  <c r="DY380" i="1"/>
  <c r="GK459" i="1"/>
  <c r="AE468" i="1"/>
  <c r="CY462" i="1"/>
  <c r="X462" i="1" s="1"/>
  <c r="GM462" i="1" s="1"/>
  <c r="CZ462" i="1"/>
  <c r="Y462" i="1" s="1"/>
  <c r="GM463" i="1"/>
  <c r="GN463" i="1"/>
  <c r="EL457" i="1"/>
  <c r="P486" i="1"/>
  <c r="EL609" i="1"/>
  <c r="AC579" i="1"/>
  <c r="CP502" i="1"/>
  <c r="O502" i="1" s="1"/>
  <c r="F415" i="1"/>
  <c r="W380" i="1"/>
  <c r="ES380" i="1"/>
  <c r="P411" i="1"/>
  <c r="CY465" i="1"/>
  <c r="X465" i="1" s="1"/>
  <c r="GM465" i="1" s="1"/>
  <c r="CZ465" i="1"/>
  <c r="Y465" i="1" s="1"/>
  <c r="AL468" i="1" s="1"/>
  <c r="AF468" i="1"/>
  <c r="GK502" i="1"/>
  <c r="AE579" i="1"/>
  <c r="GM508" i="1"/>
  <c r="GN508" i="1"/>
  <c r="AF380" i="1"/>
  <c r="S391" i="1"/>
  <c r="EB380" i="1"/>
  <c r="DO391" i="1"/>
  <c r="AX380" i="1"/>
  <c r="F398" i="1"/>
  <c r="GN518" i="1"/>
  <c r="GM518" i="1"/>
  <c r="BC500" i="1"/>
  <c r="F595" i="1"/>
  <c r="BC609" i="1"/>
  <c r="GN270" i="1"/>
  <c r="GN278" i="1"/>
  <c r="AG380" i="1"/>
  <c r="T391" i="1"/>
  <c r="ER391" i="1"/>
  <c r="GA380" i="1"/>
  <c r="CP459" i="1"/>
  <c r="O459" i="1" s="1"/>
  <c r="GK505" i="1"/>
  <c r="GM505" i="1" s="1"/>
  <c r="DW579" i="1"/>
  <c r="BD500" i="1"/>
  <c r="BD609" i="1"/>
  <c r="F604" i="1"/>
  <c r="GM515" i="1"/>
  <c r="GN515" i="1"/>
  <c r="GM545" i="1"/>
  <c r="GN545" i="1"/>
  <c r="GM553" i="1"/>
  <c r="GN553" i="1"/>
  <c r="EU500" i="1"/>
  <c r="P595" i="1"/>
  <c r="ET645" i="1"/>
  <c r="ET789" i="1"/>
  <c r="P715" i="1"/>
  <c r="AG457" i="1"/>
  <c r="T468" i="1"/>
  <c r="DU468" i="1"/>
  <c r="P487" i="1"/>
  <c r="EM457" i="1"/>
  <c r="EM609" i="1"/>
  <c r="GM539" i="1"/>
  <c r="GN539" i="1"/>
  <c r="CZ568" i="1"/>
  <c r="Y568" i="1" s="1"/>
  <c r="CY568" i="1"/>
  <c r="X568" i="1" s="1"/>
  <c r="GN568" i="1" s="1"/>
  <c r="GN575" i="1"/>
  <c r="AP500" i="1"/>
  <c r="F588" i="1"/>
  <c r="DV702" i="1"/>
  <c r="EG825" i="1"/>
  <c r="P836" i="1"/>
  <c r="EG961" i="1"/>
  <c r="GB457" i="1"/>
  <c r="ES468" i="1"/>
  <c r="EI457" i="1"/>
  <c r="P478" i="1"/>
  <c r="EI609" i="1"/>
  <c r="GN505" i="1"/>
  <c r="GM526" i="1"/>
  <c r="GN526" i="1"/>
  <c r="GM541" i="1"/>
  <c r="GN541" i="1"/>
  <c r="F715" i="1"/>
  <c r="BB645" i="1"/>
  <c r="BB789" i="1"/>
  <c r="EL825" i="1"/>
  <c r="P850" i="1"/>
  <c r="CP504" i="1"/>
  <c r="O504" i="1" s="1"/>
  <c r="GM512" i="1"/>
  <c r="GN512" i="1"/>
  <c r="GM519" i="1"/>
  <c r="GN519" i="1"/>
  <c r="GM567" i="1"/>
  <c r="GN567" i="1"/>
  <c r="CZ575" i="1"/>
  <c r="Y575" i="1" s="1"/>
  <c r="CY575" i="1"/>
  <c r="X575" i="1" s="1"/>
  <c r="GM575" i="1" s="1"/>
  <c r="BB500" i="1"/>
  <c r="F592" i="1"/>
  <c r="GM655" i="1"/>
  <c r="GO655" i="1"/>
  <c r="GM667" i="1"/>
  <c r="GO667" i="1"/>
  <c r="GM673" i="1"/>
  <c r="GO673" i="1"/>
  <c r="GM679" i="1"/>
  <c r="GO679" i="1"/>
  <c r="BC645" i="1"/>
  <c r="F718" i="1"/>
  <c r="BC789" i="1"/>
  <c r="CY739" i="1"/>
  <c r="X739" i="1" s="1"/>
  <c r="GM739" i="1" s="1"/>
  <c r="CZ739" i="1"/>
  <c r="Y739" i="1" s="1"/>
  <c r="ED759" i="1" s="1"/>
  <c r="GM742" i="1"/>
  <c r="GN742" i="1"/>
  <c r="GM750" i="1"/>
  <c r="GN750" i="1"/>
  <c r="EU825" i="1"/>
  <c r="P848" i="1"/>
  <c r="EU961" i="1"/>
  <c r="AE702" i="1"/>
  <c r="GO674" i="1"/>
  <c r="GM674" i="1"/>
  <c r="AE759" i="1"/>
  <c r="X759" i="1"/>
  <c r="AK734" i="1"/>
  <c r="GO879" i="1"/>
  <c r="GM879" i="1"/>
  <c r="CZ891" i="1"/>
  <c r="Y891" i="1" s="1"/>
  <c r="CY891" i="1"/>
  <c r="X891" i="1" s="1"/>
  <c r="EG864" i="1"/>
  <c r="P935" i="1"/>
  <c r="EG1040" i="1"/>
  <c r="P1097" i="1"/>
  <c r="EU1125" i="1"/>
  <c r="P1172" i="1"/>
  <c r="DZ645" i="1"/>
  <c r="DM702" i="1"/>
  <c r="EP702" i="1"/>
  <c r="FY645" i="1"/>
  <c r="Y759" i="1"/>
  <c r="AL734" i="1"/>
  <c r="EC759" i="1"/>
  <c r="CI825" i="1"/>
  <c r="AZ832" i="1"/>
  <c r="P853" i="1"/>
  <c r="DL825" i="1"/>
  <c r="DL961" i="1"/>
  <c r="CP867" i="1"/>
  <c r="O867" i="1" s="1"/>
  <c r="CP869" i="1"/>
  <c r="O869" i="1" s="1"/>
  <c r="DU931" i="1"/>
  <c r="CP881" i="1"/>
  <c r="O881" i="1" s="1"/>
  <c r="CP893" i="1"/>
  <c r="O893" i="1" s="1"/>
  <c r="AD1008" i="1"/>
  <c r="ET1040" i="1"/>
  <c r="P1106" i="1"/>
  <c r="T702" i="1"/>
  <c r="AG645" i="1"/>
  <c r="AC759" i="1"/>
  <c r="DY734" i="1"/>
  <c r="DL759" i="1"/>
  <c r="GN745" i="1"/>
  <c r="GM745" i="1"/>
  <c r="GN753" i="1"/>
  <c r="GM753" i="1"/>
  <c r="AH825" i="1"/>
  <c r="U832" i="1"/>
  <c r="AD931" i="1"/>
  <c r="CY874" i="1"/>
  <c r="X874" i="1" s="1"/>
  <c r="CZ874" i="1"/>
  <c r="Y874" i="1" s="1"/>
  <c r="GO876" i="1"/>
  <c r="GM876" i="1"/>
  <c r="CZ902" i="1"/>
  <c r="Y902" i="1" s="1"/>
  <c r="CY902" i="1"/>
  <c r="X902" i="1" s="1"/>
  <c r="CZ910" i="1"/>
  <c r="Y910" i="1" s="1"/>
  <c r="AL931" i="1" s="1"/>
  <c r="CY910" i="1"/>
  <c r="X910" i="1" s="1"/>
  <c r="CZ914" i="1"/>
  <c r="Y914" i="1" s="1"/>
  <c r="CY914" i="1"/>
  <c r="X914" i="1" s="1"/>
  <c r="EU864" i="1"/>
  <c r="P947" i="1"/>
  <c r="GN1001" i="1"/>
  <c r="GM1001" i="1"/>
  <c r="GN1005" i="1"/>
  <c r="GM1005" i="1"/>
  <c r="AQ997" i="1"/>
  <c r="F1018" i="1"/>
  <c r="AQ1294" i="1"/>
  <c r="EG997" i="1"/>
  <c r="P1012" i="1"/>
  <c r="EG1294" i="1"/>
  <c r="CZ1074" i="1"/>
  <c r="Y1074" i="1" s="1"/>
  <c r="CY1074" i="1"/>
  <c r="X1074" i="1" s="1"/>
  <c r="CZ1082" i="1"/>
  <c r="Y1082" i="1" s="1"/>
  <c r="CY1082" i="1"/>
  <c r="X1082" i="1" s="1"/>
  <c r="CZ1128" i="1"/>
  <c r="Y1128" i="1" s="1"/>
  <c r="CY1128" i="1"/>
  <c r="X1128" i="1" s="1"/>
  <c r="DX1156" i="1"/>
  <c r="CZ1132" i="1"/>
  <c r="Y1132" i="1" s="1"/>
  <c r="CY1132" i="1"/>
  <c r="X1132" i="1" s="1"/>
  <c r="DW1125" i="1"/>
  <c r="DJ1156" i="1"/>
  <c r="EI500" i="1"/>
  <c r="P589" i="1"/>
  <c r="AU645" i="1"/>
  <c r="F721" i="1"/>
  <c r="AU789" i="1"/>
  <c r="AQ734" i="1"/>
  <c r="F769" i="1"/>
  <c r="GN737" i="1"/>
  <c r="DT759" i="1"/>
  <c r="GM737" i="1"/>
  <c r="Y825" i="1"/>
  <c r="F859" i="1"/>
  <c r="AI825" i="1"/>
  <c r="V832" i="1"/>
  <c r="DJ825" i="1"/>
  <c r="DJ961" i="1"/>
  <c r="P846" i="1"/>
  <c r="CY869" i="1"/>
  <c r="X869" i="1" s="1"/>
  <c r="CZ869" i="1"/>
  <c r="Y869" i="1" s="1"/>
  <c r="GM882" i="1"/>
  <c r="GO882" i="1"/>
  <c r="CP888" i="1"/>
  <c r="O888" i="1" s="1"/>
  <c r="CP916" i="1"/>
  <c r="O916" i="1" s="1"/>
  <c r="CP924" i="1"/>
  <c r="O924" i="1" s="1"/>
  <c r="GA864" i="1"/>
  <c r="ER931" i="1"/>
  <c r="CP1046" i="1"/>
  <c r="O1046" i="1" s="1"/>
  <c r="CP1054" i="1"/>
  <c r="O1054" i="1" s="1"/>
  <c r="CP1065" i="1"/>
  <c r="O1065" i="1" s="1"/>
  <c r="DT1093" i="1" s="1"/>
  <c r="CP1089" i="1"/>
  <c r="O1089" i="1" s="1"/>
  <c r="GA1040" i="1"/>
  <c r="ER1093" i="1"/>
  <c r="AI864" i="1"/>
  <c r="V931" i="1"/>
  <c r="GO920" i="1"/>
  <c r="GM920" i="1"/>
  <c r="P1011" i="1"/>
  <c r="DH997" i="1"/>
  <c r="EI997" i="1"/>
  <c r="P1018" i="1"/>
  <c r="EI1294" i="1"/>
  <c r="DI1093" i="1"/>
  <c r="DV1040" i="1"/>
  <c r="GM1055" i="1"/>
  <c r="GN1055" i="1"/>
  <c r="EM1040" i="1"/>
  <c r="P1112" i="1"/>
  <c r="GM1075" i="1"/>
  <c r="GN1075" i="1"/>
  <c r="CP1136" i="1"/>
  <c r="O1136" i="1" s="1"/>
  <c r="CZ1139" i="1"/>
  <c r="Y1139" i="1" s="1"/>
  <c r="AL1156" i="1" s="1"/>
  <c r="CY1139" i="1"/>
  <c r="X1139" i="1" s="1"/>
  <c r="AK1156" i="1" s="1"/>
  <c r="AF1156" i="1"/>
  <c r="GM1199" i="1"/>
  <c r="GN1199" i="1"/>
  <c r="P1282" i="1"/>
  <c r="EL1255" i="1"/>
  <c r="AC1008" i="1"/>
  <c r="DX1093" i="1"/>
  <c r="GM1045" i="1"/>
  <c r="GN1045" i="1"/>
  <c r="GB1125" i="1"/>
  <c r="ES1156" i="1"/>
  <c r="GM1133" i="1"/>
  <c r="GN1133" i="1"/>
  <c r="FR1125" i="1"/>
  <c r="EI1156" i="1"/>
  <c r="FY1156" i="1"/>
  <c r="GA1156" i="1"/>
  <c r="CZ1147" i="1"/>
  <c r="Y1147" i="1" s="1"/>
  <c r="CY1147" i="1"/>
  <c r="X1147" i="1" s="1"/>
  <c r="GM1192" i="1"/>
  <c r="GN1192" i="1"/>
  <c r="BC1188" i="1"/>
  <c r="F1239" i="1"/>
  <c r="AE1357" i="1"/>
  <c r="GK1332" i="1"/>
  <c r="BD1480" i="1"/>
  <c r="F1510" i="1"/>
  <c r="GO911" i="1"/>
  <c r="GM911" i="1"/>
  <c r="AH997" i="1"/>
  <c r="U1008" i="1"/>
  <c r="GM1002" i="1"/>
  <c r="GN1002" i="1"/>
  <c r="AI1040" i="1"/>
  <c r="V1093" i="1"/>
  <c r="FY1040" i="1"/>
  <c r="EP1093" i="1"/>
  <c r="CP1141" i="1"/>
  <c r="O1141" i="1" s="1"/>
  <c r="CP1145" i="1"/>
  <c r="O1145" i="1" s="1"/>
  <c r="CP1149" i="1"/>
  <c r="O1149" i="1" s="1"/>
  <c r="CP1153" i="1"/>
  <c r="O1153" i="1" s="1"/>
  <c r="CZ1192" i="1"/>
  <c r="Y1192" i="1" s="1"/>
  <c r="CY1192" i="1"/>
  <c r="X1192" i="1" s="1"/>
  <c r="AK1223" i="1" s="1"/>
  <c r="AF1223" i="1"/>
  <c r="GM1196" i="1"/>
  <c r="GN1196" i="1"/>
  <c r="ET1188" i="1"/>
  <c r="P1236" i="1"/>
  <c r="AT1255" i="1"/>
  <c r="F1282" i="1"/>
  <c r="F1370" i="1"/>
  <c r="BB1448" i="1"/>
  <c r="BB1330" i="1"/>
  <c r="EV1389" i="1"/>
  <c r="P1443" i="1"/>
  <c r="CP891" i="1"/>
  <c r="O891" i="1" s="1"/>
  <c r="CP919" i="1"/>
  <c r="O919" i="1" s="1"/>
  <c r="DZ997" i="1"/>
  <c r="DM1008" i="1"/>
  <c r="GB997" i="1"/>
  <c r="ES1008" i="1"/>
  <c r="F1111" i="1"/>
  <c r="AT1040" i="1"/>
  <c r="AT1294" i="1"/>
  <c r="BZ1125" i="1"/>
  <c r="AQ1156" i="1"/>
  <c r="CG1156" i="1"/>
  <c r="CZ1136" i="1"/>
  <c r="Y1136" i="1" s="1"/>
  <c r="CY1136" i="1"/>
  <c r="X1136" i="1" s="1"/>
  <c r="GK1193" i="1"/>
  <c r="DW1223" i="1"/>
  <c r="CY1203" i="1"/>
  <c r="X1203" i="1" s="1"/>
  <c r="CZ1203" i="1"/>
  <c r="Y1203" i="1" s="1"/>
  <c r="CY1207" i="1"/>
  <c r="X1207" i="1" s="1"/>
  <c r="GN1207" i="1" s="1"/>
  <c r="CZ1207" i="1"/>
  <c r="Y1207" i="1" s="1"/>
  <c r="GM1210" i="1"/>
  <c r="GN1210" i="1"/>
  <c r="CY1212" i="1"/>
  <c r="X1212" i="1" s="1"/>
  <c r="GM1212" i="1" s="1"/>
  <c r="CZ1212" i="1"/>
  <c r="Y1212" i="1" s="1"/>
  <c r="GK1257" i="1"/>
  <c r="AE1264" i="1"/>
  <c r="DT1264" i="1"/>
  <c r="GM1258" i="1"/>
  <c r="GN1258" i="1"/>
  <c r="FT1264" i="1" s="1"/>
  <c r="DJ1264" i="1"/>
  <c r="DW1255" i="1"/>
  <c r="CY1341" i="1"/>
  <c r="X1341" i="1" s="1"/>
  <c r="EC1357" i="1" s="1"/>
  <c r="CZ1341" i="1"/>
  <c r="Y1341" i="1" s="1"/>
  <c r="ED1357" i="1" s="1"/>
  <c r="CY1345" i="1"/>
  <c r="X1345" i="1" s="1"/>
  <c r="GM1345" i="1" s="1"/>
  <c r="CZ1345" i="1"/>
  <c r="Y1345" i="1" s="1"/>
  <c r="DW1330" i="1"/>
  <c r="DJ1357" i="1"/>
  <c r="X1418" i="1"/>
  <c r="AK1389" i="1"/>
  <c r="GM1406" i="1"/>
  <c r="AQ1389" i="1"/>
  <c r="F1428" i="1"/>
  <c r="P1422" i="1"/>
  <c r="EG1389" i="1"/>
  <c r="F1498" i="1"/>
  <c r="BB1480" i="1"/>
  <c r="EI1480" i="1"/>
  <c r="P1495" i="1"/>
  <c r="EH1255" i="1"/>
  <c r="P1273" i="1"/>
  <c r="AQ1255" i="1"/>
  <c r="F1274" i="1"/>
  <c r="U1357" i="1"/>
  <c r="AH1330" i="1"/>
  <c r="Y1418" i="1"/>
  <c r="AL1389" i="1"/>
  <c r="CB1480" i="1"/>
  <c r="AS1485" i="1"/>
  <c r="DH1480" i="1"/>
  <c r="P1488" i="1"/>
  <c r="AG1255" i="1"/>
  <c r="T1264" i="1"/>
  <c r="P1274" i="1"/>
  <c r="EI1255" i="1"/>
  <c r="AJ1330" i="1"/>
  <c r="W1357" i="1"/>
  <c r="EI1330" i="1"/>
  <c r="P1367" i="1"/>
  <c r="EI1448" i="1"/>
  <c r="CG1330" i="1"/>
  <c r="AX1357" i="1"/>
  <c r="CJ1389" i="1"/>
  <c r="BA1418" i="1"/>
  <c r="P1497" i="1"/>
  <c r="DI1480" i="1"/>
  <c r="FS1480" i="1"/>
  <c r="EJ1485" i="1"/>
  <c r="EI1188" i="1"/>
  <c r="P1233" i="1"/>
  <c r="CP1257" i="1"/>
  <c r="O1257" i="1" s="1"/>
  <c r="GN1333" i="1"/>
  <c r="GM1333" i="1"/>
  <c r="DV1389" i="1"/>
  <c r="DI1418" i="1"/>
  <c r="Q1480" i="1"/>
  <c r="F1497" i="1"/>
  <c r="Y1480" i="1"/>
  <c r="F1512" i="1"/>
  <c r="DL1480" i="1"/>
  <c r="P1506" i="1"/>
  <c r="CP1203" i="1"/>
  <c r="O1203" i="1" s="1"/>
  <c r="AI1255" i="1"/>
  <c r="V1264" i="1"/>
  <c r="GP1262" i="1"/>
  <c r="GM1262" i="1"/>
  <c r="CJ1330" i="1"/>
  <c r="BA1357" i="1"/>
  <c r="EB1330" i="1"/>
  <c r="DO1357" i="1"/>
  <c r="CP1341" i="1"/>
  <c r="O1341" i="1" s="1"/>
  <c r="DT1357" i="1" s="1"/>
  <c r="AZ1330" i="1"/>
  <c r="F1368" i="1"/>
  <c r="DL1418" i="1"/>
  <c r="DY1389" i="1"/>
  <c r="CI1480" i="1"/>
  <c r="AZ1485" i="1"/>
  <c r="DH55" i="3"/>
  <c r="DI55" i="3"/>
  <c r="DJ55" i="3" s="1"/>
  <c r="DF55" i="3"/>
  <c r="DG55" i="3"/>
  <c r="DF51" i="3"/>
  <c r="DJ51" i="3" s="1"/>
  <c r="DH51" i="3"/>
  <c r="DI51" i="3"/>
  <c r="DG51" i="3"/>
  <c r="DG56" i="3"/>
  <c r="DJ56" i="3" s="1"/>
  <c r="DH56" i="3"/>
  <c r="DF56" i="3"/>
  <c r="DI56" i="3"/>
  <c r="DI52" i="3"/>
  <c r="DG52" i="3"/>
  <c r="DH52" i="3"/>
  <c r="DF52" i="3"/>
  <c r="DJ52" i="3" s="1"/>
  <c r="AP26" i="1"/>
  <c r="F40" i="1"/>
  <c r="AP116" i="1"/>
  <c r="AY26" i="1"/>
  <c r="F39" i="1"/>
  <c r="AD26" i="1"/>
  <c r="Q31" i="1"/>
  <c r="EM26" i="1"/>
  <c r="P50" i="1"/>
  <c r="EM116" i="1"/>
  <c r="DM26" i="1"/>
  <c r="DM116" i="1"/>
  <c r="P53" i="1"/>
  <c r="DF57" i="3"/>
  <c r="DJ57" i="3" s="1"/>
  <c r="DG57" i="3"/>
  <c r="DH57" i="3"/>
  <c r="DI57" i="3"/>
  <c r="EP26" i="1"/>
  <c r="EP116" i="1"/>
  <c r="P38" i="1"/>
  <c r="AD86" i="1"/>
  <c r="AD193" i="1"/>
  <c r="EI63" i="1"/>
  <c r="P96" i="1"/>
  <c r="T26" i="1"/>
  <c r="T116" i="1"/>
  <c r="F52" i="1"/>
  <c r="EC26" i="1"/>
  <c r="DP31" i="1"/>
  <c r="EL26" i="1"/>
  <c r="P49" i="1"/>
  <c r="EL116" i="1"/>
  <c r="EC86" i="1"/>
  <c r="AC86" i="1"/>
  <c r="CP71" i="1"/>
  <c r="O71" i="1" s="1"/>
  <c r="AB86" i="1" s="1"/>
  <c r="GM76" i="1"/>
  <c r="GN76" i="1"/>
  <c r="DH53" i="3"/>
  <c r="DF53" i="3"/>
  <c r="DJ53" i="3" s="1"/>
  <c r="DG53" i="3"/>
  <c r="DI53" i="3"/>
  <c r="EV116" i="1"/>
  <c r="EV63" i="1"/>
  <c r="P111" i="1"/>
  <c r="CP155" i="1"/>
  <c r="O155" i="1" s="1"/>
  <c r="DU193" i="1"/>
  <c r="GK157" i="1"/>
  <c r="GM157" i="1" s="1"/>
  <c r="DW193" i="1"/>
  <c r="GM173" i="1"/>
  <c r="GN173" i="1"/>
  <c r="BD152" i="1"/>
  <c r="F218" i="1"/>
  <c r="BD421" i="1"/>
  <c r="DY63" i="1"/>
  <c r="DL86" i="1"/>
  <c r="DL116" i="1" s="1"/>
  <c r="GM75" i="1"/>
  <c r="GN75" i="1"/>
  <c r="GN182" i="1"/>
  <c r="GM182" i="1"/>
  <c r="CG152" i="1"/>
  <c r="AX193" i="1"/>
  <c r="GK229" i="1"/>
  <c r="AE348" i="1"/>
  <c r="AK86" i="1"/>
  <c r="EB63" i="1"/>
  <c r="DO86" i="1"/>
  <c r="DO116" i="1" s="1"/>
  <c r="CP154" i="1"/>
  <c r="O154" i="1" s="1"/>
  <c r="EB152" i="1"/>
  <c r="DO193" i="1"/>
  <c r="EU152" i="1"/>
  <c r="P209" i="1"/>
  <c r="EU421" i="1"/>
  <c r="CP232" i="1"/>
  <c r="O232" i="1" s="1"/>
  <c r="AH63" i="1"/>
  <c r="U86" i="1"/>
  <c r="U116" i="1" s="1"/>
  <c r="GN180" i="1"/>
  <c r="GM180" i="1"/>
  <c r="GM181" i="1"/>
  <c r="GN181" i="1"/>
  <c r="AP152" i="1"/>
  <c r="F202" i="1"/>
  <c r="AP421" i="1"/>
  <c r="GN81" i="1"/>
  <c r="GM81" i="1"/>
  <c r="GN156" i="1"/>
  <c r="GM156" i="1"/>
  <c r="GN168" i="1"/>
  <c r="GM168" i="1"/>
  <c r="GN188" i="1"/>
  <c r="GM188" i="1"/>
  <c r="CP191" i="1"/>
  <c r="O191" i="1" s="1"/>
  <c r="FY152" i="1"/>
  <c r="EP193" i="1"/>
  <c r="GM243" i="1"/>
  <c r="GN243" i="1"/>
  <c r="CY244" i="1"/>
  <c r="X244" i="1" s="1"/>
  <c r="GM244" i="1" s="1"/>
  <c r="CZ244" i="1"/>
  <c r="Y244" i="1" s="1"/>
  <c r="GM240" i="1"/>
  <c r="GN240" i="1"/>
  <c r="AG225" i="1"/>
  <c r="T348" i="1"/>
  <c r="CZ263" i="1"/>
  <c r="Y263" i="1" s="1"/>
  <c r="CY263" i="1"/>
  <c r="X263" i="1" s="1"/>
  <c r="CZ264" i="1"/>
  <c r="Y264" i="1" s="1"/>
  <c r="CY264" i="1"/>
  <c r="X264" i="1" s="1"/>
  <c r="EC348" i="1" s="1"/>
  <c r="AJ152" i="1"/>
  <c r="W193" i="1"/>
  <c r="CP249" i="1"/>
  <c r="O249" i="1" s="1"/>
  <c r="GM256" i="1"/>
  <c r="GN256" i="1"/>
  <c r="CY277" i="1"/>
  <c r="X277" i="1" s="1"/>
  <c r="GM277" i="1" s="1"/>
  <c r="CZ277" i="1"/>
  <c r="Y277" i="1" s="1"/>
  <c r="GN279" i="1"/>
  <c r="GM279" i="1"/>
  <c r="AT225" i="1"/>
  <c r="F366" i="1"/>
  <c r="EG380" i="1"/>
  <c r="P395" i="1"/>
  <c r="DL152" i="1"/>
  <c r="P214" i="1"/>
  <c r="DL421" i="1"/>
  <c r="CY251" i="1"/>
  <c r="X251" i="1" s="1"/>
  <c r="CZ251" i="1"/>
  <c r="Y251" i="1" s="1"/>
  <c r="GM282" i="1"/>
  <c r="GN282" i="1"/>
  <c r="GN343" i="1"/>
  <c r="GM343" i="1"/>
  <c r="AU225" i="1"/>
  <c r="F367" i="1"/>
  <c r="GM258" i="1"/>
  <c r="GN258" i="1"/>
  <c r="GM267" i="1"/>
  <c r="GN267" i="1"/>
  <c r="GM291" i="1"/>
  <c r="GN291" i="1"/>
  <c r="GM305" i="1"/>
  <c r="GN305" i="1"/>
  <c r="GM310" i="1"/>
  <c r="GN310" i="1"/>
  <c r="GM319" i="1"/>
  <c r="GN319" i="1"/>
  <c r="GM324" i="1"/>
  <c r="GN324" i="1"/>
  <c r="GM333" i="1"/>
  <c r="GN333" i="1"/>
  <c r="BD225" i="1"/>
  <c r="F373" i="1"/>
  <c r="GM387" i="1"/>
  <c r="GP387" i="1"/>
  <c r="EA225" i="1"/>
  <c r="DN348" i="1"/>
  <c r="GM294" i="1"/>
  <c r="GN294" i="1"/>
  <c r="GM318" i="1"/>
  <c r="GN318" i="1"/>
  <c r="GM328" i="1"/>
  <c r="GN328" i="1"/>
  <c r="GM336" i="1"/>
  <c r="GN336" i="1"/>
  <c r="AH380" i="1"/>
  <c r="U391" i="1"/>
  <c r="DQ391" i="1"/>
  <c r="ED380" i="1"/>
  <c r="DX380" i="1"/>
  <c r="DK391" i="1"/>
  <c r="DJ468" i="1"/>
  <c r="DW457" i="1"/>
  <c r="CZ509" i="1"/>
  <c r="Y509" i="1" s="1"/>
  <c r="CY509" i="1"/>
  <c r="X509" i="1" s="1"/>
  <c r="GN509" i="1" s="1"/>
  <c r="EH225" i="1"/>
  <c r="P357" i="1"/>
  <c r="GM344" i="1"/>
  <c r="GN344" i="1"/>
  <c r="F477" i="1"/>
  <c r="AP457" i="1"/>
  <c r="AP609" i="1"/>
  <c r="P401" i="1"/>
  <c r="EI380" i="1"/>
  <c r="AU468" i="1"/>
  <c r="CD457" i="1"/>
  <c r="CY507" i="1"/>
  <c r="X507" i="1" s="1"/>
  <c r="GN507" i="1" s="1"/>
  <c r="CZ507" i="1"/>
  <c r="Y507" i="1" s="1"/>
  <c r="ED579" i="1" s="1"/>
  <c r="GN538" i="1"/>
  <c r="GM538" i="1"/>
  <c r="EG500" i="1"/>
  <c r="P583" i="1"/>
  <c r="GM341" i="1"/>
  <c r="GN341" i="1"/>
  <c r="DN391" i="1"/>
  <c r="EA380" i="1"/>
  <c r="AP380" i="1"/>
  <c r="F400" i="1"/>
  <c r="CY460" i="1"/>
  <c r="X460" i="1" s="1"/>
  <c r="EC468" i="1" s="1"/>
  <c r="CZ460" i="1"/>
  <c r="Y460" i="1" s="1"/>
  <c r="ED468" i="1" s="1"/>
  <c r="DX468" i="1"/>
  <c r="GN466" i="1"/>
  <c r="GM466" i="1"/>
  <c r="DZ500" i="1"/>
  <c r="DM579" i="1"/>
  <c r="DM609" i="1" s="1"/>
  <c r="ET500" i="1"/>
  <c r="ET609" i="1"/>
  <c r="P592" i="1"/>
  <c r="AL579" i="1"/>
  <c r="GM521" i="1"/>
  <c r="GN521" i="1"/>
  <c r="GM546" i="1"/>
  <c r="GN546" i="1"/>
  <c r="GM561" i="1"/>
  <c r="GN561" i="1"/>
  <c r="CZ573" i="1"/>
  <c r="Y573" i="1" s="1"/>
  <c r="CY573" i="1"/>
  <c r="X573" i="1" s="1"/>
  <c r="GM573" i="1" s="1"/>
  <c r="AO500" i="1"/>
  <c r="F583" i="1"/>
  <c r="AK702" i="1"/>
  <c r="BD734" i="1"/>
  <c r="F784" i="1"/>
  <c r="GN464" i="1"/>
  <c r="GM464" i="1"/>
  <c r="DX579" i="1"/>
  <c r="GM516" i="1"/>
  <c r="GN516" i="1"/>
  <c r="GM547" i="1"/>
  <c r="GN547" i="1"/>
  <c r="GM560" i="1"/>
  <c r="GN560" i="1"/>
  <c r="CI500" i="1"/>
  <c r="AZ579" i="1"/>
  <c r="GO649" i="1"/>
  <c r="GM649" i="1"/>
  <c r="AO734" i="1"/>
  <c r="F763" i="1"/>
  <c r="DV864" i="1"/>
  <c r="DI931" i="1"/>
  <c r="DO457" i="1"/>
  <c r="P492" i="1"/>
  <c r="DO609" i="1"/>
  <c r="GM534" i="1"/>
  <c r="GN534" i="1"/>
  <c r="GM549" i="1"/>
  <c r="GN549" i="1"/>
  <c r="CZ565" i="1"/>
  <c r="Y565" i="1" s="1"/>
  <c r="GN565" i="1" s="1"/>
  <c r="CY565" i="1"/>
  <c r="X565" i="1" s="1"/>
  <c r="GM565" i="1" s="1"/>
  <c r="EV645" i="1"/>
  <c r="P727" i="1"/>
  <c r="EV789" i="1"/>
  <c r="AT734" i="1"/>
  <c r="F777" i="1"/>
  <c r="AJ457" i="1"/>
  <c r="W468" i="1"/>
  <c r="F486" i="1"/>
  <c r="AT457" i="1"/>
  <c r="AT609" i="1"/>
  <c r="GM513" i="1"/>
  <c r="GN513" i="1"/>
  <c r="GM520" i="1"/>
  <c r="GN520" i="1"/>
  <c r="GM559" i="1"/>
  <c r="GN559" i="1"/>
  <c r="GK648" i="1"/>
  <c r="DW702" i="1"/>
  <c r="GM651" i="1"/>
  <c r="GO651" i="1"/>
  <c r="GM687" i="1"/>
  <c r="GO687" i="1"/>
  <c r="P706" i="1"/>
  <c r="EG789" i="1"/>
  <c r="EG645" i="1"/>
  <c r="CY743" i="1"/>
  <c r="X743" i="1" s="1"/>
  <c r="GM743" i="1" s="1"/>
  <c r="CZ743" i="1"/>
  <c r="Y743" i="1" s="1"/>
  <c r="CY751" i="1"/>
  <c r="X751" i="1" s="1"/>
  <c r="GM751" i="1" s="1"/>
  <c r="CZ751" i="1"/>
  <c r="Y751" i="1" s="1"/>
  <c r="GO675" i="1"/>
  <c r="GM675" i="1"/>
  <c r="GO691" i="1"/>
  <c r="GM691" i="1"/>
  <c r="DV734" i="1"/>
  <c r="DI759" i="1"/>
  <c r="EB734" i="1"/>
  <c r="DO759" i="1"/>
  <c r="GM747" i="1"/>
  <c r="GN747" i="1"/>
  <c r="GM755" i="1"/>
  <c r="GN755" i="1"/>
  <c r="F850" i="1"/>
  <c r="AT825" i="1"/>
  <c r="CZ898" i="1"/>
  <c r="Y898" i="1" s="1"/>
  <c r="CY898" i="1"/>
  <c r="X898" i="1" s="1"/>
  <c r="AI500" i="1"/>
  <c r="V579" i="1"/>
  <c r="AJ645" i="1"/>
  <c r="W702" i="1"/>
  <c r="DK702" i="1"/>
  <c r="DX645" i="1"/>
  <c r="GO665" i="1"/>
  <c r="GM665" i="1"/>
  <c r="AU734" i="1"/>
  <c r="F778" i="1"/>
  <c r="DX759" i="1"/>
  <c r="EM825" i="1"/>
  <c r="P851" i="1"/>
  <c r="EM961" i="1"/>
  <c r="P845" i="1"/>
  <c r="ET825" i="1"/>
  <c r="ET961" i="1"/>
  <c r="GO874" i="1"/>
  <c r="GM874" i="1"/>
  <c r="GO884" i="1"/>
  <c r="GM884" i="1"/>
  <c r="GO896" i="1"/>
  <c r="GM896" i="1"/>
  <c r="BD864" i="1"/>
  <c r="F956" i="1"/>
  <c r="AD1125" i="1"/>
  <c r="Q1156" i="1"/>
  <c r="GM736" i="1"/>
  <c r="CA759" i="1" s="1"/>
  <c r="AB759" i="1"/>
  <c r="GN736" i="1"/>
  <c r="GB734" i="1"/>
  <c r="ES759" i="1"/>
  <c r="GN828" i="1"/>
  <c r="DT832" i="1"/>
  <c r="GM828" i="1"/>
  <c r="GM830" i="1"/>
  <c r="GN830" i="1"/>
  <c r="AC931" i="1"/>
  <c r="CP870" i="1"/>
  <c r="O870" i="1" s="1"/>
  <c r="GM872" i="1"/>
  <c r="GO872" i="1"/>
  <c r="AJ864" i="1"/>
  <c r="W931" i="1"/>
  <c r="CY895" i="1"/>
  <c r="X895" i="1" s="1"/>
  <c r="GO895" i="1" s="1"/>
  <c r="CZ895" i="1"/>
  <c r="Y895" i="1" s="1"/>
  <c r="CZ905" i="1"/>
  <c r="Y905" i="1" s="1"/>
  <c r="CY905" i="1"/>
  <c r="X905" i="1" s="1"/>
  <c r="GO908" i="1"/>
  <c r="GM908" i="1"/>
  <c r="CZ921" i="1"/>
  <c r="Y921" i="1" s="1"/>
  <c r="CY921" i="1"/>
  <c r="X921" i="1" s="1"/>
  <c r="CZ929" i="1"/>
  <c r="Y929" i="1" s="1"/>
  <c r="CY929" i="1"/>
  <c r="X929" i="1" s="1"/>
  <c r="CZ1000" i="1"/>
  <c r="Y1000" i="1" s="1"/>
  <c r="ED1008" i="1" s="1"/>
  <c r="CY1000" i="1"/>
  <c r="X1000" i="1" s="1"/>
  <c r="EC1008" i="1" s="1"/>
  <c r="DX1008" i="1"/>
  <c r="F1027" i="1"/>
  <c r="AU997" i="1"/>
  <c r="CZ1044" i="1"/>
  <c r="Y1044" i="1" s="1"/>
  <c r="AL1093" i="1" s="1"/>
  <c r="CY1044" i="1"/>
  <c r="X1044" i="1" s="1"/>
  <c r="AF1093" i="1"/>
  <c r="CZ1048" i="1"/>
  <c r="Y1048" i="1" s="1"/>
  <c r="CY1048" i="1"/>
  <c r="X1048" i="1" s="1"/>
  <c r="CZ1052" i="1"/>
  <c r="Y1052" i="1" s="1"/>
  <c r="CY1052" i="1"/>
  <c r="X1052" i="1" s="1"/>
  <c r="CZ1056" i="1"/>
  <c r="Y1056" i="1" s="1"/>
  <c r="CY1056" i="1"/>
  <c r="X1056" i="1" s="1"/>
  <c r="CZ1060" i="1"/>
  <c r="Y1060" i="1" s="1"/>
  <c r="CY1060" i="1"/>
  <c r="X1060" i="1" s="1"/>
  <c r="CZ1065" i="1"/>
  <c r="Y1065" i="1" s="1"/>
  <c r="ED1093" i="1" s="1"/>
  <c r="CY1065" i="1"/>
  <c r="X1065" i="1" s="1"/>
  <c r="EC1093" i="1" s="1"/>
  <c r="CZ1069" i="1"/>
  <c r="Y1069" i="1" s="1"/>
  <c r="CY1069" i="1"/>
  <c r="X1069" i="1" s="1"/>
  <c r="CZ1077" i="1"/>
  <c r="Y1077" i="1" s="1"/>
  <c r="CY1077" i="1"/>
  <c r="X1077" i="1" s="1"/>
  <c r="GN1080" i="1"/>
  <c r="GM1080" i="1"/>
  <c r="CZ1085" i="1"/>
  <c r="Y1085" i="1" s="1"/>
  <c r="CY1085" i="1"/>
  <c r="X1085" i="1" s="1"/>
  <c r="GM1085" i="1" s="1"/>
  <c r="CZ1089" i="1"/>
  <c r="Y1089" i="1" s="1"/>
  <c r="CY1089" i="1"/>
  <c r="X1089" i="1" s="1"/>
  <c r="F1097" i="1"/>
  <c r="AO1040" i="1"/>
  <c r="AO1294" i="1"/>
  <c r="AE1156" i="1"/>
  <c r="GK1127" i="1"/>
  <c r="EG1125" i="1"/>
  <c r="P1160" i="1"/>
  <c r="EA645" i="1"/>
  <c r="DN702" i="1"/>
  <c r="GN660" i="1"/>
  <c r="FT702" i="1" s="1"/>
  <c r="GM660" i="1"/>
  <c r="GA645" i="1"/>
  <c r="ER702" i="1"/>
  <c r="EA734" i="1"/>
  <c r="DN759" i="1"/>
  <c r="EI734" i="1"/>
  <c r="P769" i="1"/>
  <c r="P777" i="1"/>
  <c r="EL734" i="1"/>
  <c r="CJ825" i="1"/>
  <c r="BA832" i="1"/>
  <c r="EI825" i="1"/>
  <c r="P842" i="1"/>
  <c r="EI961" i="1"/>
  <c r="EB931" i="1"/>
  <c r="GM875" i="1"/>
  <c r="GO875" i="1"/>
  <c r="CY889" i="1"/>
  <c r="X889" i="1" s="1"/>
  <c r="GM889" i="1" s="1"/>
  <c r="CZ889" i="1"/>
  <c r="Y889" i="1" s="1"/>
  <c r="CP902" i="1"/>
  <c r="O902" i="1" s="1"/>
  <c r="CP910" i="1"/>
  <c r="O910" i="1" s="1"/>
  <c r="CP921" i="1"/>
  <c r="O921" i="1" s="1"/>
  <c r="CP929" i="1"/>
  <c r="O929" i="1" s="1"/>
  <c r="CI997" i="1"/>
  <c r="AZ1008" i="1"/>
  <c r="AD1093" i="1"/>
  <c r="CP1048" i="1"/>
  <c r="O1048" i="1" s="1"/>
  <c r="CP1056" i="1"/>
  <c r="O1056" i="1" s="1"/>
  <c r="CP1067" i="1"/>
  <c r="O1067" i="1" s="1"/>
  <c r="CP1072" i="1"/>
  <c r="O1072" i="1" s="1"/>
  <c r="CP1091" i="1"/>
  <c r="O1091" i="1" s="1"/>
  <c r="DU1156" i="1"/>
  <c r="CP1130" i="1"/>
  <c r="O1130" i="1" s="1"/>
  <c r="F1181" i="1"/>
  <c r="BD1125" i="1"/>
  <c r="BD1294" i="1"/>
  <c r="CP886" i="1"/>
  <c r="O886" i="1" s="1"/>
  <c r="GO923" i="1"/>
  <c r="GM923" i="1"/>
  <c r="GO928" i="1"/>
  <c r="GM928" i="1"/>
  <c r="FZ997" i="1"/>
  <c r="EQ1008" i="1"/>
  <c r="P1107" i="1"/>
  <c r="DJ1040" i="1"/>
  <c r="F1103" i="1"/>
  <c r="AQ1040" i="1"/>
  <c r="AI1125" i="1"/>
  <c r="V1156" i="1"/>
  <c r="DV1125" i="1"/>
  <c r="DI1156" i="1"/>
  <c r="GM1200" i="1"/>
  <c r="GN1200" i="1"/>
  <c r="ET1255" i="1"/>
  <c r="P1277" i="1"/>
  <c r="AU961" i="1"/>
  <c r="F950" i="1"/>
  <c r="AU864" i="1"/>
  <c r="AP864" i="1"/>
  <c r="F940" i="1"/>
  <c r="BA1008" i="1"/>
  <c r="CJ997" i="1"/>
  <c r="AP1040" i="1"/>
  <c r="F1102" i="1"/>
  <c r="AP1294" i="1"/>
  <c r="CD1125" i="1"/>
  <c r="AU1156" i="1"/>
  <c r="CP1139" i="1"/>
  <c r="O1139" i="1" s="1"/>
  <c r="CZ1141" i="1"/>
  <c r="Y1141" i="1" s="1"/>
  <c r="CY1141" i="1"/>
  <c r="X1141" i="1" s="1"/>
  <c r="CZ1149" i="1"/>
  <c r="Y1149" i="1" s="1"/>
  <c r="CY1149" i="1"/>
  <c r="X1149" i="1" s="1"/>
  <c r="DV1188" i="1"/>
  <c r="DI1223" i="1"/>
  <c r="EG1188" i="1"/>
  <c r="P1227" i="1"/>
  <c r="AO1448" i="1"/>
  <c r="AO1330" i="1"/>
  <c r="F1361" i="1"/>
  <c r="EP1485" i="1"/>
  <c r="FY1480" i="1"/>
  <c r="CP905" i="1"/>
  <c r="O905" i="1" s="1"/>
  <c r="EA997" i="1"/>
  <c r="DN1008" i="1"/>
  <c r="CP1004" i="1"/>
  <c r="O1004" i="1" s="1"/>
  <c r="AH1040" i="1"/>
  <c r="U1093" i="1"/>
  <c r="GM1071" i="1"/>
  <c r="GN1071" i="1"/>
  <c r="CP1077" i="1"/>
  <c r="O1077" i="1" s="1"/>
  <c r="CP1128" i="1"/>
  <c r="O1128" i="1" s="1"/>
  <c r="CP1190" i="1"/>
  <c r="O1190" i="1" s="1"/>
  <c r="AC1223" i="1"/>
  <c r="CZ1191" i="1"/>
  <c r="Y1191" i="1" s="1"/>
  <c r="CY1191" i="1"/>
  <c r="X1191" i="1" s="1"/>
  <c r="EC1223" i="1" s="1"/>
  <c r="DX1223" i="1"/>
  <c r="GM1193" i="1"/>
  <c r="GN1193" i="1"/>
  <c r="GM1197" i="1"/>
  <c r="GN1197" i="1"/>
  <c r="BD1188" i="1"/>
  <c r="F1248" i="1"/>
  <c r="AD1255" i="1"/>
  <c r="Q1264" i="1"/>
  <c r="BB1255" i="1"/>
  <c r="F1277" i="1"/>
  <c r="EV1330" i="1"/>
  <c r="P1382" i="1"/>
  <c r="EV1448" i="1"/>
  <c r="CP898" i="1"/>
  <c r="O898" i="1" s="1"/>
  <c r="GO906" i="1"/>
  <c r="GM906" i="1"/>
  <c r="GO909" i="1"/>
  <c r="GM909" i="1"/>
  <c r="GO925" i="1"/>
  <c r="GM925" i="1"/>
  <c r="EH997" i="1"/>
  <c r="P1017" i="1"/>
  <c r="EH1294" i="1"/>
  <c r="AJ1040" i="1"/>
  <c r="W1093" i="1"/>
  <c r="GM1073" i="1"/>
  <c r="GN1073" i="1"/>
  <c r="GM1086" i="1"/>
  <c r="GN1086" i="1"/>
  <c r="DO1156" i="1"/>
  <c r="EB1125" i="1"/>
  <c r="GM1135" i="1"/>
  <c r="GN1135" i="1"/>
  <c r="GM1142" i="1"/>
  <c r="GN1142" i="1"/>
  <c r="GM1146" i="1"/>
  <c r="GN1146" i="1"/>
  <c r="GM1150" i="1"/>
  <c r="GN1150" i="1"/>
  <c r="GM1154" i="1"/>
  <c r="GN1154" i="1"/>
  <c r="CY1219" i="1"/>
  <c r="X1219" i="1" s="1"/>
  <c r="GN1219" i="1" s="1"/>
  <c r="CZ1219" i="1"/>
  <c r="Y1219" i="1" s="1"/>
  <c r="AO1188" i="1"/>
  <c r="F1227" i="1"/>
  <c r="CY1261" i="1"/>
  <c r="X1261" i="1" s="1"/>
  <c r="AK1264" i="1" s="1"/>
  <c r="CZ1261" i="1"/>
  <c r="Y1261" i="1" s="1"/>
  <c r="AL1264" i="1" s="1"/>
  <c r="AF1264" i="1"/>
  <c r="EG1255" i="1"/>
  <c r="P1268" i="1"/>
  <c r="CY1336" i="1"/>
  <c r="X1336" i="1" s="1"/>
  <c r="GM1336" i="1" s="1"/>
  <c r="CZ1336" i="1"/>
  <c r="Y1336" i="1" s="1"/>
  <c r="CY1349" i="1"/>
  <c r="X1349" i="1" s="1"/>
  <c r="GM1349" i="1" s="1"/>
  <c r="CZ1349" i="1"/>
  <c r="Y1349" i="1" s="1"/>
  <c r="CY1353" i="1"/>
  <c r="X1353" i="1" s="1"/>
  <c r="GN1353" i="1" s="1"/>
  <c r="CZ1353" i="1"/>
  <c r="Y1353" i="1" s="1"/>
  <c r="P1361" i="1"/>
  <c r="EG1448" i="1"/>
  <c r="EG1330" i="1"/>
  <c r="FR1393" i="1"/>
  <c r="BY1418" i="1" s="1"/>
  <c r="CP1393" i="1"/>
  <c r="O1393" i="1" s="1"/>
  <c r="AC1418" i="1"/>
  <c r="CY1394" i="1"/>
  <c r="X1394" i="1" s="1"/>
  <c r="EC1418" i="1" s="1"/>
  <c r="DX1418" i="1"/>
  <c r="CZ1394" i="1"/>
  <c r="Y1394" i="1" s="1"/>
  <c r="FR1397" i="1"/>
  <c r="CP1397" i="1"/>
  <c r="O1397" i="1" s="1"/>
  <c r="GM1397" i="1" s="1"/>
  <c r="CY1398" i="1"/>
  <c r="X1398" i="1" s="1"/>
  <c r="GM1398" i="1" s="1"/>
  <c r="CZ1398" i="1"/>
  <c r="Y1398" i="1" s="1"/>
  <c r="GM1409" i="1"/>
  <c r="GN1409" i="1"/>
  <c r="CY1410" i="1"/>
  <c r="X1410" i="1" s="1"/>
  <c r="GM1410" i="1" s="1"/>
  <c r="CZ1410" i="1"/>
  <c r="Y1410" i="1" s="1"/>
  <c r="AU1389" i="1"/>
  <c r="F1437" i="1"/>
  <c r="CG1480" i="1"/>
  <c r="AX1485" i="1"/>
  <c r="EM1480" i="1"/>
  <c r="P1504" i="1"/>
  <c r="H23" i="2" s="1"/>
  <c r="EM1188" i="1"/>
  <c r="P1242" i="1"/>
  <c r="AJ1255" i="1"/>
  <c r="W1264" i="1"/>
  <c r="CG1255" i="1"/>
  <c r="AX1264" i="1"/>
  <c r="EA1330" i="1"/>
  <c r="DN1357" i="1"/>
  <c r="GM1339" i="1"/>
  <c r="GN1339" i="1"/>
  <c r="GN1350" i="1"/>
  <c r="GM1350" i="1"/>
  <c r="ET1326" i="1"/>
  <c r="P1461" i="1"/>
  <c r="T1418" i="1"/>
  <c r="AG1389" i="1"/>
  <c r="P1427" i="1"/>
  <c r="EH1389" i="1"/>
  <c r="EI1389" i="1"/>
  <c r="P1428" i="1"/>
  <c r="F1500" i="1"/>
  <c r="S1480" i="1"/>
  <c r="F1495" i="1"/>
  <c r="AQ1480" i="1"/>
  <c r="P1507" i="1"/>
  <c r="DM1480" i="1"/>
  <c r="DZ1330" i="1"/>
  <c r="DM1357" i="1"/>
  <c r="EP1357" i="1"/>
  <c r="FY1330" i="1"/>
  <c r="GN1340" i="1"/>
  <c r="GM1340" i="1"/>
  <c r="DZ1389" i="1"/>
  <c r="DM1418" i="1"/>
  <c r="DH1389" i="1"/>
  <c r="P1421" i="1"/>
  <c r="CE1480" i="1"/>
  <c r="AV1485" i="1"/>
  <c r="X1480" i="1"/>
  <c r="F1511" i="1"/>
  <c r="P1503" i="1"/>
  <c r="F23" i="2" s="1"/>
  <c r="EL1480" i="1"/>
  <c r="DG1485" i="1"/>
  <c r="DT1480" i="1"/>
  <c r="GB1188" i="1"/>
  <c r="ES1223" i="1"/>
  <c r="EP1223" i="1"/>
  <c r="FY1188" i="1"/>
  <c r="BA1264" i="1"/>
  <c r="CJ1255" i="1"/>
  <c r="EH1448" i="1"/>
  <c r="P1366" i="1"/>
  <c r="EH1330" i="1"/>
  <c r="AI1389" i="1"/>
  <c r="V1418" i="1"/>
  <c r="GB1389" i="1"/>
  <c r="ES1418" i="1"/>
  <c r="GM1414" i="1"/>
  <c r="GN1414" i="1"/>
  <c r="DW1480" i="1"/>
  <c r="DJ1485" i="1"/>
  <c r="GN1206" i="1"/>
  <c r="GM1206" i="1"/>
  <c r="AH1255" i="1"/>
  <c r="U1264" i="1"/>
  <c r="DY1330" i="1"/>
  <c r="DL1357" i="1"/>
  <c r="GB1330" i="1"/>
  <c r="ES1357" i="1"/>
  <c r="ED1480" i="1"/>
  <c r="DQ1485" i="1"/>
  <c r="ED500" i="1" l="1"/>
  <c r="DQ579" i="1"/>
  <c r="EC225" i="1"/>
  <c r="DP348" i="1"/>
  <c r="AL864" i="1"/>
  <c r="Y931" i="1"/>
  <c r="DT1188" i="1"/>
  <c r="DG1223" i="1"/>
  <c r="AK864" i="1"/>
  <c r="X931" i="1"/>
  <c r="AP641" i="1"/>
  <c r="F798" i="1"/>
  <c r="V19" i="2" s="1"/>
  <c r="V22" i="1"/>
  <c r="F139" i="1"/>
  <c r="BA22" i="1"/>
  <c r="F136" i="1"/>
  <c r="CA997" i="1"/>
  <c r="AR1008" i="1"/>
  <c r="AK225" i="1"/>
  <c r="X348" i="1"/>
  <c r="EC1040" i="1"/>
  <c r="DP1093" i="1"/>
  <c r="DT1330" i="1"/>
  <c r="DG1357" i="1"/>
  <c r="AL1125" i="1"/>
  <c r="Y1156" i="1"/>
  <c r="DQ1093" i="1"/>
  <c r="ED1040" i="1"/>
  <c r="AK1255" i="1"/>
  <c r="X1264" i="1"/>
  <c r="DT1040" i="1"/>
  <c r="DG1093" i="1"/>
  <c r="ED225" i="1"/>
  <c r="DQ348" i="1"/>
  <c r="DM453" i="1"/>
  <c r="P631" i="1"/>
  <c r="U22" i="1"/>
  <c r="F138" i="1"/>
  <c r="DL22" i="1"/>
  <c r="P137" i="1"/>
  <c r="O86" i="1"/>
  <c r="AB63" i="1"/>
  <c r="ED1330" i="1"/>
  <c r="DQ1357" i="1"/>
  <c r="AK1125" i="1"/>
  <c r="X1156" i="1"/>
  <c r="ED734" i="1"/>
  <c r="DQ759" i="1"/>
  <c r="AL152" i="1"/>
  <c r="Y193" i="1"/>
  <c r="AX821" i="1"/>
  <c r="F968" i="1"/>
  <c r="AL1040" i="1"/>
  <c r="Y1093" i="1"/>
  <c r="DO22" i="1"/>
  <c r="P140" i="1"/>
  <c r="EC1330" i="1"/>
  <c r="DP1357" i="1"/>
  <c r="AX22" i="1"/>
  <c r="F123" i="1"/>
  <c r="AK500" i="1"/>
  <c r="X579" i="1"/>
  <c r="AL225" i="1"/>
  <c r="Y348" i="1"/>
  <c r="ES22" i="1"/>
  <c r="P136" i="1"/>
  <c r="W22" i="1"/>
  <c r="F140" i="1"/>
  <c r="DQ1480" i="1"/>
  <c r="P1512" i="1"/>
  <c r="EC1389" i="1"/>
  <c r="DP1418" i="1"/>
  <c r="FZ1156" i="1"/>
  <c r="FX1156" i="1"/>
  <c r="DU1125" i="1"/>
  <c r="FW1156" i="1"/>
  <c r="DH1156" i="1"/>
  <c r="P771" i="1"/>
  <c r="DI734" i="1"/>
  <c r="FT1255" i="1"/>
  <c r="EK1264" i="1"/>
  <c r="AT993" i="1"/>
  <c r="F1312" i="1"/>
  <c r="U21" i="2" s="1"/>
  <c r="BB1326" i="1"/>
  <c r="F1461" i="1"/>
  <c r="GM1149" i="1"/>
  <c r="GN1149" i="1"/>
  <c r="DU864" i="1"/>
  <c r="FX931" i="1"/>
  <c r="FZ931" i="1"/>
  <c r="DH931" i="1"/>
  <c r="FW931" i="1"/>
  <c r="EP789" i="1"/>
  <c r="EP645" i="1"/>
  <c r="P709" i="1"/>
  <c r="F805" i="1"/>
  <c r="BC641" i="1"/>
  <c r="BC453" i="1"/>
  <c r="F625" i="1"/>
  <c r="U1255" i="1"/>
  <c r="F1286" i="1"/>
  <c r="DJ1480" i="1"/>
  <c r="P1499" i="1"/>
  <c r="P1438" i="1"/>
  <c r="ES1389" i="1"/>
  <c r="BA1255" i="1"/>
  <c r="F1284" i="1"/>
  <c r="EP1448" i="1"/>
  <c r="P1364" i="1"/>
  <c r="EP1330" i="1"/>
  <c r="DX1389" i="1"/>
  <c r="DK1418" i="1"/>
  <c r="CI1418" i="1"/>
  <c r="AP1418" i="1"/>
  <c r="BY1389" i="1"/>
  <c r="AF1255" i="1"/>
  <c r="S1264" i="1"/>
  <c r="Q1255" i="1"/>
  <c r="F1276" i="1"/>
  <c r="DX1188" i="1"/>
  <c r="DK1223" i="1"/>
  <c r="GN1190" i="1"/>
  <c r="AB1223" i="1"/>
  <c r="GM1190" i="1"/>
  <c r="DN997" i="1"/>
  <c r="P1031" i="1"/>
  <c r="DN1294" i="1"/>
  <c r="EP1480" i="1"/>
  <c r="P1492" i="1"/>
  <c r="GM1139" i="1"/>
  <c r="GN1139" i="1"/>
  <c r="F1028" i="1"/>
  <c r="BA997" i="1"/>
  <c r="BA1294" i="1"/>
  <c r="V1125" i="1"/>
  <c r="F1179" i="1"/>
  <c r="GO886" i="1"/>
  <c r="GM886" i="1"/>
  <c r="GM1130" i="1"/>
  <c r="GN1130" i="1"/>
  <c r="GM1067" i="1"/>
  <c r="GN1067" i="1"/>
  <c r="F1019" i="1"/>
  <c r="AZ997" i="1"/>
  <c r="AZ1294" i="1"/>
  <c r="GM910" i="1"/>
  <c r="GO910" i="1"/>
  <c r="P782" i="1"/>
  <c r="DN734" i="1"/>
  <c r="AO993" i="1"/>
  <c r="F1298" i="1"/>
  <c r="AK1093" i="1"/>
  <c r="FT832" i="1"/>
  <c r="AB734" i="1"/>
  <c r="O759" i="1"/>
  <c r="ET821" i="1"/>
  <c r="P974" i="1"/>
  <c r="DK645" i="1"/>
  <c r="P717" i="1"/>
  <c r="P793" i="1"/>
  <c r="EG641" i="1"/>
  <c r="AK645" i="1"/>
  <c r="X702" i="1"/>
  <c r="AP453" i="1"/>
  <c r="F618" i="1"/>
  <c r="V18" i="2" s="1"/>
  <c r="GM249" i="1"/>
  <c r="GN249" i="1"/>
  <c r="EP152" i="1"/>
  <c r="P200" i="1"/>
  <c r="EP421" i="1"/>
  <c r="GN232" i="1"/>
  <c r="GM232" i="1"/>
  <c r="DO152" i="1"/>
  <c r="P217" i="1"/>
  <c r="DO421" i="1"/>
  <c r="AX152" i="1"/>
  <c r="F200" i="1"/>
  <c r="AX421" i="1"/>
  <c r="BD148" i="1"/>
  <c r="F446" i="1"/>
  <c r="GM155" i="1"/>
  <c r="GN155" i="1"/>
  <c r="DT193" i="1"/>
  <c r="EC63" i="1"/>
  <c r="DP86" i="1"/>
  <c r="DP26" i="1"/>
  <c r="P57" i="1"/>
  <c r="DP116" i="1"/>
  <c r="AD63" i="1"/>
  <c r="Q86" i="1"/>
  <c r="BA1448" i="1"/>
  <c r="BA1330" i="1"/>
  <c r="F1377" i="1"/>
  <c r="V1255" i="1"/>
  <c r="F1287" i="1"/>
  <c r="W1330" i="1"/>
  <c r="W1448" i="1"/>
  <c r="F1381" i="1"/>
  <c r="F1285" i="1"/>
  <c r="T1255" i="1"/>
  <c r="F1502" i="1"/>
  <c r="T23" i="2" s="1"/>
  <c r="X23" i="2" s="1"/>
  <c r="AS1480" i="1"/>
  <c r="X1389" i="1"/>
  <c r="F1444" i="1"/>
  <c r="P1278" i="1"/>
  <c r="DJ1255" i="1"/>
  <c r="AE1255" i="1"/>
  <c r="R1264" i="1"/>
  <c r="ES997" i="1"/>
  <c r="P1028" i="1"/>
  <c r="ES1294" i="1"/>
  <c r="GM919" i="1"/>
  <c r="GO919" i="1"/>
  <c r="GM1153" i="1"/>
  <c r="GN1153" i="1"/>
  <c r="EP1040" i="1"/>
  <c r="P1100" i="1"/>
  <c r="GA1125" i="1"/>
  <c r="ER1156" i="1"/>
  <c r="AF1125" i="1"/>
  <c r="S1156" i="1"/>
  <c r="EI993" i="1"/>
  <c r="P1304" i="1"/>
  <c r="V864" i="1"/>
  <c r="F954" i="1"/>
  <c r="GM1089" i="1"/>
  <c r="GN1089" i="1"/>
  <c r="ER864" i="1"/>
  <c r="P942" i="1"/>
  <c r="GO888" i="1"/>
  <c r="GM888" i="1"/>
  <c r="V825" i="1"/>
  <c r="F855" i="1"/>
  <c r="V961" i="1"/>
  <c r="EC1156" i="1"/>
  <c r="AD864" i="1"/>
  <c r="Q931" i="1"/>
  <c r="GO881" i="1"/>
  <c r="GM881" i="1"/>
  <c r="DL821" i="1"/>
  <c r="P982" i="1"/>
  <c r="AE734" i="1"/>
  <c r="R759" i="1"/>
  <c r="EU821" i="1"/>
  <c r="P977" i="1"/>
  <c r="EM453" i="1"/>
  <c r="P628" i="1"/>
  <c r="T457" i="1"/>
  <c r="F489" i="1"/>
  <c r="T609" i="1"/>
  <c r="DW500" i="1"/>
  <c r="DJ579" i="1"/>
  <c r="ER380" i="1"/>
  <c r="P402" i="1"/>
  <c r="P415" i="1"/>
  <c r="DO380" i="1"/>
  <c r="AF457" i="1"/>
  <c r="S468" i="1"/>
  <c r="CH579" i="1"/>
  <c r="AC500" i="1"/>
  <c r="P579" i="1"/>
  <c r="CE579" i="1"/>
  <c r="CF579" i="1"/>
  <c r="AE457" i="1"/>
  <c r="R468" i="1"/>
  <c r="EG453" i="1"/>
  <c r="P613" i="1"/>
  <c r="GN272" i="1"/>
  <c r="GM272" i="1"/>
  <c r="GM255" i="1"/>
  <c r="DX225" i="1"/>
  <c r="DK348" i="1"/>
  <c r="AT148" i="1"/>
  <c r="F439" i="1"/>
  <c r="U17" i="2" s="1"/>
  <c r="GN233" i="1"/>
  <c r="GM233" i="1"/>
  <c r="AF152" i="1"/>
  <c r="S193" i="1"/>
  <c r="EP63" i="1"/>
  <c r="P93" i="1"/>
  <c r="EH22" i="1"/>
  <c r="P125" i="1"/>
  <c r="G16" i="2" s="1"/>
  <c r="EI22" i="1"/>
  <c r="P126" i="1"/>
  <c r="EI1515" i="1"/>
  <c r="AU22" i="1"/>
  <c r="F135" i="1"/>
  <c r="W16" i="2" s="1"/>
  <c r="GM1407" i="1"/>
  <c r="GN1407" i="1"/>
  <c r="CB1418" i="1" s="1"/>
  <c r="AX1188" i="1"/>
  <c r="F1230" i="1"/>
  <c r="F1267" i="1"/>
  <c r="P1255" i="1"/>
  <c r="F1491" i="1"/>
  <c r="AW1480" i="1"/>
  <c r="P1491" i="1"/>
  <c r="EO1480" i="1"/>
  <c r="P1275" i="1"/>
  <c r="ER1255" i="1"/>
  <c r="P1432" i="1"/>
  <c r="DJ1389" i="1"/>
  <c r="F1464" i="1"/>
  <c r="BC1326" i="1"/>
  <c r="AL1357" i="1"/>
  <c r="EC1255" i="1"/>
  <c r="DP1264" i="1"/>
  <c r="ES1040" i="1"/>
  <c r="P1113" i="1"/>
  <c r="W997" i="1"/>
  <c r="F1032" i="1"/>
  <c r="W1294" i="1"/>
  <c r="EP864" i="1"/>
  <c r="P938" i="1"/>
  <c r="DL1040" i="1"/>
  <c r="P1114" i="1"/>
  <c r="P1029" i="1"/>
  <c r="DL997" i="1"/>
  <c r="DL1294" i="1"/>
  <c r="P1013" i="1"/>
  <c r="EN997" i="1"/>
  <c r="GM1060" i="1"/>
  <c r="GN1060" i="1"/>
  <c r="GM914" i="1"/>
  <c r="GO914" i="1"/>
  <c r="DH734" i="1"/>
  <c r="P762" i="1"/>
  <c r="P843" i="1"/>
  <c r="ER825" i="1"/>
  <c r="ER961" i="1"/>
  <c r="AE825" i="1"/>
  <c r="R832" i="1"/>
  <c r="GO866" i="1"/>
  <c r="F709" i="1"/>
  <c r="AX789" i="1"/>
  <c r="AX645" i="1"/>
  <c r="DO645" i="1"/>
  <c r="P726" i="1"/>
  <c r="DO789" i="1"/>
  <c r="EP961" i="1"/>
  <c r="DP825" i="1"/>
  <c r="P858" i="1"/>
  <c r="FW825" i="1"/>
  <c r="EN832" i="1"/>
  <c r="CI734" i="1"/>
  <c r="AZ759" i="1"/>
  <c r="GM568" i="1"/>
  <c r="EH821" i="1"/>
  <c r="P970" i="1"/>
  <c r="G20" i="2" s="1"/>
  <c r="AQ821" i="1"/>
  <c r="F971" i="1"/>
  <c r="AL645" i="1"/>
  <c r="Y702" i="1"/>
  <c r="EV821" i="1"/>
  <c r="P986" i="1"/>
  <c r="AV468" i="1"/>
  <c r="CE457" i="1"/>
  <c r="AZ380" i="1"/>
  <c r="F402" i="1"/>
  <c r="DM380" i="1"/>
  <c r="P413" i="1"/>
  <c r="AO453" i="1"/>
  <c r="F613" i="1"/>
  <c r="GM236" i="1"/>
  <c r="AC225" i="1"/>
  <c r="CF348" i="1"/>
  <c r="CH348" i="1"/>
  <c r="P348" i="1"/>
  <c r="CE348" i="1"/>
  <c r="EL152" i="1"/>
  <c r="P211" i="1"/>
  <c r="EL421" i="1"/>
  <c r="AK193" i="1"/>
  <c r="S63" i="1"/>
  <c r="F101" i="1"/>
  <c r="S116" i="1"/>
  <c r="DW63" i="1"/>
  <c r="DJ86" i="1"/>
  <c r="FT26" i="1"/>
  <c r="EK31" i="1"/>
  <c r="AW26" i="1"/>
  <c r="F37" i="1"/>
  <c r="AQ22" i="1"/>
  <c r="F126" i="1"/>
  <c r="W1389" i="1"/>
  <c r="F1442" i="1"/>
  <c r="AU1326" i="1"/>
  <c r="F1467" i="1"/>
  <c r="F1245" i="1"/>
  <c r="U1188" i="1"/>
  <c r="AZ1188" i="1"/>
  <c r="F1234" i="1"/>
  <c r="V1188" i="1"/>
  <c r="F1246" i="1"/>
  <c r="EQ1389" i="1"/>
  <c r="P1426" i="1"/>
  <c r="EP1255" i="1"/>
  <c r="P1271" i="1"/>
  <c r="P1267" i="1"/>
  <c r="DH1255" i="1"/>
  <c r="F1487" i="1"/>
  <c r="O1480" i="1"/>
  <c r="DM1255" i="1"/>
  <c r="P1286" i="1"/>
  <c r="CC1330" i="1"/>
  <c r="AT1357" i="1"/>
  <c r="GM1063" i="1"/>
  <c r="FS1093" i="1" s="1"/>
  <c r="GN1063" i="1"/>
  <c r="DM1040" i="1"/>
  <c r="P1115" i="1"/>
  <c r="GM1194" i="1"/>
  <c r="AE1040" i="1"/>
  <c r="R1093" i="1"/>
  <c r="DN864" i="1"/>
  <c r="P954" i="1"/>
  <c r="AZ864" i="1"/>
  <c r="F942" i="1"/>
  <c r="F1178" i="1"/>
  <c r="U1125" i="1"/>
  <c r="T1040" i="1"/>
  <c r="F1114" i="1"/>
  <c r="DI997" i="1"/>
  <c r="P1020" i="1"/>
  <c r="X997" i="1"/>
  <c r="F1034" i="1"/>
  <c r="GM1132" i="1"/>
  <c r="GN1132" i="1"/>
  <c r="GM1082" i="1"/>
  <c r="GN1082" i="1"/>
  <c r="GM1050" i="1"/>
  <c r="GN1050" i="1"/>
  <c r="GM912" i="1"/>
  <c r="GO912" i="1"/>
  <c r="ED931" i="1"/>
  <c r="CH1093" i="1"/>
  <c r="AC1040" i="1"/>
  <c r="P1093" i="1"/>
  <c r="CE1093" i="1"/>
  <c r="CF1093" i="1"/>
  <c r="T864" i="1"/>
  <c r="F952" i="1"/>
  <c r="F782" i="1"/>
  <c r="V734" i="1"/>
  <c r="DL645" i="1"/>
  <c r="P723" i="1"/>
  <c r="DL789" i="1"/>
  <c r="EL500" i="1"/>
  <c r="P597" i="1"/>
  <c r="GA500" i="1"/>
  <c r="ER579" i="1"/>
  <c r="GM570" i="1"/>
  <c r="GN570" i="1"/>
  <c r="GM563" i="1"/>
  <c r="DH500" i="1"/>
  <c r="P582" i="1"/>
  <c r="BB453" i="1"/>
  <c r="F622" i="1"/>
  <c r="CG457" i="1"/>
  <c r="AX468" i="1"/>
  <c r="V225" i="1"/>
  <c r="F371" i="1"/>
  <c r="DT468" i="1"/>
  <c r="GM460" i="1"/>
  <c r="FS468" i="1" s="1"/>
  <c r="GN460" i="1"/>
  <c r="AZ457" i="1"/>
  <c r="F479" i="1"/>
  <c r="AZ609" i="1"/>
  <c r="GN465" i="1"/>
  <c r="V380" i="1"/>
  <c r="F414" i="1"/>
  <c r="AZ225" i="1"/>
  <c r="F359" i="1"/>
  <c r="GM262" i="1"/>
  <c r="GN262" i="1"/>
  <c r="GN274" i="1"/>
  <c r="DN152" i="1"/>
  <c r="P216" i="1"/>
  <c r="DN421" i="1"/>
  <c r="GN269" i="1"/>
  <c r="AF225" i="1"/>
  <c r="S348" i="1"/>
  <c r="AZ116" i="1"/>
  <c r="AZ63" i="1"/>
  <c r="F97" i="1"/>
  <c r="ER63" i="1"/>
  <c r="P97" i="1"/>
  <c r="FX86" i="1"/>
  <c r="FZ86" i="1"/>
  <c r="DU63" i="1"/>
  <c r="DH86" i="1"/>
  <c r="FW86" i="1"/>
  <c r="EU22" i="1"/>
  <c r="P132" i="1"/>
  <c r="EU1515" i="1"/>
  <c r="DI26" i="1"/>
  <c r="DI116" i="1"/>
  <c r="P43" i="1"/>
  <c r="GM1394" i="1"/>
  <c r="FS1418" i="1" s="1"/>
  <c r="GP1261" i="1"/>
  <c r="CD1264" i="1" s="1"/>
  <c r="FV1264" i="1"/>
  <c r="GM1343" i="1"/>
  <c r="FS1357" i="1" s="1"/>
  <c r="GM1221" i="1"/>
  <c r="GM1209" i="1"/>
  <c r="FW1040" i="1"/>
  <c r="EN1093" i="1"/>
  <c r="FX1040" i="1"/>
  <c r="EO1093" i="1"/>
  <c r="GM927" i="1"/>
  <c r="U500" i="1"/>
  <c r="F601" i="1"/>
  <c r="GM507" i="1"/>
  <c r="FS579" i="1" s="1"/>
  <c r="U225" i="1"/>
  <c r="F370" i="1"/>
  <c r="GN238" i="1"/>
  <c r="P98" i="1"/>
  <c r="DI63" i="1"/>
  <c r="GN743" i="1"/>
  <c r="GN573" i="1"/>
  <c r="FT579" i="1" s="1"/>
  <c r="DO225" i="1"/>
  <c r="P372" i="1"/>
  <c r="GN67" i="1"/>
  <c r="CB86" i="1" s="1"/>
  <c r="GM1217" i="1"/>
  <c r="GM1353" i="1"/>
  <c r="GM1219" i="1"/>
  <c r="GM1207" i="1"/>
  <c r="GO889" i="1"/>
  <c r="GN1000" i="1"/>
  <c r="GN999" i="1"/>
  <c r="CB1008" i="1" s="1"/>
  <c r="Q734" i="1"/>
  <c r="F771" i="1"/>
  <c r="ES500" i="1"/>
  <c r="P599" i="1"/>
  <c r="BA864" i="1"/>
  <c r="F951" i="1"/>
  <c r="DQ645" i="1"/>
  <c r="P729" i="1"/>
  <c r="DQ789" i="1"/>
  <c r="U864" i="1"/>
  <c r="F953" i="1"/>
  <c r="DM225" i="1"/>
  <c r="P370" i="1"/>
  <c r="T152" i="1"/>
  <c r="F214" i="1"/>
  <c r="T421" i="1"/>
  <c r="GN166" i="1"/>
  <c r="EP225" i="1"/>
  <c r="P355" i="1"/>
  <c r="GM254" i="1"/>
  <c r="GN254" i="1"/>
  <c r="FV391" i="1"/>
  <c r="EV148" i="1"/>
  <c r="P446" i="1"/>
  <c r="GM265" i="1"/>
  <c r="GN265" i="1"/>
  <c r="AJ225" i="1"/>
  <c r="W348" i="1"/>
  <c r="P108" i="1"/>
  <c r="DM63" i="1"/>
  <c r="BC148" i="1"/>
  <c r="F437" i="1"/>
  <c r="EC152" i="1"/>
  <c r="DP193" i="1"/>
  <c r="AB31" i="1"/>
  <c r="GM28" i="1"/>
  <c r="CA31" i="1" s="1"/>
  <c r="GN28" i="1"/>
  <c r="CB31" i="1" s="1"/>
  <c r="EO26" i="1"/>
  <c r="P37" i="1"/>
  <c r="DO1389" i="1"/>
  <c r="P1442" i="1"/>
  <c r="P1245" i="1"/>
  <c r="DM1188" i="1"/>
  <c r="CH1255" i="1"/>
  <c r="AY1264" i="1"/>
  <c r="EN1480" i="1"/>
  <c r="P1490" i="1"/>
  <c r="F1513" i="1"/>
  <c r="AR1480" i="1"/>
  <c r="W1188" i="1"/>
  <c r="F1247" i="1"/>
  <c r="F1243" i="1"/>
  <c r="BA1188" i="1"/>
  <c r="CF1156" i="1"/>
  <c r="CH1156" i="1"/>
  <c r="AC1125" i="1"/>
  <c r="P1156" i="1"/>
  <c r="CE1156" i="1"/>
  <c r="V997" i="1"/>
  <c r="F1031" i="1"/>
  <c r="V1294" i="1"/>
  <c r="GM1191" i="1"/>
  <c r="DN1125" i="1"/>
  <c r="P1179" i="1"/>
  <c r="GM1052" i="1"/>
  <c r="GN1052" i="1"/>
  <c r="AE864" i="1"/>
  <c r="R931" i="1"/>
  <c r="EM641" i="1"/>
  <c r="P808" i="1"/>
  <c r="BA734" i="1"/>
  <c r="F779" i="1"/>
  <c r="AD825" i="1"/>
  <c r="Q832" i="1"/>
  <c r="EI641" i="1"/>
  <c r="P799" i="1"/>
  <c r="EU993" i="1"/>
  <c r="P1310" i="1"/>
  <c r="BC821" i="1"/>
  <c r="F977" i="1"/>
  <c r="W825" i="1"/>
  <c r="F856" i="1"/>
  <c r="W961" i="1"/>
  <c r="S734" i="1"/>
  <c r="F774" i="1"/>
  <c r="FZ825" i="1"/>
  <c r="EQ832" i="1"/>
  <c r="P835" i="1"/>
  <c r="DH825" i="1"/>
  <c r="DH961" i="1"/>
  <c r="AS702" i="1"/>
  <c r="CB645" i="1"/>
  <c r="DL500" i="1"/>
  <c r="P600" i="1"/>
  <c r="ER457" i="1"/>
  <c r="P479" i="1"/>
  <c r="ER609" i="1"/>
  <c r="U453" i="1"/>
  <c r="F631" i="1"/>
  <c r="DN453" i="1"/>
  <c r="P632" i="1"/>
  <c r="AU500" i="1"/>
  <c r="F598" i="1"/>
  <c r="DN500" i="1"/>
  <c r="P602" i="1"/>
  <c r="W500" i="1"/>
  <c r="F603" i="1"/>
  <c r="DI457" i="1"/>
  <c r="P480" i="1"/>
  <c r="DI609" i="1"/>
  <c r="P457" i="1"/>
  <c r="P609" i="1"/>
  <c r="F471" i="1"/>
  <c r="GM383" i="1"/>
  <c r="FS391" i="1" s="1"/>
  <c r="DT391" i="1"/>
  <c r="GN383" i="1"/>
  <c r="FT391" i="1" s="1"/>
  <c r="AQ148" i="1"/>
  <c r="F431" i="1"/>
  <c r="ES152" i="1"/>
  <c r="P213" i="1"/>
  <c r="ES421" i="1"/>
  <c r="GM264" i="1"/>
  <c r="GM229" i="1"/>
  <c r="GN229" i="1"/>
  <c r="CB348" i="1" s="1"/>
  <c r="AB348" i="1"/>
  <c r="V63" i="1"/>
  <c r="F109" i="1"/>
  <c r="AZ152" i="1"/>
  <c r="F204" i="1"/>
  <c r="AZ421" i="1"/>
  <c r="GA152" i="1"/>
  <c r="ER193" i="1"/>
  <c r="AO148" i="1"/>
  <c r="F425" i="1"/>
  <c r="DU225" i="1"/>
  <c r="FZ348" i="1"/>
  <c r="DH348" i="1"/>
  <c r="FW348" i="1"/>
  <c r="FX348" i="1"/>
  <c r="ET148" i="1"/>
  <c r="P434" i="1"/>
  <c r="EJ31" i="1"/>
  <c r="FS26" i="1"/>
  <c r="DN1255" i="1"/>
  <c r="P1287" i="1"/>
  <c r="U1389" i="1"/>
  <c r="F1440" i="1"/>
  <c r="P1424" i="1"/>
  <c r="EO1389" i="1"/>
  <c r="FZ1255" i="1"/>
  <c r="EQ1264" i="1"/>
  <c r="EQ1480" i="1"/>
  <c r="P1493" i="1"/>
  <c r="P1441" i="1"/>
  <c r="DN1389" i="1"/>
  <c r="Q1357" i="1"/>
  <c r="AD1330" i="1"/>
  <c r="DL1125" i="1"/>
  <c r="P1177" i="1"/>
  <c r="GM1151" i="1"/>
  <c r="GN1151" i="1"/>
  <c r="FX1330" i="1"/>
  <c r="EO1357" i="1"/>
  <c r="EQ1357" i="1"/>
  <c r="FZ1330" i="1"/>
  <c r="P1117" i="1"/>
  <c r="DO1040" i="1"/>
  <c r="DJ864" i="1"/>
  <c r="P945" i="1"/>
  <c r="BD1326" i="1"/>
  <c r="F1473" i="1"/>
  <c r="BB993" i="1"/>
  <c r="F1307" i="1"/>
  <c r="GM1074" i="1"/>
  <c r="GN1074" i="1"/>
  <c r="BB821" i="1"/>
  <c r="F974" i="1"/>
  <c r="GM907" i="1"/>
  <c r="GO907" i="1"/>
  <c r="DL864" i="1"/>
  <c r="P952" i="1"/>
  <c r="EC931" i="1"/>
  <c r="P768" i="1"/>
  <c r="EH734" i="1"/>
  <c r="EH789" i="1"/>
  <c r="V645" i="1"/>
  <c r="F725" i="1"/>
  <c r="V789" i="1"/>
  <c r="BC993" i="1"/>
  <c r="F1310" i="1"/>
  <c r="DM825" i="1"/>
  <c r="DM961" i="1"/>
  <c r="P854" i="1"/>
  <c r="EV993" i="1"/>
  <c r="P1319" i="1"/>
  <c r="EH500" i="1"/>
  <c r="EH609" i="1"/>
  <c r="P588" i="1"/>
  <c r="CG500" i="1"/>
  <c r="AX579" i="1"/>
  <c r="P475" i="1"/>
  <c r="EP457" i="1"/>
  <c r="EP609" i="1"/>
  <c r="FW500" i="1"/>
  <c r="EN579" i="1"/>
  <c r="EP500" i="1"/>
  <c r="P586" i="1"/>
  <c r="AF500" i="1"/>
  <c r="S579" i="1"/>
  <c r="F478" i="1"/>
  <c r="AQ457" i="1"/>
  <c r="AQ609" i="1"/>
  <c r="AQ1515" i="1" s="1"/>
  <c r="P398" i="1"/>
  <c r="EP380" i="1"/>
  <c r="BA380" i="1"/>
  <c r="F411" i="1"/>
  <c r="Q457" i="1"/>
  <c r="F480" i="1"/>
  <c r="GM251" i="1"/>
  <c r="GN251" i="1"/>
  <c r="DM152" i="1"/>
  <c r="P215" i="1"/>
  <c r="DM421" i="1"/>
  <c r="BA225" i="1"/>
  <c r="F368" i="1"/>
  <c r="V421" i="1"/>
  <c r="ED152" i="1"/>
  <c r="DQ193" i="1"/>
  <c r="GM66" i="1"/>
  <c r="FS86" i="1" s="1"/>
  <c r="GN66" i="1"/>
  <c r="FT86" i="1" s="1"/>
  <c r="DT86" i="1"/>
  <c r="BC22" i="1"/>
  <c r="F132" i="1"/>
  <c r="BC1515" i="1"/>
  <c r="GN1410" i="1"/>
  <c r="FT1418" i="1" s="1"/>
  <c r="DT1389" i="1"/>
  <c r="DG1418" i="1"/>
  <c r="GM1261" i="1"/>
  <c r="GN1351" i="1"/>
  <c r="GN1334" i="1"/>
  <c r="GN1212" i="1"/>
  <c r="GN1205" i="1"/>
  <c r="DH1040" i="1"/>
  <c r="P1096" i="1"/>
  <c r="F1035" i="1"/>
  <c r="Y997" i="1"/>
  <c r="Q645" i="1"/>
  <c r="Q789" i="1"/>
  <c r="F714" i="1"/>
  <c r="AK468" i="1"/>
  <c r="Q1389" i="1"/>
  <c r="F1430" i="1"/>
  <c r="F1176" i="1"/>
  <c r="BA1125" i="1"/>
  <c r="DP380" i="1"/>
  <c r="P417" i="1"/>
  <c r="GN1345" i="1"/>
  <c r="GN1336" i="1"/>
  <c r="GN1214" i="1"/>
  <c r="DM1125" i="1"/>
  <c r="P1178" i="1"/>
  <c r="GM895" i="1"/>
  <c r="GM883" i="1"/>
  <c r="GM1000" i="1"/>
  <c r="AB997" i="1"/>
  <c r="O1008" i="1"/>
  <c r="GN739" i="1"/>
  <c r="GN247" i="1"/>
  <c r="GN157" i="1"/>
  <c r="W1125" i="1"/>
  <c r="F1180" i="1"/>
  <c r="P1379" i="1"/>
  <c r="DM1330" i="1"/>
  <c r="DM1448" i="1"/>
  <c r="DN1448" i="1"/>
  <c r="P1380" i="1"/>
  <c r="DN1330" i="1"/>
  <c r="W1255" i="1"/>
  <c r="F1288" i="1"/>
  <c r="AL1255" i="1"/>
  <c r="Y1264" i="1"/>
  <c r="EH993" i="1"/>
  <c r="P1303" i="1"/>
  <c r="G21" i="2" s="1"/>
  <c r="GM1128" i="1"/>
  <c r="GN1128" i="1"/>
  <c r="DT1156" i="1"/>
  <c r="F1115" i="1"/>
  <c r="U1040" i="1"/>
  <c r="F1175" i="1"/>
  <c r="AU1125" i="1"/>
  <c r="BD993" i="1"/>
  <c r="F1319" i="1"/>
  <c r="GM1056" i="1"/>
  <c r="GN1056" i="1"/>
  <c r="GM902" i="1"/>
  <c r="GO902" i="1"/>
  <c r="DK1008" i="1"/>
  <c r="DX997" i="1"/>
  <c r="P779" i="1"/>
  <c r="ES734" i="1"/>
  <c r="F492" i="1"/>
  <c r="W457" i="1"/>
  <c r="W609" i="1"/>
  <c r="DI864" i="1"/>
  <c r="P943" i="1"/>
  <c r="AL500" i="1"/>
  <c r="Y579" i="1"/>
  <c r="DM500" i="1"/>
  <c r="P601" i="1"/>
  <c r="DN225" i="1"/>
  <c r="P371" i="1"/>
  <c r="W152" i="1"/>
  <c r="F217" i="1"/>
  <c r="W421" i="1"/>
  <c r="W1515" i="1" s="1"/>
  <c r="DW152" i="1"/>
  <c r="DJ193" i="1"/>
  <c r="DM22" i="1"/>
  <c r="P138" i="1"/>
  <c r="DM1515" i="1"/>
  <c r="DL1389" i="1"/>
  <c r="P1439" i="1"/>
  <c r="P1513" i="1"/>
  <c r="EJ1480" i="1"/>
  <c r="EI1326" i="1"/>
  <c r="P1458" i="1"/>
  <c r="AF1188" i="1"/>
  <c r="S1223" i="1"/>
  <c r="FS759" i="1"/>
  <c r="AQ993" i="1"/>
  <c r="F1304" i="1"/>
  <c r="F854" i="1"/>
  <c r="U825" i="1"/>
  <c r="U961" i="1"/>
  <c r="EC734" i="1"/>
  <c r="DP759" i="1"/>
  <c r="ES457" i="1"/>
  <c r="P488" i="1"/>
  <c r="ES609" i="1"/>
  <c r="F1441" i="1"/>
  <c r="V1389" i="1"/>
  <c r="EH1326" i="1"/>
  <c r="P1457" i="1"/>
  <c r="G22" i="2" s="1"/>
  <c r="EP1188" i="1"/>
  <c r="P1230" i="1"/>
  <c r="DG1480" i="1"/>
  <c r="P1487" i="1"/>
  <c r="T1389" i="1"/>
  <c r="F1439" i="1"/>
  <c r="P1418" i="1"/>
  <c r="CE1418" i="1"/>
  <c r="CF1418" i="1"/>
  <c r="AC1389" i="1"/>
  <c r="CH1418" i="1"/>
  <c r="P1452" i="1"/>
  <c r="EG1326" i="1"/>
  <c r="DO1125" i="1"/>
  <c r="P1180" i="1"/>
  <c r="GO898" i="1"/>
  <c r="GM898" i="1"/>
  <c r="ED1223" i="1"/>
  <c r="GM1077" i="1"/>
  <c r="GN1077" i="1"/>
  <c r="GM905" i="1"/>
  <c r="GO905" i="1"/>
  <c r="DI1188" i="1"/>
  <c r="P1235" i="1"/>
  <c r="DI1125" i="1"/>
  <c r="P1168" i="1"/>
  <c r="EQ997" i="1"/>
  <c r="P1016" i="1"/>
  <c r="GM1091" i="1"/>
  <c r="GN1091" i="1"/>
  <c r="GM1048" i="1"/>
  <c r="GN1048" i="1"/>
  <c r="GM929" i="1"/>
  <c r="GO929" i="1"/>
  <c r="EB864" i="1"/>
  <c r="DO931" i="1"/>
  <c r="F852" i="1"/>
  <c r="BA825" i="1"/>
  <c r="BA961" i="1"/>
  <c r="P713" i="1"/>
  <c r="ER645" i="1"/>
  <c r="DN789" i="1"/>
  <c r="P725" i="1"/>
  <c r="DN645" i="1"/>
  <c r="DP1008" i="1"/>
  <c r="EC997" i="1"/>
  <c r="F955" i="1"/>
  <c r="W864" i="1"/>
  <c r="GM870" i="1"/>
  <c r="CA931" i="1" s="1"/>
  <c r="GO870" i="1"/>
  <c r="FS832" i="1"/>
  <c r="F1168" i="1"/>
  <c r="Q1125" i="1"/>
  <c r="DX734" i="1"/>
  <c r="DK759" i="1"/>
  <c r="DW645" i="1"/>
  <c r="DJ702" i="1"/>
  <c r="AT453" i="1"/>
  <c r="F627" i="1"/>
  <c r="U18" i="2" s="1"/>
  <c r="DO453" i="1"/>
  <c r="P633" i="1"/>
  <c r="DQ468" i="1"/>
  <c r="ED457" i="1"/>
  <c r="P482" i="1"/>
  <c r="DJ457" i="1"/>
  <c r="DJ609" i="1"/>
  <c r="P418" i="1"/>
  <c r="DQ380" i="1"/>
  <c r="GN191" i="1"/>
  <c r="GM191" i="1"/>
  <c r="F108" i="1"/>
  <c r="U63" i="1"/>
  <c r="GM154" i="1"/>
  <c r="GN154" i="1"/>
  <c r="AB193" i="1"/>
  <c r="AE225" i="1"/>
  <c r="R348" i="1"/>
  <c r="DL63" i="1"/>
  <c r="P107" i="1"/>
  <c r="GM71" i="1"/>
  <c r="GN71" i="1"/>
  <c r="EP22" i="1"/>
  <c r="P123" i="1"/>
  <c r="Q26" i="1"/>
  <c r="F43" i="1"/>
  <c r="Q116" i="1"/>
  <c r="F1496" i="1"/>
  <c r="AZ1480" i="1"/>
  <c r="DO1330" i="1"/>
  <c r="P1381" i="1"/>
  <c r="DO1448" i="1"/>
  <c r="GM1203" i="1"/>
  <c r="GN1203" i="1"/>
  <c r="GM1257" i="1"/>
  <c r="CA1264" i="1" s="1"/>
  <c r="AB1264" i="1"/>
  <c r="GN1257" i="1"/>
  <c r="CB1264" i="1" s="1"/>
  <c r="FS1264" i="1"/>
  <c r="DW1188" i="1"/>
  <c r="DJ1223" i="1"/>
  <c r="DJ1294" i="1" s="1"/>
  <c r="CG1125" i="1"/>
  <c r="AX1156" i="1"/>
  <c r="DM997" i="1"/>
  <c r="P1030" i="1"/>
  <c r="DM1294" i="1"/>
  <c r="AK1188" i="1"/>
  <c r="X1223" i="1"/>
  <c r="GM1145" i="1"/>
  <c r="GN1145" i="1"/>
  <c r="V1040" i="1"/>
  <c r="F1116" i="1"/>
  <c r="F1030" i="1"/>
  <c r="U997" i="1"/>
  <c r="U1294" i="1"/>
  <c r="EI1125" i="1"/>
  <c r="P1166" i="1"/>
  <c r="ES1125" i="1"/>
  <c r="P1176" i="1"/>
  <c r="DX1040" i="1"/>
  <c r="DK1093" i="1"/>
  <c r="ER1040" i="1"/>
  <c r="P1104" i="1"/>
  <c r="GM1054" i="1"/>
  <c r="GN1054" i="1"/>
  <c r="GM924" i="1"/>
  <c r="GO924" i="1"/>
  <c r="DJ821" i="1"/>
  <c r="P975" i="1"/>
  <c r="DT734" i="1"/>
  <c r="DG759" i="1"/>
  <c r="F808" i="1"/>
  <c r="AU641" i="1"/>
  <c r="EG993" i="1"/>
  <c r="P1298" i="1"/>
  <c r="AD997" i="1"/>
  <c r="Q1008" i="1"/>
  <c r="GM869" i="1"/>
  <c r="GO869" i="1"/>
  <c r="P724" i="1"/>
  <c r="DM645" i="1"/>
  <c r="DM789" i="1"/>
  <c r="GM504" i="1"/>
  <c r="GN504" i="1"/>
  <c r="BB641" i="1"/>
  <c r="F802" i="1"/>
  <c r="EI453" i="1"/>
  <c r="P619" i="1"/>
  <c r="DV645" i="1"/>
  <c r="DI702" i="1"/>
  <c r="BD453" i="1"/>
  <c r="F634" i="1"/>
  <c r="GN459" i="1"/>
  <c r="CB468" i="1" s="1"/>
  <c r="GM459" i="1"/>
  <c r="CA468" i="1" s="1"/>
  <c r="AB468" i="1"/>
  <c r="S380" i="1"/>
  <c r="F406" i="1"/>
  <c r="AE500" i="1"/>
  <c r="R579" i="1"/>
  <c r="GM260" i="1"/>
  <c r="GN260" i="1"/>
  <c r="GN186" i="1"/>
  <c r="GM186" i="1"/>
  <c r="AX63" i="1"/>
  <c r="F93" i="1"/>
  <c r="DV152" i="1"/>
  <c r="DI193" i="1"/>
  <c r="DK1480" i="1"/>
  <c r="P1500" i="1"/>
  <c r="J23" i="2" s="1"/>
  <c r="EL1357" i="1"/>
  <c r="FU1330" i="1"/>
  <c r="DX1330" i="1"/>
  <c r="DK1357" i="1"/>
  <c r="T1330" i="1"/>
  <c r="F1378" i="1"/>
  <c r="T1448" i="1"/>
  <c r="AW1264" i="1"/>
  <c r="CF1255" i="1"/>
  <c r="F1493" i="1"/>
  <c r="AY1480" i="1"/>
  <c r="EN1389" i="1"/>
  <c r="P1423" i="1"/>
  <c r="DV1255" i="1"/>
  <c r="DI1264" i="1"/>
  <c r="DI1294" i="1" s="1"/>
  <c r="P1425" i="1"/>
  <c r="EP1389" i="1"/>
  <c r="F1380" i="1"/>
  <c r="V1448" i="1"/>
  <c r="V1330" i="1"/>
  <c r="DN1188" i="1"/>
  <c r="P1246" i="1"/>
  <c r="P1496" i="1"/>
  <c r="ER1480" i="1"/>
  <c r="P1357" i="1"/>
  <c r="CE1357" i="1"/>
  <c r="CF1357" i="1"/>
  <c r="AC1330" i="1"/>
  <c r="CH1357" i="1"/>
  <c r="ED1255" i="1"/>
  <c r="DQ1264" i="1"/>
  <c r="P1019" i="1"/>
  <c r="ER997" i="1"/>
  <c r="ER1294" i="1"/>
  <c r="DH1223" i="1"/>
  <c r="FW1223" i="1"/>
  <c r="FX1223" i="1"/>
  <c r="DU1188" i="1"/>
  <c r="FZ1223" i="1"/>
  <c r="GN1198" i="1"/>
  <c r="GM1198" i="1"/>
  <c r="F1275" i="1"/>
  <c r="AZ1255" i="1"/>
  <c r="EP997" i="1"/>
  <c r="P1015" i="1"/>
  <c r="F1029" i="1"/>
  <c r="T997" i="1"/>
  <c r="T1294" i="1"/>
  <c r="GN1134" i="1"/>
  <c r="GM1087" i="1"/>
  <c r="GN1087" i="1"/>
  <c r="GM1044" i="1"/>
  <c r="GN1044" i="1"/>
  <c r="FX734" i="1"/>
  <c r="EO759" i="1"/>
  <c r="EQ759" i="1"/>
  <c r="FZ734" i="1"/>
  <c r="BA645" i="1"/>
  <c r="BA789" i="1"/>
  <c r="BA1515" i="1" s="1"/>
  <c r="F722" i="1"/>
  <c r="DJ997" i="1"/>
  <c r="P1022" i="1"/>
  <c r="P855" i="1"/>
  <c r="DN825" i="1"/>
  <c r="DN961" i="1"/>
  <c r="AB931" i="1"/>
  <c r="GO657" i="1"/>
  <c r="CC702" i="1" s="1"/>
  <c r="GM657" i="1"/>
  <c r="CA702" i="1" s="1"/>
  <c r="DM864" i="1"/>
  <c r="P953" i="1"/>
  <c r="GM827" i="1"/>
  <c r="CA832" i="1" s="1"/>
  <c r="AB832" i="1"/>
  <c r="GN827" i="1"/>
  <c r="CB832" i="1" s="1"/>
  <c r="F768" i="1"/>
  <c r="AP734" i="1"/>
  <c r="BA453" i="1"/>
  <c r="F629" i="1"/>
  <c r="DU645" i="1"/>
  <c r="FZ702" i="1"/>
  <c r="DH702" i="1"/>
  <c r="FW702" i="1"/>
  <c r="FX702" i="1"/>
  <c r="GN462" i="1"/>
  <c r="CF457" i="1"/>
  <c r="AW468" i="1"/>
  <c r="ES225" i="1"/>
  <c r="P368" i="1"/>
  <c r="DI391" i="1"/>
  <c r="DV380" i="1"/>
  <c r="BA148" i="1"/>
  <c r="F441" i="1"/>
  <c r="GN264" i="1"/>
  <c r="BB148" i="1"/>
  <c r="F434" i="1"/>
  <c r="EH152" i="1"/>
  <c r="P202" i="1"/>
  <c r="EH421" i="1"/>
  <c r="EH1515" i="1" s="1"/>
  <c r="T63" i="1"/>
  <c r="F107" i="1"/>
  <c r="GN228" i="1"/>
  <c r="GM228" i="1"/>
  <c r="DT348" i="1"/>
  <c r="P106" i="1"/>
  <c r="ES63" i="1"/>
  <c r="EG22" i="1"/>
  <c r="P120" i="1"/>
  <c r="EG1515" i="1"/>
  <c r="R31" i="1"/>
  <c r="AE26" i="1"/>
  <c r="P1511" i="1"/>
  <c r="DP1480" i="1"/>
  <c r="F1499" i="1"/>
  <c r="Y23" i="2" s="1"/>
  <c r="R1480" i="1"/>
  <c r="EK1485" i="1"/>
  <c r="FT1480" i="1"/>
  <c r="FX1255" i="1"/>
  <c r="EO1264" i="1"/>
  <c r="ES1255" i="1"/>
  <c r="P1284" i="1"/>
  <c r="DL1188" i="1"/>
  <c r="P1244" i="1"/>
  <c r="AK1357" i="1"/>
  <c r="GM1147" i="1"/>
  <c r="GN1147" i="1"/>
  <c r="FW1330" i="1"/>
  <c r="EN1357" i="1"/>
  <c r="GN1137" i="1"/>
  <c r="GM1137" i="1"/>
  <c r="AZ1040" i="1"/>
  <c r="F1104" i="1"/>
  <c r="DO997" i="1"/>
  <c r="P1032" i="1"/>
  <c r="DO1294" i="1"/>
  <c r="EO997" i="1"/>
  <c r="P1014" i="1"/>
  <c r="GM1069" i="1"/>
  <c r="GN1069" i="1"/>
  <c r="EL993" i="1"/>
  <c r="P1312" i="1"/>
  <c r="F21" i="2" s="1"/>
  <c r="GO900" i="1"/>
  <c r="GM900" i="1"/>
  <c r="T821" i="1"/>
  <c r="F982" i="1"/>
  <c r="P766" i="1"/>
  <c r="EP734" i="1"/>
  <c r="F766" i="1"/>
  <c r="AX734" i="1"/>
  <c r="DK825" i="1"/>
  <c r="P847" i="1"/>
  <c r="DK961" i="1"/>
  <c r="P702" i="1"/>
  <c r="CE702" i="1"/>
  <c r="CF702" i="1"/>
  <c r="AC645" i="1"/>
  <c r="CH702" i="1"/>
  <c r="AP821" i="1"/>
  <c r="F970" i="1"/>
  <c r="V20" i="2" s="1"/>
  <c r="P859" i="1"/>
  <c r="DQ825" i="1"/>
  <c r="P781" i="1"/>
  <c r="DM734" i="1"/>
  <c r="ES645" i="1"/>
  <c r="P722" i="1"/>
  <c r="ES789" i="1"/>
  <c r="X825" i="1"/>
  <c r="F858" i="1"/>
  <c r="X961" i="1"/>
  <c r="AQ500" i="1"/>
  <c r="F589" i="1"/>
  <c r="EU641" i="1"/>
  <c r="P805" i="1"/>
  <c r="EC579" i="1"/>
  <c r="S825" i="1"/>
  <c r="F847" i="1"/>
  <c r="BD641" i="1"/>
  <c r="F814" i="1"/>
  <c r="FX500" i="1"/>
  <c r="EO579" i="1"/>
  <c r="AD500" i="1"/>
  <c r="Q579" i="1"/>
  <c r="Q609" i="1" s="1"/>
  <c r="AC380" i="1"/>
  <c r="CH391" i="1"/>
  <c r="P391" i="1"/>
  <c r="CE391" i="1"/>
  <c r="CF391" i="1"/>
  <c r="U152" i="1"/>
  <c r="F215" i="1"/>
  <c r="U421" i="1"/>
  <c r="U1515" i="1" s="1"/>
  <c r="F110" i="1"/>
  <c r="W63" i="1"/>
  <c r="DN63" i="1"/>
  <c r="DN116" i="1"/>
  <c r="P109" i="1"/>
  <c r="DK152" i="1"/>
  <c r="P208" i="1"/>
  <c r="DK421" i="1"/>
  <c r="AC152" i="1"/>
  <c r="P193" i="1"/>
  <c r="CE193" i="1"/>
  <c r="CH193" i="1"/>
  <c r="CF193" i="1"/>
  <c r="AE63" i="1"/>
  <c r="R86" i="1"/>
  <c r="BD22" i="1"/>
  <c r="F141" i="1"/>
  <c r="BD1515" i="1"/>
  <c r="DK22" i="1"/>
  <c r="P131" i="1"/>
  <c r="AT22" i="1"/>
  <c r="F134" i="1"/>
  <c r="U16" i="2" s="1"/>
  <c r="GN1349" i="1"/>
  <c r="FZ1040" i="1"/>
  <c r="EQ1093" i="1"/>
  <c r="DT500" i="1"/>
  <c r="DG579" i="1"/>
  <c r="GN244" i="1"/>
  <c r="F1167" i="1"/>
  <c r="AZ1125" i="1"/>
  <c r="GN751" i="1"/>
  <c r="DO500" i="1"/>
  <c r="P603" i="1"/>
  <c r="GM509" i="1"/>
  <c r="GN178" i="1"/>
  <c r="CA86" i="1"/>
  <c r="F405" i="1"/>
  <c r="R380" i="1"/>
  <c r="GN1085" i="1"/>
  <c r="X380" i="1"/>
  <c r="F417" i="1"/>
  <c r="GN277" i="1"/>
  <c r="DL1330" i="1"/>
  <c r="DL1448" i="1"/>
  <c r="P1378" i="1"/>
  <c r="DP1223" i="1"/>
  <c r="EC1188" i="1"/>
  <c r="AU821" i="1"/>
  <c r="F980" i="1"/>
  <c r="FT645" i="1"/>
  <c r="EK702" i="1"/>
  <c r="CA734" i="1"/>
  <c r="AR759" i="1"/>
  <c r="W645" i="1"/>
  <c r="W789" i="1"/>
  <c r="F726" i="1"/>
  <c r="EV641" i="1"/>
  <c r="P814" i="1"/>
  <c r="DX457" i="1"/>
  <c r="DK468" i="1"/>
  <c r="AU457" i="1"/>
  <c r="AU609" i="1"/>
  <c r="F487" i="1"/>
  <c r="EU148" i="1"/>
  <c r="P437" i="1"/>
  <c r="X86" i="1"/>
  <c r="AK63" i="1"/>
  <c r="EL22" i="1"/>
  <c r="P134" i="1"/>
  <c r="F16" i="2" s="1"/>
  <c r="GM1341" i="1"/>
  <c r="GN1341" i="1"/>
  <c r="FT1357" i="1" s="1"/>
  <c r="P1430" i="1"/>
  <c r="DI1389" i="1"/>
  <c r="BA1389" i="1"/>
  <c r="F1438" i="1"/>
  <c r="U1448" i="1"/>
  <c r="U1330" i="1"/>
  <c r="F1379" i="1"/>
  <c r="P1371" i="1"/>
  <c r="DJ1448" i="1"/>
  <c r="DJ1330" i="1"/>
  <c r="GO891" i="1"/>
  <c r="GM891" i="1"/>
  <c r="AE1330" i="1"/>
  <c r="R1357" i="1"/>
  <c r="FY1125" i="1"/>
  <c r="EP1156" i="1"/>
  <c r="EP1294" i="1" s="1"/>
  <c r="GM1065" i="1"/>
  <c r="GN1065" i="1"/>
  <c r="ED1156" i="1"/>
  <c r="P759" i="1"/>
  <c r="CE759" i="1"/>
  <c r="CF759" i="1"/>
  <c r="AC734" i="1"/>
  <c r="CH759" i="1"/>
  <c r="T380" i="1"/>
  <c r="F412" i="1"/>
  <c r="AL457" i="1"/>
  <c r="Y468" i="1"/>
  <c r="EL453" i="1"/>
  <c r="P627" i="1"/>
  <c r="F18" i="2" s="1"/>
  <c r="P1377" i="1"/>
  <c r="ES1448" i="1"/>
  <c r="ES1330" i="1"/>
  <c r="P1243" i="1"/>
  <c r="ES1188" i="1"/>
  <c r="F1490" i="1"/>
  <c r="AV1480" i="1"/>
  <c r="P1440" i="1"/>
  <c r="DM1389" i="1"/>
  <c r="AX1255" i="1"/>
  <c r="F1271" i="1"/>
  <c r="AX1480" i="1"/>
  <c r="F1492" i="1"/>
  <c r="ED1418" i="1"/>
  <c r="GM1393" i="1"/>
  <c r="CA1418" i="1" s="1"/>
  <c r="AB1418" i="1"/>
  <c r="F1117" i="1"/>
  <c r="W1040" i="1"/>
  <c r="EV1326" i="1"/>
  <c r="P1473" i="1"/>
  <c r="CH1223" i="1"/>
  <c r="P1223" i="1"/>
  <c r="CE1223" i="1"/>
  <c r="AC1188" i="1"/>
  <c r="CF1223" i="1"/>
  <c r="GM1004" i="1"/>
  <c r="GN1004" i="1"/>
  <c r="AO1326" i="1"/>
  <c r="F1452" i="1"/>
  <c r="AP993" i="1"/>
  <c r="F1303" i="1"/>
  <c r="V21" i="2" s="1"/>
  <c r="GM1072" i="1"/>
  <c r="GN1072" i="1"/>
  <c r="AD1040" i="1"/>
  <c r="Q1093" i="1"/>
  <c r="GM921" i="1"/>
  <c r="GO921" i="1"/>
  <c r="EI821" i="1"/>
  <c r="P971" i="1"/>
  <c r="AE1125" i="1"/>
  <c r="R1156" i="1"/>
  <c r="AF1040" i="1"/>
  <c r="S1093" i="1"/>
  <c r="ED997" i="1"/>
  <c r="DQ1008" i="1"/>
  <c r="AC864" i="1"/>
  <c r="CH931" i="1"/>
  <c r="P931" i="1"/>
  <c r="CE931" i="1"/>
  <c r="CF931" i="1"/>
  <c r="DT825" i="1"/>
  <c r="DG832" i="1"/>
  <c r="CB759" i="1"/>
  <c r="EM821" i="1"/>
  <c r="P980" i="1"/>
  <c r="V500" i="1"/>
  <c r="F602" i="1"/>
  <c r="DO734" i="1"/>
  <c r="P783" i="1"/>
  <c r="AZ500" i="1"/>
  <c r="F590" i="1"/>
  <c r="DX500" i="1"/>
  <c r="DK579" i="1"/>
  <c r="ET453" i="1"/>
  <c r="P622" i="1"/>
  <c r="EC457" i="1"/>
  <c r="DP468" i="1"/>
  <c r="P414" i="1"/>
  <c r="DN380" i="1"/>
  <c r="P406" i="1"/>
  <c r="DK380" i="1"/>
  <c r="U380" i="1"/>
  <c r="F413" i="1"/>
  <c r="DL148" i="1"/>
  <c r="P442" i="1"/>
  <c r="T225" i="1"/>
  <c r="F369" i="1"/>
  <c r="AP148" i="1"/>
  <c r="F430" i="1"/>
  <c r="V17" i="2" s="1"/>
  <c r="DO63" i="1"/>
  <c r="P110" i="1"/>
  <c r="DU152" i="1"/>
  <c r="FW193" i="1"/>
  <c r="FX193" i="1"/>
  <c r="FZ193" i="1"/>
  <c r="DH193" i="1"/>
  <c r="EV22" i="1"/>
  <c r="P141" i="1"/>
  <c r="EV1515" i="1"/>
  <c r="CH86" i="1"/>
  <c r="P86" i="1"/>
  <c r="CE86" i="1"/>
  <c r="CF86" i="1"/>
  <c r="AC63" i="1"/>
  <c r="T22" i="1"/>
  <c r="F137" i="1"/>
  <c r="AD152" i="1"/>
  <c r="Q193" i="1"/>
  <c r="EM22" i="1"/>
  <c r="P135" i="1"/>
  <c r="H16" i="2" s="1"/>
  <c r="AP22" i="1"/>
  <c r="F125" i="1"/>
  <c r="V16" i="2" s="1"/>
  <c r="F1364" i="1"/>
  <c r="AX1448" i="1"/>
  <c r="AX1330" i="1"/>
  <c r="F1445" i="1"/>
  <c r="Y1389" i="1"/>
  <c r="DG1264" i="1"/>
  <c r="DT1255" i="1"/>
  <c r="AQ1125" i="1"/>
  <c r="F1166" i="1"/>
  <c r="AL1223" i="1"/>
  <c r="GM1141" i="1"/>
  <c r="GN1141" i="1"/>
  <c r="CF1008" i="1"/>
  <c r="CH1008" i="1"/>
  <c r="AC997" i="1"/>
  <c r="P1008" i="1"/>
  <c r="CE1008" i="1"/>
  <c r="GM1136" i="1"/>
  <c r="GN1136" i="1"/>
  <c r="DI1040" i="1"/>
  <c r="P1105" i="1"/>
  <c r="GM1046" i="1"/>
  <c r="GN1046" i="1"/>
  <c r="GM916" i="1"/>
  <c r="GO916" i="1"/>
  <c r="FT759" i="1"/>
  <c r="DJ1125" i="1"/>
  <c r="P1170" i="1"/>
  <c r="DK1156" i="1"/>
  <c r="DX1125" i="1"/>
  <c r="DL734" i="1"/>
  <c r="P780" i="1"/>
  <c r="F723" i="1"/>
  <c r="T645" i="1"/>
  <c r="T789" i="1"/>
  <c r="GO893" i="1"/>
  <c r="GM893" i="1"/>
  <c r="GM867" i="1"/>
  <c r="FS931" i="1" s="1"/>
  <c r="GO867" i="1"/>
  <c r="FU931" i="1" s="1"/>
  <c r="DT931" i="1"/>
  <c r="AZ825" i="1"/>
  <c r="F843" i="1"/>
  <c r="AZ961" i="1"/>
  <c r="F786" i="1"/>
  <c r="Y734" i="1"/>
  <c r="X734" i="1"/>
  <c r="F785" i="1"/>
  <c r="AE645" i="1"/>
  <c r="R702" i="1"/>
  <c r="EG821" i="1"/>
  <c r="P965" i="1"/>
  <c r="DU457" i="1"/>
  <c r="FX468" i="1"/>
  <c r="FZ468" i="1"/>
  <c r="DH468" i="1"/>
  <c r="FW468" i="1"/>
  <c r="ET641" i="1"/>
  <c r="P802" i="1"/>
  <c r="GM502" i="1"/>
  <c r="CA579" i="1" s="1"/>
  <c r="GN502" i="1"/>
  <c r="CB579" i="1" s="1"/>
  <c r="AB579" i="1"/>
  <c r="DL380" i="1"/>
  <c r="P412" i="1"/>
  <c r="DJ391" i="1"/>
  <c r="DW380" i="1"/>
  <c r="GN280" i="1"/>
  <c r="GM280" i="1"/>
  <c r="EG148" i="1"/>
  <c r="P425" i="1"/>
  <c r="GM231" i="1"/>
  <c r="CA348" i="1" s="1"/>
  <c r="GN231" i="1"/>
  <c r="AL63" i="1"/>
  <c r="Y86" i="1"/>
  <c r="DQ63" i="1"/>
  <c r="P113" i="1"/>
  <c r="AE152" i="1"/>
  <c r="R193" i="1"/>
  <c r="DQ26" i="1"/>
  <c r="DQ116" i="1"/>
  <c r="P58" i="1"/>
  <c r="EN26" i="1"/>
  <c r="P36" i="1"/>
  <c r="EM1326" i="1"/>
  <c r="P1467" i="1"/>
  <c r="ER1330" i="1"/>
  <c r="P1368" i="1"/>
  <c r="ER1448" i="1"/>
  <c r="P1285" i="1"/>
  <c r="DL1255" i="1"/>
  <c r="AV1264" i="1"/>
  <c r="CE1255" i="1"/>
  <c r="ER1389" i="1"/>
  <c r="P1429" i="1"/>
  <c r="AF1330" i="1"/>
  <c r="S1357" i="1"/>
  <c r="GM1332" i="1"/>
  <c r="CA1357" i="1" s="1"/>
  <c r="GN1332" i="1"/>
  <c r="CB1357" i="1" s="1"/>
  <c r="AB1357" i="1"/>
  <c r="DK1264" i="1"/>
  <c r="DX1255" i="1"/>
  <c r="DO1188" i="1"/>
  <c r="P1247" i="1"/>
  <c r="AE1389" i="1"/>
  <c r="R1418" i="1"/>
  <c r="GM1201" i="1"/>
  <c r="GN1201" i="1"/>
  <c r="GN1191" i="1"/>
  <c r="F1235" i="1"/>
  <c r="Q1188" i="1"/>
  <c r="AX1040" i="1"/>
  <c r="F1100" i="1"/>
  <c r="FT1093" i="1"/>
  <c r="GM1079" i="1"/>
  <c r="GN1079" i="1"/>
  <c r="ET993" i="1"/>
  <c r="P1307" i="1"/>
  <c r="ES864" i="1"/>
  <c r="P951" i="1"/>
  <c r="ES825" i="1"/>
  <c r="P852" i="1"/>
  <c r="ES961" i="1"/>
  <c r="FW734" i="1"/>
  <c r="EN759" i="1"/>
  <c r="W734" i="1"/>
  <c r="F783" i="1"/>
  <c r="AO821" i="1"/>
  <c r="F965" i="1"/>
  <c r="AB702" i="1"/>
  <c r="AF864" i="1"/>
  <c r="S931" i="1"/>
  <c r="P773" i="1"/>
  <c r="DJ734" i="1"/>
  <c r="FX825" i="1"/>
  <c r="EO832" i="1"/>
  <c r="CH832" i="1"/>
  <c r="AC825" i="1"/>
  <c r="P832" i="1"/>
  <c r="CE832" i="1"/>
  <c r="CF832" i="1"/>
  <c r="AF645" i="1"/>
  <c r="S702" i="1"/>
  <c r="DT702" i="1"/>
  <c r="GM648" i="1"/>
  <c r="FS702" i="1" s="1"/>
  <c r="GO648" i="1"/>
  <c r="FU702" i="1" s="1"/>
  <c r="AZ645" i="1"/>
  <c r="AZ789" i="1"/>
  <c r="F713" i="1"/>
  <c r="EU453" i="1"/>
  <c r="P625" i="1"/>
  <c r="AY468" i="1"/>
  <c r="CH457" i="1"/>
  <c r="DL225" i="1"/>
  <c r="P369" i="1"/>
  <c r="AU391" i="1"/>
  <c r="CD380" i="1"/>
  <c r="Y380" i="1"/>
  <c r="F418" i="1"/>
  <c r="GM263" i="1"/>
  <c r="GN263" i="1"/>
  <c r="DW225" i="1"/>
  <c r="DJ348" i="1"/>
  <c r="Q225" i="1"/>
  <c r="F360" i="1"/>
  <c r="F106" i="1"/>
  <c r="BA63" i="1"/>
  <c r="ER26" i="1"/>
  <c r="ER116" i="1"/>
  <c r="P42" i="1"/>
  <c r="DT26" i="1"/>
  <c r="DG31" i="1"/>
  <c r="BB22" i="1"/>
  <c r="F129" i="1"/>
  <c r="BB1515" i="1"/>
  <c r="P1288" i="1"/>
  <c r="DO1255" i="1"/>
  <c r="F1458" i="1"/>
  <c r="AQ1326" i="1"/>
  <c r="FW1255" i="1"/>
  <c r="EN1264" i="1"/>
  <c r="T1188" i="1"/>
  <c r="F1244" i="1"/>
  <c r="AE1188" i="1"/>
  <c r="R1223" i="1"/>
  <c r="EM1125" i="1"/>
  <c r="P1175" i="1"/>
  <c r="GM1127" i="1"/>
  <c r="GN1127" i="1"/>
  <c r="AB1156" i="1"/>
  <c r="AX864" i="1"/>
  <c r="F938" i="1"/>
  <c r="GM1143" i="1"/>
  <c r="GN1143" i="1"/>
  <c r="DN1040" i="1"/>
  <c r="P1116" i="1"/>
  <c r="DH1330" i="1"/>
  <c r="DH1448" i="1"/>
  <c r="P1360" i="1"/>
  <c r="F1113" i="1"/>
  <c r="BA1040" i="1"/>
  <c r="GM1058" i="1"/>
  <c r="GN1058" i="1"/>
  <c r="DX864" i="1"/>
  <c r="DK931" i="1"/>
  <c r="GA734" i="1"/>
  <c r="ER759" i="1"/>
  <c r="GN1042" i="1"/>
  <c r="GM1042" i="1"/>
  <c r="AB1093" i="1"/>
  <c r="AE997" i="1"/>
  <c r="R1008" i="1"/>
  <c r="U734" i="1"/>
  <c r="F781" i="1"/>
  <c r="F799" i="1"/>
  <c r="AQ641" i="1"/>
  <c r="U789" i="1"/>
  <c r="U645" i="1"/>
  <c r="F724" i="1"/>
  <c r="BD821" i="1"/>
  <c r="F986" i="1"/>
  <c r="V609" i="1"/>
  <c r="DL609" i="1"/>
  <c r="FZ500" i="1"/>
  <c r="EQ579" i="1"/>
  <c r="DI500" i="1"/>
  <c r="P591" i="1"/>
  <c r="ER225" i="1"/>
  <c r="P359" i="1"/>
  <c r="DH391" i="1"/>
  <c r="FW391" i="1"/>
  <c r="DU380" i="1"/>
  <c r="FX391" i="1"/>
  <c r="FZ391" i="1"/>
  <c r="GN382" i="1"/>
  <c r="CB391" i="1" s="1"/>
  <c r="AB391" i="1"/>
  <c r="GM382" i="1"/>
  <c r="CA391" i="1" s="1"/>
  <c r="DV225" i="1"/>
  <c r="DI348" i="1"/>
  <c r="EI148" i="1"/>
  <c r="P431" i="1"/>
  <c r="GM162" i="1"/>
  <c r="GN162" i="1"/>
  <c r="ET22" i="1"/>
  <c r="P129" i="1"/>
  <c r="ET1515" i="1"/>
  <c r="EQ26" i="1"/>
  <c r="P39" i="1"/>
  <c r="AO22" i="1"/>
  <c r="F120" i="1"/>
  <c r="AO1515" i="1"/>
  <c r="P1369" i="1"/>
  <c r="DI1330" i="1"/>
  <c r="DI1448" i="1"/>
  <c r="F1177" i="1"/>
  <c r="T1125" i="1"/>
  <c r="DT1008" i="1"/>
  <c r="T500" i="1"/>
  <c r="F600" i="1"/>
  <c r="Q380" i="1"/>
  <c r="F403" i="1"/>
  <c r="DP645" i="1"/>
  <c r="P728" i="1"/>
  <c r="DI825" i="1"/>
  <c r="DI961" i="1"/>
  <c r="P844" i="1"/>
  <c r="Q453" i="1" l="1"/>
  <c r="F621" i="1"/>
  <c r="CB225" i="1"/>
  <c r="AS348" i="1"/>
  <c r="CA645" i="1"/>
  <c r="AR702" i="1"/>
  <c r="CB63" i="1"/>
  <c r="AS86" i="1"/>
  <c r="AT702" i="1"/>
  <c r="CC645" i="1"/>
  <c r="FS500" i="1"/>
  <c r="EJ579" i="1"/>
  <c r="CD1255" i="1"/>
  <c r="AU1264" i="1"/>
  <c r="FS1040" i="1"/>
  <c r="EJ1093" i="1"/>
  <c r="U18" i="1"/>
  <c r="F1537" i="1"/>
  <c r="DJ993" i="1"/>
  <c r="P1308" i="1"/>
  <c r="FS1330" i="1"/>
  <c r="EJ1357" i="1"/>
  <c r="EP993" i="1"/>
  <c r="P1301" i="1"/>
  <c r="FT1330" i="1"/>
  <c r="EK1357" i="1"/>
  <c r="BA18" i="1"/>
  <c r="F1535" i="1"/>
  <c r="DI993" i="1"/>
  <c r="P1306" i="1"/>
  <c r="AQ18" i="1"/>
  <c r="F1525" i="1"/>
  <c r="CA864" i="1"/>
  <c r="AR931" i="1"/>
  <c r="FT1389" i="1"/>
  <c r="EK1418" i="1"/>
  <c r="CA225" i="1"/>
  <c r="AR348" i="1"/>
  <c r="EH18" i="1"/>
  <c r="P1524" i="1"/>
  <c r="W18" i="1"/>
  <c r="F1539" i="1"/>
  <c r="FT500" i="1"/>
  <c r="EK579" i="1"/>
  <c r="FZ152" i="1"/>
  <c r="EQ193" i="1"/>
  <c r="CB734" i="1"/>
  <c r="AS759" i="1"/>
  <c r="AV931" i="1"/>
  <c r="CE864" i="1"/>
  <c r="P1035" i="1"/>
  <c r="DQ997" i="1"/>
  <c r="R1125" i="1"/>
  <c r="F1170" i="1"/>
  <c r="CF1188" i="1"/>
  <c r="AW1223" i="1"/>
  <c r="CH1188" i="1"/>
  <c r="AY1223" i="1"/>
  <c r="ED1125" i="1"/>
  <c r="DQ1156" i="1"/>
  <c r="W641" i="1"/>
  <c r="F813" i="1"/>
  <c r="EK645" i="1"/>
  <c r="P719" i="1"/>
  <c r="DG500" i="1"/>
  <c r="P581" i="1"/>
  <c r="CF152" i="1"/>
  <c r="AW193" i="1"/>
  <c r="CF380" i="1"/>
  <c r="AW391" i="1"/>
  <c r="CH645" i="1"/>
  <c r="AY702" i="1"/>
  <c r="F705" i="1"/>
  <c r="P645" i="1"/>
  <c r="P789" i="1"/>
  <c r="R26" i="1"/>
  <c r="F45" i="1"/>
  <c r="R116" i="1"/>
  <c r="FT348" i="1"/>
  <c r="DI380" i="1"/>
  <c r="P403" i="1"/>
  <c r="DH645" i="1"/>
  <c r="P705" i="1"/>
  <c r="DH789" i="1"/>
  <c r="AB825" i="1"/>
  <c r="O832" i="1"/>
  <c r="ER993" i="1"/>
  <c r="P1305" i="1"/>
  <c r="CE1330" i="1"/>
  <c r="AV1357" i="1"/>
  <c r="DI152" i="1"/>
  <c r="P205" i="1"/>
  <c r="DI421" i="1"/>
  <c r="X1188" i="1"/>
  <c r="F1249" i="1"/>
  <c r="AR1264" i="1"/>
  <c r="CA1255" i="1"/>
  <c r="Q22" i="1"/>
  <c r="F128" i="1"/>
  <c r="AB152" i="1"/>
  <c r="O193" i="1"/>
  <c r="DK734" i="1"/>
  <c r="P774" i="1"/>
  <c r="FS825" i="1"/>
  <c r="EJ832" i="1"/>
  <c r="ED1188" i="1"/>
  <c r="DQ1223" i="1"/>
  <c r="FS734" i="1"/>
  <c r="EJ759" i="1"/>
  <c r="DJ152" i="1"/>
  <c r="P207" i="1"/>
  <c r="DJ421" i="1"/>
  <c r="FS1156" i="1"/>
  <c r="FS1008" i="1"/>
  <c r="BC18" i="1"/>
  <c r="F1531" i="1"/>
  <c r="EK86" i="1"/>
  <c r="FT63" i="1"/>
  <c r="V148" i="1"/>
  <c r="F444" i="1"/>
  <c r="P616" i="1"/>
  <c r="EP453" i="1"/>
  <c r="P1363" i="1"/>
  <c r="EO1448" i="1"/>
  <c r="EO1330" i="1"/>
  <c r="P1272" i="1"/>
  <c r="EQ1255" i="1"/>
  <c r="FX225" i="1"/>
  <c r="EO348" i="1"/>
  <c r="FT380" i="1"/>
  <c r="EK391" i="1"/>
  <c r="P453" i="1"/>
  <c r="F612" i="1"/>
  <c r="V993" i="1"/>
  <c r="F1317" i="1"/>
  <c r="F1159" i="1"/>
  <c r="P1125" i="1"/>
  <c r="AY1255" i="1"/>
  <c r="F1272" i="1"/>
  <c r="DP152" i="1"/>
  <c r="P219" i="1"/>
  <c r="DP421" i="1"/>
  <c r="FV380" i="1"/>
  <c r="EM391" i="1"/>
  <c r="FS1389" i="1"/>
  <c r="EJ1418" i="1"/>
  <c r="EU18" i="1"/>
  <c r="P1531" i="1"/>
  <c r="DH63" i="1"/>
  <c r="P89" i="1"/>
  <c r="DH116" i="1"/>
  <c r="AZ22" i="1"/>
  <c r="F127" i="1"/>
  <c r="DN148" i="1"/>
  <c r="P444" i="1"/>
  <c r="DT457" i="1"/>
  <c r="DG468" i="1"/>
  <c r="ER500" i="1"/>
  <c r="P590" i="1"/>
  <c r="DL641" i="1"/>
  <c r="P810" i="1"/>
  <c r="AV1093" i="1"/>
  <c r="CE1040" i="1"/>
  <c r="ED864" i="1"/>
  <c r="DQ931" i="1"/>
  <c r="EK26" i="1"/>
  <c r="P48" i="1"/>
  <c r="S22" i="1"/>
  <c r="F131" i="1"/>
  <c r="EL148" i="1"/>
  <c r="P439" i="1"/>
  <c r="F17" i="2" s="1"/>
  <c r="P225" i="1"/>
  <c r="F351" i="1"/>
  <c r="AV457" i="1"/>
  <c r="F473" i="1"/>
  <c r="P837" i="1"/>
  <c r="EN825" i="1"/>
  <c r="CC931" i="1"/>
  <c r="ER821" i="1"/>
  <c r="P972" i="1"/>
  <c r="W993" i="1"/>
  <c r="F1318" i="1"/>
  <c r="F482" i="1"/>
  <c r="R457" i="1"/>
  <c r="R609" i="1"/>
  <c r="P500" i="1"/>
  <c r="F582" i="1"/>
  <c r="Q864" i="1"/>
  <c r="F943" i="1"/>
  <c r="F1171" i="1"/>
  <c r="S1125" i="1"/>
  <c r="F1472" i="1"/>
  <c r="W1326" i="1"/>
  <c r="P112" i="1"/>
  <c r="DP63" i="1"/>
  <c r="FS193" i="1"/>
  <c r="BA993" i="1"/>
  <c r="F1314" i="1"/>
  <c r="CB1223" i="1"/>
  <c r="F1427" i="1"/>
  <c r="AP1389" i="1"/>
  <c r="AP1448" i="1"/>
  <c r="DH864" i="1"/>
  <c r="P934" i="1"/>
  <c r="FW1125" i="1"/>
  <c r="EN1156" i="1"/>
  <c r="P1444" i="1"/>
  <c r="DP1389" i="1"/>
  <c r="X500" i="1"/>
  <c r="F605" i="1"/>
  <c r="F88" i="1"/>
  <c r="O63" i="1"/>
  <c r="P1095" i="1"/>
  <c r="DG1040" i="1"/>
  <c r="DG1330" i="1"/>
  <c r="P1359" i="1"/>
  <c r="DG1448" i="1"/>
  <c r="X225" i="1"/>
  <c r="F374" i="1"/>
  <c r="X864" i="1"/>
  <c r="F957" i="1"/>
  <c r="Y864" i="1"/>
  <c r="F958" i="1"/>
  <c r="Y961" i="1"/>
  <c r="DI821" i="1"/>
  <c r="P973" i="1"/>
  <c r="P1460" i="1"/>
  <c r="DI1326" i="1"/>
  <c r="DI225" i="1"/>
  <c r="P360" i="1"/>
  <c r="CB380" i="1"/>
  <c r="AS391" i="1"/>
  <c r="EN391" i="1"/>
  <c r="FW380" i="1"/>
  <c r="DL453" i="1"/>
  <c r="P630" i="1"/>
  <c r="ER734" i="1"/>
  <c r="P770" i="1"/>
  <c r="BB18" i="1"/>
  <c r="F1528" i="1"/>
  <c r="DJ225" i="1"/>
  <c r="P362" i="1"/>
  <c r="S645" i="1"/>
  <c r="F717" i="1"/>
  <c r="S789" i="1"/>
  <c r="P825" i="1"/>
  <c r="F835" i="1"/>
  <c r="P961" i="1"/>
  <c r="ES821" i="1"/>
  <c r="P981" i="1"/>
  <c r="H20" i="2" s="1"/>
  <c r="AB1330" i="1"/>
  <c r="O1357" i="1"/>
  <c r="F1269" i="1"/>
  <c r="AV1255" i="1"/>
  <c r="DQ22" i="1"/>
  <c r="P143" i="1"/>
  <c r="CA500" i="1"/>
  <c r="AR579" i="1"/>
  <c r="DH457" i="1"/>
  <c r="P471" i="1"/>
  <c r="DH609" i="1"/>
  <c r="AZ821" i="1"/>
  <c r="F972" i="1"/>
  <c r="FU864" i="1"/>
  <c r="EL931" i="1"/>
  <c r="F810" i="1"/>
  <c r="T641" i="1"/>
  <c r="T1515" i="1"/>
  <c r="EV18" i="1"/>
  <c r="P1540" i="1"/>
  <c r="DG1008" i="1"/>
  <c r="DT997" i="1"/>
  <c r="ET18" i="1"/>
  <c r="P1528" i="1"/>
  <c r="FZ380" i="1"/>
  <c r="EQ391" i="1"/>
  <c r="DH380" i="1"/>
  <c r="P394" i="1"/>
  <c r="V453" i="1"/>
  <c r="F632" i="1"/>
  <c r="AB1125" i="1"/>
  <c r="O1156" i="1"/>
  <c r="AB645" i="1"/>
  <c r="O702" i="1"/>
  <c r="CB1330" i="1"/>
  <c r="AS1357" i="1"/>
  <c r="FS864" i="1"/>
  <c r="EJ931" i="1"/>
  <c r="FT734" i="1"/>
  <c r="EK759" i="1"/>
  <c r="CH997" i="1"/>
  <c r="AY1008" i="1"/>
  <c r="DG825" i="1"/>
  <c r="P834" i="1"/>
  <c r="AB1389" i="1"/>
  <c r="O1418" i="1"/>
  <c r="AU453" i="1"/>
  <c r="F628" i="1"/>
  <c r="W18" i="2" s="1"/>
  <c r="DP1188" i="1"/>
  <c r="P1249" i="1"/>
  <c r="DK148" i="1"/>
  <c r="P436" i="1"/>
  <c r="DN22" i="1"/>
  <c r="P139" i="1"/>
  <c r="DN1515" i="1"/>
  <c r="AV391" i="1"/>
  <c r="CE380" i="1"/>
  <c r="EG18" i="1"/>
  <c r="P1519" i="1"/>
  <c r="CA825" i="1"/>
  <c r="AR832" i="1"/>
  <c r="EQ734" i="1"/>
  <c r="P767" i="1"/>
  <c r="T993" i="1"/>
  <c r="F1315" i="1"/>
  <c r="FX1188" i="1"/>
  <c r="EO1223" i="1"/>
  <c r="CH1330" i="1"/>
  <c r="AY1357" i="1"/>
  <c r="P1375" i="1"/>
  <c r="EL1448" i="1"/>
  <c r="EL1330" i="1"/>
  <c r="R500" i="1"/>
  <c r="F593" i="1"/>
  <c r="AB457" i="1"/>
  <c r="O468" i="1"/>
  <c r="DG734" i="1"/>
  <c r="P761" i="1"/>
  <c r="U993" i="1"/>
  <c r="F1316" i="1"/>
  <c r="AX1125" i="1"/>
  <c r="F1163" i="1"/>
  <c r="FS1255" i="1"/>
  <c r="EJ1264" i="1"/>
  <c r="CB193" i="1"/>
  <c r="DJ453" i="1"/>
  <c r="P623" i="1"/>
  <c r="DQ457" i="1"/>
  <c r="P495" i="1"/>
  <c r="DQ609" i="1"/>
  <c r="P955" i="1"/>
  <c r="DO864" i="1"/>
  <c r="DO961" i="1"/>
  <c r="CF1389" i="1"/>
  <c r="AW1418" i="1"/>
  <c r="P785" i="1"/>
  <c r="DP734" i="1"/>
  <c r="S1188" i="1"/>
  <c r="F1238" i="1"/>
  <c r="DM18" i="1"/>
  <c r="P1537" i="1"/>
  <c r="Y500" i="1"/>
  <c r="F606" i="1"/>
  <c r="W453" i="1"/>
  <c r="F633" i="1"/>
  <c r="DN1326" i="1"/>
  <c r="P1471" i="1"/>
  <c r="Q641" i="1"/>
  <c r="F801" i="1"/>
  <c r="DG1389" i="1"/>
  <c r="P1420" i="1"/>
  <c r="FS63" i="1"/>
  <c r="EJ86" i="1"/>
  <c r="EC864" i="1"/>
  <c r="DP931" i="1"/>
  <c r="EJ26" i="1"/>
  <c r="EJ116" i="1"/>
  <c r="P59" i="1"/>
  <c r="FW225" i="1"/>
  <c r="EN348" i="1"/>
  <c r="AZ148" i="1"/>
  <c r="F432" i="1"/>
  <c r="DT380" i="1"/>
  <c r="DG391" i="1"/>
  <c r="F719" i="1"/>
  <c r="AS789" i="1"/>
  <c r="AS645" i="1"/>
  <c r="EQ825" i="1"/>
  <c r="P840" i="1"/>
  <c r="W821" i="1"/>
  <c r="F985" i="1"/>
  <c r="R864" i="1"/>
  <c r="F945" i="1"/>
  <c r="CB26" i="1"/>
  <c r="AS31" i="1"/>
  <c r="DQ641" i="1"/>
  <c r="P816" i="1"/>
  <c r="EN1040" i="1"/>
  <c r="P1098" i="1"/>
  <c r="CH225" i="1"/>
  <c r="AY348" i="1"/>
  <c r="EP821" i="1"/>
  <c r="P968" i="1"/>
  <c r="DL993" i="1"/>
  <c r="P1315" i="1"/>
  <c r="P1290" i="1"/>
  <c r="DP1255" i="1"/>
  <c r="DK225" i="1"/>
  <c r="P363" i="1"/>
  <c r="DJ500" i="1"/>
  <c r="P593" i="1"/>
  <c r="DP22" i="1"/>
  <c r="P142" i="1"/>
  <c r="FT825" i="1"/>
  <c r="EK832" i="1"/>
  <c r="DK1188" i="1"/>
  <c r="P1238" i="1"/>
  <c r="CI1389" i="1"/>
  <c r="AZ1418" i="1"/>
  <c r="P1383" i="1"/>
  <c r="DP1330" i="1"/>
  <c r="DP1448" i="1"/>
  <c r="DQ734" i="1"/>
  <c r="P786" i="1"/>
  <c r="DQ1330" i="1"/>
  <c r="P1384" i="1"/>
  <c r="DL1515" i="1"/>
  <c r="DQ225" i="1"/>
  <c r="P375" i="1"/>
  <c r="DQ1040" i="1"/>
  <c r="P1120" i="1"/>
  <c r="DP789" i="1"/>
  <c r="AR391" i="1"/>
  <c r="CA380" i="1"/>
  <c r="FX380" i="1"/>
  <c r="EO391" i="1"/>
  <c r="EQ500" i="1"/>
  <c r="P587" i="1"/>
  <c r="U641" i="1"/>
  <c r="F811" i="1"/>
  <c r="CA1093" i="1"/>
  <c r="DK864" i="1"/>
  <c r="P946" i="1"/>
  <c r="CB1156" i="1"/>
  <c r="R1188" i="1"/>
  <c r="F1237" i="1"/>
  <c r="P1269" i="1"/>
  <c r="EN1255" i="1"/>
  <c r="ER22" i="1"/>
  <c r="P127" i="1"/>
  <c r="FS645" i="1"/>
  <c r="EJ702" i="1"/>
  <c r="CF825" i="1"/>
  <c r="AW832" i="1"/>
  <c r="AY832" i="1"/>
  <c r="CH825" i="1"/>
  <c r="EN734" i="1"/>
  <c r="P764" i="1"/>
  <c r="AX1294" i="1"/>
  <c r="R1389" i="1"/>
  <c r="F1432" i="1"/>
  <c r="CA1330" i="1"/>
  <c r="AR1357" i="1"/>
  <c r="R152" i="1"/>
  <c r="F207" i="1"/>
  <c r="R421" i="1"/>
  <c r="F113" i="1"/>
  <c r="Y63" i="1"/>
  <c r="Y116" i="1"/>
  <c r="AB500" i="1"/>
  <c r="O579" i="1"/>
  <c r="FX457" i="1"/>
  <c r="EO468" i="1"/>
  <c r="R645" i="1"/>
  <c r="R789" i="1"/>
  <c r="F716" i="1"/>
  <c r="DK1125" i="1"/>
  <c r="P1171" i="1"/>
  <c r="CE997" i="1"/>
  <c r="AV1008" i="1"/>
  <c r="AW1008" i="1"/>
  <c r="CF997" i="1"/>
  <c r="Q152" i="1"/>
  <c r="F205" i="1"/>
  <c r="Q421" i="1"/>
  <c r="P63" i="1"/>
  <c r="F89" i="1"/>
  <c r="P116" i="1"/>
  <c r="FW152" i="1"/>
  <c r="EN193" i="1"/>
  <c r="DP457" i="1"/>
  <c r="P494" i="1"/>
  <c r="DP609" i="1"/>
  <c r="DK500" i="1"/>
  <c r="P594" i="1"/>
  <c r="CH864" i="1"/>
  <c r="AY931" i="1"/>
  <c r="F1108" i="1"/>
  <c r="S1040" i="1"/>
  <c r="S1294" i="1"/>
  <c r="F1105" i="1"/>
  <c r="Q1040" i="1"/>
  <c r="CE1188" i="1"/>
  <c r="AV1223" i="1"/>
  <c r="CA1389" i="1"/>
  <c r="AR1418" i="1"/>
  <c r="CE734" i="1"/>
  <c r="AV759" i="1"/>
  <c r="DJ1326" i="1"/>
  <c r="P1462" i="1"/>
  <c r="U1326" i="1"/>
  <c r="F1470" i="1"/>
  <c r="AR734" i="1"/>
  <c r="F787" i="1"/>
  <c r="W20" i="2"/>
  <c r="P1101" i="1"/>
  <c r="EQ1040" i="1"/>
  <c r="R63" i="1"/>
  <c r="F100" i="1"/>
  <c r="CE152" i="1"/>
  <c r="AV193" i="1"/>
  <c r="P380" i="1"/>
  <c r="F394" i="1"/>
  <c r="EC500" i="1"/>
  <c r="DP579" i="1"/>
  <c r="ES641" i="1"/>
  <c r="P809" i="1"/>
  <c r="CF645" i="1"/>
  <c r="AW702" i="1"/>
  <c r="EN1330" i="1"/>
  <c r="P1362" i="1"/>
  <c r="EN1448" i="1"/>
  <c r="X1357" i="1"/>
  <c r="AK1330" i="1"/>
  <c r="EK1480" i="1"/>
  <c r="P1502" i="1"/>
  <c r="E23" i="2" s="1"/>
  <c r="I23" i="2" s="1"/>
  <c r="DT225" i="1"/>
  <c r="DG348" i="1"/>
  <c r="FX645" i="1"/>
  <c r="EO702" i="1"/>
  <c r="AB864" i="1"/>
  <c r="O931" i="1"/>
  <c r="BA641" i="1"/>
  <c r="F809" i="1"/>
  <c r="W19" i="2" s="1"/>
  <c r="P765" i="1"/>
  <c r="EO734" i="1"/>
  <c r="EN1223" i="1"/>
  <c r="FW1188" i="1"/>
  <c r="AW1255" i="1"/>
  <c r="F1270" i="1"/>
  <c r="DK1330" i="1"/>
  <c r="DK1448" i="1"/>
  <c r="P1372" i="1"/>
  <c r="AR468" i="1"/>
  <c r="CA457" i="1"/>
  <c r="P714" i="1"/>
  <c r="DI645" i="1"/>
  <c r="DI789" i="1"/>
  <c r="DM641" i="1"/>
  <c r="P811" i="1"/>
  <c r="DM993" i="1"/>
  <c r="P1316" i="1"/>
  <c r="AS1264" i="1"/>
  <c r="CB1255" i="1"/>
  <c r="R225" i="1"/>
  <c r="F362" i="1"/>
  <c r="CA193" i="1"/>
  <c r="DJ645" i="1"/>
  <c r="P716" i="1"/>
  <c r="DJ789" i="1"/>
  <c r="DP997" i="1"/>
  <c r="P1034" i="1"/>
  <c r="DN641" i="1"/>
  <c r="P812" i="1"/>
  <c r="BA821" i="1"/>
  <c r="F981" i="1"/>
  <c r="CE1389" i="1"/>
  <c r="AV1418" i="1"/>
  <c r="ES453" i="1"/>
  <c r="P629" i="1"/>
  <c r="W148" i="1"/>
  <c r="F445" i="1"/>
  <c r="DG1156" i="1"/>
  <c r="DT1125" i="1"/>
  <c r="P1470" i="1"/>
  <c r="DM1326" i="1"/>
  <c r="O997" i="1"/>
  <c r="F1010" i="1"/>
  <c r="DQ152" i="1"/>
  <c r="P220" i="1"/>
  <c r="DQ421" i="1"/>
  <c r="S500" i="1"/>
  <c r="F594" i="1"/>
  <c r="EN500" i="1"/>
  <c r="P584" i="1"/>
  <c r="P618" i="1"/>
  <c r="G18" i="2" s="1"/>
  <c r="EH453" i="1"/>
  <c r="EH641" i="1"/>
  <c r="P798" i="1"/>
  <c r="G19" i="2" s="1"/>
  <c r="DH225" i="1"/>
  <c r="P351" i="1"/>
  <c r="AB225" i="1"/>
  <c r="O348" i="1"/>
  <c r="ES148" i="1"/>
  <c r="P441" i="1"/>
  <c r="EJ391" i="1"/>
  <c r="FS380" i="1"/>
  <c r="DI453" i="1"/>
  <c r="P621" i="1"/>
  <c r="DH821" i="1"/>
  <c r="P964" i="1"/>
  <c r="F844" i="1"/>
  <c r="Q825" i="1"/>
  <c r="Q961" i="1"/>
  <c r="CH1125" i="1"/>
  <c r="AY1156" i="1"/>
  <c r="CA26" i="1"/>
  <c r="AR31" i="1"/>
  <c r="W225" i="1"/>
  <c r="F372" i="1"/>
  <c r="T148" i="1"/>
  <c r="F442" i="1"/>
  <c r="AS1008" i="1"/>
  <c r="CB997" i="1"/>
  <c r="FV1255" i="1"/>
  <c r="EM1264" i="1"/>
  <c r="DI22" i="1"/>
  <c r="P128" i="1"/>
  <c r="DI1515" i="1"/>
  <c r="FZ63" i="1"/>
  <c r="EQ86" i="1"/>
  <c r="FT468" i="1"/>
  <c r="W22" i="2"/>
  <c r="DJ63" i="1"/>
  <c r="P100" i="1"/>
  <c r="DJ116" i="1"/>
  <c r="CF225" i="1"/>
  <c r="AW348" i="1"/>
  <c r="AZ734" i="1"/>
  <c r="F770" i="1"/>
  <c r="DO641" i="1"/>
  <c r="P813" i="1"/>
  <c r="AX641" i="1"/>
  <c r="F796" i="1"/>
  <c r="F846" i="1"/>
  <c r="R825" i="1"/>
  <c r="R961" i="1"/>
  <c r="CB1389" i="1"/>
  <c r="AS1418" i="1"/>
  <c r="CF500" i="1"/>
  <c r="AW579" i="1"/>
  <c r="CH500" i="1"/>
  <c r="AY579" i="1"/>
  <c r="H18" i="2"/>
  <c r="R734" i="1"/>
  <c r="F773" i="1"/>
  <c r="EC1125" i="1"/>
  <c r="DP1156" i="1"/>
  <c r="DP1294" i="1" s="1"/>
  <c r="ER1125" i="1"/>
  <c r="P1167" i="1"/>
  <c r="ES993" i="1"/>
  <c r="P1314" i="1"/>
  <c r="F1468" i="1"/>
  <c r="BA1326" i="1"/>
  <c r="DT152" i="1"/>
  <c r="DG193" i="1"/>
  <c r="DO148" i="1"/>
  <c r="P445" i="1"/>
  <c r="X645" i="1"/>
  <c r="F728" i="1"/>
  <c r="X789" i="1"/>
  <c r="AK1040" i="1"/>
  <c r="X1093" i="1"/>
  <c r="CA1223" i="1"/>
  <c r="DK1389" i="1"/>
  <c r="P1433" i="1"/>
  <c r="EP641" i="1"/>
  <c r="P796" i="1"/>
  <c r="FX864" i="1"/>
  <c r="EO931" i="1"/>
  <c r="EK1255" i="1"/>
  <c r="P1281" i="1"/>
  <c r="FX1125" i="1"/>
  <c r="EO1156" i="1"/>
  <c r="Y225" i="1"/>
  <c r="F375" i="1"/>
  <c r="Y1040" i="1"/>
  <c r="F1120" i="1"/>
  <c r="X1255" i="1"/>
  <c r="F1290" i="1"/>
  <c r="F1183" i="1"/>
  <c r="Y1125" i="1"/>
  <c r="DP1040" i="1"/>
  <c r="P1119" i="1"/>
  <c r="AR997" i="1"/>
  <c r="F1036" i="1"/>
  <c r="DQ500" i="1"/>
  <c r="P606" i="1"/>
  <c r="CF63" i="1"/>
  <c r="AW86" i="1"/>
  <c r="AB1040" i="1"/>
  <c r="O1093" i="1"/>
  <c r="O1294" i="1" s="1"/>
  <c r="DH1326" i="1"/>
  <c r="P1451" i="1"/>
  <c r="EL702" i="1"/>
  <c r="FU645" i="1"/>
  <c r="FT1040" i="1"/>
  <c r="EK1093" i="1"/>
  <c r="EQ468" i="1"/>
  <c r="FZ457" i="1"/>
  <c r="AL1188" i="1"/>
  <c r="Y1223" i="1"/>
  <c r="P1266" i="1"/>
  <c r="DG1255" i="1"/>
  <c r="AX1326" i="1"/>
  <c r="F1455" i="1"/>
  <c r="CE63" i="1"/>
  <c r="AV86" i="1"/>
  <c r="FX152" i="1"/>
  <c r="EO193" i="1"/>
  <c r="P864" i="1"/>
  <c r="F934" i="1"/>
  <c r="CF734" i="1"/>
  <c r="AW759" i="1"/>
  <c r="R1448" i="1"/>
  <c r="R1330" i="1"/>
  <c r="F1371" i="1"/>
  <c r="F112" i="1"/>
  <c r="X63" i="1"/>
  <c r="X116" i="1"/>
  <c r="CH152" i="1"/>
  <c r="AY193" i="1"/>
  <c r="U148" i="1"/>
  <c r="F443" i="1"/>
  <c r="Q500" i="1"/>
  <c r="F591" i="1"/>
  <c r="DK821" i="1"/>
  <c r="P976" i="1"/>
  <c r="J20" i="2" s="1"/>
  <c r="EQ702" i="1"/>
  <c r="FZ645" i="1"/>
  <c r="P1330" i="1"/>
  <c r="F1360" i="1"/>
  <c r="P1448" i="1"/>
  <c r="S225" i="1"/>
  <c r="F363" i="1"/>
  <c r="P1040" i="1"/>
  <c r="F1096" i="1"/>
  <c r="EN1294" i="1"/>
  <c r="R1255" i="1"/>
  <c r="F1278" i="1"/>
  <c r="AZ993" i="1"/>
  <c r="F1305" i="1"/>
  <c r="F1279" i="1"/>
  <c r="S1255" i="1"/>
  <c r="FZ864" i="1"/>
  <c r="EQ931" i="1"/>
  <c r="EQ961" i="1" s="1"/>
  <c r="AO18" i="1"/>
  <c r="F1519" i="1"/>
  <c r="AB380" i="1"/>
  <c r="O391" i="1"/>
  <c r="R997" i="1"/>
  <c r="F1022" i="1"/>
  <c r="R1294" i="1"/>
  <c r="CB1093" i="1"/>
  <c r="CA1156" i="1"/>
  <c r="DG26" i="1"/>
  <c r="P33" i="1"/>
  <c r="AU380" i="1"/>
  <c r="F410" i="1"/>
  <c r="AU421" i="1"/>
  <c r="F476" i="1"/>
  <c r="AY457" i="1"/>
  <c r="AY609" i="1"/>
  <c r="AZ641" i="1"/>
  <c r="F800" i="1"/>
  <c r="DT645" i="1"/>
  <c r="DG702" i="1"/>
  <c r="CE825" i="1"/>
  <c r="AV832" i="1"/>
  <c r="EO825" i="1"/>
  <c r="EO961" i="1"/>
  <c r="P838" i="1"/>
  <c r="S864" i="1"/>
  <c r="F946" i="1"/>
  <c r="FT1223" i="1"/>
  <c r="DK1255" i="1"/>
  <c r="P1279" i="1"/>
  <c r="S1330" i="1"/>
  <c r="F1372" i="1"/>
  <c r="S1448" i="1"/>
  <c r="ER1326" i="1"/>
  <c r="P1459" i="1"/>
  <c r="DJ380" i="1"/>
  <c r="P405" i="1"/>
  <c r="CB500" i="1"/>
  <c r="AS579" i="1"/>
  <c r="FW457" i="1"/>
  <c r="EN468" i="1"/>
  <c r="DT864" i="1"/>
  <c r="DG931" i="1"/>
  <c r="F1011" i="1"/>
  <c r="P997" i="1"/>
  <c r="P1294" i="1"/>
  <c r="CH63" i="1"/>
  <c r="AY86" i="1"/>
  <c r="DH152" i="1"/>
  <c r="P196" i="1"/>
  <c r="DH421" i="1"/>
  <c r="CF864" i="1"/>
  <c r="AW931" i="1"/>
  <c r="P1188" i="1"/>
  <c r="F1226" i="1"/>
  <c r="ED1389" i="1"/>
  <c r="DQ1418" i="1"/>
  <c r="P1468" i="1"/>
  <c r="H22" i="2" s="1"/>
  <c r="ES1326" i="1"/>
  <c r="Y457" i="1"/>
  <c r="F495" i="1"/>
  <c r="Y609" i="1"/>
  <c r="CH734" i="1"/>
  <c r="AY759" i="1"/>
  <c r="P734" i="1"/>
  <c r="F762" i="1"/>
  <c r="EP1125" i="1"/>
  <c r="P1163" i="1"/>
  <c r="P483" i="1"/>
  <c r="DK457" i="1"/>
  <c r="DK609" i="1"/>
  <c r="DL1326" i="1"/>
  <c r="P1469" i="1"/>
  <c r="CA63" i="1"/>
  <c r="AR86" i="1"/>
  <c r="BD18" i="1"/>
  <c r="F1540" i="1"/>
  <c r="P152" i="1"/>
  <c r="F196" i="1"/>
  <c r="P421" i="1"/>
  <c r="AY391" i="1"/>
  <c r="CH380" i="1"/>
  <c r="EO500" i="1"/>
  <c r="P585" i="1"/>
  <c r="S961" i="1"/>
  <c r="X821" i="1"/>
  <c r="F987" i="1"/>
  <c r="CE645" i="1"/>
  <c r="AV702" i="1"/>
  <c r="DO993" i="1"/>
  <c r="P1318" i="1"/>
  <c r="EO1255" i="1"/>
  <c r="P1270" i="1"/>
  <c r="FS348" i="1"/>
  <c r="EH148" i="1"/>
  <c r="P430" i="1"/>
  <c r="G17" i="2" s="1"/>
  <c r="AW457" i="1"/>
  <c r="F474" i="1"/>
  <c r="AW609" i="1"/>
  <c r="FW645" i="1"/>
  <c r="EN702" i="1"/>
  <c r="CB825" i="1"/>
  <c r="AS832" i="1"/>
  <c r="DN821" i="1"/>
  <c r="P984" i="1"/>
  <c r="FZ1188" i="1"/>
  <c r="EQ1223" i="1"/>
  <c r="DH1188" i="1"/>
  <c r="P1226" i="1"/>
  <c r="DQ1255" i="1"/>
  <c r="P1291" i="1"/>
  <c r="CF1330" i="1"/>
  <c r="AW1357" i="1"/>
  <c r="V1326" i="1"/>
  <c r="F1471" i="1"/>
  <c r="DI1255" i="1"/>
  <c r="P1276" i="1"/>
  <c r="T1326" i="1"/>
  <c r="F1469" i="1"/>
  <c r="CB457" i="1"/>
  <c r="AS468" i="1"/>
  <c r="F1020" i="1"/>
  <c r="Q997" i="1"/>
  <c r="Q1294" i="1"/>
  <c r="DK1040" i="1"/>
  <c r="P1108" i="1"/>
  <c r="DJ1188" i="1"/>
  <c r="P1237" i="1"/>
  <c r="AB1255" i="1"/>
  <c r="O1264" i="1"/>
  <c r="DO1326" i="1"/>
  <c r="P1472" i="1"/>
  <c r="EP1515" i="1"/>
  <c r="ER789" i="1"/>
  <c r="CH1389" i="1"/>
  <c r="AY1418" i="1"/>
  <c r="P1389" i="1"/>
  <c r="F1421" i="1"/>
  <c r="U821" i="1"/>
  <c r="F983" i="1"/>
  <c r="DK997" i="1"/>
  <c r="P1023" i="1"/>
  <c r="DK1294" i="1"/>
  <c r="FT1156" i="1"/>
  <c r="Y1255" i="1"/>
  <c r="F1291" i="1"/>
  <c r="AK457" i="1"/>
  <c r="X468" i="1"/>
  <c r="DT63" i="1"/>
  <c r="DG86" i="1"/>
  <c r="DM148" i="1"/>
  <c r="P443" i="1"/>
  <c r="AQ453" i="1"/>
  <c r="F619" i="1"/>
  <c r="AX500" i="1"/>
  <c r="F586" i="1"/>
  <c r="DM821" i="1"/>
  <c r="P983" i="1"/>
  <c r="V641" i="1"/>
  <c r="F812" i="1"/>
  <c r="EQ1330" i="1"/>
  <c r="P1365" i="1"/>
  <c r="EQ1448" i="1"/>
  <c r="Q1448" i="1"/>
  <c r="Q1330" i="1"/>
  <c r="F1369" i="1"/>
  <c r="FZ225" i="1"/>
  <c r="EQ348" i="1"/>
  <c r="ER152" i="1"/>
  <c r="P204" i="1"/>
  <c r="ER421" i="1"/>
  <c r="ER453" i="1"/>
  <c r="P620" i="1"/>
  <c r="H19" i="2"/>
  <c r="FS1223" i="1"/>
  <c r="CE1125" i="1"/>
  <c r="AV1156" i="1"/>
  <c r="AW1156" i="1"/>
  <c r="CF1125" i="1"/>
  <c r="O31" i="1"/>
  <c r="AB26" i="1"/>
  <c r="FT1008" i="1"/>
  <c r="EO1040" i="1"/>
  <c r="P1099" i="1"/>
  <c r="FW63" i="1"/>
  <c r="EN86" i="1"/>
  <c r="EO86" i="1"/>
  <c r="FX63" i="1"/>
  <c r="AZ453" i="1"/>
  <c r="F620" i="1"/>
  <c r="FS457" i="1"/>
  <c r="EJ468" i="1"/>
  <c r="F475" i="1"/>
  <c r="AX457" i="1"/>
  <c r="AX609" i="1"/>
  <c r="CF1040" i="1"/>
  <c r="AW1093" i="1"/>
  <c r="AY1093" i="1"/>
  <c r="CH1040" i="1"/>
  <c r="F1107" i="1"/>
  <c r="R1040" i="1"/>
  <c r="AT1448" i="1"/>
  <c r="AT1330" i="1"/>
  <c r="F1375" i="1"/>
  <c r="AK152" i="1"/>
  <c r="X193" i="1"/>
  <c r="CE225" i="1"/>
  <c r="AV348" i="1"/>
  <c r="Y789" i="1"/>
  <c r="F729" i="1"/>
  <c r="Y645" i="1"/>
  <c r="Y1357" i="1"/>
  <c r="AL1330" i="1"/>
  <c r="EI18" i="1"/>
  <c r="P1525" i="1"/>
  <c r="G25" i="2"/>
  <c r="S152" i="1"/>
  <c r="F208" i="1"/>
  <c r="S421" i="1"/>
  <c r="CE500" i="1"/>
  <c r="AV579" i="1"/>
  <c r="F483" i="1"/>
  <c r="S457" i="1"/>
  <c r="S609" i="1"/>
  <c r="T453" i="1"/>
  <c r="F630" i="1"/>
  <c r="V821" i="1"/>
  <c r="F984" i="1"/>
  <c r="F98" i="1"/>
  <c r="Q63" i="1"/>
  <c r="FT193" i="1"/>
  <c r="AX148" i="1"/>
  <c r="F428" i="1"/>
  <c r="EP148" i="1"/>
  <c r="P428" i="1"/>
  <c r="DK789" i="1"/>
  <c r="O734" i="1"/>
  <c r="F761" i="1"/>
  <c r="DN993" i="1"/>
  <c r="P1317" i="1"/>
  <c r="AB1188" i="1"/>
  <c r="O1223" i="1"/>
  <c r="EP1326" i="1"/>
  <c r="P1455" i="1"/>
  <c r="FW864" i="1"/>
  <c r="EN931" i="1"/>
  <c r="EN961" i="1" s="1"/>
  <c r="DH1125" i="1"/>
  <c r="P1159" i="1"/>
  <c r="DH1294" i="1"/>
  <c r="FZ1125" i="1"/>
  <c r="EQ1156" i="1"/>
  <c r="ES1515" i="1"/>
  <c r="DO1515" i="1"/>
  <c r="Y152" i="1"/>
  <c r="F220" i="1"/>
  <c r="Y421" i="1"/>
  <c r="X1125" i="1"/>
  <c r="F1182" i="1"/>
  <c r="V1515" i="1"/>
  <c r="DG1188" i="1"/>
  <c r="P1225" i="1"/>
  <c r="DP225" i="1"/>
  <c r="P374" i="1"/>
  <c r="DP1515" i="1" l="1"/>
  <c r="EQ821" i="1"/>
  <c r="P969" i="1"/>
  <c r="EN821" i="1"/>
  <c r="P966" i="1"/>
  <c r="O993" i="1"/>
  <c r="F1296" i="1"/>
  <c r="DP993" i="1"/>
  <c r="P1320" i="1"/>
  <c r="DO18" i="1"/>
  <c r="P1539" i="1"/>
  <c r="Y641" i="1"/>
  <c r="F816" i="1"/>
  <c r="EP18" i="1"/>
  <c r="P1522" i="1"/>
  <c r="AW1448" i="1"/>
  <c r="AW1330" i="1"/>
  <c r="F1363" i="1"/>
  <c r="F399" i="1"/>
  <c r="AY380" i="1"/>
  <c r="P1445" i="1"/>
  <c r="DQ1389" i="1"/>
  <c r="S1326" i="1"/>
  <c r="F1463" i="1"/>
  <c r="ES18" i="1"/>
  <c r="P1535" i="1"/>
  <c r="DK641" i="1"/>
  <c r="P804" i="1"/>
  <c r="Y1448" i="1"/>
  <c r="F1384" i="1"/>
  <c r="Y1330" i="1"/>
  <c r="AV225" i="1"/>
  <c r="F353" i="1"/>
  <c r="EJ457" i="1"/>
  <c r="P496" i="1"/>
  <c r="EJ609" i="1"/>
  <c r="O26" i="1"/>
  <c r="F33" i="1"/>
  <c r="O116" i="1"/>
  <c r="EQ225" i="1"/>
  <c r="P356" i="1"/>
  <c r="F1460" i="1"/>
  <c r="Q1326" i="1"/>
  <c r="X457" i="1"/>
  <c r="F494" i="1"/>
  <c r="X609" i="1"/>
  <c r="FT1125" i="1"/>
  <c r="EK1156" i="1"/>
  <c r="AY1389" i="1"/>
  <c r="F1426" i="1"/>
  <c r="Q993" i="1"/>
  <c r="F1306" i="1"/>
  <c r="P148" i="1"/>
  <c r="F424" i="1"/>
  <c r="AY734" i="1"/>
  <c r="F767" i="1"/>
  <c r="F94" i="1"/>
  <c r="AY63" i="1"/>
  <c r="AY116" i="1"/>
  <c r="FT1188" i="1"/>
  <c r="EK1223" i="1"/>
  <c r="EO821" i="1"/>
  <c r="P967" i="1"/>
  <c r="DG645" i="1"/>
  <c r="P704" i="1"/>
  <c r="DG789" i="1"/>
  <c r="AY453" i="1"/>
  <c r="F617" i="1"/>
  <c r="P1326" i="1"/>
  <c r="F1451" i="1"/>
  <c r="EQ645" i="1"/>
  <c r="P710" i="1"/>
  <c r="EQ789" i="1"/>
  <c r="AW734" i="1"/>
  <c r="F765" i="1"/>
  <c r="EO152" i="1"/>
  <c r="P199" i="1"/>
  <c r="EO421" i="1"/>
  <c r="Y1188" i="1"/>
  <c r="F1250" i="1"/>
  <c r="Y1294" i="1"/>
  <c r="EK1040" i="1"/>
  <c r="P1110" i="1"/>
  <c r="F92" i="1"/>
  <c r="AW63" i="1"/>
  <c r="AW116" i="1"/>
  <c r="X1040" i="1"/>
  <c r="F1119" i="1"/>
  <c r="X1294" i="1"/>
  <c r="F587" i="1"/>
  <c r="AY500" i="1"/>
  <c r="F1435" i="1"/>
  <c r="AS1389" i="1"/>
  <c r="DI18" i="1"/>
  <c r="P1527" i="1"/>
  <c r="AV1389" i="1"/>
  <c r="F1423" i="1"/>
  <c r="CA152" i="1"/>
  <c r="AR193" i="1"/>
  <c r="AS1255" i="1"/>
  <c r="F1281" i="1"/>
  <c r="EN1188" i="1"/>
  <c r="P1228" i="1"/>
  <c r="AY864" i="1"/>
  <c r="F939" i="1"/>
  <c r="EN152" i="1"/>
  <c r="P198" i="1"/>
  <c r="EN421" i="1"/>
  <c r="R148" i="1"/>
  <c r="F435" i="1"/>
  <c r="AR1448" i="1"/>
  <c r="AR1330" i="1"/>
  <c r="F1385" i="1"/>
  <c r="AX993" i="1"/>
  <c r="F1301" i="1"/>
  <c r="AY825" i="1"/>
  <c r="F840" i="1"/>
  <c r="AY961" i="1"/>
  <c r="AS1156" i="1"/>
  <c r="CB1125" i="1"/>
  <c r="EO380" i="1"/>
  <c r="P397" i="1"/>
  <c r="P815" i="1"/>
  <c r="DP641" i="1"/>
  <c r="DP864" i="1"/>
  <c r="P957" i="1"/>
  <c r="DP961" i="1"/>
  <c r="AW1389" i="1"/>
  <c r="F1424" i="1"/>
  <c r="EL1326" i="1"/>
  <c r="P1466" i="1"/>
  <c r="F22" i="2" s="1"/>
  <c r="EO1188" i="1"/>
  <c r="P1229" i="1"/>
  <c r="DN18" i="1"/>
  <c r="P1538" i="1"/>
  <c r="DG997" i="1"/>
  <c r="P1010" i="1"/>
  <c r="DG1294" i="1"/>
  <c r="S641" i="1"/>
  <c r="F804" i="1"/>
  <c r="EN380" i="1"/>
  <c r="P396" i="1"/>
  <c r="DG1326" i="1"/>
  <c r="P1450" i="1"/>
  <c r="R453" i="1"/>
  <c r="F623" i="1"/>
  <c r="DQ864" i="1"/>
  <c r="P958" i="1"/>
  <c r="DQ961" i="1"/>
  <c r="DG457" i="1"/>
  <c r="P470" i="1"/>
  <c r="DG609" i="1"/>
  <c r="P1446" i="1"/>
  <c r="EJ1389" i="1"/>
  <c r="DP148" i="1"/>
  <c r="P447" i="1"/>
  <c r="FS997" i="1"/>
  <c r="EJ1008" i="1"/>
  <c r="DH641" i="1"/>
  <c r="P792" i="1"/>
  <c r="AY645" i="1"/>
  <c r="F710" i="1"/>
  <c r="AY789" i="1"/>
  <c r="AW152" i="1"/>
  <c r="F199" i="1"/>
  <c r="AW421" i="1"/>
  <c r="EQ152" i="1"/>
  <c r="P201" i="1"/>
  <c r="EQ421" i="1"/>
  <c r="AR225" i="1"/>
  <c r="F376" i="1"/>
  <c r="AR864" i="1"/>
  <c r="F959" i="1"/>
  <c r="EK1448" i="1"/>
  <c r="EK1330" i="1"/>
  <c r="P1374" i="1"/>
  <c r="P1385" i="1"/>
  <c r="EJ1330" i="1"/>
  <c r="EJ1448" i="1"/>
  <c r="DH993" i="1"/>
  <c r="P1297" i="1"/>
  <c r="F1161" i="1"/>
  <c r="AV1125" i="1"/>
  <c r="AS457" i="1"/>
  <c r="F485" i="1"/>
  <c r="AS609" i="1"/>
  <c r="EN645" i="1"/>
  <c r="P707" i="1"/>
  <c r="EN789" i="1"/>
  <c r="S453" i="1"/>
  <c r="F624" i="1"/>
  <c r="EQ1125" i="1"/>
  <c r="P1164" i="1"/>
  <c r="EQ1294" i="1"/>
  <c r="FT152" i="1"/>
  <c r="EK193" i="1"/>
  <c r="S148" i="1"/>
  <c r="F436" i="1"/>
  <c r="Y17" i="2" s="1"/>
  <c r="AX453" i="1"/>
  <c r="F616" i="1"/>
  <c r="P92" i="1"/>
  <c r="EO63" i="1"/>
  <c r="EO116" i="1"/>
  <c r="FS1188" i="1"/>
  <c r="EJ1223" i="1"/>
  <c r="ER148" i="1"/>
  <c r="P432" i="1"/>
  <c r="EQ1326" i="1"/>
  <c r="P1456" i="1"/>
  <c r="DK993" i="1"/>
  <c r="P1309" i="1"/>
  <c r="J21" i="2" s="1"/>
  <c r="EQ1188" i="1"/>
  <c r="P1231" i="1"/>
  <c r="AS825" i="1"/>
  <c r="F849" i="1"/>
  <c r="AS961" i="1"/>
  <c r="AW453" i="1"/>
  <c r="F615" i="1"/>
  <c r="F114" i="1"/>
  <c r="AR63" i="1"/>
  <c r="DK453" i="1"/>
  <c r="P624" i="1"/>
  <c r="J18" i="2" s="1"/>
  <c r="DH148" i="1"/>
  <c r="P424" i="1"/>
  <c r="DG864" i="1"/>
  <c r="P933" i="1"/>
  <c r="AS500" i="1"/>
  <c r="F596" i="1"/>
  <c r="CA1125" i="1"/>
  <c r="AR1156" i="1"/>
  <c r="EO1125" i="1"/>
  <c r="P1162" i="1"/>
  <c r="EO1294" i="1"/>
  <c r="EO864" i="1"/>
  <c r="P937" i="1"/>
  <c r="DJ22" i="1"/>
  <c r="P130" i="1"/>
  <c r="J16" i="2" s="1"/>
  <c r="DJ1515" i="1"/>
  <c r="FT457" i="1"/>
  <c r="EK468" i="1"/>
  <c r="AY1125" i="1"/>
  <c r="F1164" i="1"/>
  <c r="DJ641" i="1"/>
  <c r="P803" i="1"/>
  <c r="DI641" i="1"/>
  <c r="P801" i="1"/>
  <c r="AR457" i="1"/>
  <c r="F496" i="1"/>
  <c r="AR609" i="1"/>
  <c r="F933" i="1"/>
  <c r="O864" i="1"/>
  <c r="DG225" i="1"/>
  <c r="P350" i="1"/>
  <c r="AV734" i="1"/>
  <c r="F764" i="1"/>
  <c r="AV1188" i="1"/>
  <c r="F1228" i="1"/>
  <c r="S993" i="1"/>
  <c r="F1309" i="1"/>
  <c r="DP453" i="1"/>
  <c r="P635" i="1"/>
  <c r="Q148" i="1"/>
  <c r="F433" i="1"/>
  <c r="F1014" i="1"/>
  <c r="AW997" i="1"/>
  <c r="AW1294" i="1"/>
  <c r="EO457" i="1"/>
  <c r="P474" i="1"/>
  <c r="EO609" i="1"/>
  <c r="Y22" i="1"/>
  <c r="F143" i="1"/>
  <c r="Y1515" i="1"/>
  <c r="F838" i="1"/>
  <c r="AW825" i="1"/>
  <c r="AW961" i="1"/>
  <c r="ER1515" i="1"/>
  <c r="DL18" i="1"/>
  <c r="P1536" i="1"/>
  <c r="AY225" i="1"/>
  <c r="F356" i="1"/>
  <c r="AS641" i="1"/>
  <c r="F806" i="1"/>
  <c r="T19" i="2" s="1"/>
  <c r="DQ453" i="1"/>
  <c r="P636" i="1"/>
  <c r="O1389" i="1"/>
  <c r="F1420" i="1"/>
  <c r="EK734" i="1"/>
  <c r="P776" i="1"/>
  <c r="F1374" i="1"/>
  <c r="AS1448" i="1"/>
  <c r="AS1330" i="1"/>
  <c r="O1125" i="1"/>
  <c r="F1158" i="1"/>
  <c r="O1330" i="1"/>
  <c r="O1448" i="1"/>
  <c r="F1359" i="1"/>
  <c r="P821" i="1"/>
  <c r="F964" i="1"/>
  <c r="AS380" i="1"/>
  <c r="F408" i="1"/>
  <c r="Y821" i="1"/>
  <c r="F988" i="1"/>
  <c r="FS152" i="1"/>
  <c r="EJ193" i="1"/>
  <c r="EO225" i="1"/>
  <c r="P354" i="1"/>
  <c r="EK63" i="1"/>
  <c r="P103" i="1"/>
  <c r="FS1125" i="1"/>
  <c r="EJ1156" i="1"/>
  <c r="P787" i="1"/>
  <c r="EJ734" i="1"/>
  <c r="EJ825" i="1"/>
  <c r="EJ961" i="1"/>
  <c r="P860" i="1"/>
  <c r="O152" i="1"/>
  <c r="F195" i="1"/>
  <c r="O421" i="1"/>
  <c r="FT225" i="1"/>
  <c r="EK348" i="1"/>
  <c r="P641" i="1"/>
  <c r="F792" i="1"/>
  <c r="DQ1125" i="1"/>
  <c r="P1183" i="1"/>
  <c r="F1229" i="1"/>
  <c r="AW1188" i="1"/>
  <c r="DQ1294" i="1"/>
  <c r="AV864" i="1"/>
  <c r="F936" i="1"/>
  <c r="F1283" i="1"/>
  <c r="AU1255" i="1"/>
  <c r="AU1294" i="1"/>
  <c r="AR789" i="1"/>
  <c r="AR645" i="1"/>
  <c r="F730" i="1"/>
  <c r="AV500" i="1"/>
  <c r="F584" i="1"/>
  <c r="F1099" i="1"/>
  <c r="AW1040" i="1"/>
  <c r="AV789" i="1"/>
  <c r="AV645" i="1"/>
  <c r="F707" i="1"/>
  <c r="Y148" i="1"/>
  <c r="F448" i="1"/>
  <c r="V18" i="1"/>
  <c r="F1538" i="1"/>
  <c r="EN864" i="1"/>
  <c r="P936" i="1"/>
  <c r="O1188" i="1"/>
  <c r="F1225" i="1"/>
  <c r="X152" i="1"/>
  <c r="F219" i="1"/>
  <c r="X421" i="1"/>
  <c r="AT1326" i="1"/>
  <c r="F1466" i="1"/>
  <c r="U22" i="2" s="1"/>
  <c r="F1101" i="1"/>
  <c r="AY1040" i="1"/>
  <c r="EN63" i="1"/>
  <c r="P91" i="1"/>
  <c r="EN116" i="1"/>
  <c r="FT997" i="1"/>
  <c r="EK1008" i="1"/>
  <c r="F1162" i="1"/>
  <c r="AW1125" i="1"/>
  <c r="DG63" i="1"/>
  <c r="P88" i="1"/>
  <c r="ER641" i="1"/>
  <c r="P800" i="1"/>
  <c r="O1255" i="1"/>
  <c r="F1266" i="1"/>
  <c r="FS225" i="1"/>
  <c r="EJ348" i="1"/>
  <c r="Y453" i="1"/>
  <c r="F636" i="1"/>
  <c r="P993" i="1"/>
  <c r="F1297" i="1"/>
  <c r="AV825" i="1"/>
  <c r="F837" i="1"/>
  <c r="AV961" i="1"/>
  <c r="DG116" i="1"/>
  <c r="CB1040" i="1"/>
  <c r="AS1093" i="1"/>
  <c r="F393" i="1"/>
  <c r="O380" i="1"/>
  <c r="P939" i="1"/>
  <c r="EQ864" i="1"/>
  <c r="X22" i="1"/>
  <c r="F142" i="1"/>
  <c r="AV63" i="1"/>
  <c r="F91" i="1"/>
  <c r="AV116" i="1"/>
  <c r="F1095" i="1"/>
  <c r="O1040" i="1"/>
  <c r="F815" i="1"/>
  <c r="X641" i="1"/>
  <c r="AW500" i="1"/>
  <c r="F585" i="1"/>
  <c r="R821" i="1"/>
  <c r="F975" i="1"/>
  <c r="EQ63" i="1"/>
  <c r="P94" i="1"/>
  <c r="EQ116" i="1"/>
  <c r="F1025" i="1"/>
  <c r="AS997" i="1"/>
  <c r="AS1294" i="1"/>
  <c r="O225" i="1"/>
  <c r="F350" i="1"/>
  <c r="DQ148" i="1"/>
  <c r="P448" i="1"/>
  <c r="X1330" i="1"/>
  <c r="F1383" i="1"/>
  <c r="X1448" i="1"/>
  <c r="AW789" i="1"/>
  <c r="AW645" i="1"/>
  <c r="F708" i="1"/>
  <c r="DP500" i="1"/>
  <c r="P605" i="1"/>
  <c r="AV152" i="1"/>
  <c r="F198" i="1"/>
  <c r="AV421" i="1"/>
  <c r="P22" i="1"/>
  <c r="F119" i="1"/>
  <c r="P1515" i="1"/>
  <c r="F1013" i="1"/>
  <c r="AV997" i="1"/>
  <c r="AV1294" i="1"/>
  <c r="DQ1448" i="1"/>
  <c r="AZ1389" i="1"/>
  <c r="F1429" i="1"/>
  <c r="AZ1448" i="1"/>
  <c r="P849" i="1"/>
  <c r="EK825" i="1"/>
  <c r="EK961" i="1"/>
  <c r="EJ22" i="1"/>
  <c r="P144" i="1"/>
  <c r="P114" i="1"/>
  <c r="EJ63" i="1"/>
  <c r="DO821" i="1"/>
  <c r="P985" i="1"/>
  <c r="CB152" i="1"/>
  <c r="AS193" i="1"/>
  <c r="AY1330" i="1"/>
  <c r="F1365" i="1"/>
  <c r="AY1448" i="1"/>
  <c r="AR825" i="1"/>
  <c r="F860" i="1"/>
  <c r="AR961" i="1"/>
  <c r="AR500" i="1"/>
  <c r="F607" i="1"/>
  <c r="CB1188" i="1"/>
  <c r="AS1223" i="1"/>
  <c r="S1515" i="1"/>
  <c r="EK116" i="1"/>
  <c r="P410" i="1"/>
  <c r="EM380" i="1"/>
  <c r="EM421" i="1"/>
  <c r="P1454" i="1"/>
  <c r="EO1326" i="1"/>
  <c r="DJ148" i="1"/>
  <c r="P435" i="1"/>
  <c r="J17" i="2" s="1"/>
  <c r="AV1448" i="1"/>
  <c r="AV1330" i="1"/>
  <c r="F1362" i="1"/>
  <c r="O825" i="1"/>
  <c r="F834" i="1"/>
  <c r="O961" i="1"/>
  <c r="R22" i="1"/>
  <c r="F130" i="1"/>
  <c r="R1515" i="1"/>
  <c r="AW380" i="1"/>
  <c r="F397" i="1"/>
  <c r="EK789" i="1"/>
  <c r="F776" i="1"/>
  <c r="AS734" i="1"/>
  <c r="EK500" i="1"/>
  <c r="P596" i="1"/>
  <c r="P1435" i="1"/>
  <c r="EK1389" i="1"/>
  <c r="AX1515" i="1"/>
  <c r="AT645" i="1"/>
  <c r="AT789" i="1"/>
  <c r="F720" i="1"/>
  <c r="S821" i="1"/>
  <c r="F976" i="1"/>
  <c r="Y20" i="2" s="1"/>
  <c r="AW864" i="1"/>
  <c r="F937" i="1"/>
  <c r="EN457" i="1"/>
  <c r="EN609" i="1"/>
  <c r="P473" i="1"/>
  <c r="AU148" i="1"/>
  <c r="F440" i="1"/>
  <c r="W17" i="2" s="1"/>
  <c r="AU1515" i="1"/>
  <c r="R993" i="1"/>
  <c r="F1308" i="1"/>
  <c r="EN993" i="1"/>
  <c r="P1299" i="1"/>
  <c r="AY152" i="1"/>
  <c r="F201" i="1"/>
  <c r="AY421" i="1"/>
  <c r="R1326" i="1"/>
  <c r="F1462" i="1"/>
  <c r="EQ457" i="1"/>
  <c r="P476" i="1"/>
  <c r="EQ609" i="1"/>
  <c r="P720" i="1"/>
  <c r="EL789" i="1"/>
  <c r="EL645" i="1"/>
  <c r="CA1188" i="1"/>
  <c r="AR1223" i="1"/>
  <c r="DG152" i="1"/>
  <c r="P195" i="1"/>
  <c r="DG421" i="1"/>
  <c r="DP1125" i="1"/>
  <c r="P1182" i="1"/>
  <c r="AW225" i="1"/>
  <c r="F354" i="1"/>
  <c r="EM1255" i="1"/>
  <c r="P1283" i="1"/>
  <c r="EM1294" i="1"/>
  <c r="AR26" i="1"/>
  <c r="F59" i="1"/>
  <c r="AR116" i="1"/>
  <c r="Q821" i="1"/>
  <c r="F973" i="1"/>
  <c r="EJ380" i="1"/>
  <c r="P419" i="1"/>
  <c r="DG1125" i="1"/>
  <c r="P1158" i="1"/>
  <c r="DK1326" i="1"/>
  <c r="P1463" i="1"/>
  <c r="J22" i="2" s="1"/>
  <c r="P708" i="1"/>
  <c r="EO789" i="1"/>
  <c r="EO645" i="1"/>
  <c r="EN1326" i="1"/>
  <c r="P1453" i="1"/>
  <c r="AR1389" i="1"/>
  <c r="F1446" i="1"/>
  <c r="R641" i="1"/>
  <c r="F803" i="1"/>
  <c r="F581" i="1"/>
  <c r="O500" i="1"/>
  <c r="P730" i="1"/>
  <c r="EJ645" i="1"/>
  <c r="EJ789" i="1"/>
  <c r="AR1093" i="1"/>
  <c r="CA1040" i="1"/>
  <c r="AR380" i="1"/>
  <c r="F419" i="1"/>
  <c r="P1474" i="1"/>
  <c r="DP1326" i="1"/>
  <c r="AS26" i="1"/>
  <c r="F48" i="1"/>
  <c r="AS116" i="1"/>
  <c r="P393" i="1"/>
  <c r="DG380" i="1"/>
  <c r="EN225" i="1"/>
  <c r="P353" i="1"/>
  <c r="P1292" i="1"/>
  <c r="EJ1255" i="1"/>
  <c r="F470" i="1"/>
  <c r="O457" i="1"/>
  <c r="O609" i="1"/>
  <c r="AV380" i="1"/>
  <c r="F396" i="1"/>
  <c r="DG961" i="1"/>
  <c r="AY997" i="1"/>
  <c r="F1016" i="1"/>
  <c r="AY1294" i="1"/>
  <c r="EJ864" i="1"/>
  <c r="P959" i="1"/>
  <c r="O645" i="1"/>
  <c r="O789" i="1"/>
  <c r="F704" i="1"/>
  <c r="P399" i="1"/>
  <c r="EQ380" i="1"/>
  <c r="T18" i="1"/>
  <c r="F1536" i="1"/>
  <c r="EL864" i="1"/>
  <c r="P949" i="1"/>
  <c r="EL961" i="1"/>
  <c r="DH453" i="1"/>
  <c r="P612" i="1"/>
  <c r="EN1125" i="1"/>
  <c r="P1161" i="1"/>
  <c r="AP1326" i="1"/>
  <c r="F1457" i="1"/>
  <c r="V22" i="2" s="1"/>
  <c r="V25" i="2" s="1"/>
  <c r="AP1515" i="1"/>
  <c r="CC864" i="1"/>
  <c r="AT931" i="1"/>
  <c r="AV609" i="1"/>
  <c r="Y16" i="2"/>
  <c r="AV1040" i="1"/>
  <c r="F1098" i="1"/>
  <c r="DH22" i="1"/>
  <c r="P119" i="1"/>
  <c r="DH1515" i="1"/>
  <c r="P408" i="1"/>
  <c r="EK380" i="1"/>
  <c r="DQ1188" i="1"/>
  <c r="P1250" i="1"/>
  <c r="Q1515" i="1"/>
  <c r="AR1255" i="1"/>
  <c r="F1292" i="1"/>
  <c r="DI148" i="1"/>
  <c r="P433" i="1"/>
  <c r="AY1188" i="1"/>
  <c r="F1231" i="1"/>
  <c r="EJ1040" i="1"/>
  <c r="P1121" i="1"/>
  <c r="EJ500" i="1"/>
  <c r="P607" i="1"/>
  <c r="F103" i="1"/>
  <c r="AS63" i="1"/>
  <c r="AS225" i="1"/>
  <c r="F365" i="1"/>
  <c r="DK1515" i="1"/>
  <c r="AP18" i="1" l="1"/>
  <c r="F1524" i="1"/>
  <c r="EJ641" i="1"/>
  <c r="P817" i="1"/>
  <c r="DG148" i="1"/>
  <c r="P423" i="1"/>
  <c r="AU18" i="1"/>
  <c r="F1534" i="1"/>
  <c r="EK641" i="1"/>
  <c r="P806" i="1"/>
  <c r="E19" i="2" s="1"/>
  <c r="I19" i="2" s="1"/>
  <c r="S18" i="1"/>
  <c r="F1530" i="1"/>
  <c r="EK821" i="1"/>
  <c r="P978" i="1"/>
  <c r="E20" i="2" s="1"/>
  <c r="I20" i="2" s="1"/>
  <c r="AW641" i="1"/>
  <c r="F795" i="1"/>
  <c r="EJ821" i="1"/>
  <c r="P989" i="1"/>
  <c r="AS1326" i="1"/>
  <c r="F1465" i="1"/>
  <c r="T22" i="2" s="1"/>
  <c r="X22" i="2" s="1"/>
  <c r="Q18" i="1"/>
  <c r="F1527" i="1"/>
  <c r="AT864" i="1"/>
  <c r="F949" i="1"/>
  <c r="AT961" i="1"/>
  <c r="O453" i="1"/>
  <c r="F611" i="1"/>
  <c r="EL641" i="1"/>
  <c r="P807" i="1"/>
  <c r="F19" i="2" s="1"/>
  <c r="EL1515" i="1"/>
  <c r="O821" i="1"/>
  <c r="F963" i="1"/>
  <c r="DQ1326" i="1"/>
  <c r="P1475" i="1"/>
  <c r="EN22" i="1"/>
  <c r="P121" i="1"/>
  <c r="EN1515" i="1"/>
  <c r="AU993" i="1"/>
  <c r="F1313" i="1"/>
  <c r="W21" i="2" s="1"/>
  <c r="EK225" i="1"/>
  <c r="P365" i="1"/>
  <c r="DK18" i="1"/>
  <c r="P1530" i="1"/>
  <c r="DH18" i="1"/>
  <c r="P1518" i="1"/>
  <c r="EL821" i="1"/>
  <c r="P979" i="1"/>
  <c r="F20" i="2" s="1"/>
  <c r="O641" i="1"/>
  <c r="F791" i="1"/>
  <c r="AY993" i="1"/>
  <c r="F1302" i="1"/>
  <c r="AS22" i="1"/>
  <c r="F133" i="1"/>
  <c r="T16" i="2" s="1"/>
  <c r="AS1515" i="1"/>
  <c r="AR1040" i="1"/>
  <c r="F1121" i="1"/>
  <c r="AR1294" i="1"/>
  <c r="AR1188" i="1"/>
  <c r="F1251" i="1"/>
  <c r="AT641" i="1"/>
  <c r="F807" i="1"/>
  <c r="U19" i="2" s="1"/>
  <c r="AT1515" i="1"/>
  <c r="R18" i="1"/>
  <c r="F1529" i="1"/>
  <c r="F1453" i="1"/>
  <c r="AV1326" i="1"/>
  <c r="EK22" i="1"/>
  <c r="P133" i="1"/>
  <c r="E16" i="2" s="1"/>
  <c r="AS152" i="1"/>
  <c r="F210" i="1"/>
  <c r="AS421" i="1"/>
  <c r="F1459" i="1"/>
  <c r="AZ1326" i="1"/>
  <c r="AZ1515" i="1"/>
  <c r="AV993" i="1"/>
  <c r="F1299" i="1"/>
  <c r="EQ22" i="1"/>
  <c r="P124" i="1"/>
  <c r="EQ1515" i="1"/>
  <c r="AV821" i="1"/>
  <c r="F966" i="1"/>
  <c r="DQ993" i="1"/>
  <c r="P1321" i="1"/>
  <c r="F1450" i="1"/>
  <c r="O1326" i="1"/>
  <c r="AW821" i="1"/>
  <c r="F967" i="1"/>
  <c r="Y21" i="2"/>
  <c r="EO22" i="1"/>
  <c r="P122" i="1"/>
  <c r="EO1515" i="1"/>
  <c r="Y18" i="2"/>
  <c r="P1476" i="1"/>
  <c r="EJ1326" i="1"/>
  <c r="F797" i="1"/>
  <c r="AY641" i="1"/>
  <c r="DP821" i="1"/>
  <c r="P987" i="1"/>
  <c r="F1173" i="1"/>
  <c r="AS1125" i="1"/>
  <c r="F1476" i="1"/>
  <c r="AR1326" i="1"/>
  <c r="AR152" i="1"/>
  <c r="F221" i="1"/>
  <c r="AR421" i="1"/>
  <c r="AY22" i="1"/>
  <c r="F124" i="1"/>
  <c r="AY1515" i="1"/>
  <c r="O22" i="1"/>
  <c r="F118" i="1"/>
  <c r="O1515" i="1"/>
  <c r="EQ453" i="1"/>
  <c r="P617" i="1"/>
  <c r="X19" i="2"/>
  <c r="AW993" i="1"/>
  <c r="F1300" i="1"/>
  <c r="AR1125" i="1"/>
  <c r="F1184" i="1"/>
  <c r="EQ993" i="1"/>
  <c r="P1302" i="1"/>
  <c r="EK1326" i="1"/>
  <c r="P1465" i="1"/>
  <c r="E22" i="2" s="1"/>
  <c r="I22" i="2" s="1"/>
  <c r="AW148" i="1"/>
  <c r="F427" i="1"/>
  <c r="EJ997" i="1"/>
  <c r="P1036" i="1"/>
  <c r="EJ1294" i="1"/>
  <c r="DG993" i="1"/>
  <c r="P1296" i="1"/>
  <c r="AY821" i="1"/>
  <c r="F969" i="1"/>
  <c r="AW22" i="1"/>
  <c r="F122" i="1"/>
  <c r="AW1515" i="1"/>
  <c r="EO148" i="1"/>
  <c r="P427" i="1"/>
  <c r="P791" i="1"/>
  <c r="DG641" i="1"/>
  <c r="X453" i="1"/>
  <c r="F635" i="1"/>
  <c r="Y25" i="2"/>
  <c r="EO641" i="1"/>
  <c r="P795" i="1"/>
  <c r="EN453" i="1"/>
  <c r="P614" i="1"/>
  <c r="EM148" i="1"/>
  <c r="P440" i="1"/>
  <c r="H17" i="2" s="1"/>
  <c r="EM1515" i="1"/>
  <c r="P1025" i="1"/>
  <c r="EK997" i="1"/>
  <c r="EK1294" i="1"/>
  <c r="EJ1125" i="1"/>
  <c r="P1184" i="1"/>
  <c r="AS453" i="1"/>
  <c r="F626" i="1"/>
  <c r="T18" i="2" s="1"/>
  <c r="X18" i="2" s="1"/>
  <c r="AV453" i="1"/>
  <c r="F614" i="1"/>
  <c r="EM993" i="1"/>
  <c r="P1313" i="1"/>
  <c r="H21" i="2" s="1"/>
  <c r="AY148" i="1"/>
  <c r="F429" i="1"/>
  <c r="W25" i="2"/>
  <c r="AX18" i="1"/>
  <c r="F1522" i="1"/>
  <c r="AS1188" i="1"/>
  <c r="F1240" i="1"/>
  <c r="AR821" i="1"/>
  <c r="F989" i="1"/>
  <c r="AV148" i="1"/>
  <c r="F426" i="1"/>
  <c r="F1474" i="1"/>
  <c r="X1326" i="1"/>
  <c r="X1515" i="1"/>
  <c r="X148" i="1"/>
  <c r="F447" i="1"/>
  <c r="F817" i="1"/>
  <c r="AR641" i="1"/>
  <c r="EO453" i="1"/>
  <c r="P615" i="1"/>
  <c r="AR453" i="1"/>
  <c r="F637" i="1"/>
  <c r="EO993" i="1"/>
  <c r="P1300" i="1"/>
  <c r="EJ1188" i="1"/>
  <c r="P1251" i="1"/>
  <c r="EN641" i="1"/>
  <c r="P794" i="1"/>
  <c r="EQ148" i="1"/>
  <c r="P429" i="1"/>
  <c r="DQ821" i="1"/>
  <c r="P988" i="1"/>
  <c r="X993" i="1"/>
  <c r="F1320" i="1"/>
  <c r="Y993" i="1"/>
  <c r="F1321" i="1"/>
  <c r="P797" i="1"/>
  <c r="EQ641" i="1"/>
  <c r="P1240" i="1"/>
  <c r="EK1188" i="1"/>
  <c r="F1475" i="1"/>
  <c r="Y1326" i="1"/>
  <c r="DQ1515" i="1"/>
  <c r="F1456" i="1"/>
  <c r="AY1326" i="1"/>
  <c r="AS993" i="1"/>
  <c r="F1311" i="1"/>
  <c r="T21" i="2" s="1"/>
  <c r="X21" i="2" s="1"/>
  <c r="AS1040" i="1"/>
  <c r="F1110" i="1"/>
  <c r="O148" i="1"/>
  <c r="F423" i="1"/>
  <c r="DJ18" i="1"/>
  <c r="P1529" i="1"/>
  <c r="DG821" i="1"/>
  <c r="P963" i="1"/>
  <c r="AR22" i="1"/>
  <c r="F144" i="1"/>
  <c r="P18" i="1"/>
  <c r="F1518" i="1"/>
  <c r="AV22" i="1"/>
  <c r="F121" i="1"/>
  <c r="AV1515" i="1"/>
  <c r="DG22" i="1"/>
  <c r="P118" i="1"/>
  <c r="DG1515" i="1"/>
  <c r="EJ225" i="1"/>
  <c r="P376" i="1"/>
  <c r="AV641" i="1"/>
  <c r="F794" i="1"/>
  <c r="EJ152" i="1"/>
  <c r="P221" i="1"/>
  <c r="EJ421" i="1"/>
  <c r="ER18" i="1"/>
  <c r="P1526" i="1"/>
  <c r="Y18" i="1"/>
  <c r="F1542" i="1"/>
  <c r="EK457" i="1"/>
  <c r="P485" i="1"/>
  <c r="EK609" i="1"/>
  <c r="AS821" i="1"/>
  <c r="F978" i="1"/>
  <c r="T20" i="2" s="1"/>
  <c r="EK152" i="1"/>
  <c r="P210" i="1"/>
  <c r="EK421" i="1"/>
  <c r="DG453" i="1"/>
  <c r="P611" i="1"/>
  <c r="Y19" i="2"/>
  <c r="EN148" i="1"/>
  <c r="P426" i="1"/>
  <c r="EK1125" i="1"/>
  <c r="P1173" i="1"/>
  <c r="EJ453" i="1"/>
  <c r="P637" i="1"/>
  <c r="J19" i="2"/>
  <c r="J25" i="2" s="1"/>
  <c r="Y22" i="2"/>
  <c r="F1454" i="1"/>
  <c r="AW1326" i="1"/>
  <c r="DP18" i="1"/>
  <c r="P1541" i="1"/>
  <c r="X18" i="1" l="1"/>
  <c r="F1541" i="1"/>
  <c r="AR148" i="1"/>
  <c r="F449" i="1"/>
  <c r="AV18" i="1"/>
  <c r="F1520" i="1"/>
  <c r="DQ18" i="1"/>
  <c r="P1542" i="1"/>
  <c r="EK993" i="1"/>
  <c r="P1311" i="1"/>
  <c r="E21" i="2" s="1"/>
  <c r="I21" i="2" s="1"/>
  <c r="H25" i="2"/>
  <c r="EJ993" i="1"/>
  <c r="P1322" i="1"/>
  <c r="O18" i="1"/>
  <c r="F1517" i="1"/>
  <c r="EO18" i="1"/>
  <c r="P1521" i="1"/>
  <c r="EQ18" i="1"/>
  <c r="P1523" i="1"/>
  <c r="AS148" i="1"/>
  <c r="F438" i="1"/>
  <c r="T17" i="2" s="1"/>
  <c r="X17" i="2" s="1"/>
  <c r="I16" i="2"/>
  <c r="I25" i="2" s="1"/>
  <c r="DG18" i="1"/>
  <c r="P1517" i="1"/>
  <c r="AR1515" i="1"/>
  <c r="AW18" i="1"/>
  <c r="F1521" i="1"/>
  <c r="AZ18" i="1"/>
  <c r="F1526" i="1"/>
  <c r="EK148" i="1"/>
  <c r="P438" i="1"/>
  <c r="E17" i="2" s="1"/>
  <c r="I17" i="2" s="1"/>
  <c r="AS18" i="1"/>
  <c r="F1532" i="1"/>
  <c r="EJ148" i="1"/>
  <c r="P449" i="1"/>
  <c r="EJ1515" i="1"/>
  <c r="AT18" i="1"/>
  <c r="F1533" i="1"/>
  <c r="EL18" i="1"/>
  <c r="P1533" i="1"/>
  <c r="EK453" i="1"/>
  <c r="P626" i="1"/>
  <c r="E18" i="2" s="1"/>
  <c r="I18" i="2" s="1"/>
  <c r="EM18" i="1"/>
  <c r="P1534" i="1"/>
  <c r="AY18" i="1"/>
  <c r="F1523" i="1"/>
  <c r="EK1515" i="1"/>
  <c r="U25" i="2"/>
  <c r="AR993" i="1"/>
  <c r="F1322" i="1"/>
  <c r="X16" i="2"/>
  <c r="T25" i="2"/>
  <c r="EN18" i="1"/>
  <c r="P1520" i="1"/>
  <c r="F25" i="2"/>
  <c r="AT821" i="1"/>
  <c r="F979" i="1"/>
  <c r="U20" i="2" s="1"/>
  <c r="X20" i="2" s="1"/>
  <c r="X25" i="2" l="1"/>
  <c r="EK18" i="1"/>
  <c r="P1532" i="1"/>
  <c r="EJ18" i="1"/>
  <c r="P1543" i="1"/>
  <c r="AR18" i="1"/>
  <c r="F1543" i="1"/>
  <c r="E25" i="2"/>
</calcChain>
</file>

<file path=xl/sharedStrings.xml><?xml version="1.0" encoding="utf-8"?>
<sst xmlns="http://schemas.openxmlformats.org/spreadsheetml/2006/main" count="49896" uniqueCount="1808">
  <si>
    <t>Smeta.RU  (495) 974-1589</t>
  </si>
  <si>
    <t>_PS_</t>
  </si>
  <si>
    <t>Smeta.RU</t>
  </si>
  <si>
    <t/>
  </si>
  <si>
    <t>Новый объект_(Копия)</t>
  </si>
  <si>
    <t>Ерамешанцева_(Копия)</t>
  </si>
  <si>
    <t>Сметные нормы списания</t>
  </si>
  <si>
    <t>Коды ОКП для ТСН-2001 МГЭ</t>
  </si>
  <si>
    <t>ТСН-2001 МГЭ ремонт(Доп-53)</t>
  </si>
  <si>
    <t>Типовой расчет для ТСН-2001 МГЭ, Новая методика с выпуска доп. 43 (Ремонт), Доп 68</t>
  </si>
  <si>
    <t>Территориальные сметные нормативы для Москвы ТСН-2001 (МГЭ)</t>
  </si>
  <si>
    <t>Поправки для ТСН-2001 от 15.07.2022 г. доп.65</t>
  </si>
  <si>
    <t>Территориальные сметные нормативы для Москвы (ТСН-2001)</t>
  </si>
  <si>
    <t>ТЕР</t>
  </si>
  <si>
    <t>02-01-01</t>
  </si>
  <si>
    <t>ПЗУ</t>
  </si>
  <si>
    <t>Новый раздел</t>
  </si>
  <si>
    <t>Демонтажные работы</t>
  </si>
  <si>
    <t>1</t>
  </si>
  <si>
    <t>3.1-51-1</t>
  </si>
  <si>
    <t>Разработка грунта вручную в траншеях глубиной до 2 м без креплений с откосами группа грунтов 1-3</t>
  </si>
  <si>
    <t>100 м3 грунта</t>
  </si>
  <si>
    <t>ТСН-2001.3. Доп. 1-42. Сб. 1, т. 51, поз. 1</t>
  </si>
  <si>
    <t>Строительные работы</t>
  </si>
  <si>
    <t>ТСН-2001.3-1. 1-49...1-55</t>
  </si>
  <si>
    <t>ТСН-2001.3-1-15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</si>
  <si>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</si>
  <si>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</si>
  <si>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</si>
  <si>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</si>
  <si>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</si>
  <si>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</si>
  <si>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</si>
  <si>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</si>
  <si>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</si>
  <si>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</si>
  <si>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</si>
  <si>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</si>
  <si>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</si>
  <si>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</si>
  <si>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</si>
  <si>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</si>
  <si>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</si>
  <si>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</si>
  <si>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</si>
  <si>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</si>
  <si>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</si>
  <si>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</si>
  <si>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</si>
  <si>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</si>
  <si>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</si>
  <si>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</si>
  <si>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</si>
  <si>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</si>
  <si>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</si>
  <si>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</si>
  <si>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</si>
  <si>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</si>
  <si>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</si>
  <si>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</si>
  <si>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</si>
  <si>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</si>
  <si>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</si>
  <si>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</si>
  <si>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</si>
  <si>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</si>
  <si>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</si>
  <si>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</si>
  <si>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</si>
  <si>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</si>
  <si>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</si>
  <si>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</si>
  <si>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Перевозка</t>
  </si>
  <si>
    <t>Перевозка грузов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</si>
  <si>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</si>
  <si>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</si>
  <si>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</si>
  <si>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</si>
  <si>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</si>
  <si>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</si>
  <si>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Монтажные работы</t>
  </si>
  <si>
    <t>2</t>
  </si>
  <si>
    <t>3.27-12-1</t>
  </si>
  <si>
    <t>Устройство подстилающих и выравнивающих слоев оснований из песка</t>
  </si>
  <si>
    <t>100 м3 материала основания (в плотном теле)</t>
  </si>
  <si>
    <t>ТСН-2001.3 Доп. 56, Сб. 27, т. 12, поз. 1</t>
  </si>
  <si>
    <t>)*1,25</t>
  </si>
  <si>
    <t>)*1,15</t>
  </si>
  <si>
    <t>ТСН-2001.3-27. 27-1...27-21</t>
  </si>
  <si>
    <t>ТСН-2001.3-27-1</t>
  </si>
  <si>
    <t>Поправка: ТСН-2001.6. О.П. п.11</t>
  </si>
  <si>
    <t>2,1</t>
  </si>
  <si>
    <t>1.1-1-766</t>
  </si>
  <si>
    <t>Песок для строительных работ, рядовой</t>
  </si>
  <si>
    <t>м3</t>
  </si>
  <si>
    <t>ТСН-2001.1. Доп. 1-42. Р. 1, о. 1, поз. 766</t>
  </si>
  <si>
    <t>3</t>
  </si>
  <si>
    <t>3.27-12-2</t>
  </si>
  <si>
    <t>Устройство подстилающих и выравнивающих слоев оснований из щебня</t>
  </si>
  <si>
    <t>ТСН-2001.3 Доп. 59, Сб. 27, т. 12, поз. 2</t>
  </si>
  <si>
    <t>3,1</t>
  </si>
  <si>
    <t>1.1-1-1554</t>
  </si>
  <si>
    <t>Щебень из естественного камня для дорожных работ, марка 1200 - 800, фракция 10 - 20 мм</t>
  </si>
  <si>
    <t>ТСН-2001.1. Доп. 1-42. Р. 1, о. 1, поз. 1554</t>
  </si>
  <si>
    <t>4</t>
  </si>
  <si>
    <t>3.27-47-1</t>
  </si>
  <si>
    <t>Устройство асфальтобетонных покрытий дорожек и тротуаров однослойных из литой мелкозернистой асфальтобетонной смеси толщиной 3 см</t>
  </si>
  <si>
    <t>100 м2 покрытия</t>
  </si>
  <si>
    <t>ТСН-2001.3. Доп. 1-42. Сб. 27, т. 47, поз. 1</t>
  </si>
  <si>
    <t>ТСН-2001.3-27. 27-47</t>
  </si>
  <si>
    <t>ТСН-2001.3-27-14</t>
  </si>
  <si>
    <t>4,1</t>
  </si>
  <si>
    <t>1.3-3-9</t>
  </si>
  <si>
    <t>Смеси асфальтобетонные дорожные горячие мелкозернистые, марка II, тип В</t>
  </si>
  <si>
    <t>т</t>
  </si>
  <si>
    <t>ТСН-2001.1. Доп. 1-42. Р. 3, о. 3, поз. 9</t>
  </si>
  <si>
    <t>5</t>
  </si>
  <si>
    <t>3.27-47-2</t>
  </si>
  <si>
    <t>Устройство асфальтобетонных покрытий дорожек и тротуаров однослойных из литой мелкозернистой асфальтобетонной смеси, добавлять или исключать на каждые 0,5 см изменения толщины слоя</t>
  </si>
  <si>
    <t>ТСН-2001.3 Доп. 51, Сб. 27, т. 47, поз. 2</t>
  </si>
  <si>
    <t>)*9</t>
  </si>
  <si>
    <t>)*1,25)*9</t>
  </si>
  <si>
    <t>)*1,15)*9</t>
  </si>
  <si>
    <t>5,1</t>
  </si>
  <si>
    <t>6</t>
  </si>
  <si>
    <t>3.27-26-2</t>
  </si>
  <si>
    <t>Установка бортовых камней бетонных при других видах покрытий</t>
  </si>
  <si>
    <t>100 м бортового камня</t>
  </si>
  <si>
    <t>ТСН-2001.3 Доп. 53, Сб. 27, т. 26, поз. 2</t>
  </si>
  <si>
    <t>ТСН-2001.3-27. 27-26-2</t>
  </si>
  <si>
    <t>ТСН-2001.3-27-4</t>
  </si>
  <si>
    <t>6,1</t>
  </si>
  <si>
    <t>1.5-3-499</t>
  </si>
  <si>
    <t>Камни бетонные бортовые, марка БР 100.20.8</t>
  </si>
  <si>
    <t>ТСН-2001.1. Доп. 1-42. Р. 5, о. 3, поз. 499</t>
  </si>
  <si>
    <t>02-01-02</t>
  </si>
  <si>
    <t>Архитектурные решения</t>
  </si>
  <si>
    <t>3.9-36-1</t>
  </si>
  <si>
    <t>Монтаж конструкций дверей и люков</t>
  </si>
  <si>
    <t>1 т конструкций</t>
  </si>
  <si>
    <t>ТСН-2001.3. Доп. 1-42. Сб. 9, т. 36, поз. 1</t>
  </si>
  <si>
    <t>Поправка: ТСН-2001.6. О.П. п.23.6  Наименование: Демонтаж. Металлических конструкций (к=0,6 к стоимости вспомогательных материалов)</t>
  </si>
  <si>
    <t>)*0,6</t>
  </si>
  <si>
    <t>ТСН-2001.3-9. 9-1...9-72</t>
  </si>
  <si>
    <t>ТСН-2001.3-9-1</t>
  </si>
  <si>
    <t>Поправка: ТСН-2001.6. О.П. п.23.6</t>
  </si>
  <si>
    <t>6.56-38-3</t>
  </si>
  <si>
    <t>Разборка деревянных заполнений проемов дверных, воротных</t>
  </si>
  <si>
    <t>100 м2</t>
  </si>
  <si>
    <t>ТСН-2001.6. Доп. 1-42. Сб. 56, т. 38, поз. 3</t>
  </si>
  <si>
    <t>Ремонтно-строительные работы</t>
  </si>
  <si>
    <t>ТСН-2001.6-56. 56-38</t>
  </si>
  <si>
    <t>ТСН-2001.6-56-10</t>
  </si>
  <si>
    <t>6.56-38-2</t>
  </si>
  <si>
    <t>Разборка деревянных заполнений проемов оконных без подоконных досок</t>
  </si>
  <si>
    <t>ТСН-2001.6. Доп. 1-42. Сб. 56, т. 38, поз. 2</t>
  </si>
  <si>
    <t>6.55-3-1</t>
  </si>
  <si>
    <t>Разборка кирпичных перегородок</t>
  </si>
  <si>
    <t>1 м3 кладки</t>
  </si>
  <si>
    <t>ТСН-2001.6. Доп. 1-42. Сб. 55, т. 3, поз. 1</t>
  </si>
  <si>
    <t>ТСН-2001.6-55. 55-1...55-4</t>
  </si>
  <si>
    <t>ТСН-2001.6-55-1</t>
  </si>
  <si>
    <t>9999990001</t>
  </si>
  <si>
    <t>Масса мусора</t>
  </si>
  <si>
    <t>6.52-1-3</t>
  </si>
  <si>
    <t>Разборка фундаментов железобетонных</t>
  </si>
  <si>
    <t>1 м3</t>
  </si>
  <si>
    <t>ТСН-2001.6. Доп. 1-42. Сб. 52, т. 1, поз. 3</t>
  </si>
  <si>
    <t>ТСН-2001.6-52. 52-1</t>
  </si>
  <si>
    <t>ТСН-2001.6-52-1</t>
  </si>
  <si>
    <t>6.59-4-1</t>
  </si>
  <si>
    <t>Разборка металлических лестничных решеток, массой 1 м решетки до 60 кг</t>
  </si>
  <si>
    <t>100 м решетки</t>
  </si>
  <si>
    <t>ТСН-2001.6. Доп. 1-42. Сб. 59, т. 4, поз. 1</t>
  </si>
  <si>
    <t>ТСН-2001.6-59. 59-1...59-6, 59-7-1</t>
  </si>
  <si>
    <t>ТСН-2001.6-59-1</t>
  </si>
  <si>
    <t>7</t>
  </si>
  <si>
    <t>3.9-35-1</t>
  </si>
  <si>
    <t>Монтаж мелких конструкций из стали различного профиля массой до 20 кг</t>
  </si>
  <si>
    <t>1 Т</t>
  </si>
  <si>
    <t>ТСН-2001.3. Доп. 1-42. Сб. 9, т. 35, поз. 1</t>
  </si>
  <si>
    <t>8</t>
  </si>
  <si>
    <t>6.57-2-7</t>
  </si>
  <si>
    <t>Разборка покрытий из керамических плиток</t>
  </si>
  <si>
    <t>ТСН-2001.6. Доп. 1-42. Сб. 57, т. 2, поз. 7</t>
  </si>
  <si>
    <t>Поправка: ТСН-2001.6-57. р3. п.3.1.2  Наименование: Разборка покрытий из керамических плиток без сохранения материалов: на мастике или клее из сухих смесей</t>
  </si>
  <si>
    <t>)*0,5</t>
  </si>
  <si>
    <t>ТСН-2001.6-57. 57-1...57-5</t>
  </si>
  <si>
    <t>ТСН-2001.6-57-1</t>
  </si>
  <si>
    <t>Поправка: ТСН-2001.6-57. р3. п.3.1.2</t>
  </si>
  <si>
    <t>8,1</t>
  </si>
  <si>
    <t>9</t>
  </si>
  <si>
    <t>6.57-2-8</t>
  </si>
  <si>
    <t>Разборка цементных покрытий, толщина 30 мм</t>
  </si>
  <si>
    <t>ТСН-2001.6. Доп. 1-42. Сб. 57, т. 2, поз. 8</t>
  </si>
  <si>
    <t>9,1</t>
  </si>
  <si>
    <t>10</t>
  </si>
  <si>
    <t>6.57-2-16</t>
  </si>
  <si>
    <t>Добавляется или исключается на каждые 5 мм изменения толщины покрытия к позиции 6.57-2-8</t>
  </si>
  <si>
    <t>ТСН-2001.6. Доп. 1-42. Сб. 57, т. 2, поз. 16</t>
  </si>
  <si>
    <t>)*4</t>
  </si>
  <si>
    <t>10,1</t>
  </si>
  <si>
    <t>11</t>
  </si>
  <si>
    <t>6.63-7-5</t>
  </si>
  <si>
    <t>Разборка облицовки стен из керамических глазурованных плиток</t>
  </si>
  <si>
    <t>100 м2 облицовки</t>
  </si>
  <si>
    <t>ТСН-2001.6. Доп. 1-42. Сб. 63, т. 7, поз. 5</t>
  </si>
  <si>
    <t>ТСН-2001.6-63. 63-7</t>
  </si>
  <si>
    <t>ТСН-2001.6-63-3</t>
  </si>
  <si>
    <t>11,1</t>
  </si>
  <si>
    <t>Поправка: ТСН-2001.6-63. р3. п.3.1.2  Наименование: Разборка облицовки стен из керамических глазурованных плиток, на мастике или клее из сухих смесей</t>
  </si>
  <si>
    <t>Поправка: ТСН-2001.6-63. р3. п.3.1.2</t>
  </si>
  <si>
    <t>12</t>
  </si>
  <si>
    <t>6.54-1-6</t>
  </si>
  <si>
    <t>Разборка подвесных потолков из плит акмигран</t>
  </si>
  <si>
    <t>ТСН-2001.6 Доп. 55, Сб. 54, т. 1, поз. 6</t>
  </si>
  <si>
    <t>ТСН-2001.6-54. 54-1...54-5</t>
  </si>
  <si>
    <t>ТСН-2001.6-54-2</t>
  </si>
  <si>
    <t>13</t>
  </si>
  <si>
    <t>6.56-36-2</t>
  </si>
  <si>
    <t>Установка металлических дверей для подвалов и подъездов</t>
  </si>
  <si>
    <t>1 м2</t>
  </si>
  <si>
    <t>ТСН-2001.6. Доп. 1-42. Сб. 56, т. 36, поз. 2</t>
  </si>
  <si>
    <t>ТСН-2001.6-56. 56-36</t>
  </si>
  <si>
    <t>ТСН-2001.6-56-8</t>
  </si>
  <si>
    <t>13,1</t>
  </si>
  <si>
    <t>1.7-2-135</t>
  </si>
  <si>
    <t>ТСН-2001.1. Доп. 1-42. Р. 7, о. 2, поз. 135</t>
  </si>
  <si>
    <t>14</t>
  </si>
  <si>
    <t>3.10-82-1</t>
  </si>
  <si>
    <t>Установка дверного доводчика к металлическим дверям</t>
  </si>
  <si>
    <t>1  ШТ.</t>
  </si>
  <si>
    <t>ТСН-2001.3 Доп. 59, Сб. 10, т. 82, поз. 1</t>
  </si>
  <si>
    <t>ТСН-2001.3-10. 10-82</t>
  </si>
  <si>
    <t>ТСН-2001.3-10-7</t>
  </si>
  <si>
    <t>14,1</t>
  </si>
  <si>
    <t>1.8-1-83</t>
  </si>
  <si>
    <t>Доводчик дверной универсальный, с механизмом «шестерня-рейка», регулируемый, масса двери до 160 кг</t>
  </si>
  <si>
    <t>КОМПЛЕКТ</t>
  </si>
  <si>
    <t>ТСН-2001.1 Доп. 55, Р. 8, о. 1, поз. 83</t>
  </si>
  <si>
    <t>15</t>
  </si>
  <si>
    <t>3.10-21-1</t>
  </si>
  <si>
    <t>Установка блоков в наружных и внутренних дверных проемах в каменных стенах площадь проема до 3 м2</t>
  </si>
  <si>
    <t>100 м2 проемов</t>
  </si>
  <si>
    <t>ТСН-2001.3 Доп. 55, Сб. 10, т. 21, поз. 1</t>
  </si>
  <si>
    <t>ТСН-2001.3-10. 10-1...10-69</t>
  </si>
  <si>
    <t>ТСН-2001.3-10-1</t>
  </si>
  <si>
    <t>15,1</t>
  </si>
  <si>
    <t>Цена поставщика</t>
  </si>
  <si>
    <t>Дверь композитная глухая полнозаполненная пенополистиролом из ПВХ 1,5 мм 2000*1000 Капель (ДГ10)</t>
  </si>
  <si>
    <t>шт.</t>
  </si>
  <si>
    <t>[27 720 / 1,2 /  8,65] +  2% Трансп</t>
  </si>
  <si>
    <t>0</t>
  </si>
  <si>
    <t>15,2</t>
  </si>
  <si>
    <t>Дверь композитная глухая полнозаполненная пенополистиролом из ПВХ 1,5 мм 2000*900 Капель (ДГ9)</t>
  </si>
  <si>
    <t>[225 999 / 1,2 /  8,65] +  2% Трансп</t>
  </si>
  <si>
    <t>1.9-7-31</t>
  </si>
  <si>
    <t>Блоки дверные деревянные внутренние, однопольные, глухие, со сплошным заполнением щита, облицованные пластиком бумажно-слоистым, с петлями, ручками, врезным замком с защелкой, размер дверного проема 2070х1010 мм, площадь 2,01 м2</t>
  </si>
  <si>
    <t>м2</t>
  </si>
  <si>
    <t>занесена вручную</t>
  </si>
  <si>
    <t>1.9-7-20</t>
  </si>
  <si>
    <t>Блоки дверные деревянные внутренние, однопольные, глухие, со сплошным заполнением щита, облицованные пластиком бумажно-слоистым, с петлями, ручками, врезным замком с защелкой, размер дверного проема 2070х910 мм, площадь 1,8 м2</t>
  </si>
  <si>
    <t>16</t>
  </si>
  <si>
    <t>3.10-83-2</t>
  </si>
  <si>
    <t>Установка блоков из ПВХ-профилей в наружных и внутренних дверных проемах в каменных стенах площадью проема более 3 м2</t>
  </si>
  <si>
    <t>ТСН-2001.3 Доп. 47, Сб. 10, т. 83, поз. 2</t>
  </si>
  <si>
    <t>ТСН-2001.3-10. 10-83…10-85 (доп. 4)</t>
  </si>
  <si>
    <t>ТСН-2001.3-10-8</t>
  </si>
  <si>
    <t>16,1</t>
  </si>
  <si>
    <t>1.1-1-3078</t>
  </si>
  <si>
    <t>м</t>
  </si>
  <si>
    <t>ТСН-2001.1 Доп. 55, Р. 1, о. 1, поз. 3078</t>
  </si>
  <si>
    <t>16,2</t>
  </si>
  <si>
    <t>1.1-1-3079</t>
  </si>
  <si>
    <t>ТСН-2001.1 Доп. 55, Р. 1, о. 1, поз. 3079</t>
  </si>
  <si>
    <t>16,3</t>
  </si>
  <si>
    <t>1.9-2-23</t>
  </si>
  <si>
    <t>Блоки дверные балконные из ПВХ профилей, с вентиляционным клапаном, одностворчатые, с двухкамерными стеклопакетами, с комплектом фурнитуры, площадь 1,6 м2, БП 22-7,5, для жилых домов</t>
  </si>
  <si>
    <t>ТСН-2001.1 Доп. 55, Р. 9, о. 2, поз. 23</t>
  </si>
  <si>
    <t>17</t>
  </si>
  <si>
    <t>3.10-78-1</t>
  </si>
  <si>
    <t>Установка дверного доводчика к дверям из древесины</t>
  </si>
  <si>
    <t>1 ПРИБОР</t>
  </si>
  <si>
    <t>ТСН-2001.3 Доп. 44, Сб. 10, т. 78, поз. 1</t>
  </si>
  <si>
    <t>ТСН-2001.3-10. 10-75...10-78</t>
  </si>
  <si>
    <t>ТСН-2001.3-10-5</t>
  </si>
  <si>
    <t>17,1</t>
  </si>
  <si>
    <t>1.8-1-73</t>
  </si>
  <si>
    <t>Доводчик дверной, гидравлический, масса двери до 80 кг</t>
  </si>
  <si>
    <t>ТСН-2001.1 Доп. 55, Р. 8, о. 1, поз. 73</t>
  </si>
  <si>
    <t>18</t>
  </si>
  <si>
    <t>3.9-54-1</t>
  </si>
  <si>
    <t>Установка алюминиевых оконных блоков</t>
  </si>
  <si>
    <t>ТСН-2001.3 Доп. 53, Сб. 9, т. 54, поз. 1</t>
  </si>
  <si>
    <t>18,1</t>
  </si>
  <si>
    <t>Алюминиевое противопожарное окно ОП 1 (E 60)</t>
  </si>
  <si>
    <t>[34 800 / 1,2 /  8,65] +  2% Трансп</t>
  </si>
  <si>
    <t>19</t>
  </si>
  <si>
    <t>3.20-26-2</t>
  </si>
  <si>
    <t>Установка дверей герметических штампованных размером 900 х 400 мм</t>
  </si>
  <si>
    <t>ТСН-2001.3 Доп. 56, Сб. 20, т. 26, поз. 2</t>
  </si>
  <si>
    <t>ТСН-2001.3-20. 20-1...20-55</t>
  </si>
  <si>
    <t>ТСН-2001.3-20-1</t>
  </si>
  <si>
    <t>19,1</t>
  </si>
  <si>
    <t>Дверь для пожарной ниши ДПН 600x700</t>
  </si>
  <si>
    <t>[2 219 / 1,2 /  8,65] +  2% Трансп</t>
  </si>
  <si>
    <t>20</t>
  </si>
  <si>
    <t>3.8-4-5</t>
  </si>
  <si>
    <t>Кладка перегородок неармированных толщиной в 1/2 кирпича при высоте этажа до 4 м</t>
  </si>
  <si>
    <t>100 м2 перегородок (за вычетом проемов)</t>
  </si>
  <si>
    <t>ТСН-2001.3. Доп. 1-42. Сб. 8, т. 4, поз. 5</t>
  </si>
  <si>
    <t>ТСН-2001.3-8. 8-3...8-19</t>
  </si>
  <si>
    <t>ТСН-2001.3-8-3</t>
  </si>
  <si>
    <t>20,1</t>
  </si>
  <si>
    <t>1.1-1-352</t>
  </si>
  <si>
    <t>Кирпич керамический обыкновенный, размер 250х120х65 мм, марка 125</t>
  </si>
  <si>
    <t>1000 шт.</t>
  </si>
  <si>
    <t>ТСН-2001.1. Доп. 1-42. Р. 1, о. 1, поз. 352</t>
  </si>
  <si>
    <t>20,2</t>
  </si>
  <si>
    <t>1.3-2-13</t>
  </si>
  <si>
    <t>Растворы цементно-известковые, марка 75</t>
  </si>
  <si>
    <t>ТСН-2001.1. Доп. 1-42. Р. 3, о. 2, поз. 13</t>
  </si>
  <si>
    <t>21</t>
  </si>
  <si>
    <t>6.61-1-1</t>
  </si>
  <si>
    <t>Сплошное выравнивание штукатурки стен, внутри здания цементно-известковым раствором при толщине намета до 5 мм</t>
  </si>
  <si>
    <t>ТСН-2001.6. Доп. 1-42. Сб. 61, т. 1, поз. 1</t>
  </si>
  <si>
    <t>ТСН-2001.6-61. 61-1...61-9</t>
  </si>
  <si>
    <t>ТСН-2001.6-61-1</t>
  </si>
  <si>
    <t>21,1</t>
  </si>
  <si>
    <t>22</t>
  </si>
  <si>
    <t>3.15-13-1</t>
  </si>
  <si>
    <t>Гладкая облицовка стен, столбов, пилястр и откосов (без карнизных, плинтусных и угловых плиток) без установки плиток туалетного гарнитура по кирпичу и бетону</t>
  </si>
  <si>
    <t>100 м2 поверхности облицовки</t>
  </si>
  <si>
    <t>ТСН-2001.3. Доп. 1-42. Сб. 15, т. 13, поз. 1</t>
  </si>
  <si>
    <t>ТСН-2001.3-15. 15-13...15-23</t>
  </si>
  <si>
    <t>ТСН-2001.3-15-3</t>
  </si>
  <si>
    <t>22,1</t>
  </si>
  <si>
    <t>1.1-1-4000</t>
  </si>
  <si>
    <t>Плитки керамические глазурованные гладкие одноцветные, универсальные</t>
  </si>
  <si>
    <t>ТСН-2001.1 Доп. 47, Р. 1, о. 1, поз. 4000</t>
  </si>
  <si>
    <t>23</t>
  </si>
  <si>
    <t>3.15-52-1</t>
  </si>
  <si>
    <t>Простое оштукатуривание стен цементно-известковым раствором по камню и бетону внутри зданий</t>
  </si>
  <si>
    <t>100 м2 оштукатуриваемой поверхности</t>
  </si>
  <si>
    <t>ТСН-2001.3 Доп. 56, Сб. 15, т. 52, поз. 1</t>
  </si>
  <si>
    <t>ТСН-2001.3-15. 15-51...15-81</t>
  </si>
  <si>
    <t>ТСН-2001.3-15-7</t>
  </si>
  <si>
    <t>23,1</t>
  </si>
  <si>
    <t>1.1-1-118</t>
  </si>
  <si>
    <t>Вода</t>
  </si>
  <si>
    <t>ТСН-2001.1. Доп. 1-42. Р. 1, о. 1, поз. 118</t>
  </si>
  <si>
    <t>23,2</t>
  </si>
  <si>
    <t>1.3-2-26</t>
  </si>
  <si>
    <t>ТСН-2001.1 Доп. 55, Р. 3, о. 2, поз. 26</t>
  </si>
  <si>
    <t>23,3</t>
  </si>
  <si>
    <t>24</t>
  </si>
  <si>
    <t>3.15-96-3</t>
  </si>
  <si>
    <t>Улучшенная окраска поливинилацетатными водоэмульсионными составами по штукатурке стен</t>
  </si>
  <si>
    <t>100 м2 окрашиваемой поверхности</t>
  </si>
  <si>
    <t>ТСН-2001.3. Доп. 1-42. Сб. 15, т. 96, поз. 3</t>
  </si>
  <si>
    <t>ТСН-2001.3-15. 15-91-3, 15-91-4, 15-92...15-115</t>
  </si>
  <si>
    <t>ТСН-2001.3-15-9</t>
  </si>
  <si>
    <t>24,1</t>
  </si>
  <si>
    <t>1.1-1-1487</t>
  </si>
  <si>
    <t>Шпатлевка масляно-клеевая универсальная</t>
  </si>
  <si>
    <t>ТСН-2001.1. Доп. 1-42. Р. 1, о. 1, поз. 1487</t>
  </si>
  <si>
    <t>24,2</t>
  </si>
  <si>
    <t>1.1-1-2854</t>
  </si>
  <si>
    <t>Грунтовка акриловая типа «Бетоконтакт», адгезионная для обработки бетонных оснований перед оштукатуриванием</t>
  </si>
  <si>
    <t>кг</t>
  </si>
  <si>
    <t>ТСН-2001.1 Доп. 44, Р. 1, о. 1, поз. 2854</t>
  </si>
  <si>
    <t>24,3</t>
  </si>
  <si>
    <t>1.1-1-2180</t>
  </si>
  <si>
    <t>ТСН-2001.1 Доп. 55, Р. 1, о. 1, поз. 2180</t>
  </si>
  <si>
    <t>25</t>
  </si>
  <si>
    <t>6.62-36-5</t>
  </si>
  <si>
    <t>Окрашивание ранее окрашенных поверхностей потолков водоэмульсионными составами, ранее окрашенных водоэмульсионной краской с расчисткой старой краски до 35 %</t>
  </si>
  <si>
    <t>ТСН-2001.6. Доп. 1-42. Сб. 62, т. 36, поз. 5</t>
  </si>
  <si>
    <t>ТСН-2001.6-62. 62-31...62-41</t>
  </si>
  <si>
    <t>ТСН-2001.6-62-13</t>
  </si>
  <si>
    <t>25,1</t>
  </si>
  <si>
    <t>25,2</t>
  </si>
  <si>
    <t>1.1-1-438</t>
  </si>
  <si>
    <t>Краски водно-дисперсионные поливинилацетатные, белые, марка ВД-ВА-17</t>
  </si>
  <si>
    <t>ТСН-2001.1. Доп. 1-42. Р. 1, о. 1, поз. 438</t>
  </si>
  <si>
    <t>26</t>
  </si>
  <si>
    <t>3.15-29-1</t>
  </si>
  <si>
    <t>Устройство подвесных потолков из декоративно-акустических плит по готовому каркасу с установкой направляющих из алюминиевого профиля и деталей крепления</t>
  </si>
  <si>
    <t>ТСН-2001.3. Доп. 1-42. Сб. 15, т. 29, поз. 1</t>
  </si>
  <si>
    <t>ТСН-2001.3-15. 15-25...15-29</t>
  </si>
  <si>
    <t>ТСН-2001.3-15-5</t>
  </si>
  <si>
    <t>26,1</t>
  </si>
  <si>
    <t>5262120000</t>
  </si>
  <si>
    <t>Комплектующие к подвесных потолкам типа "армстронг"</t>
  </si>
  <si>
    <t>26,2</t>
  </si>
  <si>
    <t>5767710000</t>
  </si>
  <si>
    <t>Плиты декоративно-акустические</t>
  </si>
  <si>
    <t>27</t>
  </si>
  <si>
    <t>3.11-36-1</t>
  </si>
  <si>
    <t>Устройство полов из керамических крупноразмерных плиток типа керамогранит на клее из сухих смесей толщиной слоя 4 мм с затиркой швов</t>
  </si>
  <si>
    <t>100 м2 пола</t>
  </si>
  <si>
    <t>ТСН-2001.3. Доп. 1-42. Сб. 11, т. 36, поз. 1</t>
  </si>
  <si>
    <t>ТСН-2001.3-11. 11-36</t>
  </si>
  <si>
    <t>ТСН-2001.3-11-5</t>
  </si>
  <si>
    <t>27,1</t>
  </si>
  <si>
    <t>1.3-2-138</t>
  </si>
  <si>
    <t>Смеси сухие для заполнения швов между плитками, цветные</t>
  </si>
  <si>
    <t>ТСН-2001.1. Доп. 1-42. Р. 3, о. 2, поз. 138</t>
  </si>
  <si>
    <t>27,2</t>
  </si>
  <si>
    <t>1.3-2-136</t>
  </si>
  <si>
    <t>Смеси сухие (клеи) для облицовки стен и полов керамическими плитками и плитками из природного камня</t>
  </si>
  <si>
    <t>ТСН-2001.1. Доп. 1-42. Р. 3, о. 2, поз. 136</t>
  </si>
  <si>
    <t>27,3</t>
  </si>
  <si>
    <t>Плитки керамические, типа керамогранит, неполированные  300х300х8</t>
  </si>
  <si>
    <t>[1 460 / 1,2 /  8,65] +  2% Трансп</t>
  </si>
  <si>
    <t>27,4</t>
  </si>
  <si>
    <t>1.1-1-2398</t>
  </si>
  <si>
    <t>Плитка керамогранитная неполированная, универсальная, размер 300х300х8 мм, цвет: светло-серый, серый, светло-зеленый, бежевый</t>
  </si>
  <si>
    <t>ТСН-2001.1 Доп. 67, Р. 1, о. 1, поз. 2398</t>
  </si>
  <si>
    <t>28</t>
  </si>
  <si>
    <t>3.11-4-1</t>
  </si>
  <si>
    <t>Устройство первого слоя оклеечной гидроизоляции рулонными материалами на битумной мастике</t>
  </si>
  <si>
    <t>100 м2 изолируемой поверхности</t>
  </si>
  <si>
    <t>ТСН-2001.3. Доп. 1-42. Сб. 11, т. 4, поз. 1</t>
  </si>
  <si>
    <t>ТСН-2001.3-11. 11-4...11-11 (доп. 11)</t>
  </si>
  <si>
    <t>ТСН-2001.3-11-2</t>
  </si>
  <si>
    <t>28,1</t>
  </si>
  <si>
    <t>1.1-1-1016</t>
  </si>
  <si>
    <t>Материал рулонный кровельный, рубероид, марка РК-350, с крупнозернистой посыпкой</t>
  </si>
  <si>
    <t>ТСН-2001.1. Доп. 1-42. Р. 1, о. 1, поз. 1016</t>
  </si>
  <si>
    <t>29</t>
  </si>
  <si>
    <t>3.11-10-11</t>
  </si>
  <si>
    <t>Устройство самовыравнивающихся стяжек из специализированных сухих смесей толщиной 5 мм</t>
  </si>
  <si>
    <t>100 м2 стяжки</t>
  </si>
  <si>
    <t>ТСН-2001.3 Доп. 47, Сб. 11, т. 10, поз. 11</t>
  </si>
  <si>
    <t>ТСН-2001.3-11. 11-10-11, 11-10-12 (доп. 11)</t>
  </si>
  <si>
    <t>ТСН-2001.3-11-10</t>
  </si>
  <si>
    <t>29,1</t>
  </si>
  <si>
    <t>1.1-1-3258</t>
  </si>
  <si>
    <t>Грунтовка водно-дисперсионная на акриловых сополимерах с токопроводящими добавками</t>
  </si>
  <si>
    <t>ТСН-2001.1. Доп. 1-42. Р. 1, о. 1, поз. 3258</t>
  </si>
  <si>
    <t>29,2</t>
  </si>
  <si>
    <t>1.3-2-38</t>
  </si>
  <si>
    <t>Смеси сухие цементно-песчаные для устройства стяжки, самовыравнивающиеся, В15 (М200), F50</t>
  </si>
  <si>
    <t>ТСН-2001.1. Доп. 1-42. Р. 3, о. 2, поз. 38</t>
  </si>
  <si>
    <t>30</t>
  </si>
  <si>
    <t>30,1</t>
  </si>
  <si>
    <t>30,2</t>
  </si>
  <si>
    <t>30,3</t>
  </si>
  <si>
    <t>30,4</t>
  </si>
  <si>
    <t>Плитки керамические, типа керамогранит, неполированные, размер 30х30 см, толщина 8 мм, цвет: светло-серый, серый, светло-зеленый, бежевый</t>
  </si>
  <si>
    <t>ТСН-2001.1. Доп. 1-42. Р. 1, о. 1, поз. 2398</t>
  </si>
  <si>
    <t>31</t>
  </si>
  <si>
    <t>6.58-18-2</t>
  </si>
  <si>
    <t>Устройство настенных желобов из листовой стали</t>
  </si>
  <si>
    <t>100 м</t>
  </si>
  <si>
    <t>ТСН-2001.6. Доп. 1-42. Сб. 58, т. 18, поз. 2</t>
  </si>
  <si>
    <t>ТСН-2001.6-58. 58-6...58-33</t>
  </si>
  <si>
    <t>ТСН-2001.6-58-2</t>
  </si>
  <si>
    <t>31,1</t>
  </si>
  <si>
    <t>1.1-1-924</t>
  </si>
  <si>
    <t>Поковки строительные (скобы, закрепы, хомуты) простые, масса от 2,5 до 4 кг</t>
  </si>
  <si>
    <t>ТСН-2001.1. Доп. 1-42. Р. 1, о. 1, поз. 924</t>
  </si>
  <si>
    <t>31,2</t>
  </si>
  <si>
    <t>1.1-1-1079</t>
  </si>
  <si>
    <t>Сталь листовая, оцинкованная, толщина 0,5 мм</t>
  </si>
  <si>
    <t>ТСН-2001.1. Доп. 1-42. Р. 1, о. 1, поз. 1079</t>
  </si>
  <si>
    <t>32</t>
  </si>
  <si>
    <t>6.58-19-1</t>
  </si>
  <si>
    <t>Навеска водосточных труб с подмостей</t>
  </si>
  <si>
    <t>100 м труб</t>
  </si>
  <si>
    <t>ТСН-2001.6. Доп. 1-42. Сб. 58, т. 19, поз. 1</t>
  </si>
  <si>
    <t>32,1</t>
  </si>
  <si>
    <t>1.7-1-23</t>
  </si>
  <si>
    <t>Трубы водосточные из оцинкованной стали с полимерно-порошковым покрытием, С=0,5 мм, Р=220 мм</t>
  </si>
  <si>
    <t>ТСН-2001.1. Доп. 1-42. Р. 7, о. 1, поз. 23</t>
  </si>
  <si>
    <t>Прочие работы</t>
  </si>
  <si>
    <t>33</t>
  </si>
  <si>
    <t>6.68-13-1</t>
  </si>
  <si>
    <t>Механизированная погрузка строительного мусора в автомобили-самосвалы</t>
  </si>
  <si>
    <t>ТСН-2001.6. Доп. 1-42. Сб. 68, т. 13, поз. 1</t>
  </si>
  <si>
    <t>ТСН-2001.6-68. 68-13</t>
  </si>
  <si>
    <t>ТСН-2001.6-68-5</t>
  </si>
  <si>
    <t>34</t>
  </si>
  <si>
    <t>15.2-42-10</t>
  </si>
  <si>
    <t>Перевозка строительного мусора на расстояние до 42 км автосамосвалами грузоподъемностью до 10 т</t>
  </si>
  <si>
    <t>ТСН-2001.15 Доп. 54, Сб. 2, т. 42, поз. 10</t>
  </si>
  <si>
    <t>Транспортные затраты</t>
  </si>
  <si>
    <t>ТСН-2001.15-1. Перевозка строительного мусора</t>
  </si>
  <si>
    <t>ТСН-2001.15-1-5</t>
  </si>
  <si>
    <t>35</t>
  </si>
  <si>
    <t>15.1-1500-01</t>
  </si>
  <si>
    <t>Отходы (мусор) от строительных и ремонтных работ малоопасные</t>
  </si>
  <si>
    <t>ТСН-2001.15 Доп. 56, Сб. 1, т. 1500, поз. 1</t>
  </si>
  <si>
    <t>36</t>
  </si>
  <si>
    <t>15.1-1201-03</t>
  </si>
  <si>
    <t>Лом бетонных изделий, отходы бетона в кусковой форме, практически неопасные</t>
  </si>
  <si>
    <t>ТСН-2001.15 Доп. 56, Сб. 1, т. 1201, поз. 3</t>
  </si>
  <si>
    <t>02-01-03</t>
  </si>
  <si>
    <t>Конструктивные решения</t>
  </si>
  <si>
    <t>6.53-2-1</t>
  </si>
  <si>
    <t>Разборка кладки стен из кирпича простых</t>
  </si>
  <si>
    <t>10 м3 кладки</t>
  </si>
  <si>
    <t>ТСН-2001.6. Доп. 1-42. Сб. 53, т. 2, поз. 1</t>
  </si>
  <si>
    <t>Поправка: ТСН-2001.6-53. р3. п.3.1.1  Наименование: При разборке без сохранения материалов кладки стен из кирпича</t>
  </si>
  <si>
    <t>)*0,33</t>
  </si>
  <si>
    <t>ТСН-2001.6-53. 53-1, 53-2</t>
  </si>
  <si>
    <t>ТСН-2001.6-53-1</t>
  </si>
  <si>
    <t>Поправка: ТСН-2001.6-53. р3. п.3.1.1</t>
  </si>
  <si>
    <t>1,1</t>
  </si>
  <si>
    <t>3.9-61-1</t>
  </si>
  <si>
    <t>Изготовление решетчатых конструкций (стойки, опоры, фермы и прочие)</t>
  </si>
  <si>
    <t>ТСН-2001.3 Доп. 59, Сб. 9, т. 61, поз. 1</t>
  </si>
  <si>
    <t>3.8-1-1</t>
  </si>
  <si>
    <t>Устройство песчаного основания под фундаменты</t>
  </si>
  <si>
    <t>1 м3 основания</t>
  </si>
  <si>
    <t>ТСН-2001.3. Доп. 1-42. Сб. 8, т. 1, поз. 1</t>
  </si>
  <si>
    <t>ТСН-2001.3-8. 8-1</t>
  </si>
  <si>
    <t>ТСН-2001.3-8-1</t>
  </si>
  <si>
    <t>3.8-1-2</t>
  </si>
  <si>
    <t>Устройство щебеночного основания под фундаменты</t>
  </si>
  <si>
    <t>ТСН-2001.3. Доп. 1-42. Сб. 8, т. 1, поз. 2</t>
  </si>
  <si>
    <t>1.1-1-1518</t>
  </si>
  <si>
    <t>Щебень из естественного камня для строительных работ, марка 300-200, фракция 5-10 мм</t>
  </si>
  <si>
    <t>ТСН-2001.1. Доп. 1-42. Р. 1, о. 1, поз. 1518</t>
  </si>
  <si>
    <t>3.6-1-15</t>
  </si>
  <si>
    <t>Устройство фундаментных плит железобетонных плоских</t>
  </si>
  <si>
    <t>100 м3 в деле</t>
  </si>
  <si>
    <t>ТСН-2001.3 Доп. 56, Сб. 6, т. 1, поз. 15</t>
  </si>
  <si>
    <t>ТСН-2001.3-6. 6-1...6-13</t>
  </si>
  <si>
    <t>ТСН-2001.3-6-1</t>
  </si>
  <si>
    <t>1.3-4-20</t>
  </si>
  <si>
    <t>Арматурные заготовки (стержни, хомуты и т.п.), не собранные в каркасы или сетки, арматурная сталь периодического профиля, класс А-III, диаметр 8 мм</t>
  </si>
  <si>
    <t>5,2</t>
  </si>
  <si>
    <t>1.3-4-22</t>
  </si>
  <si>
    <t>Арматурные заготовки (стержни, хомуты и т.п.), не собранные в каркасы или сетки, арматурная сталь периодического профиля, класс А-III, диаметр 12-14 мм</t>
  </si>
  <si>
    <t>5,3</t>
  </si>
  <si>
    <t>1.3-1-151</t>
  </si>
  <si>
    <t>Смеси бетонные, БСГ, тяжелого бетона на гранитном щебне, фракция 5-20, класс прочности В20 (М250); П4, F75, W4</t>
  </si>
  <si>
    <t>3.9-35-3</t>
  </si>
  <si>
    <t>Монтаж мелких конструкций из стали различного профиля массой до 100 кг</t>
  </si>
  <si>
    <t>ТСН-2001.3. Доп. 1-42. Сб. 9, т. 35, поз. 3</t>
  </si>
  <si>
    <t>1.1-1-1147</t>
  </si>
  <si>
    <t>Швеллер для строительных стальных конструкций, №№ 12-40, сталь С235, С245</t>
  </si>
  <si>
    <t>ТСН-2001.1 Доп. 48, Р. 1, о. 1, поз. 1147</t>
  </si>
  <si>
    <t>3.9-20-1</t>
  </si>
  <si>
    <t>Монтаж площадок с настилом и ограждением из листовой, рифленой, просечной и круглой стали</t>
  </si>
  <si>
    <t>ТСН-2001.3 Доп. 53, Сб. 9, т. 20, поз. 1</t>
  </si>
  <si>
    <t>7,1</t>
  </si>
  <si>
    <t>1.7-5-260</t>
  </si>
  <si>
    <t>Анкер забивной, стальной, оцинкованный, для установки в сжатой зоне бетона, внутренняя резьба М10, диаметр 12 мм, длина 40 мм</t>
  </si>
  <si>
    <t>100 шт.</t>
  </si>
  <si>
    <t>7,2</t>
  </si>
  <si>
    <t>1.1-1-2284</t>
  </si>
  <si>
    <t>Профили стальные электросварные квадратного сечения трубчатые, размер стороны 60 мм, толщина стенки 3 мм</t>
  </si>
  <si>
    <t>7,3</t>
  </si>
  <si>
    <t>1.1-1-1146</t>
  </si>
  <si>
    <t>Швеллер для строительных стальных конструкций, №№ 5-10, сталь С235, С245</t>
  </si>
  <si>
    <t>7,4</t>
  </si>
  <si>
    <t>1.1-1-1120</t>
  </si>
  <si>
    <t>Уголок равнополочный, для строительных стальных конструкций, ширина полки 35-70 мм, сталь С235, С245</t>
  </si>
  <si>
    <t>7,5</t>
  </si>
  <si>
    <t>1.1-1-1105</t>
  </si>
  <si>
    <t>Прокат листовой для строительных стальных конструкций, толщина более 3 мм, сталь С235, С245</t>
  </si>
  <si>
    <t>7,6</t>
  </si>
  <si>
    <t>1.6-1-216</t>
  </si>
  <si>
    <t>Площадки с настилом из листовой, рифленой, просечной или круглой стали, каркасами и элементами жесткости из прокатных и гнутых профилей, прямоугольные и трапециевидные</t>
  </si>
  <si>
    <t>7,7</t>
  </si>
  <si>
    <t>1.6-1-271</t>
  </si>
  <si>
    <t>Отдельные конструктивные элементы с преобладанием горячекатаных профилей, средняя масса сборочной единицы от 0,11 до 0,5 т</t>
  </si>
  <si>
    <t>ТСН-2001.1. Доп. 1-42. Р. 6, о. 1, поз. 271</t>
  </si>
  <si>
    <t>1.1-1-987</t>
  </si>
  <si>
    <t>Пропан-бутан газообразный</t>
  </si>
  <si>
    <t>ТСН-2001.1. Доп. 1-42. Р. 1, о. 1, поз. 987</t>
  </si>
  <si>
    <t>8,2</t>
  </si>
  <si>
    <t>Ограждение из нержавеющей стали с вертикальным заполнением с шагом не более 100мм с двухуровневым поручнем (Н=900мм)L=12,5п.м.</t>
  </si>
  <si>
    <t>[8 000 / 1,2 /  8,65] +  2% Трансп</t>
  </si>
  <si>
    <t>8,3</t>
  </si>
  <si>
    <t>1.12-6-9</t>
  </si>
  <si>
    <t>Трубы стальные электросварные прямошовные, ГОСТ 10705-80, ГОСТ 10704-91, наружный диаметр 38 мм, толщина стенки 1,5 мм</t>
  </si>
  <si>
    <t>ТСН-2001.1. Доп. 1-42. Р. 12, о. 6, поз. 9</t>
  </si>
  <si>
    <t>8,4</t>
  </si>
  <si>
    <t>1.12-6-2</t>
  </si>
  <si>
    <t>Трубы стальные электросварные прямошовные, ГОСТ 10705-80, ГОСТ 10704-91, наружный диаметр 15 мм, толщина стенки 1,5 мм</t>
  </si>
  <si>
    <t>ТСН-2001.1. Доп. 1-42. Р. 12, о. 6, поз. 2</t>
  </si>
  <si>
    <t>8,5</t>
  </si>
  <si>
    <t>1.1-1-1135</t>
  </si>
  <si>
    <t>Уголок неравнополочный, для строительных стальных конструкций, ширина большей полки 40-80 мм, сталь С235, С245</t>
  </si>
  <si>
    <t>8,6</t>
  </si>
  <si>
    <t>8,7</t>
  </si>
  <si>
    <t>1.1-1-376</t>
  </si>
  <si>
    <t>Кислород технический газообразный</t>
  </si>
  <si>
    <t>ТСН-2001.1. Доп. 1-42. Р. 1, о. 1, поз. 376</t>
  </si>
  <si>
    <t>1.7-5-198</t>
  </si>
  <si>
    <t>Анкер клиновой, стальной, оцинкованный, для установки в pастянутой и сжатой зоне бетона, диаметр 8 мм, длина 95 мм, максимальная толщина закрепляемой детали при стандартной/уменьшенной глубине анкеровки 30/41 мм</t>
  </si>
  <si>
    <t>ТСН-2001.1 Доп. 53, Р. 7, о. 5, поз. 198</t>
  </si>
  <si>
    <t>12,1</t>
  </si>
  <si>
    <t>1.3-4-19</t>
  </si>
  <si>
    <t>Арматурные заготовки (стержни, хомуты и т.п.), не собранные в каркасы или сетки, арматурная сталь периодического профиля, класс А-III, диаметр 6-7 мм</t>
  </si>
  <si>
    <t>ТСН-2001.1. Доп. 1-42. Р. 3, о. 4, поз. 19</t>
  </si>
  <si>
    <t>12,2</t>
  </si>
  <si>
    <t>ТСН-2001.1. Доп. 1-42. Р. 3, о. 1, поз. 151</t>
  </si>
  <si>
    <t>3.13-9-2</t>
  </si>
  <si>
    <t>Огрунтовка металлических поверхностей грунтовкой ГФ-021 за один раз</t>
  </si>
  <si>
    <t>ТСН-2001.3. Доп. 1-42. Сб. 13, т. 9, поз. 2</t>
  </si>
  <si>
    <t>ТСН-2001.3-13. 13-1...13-16, 13-17-1...13-17-4</t>
  </si>
  <si>
    <t>ТСН-2001.3-13-1</t>
  </si>
  <si>
    <t>1.1-1-165</t>
  </si>
  <si>
    <t>Грунтовка глифталевая, ГФ-021</t>
  </si>
  <si>
    <t>ТСН-2001.1. Доп. 1-42. Р. 1, о. 1, поз. 165</t>
  </si>
  <si>
    <t>3.13-11-8</t>
  </si>
  <si>
    <t>Окраска огрунтованных металлических поверхностей эмалями ПФ-115</t>
  </si>
  <si>
    <t>ТСН-2001.3 Доп. 47, Сб. 13, т. 11, поз. 8</t>
  </si>
  <si>
    <t>ТСН-2001.3-13. 13-11-8 (доп. 12)</t>
  </si>
  <si>
    <t>ТСН-2001.3-13-9</t>
  </si>
  <si>
    <t>02-01-04</t>
  </si>
  <si>
    <t>Система связи</t>
  </si>
  <si>
    <t>4.10-174-2</t>
  </si>
  <si>
    <t>Камеры видеонаблюдения, наружная</t>
  </si>
  <si>
    <t>10 шт.</t>
  </si>
  <si>
    <t>ТСН-2001.4. Доп. 1-42. Сб. 10, т. 174, поз. 2</t>
  </si>
  <si>
    <t>Монтаж оборудования</t>
  </si>
  <si>
    <t>ТСН-2001.4-10. 10-174 (доп. 28)</t>
  </si>
  <si>
    <t>ТСН-2001.4-10-21</t>
  </si>
  <si>
    <t>4.10-175-1</t>
  </si>
  <si>
    <t>Регистратор домовой</t>
  </si>
  <si>
    <t>ТСН-2001.4. Доп. 1-42. Сб. 10, т. 175, поз. 1</t>
  </si>
  <si>
    <t>ТСН-2001.4-10. 10-175…10-177 (доп. 31)</t>
  </si>
  <si>
    <t>ТСН-2001.4-10-22</t>
  </si>
  <si>
    <t>4.10-19-6</t>
  </si>
  <si>
    <t>Отдельно устанавливаемые преобразователь или блок питания</t>
  </si>
  <si>
    <t>ТСН-2001.4. Доп. 1-42. Сб. 10, т. 19, поз. 6</t>
  </si>
  <si>
    <t>ТСН-2001.4-10. 10-1...10-91</t>
  </si>
  <si>
    <t>ТСН-2001.4-10-1</t>
  </si>
  <si>
    <t>4.11-7-1</t>
  </si>
  <si>
    <t>Аппаратура настольная, аппарат настольный массой до 0,015 т</t>
  </si>
  <si>
    <t>ТСН-2001.4. Доп. 1-42. Сб. 11, т. 7, поз. 1</t>
  </si>
  <si>
    <t>ТСН-2001.4-11. 11-1...11-30</t>
  </si>
  <si>
    <t>ТСН-2001.4-11-1</t>
  </si>
  <si>
    <t>4.10-82-1</t>
  </si>
  <si>
    <t>Приборы и устройства сигнализарующие объектовые, прибор сигнализирующий емкостной</t>
  </si>
  <si>
    <t>ТСН-2001.4. Доп. 1-42. Сб. 10, т. 82, поз. 1</t>
  </si>
  <si>
    <t>4.10-76-7</t>
  </si>
  <si>
    <t>Громкоговоритель или звуковая колонка в помещении</t>
  </si>
  <si>
    <t>ТСН-2001.4. Доп. 1-42. Сб. 10, т. 76, поз. 7</t>
  </si>
  <si>
    <t>3.9-65-1</t>
  </si>
  <si>
    <t>Установка номерных табличек для квартир</t>
  </si>
  <si>
    <t>ТСН-2001.3. Доп. 1-42. Сб. 9, т. 65, поз. 1</t>
  </si>
  <si>
    <t>1.1-1-2614</t>
  </si>
  <si>
    <t>Знаки безопасности и эвакуационные указатели из пленки самоклеящейся к светильникам, тип НПУ-3000</t>
  </si>
  <si>
    <t>ТСН-2001.1. Доп. 1-42. Р. 1, о. 1, поз. 2614</t>
  </si>
  <si>
    <t>MP-010R2 Табличка тактильная с пиктограммой "SOS с трубкой" (150x150мм) красный фон</t>
  </si>
  <si>
    <t>[690 / 1,2 /  8,65] +  2% Трансп</t>
  </si>
  <si>
    <t>4.8-245-10</t>
  </si>
  <si>
    <t>Светильники для ламп накаливания, световые настенные указатели</t>
  </si>
  <si>
    <t>ТСН-2001.4. Доп. 1-42. Сб. 8, т. 245, поз. 10</t>
  </si>
  <si>
    <t>ТСН-2001.4-8. 8-188...8-272</t>
  </si>
  <si>
    <t>ТСН-2001.4-8-18</t>
  </si>
  <si>
    <t>4.10-59-3</t>
  </si>
  <si>
    <t>Детали на пультах и панелях - кнопка</t>
  </si>
  <si>
    <t>ТСН-2001.4. Доп. 1-42. Сб. 10, т. 59, поз. 3</t>
  </si>
  <si>
    <t>MP-010R1 Табличка тактильная с пиктограммой "SOS" (150x150мм) красный фон</t>
  </si>
  <si>
    <t>4.8-251-9</t>
  </si>
  <si>
    <t>Щитки осветительные, устанавливаемые на стене распорными дюбелями, масса щитка до 6 кг</t>
  </si>
  <si>
    <t>ТСН-2001.4. Доп. 1-42. Сб. 8, т. 251, поз. 9</t>
  </si>
  <si>
    <t>1.21-4-255</t>
  </si>
  <si>
    <t>Щит групповой, навесной, 9 модулей, степень защиты IР40, размер 160х222х93 мм, из АБС-пластика, с дверцей, с монтажной рейкой, с шиной N(PE), без аппаратов</t>
  </si>
  <si>
    <t>ТСН-2001.1 Доп. 52, Р. 21, о. 4, поз. 255</t>
  </si>
  <si>
    <t>4.8-280-2</t>
  </si>
  <si>
    <t>Прокладка пластикового кабель-канала по бетонному основанию</t>
  </si>
  <si>
    <t>ТСН-2001.4. Доп. 1-42. Сб. 8, т. 280, поз. 2</t>
  </si>
  <si>
    <t>ТСН-2001.4-8. 8-280, 8-281</t>
  </si>
  <si>
    <t>ТСН-2001.4-8-20</t>
  </si>
  <si>
    <t>1.1-1-3169</t>
  </si>
  <si>
    <t>Кабель-каналы, размер 25х17 мм, кабель-каналы</t>
  </si>
  <si>
    <t>ТСН-2001.1. Доп. 1-42. Р. 1, о. 1, поз. 3169</t>
  </si>
  <si>
    <t>4.8-172-1</t>
  </si>
  <si>
    <t>Трубы винипластовые по установленным конструкциям, по стенам и колоннам с креплением скобами, внутренний диаметр до 25 мм</t>
  </si>
  <si>
    <t>ТСН-2001.4. Доп. 1-42. Сб. 8, т. 172, поз. 1</t>
  </si>
  <si>
    <t>ТСН-2001.4-8. 8-155...8-184</t>
  </si>
  <si>
    <t>ТСН-2001.4-8-16</t>
  </si>
  <si>
    <t>1.12-5-41</t>
  </si>
  <si>
    <t>Трубы поливинилхлоридные для электропроводок, гладкие, усиленного типа из отходов ПВХ, наружный диаметр 16 мм, толщина стенки 1,2 мм</t>
  </si>
  <si>
    <t>ТСН-2001.1. Доп. 1-42. Р. 12, о. 5, поз. 41</t>
  </si>
  <si>
    <t>4.8-174-1</t>
  </si>
  <si>
    <t>Рукава металлические и вводы гибкие, рукав, наружный диаметр до 48 мм</t>
  </si>
  <si>
    <t>ТСН-2001.4. Доп. 1-42. Сб. 8, т. 174, поз. 1</t>
  </si>
  <si>
    <t>Металлорукав 10 мм в ПВХ черный (6071-010N) DKC</t>
  </si>
  <si>
    <t>[125 / 1,2 /  8,65] +  2% Трансп</t>
  </si>
  <si>
    <t>4.8-162-1</t>
  </si>
  <si>
    <t>Провода и кабели в коробах, провод, сечением до 6 мм2</t>
  </si>
  <si>
    <t>ТСН-2001.4. Доп. 1-42. Сб. 8, т. 162, поз. 1</t>
  </si>
  <si>
    <t>1.23-4-290</t>
  </si>
  <si>
    <t>Кабели высокочастотные с медными жилами с полиэтиленовой изоляцией в оболочке из поливинилхлоридного пластиката, без экрана, марка КВП (ParLan U/UTP) cat 5e, число элементов и диаметр жилы 2х2х0,5 мм</t>
  </si>
  <si>
    <t>км</t>
  </si>
  <si>
    <t>ТСН-2001.1. Доп. 1-42. Р. 23, о. 4, поз. 290</t>
  </si>
  <si>
    <t>1.23-4-291</t>
  </si>
  <si>
    <t>Кабели высокочастотные с медными жилами с полиэтиленовой изоляцией в оболочке из поливинилхлоридного пластиката, без экрана, марка КВП (ParLan U/UTP) cat 5e, число элементов и диаметр жилы 4х2х0,5 мм</t>
  </si>
  <si>
    <t>ТСН-2001.1. Доп. 1-42. Р. 23, о. 4, поз. 291</t>
  </si>
  <si>
    <t>4.8-175-2</t>
  </si>
  <si>
    <t>Затягивание проводов и кабелей в проложенные трубы и металлические рукава, провод первый одножильный или многожильный в общей оплетке, суммарное сечение до 6 мм2</t>
  </si>
  <si>
    <t>ТСН-2001.4. Доп. 1-42. Сб. 8, т. 175, поз. 2</t>
  </si>
  <si>
    <t>Оборудование</t>
  </si>
  <si>
    <t>IP-камера видеонаблюдения уличная в стандартном исполнении RVi-IPC41S V.2 (2.8 мм)</t>
  </si>
  <si>
    <t>МКЕ материалы Строительные</t>
  </si>
  <si>
    <t>МКЕ строит.</t>
  </si>
  <si>
    <t>[4 840 / 1,2 /  8,65] +  2% Трансп</t>
  </si>
  <si>
    <t>IP видеорегистратор 4 канальный RVi-IPN4/1-4P</t>
  </si>
  <si>
    <t>[9 350 / 1,2 /  8,65] +  2% Трансп</t>
  </si>
  <si>
    <t>13.1-1-60</t>
  </si>
  <si>
    <t>Источник бесперебойного питания, напольный, мощность 550 ВА/330Вт. Внутренние АКБ, номинальное напряжение 230 В, время автономной работы до 10 мин., рабочая температура от 0 до +40°C, габаритные размеры 140х335х86 мм</t>
  </si>
  <si>
    <t>ТСН-2001.13-2. Доп. 22. 13.1-1-60</t>
  </si>
  <si>
    <t>Сметная стоимость оборудования</t>
  </si>
  <si>
    <t>ТСН-2001.13-1.</t>
  </si>
  <si>
    <t>ТСН-2001.13-1-1</t>
  </si>
  <si>
    <t>Монитор Hikvision DS-D5027FN 27" для видеонаблюдения</t>
  </si>
  <si>
    <t>[16 466 / 1,2 /  8,65] +  2% Трансп</t>
  </si>
  <si>
    <t>GC-1006DG Пульт селекторной связи на 6 абонента</t>
  </si>
  <si>
    <t>[16 960 / 1,2 /  8,65] +  2% Трансп</t>
  </si>
  <si>
    <t>Абонентское переговорное устройство GC-2001P1</t>
  </si>
  <si>
    <t>[9 870 / 1,2 /  8,65] +  2% Трансп</t>
  </si>
  <si>
    <t>GC-2001W3 абонентское громкоговорящее устройство</t>
  </si>
  <si>
    <t>[4 140 / 1,2 /  8,65] +  2% Трансп</t>
  </si>
  <si>
    <t>GC-0611W2 Сигнальная лампа</t>
  </si>
  <si>
    <t>[4 020 / 1,2 /  8,65] +  2% Трансп</t>
  </si>
  <si>
    <t>GC-0421W1 Кнопка сброса</t>
  </si>
  <si>
    <t>[1 210 / 1,2 /  8,65] +  2% Трансп</t>
  </si>
  <si>
    <t>GC-0423W1 Проводная влагозащищенная кнопка вызова со шнуром.</t>
  </si>
  <si>
    <t>[2 720 / 1,2 /  8,65] +  2% Трансп</t>
  </si>
  <si>
    <t>02-01-05</t>
  </si>
  <si>
    <t>Система электроснабжения</t>
  </si>
  <si>
    <t>6.67-7-3</t>
  </si>
  <si>
    <t>Демонтаж осветительных приборов, светильники с лампами накаливания</t>
  </si>
  <si>
    <t>ТСН-2001.6. Доп. 1-42. Сб. 67, т. 7, поз. 3</t>
  </si>
  <si>
    <t>ТСН-2001.6-67. 67-1...67-8</t>
  </si>
  <si>
    <t>ТСН-2001.6-67-1</t>
  </si>
  <si>
    <t>6.67-6-1</t>
  </si>
  <si>
    <t>Демонтаж кабеля</t>
  </si>
  <si>
    <t>ТСН-2001.6. Доп. 1-42. Сб. 67, т. 6, поз. 1</t>
  </si>
  <si>
    <t>4.8-218-1</t>
  </si>
  <si>
    <t>Выключатели установочные автоматические (автоматы) или неавтоматические, автомат одно-,двух-,трехполюсный, устанавливаемый на конструкции на стене или колонне на ток до 25 А</t>
  </si>
  <si>
    <t>ТСН-2001.4. Доп. 1-42. Сб. 8, т. 218, поз. 1</t>
  </si>
  <si>
    <t>Поправка: ТСН-2001.4-8. о3. р3. п.6  Наименование: При монтаже выключателей автоматических, выключателей нагрузки (рубильников) на рейку</t>
  </si>
  <si>
    <t>)*0,8</t>
  </si>
  <si>
    <t>Поправка: ТСН-2001.4-8. о3. р3. п.6</t>
  </si>
  <si>
    <t>1.21-5-1130</t>
  </si>
  <si>
    <t>Выключатели автоматические, на ток до 100 А, тип ВА 47-100, однополюсные</t>
  </si>
  <si>
    <t>ТСН-2001.1. Доп. 1-42. Р. 21, о. 5, поз. 1130</t>
  </si>
  <si>
    <t>4.8-246-1</t>
  </si>
  <si>
    <t>Светильники с люминесцентными лампами, светильник отдельно устанавливаемый на штырях с количеством ламп в светильнике 1</t>
  </si>
  <si>
    <t>ТСН-2001.4. Доп. 1-42. Сб. 8, т. 246, поз. 1</t>
  </si>
  <si>
    <t>Светодиодный светильник "ВАРТОН" ЖКХ круг IP65 185*70 мм антивандальный 10 ВТ (диод 0,1Вт) 4000К</t>
  </si>
  <si>
    <t>[1 667 / 1,2 /  8,65] +  2% Трансп</t>
  </si>
  <si>
    <t>4,2</t>
  </si>
  <si>
    <t>Светильник ДБО-85-16-001 Tablette 840, 1407Лм, IP65</t>
  </si>
  <si>
    <t>[8 008 / 1,2 /  8,65] +  2% Трансп</t>
  </si>
  <si>
    <t>4,3</t>
  </si>
  <si>
    <t>Светильник ДБО-85-16-041 Tablette EM1 850, 1407мм, IP65 с блоком аварийного питания</t>
  </si>
  <si>
    <t>[11 728 / 1,2 /  8,65] +  2% Трансп</t>
  </si>
  <si>
    <t>1.22-4-15</t>
  </si>
  <si>
    <t>Указатели световые светодиодные, степень защиты IP20, тип ДБО 02-1-006, с аккумулятором</t>
  </si>
  <si>
    <t>ТСН-2001.1. Доп. 1-42. Р. 22, о. 4, поз. 15</t>
  </si>
  <si>
    <t>4.10-59-2</t>
  </si>
  <si>
    <t>Детали на пультах и панелях - реле</t>
  </si>
  <si>
    <t>ТСН-2001.4. Доп. 1-42. Сб. 10, т. 59, поз. 2</t>
  </si>
  <si>
    <t>Фотореле ФР601 2200ВА IP44 серый максимальная нагрузка 1100Вт (LFR20-601-2200-003)</t>
  </si>
  <si>
    <t>[237,86 / 1,2 /  8,65] +  2% Трансп</t>
  </si>
  <si>
    <t>1.21-5-185</t>
  </si>
  <si>
    <t>Коробки ответвительные, тип КРП-1 УХЛ4, размеры 52х109х109 мм</t>
  </si>
  <si>
    <t>ТСН-2001.1. Доп. 1-42. Р. 21, о. 5, поз. 185</t>
  </si>
  <si>
    <t>Клеммная колодка WAGO 273-503</t>
  </si>
  <si>
    <t>[32 / 1,2 /  8,65] +  2% Трансп</t>
  </si>
  <si>
    <t>1.12-5-42</t>
  </si>
  <si>
    <t>Трубы поливинилхлоридные для электропроводок, гладкие, усиленного типа из отходов ПВХ, наружный диаметр 20 мм, толщина стенки 1,5 мм</t>
  </si>
  <si>
    <t>ТСН-2001.1. Доп. 1-42. Р. 12, о. 5, поз. 42</t>
  </si>
  <si>
    <t>ДКС 6071R-015N Металлорукав DN 15мм в ПВХ изоляции</t>
  </si>
  <si>
    <t>[149 / 1,2 /  8,65] +  2% Трансп</t>
  </si>
  <si>
    <t>1.23-8-755</t>
  </si>
  <si>
    <t>ТСН-2001.1. Доп. 1-42. Р. 23, о. 8, поз. 755</t>
  </si>
  <si>
    <t>ВВГнг(А)-LSLTx 2х1,5 -1 кВ (ГОСТ)</t>
  </si>
  <si>
    <t>[55 / 1,2 /  8,65] +  2% Трансп</t>
  </si>
  <si>
    <t>11,2</t>
  </si>
  <si>
    <t>1.23-8-770</t>
  </si>
  <si>
    <t>ТСН-2001.1. Доп. 1-42. Р. 23, о. 8, поз. 770</t>
  </si>
  <si>
    <t>11,3</t>
  </si>
  <si>
    <t>1.23-8-769</t>
  </si>
  <si>
    <t>ТСН-2001.1. Доп. 1-42. Р. 23, о. 8, поз. 769</t>
  </si>
  <si>
    <t>11,4</t>
  </si>
  <si>
    <t>ВВГнг(А)-FRLSLTx 4* 1,5 ГОСТ</t>
  </si>
  <si>
    <t>[89 / 1,2 /  8,65] +  2% Трансп</t>
  </si>
  <si>
    <t>4.8-162-2</t>
  </si>
  <si>
    <t>Провода и кабели в коробах, провод, сечением до 35 мм2</t>
  </si>
  <si>
    <t>ТСН-2001.4. Доп. 1-42. Сб. 8, т. 162, поз. 2</t>
  </si>
  <si>
    <t>1.23-8-756</t>
  </si>
  <si>
    <t>ТСН-2001.1. Доп. 1-42. Р. 23, о. 8, поз. 756</t>
  </si>
  <si>
    <t>4.8-243-8</t>
  </si>
  <si>
    <t>Розетка штепсельная неутопленного типа при открытой проводке</t>
  </si>
  <si>
    <t>ТСН-2001.4. Доп. 1-42. Сб. 8, т. 243, поз. 8</t>
  </si>
  <si>
    <t>1.21-5-382</t>
  </si>
  <si>
    <t>Розетка штепсельная, двухместная открытой установки, 10 А, 250 В, тип РА 10-386</t>
  </si>
  <si>
    <t>ТСН-2001.1 Доп. 56, Р. 21, о. 5, поз. 382</t>
  </si>
  <si>
    <t>4.8-243-1</t>
  </si>
  <si>
    <t>Выключатель одноклавишный неутопленного типа при открытой проводке</t>
  </si>
  <si>
    <t>ТСН-2001.4. Доп. 1-42. Сб. 8, т. 243, поз. 1</t>
  </si>
  <si>
    <t>1.21-5-1060</t>
  </si>
  <si>
    <t>Выключатель, напряжение 250 В, сила тока 10 А, открытой установки, степень защиты IP44, одноклавишный, тип ВА10-041</t>
  </si>
  <si>
    <t>ТСН-2001.1 Доп. 55, Р. 21, о. 5, поз. 1060</t>
  </si>
  <si>
    <t>02-01-06</t>
  </si>
  <si>
    <t>Система водоснабжения и водоотведения</t>
  </si>
  <si>
    <t>6.65-4-1</t>
  </si>
  <si>
    <t>Демонтаж санитарно-технических приборов умывальников или раковин</t>
  </si>
  <si>
    <t>100 компл.</t>
  </si>
  <si>
    <t>ТСН-2001.6. Доп. 1-42. Сб. 65, т. 4, поз. 1</t>
  </si>
  <si>
    <t>ТСН-2001.6-65. 65-1...65-4</t>
  </si>
  <si>
    <t>ТСН-2001.6-65-1</t>
  </si>
  <si>
    <t>6.65-4-3</t>
  </si>
  <si>
    <t>Демонтаж санитарно-технических приборов унитазов со смывным бачком</t>
  </si>
  <si>
    <t>ТСН-2001.6. Доп. 1-42. Сб. 65, т. 4, поз. 3</t>
  </si>
  <si>
    <t>3.16-14-2</t>
  </si>
  <si>
    <t>Прокладка трубопроводов из напорных полиэтиленовых труб, наружным диаметром до 20 мм</t>
  </si>
  <si>
    <t>100 м трубопроводов</t>
  </si>
  <si>
    <t>ТСН-2001.3 Доп. 61, Сб. 16, т. 14, поз. 2</t>
  </si>
  <si>
    <t>Поправка: ТСН-2001.6. О.П. п.23.5  Наименование: Демонтаж. Наружных сетей водопровода, канализации, теплоснабжения и газоснабжения</t>
  </si>
  <si>
    <t>)*0</t>
  </si>
  <si>
    <t>ТСН-2001.3-16. 16-5...16-14 (доп. 26)</t>
  </si>
  <si>
    <t>ТСН-2001.3-16-10</t>
  </si>
  <si>
    <t>Поправка: ТСН-2001.6. О.П. п.23.5</t>
  </si>
  <si>
    <t>3.16-13-2</t>
  </si>
  <si>
    <t>Прокладка трубопроводов канализации из ПВХ труб диаметром 100 мм - 150 мм</t>
  </si>
  <si>
    <t>ТСН-2001.3. Доп. 1-42. Сб. 16, т. 13, поз. 2</t>
  </si>
  <si>
    <t>Внутренние сети В1, Т3, В2</t>
  </si>
  <si>
    <t>1.12-5-159</t>
  </si>
  <si>
    <t>Трубы напорные PN20 (номинальное давление 20 атм) из полипропилена PPRC, наружный диаметр 20 мм</t>
  </si>
  <si>
    <t>1.12-5-204</t>
  </si>
  <si>
    <t>Тройник переходной из сополимера полипропилена "Рандом Сополимер" PP-R тип 3 (PRC-R), диаметр 20-16-20 мм</t>
  </si>
  <si>
    <t>1.12-5-178</t>
  </si>
  <si>
    <t>Угольник 90° из сополимера полипропилена "Рандом Сополимер" PP-R тип 3 (PRC-R), наружный диаметр 20 мм</t>
  </si>
  <si>
    <t>5,4</t>
  </si>
  <si>
    <t>1.12-5-169</t>
  </si>
  <si>
    <t>Муфта соединительная из сополимера полипропилена "Рандом Сополимер" PP-R тип 3 (PRC-R), наружный диаметр 20 мм</t>
  </si>
  <si>
    <t>5,5</t>
  </si>
  <si>
    <t>1.12-5-194</t>
  </si>
  <si>
    <t>Муфта комбинированная из сополимера полипропилена "Рандом Сополимер" PP-R тип 3 (PRC-R), наружная резьба, диаметр 20-32 мм</t>
  </si>
  <si>
    <t>5,6</t>
  </si>
  <si>
    <t>1.12-5-200</t>
  </si>
  <si>
    <t>Муфта комбинированная разъемная из сополимера полипропилена "Рандом Сополимер" PP-R тип 3 (PRC-R), наружная резьба, диаметр 20-32 мм</t>
  </si>
  <si>
    <t>5,7</t>
  </si>
  <si>
    <t>1.12-5-939</t>
  </si>
  <si>
    <t>Уголок полипропиленовый PP-R, комбинированный с металлом, с настенным креплением, для полипропиленовых труб, наружная резьба, PN 25, диаметр 20 мм - 1/2"</t>
  </si>
  <si>
    <t>5,8</t>
  </si>
  <si>
    <t>1.12-5-351</t>
  </si>
  <si>
    <t>Колена обводные из полипропилена PP-R80, для трубопроводов холодного и горячего водоснабжения, отопления, диаметр 20 мм</t>
  </si>
  <si>
    <t>5,9</t>
  </si>
  <si>
    <t>1.12-5-970</t>
  </si>
  <si>
    <t>Крепление-клипса полипропиленовая PP-R, одинарная (опора), для полипропиленовых труб, PN 25, диаметр 20 мм</t>
  </si>
  <si>
    <t>3.26-16-1</t>
  </si>
  <si>
    <t>Изоляция трубопроводов изделиями из вспененного каучука, вспененного полиэтилена, трубками</t>
  </si>
  <si>
    <t>10 м изоляции</t>
  </si>
  <si>
    <t>ТСН-2001.3. Доп. 1-42. Сб. 26, т. 16, поз. 1</t>
  </si>
  <si>
    <t>ТСН-2001.3-26. 26-1...26-54</t>
  </si>
  <si>
    <t>ТСН-2001.3-26-1</t>
  </si>
  <si>
    <t>1.1-1-516</t>
  </si>
  <si>
    <t>Лента из вспененного синтетического каучука, самоклеящаяся, для продольных и поперечных швов теплоизоляции, ширина 50 мм, толщина 3 мм</t>
  </si>
  <si>
    <t>ТСН-2001.1 Доп. 50, Р. 1, о. 1, поз. 516</t>
  </si>
  <si>
    <t>6,2</t>
  </si>
  <si>
    <t>1.1-1-3132</t>
  </si>
  <si>
    <t>ТСН-2001.1 Доп. 51, Р. 1, о. 1, поз. 3132</t>
  </si>
  <si>
    <t>6,3</t>
  </si>
  <si>
    <t>1.1-1-386</t>
  </si>
  <si>
    <t>Клей контактный, на основе полихлоропренового каучука, без ароматических растворителей, температура эксплуатации от -50 до +105°С, для склеивания гибких теплоизоляционных материалов</t>
  </si>
  <si>
    <t>л</t>
  </si>
  <si>
    <t>ТСН-2001.1 Доп. 55, Р. 1, о. 1, поз. 386</t>
  </si>
  <si>
    <t>3.16-14-1</t>
  </si>
  <si>
    <t>Монтаж гибких подводок к водогазоразборной арматуре</t>
  </si>
  <si>
    <t>100 м подводок</t>
  </si>
  <si>
    <t>ТСН-2001.3. Доп. 1-42. Сб. 16, т. 14, поз. 1</t>
  </si>
  <si>
    <t>1.12-5-1</t>
  </si>
  <si>
    <t>Подводки к водоразборной арматуре, с двумя латунными накидными гайками, длина 500 мм</t>
  </si>
  <si>
    <t>ТСН-2001.1. Доп. 1-42. Р. 12, о. 5, поз. 1</t>
  </si>
  <si>
    <t>1.13-4-125</t>
  </si>
  <si>
    <t>Краны муфтовые шаровые полнопроходные, марка 11б27п1, давление 1,0 (10) МПа (кгс/см2), диаметр 15 мм</t>
  </si>
  <si>
    <t>ТСН-2001.1. Доп. 1-42. Р. 13, о. 4, поз. 125</t>
  </si>
  <si>
    <t>3.16-7-6</t>
  </si>
  <si>
    <t>Прокладка трубопроводов водоснабжения из стальных водогазопроводных оцинкованных труб диаметром 50 мм</t>
  </si>
  <si>
    <t>100 м трубопровода</t>
  </si>
  <si>
    <t>ТСН-2001.3 Доп. 56, Сб. 16, т. 7, поз. 6</t>
  </si>
  <si>
    <t>1.12-1-53</t>
  </si>
  <si>
    <t>Узлы трубопроводов из стальных водогазопроводных оцинкованных труб с гильзами для водоснабжения, диаметр условного прохода 20 мм</t>
  </si>
  <si>
    <t>ТСН-2001.1. Доп. 1-42. Р. 12, о. 1, поз. 53</t>
  </si>
  <si>
    <t>3.16-7-8</t>
  </si>
  <si>
    <t>Прокладка трубопроводов водоснабжения из стальных водогазопроводных оцинкованных труб диаметром 80 мм</t>
  </si>
  <si>
    <t>ТСН-2001.3 Доп. 56, Сб. 16, т. 7, поз. 8</t>
  </si>
  <si>
    <t>1.12-1-59</t>
  </si>
  <si>
    <t>Узлы трубопроводов из стальных водогазопроводных оцинкованных труб с гильзами для водоснабжения, диаметр условного прохода 80 мм</t>
  </si>
  <si>
    <t>ТСН-2001.1. Доп. 1-42. Р. 12, о. 1, поз. 59</t>
  </si>
  <si>
    <t>3.16-20-1</t>
  </si>
  <si>
    <t>Установка кранов пожарных диаметром 50 мм</t>
  </si>
  <si>
    <t>1 кран</t>
  </si>
  <si>
    <t>ТСН-2001.3. Доп. 1-42. Сб. 16, т. 20, поз. 1</t>
  </si>
  <si>
    <t>ТСН-2001.3-16. 16-15...16-33</t>
  </si>
  <si>
    <t>ТСН-2001.3-16-5</t>
  </si>
  <si>
    <t>1.13-1-19</t>
  </si>
  <si>
    <t>Клапан латунный, запорный, проходной, с муфтой и цапкой, давление номинальное PN 1,6 МПа, диаметр номинальный DN 50 мм, для пожарных кранов</t>
  </si>
  <si>
    <t>10,2</t>
  </si>
  <si>
    <t>1.17-7-30</t>
  </si>
  <si>
    <t>Рукава пожарные напорные, льняные, диаметр 51 мм</t>
  </si>
  <si>
    <t>10,3</t>
  </si>
  <si>
    <t>1.7-8-5</t>
  </si>
  <si>
    <t>Корзина поворотная для пожарного рукава</t>
  </si>
  <si>
    <t>Внутренние сети  К1</t>
  </si>
  <si>
    <t>3.16-13-1</t>
  </si>
  <si>
    <t>Прокладка трубопроводов канализации из ПВХ труб диаметром до 50 мм</t>
  </si>
  <si>
    <t>ТСН-2001.3. Доп. 1-42. Сб. 16, т. 13, поз. 1</t>
  </si>
  <si>
    <t>1.12-5-33</t>
  </si>
  <si>
    <t>Трубы из непластифицированного поливинилхлорида напорные, тип тяжелый, наружный диаметр 50 мм, толщина стенки 2,4 мм</t>
  </si>
  <si>
    <t>ТСН-2001.1. Доп. 1-42. Р. 12, о. 5, поз. 33</t>
  </si>
  <si>
    <t>1.12-5-76</t>
  </si>
  <si>
    <t>Отводы для канализации из полиэтилена низкого давления, диаметр 50 мм, 45°</t>
  </si>
  <si>
    <t>1.12-5-77</t>
  </si>
  <si>
    <t>Отводы для канализации из полиэтилена низкого давления, диаметр 50 мм, 90°</t>
  </si>
  <si>
    <t>Хомут сантехнический 1.1/4 (42-45 мм) со шпилькой и дюбелем</t>
  </si>
  <si>
    <t>[36,82 / 1,2 /  8,65] +  2% Трансп</t>
  </si>
  <si>
    <t>1.12-5-37</t>
  </si>
  <si>
    <t>Трубы поливинилхлоридные для канализации, наружный диаметр 110 мм, толщина стенки 3,2 мм</t>
  </si>
  <si>
    <t>ТСН-2001.1. Доп. 1-42. Р. 12, о. 5, поз. 37</t>
  </si>
  <si>
    <t>1.12-5-83</t>
  </si>
  <si>
    <t>Отводы для канализации из полиэтилена низкого давления, диаметр 108 мм, 45°</t>
  </si>
  <si>
    <t>ТСН-2001.1. Доп. 1-42. Р. 12, о. 5, поз. 83</t>
  </si>
  <si>
    <t>12,3</t>
  </si>
  <si>
    <t>1.12-5-90</t>
  </si>
  <si>
    <t>Тройники для канализации из полиэтилена низкого давления, диаметр 50х50 мм, 90°</t>
  </si>
  <si>
    <t>ТСН-2001.1. Доп. 1-42. Р. 12, о. 5, поз. 90</t>
  </si>
  <si>
    <t>12,4</t>
  </si>
  <si>
    <t>1.12-5-121</t>
  </si>
  <si>
    <t>Тройники из непластифицированного поливинилхлорида, диаметр, 110х50 мм, 90°</t>
  </si>
  <si>
    <t>ТСН-2001.1. Доп. 1-42. Р. 12, о. 5, поз. 121</t>
  </si>
  <si>
    <t>12,5</t>
  </si>
  <si>
    <t>1.12-5-132</t>
  </si>
  <si>
    <t>Детали из полиэтилена для труб, переходы, диаметр 50х110 мм</t>
  </si>
  <si>
    <t>ТСН-2001.1. Доп. 1-42. Р. 12, о. 5, поз. 132</t>
  </si>
  <si>
    <t>12,6</t>
  </si>
  <si>
    <t>Манжета для унитаза гофрированная прямая d = 110 мм.</t>
  </si>
  <si>
    <t>[171 / 1,2 /  8,65] +  2% Трансп</t>
  </si>
  <si>
    <t>12,7</t>
  </si>
  <si>
    <t>1.12-8-50</t>
  </si>
  <si>
    <t>Манжеты резиновые ступенчатые или конусные для унитазов</t>
  </si>
  <si>
    <t>ТСН-2001.1. Доп. 1-42. Р. 12, о. 8, поз. 50</t>
  </si>
  <si>
    <t>12,8</t>
  </si>
  <si>
    <t>Хомут сантехнический 4" (108-114 мм) со шпилькой и дюбелем</t>
  </si>
  <si>
    <t>[110 / 1,2 /  8,65] +  2% Трансп</t>
  </si>
  <si>
    <t>Приборы и оборудование</t>
  </si>
  <si>
    <t>3.17-1-6</t>
  </si>
  <si>
    <t>Установка умывальников одиночных с подводкой холодной и горячей воды</t>
  </si>
  <si>
    <t>1 комплект</t>
  </si>
  <si>
    <t>ТСН-2001.3 Доп. 54, Сб. 17, т. 1, поз. 6</t>
  </si>
  <si>
    <t>ТСН-2001.3-17. 17-1-3...17-1-12, 17-2...17-10</t>
  </si>
  <si>
    <t>ТСН-2001.3-17-3</t>
  </si>
  <si>
    <t>Раковина Jika Mio 8137140001049 для людей с ограниченными возможностями (медицинская)</t>
  </si>
  <si>
    <t>[8 713 / 1,2 /  8,65] +  2% Трансп</t>
  </si>
  <si>
    <t>13,2</t>
  </si>
  <si>
    <t>Смеситель для умывальника с локтевой рукояткой,PROJECT LM4611C, LEMARK, излив 200</t>
  </si>
  <si>
    <t>[5 505 / 1,2 /  8,65] +  2% Трансп</t>
  </si>
  <si>
    <t>13,3</t>
  </si>
  <si>
    <t>1.17-1-43</t>
  </si>
  <si>
    <t>Умывальники специального назначения, хирургические в комплекте со смесителем настенным локтевым, кронштейнами, латунным сифоном и выпуском, размер 650х590х190 мм</t>
  </si>
  <si>
    <t>ТСН-2001.1. Доп. 1-42. Р. 17, о. 1, поз. 43</t>
  </si>
  <si>
    <t>3.17-3-1</t>
  </si>
  <si>
    <t>Установка унитазов с бачком непосредстенно присоединенным</t>
  </si>
  <si>
    <t>ТСН-2001.3. Доп. 1-42. Сб. 17, т. 3, поз. 1</t>
  </si>
  <si>
    <t>Унитаз-компакт VitrA Conforma 9832B003-7204 для людей с ограниченными возможностями</t>
  </si>
  <si>
    <t>компл.</t>
  </si>
  <si>
    <t>[49 190 / 1,2 /  8,65] +  2% Трансп</t>
  </si>
  <si>
    <t>14,2</t>
  </si>
  <si>
    <t>1.17-1-79</t>
  </si>
  <si>
    <t>Унитазы-компакт керамические нестандартной высоты для людей с ограниченными физическими возможностями, размеры 360х670х480 мм, с горизонтальным выпуском</t>
  </si>
  <si>
    <t>ТСН-2001.1. Доп. 1-42. Р. 17, о. 1, поз. 79</t>
  </si>
  <si>
    <t>14,3</t>
  </si>
  <si>
    <t>1.17-2-2</t>
  </si>
  <si>
    <t>Бачок смывной керамический к унитазу напольному, с комплектом арматуры</t>
  </si>
  <si>
    <t>ТСН-2001.1 Доп. 59, Р. 17, о. 2, поз. 2</t>
  </si>
  <si>
    <t>14,4</t>
  </si>
  <si>
    <t>1.17-3-1</t>
  </si>
  <si>
    <t>Сиденье пластиковое с крышкой к унитазам</t>
  </si>
  <si>
    <t>ТСН-2001.1 Доп. 67, Р. 17, о. 3, поз. 1</t>
  </si>
  <si>
    <t>14,5</t>
  </si>
  <si>
    <t>1.17-2-46</t>
  </si>
  <si>
    <t>Патрубок полипропиленовый, отводящий, для унитазов, с эксцентриком 15 мм, губчатой прокладкой, для керамического штуцера, длина 160 мм, диаметр 110 мм</t>
  </si>
  <si>
    <t>ТСН-2001.1 Доп. 67, Р. 17, о. 2, поз. 46</t>
  </si>
  <si>
    <t>3.17-1-10</t>
  </si>
  <si>
    <t>Установка поддонов душевых чугунных и стальных мелких</t>
  </si>
  <si>
    <t>ТСН-2001.3 Доп. 47, Сб. 17, т. 1, поз. 10</t>
  </si>
  <si>
    <t>Поддоны душевые чугунные эмалированные, размер 800х800х167 мм</t>
  </si>
  <si>
    <t>[11 152 / 1,2 /  8,65] +  2% Трансп</t>
  </si>
  <si>
    <t>1.17-1-22</t>
  </si>
  <si>
    <t>Поддоны душевые чугунные эмалированные, размер 800х800х167 мм, мелкие, в комплекте с сифоном СПРЧПМ (СПРППМ) и выпуском ВСЛВН (ВСПВН),</t>
  </si>
  <si>
    <t>ТСН-2001.1. Доп. 1-42. Р. 17, о. 1, поз. 22</t>
  </si>
  <si>
    <t>3.17-2-3</t>
  </si>
  <si>
    <t>Установка смесителей</t>
  </si>
  <si>
    <t>ТСН-2001.3. Доп. 1-42. Сб. 17, т. 2, поз. 3</t>
  </si>
  <si>
    <t>Смеситель для ванны Grohe BauEdge New хром</t>
  </si>
  <si>
    <t>[10 059 /  8,65] +  2% Трансп</t>
  </si>
  <si>
    <t>1.17-2-58</t>
  </si>
  <si>
    <t>Смеситель для ванны настенный, хромированный, однорукояточный, подводка в раздельных отверстиях, душевая сетка на гибком шланге с кронштейном, излив неповоротный, вылет излива до 200 мм, картридж с керамическими запорными элементами</t>
  </si>
  <si>
    <t>ТСН-2001.1 Доп. 46, Р. 17, о. 2, поз. 58</t>
  </si>
  <si>
    <t>02-01-07</t>
  </si>
  <si>
    <t>Мероприятия по обеспечению доступа инвалидов</t>
  </si>
  <si>
    <t>3.11-26-3</t>
  </si>
  <si>
    <t>Устройство покрытий из рулонного линолеума на тканевой основе</t>
  </si>
  <si>
    <t>ТСН-2001.3. Доп. 1-42. Сб. 11, т. 26, поз. 3</t>
  </si>
  <si>
    <t>ТСН-2001.3-11. 11-13...11-35 (доп. 11)</t>
  </si>
  <si>
    <t>ТСН-2001.3-11-4</t>
  </si>
  <si>
    <t>1.1-1-389</t>
  </si>
  <si>
    <t>Клей на основе акриловой дисперсии, АДМ-К</t>
  </si>
  <si>
    <t>ТСН-2001.1 Доп. 55, Р. 1, о. 1, поз. 389</t>
  </si>
  <si>
    <t>1,2</t>
  </si>
  <si>
    <t>Цветная нескользящая лента Л-25, светонакопительная. 25мм</t>
  </si>
  <si>
    <t>[100 / 1,2 /  8,65] +  2% Трансп</t>
  </si>
  <si>
    <t>3.47-76-4</t>
  </si>
  <si>
    <t>Укладка наземных тактильных плит (указателей) на слой сухой цементно-песчаной смеси вручную, плитка размером 500х500х100 (80) мм</t>
  </si>
  <si>
    <t>ТСН-2001.3 Доп. 47, Сб. 47, т. 76, поз. 4</t>
  </si>
  <si>
    <t>ТСН-2001.3-47. 47-76 (доп. 21)</t>
  </si>
  <si>
    <t>ТСН-2001.3-47-19</t>
  </si>
  <si>
    <t>1.3-2-18</t>
  </si>
  <si>
    <t>Смеси сухие монтажно-кладочные цементно-песчаные, В7,5 (М100), F50, крупность заполнителя не более 3,5 мм</t>
  </si>
  <si>
    <t>ТСН-2001.1. Доп. 1-42. Р. 3, о. 2, поз. 18</t>
  </si>
  <si>
    <t>2,2</t>
  </si>
  <si>
    <t>Плиты бетонные тротуарные тактильные, толщина 100 мм, цвет серый</t>
  </si>
  <si>
    <t>[550 / 1,2 /  8,65] +  2% Трансп</t>
  </si>
  <si>
    <t>2,3</t>
  </si>
  <si>
    <t>1.5-3-494</t>
  </si>
  <si>
    <t>ТСН-2001.1. Доп. 1-42. Р. 5, о. 3, поз. 494</t>
  </si>
  <si>
    <t>4.3-35-2</t>
  </si>
  <si>
    <t>Установка и контрольные испытания подъемников для инвалидов-колясочников, подъемники вертикальные (изд. пви-220)</t>
  </si>
  <si>
    <t>1 подъемник</t>
  </si>
  <si>
    <t>ТСН-2001.4. Доп. 1-42. Сб. 3, т. 35, поз. 2</t>
  </si>
  <si>
    <t>ТСН-2001.4-3. 3-1...3-35</t>
  </si>
  <si>
    <t>ТСН-2001.4-3-1</t>
  </si>
  <si>
    <t>Пиктограмма тактильная</t>
  </si>
  <si>
    <t>[300 / 1,2 /  8,65] +  2% Трансп</t>
  </si>
  <si>
    <t>Таблички с шрифтом Брайля</t>
  </si>
  <si>
    <t>[490 / 1,2 /  8,65] +  2% Трансп</t>
  </si>
  <si>
    <t>3.17-2-4</t>
  </si>
  <si>
    <t>Установка гарнитуры туалетной вешалок, подстаканников, поручней для ванн и т.п.</t>
  </si>
  <si>
    <t>ТСН-2001.3. Доп. 1-42. Сб. 17, т. 2, поз. 4</t>
  </si>
  <si>
    <t>Вертикальный подъемник ПТУ – 001Б</t>
  </si>
  <si>
    <t>[135 880,31 / 1,2 /  8,65] +  2% Трансп</t>
  </si>
  <si>
    <t>13.3-11-67</t>
  </si>
  <si>
    <t>Крючок для подвески костылей, размеры 120х32 мм. Материал сталь нержавеющая с полировкой, крепление стена одна точка, в комплекте: прокладки-амортизаторы резиновые, крепежные элементы</t>
  </si>
  <si>
    <t>ТСН-2001.13-2. Доп. 10. 13.3-11-67</t>
  </si>
  <si>
    <t>Штанга подвесная с рукояткой для МГН</t>
  </si>
  <si>
    <t>[14 150 / 1,2 /  8,65] +  2% Трансп</t>
  </si>
  <si>
    <t>13.3-11-72</t>
  </si>
  <si>
    <t>Поручень реабилитационный откидной для установки около унитаза, размеры 700х700 мм, в комплекте. Материал сталь нержавеющая с полировкой, крепление стена три точки, в комплекте: прокладки-амортизаторы резиновые, крепежные элементы</t>
  </si>
  <si>
    <t>ТСН-2001.13-2. Доп. 10. 13.3-11-72</t>
  </si>
  <si>
    <t>13.3-11-76</t>
  </si>
  <si>
    <t>Поручень реабилитационный настенный, размеры 700х90 мм, в комплекте. Материал сталь нержавеющая с полировкой, крепление стена две точки, в комплекте: прокладки-амортизаторы резиновые, крепежные элементы</t>
  </si>
  <si>
    <t>ТСН-2001.13-2. Доп. 10. 13.3-11-76</t>
  </si>
  <si>
    <t>13.3-11-77</t>
  </si>
  <si>
    <t>Поручень реабилитационный настенный, размеры 1500х90 мм, в комплекте. Материал сталь нержавеющая с полировкой, крепление стена две точки, в комплекте: прокладки-амортизаторы резиновые, крепежные элементы</t>
  </si>
  <si>
    <t>ТСН-2001.13-2. Доп. 10. 13.3-11-77</t>
  </si>
  <si>
    <t>13.3-11-81</t>
  </si>
  <si>
    <t>Поручень реабилитационный двухсекционный, для установки около умывальника, габаритные размеры 850х700 мм. Материал сталь нержавеющая с полировкой, крепление к полу и стене в двух точках, в комплекте: прокладки-амортизаторы резиновые, крепежные элементы</t>
  </si>
  <si>
    <t>ТСН-2001.13-2. Доп. 35. 13.3-11-81</t>
  </si>
  <si>
    <t>Материалы</t>
  </si>
  <si>
    <t>Материал по прайсу</t>
  </si>
  <si>
    <t>[133 056 / 1,2 /  6,4] +  1,2% Трансп +  3% Заг.скл</t>
  </si>
  <si>
    <t>Штанга с навесными рукоятками</t>
  </si>
  <si>
    <t>[19 900 / 1,2 /  8,65] +  2% Трансп</t>
  </si>
  <si>
    <t>Поручень откидной</t>
  </si>
  <si>
    <t>[12 348 / 1,2 /  8,65] +  2% Трансп</t>
  </si>
  <si>
    <t>Поручень опорный настенный прямой</t>
  </si>
  <si>
    <t>[3 612 / 1,2 /  8,65] +  2% Трансп</t>
  </si>
  <si>
    <t>Поручень реабилитационный настенный, размеры 1500х90 мм, в комплекте с креплением</t>
  </si>
  <si>
    <t>[6 120 / 1,2 /  8,65] +  2% Трансп</t>
  </si>
  <si>
    <t>Поручень для раковины для инвалидов</t>
  </si>
  <si>
    <t>[8 690 / 1,2 /  8,65] +  2% Трансп</t>
  </si>
  <si>
    <t>02-01-08</t>
  </si>
  <si>
    <t>1.7-11-61</t>
  </si>
  <si>
    <t>Стальной лом черных металлов, вид лома 12А, для расчета возвратных сумм</t>
  </si>
  <si>
    <t>ТСН-2001.1 Доп. 47, Р. 7, о. 11, поз. 61</t>
  </si>
  <si>
    <t>Возврат</t>
  </si>
  <si>
    <t>ТСН-2001.1-7. 7-11-59...7-11-63 (Возврат)</t>
  </si>
  <si>
    <t>ТСН-2001.1-3</t>
  </si>
  <si>
    <t>111</t>
  </si>
  <si>
    <t>Новая переменная</t>
  </si>
  <si>
    <t>Переменная</t>
  </si>
  <si>
    <t>Переменная1</t>
  </si>
  <si>
    <t>Переменная_1</t>
  </si>
  <si>
    <t>Переменная_2</t>
  </si>
  <si>
    <t>Уровень цен</t>
  </si>
  <si>
    <t>Сборник индексов</t>
  </si>
  <si>
    <t>Индексы ТСН-2001 МГЭ ремонт</t>
  </si>
  <si>
    <t>201</t>
  </si>
  <si>
    <t>Индекс к Главе 13.2 ТСН-2001 МГЭ</t>
  </si>
  <si>
    <t>Новый уровень цен</t>
  </si>
  <si>
    <t>_OBSM_</t>
  </si>
  <si>
    <t>9999990008</t>
  </si>
  <si>
    <t>Трудозатраты рабочих</t>
  </si>
  <si>
    <t>чел.-ч.</t>
  </si>
  <si>
    <t>2.1-2-1</t>
  </si>
  <si>
    <t>ТСН-2001.2. Доп. 1-42, п. 1-2-1 (020101)</t>
  </si>
  <si>
    <t>Тракторы на гусеничном ходу, мощность до 60 кВт (81 л.с.)</t>
  </si>
  <si>
    <t>маш.-ч.</t>
  </si>
  <si>
    <t>2.1-5-15</t>
  </si>
  <si>
    <t>ТСН-2001.2. Доп. 1-42, п. 1-5-15 (050703)</t>
  </si>
  <si>
    <t>Катки прицепные пневмоколесные, масса до 50 т</t>
  </si>
  <si>
    <t>2.1-5-18</t>
  </si>
  <si>
    <t>ТСН-2001.2. Доп. 56. п.1-5-18 (050902)</t>
  </si>
  <si>
    <t>Машины поливомоечные, емкость цистерны до 8 м3</t>
  </si>
  <si>
    <t>2.1-5-48</t>
  </si>
  <si>
    <t>ТСН-2001.2. Доп. 1-42, п. 1-5-48 (056003)</t>
  </si>
  <si>
    <t>Автогрейдеры, мощность 99-147 кВт (130-200 л.с.)</t>
  </si>
  <si>
    <t>2.1-5-7</t>
  </si>
  <si>
    <t>ТСН-2001.2. Доп. 55. п.1-5-7 (050301)</t>
  </si>
  <si>
    <t>Катки дорожные самоходные на пневмоколесном ходу, масса до 16 т</t>
  </si>
  <si>
    <t>2.1-1-43</t>
  </si>
  <si>
    <t>ТСН-2001.2. Доп. 59. п.1-1-43 (012102)</t>
  </si>
  <si>
    <t>Бульдозеры гусеничные, мощность до 59 кВт (80 л.с.)</t>
  </si>
  <si>
    <t>2.1-5-2</t>
  </si>
  <si>
    <t>ТСН-2001.2. Доп. 55. п.1-5-2 (050102)</t>
  </si>
  <si>
    <t>Катки самоходные вибрационные, масса до 8 т</t>
  </si>
  <si>
    <t>2.1-5-3</t>
  </si>
  <si>
    <t>ТСН-2001.2. Доп. 55. п.1-5-3 (050103)</t>
  </si>
  <si>
    <t>Катки самоходные вибрационные, масса до 14 т</t>
  </si>
  <si>
    <t>1.1-1-46</t>
  </si>
  <si>
    <t>ТСН-2001.1. Доп. 1-42. Р. 1, о. 1, поз. 46</t>
  </si>
  <si>
    <t>Битумы нефтяные, дорожные жидкие, марка МГ, СГ</t>
  </si>
  <si>
    <t>2.1-3-38</t>
  </si>
  <si>
    <t>ТСН-2001.2. Доп. 53. п.1-3-38 (032009)</t>
  </si>
  <si>
    <t>Краны на автомобильном ходу, грузоподъемность до 16 т</t>
  </si>
  <si>
    <t>1.3-1-38</t>
  </si>
  <si>
    <t>ТСН-2001.1. Доп. 1-42. Р. 3, о. 1, поз. 38</t>
  </si>
  <si>
    <t>Смеси бетонные, БСГ, тяжелого бетона на гранитном щебне, класс прочности В15 (М200); П3, фракция 5-20, F50-100, W0-2</t>
  </si>
  <si>
    <t>1.3-2-5</t>
  </si>
  <si>
    <t>ТСН-2001.1. Доп. 1-42. Р. 3, о. 2, поз. 5</t>
  </si>
  <si>
    <t>Растворы цементные, марка 100</t>
  </si>
  <si>
    <t>9999990006</t>
  </si>
  <si>
    <t>Стоимость прочих материалов (ЭСН)</t>
  </si>
  <si>
    <t>руб.</t>
  </si>
  <si>
    <t>2.1-13-21</t>
  </si>
  <si>
    <t>ТСН-2001.2. Доп. 1-42, п. 1-13-21 (138501)</t>
  </si>
  <si>
    <t>Печи электрические для сушки сварочных материалов с регулированием температуры в пределах 80-500С</t>
  </si>
  <si>
    <t>2.1-30-46</t>
  </si>
  <si>
    <t>ТСН-2001.2. Доп. 1-42, п. 1-30-46 (308001)</t>
  </si>
  <si>
    <t>Преобразователи частоты тока до 500 А</t>
  </si>
  <si>
    <t>9999990007</t>
  </si>
  <si>
    <t>Стоимость прочих машин (ЭСН)</t>
  </si>
  <si>
    <t>1.1-1-1566</t>
  </si>
  <si>
    <t>ТСН-2001.1. Доп. 1-42. Р. 1, о. 1, поз. 1566</t>
  </si>
  <si>
    <t>Электроды, тип Э-42, 46, 50, диаметр 4 - 6 мм</t>
  </si>
  <si>
    <t>2.1-4-31</t>
  </si>
  <si>
    <t>ТСН-2001.2. Доп. 1-42, п. 1-4-31 (042903)</t>
  </si>
  <si>
    <t>Лебедки электрические, грузоподъемность до 1,5 т</t>
  </si>
  <si>
    <t>2.1-10-4</t>
  </si>
  <si>
    <t>ТСН-2001.2. Доп. 46. п.1-10-4 (101001)</t>
  </si>
  <si>
    <t>Компрессоры прицепные с двигателем внутреннего сгорания, производительность до 2,5 м3/мин, мощность двигателя до 23 кВт (31,3 л.с.)</t>
  </si>
  <si>
    <t>2.1-30-54</t>
  </si>
  <si>
    <t>ТСН-2001.2. Доп. 1-42, п. 1-30-54 (308901)</t>
  </si>
  <si>
    <t>Молотки отбойные</t>
  </si>
  <si>
    <t>2.1-13-15</t>
  </si>
  <si>
    <t>ТСН-2001.2. Доп. 1-42, п. 1-13-15 (136201)</t>
  </si>
  <si>
    <t>Аппараты сварочные</t>
  </si>
  <si>
    <t>2.1-30-10</t>
  </si>
  <si>
    <t>ТСН-2001.2. Доп. 46. п.1-30-10 (304101)</t>
  </si>
  <si>
    <t>Перфораторы электрические, мощность до 800 Вт</t>
  </si>
  <si>
    <t>1.1-1-1082</t>
  </si>
  <si>
    <t>ТСН-2001.1 Доп. 48, Р. 1, о. 1, поз. 1082</t>
  </si>
  <si>
    <t>Круг, квадрат горячекатаный из стали углеродистой обыкновенного качества, полуспокойной, размер 5-12 мм</t>
  </si>
  <si>
    <t>1.1-1-760</t>
  </si>
  <si>
    <t>ТСН-2001.1. Доп. 1-42. Р. 1, о. 1, поз. 760</t>
  </si>
  <si>
    <t>Пена монтажная</t>
  </si>
  <si>
    <t>1.7-3-8</t>
  </si>
  <si>
    <t>ТСН-2001.1. Доп. 1-42. Р. 7, о. 3, поз. 8</t>
  </si>
  <si>
    <t>Сверло победитовое, диаметр 8 мм, длина 80 мм</t>
  </si>
  <si>
    <t>2.1-13-14</t>
  </si>
  <si>
    <t>ТСН-2001.2. Доп. 56. п.1-13-14 (136001)</t>
  </si>
  <si>
    <t>Аппараты сварочные постоянного тока (выпрямители) для ручной дуговой сварки, сварочный ток до 500 А</t>
  </si>
  <si>
    <t>2.1-30-19</t>
  </si>
  <si>
    <t>ТСН-2001.2. Доп. 59. п.1-30-19 (305001)</t>
  </si>
  <si>
    <t>Машины шлифовальные электрические, мощность до 1700 Вт</t>
  </si>
  <si>
    <t>2.1-30-56</t>
  </si>
  <si>
    <t>ТСН-2001.2. Доп. 1-42, п. 1-30-56 (309101)</t>
  </si>
  <si>
    <t>Шуруповерты</t>
  </si>
  <si>
    <t>2.1-30-6</t>
  </si>
  <si>
    <t>ТСН-2001.2. Доп. 1-42, п. 1-30-6 (303701)</t>
  </si>
  <si>
    <t>Дрели электрические</t>
  </si>
  <si>
    <t>1.1-1-2627</t>
  </si>
  <si>
    <t>ТСН-2001.1. Доп. 1-42. Р. 1, о. 1, поз. 2627</t>
  </si>
  <si>
    <t>Винты самонарезающие 5х40 мм для металла</t>
  </si>
  <si>
    <t>2.1-18-7</t>
  </si>
  <si>
    <t>ТСН-2001.2. Доп. 47. п.1-18-7 (183001)</t>
  </si>
  <si>
    <t>Автомобили грузовые бортовые, грузоподъемность до 5 т</t>
  </si>
  <si>
    <t>2.1-5-63</t>
  </si>
  <si>
    <t>ТСН-2001.2. Доп. 55. п.1-5-63 (059001)</t>
  </si>
  <si>
    <t>Котлы битумоварочные электрические, емкость до 500 л, мощность до 20 кВт</t>
  </si>
  <si>
    <t>1.1-1-1043</t>
  </si>
  <si>
    <t>ТСН-2001.1. Доп. 1-42. Р. 1, о. 1, поз. 1043</t>
  </si>
  <si>
    <t>Смола каменноугольная строительная</t>
  </si>
  <si>
    <t>1.1-1-132</t>
  </si>
  <si>
    <t>ТСН-2001.1. Доп. 1-42. Р. 1, о. 1, поз. 132</t>
  </si>
  <si>
    <t>Гвозди строительные</t>
  </si>
  <si>
    <t>1.1-1-133</t>
  </si>
  <si>
    <t>ТСН-2001.1. Доп. 1-42. Р. 1, о. 1, поз. 133</t>
  </si>
  <si>
    <t>Гвозди толевые</t>
  </si>
  <si>
    <t>1.1-1-146</t>
  </si>
  <si>
    <t>ТСН-2001.1. Доп. 1-42. Р. 1, о. 1, поз. 146</t>
  </si>
  <si>
    <t>Гипсовые вяжущие (гипс) для штукатурных работ</t>
  </si>
  <si>
    <t>1.1-1-226</t>
  </si>
  <si>
    <t>ТСН-2001.1. Доп. 1-42. Р. 1, о. 1, поз. 226</t>
  </si>
  <si>
    <t>Доски хвойных пород, обрезные, длина 2-6,5 м, сорт III, толщина 25-32 мм</t>
  </si>
  <si>
    <t>1.1-1-740</t>
  </si>
  <si>
    <t>ТСН-2001.1. Доп. 1-42. Р. 1, о. 1, поз. 740</t>
  </si>
  <si>
    <t>Пакля пропитанная</t>
  </si>
  <si>
    <t>1.1-1-764</t>
  </si>
  <si>
    <t>ТСН-2001.1. Доп. 1-42. Р. 1, о. 1, поз. 764</t>
  </si>
  <si>
    <t>Материал кровельный, пергамин, марка П-350</t>
  </si>
  <si>
    <t>1.3-2-15</t>
  </si>
  <si>
    <t>ТСН-2001.1. Доп. 1-42. Р. 3, о. 2, поз. 15</t>
  </si>
  <si>
    <t>Раствор известковый, марка 4</t>
  </si>
  <si>
    <t>1.7-5-3</t>
  </si>
  <si>
    <t>ТСН-2001.1. Доп. 1-42. Р. 7, о. 5, поз. 3</t>
  </si>
  <si>
    <t>Ерши (закрепы) строительные</t>
  </si>
  <si>
    <t>1.1-1-2471</t>
  </si>
  <si>
    <t>ТСН-2001.1. Доп. 1-42. Р. 1, о. 1, поз. 2471</t>
  </si>
  <si>
    <t>Дюбель рамный МД 10х180 мм</t>
  </si>
  <si>
    <t>2.1-4-33</t>
  </si>
  <si>
    <t>ТСН-2001.2. Доп. 1-42, п. 1-4-33 (042905)</t>
  </si>
  <si>
    <t>Лебедки электрические, грузоподъемность до 3 т</t>
  </si>
  <si>
    <t>1.1-1-1669</t>
  </si>
  <si>
    <t>ТСН-2001.1. Доп. 1-42. Р. 1, о. 1, поз. 1669</t>
  </si>
  <si>
    <t>Электроды, тип Э-42А, диаметр 4-6 мм</t>
  </si>
  <si>
    <t>1.1-1-57</t>
  </si>
  <si>
    <t>ТСН-2001.1. Доп. 1-42. Р. 1, о. 1, поз. 57</t>
  </si>
  <si>
    <t>Болты строительные черные с гайками и шайбами (10х100 мм)</t>
  </si>
  <si>
    <t>1.1-1-81</t>
  </si>
  <si>
    <t>ТСН-2001.1. Доп. 1-42. Р. 1, о. 1, поз. 81</t>
  </si>
  <si>
    <t>Бруски хвойных пород обрезные, длина 2-6,5 м, сорт IV, толщина 50-60 мм</t>
  </si>
  <si>
    <t>1.1-1-923</t>
  </si>
  <si>
    <t>ТСН-2001.1. Доп. 1-42. Р. 1, о. 1, поз. 923</t>
  </si>
  <si>
    <t>Поковки строительные (скобы, закрепы, хомуты) простые, масса 1,8 кг</t>
  </si>
  <si>
    <t>1.3-2-6</t>
  </si>
  <si>
    <t>ТСН-2001.1. Доп. 1-42. Р. 3, о. 2, поз. 6</t>
  </si>
  <si>
    <t>Растворы цементные, марка 150</t>
  </si>
  <si>
    <t>2.1-6-33</t>
  </si>
  <si>
    <t>ТСН-2001.2. Доп. 56. п.1-6-33 (067501)</t>
  </si>
  <si>
    <t>Растворонасосы, производительность до 1 м3/ч</t>
  </si>
  <si>
    <t>1.1-1-1029</t>
  </si>
  <si>
    <t>ТСН-2001.1. Доп. 1-42. Р. 1, о. 1, поз. 1029</t>
  </si>
  <si>
    <t>Сетка проволочная штукатурная тканая, квадрат 5х5 мм, толщина 1,6 мм</t>
  </si>
  <si>
    <t>1.1-1-1463</t>
  </si>
  <si>
    <t>ТСН-2001.1. Доп. 1-42. Р. 1, о. 1, поз. 1463</t>
  </si>
  <si>
    <t>Шкурка шлифовальная на бумажной основе</t>
  </si>
  <si>
    <t>1.1-1-393</t>
  </si>
  <si>
    <t>ТСН-2001.1. Доп. 1-42. Р. 1, о. 1, поз. 393</t>
  </si>
  <si>
    <t>Клей малярный</t>
  </si>
  <si>
    <t>1.1-1-652</t>
  </si>
  <si>
    <t>ТСН-2001.1. Доп. 1-42. Р. 1, о. 1, поз. 652</t>
  </si>
  <si>
    <t>Мел молотый</t>
  </si>
  <si>
    <t>1.1-1-660</t>
  </si>
  <si>
    <t>ТСН-2001.1. Доп. 1-42. Р. 1, о. 1, поз. 660</t>
  </si>
  <si>
    <t>Мыло твердое</t>
  </si>
  <si>
    <t>2.1-30-75</t>
  </si>
  <si>
    <t>ТСН-2001.2. Доп. 1-42, п. 1-30-75 (370001)</t>
  </si>
  <si>
    <t>Станки для резки плит</t>
  </si>
  <si>
    <t>1.1-1-2480</t>
  </si>
  <si>
    <t>ТСН-2001.1 Доп. 55, Р. 1, о. 1, поз. 2480</t>
  </si>
  <si>
    <t>Грунтовка на основе полимерной дисперсии, концентрированная, паропроницаемая, с желтым пигментом, для впитывающих оснований</t>
  </si>
  <si>
    <t>1.1-1-348</t>
  </si>
  <si>
    <t>ТСН-2001.1. Доп. 1-42. Р. 1, о. 1, поз. 348</t>
  </si>
  <si>
    <t>Керосин</t>
  </si>
  <si>
    <t>1.1-1-52</t>
  </si>
  <si>
    <t>ТСН-2001.1. Доп. 1-42. Р. 1, о. 1, поз. 52</t>
  </si>
  <si>
    <t>Битумы нефтяные, строительные марка БН, БНСК</t>
  </si>
  <si>
    <t>1.1-1-599</t>
  </si>
  <si>
    <t>ТСН-2001.1. Доп. 1-42. Р. 1, о. 1, поз. 599</t>
  </si>
  <si>
    <t>Мастика герметизирующая нетвердеющая, строительная, битумно-атактическая, антикоррозийная</t>
  </si>
  <si>
    <t>2.1-14-13</t>
  </si>
  <si>
    <t>ТСН-2001.2. Доп. 1-42, п. 1-14-13 (148501)</t>
  </si>
  <si>
    <t>Пылесосы</t>
  </si>
  <si>
    <t>2.1-30-103</t>
  </si>
  <si>
    <t>ТСН-2001.2. Доп. 46. п.1-30-103 (304104)</t>
  </si>
  <si>
    <t>Перфораторы электрические, мощность до 1,2 кВт</t>
  </si>
  <si>
    <t>2.1-4-1</t>
  </si>
  <si>
    <t>ТСН-2001.2. Доп. 1-42, п. 1-4-1 (040101)</t>
  </si>
  <si>
    <t>Погрузчики универсальные на пневмоколесном ходу, грузоподъемность до 1 т</t>
  </si>
  <si>
    <t>1.1-1-2492</t>
  </si>
  <si>
    <t>ТСН-2001.1. Доп. 1-42. Р. 1, о. 1, поз. 2492</t>
  </si>
  <si>
    <t>Пленка полиэтиленовая, толщина 80 мкм</t>
  </si>
  <si>
    <t>1.1-1-407</t>
  </si>
  <si>
    <t>ТСН-2001.1. Доп. 1-42. Р. 1, о. 1, поз. 407</t>
  </si>
  <si>
    <t>Кляммеры, приведенные к марке КЛ-1</t>
  </si>
  <si>
    <t>2.1-18-41</t>
  </si>
  <si>
    <t>ТСН-2001.2. Доп. 43, п. 1-18-41 (184061)</t>
  </si>
  <si>
    <t>Автомобили-самосвалы для перевозки строительного мусора, грузоподъемность до 8 т</t>
  </si>
  <si>
    <t>2.1-13-16</t>
  </si>
  <si>
    <t>ТСН-2001.2. Доп. 1-42, п. 1-13-16 (136301)</t>
  </si>
  <si>
    <t>Аппараты для газовой сварки и резки</t>
  </si>
  <si>
    <t>2.1-30-64</t>
  </si>
  <si>
    <t>ТСН-2001.2. Доп. 1-42, п. 1-30-64 (331001)</t>
  </si>
  <si>
    <t>Пресс-ножницы комбинированные</t>
  </si>
  <si>
    <t>2.1-30-1</t>
  </si>
  <si>
    <t>ТСН-2001.2. Доп. 1-42, п. 1-30-1 (301201)</t>
  </si>
  <si>
    <t>Трамбовки пневматические</t>
  </si>
  <si>
    <t>2.1-4-3</t>
  </si>
  <si>
    <t>ТСН-2001.2. Доп. 1-42, п. 1-4-3 (040103)</t>
  </si>
  <si>
    <t>Погрузчики универсальные на пневмоколесном ходу, грузоподъемность до 3 т</t>
  </si>
  <si>
    <t>2.1-30-26</t>
  </si>
  <si>
    <t>ТСН-2001.2. Доп. 1-42, п. 1-30-26 (306001)</t>
  </si>
  <si>
    <t>Пилы ручные электрические</t>
  </si>
  <si>
    <t>2.1-4-12</t>
  </si>
  <si>
    <t>ТСН-2001.2. Доп. 1-42, п. 1-4-12 (040205)</t>
  </si>
  <si>
    <t>Погрузчики на автомобильном ходу, грузоподъемность до 5 т</t>
  </si>
  <si>
    <t>2.1-6-52</t>
  </si>
  <si>
    <t>ТСН-2001.2. Доп. 1-42, п. 1-6-52 (069402)</t>
  </si>
  <si>
    <t>Вибраторы глубинные</t>
  </si>
  <si>
    <t>1.1-1-227</t>
  </si>
  <si>
    <t>ТСН-2001.1. Доп. 1-42. Р. 1, о. 1, поз. 227</t>
  </si>
  <si>
    <t>Доски хвойных пород, обрезные, длина 2-6,5 м, сорт III, толщина 40-60 мм</t>
  </si>
  <si>
    <t>1.1-1-256</t>
  </si>
  <si>
    <t>ТСН-2001.1. Доп. 1-42. Р. 1, о. 1, поз. 256</t>
  </si>
  <si>
    <t>Известь негашеная комовая</t>
  </si>
  <si>
    <t>1.1-1-655</t>
  </si>
  <si>
    <t>ТСН-2001.1. Доп. 1-42. Р. 1, о. 1, поз. 655</t>
  </si>
  <si>
    <t>Мешковина</t>
  </si>
  <si>
    <t>1.9-11-4</t>
  </si>
  <si>
    <t>ТСН-2001.1. Доп. 1-42. Р. 9, о. 11, поз. 4</t>
  </si>
  <si>
    <t>Щиты деревянные для фундаментов, колонн, балок, перекрытий, стен, перегородок и других конструкций из досок, толщина 40 мм</t>
  </si>
  <si>
    <t>2.1-4-45</t>
  </si>
  <si>
    <t>ТСН-2001.2. Доп. 1-42, п. 1-4-45 (043403)</t>
  </si>
  <si>
    <t>Домкраты гидравлические, грузоподъемность до 100 т</t>
  </si>
  <si>
    <t>2.1-10-12</t>
  </si>
  <si>
    <t>ТСН-2001.2. Доп. 1-42, п. 1-10-12 (105001)</t>
  </si>
  <si>
    <t>Электрокомпрессоры прицепные, производительность до 3,5 м3/мин</t>
  </si>
  <si>
    <t>1.1-1-489</t>
  </si>
  <si>
    <t>ТСН-2001.1. Доп. 1-42. Р. 1, о. 1, поз. 489</t>
  </si>
  <si>
    <t>Ксилол нефтяной, марка А</t>
  </si>
  <si>
    <t>1.1-1-1577</t>
  </si>
  <si>
    <t>ТСН-2001.1. Доп. 1-42. Р. 1, о. 1, поз. 1577</t>
  </si>
  <si>
    <t>Эмаль, марка ПФ-115 (цветная), пентафталевая</t>
  </si>
  <si>
    <t>1.1-1-999</t>
  </si>
  <si>
    <t>ТСН-2001.1. Доп. 1-42. Р. 1, о. 1, поз. 999</t>
  </si>
  <si>
    <t>Растворитель "Уайт-спирит"</t>
  </si>
  <si>
    <t>9999990002</t>
  </si>
  <si>
    <t>Масса оборудования</t>
  </si>
  <si>
    <t>1.1-1-1615</t>
  </si>
  <si>
    <t>ТСН-2001.1. Доп. 1-42. Р. 1, о. 1, поз. 1615</t>
  </si>
  <si>
    <t>Шурупы с потайной головкой, оцинкованные, длина 13-20 мм</t>
  </si>
  <si>
    <t>2.1-13-38</t>
  </si>
  <si>
    <t>ТСН-2001.2. Доп. 44, п. 1-13-38 (135504 )</t>
  </si>
  <si>
    <t>Аппараты для раструбной сварки труб из термопластов диаметром 16-110 мм</t>
  </si>
  <si>
    <t>1.1-1-1622</t>
  </si>
  <si>
    <t>ТСН-2001.1 Доп. 52, Р. 1, о. 1, поз. 1622</t>
  </si>
  <si>
    <t>Патроны для пороховых монтажных пистолетов, калибр 6,8х18 мм, сверхвысокая мощность (703-846 Дж)</t>
  </si>
  <si>
    <t>1.1-1-236</t>
  </si>
  <si>
    <t>ТСН-2001.1. Доп. 1-42. Р. 1, о. 1, поз. 236</t>
  </si>
  <si>
    <t>Дюбели с насаженными шайбами</t>
  </si>
  <si>
    <t>1.1-1-2569</t>
  </si>
  <si>
    <t>ТСН-2001.1. Доп. 1-42. Р. 1, о. 1, поз. 2569</t>
  </si>
  <si>
    <t>Метилен хлористый технический</t>
  </si>
  <si>
    <t>1.1-1-258</t>
  </si>
  <si>
    <t>ТСН-2001.1. Доп. 1-42. Р. 1, о. 1, поз. 258</t>
  </si>
  <si>
    <t>Известь хлорная</t>
  </si>
  <si>
    <t>1.1-1-2838</t>
  </si>
  <si>
    <t>ТСН-2001.1. Доп. 1-42. Р. 1, о. 1, поз. 2838</t>
  </si>
  <si>
    <t>Шурупы-саморезы с полусферической головкой, с прессшайбой, наконечник острый, оцинкованные, размер 4,2х14 мм, для крепления листового металла</t>
  </si>
  <si>
    <t>1.1-1-399</t>
  </si>
  <si>
    <t>ТСН-2001.1. Доп. 1-42. Р. 1, о. 1, поз. 399</t>
  </si>
  <si>
    <t>Клей 88НП, 88-Н</t>
  </si>
  <si>
    <t>1.1-1-406</t>
  </si>
  <si>
    <t>ТСН-2001.1 Доп. 50, Р. 1, о. 1, поз. 406</t>
  </si>
  <si>
    <t>Клипсы пластиковые, для соединения продольных и поперечных швов теплоизоляции на основе вспененного полиэтилена</t>
  </si>
  <si>
    <t>1.1-1-464</t>
  </si>
  <si>
    <t>ТСН-2001.1 Доп. 50, Р. 1, о. 1, поз. 464</t>
  </si>
  <si>
    <t>Краска на водной основе, эластичная, для защиты теплоизоляции из вспененного синтетического каучука, для наружных и внутренних работ</t>
  </si>
  <si>
    <t>2.1-13-10</t>
  </si>
  <si>
    <t>ТСН-2001.2. Доп. 56. п.1-13-10 (135201)</t>
  </si>
  <si>
    <t>Инверторы для ручной дуговой сварки, сварочный ток до 400 А</t>
  </si>
  <si>
    <t>1.1-1-2481</t>
  </si>
  <si>
    <t>ТСН-2001.1. Доп. 1-42. Р. 1, о. 1, поз. 2481</t>
  </si>
  <si>
    <t>Волокно льняное №11 для уплотнения резьбовых соединений при монтаже систем водоснабжения и отопления</t>
  </si>
  <si>
    <t>1.1-1-26</t>
  </si>
  <si>
    <t>ТСН-2001.1. Доп. 1-42. Р. 1, о. 1, поз. 26</t>
  </si>
  <si>
    <t>Ацетилен технический</t>
  </si>
  <si>
    <t>1.1-1-467</t>
  </si>
  <si>
    <t>ТСН-2001.1. Доп. 1-42. Р. 1, о. 1, поз. 467</t>
  </si>
  <si>
    <t>Краски масляные жидкотертые цветные (готовые к употреблению) для наружных и внутренних работ, марка МА-15, сурик железный для окраски по металлу</t>
  </si>
  <si>
    <t>1.1-1-732</t>
  </si>
  <si>
    <t>ТСН-2001.1. Доп. 1-42. Р. 1, о. 1, поз. 732</t>
  </si>
  <si>
    <t>Олифа для окраски комбинированная "Оксоль"</t>
  </si>
  <si>
    <t>1.1-1-969</t>
  </si>
  <si>
    <t>ТСН-2001.1. Доп. 1-42. Р. 1, о. 1, поз. 969</t>
  </si>
  <si>
    <t>Проволока электродная порошковая для дуговой сварки</t>
  </si>
  <si>
    <t>1.17-7-33</t>
  </si>
  <si>
    <t>ТСН-2001.1. Доп. 1-42. Р. 17, о. 7, поз. 33</t>
  </si>
  <si>
    <t>Стволы пожарные ручные, марка РС-50, диаметр 106 мм</t>
  </si>
  <si>
    <t>1.17-7-8</t>
  </si>
  <si>
    <t>ТСН-2001.1. Доп. 1-42. Р. 17, о. 7, поз. 8</t>
  </si>
  <si>
    <t>Головки для пожарных рукавов соединительные, напорные, марка ГР, давление 1,2 (12) МПа (кгс/см2), рукавные, диаметр 50 мм</t>
  </si>
  <si>
    <t>1.1-1-1502</t>
  </si>
  <si>
    <t>ТСН-2001.1. Доп. 1-42. Р. 1, о. 1, поз. 1502</t>
  </si>
  <si>
    <t>Шурупы с потайной головкой, черные, размер 8,0х100 мм</t>
  </si>
  <si>
    <t>1.1-1-238</t>
  </si>
  <si>
    <t>ТСН-2001.1. Доп. 1-42. Р. 1, о. 1, поз. 238</t>
  </si>
  <si>
    <t>Дюбели пластмассовые</t>
  </si>
  <si>
    <t>1.1-1-253</t>
  </si>
  <si>
    <t>ТСН-2001.1. Доп. 1-42. Р. 1, о. 1, поз. 253</t>
  </si>
  <si>
    <t>Замазка суриковая</t>
  </si>
  <si>
    <t>1.1-1-1338</t>
  </si>
  <si>
    <t>ТСН-2001.1. Доп. 1-42. Р. 1, о. 1, поз. 1338</t>
  </si>
  <si>
    <t>Цемент гипсоглиноземистый расширяющийся</t>
  </si>
  <si>
    <t>1.1-1-296</t>
  </si>
  <si>
    <t>ТСН-2001.1. Доп. 1-42. Р. 1, о. 1, поз. 296</t>
  </si>
  <si>
    <t>Каболка</t>
  </si>
  <si>
    <t>2.1-18-24</t>
  </si>
  <si>
    <t>ТСН-2001.2. Доп. 50. п.1-18-24 (183102)</t>
  </si>
  <si>
    <t>Автомобили грузопассажирские, грузоподъемность до 2 т</t>
  </si>
  <si>
    <t>5711400000</t>
  </si>
  <si>
    <t>Песок природный для строительных работ</t>
  </si>
  <si>
    <t>5711100000</t>
  </si>
  <si>
    <t>Щебень для дорожных работ</t>
  </si>
  <si>
    <t>5718400000</t>
  </si>
  <si>
    <t>Смеси асфальтобетонные</t>
  </si>
  <si>
    <t>5898320000</t>
  </si>
  <si>
    <t>Камни бортовые</t>
  </si>
  <si>
    <t>5291000000</t>
  </si>
  <si>
    <t>Стальные конструкции дверей, люков и лазов (529623)</t>
  </si>
  <si>
    <t>1297020000</t>
  </si>
  <si>
    <t>Болты строительные с гайками и шайбами</t>
  </si>
  <si>
    <t>5290900000</t>
  </si>
  <si>
    <t>Стальные конструкции</t>
  </si>
  <si>
    <t>4985110000</t>
  </si>
  <si>
    <t>Доводчик дверной (4987110000)</t>
  </si>
  <si>
    <t>4980000000</t>
  </si>
  <si>
    <t>Скобяные изделия</t>
  </si>
  <si>
    <t>5361110000</t>
  </si>
  <si>
    <t>Блоки дверные</t>
  </si>
  <si>
    <t>2245291000</t>
  </si>
  <si>
    <t>Лента бутиловая для внутренней пароизоляции</t>
  </si>
  <si>
    <t>Лента бутиловая диффузионная</t>
  </si>
  <si>
    <t>2291390000</t>
  </si>
  <si>
    <t>Блоки дверные из ПВХ профилей</t>
  </si>
  <si>
    <t>5775520000</t>
  </si>
  <si>
    <t>Лента бутиловая ПСУЛ</t>
  </si>
  <si>
    <t>5271100000</t>
  </si>
  <si>
    <t>Алюминиевые конструкции оконных блоков</t>
  </si>
  <si>
    <t>5262170000</t>
  </si>
  <si>
    <t>Двери для вентиляционных камер</t>
  </si>
  <si>
    <t>5741210000</t>
  </si>
  <si>
    <t>Кирпич керамический, силикатный (574124) или пустотелый (574104)</t>
  </si>
  <si>
    <t>5745520000</t>
  </si>
  <si>
    <t>Растворы готовые кладочные тяжелые цементно-известковые</t>
  </si>
  <si>
    <t>Раствор цементно-известковый, марки 75</t>
  </si>
  <si>
    <t>5752000000</t>
  </si>
  <si>
    <t>Плитки рядовые керамические</t>
  </si>
  <si>
    <t>0131000000</t>
  </si>
  <si>
    <t>5745120000</t>
  </si>
  <si>
    <t>Смеси сухие для штукатурных работ</t>
  </si>
  <si>
    <t>Растворы тяжелые цементно-известковые, марки 75</t>
  </si>
  <si>
    <t>2312940000</t>
  </si>
  <si>
    <t>Шпатлевка универсальная</t>
  </si>
  <si>
    <t>2322000000</t>
  </si>
  <si>
    <t>Пигменты цветные</t>
  </si>
  <si>
    <t>2388410000</t>
  </si>
  <si>
    <t>Краски водно-дисперсионные поливинилацетатные</t>
  </si>
  <si>
    <t>Шпатлевки</t>
  </si>
  <si>
    <t>Краски водоэмульсионные поливинилацетатные</t>
  </si>
  <si>
    <t>5745150000</t>
  </si>
  <si>
    <t>Смеси сухие для затирки швов</t>
  </si>
  <si>
    <t>5745170000</t>
  </si>
  <si>
    <t>Смеси сухие клеевые для плиточных работ</t>
  </si>
  <si>
    <t>5752421000</t>
  </si>
  <si>
    <t>Плитки керамические типа "керамогранит"</t>
  </si>
  <si>
    <t>5774100000</t>
  </si>
  <si>
    <t>Материал рулонный</t>
  </si>
  <si>
    <t>2316215000</t>
  </si>
  <si>
    <t>Грунтовка</t>
  </si>
  <si>
    <t>5745130000</t>
  </si>
  <si>
    <t>Смеси сухие самовыравнивающиеся</t>
  </si>
  <si>
    <t>0893110000</t>
  </si>
  <si>
    <t>Детали крепления стальные</t>
  </si>
  <si>
    <t>0930110000</t>
  </si>
  <si>
    <t>Сталь листовая оцинкованная толщиной листа 0,5 мм</t>
  </si>
  <si>
    <t>5263930000</t>
  </si>
  <si>
    <t>Детали устройства водостоков по фасадам зданий из оцинкованной кровельной стали</t>
  </si>
  <si>
    <t>0272310000</t>
  </si>
  <si>
    <t>Пропан-бутан</t>
  </si>
  <si>
    <t>Металл для изготовления конструкций</t>
  </si>
  <si>
    <t>2114110000</t>
  </si>
  <si>
    <t>Кислород</t>
  </si>
  <si>
    <t>Песок строительный</t>
  </si>
  <si>
    <t>5711130000</t>
  </si>
  <si>
    <t>Щебень</t>
  </si>
  <si>
    <t>Арматура</t>
  </si>
  <si>
    <t>5745010000</t>
  </si>
  <si>
    <t>Смеси бетонные, БСГ, тяжелого бетона</t>
  </si>
  <si>
    <t>5262420000</t>
  </si>
  <si>
    <t>Стальные конструкции лестниц и площадок</t>
  </si>
  <si>
    <t>2312130000</t>
  </si>
  <si>
    <t>Грунтовка ГФ-021 красно-коричневая</t>
  </si>
  <si>
    <t>5215040000</t>
  </si>
  <si>
    <t>Таблички</t>
  </si>
  <si>
    <t>5772110000</t>
  </si>
  <si>
    <t>Короба с направляющими</t>
  </si>
  <si>
    <t>Перегородки разделительные</t>
  </si>
  <si>
    <t>Углы наружные</t>
  </si>
  <si>
    <t>Заглушки</t>
  </si>
  <si>
    <t>Накладки стыковые</t>
  </si>
  <si>
    <t>Углы внутренние</t>
  </si>
  <si>
    <t>Углы плоские</t>
  </si>
  <si>
    <t>1468070000</t>
  </si>
  <si>
    <t>Средства для крепления труб</t>
  </si>
  <si>
    <t>2248110000</t>
  </si>
  <si>
    <t>Трубы напорные полиэтиленовые (224815) трубы напорные из полипропилена</t>
  </si>
  <si>
    <t>2248130000</t>
  </si>
  <si>
    <t>Фасонные части из полиэтилена (224815) фасонные части из полипропилена</t>
  </si>
  <si>
    <t>3700000000</t>
  </si>
  <si>
    <t>Арматура трубопроводная</t>
  </si>
  <si>
    <t>2249312000</t>
  </si>
  <si>
    <t>Трубные заготовки ПВХ</t>
  </si>
  <si>
    <t>2245300000</t>
  </si>
  <si>
    <t>Лента изоляционная самоклеящаяся</t>
  </si>
  <si>
    <t>2246130000</t>
  </si>
  <si>
    <t>Листы (рулоны) из вспененного каучука, вспененного полиэтилена</t>
  </si>
  <si>
    <t>2247120000</t>
  </si>
  <si>
    <t>Трубки из вспененного каучука, вспененного полиэтилена</t>
  </si>
  <si>
    <t>2513111000</t>
  </si>
  <si>
    <t>Клей</t>
  </si>
  <si>
    <t>4992750000</t>
  </si>
  <si>
    <t>Подводки гибкие к водогазоразборной арматуре</t>
  </si>
  <si>
    <t>4923020000</t>
  </si>
  <si>
    <t>Узлы укрупненные монтажные (трубопроводы) из стальных водогазопроводных оцинкованных труб с гильзами</t>
  </si>
  <si>
    <t>3712140000</t>
  </si>
  <si>
    <t>Клапаны (вентили) пожарного крана латунные, или чугунные (373213)</t>
  </si>
  <si>
    <t>8193230000</t>
  </si>
  <si>
    <t>Рукава пожарные</t>
  </si>
  <si>
    <t>4951120000</t>
  </si>
  <si>
    <t>Смесители ванн и умывальников</t>
  </si>
  <si>
    <t>4951411000</t>
  </si>
  <si>
    <t>Кронштейны</t>
  </si>
  <si>
    <t>4951710000</t>
  </si>
  <si>
    <t>Сифоны бутылочные из цветных металлов, (495240) сифоны полимерные</t>
  </si>
  <si>
    <t>4962000000</t>
  </si>
  <si>
    <t>Умывальники керамические</t>
  </si>
  <si>
    <t>4965230000</t>
  </si>
  <si>
    <t>Унитазы керамические тарельчатые</t>
  </si>
  <si>
    <t>4968130000</t>
  </si>
  <si>
    <t>Бачки смывные непосредственно устанавливаемые на унитаз</t>
  </si>
  <si>
    <t>4945110000</t>
  </si>
  <si>
    <t>Поддоны душевые</t>
  </si>
  <si>
    <t>2385120000</t>
  </si>
  <si>
    <t>Клей дисперсный "АДМ-К"</t>
  </si>
  <si>
    <t>5771020000</t>
  </si>
  <si>
    <t>Линолеум на тканевой основе</t>
  </si>
  <si>
    <t>5745110000</t>
  </si>
  <si>
    <t>Смеси сухие монтажно-кладочные цементно-песчаные</t>
  </si>
  <si>
    <t>5846303000</t>
  </si>
  <si>
    <t>Плиты бетонные тротуарные тактильные</t>
  </si>
  <si>
    <t>4951520000</t>
  </si>
  <si>
    <t>Вешалки и крючки для ванн</t>
  </si>
  <si>
    <t>Поправка: ТСН-2001.6. О.П. п.11  Наименование: Выполняемые при ремонте, капитальном ремонте и реконструкции работы, аналогичные технологическим процессам характерным для нового строительства и отсутствующим в сборниках на ремонтно-строительные работы ТСН-2001.6</t>
  </si>
  <si>
    <t>Блоки дверные металлические противопожарные, дымогазонепроницаемые, теплоизолированные плитами на основе базальтового волокна, остекленные стеклом толщиной 24 мм (0,24 м2), окрашенные порошковыми красками, марка ДПМДО-02/60, двупольные, 1700х2100 мм, масса 182 кг, с замком-защелкой, без доводчика</t>
  </si>
  <si>
    <t>Лента пароизоляционная, самоклеящаяся, уплотнительная, бутилкаучуковая, дублированная нетканым полотном с двух сторон, прочность сцепления не менее 0,03 МПа, диапазон температур эксплуатации от -60 до +90°, ширина 70 мм, для защиты монтажной пены от увлажнения внутри помещения, препятствует образованию конденсата на поверхности внутренних откосов при монтаже оконных и дверных блоков, светопрозрачных конструкций</t>
  </si>
  <si>
    <t>Лента гидроизоляционная, паропроницаемая, самоклеящаяся, мембранного типа, с бутилкаучуковыми клеящими неотверждаемыми слоями герметика с двух краев защищенных антиадгезионной бумагой, прочность сцепления не менее 0,03 МПа, диапазон температур эксплуатации от -60 до +90°С, ширина 70 мм, для изоляции наружных стыков, защиты от проникновения наружной влаги, выхода водяных паров из монтажного шва, защиты монтажной пены от переувлажнения</t>
  </si>
  <si>
    <t>Смесь сухая, мелкозернистая, цементная, с добавлением фракционированного песка, химических и минеральных добавок, штукатурная, для наружных и внутренних работ, ручного нанесения, плотность раствора 2000 кг/м3, прочность на сжатие не менее 15 МПа, прочность сцепления не менее 0,4 МПа, не менее F50, для оштукатуривания фасадов, цоколей, стен в помещениях с повышенной влажностью, выравнивания оснований под облицовку плиткой, природным камнем, шпаклевку, декоративную штукатурку, заполнения небольших раковин, каверн, трещин</t>
  </si>
  <si>
    <t>Краска водно-дисперсионная, акриловая, с коллоидным раствором серебра, биологически активная, для внутренних работ, ручного и механизированного нанесения, сухой остаток от 56 до 62%, водородный показатель не менее рН 8,5, для окраски помещений медицинских учреждений, детских садов, школ, предприятий общественного питания и прочих мест массового посещения людей</t>
  </si>
  <si>
    <t>Кабели силовые, с медными жилами, с изоляцией и оболочкой из поливинилхлоридного пластиката пониженной пожарной опасности, не распространяющие горение, с пониженным дымо- и газовыделением и с низкой токсичностью продуктов горения, напряжение 1000 В, марка ВВГнг(А)-LSLTх, число жил и сечение 3х1,5 мм2</t>
  </si>
  <si>
    <t>Кабели силовые с медными жилами, огнестойкие, с изоляцией и оболочкой из поливинилхлоридного пластиката пониженной пожарной опасности, не распространяющие горение, с пониженным дымо- и газовыделением и с низкой токсичностью продуктов горения, напряжение 1000 В, марка ВВГнг(А)-FRLSLTх, число жил и сечение 2х1,5 мм2</t>
  </si>
  <si>
    <t>Кабели силовые с медными жилами, огнестойкие, с изоляцией и оболочкой из поливинилхлоридного пластиката пониженной пожарной опасности, не распространяющие горение, с пониженным дымо- и газовыделением и с низкой токсичностью продуктов горения, напряжение 1000 В, марка ВВГнг(А)-FRLSLTх, число жил и сечение 3х1,5 мм2</t>
  </si>
  <si>
    <t>Кабели силовые, с медными жилами, с изоляцией и оболочкой из поливинилхлоридного пластиката пониженной пожарной опасности, не распространяющие горение, с пониженным дымо- и газовыделением и с низкой токсичностью продуктов горения, напряжение 1000 В, марка ВВГнг(А)-LSLTх, число жил и сечение 3х2,5 мм2</t>
  </si>
  <si>
    <t>Трубки теплоизоляционные из вспененного полиэтилена с закрытой ячеистой структурой, для тепло- и шумоизоляции внутренних инженерных систем, температура применения до +95°C, коэффициент теплопроводности при температуре 10°C не более 0,038 Вт/(м х °C), группа горючести Г1, внутренний диаметр 22 мм, толщина 9 мм</t>
  </si>
  <si>
    <t>"СОГЛАСОВАНО"</t>
  </si>
  <si>
    <t>"УТВЕРЖДАЮ"</t>
  </si>
  <si>
    <t>Форма № 4б</t>
  </si>
  <si>
    <t>"_____"________________ 2023 г.</t>
  </si>
  <si>
    <t>(наименование стройки и/или объекта)</t>
  </si>
  <si>
    <t>(наименование работ и затрат)</t>
  </si>
  <si>
    <t>В
базисном
уровне
цен</t>
  </si>
  <si>
    <t>В
текущем
уровне
цен</t>
  </si>
  <si>
    <t>Сметная стоимость</t>
  </si>
  <si>
    <t>Работы по монтажу оборудования</t>
  </si>
  <si>
    <t>Прочие работы и затраты</t>
  </si>
  <si>
    <t>Средства на оплату труда</t>
  </si>
  <si>
    <t>Затраты труда</t>
  </si>
  <si>
    <t xml:space="preserve">Кроме того: </t>
  </si>
  <si>
    <t>№ п/п</t>
  </si>
  <si>
    <t>Шифр расценки и коды ресурсов</t>
  </si>
  <si>
    <t>Наименование работ и затрат</t>
  </si>
  <si>
    <t>Ед. изм.</t>
  </si>
  <si>
    <t>Кол-во
единиц</t>
  </si>
  <si>
    <t>Цена на
ед. изм.,
руб.</t>
  </si>
  <si>
    <t>Попра-
вочные
коэффи-
циенты</t>
  </si>
  <si>
    <t>Коэффи-
циенты
зимних
удорожа-
ний</t>
  </si>
  <si>
    <t>Коэффи-
циенты
(индек-
сы) пере-
счета,
нормы
НР и СП</t>
  </si>
  <si>
    <t>ВСЕГО
затрат в
текущем
уровне цен,
руб.</t>
  </si>
  <si>
    <t>Составлен(а) по ТСН-2001 с учетом Дополнения №: 68</t>
  </si>
  <si>
    <t>№ и период сборника коэффициентов (индексов) пересчета: Индексы ТСН-2001 МГЭ ремонт №201 июнь 2023 года и Индекс к Главе 13.2 ТСН-2001 МГЭ июнь 2023 года</t>
  </si>
  <si>
    <t>Всего в
ценах на
январь 2000 года,
руб.</t>
  </si>
  <si>
    <t>ЗП</t>
  </si>
  <si>
    <t>НР от ЗП</t>
  </si>
  <si>
    <t>%</t>
  </si>
  <si>
    <t>СП от ЗП</t>
  </si>
  <si>
    <t>ЗТР</t>
  </si>
  <si>
    <t>чел-ч</t>
  </si>
  <si>
    <t>ВСЕГО работ по позиции:</t>
  </si>
  <si>
    <t>ВСЕГО оборудование по позиции:</t>
  </si>
  <si>
    <t>ВСЕГО по позиции:</t>
  </si>
  <si>
    <t xml:space="preserve">   Итого по ТСН-2001.16</t>
  </si>
  <si>
    <t xml:space="preserve">   Итого возвратных сумм</t>
  </si>
  <si>
    <r>
      <t>3.27-12-1</t>
    </r>
    <r>
      <rPr>
        <i/>
        <sz val="10"/>
        <rFont val="Arial"/>
        <family val="2"/>
        <charset val="204"/>
      </rPr>
      <t xml:space="preserve">
Поправка: ТСН-2001.6. О.П. п.11</t>
    </r>
  </si>
  <si>
    <t>ЭМ</t>
  </si>
  <si>
    <t>в т.ч. ЗПМ</t>
  </si>
  <si>
    <t>МР</t>
  </si>
  <si>
    <t>НР и СП от ЗПМ</t>
  </si>
  <si>
    <r>
      <t>3.27-12-2</t>
    </r>
    <r>
      <rPr>
        <i/>
        <sz val="10"/>
        <rFont val="Arial"/>
        <family val="2"/>
        <charset val="204"/>
      </rPr>
      <t xml:space="preserve">
Поправка: ТСН-2001.6. О.П. п.11</t>
    </r>
  </si>
  <si>
    <r>
      <t>3.27-47-1</t>
    </r>
    <r>
      <rPr>
        <i/>
        <sz val="10"/>
        <rFont val="Arial"/>
        <family val="2"/>
        <charset val="204"/>
      </rPr>
      <t xml:space="preserve">
Поправка: ТСН-2001.6. О.П. п.11</t>
    </r>
  </si>
  <si>
    <r>
      <t>3.27-47-2</t>
    </r>
    <r>
      <rPr>
        <i/>
        <sz val="10"/>
        <rFont val="Arial"/>
        <family val="2"/>
        <charset val="204"/>
      </rPr>
      <t xml:space="preserve">
Поправка: ТСН-2001.6. О.П. п.11</t>
    </r>
  </si>
  <si>
    <r>
      <t>1.3-3-9</t>
    </r>
    <r>
      <rPr>
        <i/>
        <sz val="10"/>
        <rFont val="Arial"/>
        <family val="2"/>
        <charset val="204"/>
      </rPr>
      <t xml:space="preserve">
Поправка: ТСН-2001.6. О.П. п.11</t>
    </r>
  </si>
  <si>
    <t>к нр )*9</t>
  </si>
  <si>
    <r>
      <t>3.27-26-2</t>
    </r>
    <r>
      <rPr>
        <i/>
        <sz val="10"/>
        <rFont val="Arial"/>
        <family val="2"/>
        <charset val="204"/>
      </rPr>
      <t xml:space="preserve">
Поправка: ТСН-2001.6. О.П. п.11</t>
    </r>
  </si>
  <si>
    <r>
      <t>3.9-36-1</t>
    </r>
    <r>
      <rPr>
        <i/>
        <sz val="10"/>
        <rFont val="Arial"/>
        <family val="2"/>
        <charset val="204"/>
      </rPr>
      <t xml:space="preserve">
Поправка: ТСН-2001.6. О.П. п.23.6</t>
    </r>
  </si>
  <si>
    <r>
      <t>3.9-35-1</t>
    </r>
    <r>
      <rPr>
        <i/>
        <sz val="10"/>
        <rFont val="Arial"/>
        <family val="2"/>
        <charset val="204"/>
      </rPr>
      <t xml:space="preserve">
Поправка: ТСН-2001.6. О.П. п.23.6</t>
    </r>
  </si>
  <si>
    <r>
      <t>6.57-2-7</t>
    </r>
    <r>
      <rPr>
        <i/>
        <sz val="10"/>
        <rFont val="Arial"/>
        <family val="2"/>
        <charset val="204"/>
      </rPr>
      <t xml:space="preserve">
Поправка: ТСН-2001.6-57. р3. п.3.1.2</t>
    </r>
  </si>
  <si>
    <t>к нр )*4</t>
  </si>
  <si>
    <r>
      <t>9999990001</t>
    </r>
    <r>
      <rPr>
        <i/>
        <sz val="10"/>
        <rFont val="Arial"/>
        <family val="2"/>
        <charset val="204"/>
      </rPr>
      <t xml:space="preserve">
Поправка: ТСН-2001.6-63. р3. п.3.1.2</t>
    </r>
  </si>
  <si>
    <r>
      <t>3.10-82-1</t>
    </r>
    <r>
      <rPr>
        <i/>
        <sz val="10"/>
        <rFont val="Arial"/>
        <family val="2"/>
        <charset val="204"/>
      </rPr>
      <t xml:space="preserve">
Поправка: ТСН-2001.6. О.П. п.11</t>
    </r>
  </si>
  <si>
    <r>
      <t>3.10-21-1</t>
    </r>
    <r>
      <rPr>
        <i/>
        <sz val="10"/>
        <rFont val="Arial"/>
        <family val="2"/>
        <charset val="204"/>
      </rPr>
      <t xml:space="preserve">
Поправка: ТСН-2001.6. О.П. п.11</t>
    </r>
  </si>
  <si>
    <r>
      <t>Дверь композитная глухая полнозаполненная пенополистиролом из ПВХ 1,5 мм 2000*1000 Капель (ДГ10)</t>
    </r>
    <r>
      <rPr>
        <i/>
        <sz val="10"/>
        <rFont val="Arial"/>
        <family val="2"/>
        <charset val="204"/>
      </rPr>
      <t xml:space="preserve">
2 723,93 = [27 720 / 1,2 /  8,65] +  2% Трансп</t>
    </r>
  </si>
  <si>
    <r>
      <t>Дверь композитная глухая полнозаполненная пенополистиролом из ПВХ 1,5 мм 2000*900 Капель (ДГ9)</t>
    </r>
    <r>
      <rPr>
        <i/>
        <sz val="10"/>
        <rFont val="Arial"/>
        <family val="2"/>
        <charset val="204"/>
      </rPr>
      <t xml:space="preserve">
22 207,99 = [225 999 / 1,2 /  8,65] +  2% Трансп</t>
    </r>
  </si>
  <si>
    <r>
      <t>3.10-83-2</t>
    </r>
    <r>
      <rPr>
        <i/>
        <sz val="10"/>
        <rFont val="Arial"/>
        <family val="2"/>
        <charset val="204"/>
      </rPr>
      <t xml:space="preserve">
Поправка: ТСН-2001.6. О.П. п.11</t>
    </r>
  </si>
  <si>
    <r>
      <t>3.10-78-1</t>
    </r>
    <r>
      <rPr>
        <i/>
        <sz val="10"/>
        <rFont val="Arial"/>
        <family val="2"/>
        <charset val="204"/>
      </rPr>
      <t xml:space="preserve">
Поправка: ТСН-2001.6. О.П. п.11</t>
    </r>
  </si>
  <si>
    <r>
      <t>3.9-54-1</t>
    </r>
    <r>
      <rPr>
        <i/>
        <sz val="10"/>
        <rFont val="Arial"/>
        <family val="2"/>
        <charset val="204"/>
      </rPr>
      <t xml:space="preserve">
Поправка: ТСН-2001.6. О.П. п.11</t>
    </r>
  </si>
  <si>
    <r>
      <t>Алюминиевое противопожарное окно ОП 1 (E 60)</t>
    </r>
    <r>
      <rPr>
        <i/>
        <sz val="10"/>
        <rFont val="Arial"/>
        <family val="2"/>
        <charset val="204"/>
      </rPr>
      <t xml:space="preserve">
3 419,65 = [34 800 / 1,2 /  8,65] +  2% Трансп</t>
    </r>
  </si>
  <si>
    <r>
      <t>3.20-26-2</t>
    </r>
    <r>
      <rPr>
        <i/>
        <sz val="10"/>
        <rFont val="Arial"/>
        <family val="2"/>
        <charset val="204"/>
      </rPr>
      <t xml:space="preserve">
Поправка: ТСН-2001.6. О.П. п.11</t>
    </r>
  </si>
  <si>
    <r>
      <t>Дверь для пожарной ниши ДПН 600x700</t>
    </r>
    <r>
      <rPr>
        <i/>
        <sz val="10"/>
        <rFont val="Arial"/>
        <family val="2"/>
        <charset val="204"/>
      </rPr>
      <t xml:space="preserve">
218,06 = [2 219 / 1,2 /  8,65] +  2% Трансп</t>
    </r>
  </si>
  <si>
    <r>
      <t>3.8-4-5</t>
    </r>
    <r>
      <rPr>
        <i/>
        <sz val="10"/>
        <rFont val="Arial"/>
        <family val="2"/>
        <charset val="204"/>
      </rPr>
      <t xml:space="preserve">
Поправка: ТСН-2001.6. О.П. п.11</t>
    </r>
  </si>
  <si>
    <r>
      <t>3.15-13-1</t>
    </r>
    <r>
      <rPr>
        <i/>
        <sz val="10"/>
        <rFont val="Arial"/>
        <family val="2"/>
        <charset val="204"/>
      </rPr>
      <t xml:space="preserve">
Поправка: ТСН-2001.6. О.П. п.11</t>
    </r>
  </si>
  <si>
    <r>
      <t>3.15-52-1</t>
    </r>
    <r>
      <rPr>
        <i/>
        <sz val="10"/>
        <rFont val="Arial"/>
        <family val="2"/>
        <charset val="204"/>
      </rPr>
      <t xml:space="preserve">
Поправка: ТСН-2001.6. О.П. п.11</t>
    </r>
  </si>
  <si>
    <r>
      <t>3.15-96-3</t>
    </r>
    <r>
      <rPr>
        <i/>
        <sz val="10"/>
        <rFont val="Arial"/>
        <family val="2"/>
        <charset val="204"/>
      </rPr>
      <t xml:space="preserve">
Поправка: ТСН-2001.6. О.П. п.11</t>
    </r>
  </si>
  <si>
    <r>
      <t>3.15-29-1</t>
    </r>
    <r>
      <rPr>
        <i/>
        <sz val="10"/>
        <rFont val="Arial"/>
        <family val="2"/>
        <charset val="204"/>
      </rPr>
      <t xml:space="preserve">
Поправка: ТСН-2001.6. О.П. п.11</t>
    </r>
  </si>
  <si>
    <r>
      <t>3.11-36-1</t>
    </r>
    <r>
      <rPr>
        <i/>
        <sz val="10"/>
        <rFont val="Arial"/>
        <family val="2"/>
        <charset val="204"/>
      </rPr>
      <t xml:space="preserve">
Поправка: ТСН-2001.6. О.П. п.11</t>
    </r>
  </si>
  <si>
    <r>
      <t>Плитки керамические, типа керамогранит, неполированные  300х300х8</t>
    </r>
    <r>
      <rPr>
        <i/>
        <sz val="10"/>
        <rFont val="Arial"/>
        <family val="2"/>
        <charset val="204"/>
      </rPr>
      <t xml:space="preserve">
143,47 = [1 460 / 1,2 /  8,65] +  2% Трансп</t>
    </r>
  </si>
  <si>
    <r>
      <t>3.11-4-1</t>
    </r>
    <r>
      <rPr>
        <i/>
        <sz val="10"/>
        <rFont val="Arial"/>
        <family val="2"/>
        <charset val="204"/>
      </rPr>
      <t xml:space="preserve">
Поправка: ТСН-2001.6. О.П. п.11</t>
    </r>
  </si>
  <si>
    <r>
      <t>3.11-10-11</t>
    </r>
    <r>
      <rPr>
        <i/>
        <sz val="10"/>
        <rFont val="Arial"/>
        <family val="2"/>
        <charset val="204"/>
      </rPr>
      <t xml:space="preserve">
Поправка: ТСН-2001.6. О.П. п.11</t>
    </r>
  </si>
  <si>
    <r>
      <t>6.53-2-1</t>
    </r>
    <r>
      <rPr>
        <i/>
        <sz val="10"/>
        <rFont val="Arial"/>
        <family val="2"/>
        <charset val="204"/>
      </rPr>
      <t xml:space="preserve">
Поправка: ТСН-2001.6-53. р3. п.3.1.1</t>
    </r>
  </si>
  <si>
    <r>
      <t>3.9-61-1</t>
    </r>
    <r>
      <rPr>
        <i/>
        <sz val="10"/>
        <rFont val="Arial"/>
        <family val="2"/>
        <charset val="204"/>
      </rPr>
      <t xml:space="preserve">
Поправка: ТСН-2001.6. О.П. п.23.6</t>
    </r>
  </si>
  <si>
    <r>
      <t>3.8-1-1</t>
    </r>
    <r>
      <rPr>
        <i/>
        <sz val="10"/>
        <rFont val="Arial"/>
        <family val="2"/>
        <charset val="204"/>
      </rPr>
      <t xml:space="preserve">
Поправка: ТСН-2001.6. О.П. п.11</t>
    </r>
  </si>
  <si>
    <r>
      <t>3.8-1-2</t>
    </r>
    <r>
      <rPr>
        <i/>
        <sz val="10"/>
        <rFont val="Arial"/>
        <family val="2"/>
        <charset val="204"/>
      </rPr>
      <t xml:space="preserve">
Поправка: ТСН-2001.6. О.П. п.11</t>
    </r>
  </si>
  <si>
    <r>
      <t>3.6-1-15</t>
    </r>
    <r>
      <rPr>
        <i/>
        <sz val="10"/>
        <rFont val="Arial"/>
        <family val="2"/>
        <charset val="204"/>
      </rPr>
      <t xml:space="preserve">
Поправка: ТСН-2001.6. О.П. п.11</t>
    </r>
  </si>
  <si>
    <r>
      <t>3.9-35-3</t>
    </r>
    <r>
      <rPr>
        <i/>
        <sz val="10"/>
        <rFont val="Arial"/>
        <family val="2"/>
        <charset val="204"/>
      </rPr>
      <t xml:space="preserve">
Поправка: ТСН-2001.6. О.П. п.11</t>
    </r>
  </si>
  <si>
    <r>
      <t>3.9-20-1</t>
    </r>
    <r>
      <rPr>
        <i/>
        <sz val="10"/>
        <rFont val="Arial"/>
        <family val="2"/>
        <charset val="204"/>
      </rPr>
      <t xml:space="preserve">
Поправка: ТСН-2001.6. О.П. п.11</t>
    </r>
  </si>
  <si>
    <r>
      <t>3.9-61-1</t>
    </r>
    <r>
      <rPr>
        <i/>
        <sz val="10"/>
        <rFont val="Arial"/>
        <family val="2"/>
        <charset val="204"/>
      </rPr>
      <t xml:space="preserve">
Поправка: ТСН-2001.6. О.П. п.11</t>
    </r>
  </si>
  <si>
    <r>
      <t>Ограждение из нержавеющей стали с вертикальным заполнением с шагом не более 100мм с двухуровневым поручнем (Н=900мм)L=12,5п.м.</t>
    </r>
    <r>
      <rPr>
        <i/>
        <sz val="10"/>
        <rFont val="Arial"/>
        <family val="2"/>
        <charset val="204"/>
      </rPr>
      <t xml:space="preserve">
786,12 = [8 000 / 1,2 /  8,65] +  2% Трансп</t>
    </r>
  </si>
  <si>
    <r>
      <t>3.13-9-2</t>
    </r>
    <r>
      <rPr>
        <i/>
        <sz val="10"/>
        <rFont val="Arial"/>
        <family val="2"/>
        <charset val="204"/>
      </rPr>
      <t xml:space="preserve">
Поправка: ТСН-2001.6. О.П. п.11</t>
    </r>
  </si>
  <si>
    <r>
      <t>3.13-11-8</t>
    </r>
    <r>
      <rPr>
        <i/>
        <sz val="10"/>
        <rFont val="Arial"/>
        <family val="2"/>
        <charset val="204"/>
      </rPr>
      <t xml:space="preserve">
Поправка: ТСН-2001.6. О.П. п.11</t>
    </r>
  </si>
  <si>
    <r>
      <t>3.9-65-1</t>
    </r>
    <r>
      <rPr>
        <i/>
        <sz val="10"/>
        <rFont val="Arial"/>
        <family val="2"/>
        <charset val="204"/>
      </rPr>
      <t xml:space="preserve">
Поправка: ТСН-2001.6. О.П. п.11</t>
    </r>
  </si>
  <si>
    <r>
      <t>MP-010R2 Табличка тактильная с пиктограммой "SOS с трубкой" (150x150мм) красный фон</t>
    </r>
    <r>
      <rPr>
        <i/>
        <sz val="10"/>
        <rFont val="Arial"/>
        <family val="2"/>
        <charset val="204"/>
      </rPr>
      <t xml:space="preserve">
67,80 = [690 / 1,2 /  8,65] +  2% Трансп</t>
    </r>
  </si>
  <si>
    <r>
      <t>MP-010R1 Табличка тактильная с пиктограммой "SOS" (150x150мм) красный фон</t>
    </r>
    <r>
      <rPr>
        <i/>
        <sz val="10"/>
        <rFont val="Arial"/>
        <family val="2"/>
        <charset val="204"/>
      </rPr>
      <t xml:space="preserve">
67,80 = [690 / 1,2 /  8,65] +  2% Трансп</t>
    </r>
  </si>
  <si>
    <r>
      <t>Металлорукав 10 мм в ПВХ черный (6071-010N) DKC</t>
    </r>
    <r>
      <rPr>
        <i/>
        <sz val="10"/>
        <rFont val="Arial"/>
        <family val="2"/>
        <charset val="204"/>
      </rPr>
      <t xml:space="preserve">
12,28 = [125 / 1,2 /  8,65] +  2% Трансп</t>
    </r>
  </si>
  <si>
    <r>
      <t>IP-камера видеонаблюдения уличная в стандартном исполнении RVi-IPC41S V.2 (2.8 мм)</t>
    </r>
    <r>
      <rPr>
        <i/>
        <sz val="10"/>
        <rFont val="Arial"/>
        <family val="2"/>
        <charset val="204"/>
      </rPr>
      <t xml:space="preserve">
475,61 = [4 840 / 1,2 /  8,65] +  2% Трансп</t>
    </r>
  </si>
  <si>
    <r>
      <t>IP видеорегистратор 4 канальный RVi-IPN4/1-4P</t>
    </r>
    <r>
      <rPr>
        <i/>
        <sz val="10"/>
        <rFont val="Arial"/>
        <family val="2"/>
        <charset val="204"/>
      </rPr>
      <t xml:space="preserve">
918,79 = [9 350 / 1,2 /  8,65] +  2% Трансп</t>
    </r>
  </si>
  <si>
    <t>ОБОРУДОВАНИЕ:
Источник бесперебойного питания, напольный, мощность 550 ВА/330Вт. Внутренние АКБ, номинальное напряжение 230 В, время автономной работы до 10 мин., рабочая температура от 0 до +40°C, габаритные размеры 140х335х86 мм</t>
  </si>
  <si>
    <r>
      <t>Монитор Hikvision DS-D5027FN 27" для видеонаблюдения</t>
    </r>
    <r>
      <rPr>
        <i/>
        <sz val="10"/>
        <rFont val="Arial"/>
        <family val="2"/>
        <charset val="204"/>
      </rPr>
      <t xml:space="preserve">
1 618,05 = [16 466 / 1,2 /  8,65] +  2% Трансп</t>
    </r>
  </si>
  <si>
    <r>
      <t>GC-1006DG Пульт селекторной связи на 6 абонента</t>
    </r>
    <r>
      <rPr>
        <i/>
        <sz val="10"/>
        <rFont val="Arial"/>
        <family val="2"/>
        <charset val="204"/>
      </rPr>
      <t xml:space="preserve">
1 666,59 = [16 960 / 1,2 /  8,65] +  2% Трансп</t>
    </r>
  </si>
  <si>
    <r>
      <t>Абонентское переговорное устройство GC-2001P1</t>
    </r>
    <r>
      <rPr>
        <i/>
        <sz val="10"/>
        <rFont val="Arial"/>
        <family val="2"/>
        <charset val="204"/>
      </rPr>
      <t xml:space="preserve">
969,89 = [9 870 / 1,2 /  8,65] +  2% Трансп</t>
    </r>
  </si>
  <si>
    <r>
      <t>GC-2001W3 абонентское громкоговорящее устройство</t>
    </r>
    <r>
      <rPr>
        <i/>
        <sz val="10"/>
        <rFont val="Arial"/>
        <family val="2"/>
        <charset val="204"/>
      </rPr>
      <t xml:space="preserve">
406,82 = [4 140 / 1,2 /  8,65] +  2% Трансп</t>
    </r>
  </si>
  <si>
    <r>
      <t>GC-0611W2 Сигнальная лампа</t>
    </r>
    <r>
      <rPr>
        <i/>
        <sz val="10"/>
        <rFont val="Arial"/>
        <family val="2"/>
        <charset val="204"/>
      </rPr>
      <t xml:space="preserve">
395,03 = [4 020 / 1,2 /  8,65] +  2% Трансп</t>
    </r>
  </si>
  <si>
    <r>
      <t>GC-0421W1 Кнопка сброса</t>
    </r>
    <r>
      <rPr>
        <i/>
        <sz val="10"/>
        <rFont val="Arial"/>
        <family val="2"/>
        <charset val="204"/>
      </rPr>
      <t xml:space="preserve">
118,90 = [1 210 / 1,2 /  8,65] +  2% Трансп</t>
    </r>
  </si>
  <si>
    <r>
      <t>GC-0423W1 Проводная влагозащищенная кнопка вызова со шнуром.</t>
    </r>
    <r>
      <rPr>
        <i/>
        <sz val="10"/>
        <rFont val="Arial"/>
        <family val="2"/>
        <charset val="204"/>
      </rPr>
      <t xml:space="preserve">
267,28 = [2 720 / 1,2 /  8,65] +  2% Трансп</t>
    </r>
  </si>
  <si>
    <r>
      <t>4.8-218-1</t>
    </r>
    <r>
      <rPr>
        <i/>
        <sz val="10"/>
        <rFont val="Arial"/>
        <family val="2"/>
        <charset val="204"/>
      </rPr>
      <t xml:space="preserve">
Поправка: ТСН-2001.4-8. о3. р3. п.6</t>
    </r>
  </si>
  <si>
    <r>
      <t>Светодиодный светильник "ВАРТОН" ЖКХ круг IP65 185*70 мм антивандальный 10 ВТ (диод 0,1Вт) 4000К</t>
    </r>
    <r>
      <rPr>
        <i/>
        <sz val="10"/>
        <rFont val="Arial"/>
        <family val="2"/>
        <charset val="204"/>
      </rPr>
      <t xml:space="preserve">
163,81 = [1 667 / 1,2 /  8,65] +  2% Трансп</t>
    </r>
  </si>
  <si>
    <r>
      <t>Светильник ДБО-85-16-001 Tablette 840, 1407Лм, IP65</t>
    </r>
    <r>
      <rPr>
        <i/>
        <sz val="10"/>
        <rFont val="Arial"/>
        <family val="2"/>
        <charset val="204"/>
      </rPr>
      <t xml:space="preserve">
786,91 = [8 008 / 1,2 /  8,65] +  2% Трансп</t>
    </r>
  </si>
  <si>
    <r>
      <t>Светильник ДБО-85-16-041 Tablette EM1 850, 1407мм, IP65 с блоком аварийного питания</t>
    </r>
    <r>
      <rPr>
        <i/>
        <sz val="10"/>
        <rFont val="Arial"/>
        <family val="2"/>
        <charset val="204"/>
      </rPr>
      <t xml:space="preserve">
1 152,47 = [11 728 / 1,2 /  8,65] +  2% Трансп</t>
    </r>
  </si>
  <si>
    <r>
      <t>Фотореле ФР601 2200ВА IP44 серый максимальная нагрузка 1100Вт (LFR20-601-2200-003)</t>
    </r>
    <r>
      <rPr>
        <i/>
        <sz val="10"/>
        <rFont val="Arial"/>
        <family val="2"/>
        <charset val="204"/>
      </rPr>
      <t xml:space="preserve">
23,38 = [237,86 / 1,2 /  8,65] +  2% Трансп</t>
    </r>
  </si>
  <si>
    <r>
      <t>Клеммная колодка WAGO 273-503</t>
    </r>
    <r>
      <rPr>
        <i/>
        <sz val="10"/>
        <rFont val="Arial"/>
        <family val="2"/>
        <charset val="204"/>
      </rPr>
      <t xml:space="preserve">
3,14 = [32 / 1,2 /  8,65] +  2% Трансп</t>
    </r>
  </si>
  <si>
    <r>
      <t>ДКС 6071R-015N Металлорукав DN 15мм в ПВХ изоляции</t>
    </r>
    <r>
      <rPr>
        <i/>
        <sz val="10"/>
        <rFont val="Arial"/>
        <family val="2"/>
        <charset val="204"/>
      </rPr>
      <t xml:space="preserve">
14,64 = [149 / 1,2 /  8,65] +  2% Трансп</t>
    </r>
  </si>
  <si>
    <r>
      <t>ВВГнг(А)-LSLTx 2х1,5 -1 кВ (ГОСТ)</t>
    </r>
    <r>
      <rPr>
        <i/>
        <sz val="10"/>
        <rFont val="Arial"/>
        <family val="2"/>
        <charset val="204"/>
      </rPr>
      <t xml:space="preserve">
5,41 = [55 / 1,2 /  8,65] +  2% Трансп</t>
    </r>
  </si>
  <si>
    <r>
      <t>ВВГнг(А)-FRLSLTx 4* 1,5 ГОСТ</t>
    </r>
    <r>
      <rPr>
        <i/>
        <sz val="10"/>
        <rFont val="Arial"/>
        <family val="2"/>
        <charset val="204"/>
      </rPr>
      <t xml:space="preserve">
8,74 = [89 / 1,2 /  8,65] +  2% Трансп</t>
    </r>
  </si>
  <si>
    <r>
      <t>3.16-14-2</t>
    </r>
    <r>
      <rPr>
        <i/>
        <sz val="10"/>
        <rFont val="Arial"/>
        <family val="2"/>
        <charset val="204"/>
      </rPr>
      <t xml:space="preserve">
Поправка: ТСН-2001.6. О.П. п.23.5</t>
    </r>
  </si>
  <si>
    <r>
      <t>3.16-13-2</t>
    </r>
    <r>
      <rPr>
        <i/>
        <sz val="10"/>
        <rFont val="Arial"/>
        <family val="2"/>
        <charset val="204"/>
      </rPr>
      <t xml:space="preserve">
Поправка: ТСН-2001.6. О.П. п.23.5</t>
    </r>
  </si>
  <si>
    <r>
      <t>3.16-14-2</t>
    </r>
    <r>
      <rPr>
        <i/>
        <sz val="10"/>
        <rFont val="Arial"/>
        <family val="2"/>
        <charset val="204"/>
      </rPr>
      <t xml:space="preserve">
Поправка: ТСН-2001.6. О.П. п.11</t>
    </r>
  </si>
  <si>
    <r>
      <t>3.26-16-1</t>
    </r>
    <r>
      <rPr>
        <i/>
        <sz val="10"/>
        <rFont val="Arial"/>
        <family val="2"/>
        <charset val="204"/>
      </rPr>
      <t xml:space="preserve">
Поправка: ТСН-2001.6. О.П. п.11</t>
    </r>
  </si>
  <si>
    <r>
      <t>3.16-14-1</t>
    </r>
    <r>
      <rPr>
        <i/>
        <sz val="10"/>
        <rFont val="Arial"/>
        <family val="2"/>
        <charset val="204"/>
      </rPr>
      <t xml:space="preserve">
Поправка: ТСН-2001.6. О.П. п.11</t>
    </r>
  </si>
  <si>
    <r>
      <t>3.16-7-6</t>
    </r>
    <r>
      <rPr>
        <i/>
        <sz val="10"/>
        <rFont val="Arial"/>
        <family val="2"/>
        <charset val="204"/>
      </rPr>
      <t xml:space="preserve">
Поправка: ТСН-2001.6. О.П. п.11</t>
    </r>
  </si>
  <si>
    <r>
      <t>3.16-7-8</t>
    </r>
    <r>
      <rPr>
        <i/>
        <sz val="10"/>
        <rFont val="Arial"/>
        <family val="2"/>
        <charset val="204"/>
      </rPr>
      <t xml:space="preserve">
Поправка: ТСН-2001.6. О.П. п.11</t>
    </r>
  </si>
  <si>
    <r>
      <t>3.16-20-1</t>
    </r>
    <r>
      <rPr>
        <i/>
        <sz val="10"/>
        <rFont val="Arial"/>
        <family val="2"/>
        <charset val="204"/>
      </rPr>
      <t xml:space="preserve">
Поправка: ТСН-2001.6. О.П. п.11</t>
    </r>
  </si>
  <si>
    <r>
      <t>3.16-13-1</t>
    </r>
    <r>
      <rPr>
        <i/>
        <sz val="10"/>
        <rFont val="Arial"/>
        <family val="2"/>
        <charset val="204"/>
      </rPr>
      <t xml:space="preserve">
Поправка: ТСН-2001.6. О.П. п.11</t>
    </r>
  </si>
  <si>
    <r>
      <t>Хомут сантехнический 1.1/4 (42-45 мм) со шпилькой и дюбелем</t>
    </r>
    <r>
      <rPr>
        <i/>
        <sz val="10"/>
        <rFont val="Arial"/>
        <family val="2"/>
        <charset val="204"/>
      </rPr>
      <t xml:space="preserve">
3,62 = [36,82 / 1,2 /  8,65] +  2% Трансп</t>
    </r>
  </si>
  <si>
    <r>
      <t>3.16-13-2</t>
    </r>
    <r>
      <rPr>
        <i/>
        <sz val="10"/>
        <rFont val="Arial"/>
        <family val="2"/>
        <charset val="204"/>
      </rPr>
      <t xml:space="preserve">
Поправка: ТСН-2001.6. О.П. п.11</t>
    </r>
  </si>
  <si>
    <r>
      <t>Манжета для унитаза гофрированная прямая d = 110 мм.</t>
    </r>
    <r>
      <rPr>
        <i/>
        <sz val="10"/>
        <rFont val="Arial"/>
        <family val="2"/>
        <charset val="204"/>
      </rPr>
      <t xml:space="preserve">
16,80 = [171 / 1,2 /  8,65] +  2% Трансп</t>
    </r>
  </si>
  <si>
    <r>
      <t>Хомут сантехнический 4" (108-114 мм) со шпилькой и дюбелем</t>
    </r>
    <r>
      <rPr>
        <i/>
        <sz val="10"/>
        <rFont val="Arial"/>
        <family val="2"/>
        <charset val="204"/>
      </rPr>
      <t xml:space="preserve">
10,81 = [110 / 1,2 /  8,65] +  2% Трансп</t>
    </r>
  </si>
  <si>
    <r>
      <t>3.17-1-6</t>
    </r>
    <r>
      <rPr>
        <i/>
        <sz val="10"/>
        <rFont val="Arial"/>
        <family val="2"/>
        <charset val="204"/>
      </rPr>
      <t xml:space="preserve">
Поправка: ТСН-2001.6. О.П. п.11</t>
    </r>
  </si>
  <si>
    <r>
      <t>Раковина Jika Mio 8137140001049 для людей с ограниченными возможностями (медицинская)</t>
    </r>
    <r>
      <rPr>
        <i/>
        <sz val="10"/>
        <rFont val="Arial"/>
        <family val="2"/>
        <charset val="204"/>
      </rPr>
      <t xml:space="preserve">
856,19 = [8 713 / 1,2 /  8,65] +  2% Трансп</t>
    </r>
  </si>
  <si>
    <r>
      <t>Смеситель для умывальника с локтевой рукояткой,PROJECT LM4611C, LEMARK, излив 200</t>
    </r>
    <r>
      <rPr>
        <i/>
        <sz val="10"/>
        <rFont val="Arial"/>
        <family val="2"/>
        <charset val="204"/>
      </rPr>
      <t xml:space="preserve">
540,96 = [5 505 / 1,2 /  8,65] +  2% Трансп</t>
    </r>
  </si>
  <si>
    <r>
      <t>3.17-3-1</t>
    </r>
    <r>
      <rPr>
        <i/>
        <sz val="10"/>
        <rFont val="Arial"/>
        <family val="2"/>
        <charset val="204"/>
      </rPr>
      <t xml:space="preserve">
Поправка: ТСН-2001.6. О.П. п.11</t>
    </r>
  </si>
  <si>
    <r>
      <t>Унитаз-компакт VitrA Conforma 9832B003-7204 для людей с ограниченными возможностями</t>
    </r>
    <r>
      <rPr>
        <i/>
        <sz val="10"/>
        <rFont val="Arial"/>
        <family val="2"/>
        <charset val="204"/>
      </rPr>
      <t xml:space="preserve">
4 833,70 = [49 190 / 1,2 /  8,65] +  2% Трансп</t>
    </r>
  </si>
  <si>
    <r>
      <t>3.17-1-10</t>
    </r>
    <r>
      <rPr>
        <i/>
        <sz val="10"/>
        <rFont val="Arial"/>
        <family val="2"/>
        <charset val="204"/>
      </rPr>
      <t xml:space="preserve">
Поправка: ТСН-2001.6. О.П. п.11</t>
    </r>
  </si>
  <si>
    <r>
      <t>3.17-2-3</t>
    </r>
    <r>
      <rPr>
        <i/>
        <sz val="10"/>
        <rFont val="Arial"/>
        <family val="2"/>
        <charset val="204"/>
      </rPr>
      <t xml:space="preserve">
Поправка: ТСН-2001.6. О.П. п.11</t>
    </r>
  </si>
  <si>
    <r>
      <t>Смеситель для ванны Grohe BauEdge New хром</t>
    </r>
    <r>
      <rPr>
        <i/>
        <sz val="10"/>
        <rFont val="Arial"/>
        <family val="2"/>
        <charset val="204"/>
      </rPr>
      <t xml:space="preserve">
1 186,15 = [10 059 /  8,65] +  2% Трансп</t>
    </r>
  </si>
  <si>
    <r>
      <t>3.11-26-3</t>
    </r>
    <r>
      <rPr>
        <i/>
        <sz val="10"/>
        <rFont val="Arial"/>
        <family val="2"/>
        <charset val="204"/>
      </rPr>
      <t xml:space="preserve">
Поправка: ТСН-2001.6. О.П. п.11</t>
    </r>
  </si>
  <si>
    <r>
      <t>Цветная нескользящая лента Л-25, светонакопительная. 25мм</t>
    </r>
    <r>
      <rPr>
        <i/>
        <sz val="10"/>
        <rFont val="Arial"/>
        <family val="2"/>
        <charset val="204"/>
      </rPr>
      <t xml:space="preserve">
9,82 = [100 / 1,2 /  8,65] +  2% Трансп</t>
    </r>
  </si>
  <si>
    <r>
      <t>3.47-76-4</t>
    </r>
    <r>
      <rPr>
        <i/>
        <sz val="10"/>
        <rFont val="Arial"/>
        <family val="2"/>
        <charset val="204"/>
      </rPr>
      <t xml:space="preserve">
Поправка: ТСН-2001.6. О.П. п.11</t>
    </r>
  </si>
  <si>
    <r>
      <t>Плиты бетонные тротуарные тактильные, толщина 100 мм, цвет серый</t>
    </r>
    <r>
      <rPr>
        <i/>
        <sz val="10"/>
        <rFont val="Arial"/>
        <family val="2"/>
        <charset val="204"/>
      </rPr>
      <t xml:space="preserve">
54,05 = [550 / 1,2 /  8,65] +  2% Трансп</t>
    </r>
  </si>
  <si>
    <r>
      <t>Пиктограмма тактильная</t>
    </r>
    <r>
      <rPr>
        <i/>
        <sz val="10"/>
        <rFont val="Arial"/>
        <family val="2"/>
        <charset val="204"/>
      </rPr>
      <t xml:space="preserve">
29,48 = [300 / 1,2 /  8,65] +  2% Трансп</t>
    </r>
  </si>
  <si>
    <r>
      <t>Таблички с шрифтом Брайля</t>
    </r>
    <r>
      <rPr>
        <i/>
        <sz val="10"/>
        <rFont val="Arial"/>
        <family val="2"/>
        <charset val="204"/>
      </rPr>
      <t xml:space="preserve">
48,15 = [490 / 1,2 /  8,65] +  2% Трансп</t>
    </r>
  </si>
  <si>
    <r>
      <t>3.17-2-4</t>
    </r>
    <r>
      <rPr>
        <i/>
        <sz val="10"/>
        <rFont val="Arial"/>
        <family val="2"/>
        <charset val="204"/>
      </rPr>
      <t xml:space="preserve">
Поправка: ТСН-2001.6. О.П. п.11</t>
    </r>
  </si>
  <si>
    <t>ОБОРУДОВАНИЕ:
Крючок для подвески костылей, размеры 120х32 мм. Материал сталь нержавеющая с полировкой, крепление стена одна точка, в комплекте: прокладки-амортизаторы резиновые, крепежные элементы</t>
  </si>
  <si>
    <r>
      <t>ОБОРУДОВАНИЕ:
Вертикальный подъемник ПТУ – 001Б</t>
    </r>
    <r>
      <rPr>
        <i/>
        <sz val="10"/>
        <color rgb="FF821E82"/>
        <rFont val="Arial"/>
        <family val="2"/>
        <charset val="204"/>
      </rPr>
      <t xml:space="preserve">
18 058,89 = [133 056 / 1,2 /  6,4] +  1,2% Трансп +  3% Заг.скл</t>
    </r>
  </si>
  <si>
    <r>
      <t>Штанга с навесными рукоятками</t>
    </r>
    <r>
      <rPr>
        <i/>
        <sz val="10"/>
        <rFont val="Arial"/>
        <family val="2"/>
        <charset val="204"/>
      </rPr>
      <t xml:space="preserve">
1 955,49 = [19 900 / 1,2 /  8,65] +  2% Трансп</t>
    </r>
  </si>
  <si>
    <r>
      <t>Поручень откидной</t>
    </r>
    <r>
      <rPr>
        <i/>
        <sz val="10"/>
        <rFont val="Arial"/>
        <family val="2"/>
        <charset val="204"/>
      </rPr>
      <t xml:space="preserve">
1 213,39 = [12 348 / 1,2 /  8,65] +  2% Трансп</t>
    </r>
  </si>
  <si>
    <r>
      <t>Поручень опорный настенный прямой</t>
    </r>
    <r>
      <rPr>
        <i/>
        <sz val="10"/>
        <rFont val="Arial"/>
        <family val="2"/>
        <charset val="204"/>
      </rPr>
      <t xml:space="preserve">
354,94 = [3 612 / 1,2 /  8,65] +  2% Трансп</t>
    </r>
  </si>
  <si>
    <r>
      <t>Поручень реабилитационный настенный, размеры 1500х90 мм, в комплекте с креплением</t>
    </r>
    <r>
      <rPr>
        <i/>
        <sz val="10"/>
        <rFont val="Arial"/>
        <family val="2"/>
        <charset val="204"/>
      </rPr>
      <t xml:space="preserve">
601,39 = [6 120 / 1,2 /  8,65] +  2% Трансп</t>
    </r>
  </si>
  <si>
    <r>
      <t>Поручень для раковины для инвалидов</t>
    </r>
    <r>
      <rPr>
        <i/>
        <sz val="10"/>
        <rFont val="Arial"/>
        <family val="2"/>
        <charset val="204"/>
      </rPr>
      <t xml:space="preserve">
853,93 = [8 690 / 1,2 /  8,65] +  2% Трансп</t>
    </r>
  </si>
  <si>
    <t>ВОЗВРАТ
Стальной лом черных металлов, вид лома 12А, для расчета возвратных сумм</t>
  </si>
  <si>
    <t xml:space="preserve"> тыс.руб.</t>
  </si>
  <si>
    <t xml:space="preserve">Составил   </t>
  </si>
  <si>
    <t>(должность, подпись, инициалы, фамилия)</t>
  </si>
  <si>
    <t xml:space="preserve">Проверил   </t>
  </si>
  <si>
    <t>___________________________</t>
  </si>
  <si>
    <t>" ___ " ___________ 20 ___ г.</t>
  </si>
  <si>
    <t xml:space="preserve">Мы, нижеподписавшиеся, произвели осмотр объекта </t>
  </si>
  <si>
    <t xml:space="preserve">и постановили произвести ремонт объекта в </t>
  </si>
  <si>
    <t>следующем объеме:</t>
  </si>
  <si>
    <t>Единица измерения</t>
  </si>
  <si>
    <t>Количество</t>
  </si>
  <si>
    <t>Примечание</t>
  </si>
  <si>
    <t>Заказчик _________________</t>
  </si>
  <si>
    <t>Подрядчик _________________</t>
  </si>
  <si>
    <t>Форма 3</t>
  </si>
  <si>
    <t>(Наименование стройки)</t>
  </si>
  <si>
    <t>(объектная смета)</t>
  </si>
  <si>
    <t>тыс.руб.</t>
  </si>
  <si>
    <t xml:space="preserve">Средства на оплату труда  </t>
  </si>
  <si>
    <t xml:space="preserve">Расчетный измеритель единичной стоимости  </t>
  </si>
  <si>
    <t>Номера сметных расчетов (смет)</t>
  </si>
  <si>
    <t>Показатели единичной стоимости</t>
  </si>
  <si>
    <t>строите-льных работ</t>
  </si>
  <si>
    <t>монтажных работ</t>
  </si>
  <si>
    <t>оборудо-вания, мебели, инвентаря</t>
  </si>
  <si>
    <t>прочих затрат</t>
  </si>
  <si>
    <t>Составлен(а) в уровне текущих (прогнозных) цен Индексы ТСН-2001 МГЭ ремонт №201 июнь 2023 года и Индекс к Главе 13.2 ТСН-2001 МГЭ июнь 2023 года</t>
  </si>
  <si>
    <t>Сметная стоимость, тыс.руб.</t>
  </si>
  <si>
    <t xml:space="preserve">ИТОГО: </t>
  </si>
  <si>
    <t>Главный инженер проекта</t>
  </si>
  <si>
    <t>[подпись(инициалы,фамилия)]</t>
  </si>
  <si>
    <t xml:space="preserve">Начальник  </t>
  </si>
  <si>
    <t>отдела</t>
  </si>
  <si>
    <t xml:space="preserve">   (наименование)</t>
  </si>
  <si>
    <t xml:space="preserve">Составил  </t>
  </si>
  <si>
    <t>[должность,подпись(инициалы,фамилия)]</t>
  </si>
  <si>
    <t xml:space="preserve">Проверил:  </t>
  </si>
  <si>
    <t>Составлен(а) в ценах по состоянию на 01.01.2000 г.</t>
  </si>
  <si>
    <t>TYPE</t>
  </si>
  <si>
    <t>SOURCE_LINK</t>
  </si>
  <si>
    <t>RABMAT_EX</t>
  </si>
  <si>
    <t>TIP_RAB</t>
  </si>
  <si>
    <t>TYPE_TRUD</t>
  </si>
  <si>
    <t>TAB</t>
  </si>
  <si>
    <t>NAME</t>
  </si>
  <si>
    <t>EDIZM</t>
  </si>
  <si>
    <t>KOLL</t>
  </si>
  <si>
    <t>UCH</t>
  </si>
  <si>
    <t>PRICE_B</t>
  </si>
  <si>
    <t>PRICE_ED</t>
  </si>
  <si>
    <t>STOIM_B</t>
  </si>
  <si>
    <t>PRICE_C</t>
  </si>
  <si>
    <t>STOIM_C</t>
  </si>
  <si>
    <t>ZPM_B</t>
  </si>
  <si>
    <t>ZPM_ED</t>
  </si>
  <si>
    <t>STOIM_ZPM_B</t>
  </si>
  <si>
    <t>ZPM_C</t>
  </si>
  <si>
    <t>STOIM_ZPM_C</t>
  </si>
  <si>
    <t>CRC_GR_RES</t>
  </si>
  <si>
    <t>CRC_B</t>
  </si>
  <si>
    <t>CRC_C</t>
  </si>
  <si>
    <t>RABMAT</t>
  </si>
  <si>
    <t>WBS</t>
  </si>
  <si>
    <t>CBSI</t>
  </si>
  <si>
    <t>CBSII</t>
  </si>
  <si>
    <t>BuildingFinished</t>
  </si>
  <si>
    <t>Trud</t>
  </si>
  <si>
    <t>Mash</t>
  </si>
  <si>
    <t>Mat</t>
  </si>
  <si>
    <t>MatZak</t>
  </si>
  <si>
    <t>Oborud</t>
  </si>
  <si>
    <t>OborudZak</t>
  </si>
  <si>
    <t>ZeroStoim</t>
  </si>
  <si>
    <t>NegativeKoll</t>
  </si>
  <si>
    <t>ReUnionKollResurcy</t>
  </si>
  <si>
    <t>UnionOneUchRes</t>
  </si>
  <si>
    <t>IdLevel</t>
  </si>
  <si>
    <t>ViewCodes</t>
  </si>
  <si>
    <t>UnionCodes</t>
  </si>
  <si>
    <t>Ресурсная ведомость на</t>
  </si>
  <si>
    <t>Обоснование</t>
  </si>
  <si>
    <t>Наименование</t>
  </si>
  <si>
    <t>Объем</t>
  </si>
  <si>
    <t>Текущая</t>
  </si>
  <si>
    <t>цена</t>
  </si>
  <si>
    <t>стоимость</t>
  </si>
  <si>
    <t xml:space="preserve">Трудовые ресурсы </t>
  </si>
  <si>
    <t xml:space="preserve">Итого трудовые ресурсы </t>
  </si>
  <si>
    <t xml:space="preserve">Машины и механизмы </t>
  </si>
  <si>
    <t xml:space="preserve">Итого машины и механизмы </t>
  </si>
  <si>
    <t xml:space="preserve">Материальные ресурсы </t>
  </si>
  <si>
    <t xml:space="preserve">Итого материальные ресурсы </t>
  </si>
  <si>
    <t xml:space="preserve">Итого материалы заказчика </t>
  </si>
  <si>
    <t xml:space="preserve">Итого оборудование </t>
  </si>
  <si>
    <t xml:space="preserve">Оборудование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</si>
</sst>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;[Red]\-\ #,##0.00"/>
    <numFmt numFmtId="165" formatCode="#,##0.00####;[Red]\-\ #,##0.00####"/>
  </numFmts>
  <fonts count="29" x14ac:knownFonts="1">
    <font>
      <sz val="10"/>
      <name val="Arial"/>
      <charset val="204"/>
    </font>
    <font>
      <b/>
      <sz val="10"/>
      <color indexed="12"/>
      <name val="Arial"/>
      <charset val="204"/>
    </font>
    <font>
      <sz val="10"/>
      <color indexed="18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b/>
      <sz val="10"/>
      <color indexed="14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sz val="10"/>
      <color indexed="16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1"/>
      <name val="Arial"/>
      <family val="2"/>
      <charset val="204"/>
    </font>
    <font>
      <sz val="13"/>
      <name val="Arial"/>
      <family val="2"/>
      <charset val="204"/>
    </font>
    <font>
      <i/>
      <sz val="11"/>
      <name val="Arial"/>
      <family val="2"/>
      <charset val="204"/>
    </font>
    <font>
      <i/>
      <sz val="10"/>
      <name val="Arial"/>
      <family val="2"/>
      <charset val="204"/>
    </font>
    <font>
      <sz val="11"/>
      <color rgb="FF821E82"/>
      <name val="Arial"/>
      <family val="2"/>
      <charset val="204"/>
    </font>
    <font>
      <i/>
      <sz val="11"/>
      <color rgb="FF821E82"/>
      <name val="Arial"/>
      <family val="2"/>
      <charset val="204"/>
    </font>
    <font>
      <sz val="10"/>
      <color rgb="FF821E82"/>
      <name val="Arial"/>
      <family val="2"/>
      <charset val="204"/>
    </font>
    <font>
      <b/>
      <sz val="11"/>
      <color rgb="FF821E82"/>
      <name val="Arial"/>
      <family val="2"/>
      <charset val="204"/>
    </font>
    <font>
      <i/>
      <sz val="10"/>
      <color rgb="FF821E82"/>
      <name val="Arial"/>
      <family val="2"/>
      <charset val="204"/>
    </font>
    <font>
      <b/>
      <sz val="9"/>
      <name val="Arial"/>
      <family val="2"/>
      <charset val="204"/>
    </font>
    <font>
      <sz val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1" fillId="0" borderId="0"/>
  </cellStyleXfs>
  <cellXfs count="14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2" fillId="0" borderId="0" xfId="0" applyFont="1"/>
    <xf numFmtId="0" fontId="13" fillId="0" borderId="0" xfId="0" applyFont="1" applyAlignment="1">
      <alignment horizontal="right"/>
    </xf>
    <xf numFmtId="0" fontId="13" fillId="0" borderId="0" xfId="0" applyFont="1"/>
    <xf numFmtId="0" fontId="14" fillId="0" borderId="0" xfId="0" applyFont="1" applyAlignment="1"/>
    <xf numFmtId="0" fontId="13" fillId="0" borderId="0" xfId="0" applyFont="1" applyAlignment="1"/>
    <xf numFmtId="0" fontId="13" fillId="0" borderId="0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13" fillId="0" borderId="0" xfId="0" applyFont="1" applyBorder="1" applyAlignment="1">
      <alignment wrapText="1"/>
    </xf>
    <xf numFmtId="0" fontId="13" fillId="0" borderId="0" xfId="0" applyFont="1" applyBorder="1" applyAlignment="1">
      <alignment horizontal="left" wrapText="1"/>
    </xf>
    <xf numFmtId="0" fontId="13" fillId="0" borderId="0" xfId="0" applyFont="1" applyAlignment="1">
      <alignment horizontal="center" vertical="center" wrapText="1"/>
    </xf>
    <xf numFmtId="164" fontId="18" fillId="0" borderId="0" xfId="0" applyNumberFormat="1" applyFont="1"/>
    <xf numFmtId="0" fontId="18" fillId="0" borderId="0" xfId="0" applyFont="1"/>
    <xf numFmtId="164" fontId="13" fillId="0" borderId="0" xfId="0" applyNumberFormat="1" applyFont="1"/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wrapText="1"/>
    </xf>
    <xf numFmtId="0" fontId="13" fillId="0" borderId="0" xfId="0" applyFont="1" applyAlignment="1">
      <alignment horizontal="left" vertical="top" wrapText="1"/>
    </xf>
    <xf numFmtId="0" fontId="20" fillId="0" borderId="0" xfId="0" applyFont="1" applyAlignment="1">
      <alignment horizontal="right" wrapText="1"/>
    </xf>
    <xf numFmtId="0" fontId="13" fillId="0" borderId="0" xfId="0" applyFont="1" applyAlignment="1">
      <alignment horizontal="right" wrapText="1"/>
    </xf>
    <xf numFmtId="164" fontId="13" fillId="0" borderId="0" xfId="0" applyNumberFormat="1" applyFont="1" applyAlignment="1">
      <alignment horizontal="right"/>
    </xf>
    <xf numFmtId="0" fontId="13" fillId="0" borderId="1" xfId="0" applyFont="1" applyBorder="1" applyAlignment="1">
      <alignment horizontal="left" vertical="top" wrapText="1"/>
    </xf>
    <xf numFmtId="0" fontId="20" fillId="0" borderId="1" xfId="0" applyFont="1" applyBorder="1" applyAlignment="1">
      <alignment horizontal="right" wrapText="1"/>
    </xf>
    <xf numFmtId="0" fontId="13" fillId="0" borderId="1" xfId="0" applyFont="1" applyBorder="1" applyAlignment="1">
      <alignment horizontal="right"/>
    </xf>
    <xf numFmtId="164" fontId="13" fillId="0" borderId="1" xfId="0" applyNumberFormat="1" applyFont="1" applyBorder="1" applyAlignment="1">
      <alignment horizontal="right"/>
    </xf>
    <xf numFmtId="0" fontId="13" fillId="0" borderId="1" xfId="0" applyFont="1" applyBorder="1" applyAlignment="1">
      <alignment horizontal="right" wrapText="1"/>
    </xf>
    <xf numFmtId="164" fontId="0" fillId="0" borderId="0" xfId="0" applyNumberFormat="1"/>
    <xf numFmtId="0" fontId="18" fillId="0" borderId="0" xfId="0" applyFont="1" applyAlignment="1">
      <alignment horizontal="right"/>
    </xf>
    <xf numFmtId="164" fontId="20" fillId="0" borderId="0" xfId="0" applyNumberFormat="1" applyFont="1" applyAlignment="1">
      <alignment horizontal="right"/>
    </xf>
    <xf numFmtId="0" fontId="13" fillId="0" borderId="0" xfId="0" quotePrefix="1" applyFont="1" applyAlignment="1">
      <alignment horizontal="right" wrapText="1"/>
    </xf>
    <xf numFmtId="0" fontId="11" fillId="0" borderId="0" xfId="0" applyFont="1" applyAlignment="1">
      <alignment vertical="top" wrapText="1"/>
    </xf>
    <xf numFmtId="0" fontId="22" fillId="0" borderId="1" xfId="0" applyFont="1" applyBorder="1" applyAlignment="1">
      <alignment horizontal="left" vertical="top" wrapText="1"/>
    </xf>
    <xf numFmtId="0" fontId="23" fillId="0" borderId="1" xfId="0" applyFont="1" applyBorder="1" applyAlignment="1">
      <alignment horizontal="right" wrapText="1"/>
    </xf>
    <xf numFmtId="0" fontId="22" fillId="0" borderId="1" xfId="0" applyFont="1" applyBorder="1" applyAlignment="1">
      <alignment horizontal="right"/>
    </xf>
    <xf numFmtId="164" fontId="22" fillId="0" borderId="1" xfId="0" applyNumberFormat="1" applyFont="1" applyBorder="1" applyAlignment="1">
      <alignment horizontal="right"/>
    </xf>
    <xf numFmtId="0" fontId="22" fillId="0" borderId="1" xfId="0" applyFont="1" applyBorder="1" applyAlignment="1">
      <alignment horizontal="right" wrapText="1"/>
    </xf>
    <xf numFmtId="0" fontId="24" fillId="0" borderId="0" xfId="0" applyFont="1"/>
    <xf numFmtId="0" fontId="25" fillId="0" borderId="0" xfId="0" applyFont="1"/>
    <xf numFmtId="0" fontId="18" fillId="0" borderId="0" xfId="0" applyFont="1" applyAlignment="1">
      <alignment horizontal="left" wrapText="1"/>
    </xf>
    <xf numFmtId="0" fontId="13" fillId="0" borderId="1" xfId="0" applyFont="1" applyBorder="1"/>
    <xf numFmtId="0" fontId="18" fillId="0" borderId="0" xfId="0" applyFont="1" applyBorder="1" applyAlignment="1">
      <alignment horizontal="right"/>
    </xf>
    <xf numFmtId="0" fontId="18" fillId="0" borderId="0" xfId="0" applyFont="1" applyAlignment="1">
      <alignment horizontal="left" vertical="top"/>
    </xf>
    <xf numFmtId="0" fontId="13" fillId="0" borderId="4" xfId="0" applyFont="1" applyBorder="1" applyAlignment="1">
      <alignment horizontal="center"/>
    </xf>
    <xf numFmtId="0" fontId="13" fillId="0" borderId="4" xfId="0" applyFont="1" applyFill="1" applyBorder="1" applyAlignment="1">
      <alignment horizontal="center"/>
    </xf>
    <xf numFmtId="0" fontId="13" fillId="0" borderId="3" xfId="0" applyFont="1" applyBorder="1" applyAlignment="1">
      <alignment horizontal="left" vertical="top" wrapText="1"/>
    </xf>
    <xf numFmtId="0" fontId="13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right" wrapText="1"/>
    </xf>
    <xf numFmtId="0" fontId="13" fillId="0" borderId="3" xfId="0" applyFont="1" applyBorder="1" applyAlignment="1">
      <alignment horizontal="right"/>
    </xf>
    <xf numFmtId="0" fontId="13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wrapText="1"/>
    </xf>
    <xf numFmtId="0" fontId="13" fillId="0" borderId="4" xfId="0" applyFont="1" applyBorder="1" applyAlignment="1">
      <alignment horizontal="right" wrapText="1"/>
    </xf>
    <xf numFmtId="0" fontId="13" fillId="0" borderId="4" xfId="0" applyFont="1" applyBorder="1" applyAlignment="1">
      <alignment horizontal="right"/>
    </xf>
    <xf numFmtId="0" fontId="18" fillId="0" borderId="0" xfId="0" applyFont="1" applyAlignment="1"/>
    <xf numFmtId="0" fontId="27" fillId="0" borderId="0" xfId="0" applyFont="1" applyAlignment="1">
      <alignment horizontal="right"/>
    </xf>
    <xf numFmtId="1" fontId="13" fillId="0" borderId="0" xfId="0" applyNumberFormat="1" applyFont="1"/>
    <xf numFmtId="0" fontId="13" fillId="0" borderId="0" xfId="0" applyFont="1" applyBorder="1" applyAlignment="1">
      <alignment vertical="center" wrapText="1"/>
    </xf>
    <xf numFmtId="1" fontId="15" fillId="0" borderId="0" xfId="0" applyNumberFormat="1" applyFont="1" applyAlignment="1">
      <alignment vertical="center" wrapText="1"/>
    </xf>
    <xf numFmtId="1" fontId="18" fillId="0" borderId="0" xfId="0" applyNumberFormat="1" applyFont="1" applyAlignment="1">
      <alignment vertical="center" wrapText="1"/>
    </xf>
    <xf numFmtId="0" fontId="13" fillId="0" borderId="0" xfId="0" applyFont="1" applyBorder="1" applyAlignment="1"/>
    <xf numFmtId="1" fontId="13" fillId="0" borderId="0" xfId="0" applyNumberFormat="1" applyFont="1" applyAlignment="1">
      <alignment vertical="center"/>
    </xf>
    <xf numFmtId="0" fontId="13" fillId="0" borderId="0" xfId="0" applyFont="1" applyAlignment="1">
      <alignment horizontal="left" vertical="center" indent="1"/>
    </xf>
    <xf numFmtId="164" fontId="13" fillId="0" borderId="0" xfId="0" applyNumberFormat="1" applyFont="1" applyBorder="1" applyAlignment="1"/>
    <xf numFmtId="1" fontId="13" fillId="0" borderId="0" xfId="0" applyNumberFormat="1" applyFont="1" applyAlignment="1">
      <alignment horizontal="left"/>
    </xf>
    <xf numFmtId="0" fontId="13" fillId="0" borderId="0" xfId="0" applyFont="1" applyAlignment="1">
      <alignment horizontal="right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Border="1"/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right" vertical="center"/>
    </xf>
    <xf numFmtId="165" fontId="13" fillId="0" borderId="1" xfId="0" applyNumberFormat="1" applyFont="1" applyBorder="1" applyAlignment="1">
      <alignment horizontal="right" vertical="center"/>
    </xf>
    <xf numFmtId="1" fontId="13" fillId="0" borderId="0" xfId="0" applyNumberFormat="1" applyFont="1" applyAlignment="1">
      <alignment horizontal="left" vertical="center"/>
    </xf>
    <xf numFmtId="0" fontId="13" fillId="0" borderId="0" xfId="0" applyFont="1" applyAlignment="1">
      <alignment horizontal="center"/>
    </xf>
    <xf numFmtId="164" fontId="13" fillId="0" borderId="1" xfId="0" applyNumberFormat="1" applyFont="1" applyBorder="1" applyAlignment="1">
      <alignment horizontal="right" vertical="center"/>
    </xf>
    <xf numFmtId="1" fontId="13" fillId="0" borderId="4" xfId="0" applyNumberFormat="1" applyFont="1" applyBorder="1" applyAlignment="1">
      <alignment horizontal="center"/>
    </xf>
    <xf numFmtId="0" fontId="13" fillId="0" borderId="3" xfId="0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right" wrapText="1"/>
    </xf>
    <xf numFmtId="0" fontId="18" fillId="0" borderId="3" xfId="0" applyFont="1" applyBorder="1" applyAlignment="1">
      <alignment horizontal="center" wrapText="1"/>
    </xf>
    <xf numFmtId="0" fontId="18" fillId="0" borderId="3" xfId="0" applyFont="1" applyBorder="1" applyAlignment="1">
      <alignment horizontal="left" wrapText="1"/>
    </xf>
    <xf numFmtId="164" fontId="18" fillId="0" borderId="3" xfId="0" applyNumberFormat="1" applyFont="1" applyBorder="1" applyAlignment="1">
      <alignment horizontal="right" wrapText="1"/>
    </xf>
    <xf numFmtId="1" fontId="13" fillId="0" borderId="0" xfId="0" applyNumberFormat="1" applyFont="1" applyAlignment="1">
      <alignment vertical="center" wrapText="1"/>
    </xf>
    <xf numFmtId="1" fontId="13" fillId="0" borderId="1" xfId="0" applyNumberFormat="1" applyFont="1" applyBorder="1" applyAlignment="1">
      <alignment vertical="center"/>
    </xf>
    <xf numFmtId="0" fontId="13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2" fillId="0" borderId="0" xfId="0" applyFont="1" applyBorder="1" applyAlignment="1"/>
    <xf numFmtId="0" fontId="28" fillId="0" borderId="0" xfId="0" applyFont="1" applyAlignment="1">
      <alignment horizontal="center"/>
    </xf>
    <xf numFmtId="0" fontId="13" fillId="0" borderId="0" xfId="0" applyFont="1" applyBorder="1" applyAlignment="1">
      <alignment horizontal="center"/>
    </xf>
    <xf numFmtId="1" fontId="13" fillId="0" borderId="0" xfId="0" applyNumberFormat="1" applyFont="1" applyAlignment="1">
      <alignment horizontal="right"/>
    </xf>
    <xf numFmtId="49" fontId="13" fillId="0" borderId="3" xfId="0" applyNumberFormat="1" applyFont="1" applyBorder="1" applyAlignment="1">
      <alignment horizontal="left" vertical="top" wrapText="1"/>
    </xf>
    <xf numFmtId="0" fontId="13" fillId="0" borderId="0" xfId="0" applyFont="1" applyAlignment="1">
      <alignment horizontal="right" vertical="center"/>
    </xf>
    <xf numFmtId="0" fontId="13" fillId="0" borderId="0" xfId="0" applyFont="1" applyAlignment="1">
      <alignment horizontal="left"/>
    </xf>
    <xf numFmtId="0" fontId="12" fillId="0" borderId="2" xfId="0" applyFont="1" applyBorder="1" applyAlignment="1">
      <alignment horizontal="center"/>
    </xf>
    <xf numFmtId="164" fontId="18" fillId="0" borderId="0" xfId="0" applyNumberFormat="1" applyFont="1" applyAlignment="1">
      <alignment horizontal="right"/>
    </xf>
    <xf numFmtId="0" fontId="18" fillId="0" borderId="0" xfId="0" applyFont="1" applyAlignment="1">
      <alignment horizontal="right"/>
    </xf>
    <xf numFmtId="0" fontId="18" fillId="0" borderId="0" xfId="0" applyFont="1" applyAlignment="1">
      <alignment horizontal="left" wrapText="1"/>
    </xf>
    <xf numFmtId="0" fontId="14" fillId="0" borderId="0" xfId="0" applyFont="1" applyAlignment="1">
      <alignment horizontal="center" wrapText="1"/>
    </xf>
    <xf numFmtId="164" fontId="18" fillId="0" borderId="2" xfId="0" applyNumberFormat="1" applyFont="1" applyBorder="1" applyAlignment="1">
      <alignment horizontal="right"/>
    </xf>
    <xf numFmtId="164" fontId="25" fillId="0" borderId="2" xfId="0" applyNumberFormat="1" applyFont="1" applyBorder="1" applyAlignment="1">
      <alignment horizontal="right"/>
    </xf>
    <xf numFmtId="0" fontId="13" fillId="0" borderId="1" xfId="0" applyFont="1" applyBorder="1" applyAlignment="1">
      <alignment horizontal="left" wrapText="1"/>
    </xf>
    <xf numFmtId="0" fontId="13" fillId="0" borderId="0" xfId="0" applyFont="1" applyFill="1" applyAlignment="1">
      <alignment horizontal="left"/>
    </xf>
    <xf numFmtId="0" fontId="13" fillId="0" borderId="0" xfId="1" applyFont="1" applyFill="1" applyAlignment="1">
      <alignment horizontal="left"/>
    </xf>
    <xf numFmtId="0" fontId="17" fillId="0" borderId="1" xfId="0" applyFont="1" applyBorder="1" applyAlignment="1">
      <alignment horizontal="center" wrapText="1"/>
    </xf>
    <xf numFmtId="0" fontId="12" fillId="0" borderId="0" xfId="0" applyFont="1" applyAlignment="1">
      <alignment horizontal="center" wrapText="1"/>
    </xf>
    <xf numFmtId="0" fontId="0" fillId="0" borderId="0" xfId="0" applyAlignment="1"/>
    <xf numFmtId="0" fontId="18" fillId="0" borderId="0" xfId="0" applyFont="1" applyAlignment="1">
      <alignment horizontal="left"/>
    </xf>
    <xf numFmtId="0" fontId="13" fillId="0" borderId="0" xfId="0" applyFont="1" applyBorder="1" applyAlignment="1">
      <alignment horizontal="left" wrapText="1"/>
    </xf>
    <xf numFmtId="0" fontId="13" fillId="0" borderId="0" xfId="0" applyFont="1" applyAlignment="1">
      <alignment horizontal="right"/>
    </xf>
    <xf numFmtId="0" fontId="15" fillId="0" borderId="1" xfId="0" applyFont="1" applyBorder="1" applyAlignment="1">
      <alignment horizontal="center" wrapText="1"/>
    </xf>
    <xf numFmtId="0" fontId="16" fillId="0" borderId="1" xfId="0" applyFont="1" applyBorder="1" applyAlignment="1">
      <alignment horizontal="center" wrapText="1"/>
    </xf>
    <xf numFmtId="0" fontId="15" fillId="0" borderId="0" xfId="0" applyFont="1" applyAlignment="1">
      <alignment horizontal="left"/>
    </xf>
    <xf numFmtId="0" fontId="14" fillId="0" borderId="4" xfId="0" applyFont="1" applyBorder="1" applyAlignment="1">
      <alignment horizontal="center" wrapText="1"/>
    </xf>
    <xf numFmtId="0" fontId="18" fillId="0" borderId="0" xfId="0" applyFont="1" applyBorder="1" applyAlignment="1">
      <alignment horizontal="right"/>
    </xf>
    <xf numFmtId="0" fontId="15" fillId="0" borderId="0" xfId="0" applyFont="1" applyAlignment="1">
      <alignment horizontal="center" wrapText="1"/>
    </xf>
    <xf numFmtId="0" fontId="18" fillId="0" borderId="0" xfId="0" applyFont="1" applyAlignment="1">
      <alignment horizontal="center" wrapText="1"/>
    </xf>
    <xf numFmtId="0" fontId="28" fillId="0" borderId="2" xfId="0" applyFont="1" applyBorder="1" applyAlignment="1">
      <alignment horizontal="center"/>
    </xf>
    <xf numFmtId="0" fontId="13" fillId="0" borderId="4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" fontId="13" fillId="0" borderId="0" xfId="0" applyNumberFormat="1" applyFont="1" applyAlignment="1">
      <alignment horizontal="left" vertical="center"/>
    </xf>
    <xf numFmtId="0" fontId="12" fillId="0" borderId="0" xfId="0" applyFont="1"/>
    <xf numFmtId="0" fontId="18" fillId="0" borderId="3" xfId="0" applyFont="1" applyBorder="1" applyAlignment="1">
      <alignment horizontal="right"/>
    </xf>
    <xf numFmtId="164" fontId="18" fillId="0" borderId="3" xfId="0" applyNumberFormat="1" applyFont="1" applyBorder="1" applyAlignment="1">
      <alignment horizontal="right"/>
    </xf>
    <xf numFmtId="0" fontId="14" fillId="0" borderId="6" xfId="0" applyFont="1" applyBorder="1" applyAlignment="1">
      <alignment horizontal="left" vertical="center" wrapText="1"/>
    </xf>
    <xf numFmtId="0" fontId="19" fillId="0" borderId="7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164" fontId="22" fillId="2" borderId="1" xfId="0" applyNumberFormat="1" applyFont="1" applyFill="1" applyBorder="1" applyAlignment="1">
      <alignment horizontal="right"/>
    </xf>
    <xf numFmtId="164" fontId="13" fillId="2" borderId="1" xfId="0" applyNumberFormat="1" applyFont="1" applyFill="1" applyBorder="1" applyAlignment="1">
      <alignment horizontal="right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1705"/>
  <sheetViews>
    <sheetView tabSelected="1" topLeftCell="A1651" zoomScale="85" zoomScaleNormal="85" workbookViewId="0">
      <selection activeCell="AV1663" sqref="AV1663"/>
    </sheetView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4" width="11.7109375" customWidth="1"/>
    <col min="5" max="6" width="10.140625" bestFit="1" customWidth="1"/>
    <col min="7" max="7" width="8.5703125" bestFit="1" customWidth="1"/>
    <col min="9" max="9" width="10.140625" bestFit="1" customWidth="1"/>
    <col min="11" max="11" width="11.28515625" bestFit="1" customWidth="1"/>
    <col min="15" max="41" width="0" hidden="1" customWidth="1"/>
    <col min="42" max="42" width="129.7109375" hidden="1" customWidth="1"/>
    <col min="43" max="43" width="97" hidden="1" customWidth="1"/>
    <col min="44" max="47" width="0" hidden="1" customWidth="1"/>
  </cols>
  <sheetData>
    <row r="1" spans="1:11" x14ac:dyDescent="0.2">
      <c r="A1" s="11" t="str">
        <f>Source!B1</f>
        <v>Smeta.RU  (495) 974-1589</v>
      </c>
    </row>
    <row r="2" spans="1:11" ht="14.25" x14ac:dyDescent="0.2">
      <c r="A2" s="12"/>
      <c r="B2" s="12"/>
      <c r="C2" s="12"/>
      <c r="D2" s="12"/>
      <c r="E2" s="12"/>
      <c r="F2" s="12"/>
      <c r="G2" s="12"/>
      <c r="H2" s="12"/>
      <c r="I2" s="12"/>
      <c r="J2" s="114" t="s">
        <v>1572</v>
      </c>
      <c r="K2" s="114"/>
    </row>
    <row r="3" spans="1:11" ht="16.5" x14ac:dyDescent="0.25">
      <c r="A3" s="14"/>
      <c r="B3" s="117" t="s">
        <v>1570</v>
      </c>
      <c r="C3" s="117"/>
      <c r="D3" s="117"/>
      <c r="E3" s="117"/>
      <c r="F3" s="13"/>
      <c r="G3" s="117" t="s">
        <v>1571</v>
      </c>
      <c r="H3" s="117"/>
      <c r="I3" s="117"/>
      <c r="J3" s="117"/>
      <c r="K3" s="117"/>
    </row>
    <row r="4" spans="1:11" ht="14.25" x14ac:dyDescent="0.2">
      <c r="A4" s="13"/>
      <c r="B4" s="98"/>
      <c r="C4" s="98"/>
      <c r="D4" s="98"/>
      <c r="E4" s="98"/>
      <c r="F4" s="13"/>
      <c r="G4" s="98"/>
      <c r="H4" s="98"/>
      <c r="I4" s="98"/>
      <c r="J4" s="98"/>
      <c r="K4" s="98"/>
    </row>
    <row r="5" spans="1:11" ht="14.25" x14ac:dyDescent="0.2">
      <c r="A5" s="15"/>
      <c r="B5" s="15"/>
      <c r="C5" s="16"/>
      <c r="D5" s="16"/>
      <c r="E5" s="16"/>
      <c r="F5" s="13"/>
      <c r="G5" s="17"/>
      <c r="H5" s="16"/>
      <c r="I5" s="16"/>
      <c r="J5" s="16"/>
      <c r="K5" s="17"/>
    </row>
    <row r="6" spans="1:11" ht="14.25" x14ac:dyDescent="0.2">
      <c r="A6" s="17"/>
      <c r="B6" s="98" t="str">
        <f>CONCATENATE("______________________ ", IF(Source!AL12&lt;&gt;"", Source!AL12, ""))</f>
        <v xml:space="preserve">______________________ </v>
      </c>
      <c r="C6" s="98"/>
      <c r="D6" s="98"/>
      <c r="E6" s="98"/>
      <c r="F6" s="13"/>
      <c r="G6" s="98" t="str">
        <f>CONCATENATE("______________________ ", IF(Source!AH12&lt;&gt;"", Source!AH12, ""))</f>
        <v xml:space="preserve">______________________ </v>
      </c>
      <c r="H6" s="98"/>
      <c r="I6" s="98"/>
      <c r="J6" s="98"/>
      <c r="K6" s="98"/>
    </row>
    <row r="7" spans="1:11" ht="14.25" x14ac:dyDescent="0.2">
      <c r="A7" s="18"/>
      <c r="B7" s="113" t="s">
        <v>1573</v>
      </c>
      <c r="C7" s="113"/>
      <c r="D7" s="113"/>
      <c r="E7" s="113"/>
      <c r="F7" s="13"/>
      <c r="G7" s="113" t="s">
        <v>1573</v>
      </c>
      <c r="H7" s="113"/>
      <c r="I7" s="113"/>
      <c r="J7" s="113"/>
      <c r="K7" s="113"/>
    </row>
    <row r="9" spans="1:11" ht="14.25" x14ac:dyDescent="0.2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</row>
    <row r="10" spans="1:11" ht="15.75" x14ac:dyDescent="0.25">
      <c r="A10" s="115"/>
      <c r="B10" s="115"/>
      <c r="C10" s="115"/>
      <c r="D10" s="115"/>
      <c r="E10" s="115"/>
      <c r="F10" s="115"/>
      <c r="G10" s="115"/>
      <c r="H10" s="115"/>
      <c r="I10" s="115"/>
      <c r="J10" s="115"/>
      <c r="K10" s="115"/>
    </row>
    <row r="11" spans="1:11" x14ac:dyDescent="0.2">
      <c r="A11" s="99" t="s">
        <v>1574</v>
      </c>
      <c r="B11" s="99"/>
      <c r="C11" s="99"/>
      <c r="D11" s="99"/>
      <c r="E11" s="99"/>
      <c r="F11" s="99"/>
      <c r="G11" s="99"/>
      <c r="H11" s="99"/>
      <c r="I11" s="99"/>
      <c r="J11" s="99"/>
      <c r="K11" s="99"/>
    </row>
    <row r="12" spans="1:11" ht="14.25" x14ac:dyDescent="0.2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</row>
    <row r="13" spans="1:11" ht="15.75" x14ac:dyDescent="0.25">
      <c r="A13" s="115" t="str">
        <f>CONCATENATE( "ЛОКАЛЬНАЯ СМЕТА № ",IF(Source!F12&lt;&gt;"Новый объект", Source!F12, ""))</f>
        <v>ЛОКАЛЬНАЯ СМЕТА № Новый объект_(Копия)</v>
      </c>
      <c r="B13" s="116"/>
      <c r="C13" s="116"/>
      <c r="D13" s="116"/>
      <c r="E13" s="116"/>
      <c r="F13" s="116"/>
      <c r="G13" s="116"/>
      <c r="H13" s="116"/>
      <c r="I13" s="116"/>
      <c r="J13" s="116"/>
      <c r="K13" s="116"/>
    </row>
    <row r="14" spans="1:11" ht="14.25" x14ac:dyDescent="0.2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</row>
    <row r="15" spans="1:11" ht="18" x14ac:dyDescent="0.25">
      <c r="A15" s="109"/>
      <c r="B15" s="109"/>
      <c r="C15" s="109"/>
      <c r="D15" s="109"/>
      <c r="E15" s="109"/>
      <c r="F15" s="109"/>
      <c r="G15" s="109"/>
      <c r="H15" s="109"/>
      <c r="I15" s="109"/>
      <c r="J15" s="109"/>
      <c r="K15" s="109"/>
    </row>
    <row r="16" spans="1:11" x14ac:dyDescent="0.2">
      <c r="A16" s="110" t="s">
        <v>1575</v>
      </c>
      <c r="B16" s="111"/>
      <c r="C16" s="111"/>
      <c r="D16" s="111"/>
      <c r="E16" s="111"/>
      <c r="F16" s="111"/>
      <c r="G16" s="111"/>
      <c r="H16" s="111"/>
      <c r="I16" s="111"/>
      <c r="J16" s="111"/>
      <c r="K16" s="111"/>
    </row>
    <row r="17" spans="1:42" ht="14.25" x14ac:dyDescent="0.2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</row>
    <row r="18" spans="1:42" ht="14.25" x14ac:dyDescent="0.2">
      <c r="A18" s="106" t="str">
        <f>CONCATENATE( "Основание: чертежи № ", Source!J12)</f>
        <v xml:space="preserve">Основание: чертежи № </v>
      </c>
      <c r="B18" s="106"/>
      <c r="C18" s="106"/>
      <c r="D18" s="106"/>
      <c r="E18" s="106"/>
      <c r="F18" s="106"/>
      <c r="G18" s="106"/>
      <c r="H18" s="106"/>
      <c r="I18" s="106"/>
      <c r="J18" s="106"/>
      <c r="K18" s="106"/>
    </row>
    <row r="19" spans="1:42" ht="14.25" x14ac:dyDescent="0.2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</row>
    <row r="20" spans="1:42" ht="71.25" x14ac:dyDescent="0.2">
      <c r="A20" s="13"/>
      <c r="B20" s="13"/>
      <c r="C20" s="13"/>
      <c r="D20" s="13"/>
      <c r="E20" s="13"/>
      <c r="F20" s="13"/>
      <c r="G20" s="13"/>
      <c r="H20" s="13"/>
      <c r="I20" s="20" t="s">
        <v>1576</v>
      </c>
      <c r="J20" s="20" t="s">
        <v>1577</v>
      </c>
      <c r="K20" s="13"/>
    </row>
    <row r="21" spans="1:42" ht="15" x14ac:dyDescent="0.25">
      <c r="A21" s="13"/>
      <c r="B21" s="13"/>
      <c r="C21" s="13"/>
      <c r="D21" s="13"/>
      <c r="E21" s="112" t="s">
        <v>1578</v>
      </c>
      <c r="F21" s="112"/>
      <c r="G21" s="112"/>
      <c r="H21" s="112"/>
      <c r="I21" s="21">
        <f>I22+I23+I24+I25</f>
        <v>112.87</v>
      </c>
      <c r="J21" s="21">
        <f>J22+J23+J24+J25</f>
        <v>2313.12</v>
      </c>
      <c r="K21" s="22" t="s">
        <v>1713</v>
      </c>
    </row>
    <row r="22" spans="1:42" ht="14.25" x14ac:dyDescent="0.2">
      <c r="A22" s="13"/>
      <c r="B22" s="13"/>
      <c r="C22" s="13"/>
      <c r="D22" s="13"/>
      <c r="E22" s="98" t="s">
        <v>23</v>
      </c>
      <c r="F22" s="98"/>
      <c r="G22" s="98"/>
      <c r="H22" s="98"/>
      <c r="I22" s="23">
        <f>ROUND((Source!F1532)/1000, 2)</f>
        <v>88.27</v>
      </c>
      <c r="J22" s="23">
        <f>ROUND((Source!P1532)/1000, 2)</f>
        <v>1847.55</v>
      </c>
      <c r="K22" s="13" t="s">
        <v>1713</v>
      </c>
    </row>
    <row r="23" spans="1:42" ht="14.25" x14ac:dyDescent="0.2">
      <c r="A23" s="13"/>
      <c r="B23" s="13"/>
      <c r="C23" s="13"/>
      <c r="D23" s="13"/>
      <c r="E23" s="98" t="s">
        <v>1579</v>
      </c>
      <c r="F23" s="98"/>
      <c r="G23" s="98"/>
      <c r="H23" s="98"/>
      <c r="I23" s="23">
        <f>ROUND((Source!F1533)/1000, 2)</f>
        <v>19.84</v>
      </c>
      <c r="J23" s="23">
        <f>ROUND((Source!P1533)/1000, 2)</f>
        <v>305.61</v>
      </c>
      <c r="K23" s="13" t="s">
        <v>1713</v>
      </c>
    </row>
    <row r="24" spans="1:42" ht="14.25" x14ac:dyDescent="0.2">
      <c r="A24" s="13"/>
      <c r="B24" s="13"/>
      <c r="C24" s="13"/>
      <c r="D24" s="13"/>
      <c r="E24" s="98" t="s">
        <v>702</v>
      </c>
      <c r="F24" s="98"/>
      <c r="G24" s="98"/>
      <c r="H24" s="98"/>
      <c r="I24" s="23">
        <f>ROUND((Source!F1524)/1000, 2)</f>
        <v>2.33</v>
      </c>
      <c r="J24" s="23">
        <f>ROUND((Source!P1524)/1000, 2)</f>
        <v>131.71</v>
      </c>
      <c r="K24" s="13" t="s">
        <v>1713</v>
      </c>
    </row>
    <row r="25" spans="1:42" ht="14.25" x14ac:dyDescent="0.2">
      <c r="A25" s="13"/>
      <c r="B25" s="13"/>
      <c r="C25" s="13"/>
      <c r="D25" s="13"/>
      <c r="E25" s="98" t="s">
        <v>1580</v>
      </c>
      <c r="F25" s="98"/>
      <c r="G25" s="98"/>
      <c r="H25" s="98"/>
      <c r="I25" s="23">
        <f>ROUND((Source!F1534+Source!F1535)/1000, 2)</f>
        <v>2.4300000000000002</v>
      </c>
      <c r="J25" s="23">
        <f>ROUND((Source!P1534+Source!P1535)/1000, 2)</f>
        <v>28.25</v>
      </c>
      <c r="K25" s="13" t="s">
        <v>1713</v>
      </c>
    </row>
    <row r="26" spans="1:42" ht="14.25" x14ac:dyDescent="0.2">
      <c r="A26" s="13"/>
      <c r="B26" s="13"/>
      <c r="C26" s="13"/>
      <c r="D26" s="13"/>
      <c r="E26" s="98" t="s">
        <v>1581</v>
      </c>
      <c r="F26" s="98"/>
      <c r="G26" s="98"/>
      <c r="H26" s="98"/>
      <c r="I26" s="23">
        <f>(Source!F1530+ Source!F1529)/1000</f>
        <v>15.257100000000001</v>
      </c>
      <c r="J26" s="23">
        <f>((Source!P1530 + Source!P1529)/1000)</f>
        <v>442.91367000000002</v>
      </c>
      <c r="K26" s="13" t="s">
        <v>1713</v>
      </c>
    </row>
    <row r="27" spans="1:42" ht="14.25" x14ac:dyDescent="0.2">
      <c r="A27" s="13"/>
      <c r="B27" s="13"/>
      <c r="C27" s="13"/>
      <c r="D27" s="13"/>
      <c r="E27" s="98" t="s">
        <v>1582</v>
      </c>
      <c r="F27" s="98"/>
      <c r="G27" s="98"/>
      <c r="H27" s="98"/>
      <c r="I27" s="23">
        <f>Source!F1537</f>
        <v>1169.17322975</v>
      </c>
      <c r="J27" s="23"/>
      <c r="K27" s="13" t="s">
        <v>1098</v>
      </c>
    </row>
    <row r="28" spans="1:42" ht="14.25" x14ac:dyDescent="0.2">
      <c r="A28" s="13"/>
      <c r="B28" s="13"/>
      <c r="C28" s="13"/>
      <c r="D28" s="13"/>
      <c r="E28" s="107" t="s">
        <v>1583</v>
      </c>
      <c r="F28" s="107"/>
      <c r="G28" s="107"/>
      <c r="H28" s="107"/>
      <c r="I28" s="23"/>
      <c r="J28" s="23"/>
      <c r="K28" s="13"/>
    </row>
    <row r="29" spans="1:42" ht="14.25" x14ac:dyDescent="0.2">
      <c r="A29" s="13"/>
      <c r="B29" s="13"/>
      <c r="C29" s="13"/>
      <c r="D29" s="13"/>
      <c r="E29" s="108" t="s">
        <v>65</v>
      </c>
      <c r="F29" s="108"/>
      <c r="G29" s="108"/>
      <c r="H29" s="108"/>
      <c r="I29" s="23">
        <f>SUM(Y1:Y1698)/1000</f>
        <v>1.9463199999999998</v>
      </c>
      <c r="J29" s="23">
        <f>SUM(Z1:Z1698)/1000</f>
        <v>24.056519999999999</v>
      </c>
      <c r="K29" s="13" t="s">
        <v>1713</v>
      </c>
    </row>
    <row r="30" spans="1:42" ht="14.25" x14ac:dyDescent="0.2">
      <c r="A30" s="13"/>
      <c r="B30" s="13"/>
      <c r="C30" s="13"/>
      <c r="D30" s="13"/>
      <c r="E30" s="13"/>
      <c r="F30" s="17"/>
      <c r="G30" s="17"/>
      <c r="H30" s="17"/>
      <c r="I30" s="23"/>
      <c r="J30" s="23"/>
      <c r="K30" s="13"/>
    </row>
    <row r="31" spans="1:42" ht="14.25" x14ac:dyDescent="0.2">
      <c r="A31" s="13" t="s">
        <v>1594</v>
      </c>
      <c r="B31" s="13"/>
      <c r="C31" s="13"/>
      <c r="D31" s="13"/>
      <c r="E31" s="13"/>
      <c r="F31" s="17"/>
      <c r="G31" s="17"/>
      <c r="H31" s="17"/>
      <c r="I31" s="23"/>
      <c r="J31" s="23"/>
      <c r="K31" s="13"/>
    </row>
    <row r="32" spans="1:42" ht="28.5" x14ac:dyDescent="0.2">
      <c r="A32" s="106" t="s">
        <v>1595</v>
      </c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AP32" s="26" t="s">
        <v>1595</v>
      </c>
    </row>
    <row r="33" spans="1:29" ht="114" x14ac:dyDescent="0.2">
      <c r="A33" s="24" t="s">
        <v>1584</v>
      </c>
      <c r="B33" s="24" t="s">
        <v>1585</v>
      </c>
      <c r="C33" s="24" t="s">
        <v>1586</v>
      </c>
      <c r="D33" s="24" t="s">
        <v>1587</v>
      </c>
      <c r="E33" s="24" t="s">
        <v>1588</v>
      </c>
      <c r="F33" s="24" t="s">
        <v>1589</v>
      </c>
      <c r="G33" s="25" t="s">
        <v>1590</v>
      </c>
      <c r="H33" s="25" t="s">
        <v>1591</v>
      </c>
      <c r="I33" s="24" t="s">
        <v>1596</v>
      </c>
      <c r="J33" s="24" t="s">
        <v>1592</v>
      </c>
      <c r="K33" s="24" t="s">
        <v>1593</v>
      </c>
    </row>
    <row r="34" spans="1:29" ht="14.25" x14ac:dyDescent="0.2">
      <c r="A34" s="24">
        <v>1</v>
      </c>
      <c r="B34" s="24">
        <v>2</v>
      </c>
      <c r="C34" s="24">
        <v>3</v>
      </c>
      <c r="D34" s="24">
        <v>4</v>
      </c>
      <c r="E34" s="24">
        <v>5</v>
      </c>
      <c r="F34" s="24">
        <v>6</v>
      </c>
      <c r="G34" s="24">
        <v>7</v>
      </c>
      <c r="H34" s="24">
        <v>8</v>
      </c>
      <c r="I34" s="24">
        <v>9</v>
      </c>
      <c r="J34" s="24">
        <v>10</v>
      </c>
      <c r="K34" s="24">
        <v>11</v>
      </c>
    </row>
    <row r="36" spans="1:29" ht="16.5" x14ac:dyDescent="0.25">
      <c r="A36" s="103" t="str">
        <f>CONCATENATE("Локальная смета: ",IF(Source!G20&lt;&gt;"Новая локальная смета", Source!G20, ""))</f>
        <v>Локальная смета: ПЗУ</v>
      </c>
      <c r="B36" s="103"/>
      <c r="C36" s="103"/>
      <c r="D36" s="103"/>
      <c r="E36" s="103"/>
      <c r="F36" s="103"/>
      <c r="G36" s="103"/>
      <c r="H36" s="103"/>
      <c r="I36" s="103"/>
      <c r="J36" s="103"/>
      <c r="K36" s="103"/>
    </row>
    <row r="38" spans="1:29" ht="16.5" x14ac:dyDescent="0.25">
      <c r="A38" s="103" t="str">
        <f>CONCATENATE("Раздел: ",IF(Source!G24&lt;&gt;"Новый раздел", Source!G24, ""))</f>
        <v>Раздел: Демонтажные работы</v>
      </c>
      <c r="B38" s="103"/>
      <c r="C38" s="103"/>
      <c r="D38" s="103"/>
      <c r="E38" s="103"/>
      <c r="F38" s="103"/>
      <c r="G38" s="103"/>
      <c r="H38" s="103"/>
      <c r="I38" s="103"/>
      <c r="J38" s="103"/>
      <c r="K38" s="103"/>
    </row>
    <row r="39" spans="1:29" ht="42.75" x14ac:dyDescent="0.2">
      <c r="A39" s="27">
        <v>1</v>
      </c>
      <c r="B39" s="27" t="str">
        <f>Source!F28</f>
        <v>3.1-51-1</v>
      </c>
      <c r="C39" s="27" t="s">
        <v>20</v>
      </c>
      <c r="D39" s="28" t="str">
        <f>Source!H28</f>
        <v>100 м3 грунта</v>
      </c>
      <c r="E39" s="12">
        <f>Source!I28</f>
        <v>2.5999999999999999E-2</v>
      </c>
      <c r="F39" s="30"/>
      <c r="G39" s="29"/>
      <c r="H39" s="12"/>
      <c r="I39" s="30"/>
      <c r="J39" s="12"/>
      <c r="K39" s="30"/>
      <c r="Q39">
        <f>Source!X28</f>
        <v>48.33</v>
      </c>
      <c r="R39">
        <f>Source!X29</f>
        <v>1156.3399999999999</v>
      </c>
      <c r="S39">
        <f>Source!Y28</f>
        <v>35.58</v>
      </c>
      <c r="T39">
        <f>Source!Y29</f>
        <v>632.13</v>
      </c>
      <c r="U39">
        <f>ROUND((175/100)*ROUND(Source!R28, 2), 2)</f>
        <v>0</v>
      </c>
      <c r="V39">
        <f>ROUND((160/100)*ROUND(Source!R29, 2), 2)</f>
        <v>0</v>
      </c>
      <c r="AC39">
        <v>0</v>
      </c>
    </row>
    <row r="40" spans="1:29" ht="14.25" x14ac:dyDescent="0.2">
      <c r="A40" s="27"/>
      <c r="B40" s="27"/>
      <c r="C40" s="27" t="s">
        <v>1597</v>
      </c>
      <c r="D40" s="28"/>
      <c r="E40" s="12"/>
      <c r="F40" s="30">
        <f>Source!AO28</f>
        <v>2042.62</v>
      </c>
      <c r="G40" s="29" t="str">
        <f>Source!DG28</f>
        <v/>
      </c>
      <c r="H40" s="12">
        <f>Source!AV29</f>
        <v>1</v>
      </c>
      <c r="I40" s="30">
        <f>Source!S28</f>
        <v>53.11</v>
      </c>
      <c r="J40" s="12">
        <f>IF(Source!BA29&lt;&gt; 0, Source!BA29, 1)</f>
        <v>29.03</v>
      </c>
      <c r="K40" s="30">
        <f>Source!S29</f>
        <v>1541.78</v>
      </c>
    </row>
    <row r="41" spans="1:29" ht="14.25" x14ac:dyDescent="0.2">
      <c r="A41" s="27"/>
      <c r="B41" s="27"/>
      <c r="C41" s="27" t="s">
        <v>1598</v>
      </c>
      <c r="D41" s="28" t="s">
        <v>1599</v>
      </c>
      <c r="E41" s="12">
        <f>Source!DN29</f>
        <v>91</v>
      </c>
      <c r="F41" s="30"/>
      <c r="G41" s="29"/>
      <c r="H41" s="12"/>
      <c r="I41" s="30">
        <f>SUM(Q39:Q40)</f>
        <v>48.33</v>
      </c>
      <c r="J41" s="12">
        <f>Source!BZ29</f>
        <v>75</v>
      </c>
      <c r="K41" s="30">
        <f>SUM(R39:R40)</f>
        <v>1156.3399999999999</v>
      </c>
    </row>
    <row r="42" spans="1:29" ht="14.25" x14ac:dyDescent="0.2">
      <c r="A42" s="27"/>
      <c r="B42" s="27"/>
      <c r="C42" s="27" t="s">
        <v>1600</v>
      </c>
      <c r="D42" s="28" t="s">
        <v>1599</v>
      </c>
      <c r="E42" s="12">
        <f>Source!DO29</f>
        <v>67</v>
      </c>
      <c r="F42" s="30"/>
      <c r="G42" s="29"/>
      <c r="H42" s="12"/>
      <c r="I42" s="30">
        <f>SUM(S39:S41)</f>
        <v>35.58</v>
      </c>
      <c r="J42" s="12">
        <f>Source!CA29</f>
        <v>41</v>
      </c>
      <c r="K42" s="30">
        <f>SUM(T39:T41)</f>
        <v>632.13</v>
      </c>
    </row>
    <row r="43" spans="1:29" ht="14.25" x14ac:dyDescent="0.2">
      <c r="A43" s="31"/>
      <c r="B43" s="31"/>
      <c r="C43" s="31" t="s">
        <v>1601</v>
      </c>
      <c r="D43" s="32" t="s">
        <v>1602</v>
      </c>
      <c r="E43" s="33">
        <f>Source!AQ28</f>
        <v>192.7</v>
      </c>
      <c r="F43" s="34"/>
      <c r="G43" s="35" t="str">
        <f>Source!DI28</f>
        <v/>
      </c>
      <c r="H43" s="33">
        <f>Source!AV29</f>
        <v>1</v>
      </c>
      <c r="I43" s="34">
        <f>Source!U28</f>
        <v>5.0101999999999993</v>
      </c>
      <c r="J43" s="33"/>
      <c r="K43" s="34"/>
    </row>
    <row r="44" spans="1:29" ht="15" x14ac:dyDescent="0.25">
      <c r="C44" s="22" t="s">
        <v>1603</v>
      </c>
      <c r="H44" s="104">
        <f>I40+I41+I42+0-0-0</f>
        <v>137.01999999999998</v>
      </c>
      <c r="I44" s="104"/>
      <c r="J44" s="104">
        <f>K40+K41+K42+0-0-0</f>
        <v>3330.25</v>
      </c>
      <c r="K44" s="104"/>
    </row>
    <row r="45" spans="1:29" ht="15" x14ac:dyDescent="0.25">
      <c r="C45" s="22" t="s">
        <v>1604</v>
      </c>
      <c r="H45" s="100">
        <f>0+0</f>
        <v>0</v>
      </c>
      <c r="I45" s="100"/>
      <c r="J45" s="100">
        <f>0+0</f>
        <v>0</v>
      </c>
      <c r="K45" s="100"/>
    </row>
    <row r="46" spans="1:29" ht="15" x14ac:dyDescent="0.25">
      <c r="C46" s="22" t="s">
        <v>1605</v>
      </c>
      <c r="H46" s="100">
        <f>I40+I41+I42+0</f>
        <v>137.01999999999998</v>
      </c>
      <c r="I46" s="100"/>
      <c r="J46" s="100">
        <f>K40+K41+K42+0</f>
        <v>3330.25</v>
      </c>
      <c r="K46" s="100"/>
      <c r="O46" s="36">
        <f>I40+I41+I42+0</f>
        <v>137.01999999999998</v>
      </c>
      <c r="P46" s="36">
        <f>K40+K41+K42+0</f>
        <v>3330.25</v>
      </c>
    </row>
    <row r="49" spans="1:29" ht="15" x14ac:dyDescent="0.25">
      <c r="A49" s="102" t="str">
        <f>CONCATENATE("Итого по разделу: ",IF(Source!G31&lt;&gt;"Новый раздел", Source!G31, ""))</f>
        <v>Итого по разделу: Демонтажные работы</v>
      </c>
      <c r="B49" s="102"/>
      <c r="C49" s="102"/>
      <c r="D49" s="102"/>
      <c r="E49" s="102"/>
      <c r="F49" s="102"/>
      <c r="G49" s="102"/>
      <c r="H49" s="100">
        <f>SUM(O38:O48)</f>
        <v>137.01999999999998</v>
      </c>
      <c r="I49" s="101"/>
      <c r="J49" s="100">
        <f>SUM(P38:P48)</f>
        <v>3330.25</v>
      </c>
      <c r="K49" s="101"/>
    </row>
    <row r="50" spans="1:29" hidden="1" x14ac:dyDescent="0.2">
      <c r="A50" t="s">
        <v>1606</v>
      </c>
      <c r="I50">
        <f>SUM(W38:W49)</f>
        <v>0</v>
      </c>
      <c r="J50">
        <f>SUM(X38:X49)</f>
        <v>0</v>
      </c>
    </row>
    <row r="51" spans="1:29" hidden="1" x14ac:dyDescent="0.2">
      <c r="A51" t="s">
        <v>1607</v>
      </c>
      <c r="I51">
        <f>SUM(Y38:Y50)</f>
        <v>0</v>
      </c>
      <c r="J51">
        <f>SUM(Z38:Z50)</f>
        <v>0</v>
      </c>
    </row>
    <row r="53" spans="1:29" ht="16.5" x14ac:dyDescent="0.25">
      <c r="A53" s="103" t="str">
        <f>CONCATENATE("Раздел: ",IF(Source!G61&lt;&gt;"Новый раздел", Source!G61, ""))</f>
        <v>Раздел: Монтажные работы</v>
      </c>
      <c r="B53" s="103"/>
      <c r="C53" s="103"/>
      <c r="D53" s="103"/>
      <c r="E53" s="103"/>
      <c r="F53" s="103"/>
      <c r="G53" s="103"/>
      <c r="H53" s="103"/>
      <c r="I53" s="103"/>
      <c r="J53" s="103"/>
      <c r="K53" s="103"/>
    </row>
    <row r="54" spans="1:29" ht="99.75" x14ac:dyDescent="0.2">
      <c r="A54" s="27">
        <v>2</v>
      </c>
      <c r="B54" s="27" t="s">
        <v>1608</v>
      </c>
      <c r="C54" s="27" t="s">
        <v>83</v>
      </c>
      <c r="D54" s="28" t="str">
        <f>Source!H65</f>
        <v>100 м3 материала основания (в плотном теле)</v>
      </c>
      <c r="E54" s="12">
        <f>Source!I65</f>
        <v>2.64E-2</v>
      </c>
      <c r="F54" s="30"/>
      <c r="G54" s="29"/>
      <c r="H54" s="12"/>
      <c r="I54" s="30"/>
      <c r="J54" s="12"/>
      <c r="K54" s="30"/>
      <c r="Q54">
        <f>Source!X65</f>
        <v>6.44</v>
      </c>
      <c r="R54">
        <f>Source!X66</f>
        <v>153.57</v>
      </c>
      <c r="S54">
        <f>Source!Y65</f>
        <v>3.63</v>
      </c>
      <c r="T54">
        <f>Source!Y66</f>
        <v>54.75</v>
      </c>
      <c r="U54">
        <f>ROUND((175/100)*ROUND(Source!R65, 2), 2)</f>
        <v>6.13</v>
      </c>
      <c r="V54">
        <f>ROUND((160/100)*ROUND(Source!R66, 2), 2)</f>
        <v>162.58000000000001</v>
      </c>
      <c r="AC54">
        <v>0</v>
      </c>
    </row>
    <row r="55" spans="1:29" ht="14.25" x14ac:dyDescent="0.2">
      <c r="A55" s="27"/>
      <c r="B55" s="27"/>
      <c r="C55" s="27" t="s">
        <v>1597</v>
      </c>
      <c r="D55" s="28"/>
      <c r="E55" s="12"/>
      <c r="F55" s="30">
        <f>Source!AO65</f>
        <v>151.49</v>
      </c>
      <c r="G55" s="29" t="str">
        <f>Source!DG65</f>
        <v>)*1,15</v>
      </c>
      <c r="H55" s="12">
        <f>Source!AV66</f>
        <v>1</v>
      </c>
      <c r="I55" s="30">
        <f>Source!S65</f>
        <v>4.5999999999999996</v>
      </c>
      <c r="J55" s="12">
        <f>IF(Source!BA66&lt;&gt; 0, Source!BA66, 1)</f>
        <v>29.03</v>
      </c>
      <c r="K55" s="30">
        <f>Source!S66</f>
        <v>133.54</v>
      </c>
    </row>
    <row r="56" spans="1:29" ht="14.25" x14ac:dyDescent="0.2">
      <c r="A56" s="27"/>
      <c r="B56" s="27"/>
      <c r="C56" s="27" t="s">
        <v>1609</v>
      </c>
      <c r="D56" s="28"/>
      <c r="E56" s="12"/>
      <c r="F56" s="30">
        <f>Source!AM65</f>
        <v>745.18</v>
      </c>
      <c r="G56" s="29" t="str">
        <f>Source!DE65</f>
        <v>)*1,25</v>
      </c>
      <c r="H56" s="12">
        <f>Source!AV66</f>
        <v>1</v>
      </c>
      <c r="I56" s="30">
        <f>Source!Q65</f>
        <v>24.59</v>
      </c>
      <c r="J56" s="12">
        <f>IF(Source!BB66&lt;&gt; 0, Source!BB66, 1)</f>
        <v>10.56</v>
      </c>
      <c r="K56" s="30">
        <f>Source!Q66</f>
        <v>259.67</v>
      </c>
    </row>
    <row r="57" spans="1:29" ht="14.25" x14ac:dyDescent="0.2">
      <c r="A57" s="27"/>
      <c r="B57" s="27"/>
      <c r="C57" s="27" t="s">
        <v>1610</v>
      </c>
      <c r="D57" s="28"/>
      <c r="E57" s="12"/>
      <c r="F57" s="30">
        <f>Source!AN65</f>
        <v>105.99</v>
      </c>
      <c r="G57" s="29" t="str">
        <f>Source!DF65</f>
        <v>)*1,25</v>
      </c>
      <c r="H57" s="12">
        <f>Source!AV66</f>
        <v>1</v>
      </c>
      <c r="I57" s="38">
        <f>Source!R65</f>
        <v>3.5</v>
      </c>
      <c r="J57" s="12">
        <f>IF(Source!BS66&lt;&gt; 0, Source!BS66, 1)</f>
        <v>29.03</v>
      </c>
      <c r="K57" s="38">
        <f>Source!R66</f>
        <v>101.61</v>
      </c>
    </row>
    <row r="58" spans="1:29" ht="14.25" x14ac:dyDescent="0.2">
      <c r="A58" s="27"/>
      <c r="B58" s="27"/>
      <c r="C58" s="27" t="s">
        <v>1611</v>
      </c>
      <c r="D58" s="28"/>
      <c r="E58" s="12"/>
      <c r="F58" s="30">
        <f>Source!AL65</f>
        <v>35.35</v>
      </c>
      <c r="G58" s="29" t="str">
        <f>Source!DD65</f>
        <v/>
      </c>
      <c r="H58" s="12">
        <f>Source!AW66</f>
        <v>1</v>
      </c>
      <c r="I58" s="30">
        <f>Source!P65</f>
        <v>0.93</v>
      </c>
      <c r="J58" s="12">
        <f>IF(Source!BC66&lt;&gt; 0, Source!BC66, 1)</f>
        <v>6</v>
      </c>
      <c r="K58" s="30">
        <f>Source!P66</f>
        <v>5.58</v>
      </c>
    </row>
    <row r="59" spans="1:29" ht="28.5" x14ac:dyDescent="0.2">
      <c r="A59" s="27" t="s">
        <v>91</v>
      </c>
      <c r="B59" s="27" t="str">
        <f>Source!F67</f>
        <v>1.1-1-766</v>
      </c>
      <c r="C59" s="27" t="s">
        <v>93</v>
      </c>
      <c r="D59" s="28" t="str">
        <f>Source!H67</f>
        <v>м3</v>
      </c>
      <c r="E59" s="12">
        <f>Source!I67</f>
        <v>2.9039999999999999</v>
      </c>
      <c r="F59" s="30">
        <f>Source!AK67</f>
        <v>104.99</v>
      </c>
      <c r="G59" s="39" t="s">
        <v>3</v>
      </c>
      <c r="H59" s="12">
        <f>Source!AW68</f>
        <v>1</v>
      </c>
      <c r="I59" s="30">
        <f>Source!O67</f>
        <v>304.89</v>
      </c>
      <c r="J59" s="12">
        <f>IF(Source!BC68&lt;&gt; 0, Source!BC68, 1)</f>
        <v>6.88</v>
      </c>
      <c r="K59" s="30">
        <f>Source!O68</f>
        <v>2097.64</v>
      </c>
      <c r="Q59">
        <f>Source!X67</f>
        <v>0</v>
      </c>
      <c r="R59">
        <f>Source!X68</f>
        <v>0</v>
      </c>
      <c r="S59">
        <f>Source!Y67</f>
        <v>0</v>
      </c>
      <c r="T59">
        <f>Source!Y68</f>
        <v>0</v>
      </c>
      <c r="U59">
        <f>ROUND((175/100)*ROUND(Source!R67, 2), 2)</f>
        <v>0</v>
      </c>
      <c r="V59">
        <f>ROUND((160/100)*ROUND(Source!R68, 2), 2)</f>
        <v>0</v>
      </c>
      <c r="AC59">
        <v>3</v>
      </c>
    </row>
    <row r="60" spans="1:29" ht="14.25" x14ac:dyDescent="0.2">
      <c r="A60" s="27"/>
      <c r="B60" s="27"/>
      <c r="C60" s="27" t="s">
        <v>1598</v>
      </c>
      <c r="D60" s="28" t="s">
        <v>1599</v>
      </c>
      <c r="E60" s="12">
        <f>Source!DN66</f>
        <v>140</v>
      </c>
      <c r="F60" s="30"/>
      <c r="G60" s="29"/>
      <c r="H60" s="12"/>
      <c r="I60" s="30">
        <f>SUM(Q54:Q59)</f>
        <v>6.44</v>
      </c>
      <c r="J60" s="12">
        <f>Source!BZ66</f>
        <v>115</v>
      </c>
      <c r="K60" s="30">
        <f>SUM(R54:R59)</f>
        <v>153.57</v>
      </c>
    </row>
    <row r="61" spans="1:29" ht="14.25" x14ac:dyDescent="0.2">
      <c r="A61" s="27"/>
      <c r="B61" s="27"/>
      <c r="C61" s="27" t="s">
        <v>1600</v>
      </c>
      <c r="D61" s="28" t="s">
        <v>1599</v>
      </c>
      <c r="E61" s="12">
        <f>Source!DO66</f>
        <v>79</v>
      </c>
      <c r="F61" s="30"/>
      <c r="G61" s="29"/>
      <c r="H61" s="12"/>
      <c r="I61" s="30">
        <f>SUM(S54:S60)</f>
        <v>3.63</v>
      </c>
      <c r="J61" s="12">
        <f>Source!CA66</f>
        <v>41</v>
      </c>
      <c r="K61" s="30">
        <f>SUM(T54:T60)</f>
        <v>54.75</v>
      </c>
    </row>
    <row r="62" spans="1:29" ht="14.25" x14ac:dyDescent="0.2">
      <c r="A62" s="27"/>
      <c r="B62" s="27"/>
      <c r="C62" s="27" t="s">
        <v>1612</v>
      </c>
      <c r="D62" s="28" t="s">
        <v>1599</v>
      </c>
      <c r="E62" s="12">
        <f>175</f>
        <v>175</v>
      </c>
      <c r="F62" s="30"/>
      <c r="G62" s="29"/>
      <c r="H62" s="12"/>
      <c r="I62" s="30">
        <f>SUM(U54:U61)</f>
        <v>6.13</v>
      </c>
      <c r="J62" s="12">
        <f>160</f>
        <v>160</v>
      </c>
      <c r="K62" s="30">
        <f>SUM(V54:V61)</f>
        <v>162.58000000000001</v>
      </c>
    </row>
    <row r="63" spans="1:29" ht="14.25" x14ac:dyDescent="0.2">
      <c r="A63" s="31"/>
      <c r="B63" s="31"/>
      <c r="C63" s="31" t="s">
        <v>1601</v>
      </c>
      <c r="D63" s="32" t="s">
        <v>1602</v>
      </c>
      <c r="E63" s="33">
        <f>Source!AQ65</f>
        <v>14.4</v>
      </c>
      <c r="F63" s="34"/>
      <c r="G63" s="35" t="str">
        <f>Source!DI65</f>
        <v>)*1,15</v>
      </c>
      <c r="H63" s="33">
        <f>Source!AV66</f>
        <v>1</v>
      </c>
      <c r="I63" s="34">
        <f>Source!U65</f>
        <v>0.43718399999999996</v>
      </c>
      <c r="J63" s="33"/>
      <c r="K63" s="34"/>
    </row>
    <row r="64" spans="1:29" ht="15" x14ac:dyDescent="0.25">
      <c r="C64" s="22" t="s">
        <v>1603</v>
      </c>
      <c r="H64" s="104">
        <f>I55+I56+I58+I60+I61+I62+SUM(I59:I59)-SUMIF(AC59:AC59, 5, I59:I59)-SUMIF(AC59:AC59, 6, I59:I59)</f>
        <v>351.21</v>
      </c>
      <c r="I64" s="104"/>
      <c r="J64" s="104">
        <f>K55+K56+K58+K60+K61+K62+SUM(K59:K59)-SUMIF(AC59:AC59, 5, K59:K59)-SUMIF(AC59:AC59, 6, K59:K59)</f>
        <v>2867.33</v>
      </c>
      <c r="K64" s="104"/>
    </row>
    <row r="65" spans="1:29" ht="15" x14ac:dyDescent="0.25">
      <c r="C65" s="22" t="s">
        <v>1604</v>
      </c>
      <c r="H65" s="100">
        <f>SUMIF(AC59:AC59, 5, I59:I59)+SUMIF(AC59:AC59, 6, I59:I59)</f>
        <v>0</v>
      </c>
      <c r="I65" s="100"/>
      <c r="J65" s="100">
        <f>SUMIF(AC59:AC59, 5, K59:K59)+SUMIF(AC59:AC59, 6, K59:K59)</f>
        <v>0</v>
      </c>
      <c r="K65" s="100"/>
    </row>
    <row r="66" spans="1:29" ht="15" x14ac:dyDescent="0.25">
      <c r="C66" s="22" t="s">
        <v>1605</v>
      </c>
      <c r="H66" s="100">
        <f>I55+I56+I58+I60+I61+I62+SUM(I59:I59)</f>
        <v>351.21</v>
      </c>
      <c r="I66" s="100"/>
      <c r="J66" s="100">
        <f>K55+K56+K58+K60+K61+K62+SUM(K59:K59)</f>
        <v>2867.33</v>
      </c>
      <c r="K66" s="100"/>
      <c r="O66" s="36">
        <f>I55+I56+I58+I60+I61+I62+SUM(I59:I59)</f>
        <v>351.21</v>
      </c>
      <c r="P66" s="36">
        <f>K55+K56+K58+K60+K61+K62+SUM(K59:K59)</f>
        <v>2867.33</v>
      </c>
    </row>
    <row r="68" spans="1:29" ht="99.75" x14ac:dyDescent="0.2">
      <c r="A68" s="27">
        <v>3</v>
      </c>
      <c r="B68" s="27" t="s">
        <v>1613</v>
      </c>
      <c r="C68" s="27" t="s">
        <v>98</v>
      </c>
      <c r="D68" s="28" t="str">
        <f>Source!H69</f>
        <v>100 м3 материала основания (в плотном теле)</v>
      </c>
      <c r="E68" s="12">
        <f>Source!I69</f>
        <v>1.9800000000000002E-2</v>
      </c>
      <c r="F68" s="30"/>
      <c r="G68" s="29"/>
      <c r="H68" s="12"/>
      <c r="I68" s="30"/>
      <c r="J68" s="12"/>
      <c r="K68" s="30"/>
      <c r="Q68">
        <f>Source!X69</f>
        <v>7.24</v>
      </c>
      <c r="R68">
        <f>Source!X70</f>
        <v>172.6</v>
      </c>
      <c r="S68">
        <f>Source!Y69</f>
        <v>4.08</v>
      </c>
      <c r="T68">
        <f>Source!Y70</f>
        <v>61.54</v>
      </c>
      <c r="U68">
        <f>ROUND((175/100)*ROUND(Source!R69, 2), 2)</f>
        <v>20.14</v>
      </c>
      <c r="V68">
        <f>ROUND((160/100)*ROUND(Source!R70, 2), 2)</f>
        <v>534.62</v>
      </c>
      <c r="AC68">
        <v>0</v>
      </c>
    </row>
    <row r="69" spans="1:29" ht="14.25" x14ac:dyDescent="0.2">
      <c r="A69" s="27"/>
      <c r="B69" s="27"/>
      <c r="C69" s="27" t="s">
        <v>1597</v>
      </c>
      <c r="D69" s="28"/>
      <c r="E69" s="12"/>
      <c r="F69" s="30">
        <f>Source!AO69</f>
        <v>227.23</v>
      </c>
      <c r="G69" s="29" t="str">
        <f>Source!DG69</f>
        <v>)*1,15</v>
      </c>
      <c r="H69" s="12">
        <f>Source!AV70</f>
        <v>1</v>
      </c>
      <c r="I69" s="30">
        <f>Source!S69</f>
        <v>5.17</v>
      </c>
      <c r="J69" s="12">
        <f>IF(Source!BA70&lt;&gt; 0, Source!BA70, 1)</f>
        <v>29.03</v>
      </c>
      <c r="K69" s="30">
        <f>Source!S70</f>
        <v>150.09</v>
      </c>
    </row>
    <row r="70" spans="1:29" ht="14.25" x14ac:dyDescent="0.2">
      <c r="A70" s="27"/>
      <c r="B70" s="27"/>
      <c r="C70" s="27" t="s">
        <v>1609</v>
      </c>
      <c r="D70" s="28"/>
      <c r="E70" s="12"/>
      <c r="F70" s="30">
        <f>Source!AM69</f>
        <v>5344.54</v>
      </c>
      <c r="G70" s="29" t="str">
        <f>Source!DE69</f>
        <v>)*1,25</v>
      </c>
      <c r="H70" s="12">
        <f>Source!AV70</f>
        <v>1</v>
      </c>
      <c r="I70" s="30">
        <f>Source!Q69</f>
        <v>132.28</v>
      </c>
      <c r="J70" s="12">
        <f>IF(Source!BB70&lt;&gt; 0, Source!BB70, 1)</f>
        <v>10.49</v>
      </c>
      <c r="K70" s="30">
        <f>Source!Q70</f>
        <v>1387.62</v>
      </c>
    </row>
    <row r="71" spans="1:29" ht="14.25" x14ac:dyDescent="0.2">
      <c r="A71" s="27"/>
      <c r="B71" s="27"/>
      <c r="C71" s="27" t="s">
        <v>1610</v>
      </c>
      <c r="D71" s="28"/>
      <c r="E71" s="12"/>
      <c r="F71" s="30">
        <f>Source!AN69</f>
        <v>465.21</v>
      </c>
      <c r="G71" s="29" t="str">
        <f>Source!DF69</f>
        <v>)*1,25</v>
      </c>
      <c r="H71" s="12">
        <f>Source!AV70</f>
        <v>1</v>
      </c>
      <c r="I71" s="38">
        <f>Source!R69</f>
        <v>11.51</v>
      </c>
      <c r="J71" s="12">
        <f>IF(Source!BS70&lt;&gt; 0, Source!BS70, 1)</f>
        <v>29.03</v>
      </c>
      <c r="K71" s="38">
        <f>Source!R70</f>
        <v>334.14</v>
      </c>
    </row>
    <row r="72" spans="1:29" ht="14.25" x14ac:dyDescent="0.2">
      <c r="A72" s="27"/>
      <c r="B72" s="27"/>
      <c r="C72" s="27" t="s">
        <v>1611</v>
      </c>
      <c r="D72" s="28"/>
      <c r="E72" s="12"/>
      <c r="F72" s="30">
        <f>Source!AL69</f>
        <v>49.49</v>
      </c>
      <c r="G72" s="29" t="str">
        <f>Source!DD69</f>
        <v/>
      </c>
      <c r="H72" s="12">
        <f>Source!AW70</f>
        <v>1</v>
      </c>
      <c r="I72" s="30">
        <f>Source!P69</f>
        <v>0.98</v>
      </c>
      <c r="J72" s="12">
        <f>IF(Source!BC70&lt;&gt; 0, Source!BC70, 1)</f>
        <v>6</v>
      </c>
      <c r="K72" s="30">
        <f>Source!P70</f>
        <v>5.88</v>
      </c>
    </row>
    <row r="73" spans="1:29" ht="42.75" x14ac:dyDescent="0.2">
      <c r="A73" s="27" t="s">
        <v>100</v>
      </c>
      <c r="B73" s="27" t="str">
        <f>Source!F71</f>
        <v>1.1-1-1554</v>
      </c>
      <c r="C73" s="27" t="s">
        <v>102</v>
      </c>
      <c r="D73" s="28" t="str">
        <f>Source!H71</f>
        <v>м3</v>
      </c>
      <c r="E73" s="12">
        <f>Source!I71</f>
        <v>2.4948000000000001</v>
      </c>
      <c r="F73" s="30">
        <f>Source!AK71</f>
        <v>165.8</v>
      </c>
      <c r="G73" s="39" t="s">
        <v>3</v>
      </c>
      <c r="H73" s="12">
        <f>Source!AW72</f>
        <v>1</v>
      </c>
      <c r="I73" s="30">
        <f>Source!O71</f>
        <v>413.64</v>
      </c>
      <c r="J73" s="12">
        <f>IF(Source!BC72&lt;&gt; 0, Source!BC72, 1)</f>
        <v>20.98</v>
      </c>
      <c r="K73" s="30">
        <f>Source!O72</f>
        <v>8678.17</v>
      </c>
      <c r="Q73">
        <f>Source!X71</f>
        <v>0</v>
      </c>
      <c r="R73">
        <f>Source!X72</f>
        <v>0</v>
      </c>
      <c r="S73">
        <f>Source!Y71</f>
        <v>0</v>
      </c>
      <c r="T73">
        <f>Source!Y72</f>
        <v>0</v>
      </c>
      <c r="U73">
        <f>ROUND((175/100)*ROUND(Source!R71, 2), 2)</f>
        <v>0</v>
      </c>
      <c r="V73">
        <f>ROUND((160/100)*ROUND(Source!R72, 2), 2)</f>
        <v>0</v>
      </c>
      <c r="AC73">
        <v>3</v>
      </c>
    </row>
    <row r="74" spans="1:29" ht="14.25" x14ac:dyDescent="0.2">
      <c r="A74" s="27"/>
      <c r="B74" s="27"/>
      <c r="C74" s="27" t="s">
        <v>1598</v>
      </c>
      <c r="D74" s="28" t="s">
        <v>1599</v>
      </c>
      <c r="E74" s="12">
        <f>Source!DN70</f>
        <v>140</v>
      </c>
      <c r="F74" s="30"/>
      <c r="G74" s="29"/>
      <c r="H74" s="12"/>
      <c r="I74" s="30">
        <f>SUM(Q68:Q73)</f>
        <v>7.24</v>
      </c>
      <c r="J74" s="12">
        <f>Source!BZ70</f>
        <v>115</v>
      </c>
      <c r="K74" s="30">
        <f>SUM(R68:R73)</f>
        <v>172.6</v>
      </c>
    </row>
    <row r="75" spans="1:29" ht="14.25" x14ac:dyDescent="0.2">
      <c r="A75" s="27"/>
      <c r="B75" s="27"/>
      <c r="C75" s="27" t="s">
        <v>1600</v>
      </c>
      <c r="D75" s="28" t="s">
        <v>1599</v>
      </c>
      <c r="E75" s="12">
        <f>Source!DO70</f>
        <v>79</v>
      </c>
      <c r="F75" s="30"/>
      <c r="G75" s="29"/>
      <c r="H75" s="12"/>
      <c r="I75" s="30">
        <f>SUM(S68:S74)</f>
        <v>4.08</v>
      </c>
      <c r="J75" s="12">
        <f>Source!CA70</f>
        <v>41</v>
      </c>
      <c r="K75" s="30">
        <f>SUM(T68:T74)</f>
        <v>61.54</v>
      </c>
    </row>
    <row r="76" spans="1:29" ht="14.25" x14ac:dyDescent="0.2">
      <c r="A76" s="27"/>
      <c r="B76" s="27"/>
      <c r="C76" s="27" t="s">
        <v>1612</v>
      </c>
      <c r="D76" s="28" t="s">
        <v>1599</v>
      </c>
      <c r="E76" s="12">
        <f>175</f>
        <v>175</v>
      </c>
      <c r="F76" s="30"/>
      <c r="G76" s="29"/>
      <c r="H76" s="12"/>
      <c r="I76" s="30">
        <f>SUM(U68:U75)</f>
        <v>20.14</v>
      </c>
      <c r="J76" s="12">
        <f>160</f>
        <v>160</v>
      </c>
      <c r="K76" s="30">
        <f>SUM(V68:V75)</f>
        <v>534.62</v>
      </c>
    </row>
    <row r="77" spans="1:29" ht="14.25" x14ac:dyDescent="0.2">
      <c r="A77" s="31"/>
      <c r="B77" s="31"/>
      <c r="C77" s="31" t="s">
        <v>1601</v>
      </c>
      <c r="D77" s="32" t="s">
        <v>1602</v>
      </c>
      <c r="E77" s="33">
        <f>Source!AQ69</f>
        <v>21.6</v>
      </c>
      <c r="F77" s="34"/>
      <c r="G77" s="35" t="str">
        <f>Source!DI69</f>
        <v>)*1,15</v>
      </c>
      <c r="H77" s="33">
        <f>Source!AV70</f>
        <v>1</v>
      </c>
      <c r="I77" s="34">
        <f>Source!U69</f>
        <v>0.49183200000000005</v>
      </c>
      <c r="J77" s="33"/>
      <c r="K77" s="34"/>
    </row>
    <row r="78" spans="1:29" ht="15" x14ac:dyDescent="0.25">
      <c r="C78" s="22" t="s">
        <v>1603</v>
      </c>
      <c r="H78" s="104">
        <f>I69+I70+I72+I74+I75+I76+SUM(I73:I73)-SUMIF(AC73:AC73, 5, I73:I73)-SUMIF(AC73:AC73, 6, I73:I73)</f>
        <v>583.53</v>
      </c>
      <c r="I78" s="104"/>
      <c r="J78" s="104">
        <f>K69+K70+K72+K74+K75+K76+SUM(K73:K73)-SUMIF(AC73:AC73, 5, K73:K73)-SUMIF(AC73:AC73, 6, K73:K73)</f>
        <v>10990.52</v>
      </c>
      <c r="K78" s="104"/>
    </row>
    <row r="79" spans="1:29" ht="15" x14ac:dyDescent="0.25">
      <c r="C79" s="22" t="s">
        <v>1604</v>
      </c>
      <c r="H79" s="100">
        <f>SUMIF(AC73:AC73, 5, I73:I73)+SUMIF(AC73:AC73, 6, I73:I73)</f>
        <v>0</v>
      </c>
      <c r="I79" s="100"/>
      <c r="J79" s="100">
        <f>SUMIF(AC73:AC73, 5, K73:K73)+SUMIF(AC73:AC73, 6, K73:K73)</f>
        <v>0</v>
      </c>
      <c r="K79" s="100"/>
    </row>
    <row r="80" spans="1:29" ht="15" x14ac:dyDescent="0.25">
      <c r="C80" s="22" t="s">
        <v>1605</v>
      </c>
      <c r="H80" s="100">
        <f>I69+I70+I72+I74+I75+I76+SUM(I73:I73)</f>
        <v>583.53</v>
      </c>
      <c r="I80" s="100"/>
      <c r="J80" s="100">
        <f>K69+K70+K72+K74+K75+K76+SUM(K73:K73)</f>
        <v>10990.52</v>
      </c>
      <c r="K80" s="100"/>
      <c r="O80" s="36">
        <f>I69+I70+I72+I74+I75+I76+SUM(I73:I73)</f>
        <v>583.53</v>
      </c>
      <c r="P80" s="36">
        <f>K69+K70+K72+K74+K75+K76+SUM(K73:K73)</f>
        <v>10990.52</v>
      </c>
    </row>
    <row r="82" spans="1:29" ht="71.25" x14ac:dyDescent="0.2">
      <c r="A82" s="27">
        <v>4</v>
      </c>
      <c r="B82" s="27" t="s">
        <v>1614</v>
      </c>
      <c r="C82" s="27" t="s">
        <v>106</v>
      </c>
      <c r="D82" s="28" t="str">
        <f>Source!H73</f>
        <v>100 м2 покрытия</v>
      </c>
      <c r="E82" s="12">
        <f>Source!I73</f>
        <v>0.13200000000000001</v>
      </c>
      <c r="F82" s="30"/>
      <c r="G82" s="29"/>
      <c r="H82" s="12"/>
      <c r="I82" s="30"/>
      <c r="J82" s="12"/>
      <c r="K82" s="30"/>
      <c r="Q82">
        <f>Source!X73</f>
        <v>36.82</v>
      </c>
      <c r="R82">
        <f>Source!X74</f>
        <v>878.01</v>
      </c>
      <c r="S82">
        <f>Source!Y73</f>
        <v>20.78</v>
      </c>
      <c r="T82">
        <f>Source!Y74</f>
        <v>313.02999999999997</v>
      </c>
      <c r="U82">
        <f>ROUND((175/100)*ROUND(Source!R73, 2), 2)</f>
        <v>0</v>
      </c>
      <c r="V82">
        <f>ROUND((160/100)*ROUND(Source!R74, 2), 2)</f>
        <v>0</v>
      </c>
      <c r="AC82">
        <v>0</v>
      </c>
    </row>
    <row r="83" spans="1:29" ht="14.25" x14ac:dyDescent="0.2">
      <c r="A83" s="27"/>
      <c r="B83" s="27"/>
      <c r="C83" s="27" t="s">
        <v>1597</v>
      </c>
      <c r="D83" s="28"/>
      <c r="E83" s="12"/>
      <c r="F83" s="30">
        <f>Source!AO73</f>
        <v>173.23</v>
      </c>
      <c r="G83" s="29" t="str">
        <f>Source!DG73</f>
        <v>)*1,15</v>
      </c>
      <c r="H83" s="12">
        <f>Source!AV74</f>
        <v>1</v>
      </c>
      <c r="I83" s="30">
        <f>Source!S73</f>
        <v>26.3</v>
      </c>
      <c r="J83" s="12">
        <f>IF(Source!BA74&lt;&gt; 0, Source!BA74, 1)</f>
        <v>29.03</v>
      </c>
      <c r="K83" s="30">
        <f>Source!S74</f>
        <v>763.49</v>
      </c>
    </row>
    <row r="84" spans="1:29" ht="14.25" x14ac:dyDescent="0.2">
      <c r="A84" s="27"/>
      <c r="B84" s="27"/>
      <c r="C84" s="27" t="s">
        <v>1611</v>
      </c>
      <c r="D84" s="28"/>
      <c r="E84" s="12"/>
      <c r="F84" s="30">
        <f>Source!AL73</f>
        <v>262.60000000000002</v>
      </c>
      <c r="G84" s="29" t="str">
        <f>Source!DD73</f>
        <v/>
      </c>
      <c r="H84" s="12">
        <f>Source!AW74</f>
        <v>1</v>
      </c>
      <c r="I84" s="30">
        <f>Source!P73</f>
        <v>34.659999999999997</v>
      </c>
      <c r="J84" s="12">
        <f>IF(Source!BC74&lt;&gt; 0, Source!BC74, 1)</f>
        <v>9.89</v>
      </c>
      <c r="K84" s="30">
        <f>Source!P74</f>
        <v>342.79</v>
      </c>
    </row>
    <row r="85" spans="1:29" ht="42.75" x14ac:dyDescent="0.2">
      <c r="A85" s="27" t="s">
        <v>111</v>
      </c>
      <c r="B85" s="27" t="str">
        <f>Source!F75</f>
        <v>1.3-3-9</v>
      </c>
      <c r="C85" s="27" t="s">
        <v>113</v>
      </c>
      <c r="D85" s="28" t="str">
        <f>Source!H75</f>
        <v>т</v>
      </c>
      <c r="E85" s="12">
        <f>Source!I75</f>
        <v>0.94247999999999998</v>
      </c>
      <c r="F85" s="30">
        <f>Source!AK75</f>
        <v>317.29000000000002</v>
      </c>
      <c r="G85" s="39" t="s">
        <v>3</v>
      </c>
      <c r="H85" s="12">
        <f>Source!AW76</f>
        <v>1</v>
      </c>
      <c r="I85" s="30">
        <f>Source!O75</f>
        <v>299.04000000000002</v>
      </c>
      <c r="J85" s="12">
        <f>IF(Source!BC76&lt;&gt; 0, Source!BC76, 1)</f>
        <v>11.89</v>
      </c>
      <c r="K85" s="30">
        <f>Source!O76</f>
        <v>3555.59</v>
      </c>
      <c r="Q85">
        <f>Source!X75</f>
        <v>0</v>
      </c>
      <c r="R85">
        <f>Source!X76</f>
        <v>0</v>
      </c>
      <c r="S85">
        <f>Source!Y75</f>
        <v>0</v>
      </c>
      <c r="T85">
        <f>Source!Y76</f>
        <v>0</v>
      </c>
      <c r="U85">
        <f>ROUND((175/100)*ROUND(Source!R75, 2), 2)</f>
        <v>0</v>
      </c>
      <c r="V85">
        <f>ROUND((160/100)*ROUND(Source!R76, 2), 2)</f>
        <v>0</v>
      </c>
      <c r="AC85">
        <v>3</v>
      </c>
    </row>
    <row r="86" spans="1:29" ht="14.25" x14ac:dyDescent="0.2">
      <c r="A86" s="27"/>
      <c r="B86" s="27"/>
      <c r="C86" s="27" t="s">
        <v>1598</v>
      </c>
      <c r="D86" s="28" t="s">
        <v>1599</v>
      </c>
      <c r="E86" s="12">
        <f>Source!DN74</f>
        <v>140</v>
      </c>
      <c r="F86" s="30"/>
      <c r="G86" s="29"/>
      <c r="H86" s="12"/>
      <c r="I86" s="30">
        <f>SUM(Q82:Q85)</f>
        <v>36.82</v>
      </c>
      <c r="J86" s="12">
        <f>Source!BZ74</f>
        <v>115</v>
      </c>
      <c r="K86" s="30">
        <f>SUM(R82:R85)</f>
        <v>878.01</v>
      </c>
    </row>
    <row r="87" spans="1:29" ht="14.25" x14ac:dyDescent="0.2">
      <c r="A87" s="27"/>
      <c r="B87" s="27"/>
      <c r="C87" s="27" t="s">
        <v>1600</v>
      </c>
      <c r="D87" s="28" t="s">
        <v>1599</v>
      </c>
      <c r="E87" s="12">
        <f>Source!DO74</f>
        <v>79</v>
      </c>
      <c r="F87" s="30"/>
      <c r="G87" s="29"/>
      <c r="H87" s="12"/>
      <c r="I87" s="30">
        <f>SUM(S82:S86)</f>
        <v>20.78</v>
      </c>
      <c r="J87" s="12">
        <f>Source!CA74</f>
        <v>41</v>
      </c>
      <c r="K87" s="30">
        <f>SUM(T82:T86)</f>
        <v>313.02999999999997</v>
      </c>
    </row>
    <row r="88" spans="1:29" ht="14.25" x14ac:dyDescent="0.2">
      <c r="A88" s="31"/>
      <c r="B88" s="31"/>
      <c r="C88" s="31" t="s">
        <v>1601</v>
      </c>
      <c r="D88" s="32" t="s">
        <v>1602</v>
      </c>
      <c r="E88" s="33">
        <f>Source!AQ73</f>
        <v>14.4</v>
      </c>
      <c r="F88" s="34"/>
      <c r="G88" s="35" t="str">
        <f>Source!DI73</f>
        <v>)*1,15</v>
      </c>
      <c r="H88" s="33">
        <f>Source!AV74</f>
        <v>1</v>
      </c>
      <c r="I88" s="34">
        <f>Source!U73</f>
        <v>2.1859199999999999</v>
      </c>
      <c r="J88" s="33"/>
      <c r="K88" s="34"/>
    </row>
    <row r="89" spans="1:29" ht="15" x14ac:dyDescent="0.25">
      <c r="C89" s="22" t="s">
        <v>1603</v>
      </c>
      <c r="H89" s="104">
        <f>I83+I84+I86+I87+SUM(I85:I85)-SUMIF(AC85:AC85, 5, I85:I85)-SUMIF(AC85:AC85, 6, I85:I85)</f>
        <v>417.6</v>
      </c>
      <c r="I89" s="104"/>
      <c r="J89" s="104">
        <f>K83+K84+K86+K87+SUM(K85:K85)-SUMIF(AC85:AC85, 5, K85:K85)-SUMIF(AC85:AC85, 6, K85:K85)</f>
        <v>5852.91</v>
      </c>
      <c r="K89" s="104"/>
    </row>
    <row r="90" spans="1:29" ht="15" x14ac:dyDescent="0.25">
      <c r="C90" s="22" t="s">
        <v>1604</v>
      </c>
      <c r="H90" s="100">
        <f>SUMIF(AC85:AC85, 5, I85:I85)+SUMIF(AC85:AC85, 6, I85:I85)</f>
        <v>0</v>
      </c>
      <c r="I90" s="100"/>
      <c r="J90" s="100">
        <f>SUMIF(AC85:AC85, 5, K85:K85)+SUMIF(AC85:AC85, 6, K85:K85)</f>
        <v>0</v>
      </c>
      <c r="K90" s="100"/>
    </row>
    <row r="91" spans="1:29" ht="15" x14ac:dyDescent="0.25">
      <c r="C91" s="22" t="s">
        <v>1605</v>
      </c>
      <c r="H91" s="100">
        <f>I83+I84+I86+I87+SUM(I85:I85)</f>
        <v>417.6</v>
      </c>
      <c r="I91" s="100"/>
      <c r="J91" s="100">
        <f>K83+K84+K86+K87+SUM(K85:K85)</f>
        <v>5852.91</v>
      </c>
      <c r="K91" s="100"/>
      <c r="O91" s="36">
        <f>I83+I84+I86+I87+SUM(I85:I85)</f>
        <v>417.6</v>
      </c>
      <c r="P91" s="36">
        <f>K83+K84+K86+K87+SUM(K85:K85)</f>
        <v>5852.91</v>
      </c>
    </row>
    <row r="93" spans="1:29" ht="85.5" x14ac:dyDescent="0.2">
      <c r="A93" s="27">
        <v>5</v>
      </c>
      <c r="B93" s="27" t="s">
        <v>1615</v>
      </c>
      <c r="C93" s="27" t="s">
        <v>118</v>
      </c>
      <c r="D93" s="28" t="str">
        <f>Source!H77</f>
        <v>100 м2 покрытия</v>
      </c>
      <c r="E93" s="12">
        <f>Source!I77</f>
        <v>0.13400000000000001</v>
      </c>
      <c r="F93" s="30"/>
      <c r="G93" s="29"/>
      <c r="H93" s="12"/>
      <c r="I93" s="30"/>
      <c r="J93" s="12"/>
      <c r="K93" s="30"/>
      <c r="Q93">
        <f>Source!X77</f>
        <v>54.19</v>
      </c>
      <c r="R93">
        <f>Source!X78</f>
        <v>1292.31</v>
      </c>
      <c r="S93">
        <f>Source!Y77</f>
        <v>30.58</v>
      </c>
      <c r="T93">
        <f>Source!Y78</f>
        <v>460.74</v>
      </c>
      <c r="U93">
        <f>ROUND((175/100)*ROUND(Source!R77, 2), 2)</f>
        <v>0</v>
      </c>
      <c r="V93">
        <f>ROUND((160/100)*ROUND(Source!R78, 2), 2)</f>
        <v>0</v>
      </c>
      <c r="AC93">
        <v>0</v>
      </c>
    </row>
    <row r="94" spans="1:29" ht="28.5" x14ac:dyDescent="0.2">
      <c r="A94" s="27"/>
      <c r="B94" s="27"/>
      <c r="C94" s="27" t="s">
        <v>1597</v>
      </c>
      <c r="D94" s="28"/>
      <c r="E94" s="12"/>
      <c r="F94" s="30">
        <f>Source!AO77</f>
        <v>27.91</v>
      </c>
      <c r="G94" s="29" t="str">
        <f>Source!DG77</f>
        <v>)*1,15)*9</v>
      </c>
      <c r="H94" s="12">
        <f>Source!AV78</f>
        <v>1</v>
      </c>
      <c r="I94" s="30">
        <f>Source!S77</f>
        <v>38.71</v>
      </c>
      <c r="J94" s="12">
        <f>IF(Source!BA78&lt;&gt; 0, Source!BA78, 1)</f>
        <v>29.03</v>
      </c>
      <c r="K94" s="30">
        <f>Source!S78</f>
        <v>1123.75</v>
      </c>
    </row>
    <row r="95" spans="1:29" ht="52.5" x14ac:dyDescent="0.2">
      <c r="A95" s="27" t="s">
        <v>123</v>
      </c>
      <c r="B95" s="27" t="s">
        <v>1616</v>
      </c>
      <c r="C95" s="27" t="s">
        <v>113</v>
      </c>
      <c r="D95" s="28" t="str">
        <f>Source!H79</f>
        <v>т</v>
      </c>
      <c r="E95" s="12">
        <f>Source!I79</f>
        <v>1.45926</v>
      </c>
      <c r="F95" s="30">
        <f>Source!AK79</f>
        <v>317.29000000000002</v>
      </c>
      <c r="G95" s="39" t="s">
        <v>1617</v>
      </c>
      <c r="H95" s="12">
        <f>Source!AW80</f>
        <v>1</v>
      </c>
      <c r="I95" s="30">
        <f>Source!O79</f>
        <v>463.01</v>
      </c>
      <c r="J95" s="12">
        <f>IF(Source!BC80&lt;&gt; 0, Source!BC80, 1)</f>
        <v>11.89</v>
      </c>
      <c r="K95" s="30">
        <f>Source!O80</f>
        <v>5505.19</v>
      </c>
      <c r="Q95">
        <f>Source!X79</f>
        <v>0</v>
      </c>
      <c r="R95">
        <f>Source!X80</f>
        <v>0</v>
      </c>
      <c r="S95">
        <f>Source!Y79</f>
        <v>0</v>
      </c>
      <c r="T95">
        <f>Source!Y80</f>
        <v>0</v>
      </c>
      <c r="U95">
        <f>ROUND((175/100)*ROUND(Source!R79, 2), 2)</f>
        <v>0</v>
      </c>
      <c r="V95">
        <f>ROUND((160/100)*ROUND(Source!R80, 2), 2)</f>
        <v>0</v>
      </c>
      <c r="AC95">
        <v>3</v>
      </c>
    </row>
    <row r="96" spans="1:29" ht="14.25" x14ac:dyDescent="0.2">
      <c r="A96" s="27"/>
      <c r="B96" s="27"/>
      <c r="C96" s="27" t="s">
        <v>1598</v>
      </c>
      <c r="D96" s="28" t="s">
        <v>1599</v>
      </c>
      <c r="E96" s="12">
        <f>Source!DN78</f>
        <v>140</v>
      </c>
      <c r="F96" s="30"/>
      <c r="G96" s="29"/>
      <c r="H96" s="12"/>
      <c r="I96" s="30">
        <f>SUM(Q93:Q95)</f>
        <v>54.19</v>
      </c>
      <c r="J96" s="12">
        <f>Source!BZ78</f>
        <v>115</v>
      </c>
      <c r="K96" s="30">
        <f>SUM(R93:R95)</f>
        <v>1292.31</v>
      </c>
    </row>
    <row r="97" spans="1:29" ht="14.25" x14ac:dyDescent="0.2">
      <c r="A97" s="27"/>
      <c r="B97" s="27"/>
      <c r="C97" s="27" t="s">
        <v>1600</v>
      </c>
      <c r="D97" s="28" t="s">
        <v>1599</v>
      </c>
      <c r="E97" s="12">
        <f>Source!DO78</f>
        <v>79</v>
      </c>
      <c r="F97" s="30"/>
      <c r="G97" s="29"/>
      <c r="H97" s="12"/>
      <c r="I97" s="30">
        <f>SUM(S93:S96)</f>
        <v>30.58</v>
      </c>
      <c r="J97" s="12">
        <f>Source!CA78</f>
        <v>41</v>
      </c>
      <c r="K97" s="30">
        <f>SUM(T93:T96)</f>
        <v>460.74</v>
      </c>
    </row>
    <row r="98" spans="1:29" ht="28.5" x14ac:dyDescent="0.2">
      <c r="A98" s="31"/>
      <c r="B98" s="31"/>
      <c r="C98" s="31" t="s">
        <v>1601</v>
      </c>
      <c r="D98" s="32" t="s">
        <v>1602</v>
      </c>
      <c r="E98" s="33">
        <f>Source!AQ77</f>
        <v>2.3199999999999998</v>
      </c>
      <c r="F98" s="34"/>
      <c r="G98" s="35" t="str">
        <f>Source!DI77</f>
        <v>)*1,15)*9</v>
      </c>
      <c r="H98" s="33">
        <f>Source!AV78</f>
        <v>1</v>
      </c>
      <c r="I98" s="34">
        <f>Source!U77</f>
        <v>3.2176079999999998</v>
      </c>
      <c r="J98" s="33"/>
      <c r="K98" s="34"/>
    </row>
    <row r="99" spans="1:29" ht="15" x14ac:dyDescent="0.25">
      <c r="C99" s="22" t="s">
        <v>1603</v>
      </c>
      <c r="H99" s="104">
        <f>I94+I96+I97+SUM(I95:I95)-SUMIF(AC95:AC95, 5, I95:I95)-SUMIF(AC95:AC95, 6, I95:I95)</f>
        <v>586.49</v>
      </c>
      <c r="I99" s="104"/>
      <c r="J99" s="104">
        <f>K94+K96+K97+SUM(K95:K95)-SUMIF(AC95:AC95, 5, K95:K95)-SUMIF(AC95:AC95, 6, K95:K95)</f>
        <v>8381.99</v>
      </c>
      <c r="K99" s="104"/>
    </row>
    <row r="100" spans="1:29" ht="15" x14ac:dyDescent="0.25">
      <c r="C100" s="22" t="s">
        <v>1604</v>
      </c>
      <c r="H100" s="100">
        <f>SUMIF(AC95:AC95, 5, I95:I95)+SUMIF(AC95:AC95, 6, I95:I95)</f>
        <v>0</v>
      </c>
      <c r="I100" s="100"/>
      <c r="J100" s="100">
        <f>SUMIF(AC95:AC95, 5, K95:K95)+SUMIF(AC95:AC95, 6, K95:K95)</f>
        <v>0</v>
      </c>
      <c r="K100" s="100"/>
    </row>
    <row r="101" spans="1:29" ht="15" x14ac:dyDescent="0.25">
      <c r="C101" s="22" t="s">
        <v>1605</v>
      </c>
      <c r="H101" s="100">
        <f>I94+I96+I97+SUM(I95:I95)</f>
        <v>586.49</v>
      </c>
      <c r="I101" s="100"/>
      <c r="J101" s="100">
        <f>K94+K96+K97+SUM(K95:K95)</f>
        <v>8381.99</v>
      </c>
      <c r="K101" s="100"/>
      <c r="O101" s="36">
        <f>I94+I96+I97+SUM(I95:I95)</f>
        <v>586.49</v>
      </c>
      <c r="P101" s="36">
        <f>K94+K96+K97+SUM(K95:K95)</f>
        <v>8381.99</v>
      </c>
    </row>
    <row r="103" spans="1:29" ht="52.5" x14ac:dyDescent="0.2">
      <c r="A103" s="27">
        <v>6</v>
      </c>
      <c r="B103" s="27" t="s">
        <v>1618</v>
      </c>
      <c r="C103" s="27" t="s">
        <v>126</v>
      </c>
      <c r="D103" s="28" t="str">
        <f>Source!H81</f>
        <v>100 м бортового камня</v>
      </c>
      <c r="E103" s="12">
        <f>Source!I81</f>
        <v>0.10299999999999999</v>
      </c>
      <c r="F103" s="30"/>
      <c r="G103" s="29"/>
      <c r="H103" s="12"/>
      <c r="I103" s="30"/>
      <c r="J103" s="12"/>
      <c r="K103" s="30"/>
      <c r="Q103">
        <f>Source!X81</f>
        <v>127.2</v>
      </c>
      <c r="R103">
        <f>Source!X82</f>
        <v>3033.32</v>
      </c>
      <c r="S103">
        <f>Source!Y81</f>
        <v>71.78</v>
      </c>
      <c r="T103">
        <f>Source!Y82</f>
        <v>1081.44</v>
      </c>
      <c r="U103">
        <f>ROUND((175/100)*ROUND(Source!R81, 2), 2)</f>
        <v>2.5</v>
      </c>
      <c r="V103">
        <f>ROUND((160/100)*ROUND(Source!R82, 2), 2)</f>
        <v>66.42</v>
      </c>
      <c r="AC103">
        <v>0</v>
      </c>
    </row>
    <row r="104" spans="1:29" x14ac:dyDescent="0.2">
      <c r="C104" s="40" t="str">
        <f>"Объем: "&amp;Source!I81&amp;"=10,3/"&amp;"100"</f>
        <v>Объем: 0,103=10,3/100</v>
      </c>
    </row>
    <row r="105" spans="1:29" ht="14.25" x14ac:dyDescent="0.2">
      <c r="A105" s="27"/>
      <c r="B105" s="27"/>
      <c r="C105" s="27" t="s">
        <v>1597</v>
      </c>
      <c r="D105" s="28"/>
      <c r="E105" s="12"/>
      <c r="F105" s="30">
        <f>Source!AO81</f>
        <v>767.1</v>
      </c>
      <c r="G105" s="29" t="str">
        <f>Source!DG81</f>
        <v>)*1,15</v>
      </c>
      <c r="H105" s="12">
        <f>Source!AV82</f>
        <v>1</v>
      </c>
      <c r="I105" s="30">
        <f>Source!S81</f>
        <v>90.86</v>
      </c>
      <c r="J105" s="12">
        <f>IF(Source!BA82&lt;&gt; 0, Source!BA82, 1)</f>
        <v>29.03</v>
      </c>
      <c r="K105" s="30">
        <f>Source!S82</f>
        <v>2637.67</v>
      </c>
    </row>
    <row r="106" spans="1:29" ht="14.25" x14ac:dyDescent="0.2">
      <c r="A106" s="27"/>
      <c r="B106" s="27"/>
      <c r="C106" s="27" t="s">
        <v>1609</v>
      </c>
      <c r="D106" s="28"/>
      <c r="E106" s="12"/>
      <c r="F106" s="30">
        <f>Source!AM81</f>
        <v>116.47</v>
      </c>
      <c r="G106" s="29" t="str">
        <f>Source!DE81</f>
        <v>)*1,25</v>
      </c>
      <c r="H106" s="12">
        <f>Source!AV82</f>
        <v>1</v>
      </c>
      <c r="I106" s="30">
        <f>Source!Q81</f>
        <v>15</v>
      </c>
      <c r="J106" s="12">
        <f>IF(Source!BB82&lt;&gt; 0, Source!BB82, 1)</f>
        <v>10.3</v>
      </c>
      <c r="K106" s="30">
        <f>Source!Q82</f>
        <v>154.5</v>
      </c>
    </row>
    <row r="107" spans="1:29" ht="14.25" x14ac:dyDescent="0.2">
      <c r="A107" s="27"/>
      <c r="B107" s="27"/>
      <c r="C107" s="27" t="s">
        <v>1610</v>
      </c>
      <c r="D107" s="28"/>
      <c r="E107" s="12"/>
      <c r="F107" s="30">
        <f>Source!AN81</f>
        <v>11.07</v>
      </c>
      <c r="G107" s="29" t="str">
        <f>Source!DF81</f>
        <v>)*1,25</v>
      </c>
      <c r="H107" s="12">
        <f>Source!AV82</f>
        <v>1</v>
      </c>
      <c r="I107" s="38">
        <f>Source!R81</f>
        <v>1.43</v>
      </c>
      <c r="J107" s="12">
        <f>IF(Source!BS82&lt;&gt; 0, Source!BS82, 1)</f>
        <v>29.03</v>
      </c>
      <c r="K107" s="38">
        <f>Source!R82</f>
        <v>41.51</v>
      </c>
    </row>
    <row r="108" spans="1:29" ht="14.25" x14ac:dyDescent="0.2">
      <c r="A108" s="27"/>
      <c r="B108" s="27"/>
      <c r="C108" s="27" t="s">
        <v>1611</v>
      </c>
      <c r="D108" s="28"/>
      <c r="E108" s="12"/>
      <c r="F108" s="30">
        <f>Source!AL81</f>
        <v>4302.26</v>
      </c>
      <c r="G108" s="29" t="str">
        <f>Source!DD81</f>
        <v/>
      </c>
      <c r="H108" s="12">
        <f>Source!AW82</f>
        <v>1</v>
      </c>
      <c r="I108" s="30">
        <f>Source!P81</f>
        <v>443.13</v>
      </c>
      <c r="J108" s="12">
        <f>IF(Source!BC82&lt;&gt; 0, Source!BC82, 1)</f>
        <v>8.32</v>
      </c>
      <c r="K108" s="30">
        <f>Source!P82</f>
        <v>3686.84</v>
      </c>
    </row>
    <row r="109" spans="1:29" ht="28.5" x14ac:dyDescent="0.2">
      <c r="A109" s="27" t="s">
        <v>131</v>
      </c>
      <c r="B109" s="27" t="str">
        <f>Source!F83</f>
        <v>1.5-3-499</v>
      </c>
      <c r="C109" s="27" t="s">
        <v>133</v>
      </c>
      <c r="D109" s="28" t="str">
        <f>Source!H83</f>
        <v>м3</v>
      </c>
      <c r="E109" s="12">
        <f>Source!I83</f>
        <v>0.44290000000000007</v>
      </c>
      <c r="F109" s="30">
        <f>Source!AK83</f>
        <v>2385.71</v>
      </c>
      <c r="G109" s="39" t="s">
        <v>3</v>
      </c>
      <c r="H109" s="12">
        <f>Source!AW84</f>
        <v>1</v>
      </c>
      <c r="I109" s="30">
        <f>Source!O83</f>
        <v>1056.6300000000001</v>
      </c>
      <c r="J109" s="12">
        <f>IF(Source!BC84&lt;&gt; 0, Source!BC84, 1)</f>
        <v>5.16</v>
      </c>
      <c r="K109" s="30">
        <f>Source!O84</f>
        <v>5452.21</v>
      </c>
      <c r="Q109">
        <f>Source!X83</f>
        <v>0</v>
      </c>
      <c r="R109">
        <f>Source!X84</f>
        <v>0</v>
      </c>
      <c r="S109">
        <f>Source!Y83</f>
        <v>0</v>
      </c>
      <c r="T109">
        <f>Source!Y84</f>
        <v>0</v>
      </c>
      <c r="U109">
        <f>ROUND((175/100)*ROUND(Source!R83, 2), 2)</f>
        <v>0</v>
      </c>
      <c r="V109">
        <f>ROUND((160/100)*ROUND(Source!R84, 2), 2)</f>
        <v>0</v>
      </c>
      <c r="AC109">
        <v>3</v>
      </c>
    </row>
    <row r="110" spans="1:29" ht="14.25" x14ac:dyDescent="0.2">
      <c r="A110" s="27"/>
      <c r="B110" s="27"/>
      <c r="C110" s="27" t="s">
        <v>1598</v>
      </c>
      <c r="D110" s="28" t="s">
        <v>1599</v>
      </c>
      <c r="E110" s="12">
        <f>Source!DN82</f>
        <v>140</v>
      </c>
      <c r="F110" s="30"/>
      <c r="G110" s="29"/>
      <c r="H110" s="12"/>
      <c r="I110" s="30">
        <f>SUM(Q103:Q109)</f>
        <v>127.2</v>
      </c>
      <c r="J110" s="12">
        <f>Source!BZ82</f>
        <v>115</v>
      </c>
      <c r="K110" s="30">
        <f>SUM(R103:R109)</f>
        <v>3033.32</v>
      </c>
    </row>
    <row r="111" spans="1:29" ht="14.25" x14ac:dyDescent="0.2">
      <c r="A111" s="27"/>
      <c r="B111" s="27"/>
      <c r="C111" s="27" t="s">
        <v>1600</v>
      </c>
      <c r="D111" s="28" t="s">
        <v>1599</v>
      </c>
      <c r="E111" s="12">
        <f>Source!DO82</f>
        <v>79</v>
      </c>
      <c r="F111" s="30"/>
      <c r="G111" s="29"/>
      <c r="H111" s="12"/>
      <c r="I111" s="30">
        <f>SUM(S103:S110)</f>
        <v>71.78</v>
      </c>
      <c r="J111" s="12">
        <f>Source!CA82</f>
        <v>41</v>
      </c>
      <c r="K111" s="30">
        <f>SUM(T103:T110)</f>
        <v>1081.44</v>
      </c>
    </row>
    <row r="112" spans="1:29" ht="14.25" x14ac:dyDescent="0.2">
      <c r="A112" s="27"/>
      <c r="B112" s="27"/>
      <c r="C112" s="27" t="s">
        <v>1612</v>
      </c>
      <c r="D112" s="28" t="s">
        <v>1599</v>
      </c>
      <c r="E112" s="12">
        <f>175</f>
        <v>175</v>
      </c>
      <c r="F112" s="30"/>
      <c r="G112" s="29"/>
      <c r="H112" s="12"/>
      <c r="I112" s="30">
        <f>SUM(U103:U111)</f>
        <v>2.5</v>
      </c>
      <c r="J112" s="12">
        <f>160</f>
        <v>160</v>
      </c>
      <c r="K112" s="30">
        <f>SUM(V103:V111)</f>
        <v>66.42</v>
      </c>
    </row>
    <row r="113" spans="1:16" ht="14.25" x14ac:dyDescent="0.2">
      <c r="A113" s="31"/>
      <c r="B113" s="31"/>
      <c r="C113" s="31" t="s">
        <v>1601</v>
      </c>
      <c r="D113" s="32" t="s">
        <v>1602</v>
      </c>
      <c r="E113" s="33">
        <f>Source!AQ81</f>
        <v>69.8</v>
      </c>
      <c r="F113" s="34"/>
      <c r="G113" s="35" t="str">
        <f>Source!DI81</f>
        <v>)*1,15</v>
      </c>
      <c r="H113" s="33">
        <f>Source!AV82</f>
        <v>1</v>
      </c>
      <c r="I113" s="34">
        <f>Source!U81</f>
        <v>8.267809999999999</v>
      </c>
      <c r="J113" s="33"/>
      <c r="K113" s="34"/>
    </row>
    <row r="114" spans="1:16" ht="15" x14ac:dyDescent="0.25">
      <c r="C114" s="22" t="s">
        <v>1603</v>
      </c>
      <c r="H114" s="104">
        <f>I105+I106+I108+I110+I111+I112+SUM(I109:I109)-SUMIF(AC109:AC109, 5, I109:I109)-SUMIF(AC109:AC109, 6, I109:I109)</f>
        <v>1807.1000000000001</v>
      </c>
      <c r="I114" s="104"/>
      <c r="J114" s="104">
        <f>K105+K106+K108+K110+K111+K112+SUM(K109:K109)-SUMIF(AC109:AC109, 5, K109:K109)-SUMIF(AC109:AC109, 6, K109:K109)</f>
        <v>16112.400000000001</v>
      </c>
      <c r="K114" s="104"/>
    </row>
    <row r="115" spans="1:16" ht="15" x14ac:dyDescent="0.25">
      <c r="C115" s="22" t="s">
        <v>1604</v>
      </c>
      <c r="H115" s="100">
        <f>SUMIF(AC109:AC109, 5, I109:I109)+SUMIF(AC109:AC109, 6, I109:I109)</f>
        <v>0</v>
      </c>
      <c r="I115" s="100"/>
      <c r="J115" s="100">
        <f>SUMIF(AC109:AC109, 5, K109:K109)+SUMIF(AC109:AC109, 6, K109:K109)</f>
        <v>0</v>
      </c>
      <c r="K115" s="100"/>
    </row>
    <row r="116" spans="1:16" ht="15" x14ac:dyDescent="0.25">
      <c r="C116" s="22" t="s">
        <v>1605</v>
      </c>
      <c r="H116" s="100">
        <f>I105+I106+I108+I110+I111+I112+SUM(I109:I109)</f>
        <v>1807.1000000000001</v>
      </c>
      <c r="I116" s="100"/>
      <c r="J116" s="100">
        <f>K105+K106+K108+K110+K111+K112+SUM(K109:K109)</f>
        <v>16112.400000000001</v>
      </c>
      <c r="K116" s="100"/>
      <c r="O116" s="36">
        <f>I105+I106+I108+I110+I111+I112+SUM(I109:I109)</f>
        <v>1807.1000000000001</v>
      </c>
      <c r="P116" s="36">
        <f>K105+K106+K108+K110+K111+K112+SUM(K109:K109)</f>
        <v>16112.400000000001</v>
      </c>
    </row>
    <row r="119" spans="1:16" ht="15" x14ac:dyDescent="0.25">
      <c r="A119" s="102" t="str">
        <f>CONCATENATE("Итого по разделу: ",IF(Source!G86&lt;&gt;"Новый раздел", Source!G86, ""))</f>
        <v>Итого по разделу: Монтажные работы</v>
      </c>
      <c r="B119" s="102"/>
      <c r="C119" s="102"/>
      <c r="D119" s="102"/>
      <c r="E119" s="102"/>
      <c r="F119" s="102"/>
      <c r="G119" s="102"/>
      <c r="H119" s="100">
        <f>SUM(O53:O118)</f>
        <v>3745.9300000000003</v>
      </c>
      <c r="I119" s="101"/>
      <c r="J119" s="100">
        <f>SUM(P53:P118)</f>
        <v>44205.15</v>
      </c>
      <c r="K119" s="101"/>
    </row>
    <row r="120" spans="1:16" hidden="1" x14ac:dyDescent="0.2">
      <c r="A120" t="s">
        <v>1606</v>
      </c>
      <c r="I120">
        <f>SUM(W53:W119)</f>
        <v>0</v>
      </c>
      <c r="J120">
        <f>SUM(X53:X119)</f>
        <v>0</v>
      </c>
    </row>
    <row r="121" spans="1:16" hidden="1" x14ac:dyDescent="0.2">
      <c r="A121" t="s">
        <v>1607</v>
      </c>
      <c r="I121">
        <f>SUM(Y53:Y120)</f>
        <v>0</v>
      </c>
      <c r="J121">
        <f>SUM(Z53:Z120)</f>
        <v>0</v>
      </c>
    </row>
    <row r="123" spans="1:16" ht="15" x14ac:dyDescent="0.25">
      <c r="A123" s="102" t="str">
        <f>CONCATENATE("Итого по локальной смете: ",IF(Source!G116&lt;&gt;"Новая локальная смета", Source!G116, ""))</f>
        <v>Итого по локальной смете: ПЗУ</v>
      </c>
      <c r="B123" s="102"/>
      <c r="C123" s="102"/>
      <c r="D123" s="102"/>
      <c r="E123" s="102"/>
      <c r="F123" s="102"/>
      <c r="G123" s="102"/>
      <c r="H123" s="100">
        <f>SUM(O36:O122)</f>
        <v>3882.9500000000007</v>
      </c>
      <c r="I123" s="101"/>
      <c r="J123" s="100">
        <f>SUM(P36:P122)</f>
        <v>47535.4</v>
      </c>
      <c r="K123" s="101"/>
    </row>
    <row r="124" spans="1:16" hidden="1" x14ac:dyDescent="0.2">
      <c r="A124" t="s">
        <v>1606</v>
      </c>
      <c r="I124">
        <f>SUM(W36:W123)</f>
        <v>0</v>
      </c>
      <c r="J124">
        <f>SUM(X36:X123)</f>
        <v>0</v>
      </c>
    </row>
    <row r="125" spans="1:16" hidden="1" x14ac:dyDescent="0.2">
      <c r="A125" t="s">
        <v>1607</v>
      </c>
      <c r="I125">
        <f>SUM(Y36:Y124)</f>
        <v>0</v>
      </c>
      <c r="J125">
        <f>SUM(Z36:Z124)</f>
        <v>0</v>
      </c>
    </row>
    <row r="127" spans="1:16" ht="16.5" x14ac:dyDescent="0.25">
      <c r="A127" s="103" t="str">
        <f>CONCATENATE("Локальная смета: ",IF(Source!G146&lt;&gt;"Новая локальная смета", Source!G146, ""))</f>
        <v>Локальная смета: Архитектурные решения</v>
      </c>
      <c r="B127" s="103"/>
      <c r="C127" s="103"/>
      <c r="D127" s="103"/>
      <c r="E127" s="103"/>
      <c r="F127" s="103"/>
      <c r="G127" s="103"/>
      <c r="H127" s="103"/>
      <c r="I127" s="103"/>
      <c r="J127" s="103"/>
      <c r="K127" s="103"/>
    </row>
    <row r="129" spans="1:29" ht="16.5" x14ac:dyDescent="0.25">
      <c r="A129" s="103" t="str">
        <f>CONCATENATE("Раздел: ",IF(Source!G150&lt;&gt;"Новый раздел", Source!G150, ""))</f>
        <v>Раздел: Демонтажные работы</v>
      </c>
      <c r="B129" s="103"/>
      <c r="C129" s="103"/>
      <c r="D129" s="103"/>
      <c r="E129" s="103"/>
      <c r="F129" s="103"/>
      <c r="G129" s="103"/>
      <c r="H129" s="103"/>
      <c r="I129" s="103"/>
      <c r="J129" s="103"/>
      <c r="K129" s="103"/>
    </row>
    <row r="130" spans="1:29" ht="52.5" x14ac:dyDescent="0.2">
      <c r="A130" s="27">
        <v>1</v>
      </c>
      <c r="B130" s="27" t="s">
        <v>1619</v>
      </c>
      <c r="C130" s="27" t="s">
        <v>138</v>
      </c>
      <c r="D130" s="28" t="str">
        <f>Source!H154</f>
        <v>1 т конструкций</v>
      </c>
      <c r="E130" s="12">
        <f>Source!I154</f>
        <v>0.1736</v>
      </c>
      <c r="F130" s="30"/>
      <c r="G130" s="29"/>
      <c r="H130" s="12"/>
      <c r="I130" s="30"/>
      <c r="J130" s="12"/>
      <c r="K130" s="30"/>
      <c r="Q130">
        <f>Source!X154</f>
        <v>95.95</v>
      </c>
      <c r="R130">
        <f>Source!X155</f>
        <v>2293.84</v>
      </c>
      <c r="S130">
        <f>Source!Y154</f>
        <v>79.02</v>
      </c>
      <c r="T130">
        <f>Source!Y155</f>
        <v>1343.53</v>
      </c>
      <c r="U130">
        <f>ROUND((175/100)*ROUND(Source!R154, 2), 2)</f>
        <v>10.01</v>
      </c>
      <c r="V130">
        <f>ROUND((160/100)*ROUND(Source!R155, 2), 2)</f>
        <v>265.68</v>
      </c>
      <c r="AC130">
        <v>0</v>
      </c>
    </row>
    <row r="131" spans="1:29" ht="14.25" x14ac:dyDescent="0.2">
      <c r="A131" s="27"/>
      <c r="B131" s="27"/>
      <c r="C131" s="27" t="s">
        <v>1597</v>
      </c>
      <c r="D131" s="28"/>
      <c r="E131" s="12"/>
      <c r="F131" s="30">
        <f>Source!AO154</f>
        <v>1083.72</v>
      </c>
      <c r="G131" s="29" t="str">
        <f>Source!DG154</f>
        <v>)*0,6</v>
      </c>
      <c r="H131" s="12">
        <f>Source!AV155</f>
        <v>1</v>
      </c>
      <c r="I131" s="30">
        <f>Source!S154</f>
        <v>112.88</v>
      </c>
      <c r="J131" s="12">
        <f>IF(Source!BA155&lt;&gt; 0, Source!BA155, 1)</f>
        <v>29.03</v>
      </c>
      <c r="K131" s="30">
        <f>Source!S155</f>
        <v>3276.91</v>
      </c>
    </row>
    <row r="132" spans="1:29" ht="14.25" x14ac:dyDescent="0.2">
      <c r="A132" s="27"/>
      <c r="B132" s="27"/>
      <c r="C132" s="27" t="s">
        <v>1609</v>
      </c>
      <c r="D132" s="28"/>
      <c r="E132" s="12"/>
      <c r="F132" s="30">
        <f>Source!AM154</f>
        <v>234.59</v>
      </c>
      <c r="G132" s="29" t="str">
        <f>Source!DE154</f>
        <v>)*0,6</v>
      </c>
      <c r="H132" s="12">
        <f>Source!AV155</f>
        <v>1</v>
      </c>
      <c r="I132" s="30">
        <f>Source!Q154</f>
        <v>24.43</v>
      </c>
      <c r="J132" s="12">
        <f>IF(Source!BB155&lt;&gt; 0, Source!BB155, 1)</f>
        <v>13.43</v>
      </c>
      <c r="K132" s="30">
        <f>Source!Q155</f>
        <v>328.09</v>
      </c>
    </row>
    <row r="133" spans="1:29" ht="14.25" x14ac:dyDescent="0.2">
      <c r="A133" s="27"/>
      <c r="B133" s="27"/>
      <c r="C133" s="27" t="s">
        <v>1610</v>
      </c>
      <c r="D133" s="28"/>
      <c r="E133" s="12"/>
      <c r="F133" s="30">
        <f>Source!AN154</f>
        <v>54.93</v>
      </c>
      <c r="G133" s="29" t="str">
        <f>Source!DF154</f>
        <v>)*0,6</v>
      </c>
      <c r="H133" s="12">
        <f>Source!AV155</f>
        <v>1</v>
      </c>
      <c r="I133" s="38">
        <f>Source!R154</f>
        <v>5.72</v>
      </c>
      <c r="J133" s="12">
        <f>IF(Source!BS155&lt;&gt; 0, Source!BS155, 1)</f>
        <v>29.03</v>
      </c>
      <c r="K133" s="38">
        <f>Source!R155</f>
        <v>166.05</v>
      </c>
    </row>
    <row r="134" spans="1:29" ht="14.25" x14ac:dyDescent="0.2">
      <c r="A134" s="27"/>
      <c r="B134" s="27"/>
      <c r="C134" s="27" t="s">
        <v>1611</v>
      </c>
      <c r="D134" s="28"/>
      <c r="E134" s="12"/>
      <c r="F134" s="30">
        <f>Source!AL154</f>
        <v>44.51</v>
      </c>
      <c r="G134" s="29" t="str">
        <f>Source!DD154</f>
        <v>)*0,6</v>
      </c>
      <c r="H134" s="12">
        <f>Source!AW155</f>
        <v>1</v>
      </c>
      <c r="I134" s="30">
        <f>Source!P154</f>
        <v>4.6399999999999997</v>
      </c>
      <c r="J134" s="12">
        <f>IF(Source!BC155&lt;&gt; 0, Source!BC155, 1)</f>
        <v>20.29</v>
      </c>
      <c r="K134" s="30">
        <f>Source!P155</f>
        <v>94.15</v>
      </c>
    </row>
    <row r="135" spans="1:29" ht="14.25" x14ac:dyDescent="0.2">
      <c r="A135" s="27"/>
      <c r="B135" s="27"/>
      <c r="C135" s="27" t="s">
        <v>1598</v>
      </c>
      <c r="D135" s="28" t="s">
        <v>1599</v>
      </c>
      <c r="E135" s="12">
        <f>Source!DN155</f>
        <v>85</v>
      </c>
      <c r="F135" s="30"/>
      <c r="G135" s="29"/>
      <c r="H135" s="12"/>
      <c r="I135" s="30">
        <f>SUM(Q130:Q134)</f>
        <v>95.95</v>
      </c>
      <c r="J135" s="12">
        <f>Source!BZ155</f>
        <v>70</v>
      </c>
      <c r="K135" s="30">
        <f>SUM(R130:R134)</f>
        <v>2293.84</v>
      </c>
    </row>
    <row r="136" spans="1:29" ht="14.25" x14ac:dyDescent="0.2">
      <c r="A136" s="27"/>
      <c r="B136" s="27"/>
      <c r="C136" s="27" t="s">
        <v>1600</v>
      </c>
      <c r="D136" s="28" t="s">
        <v>1599</v>
      </c>
      <c r="E136" s="12">
        <f>Source!DO155</f>
        <v>70</v>
      </c>
      <c r="F136" s="30"/>
      <c r="G136" s="29"/>
      <c r="H136" s="12"/>
      <c r="I136" s="30">
        <f>SUM(S130:S135)</f>
        <v>79.02</v>
      </c>
      <c r="J136" s="12">
        <f>Source!CA155</f>
        <v>41</v>
      </c>
      <c r="K136" s="30">
        <f>SUM(T130:T135)</f>
        <v>1343.53</v>
      </c>
    </row>
    <row r="137" spans="1:29" ht="14.25" x14ac:dyDescent="0.2">
      <c r="A137" s="27"/>
      <c r="B137" s="27"/>
      <c r="C137" s="27" t="s">
        <v>1612</v>
      </c>
      <c r="D137" s="28" t="s">
        <v>1599</v>
      </c>
      <c r="E137" s="12">
        <f>175</f>
        <v>175</v>
      </c>
      <c r="F137" s="30"/>
      <c r="G137" s="29"/>
      <c r="H137" s="12"/>
      <c r="I137" s="30">
        <f>SUM(U130:U136)</f>
        <v>10.01</v>
      </c>
      <c r="J137" s="12">
        <f>160</f>
        <v>160</v>
      </c>
      <c r="K137" s="30">
        <f>SUM(V130:V136)</f>
        <v>265.68</v>
      </c>
    </row>
    <row r="138" spans="1:29" ht="14.25" x14ac:dyDescent="0.2">
      <c r="A138" s="31"/>
      <c r="B138" s="31"/>
      <c r="C138" s="31" t="s">
        <v>1601</v>
      </c>
      <c r="D138" s="32" t="s">
        <v>1602</v>
      </c>
      <c r="E138" s="33">
        <f>Source!AQ154</f>
        <v>82.1</v>
      </c>
      <c r="F138" s="34"/>
      <c r="G138" s="35" t="str">
        <f>Source!DI154</f>
        <v>)*0,6</v>
      </c>
      <c r="H138" s="33">
        <f>Source!AV155</f>
        <v>1</v>
      </c>
      <c r="I138" s="34">
        <f>Source!U154</f>
        <v>8.5515360000000005</v>
      </c>
      <c r="J138" s="33"/>
      <c r="K138" s="34"/>
    </row>
    <row r="139" spans="1:29" ht="15" x14ac:dyDescent="0.25">
      <c r="C139" s="22" t="s">
        <v>1603</v>
      </c>
      <c r="H139" s="104">
        <f>I131+I132+I134+I135+I136+I137+0-0-0</f>
        <v>326.92999999999995</v>
      </c>
      <c r="I139" s="104"/>
      <c r="J139" s="104">
        <f>K131+K132+K134+K135+K136+K137+0-0-0</f>
        <v>7602.2</v>
      </c>
      <c r="K139" s="104"/>
    </row>
    <row r="140" spans="1:29" ht="15" x14ac:dyDescent="0.25">
      <c r="C140" s="22" t="s">
        <v>1604</v>
      </c>
      <c r="H140" s="100">
        <f>0+0</f>
        <v>0</v>
      </c>
      <c r="I140" s="100"/>
      <c r="J140" s="100">
        <f>0+0</f>
        <v>0</v>
      </c>
      <c r="K140" s="100"/>
    </row>
    <row r="141" spans="1:29" ht="15" x14ac:dyDescent="0.25">
      <c r="C141" s="22" t="s">
        <v>1605</v>
      </c>
      <c r="H141" s="100">
        <f>I131+I132+I134+I135+I136+I137+0</f>
        <v>326.92999999999995</v>
      </c>
      <c r="I141" s="100"/>
      <c r="J141" s="100">
        <f>K131+K132+K134+K135+K136+K137+0</f>
        <v>7602.2</v>
      </c>
      <c r="K141" s="100"/>
      <c r="O141" s="36">
        <f>I131+I132+I134+I135+I136+I137+0</f>
        <v>326.92999999999995</v>
      </c>
      <c r="P141" s="36">
        <f>K131+K132+K134+K135+K136+K137+0</f>
        <v>7602.2</v>
      </c>
    </row>
    <row r="143" spans="1:29" ht="28.5" x14ac:dyDescent="0.2">
      <c r="A143" s="27">
        <v>2</v>
      </c>
      <c r="B143" s="27" t="str">
        <f>Source!F156</f>
        <v>6.56-38-3</v>
      </c>
      <c r="C143" s="27" t="s">
        <v>147</v>
      </c>
      <c r="D143" s="28" t="str">
        <f>Source!H156</f>
        <v>100 м2</v>
      </c>
      <c r="E143" s="12">
        <f>Source!I156</f>
        <v>8.09E-2</v>
      </c>
      <c r="F143" s="30"/>
      <c r="G143" s="29"/>
      <c r="H143" s="12"/>
      <c r="I143" s="30"/>
      <c r="J143" s="12"/>
      <c r="K143" s="30"/>
      <c r="Q143">
        <f>Source!X156</f>
        <v>62.53</v>
      </c>
      <c r="R143">
        <f>Source!X157</f>
        <v>1588.29</v>
      </c>
      <c r="S143">
        <f>Source!Y156</f>
        <v>42.99</v>
      </c>
      <c r="T143">
        <f>Source!Y157</f>
        <v>930.28</v>
      </c>
      <c r="U143">
        <f>ROUND((175/100)*ROUND(Source!R156, 2), 2)</f>
        <v>0</v>
      </c>
      <c r="V143">
        <f>ROUND((160/100)*ROUND(Source!R157, 2), 2)</f>
        <v>0</v>
      </c>
      <c r="AC143">
        <v>0</v>
      </c>
    </row>
    <row r="144" spans="1:29" ht="14.25" x14ac:dyDescent="0.2">
      <c r="A144" s="27"/>
      <c r="B144" s="27"/>
      <c r="C144" s="27" t="s">
        <v>1597</v>
      </c>
      <c r="D144" s="28"/>
      <c r="E144" s="12"/>
      <c r="F144" s="30">
        <f>Source!AO156</f>
        <v>966.19</v>
      </c>
      <c r="G144" s="29" t="str">
        <f>Source!DG156</f>
        <v/>
      </c>
      <c r="H144" s="12">
        <f>Source!AV157</f>
        <v>1</v>
      </c>
      <c r="I144" s="30">
        <f>Source!S156</f>
        <v>78.16</v>
      </c>
      <c r="J144" s="12">
        <f>IF(Source!BA157&lt;&gt; 0, Source!BA157, 1)</f>
        <v>29.03</v>
      </c>
      <c r="K144" s="30">
        <f>Source!S157</f>
        <v>2268.98</v>
      </c>
    </row>
    <row r="145" spans="1:29" ht="14.25" x14ac:dyDescent="0.2">
      <c r="A145" s="27"/>
      <c r="B145" s="27"/>
      <c r="C145" s="27" t="s">
        <v>1598</v>
      </c>
      <c r="D145" s="28" t="s">
        <v>1599</v>
      </c>
      <c r="E145" s="12">
        <f>Source!DN157</f>
        <v>80</v>
      </c>
      <c r="F145" s="30"/>
      <c r="G145" s="29"/>
      <c r="H145" s="12"/>
      <c r="I145" s="30">
        <f>SUM(Q143:Q144)</f>
        <v>62.53</v>
      </c>
      <c r="J145" s="12">
        <f>Source!BZ157</f>
        <v>70</v>
      </c>
      <c r="K145" s="30">
        <f>SUM(R143:R144)</f>
        <v>1588.29</v>
      </c>
    </row>
    <row r="146" spans="1:29" ht="14.25" x14ac:dyDescent="0.2">
      <c r="A146" s="27"/>
      <c r="B146" s="27"/>
      <c r="C146" s="27" t="s">
        <v>1600</v>
      </c>
      <c r="D146" s="28" t="s">
        <v>1599</v>
      </c>
      <c r="E146" s="12">
        <f>Source!DO157</f>
        <v>55</v>
      </c>
      <c r="F146" s="30"/>
      <c r="G146" s="29"/>
      <c r="H146" s="12"/>
      <c r="I146" s="30">
        <f>SUM(S143:S145)</f>
        <v>42.99</v>
      </c>
      <c r="J146" s="12">
        <f>Source!CA157</f>
        <v>41</v>
      </c>
      <c r="K146" s="30">
        <f>SUM(T143:T145)</f>
        <v>930.28</v>
      </c>
    </row>
    <row r="147" spans="1:29" ht="14.25" x14ac:dyDescent="0.2">
      <c r="A147" s="31"/>
      <c r="B147" s="31"/>
      <c r="C147" s="31" t="s">
        <v>1601</v>
      </c>
      <c r="D147" s="32" t="s">
        <v>1602</v>
      </c>
      <c r="E147" s="33">
        <f>Source!AQ156</f>
        <v>91.15</v>
      </c>
      <c r="F147" s="34"/>
      <c r="G147" s="35" t="str">
        <f>Source!DI156</f>
        <v/>
      </c>
      <c r="H147" s="33">
        <f>Source!AV157</f>
        <v>1</v>
      </c>
      <c r="I147" s="34">
        <f>Source!U156</f>
        <v>7.3740350000000001</v>
      </c>
      <c r="J147" s="33"/>
      <c r="K147" s="34"/>
    </row>
    <row r="148" spans="1:29" ht="15" x14ac:dyDescent="0.25">
      <c r="C148" s="22" t="s">
        <v>1603</v>
      </c>
      <c r="H148" s="104">
        <f>I144+I145+I146+0-0-0</f>
        <v>183.68</v>
      </c>
      <c r="I148" s="104"/>
      <c r="J148" s="104">
        <f>K144+K145+K146+0-0-0</f>
        <v>4787.55</v>
      </c>
      <c r="K148" s="104"/>
    </row>
    <row r="149" spans="1:29" ht="15" x14ac:dyDescent="0.25">
      <c r="C149" s="22" t="s">
        <v>1604</v>
      </c>
      <c r="H149" s="100">
        <f>0+0</f>
        <v>0</v>
      </c>
      <c r="I149" s="100"/>
      <c r="J149" s="100">
        <f>0+0</f>
        <v>0</v>
      </c>
      <c r="K149" s="100"/>
    </row>
    <row r="150" spans="1:29" ht="15" x14ac:dyDescent="0.25">
      <c r="C150" s="22" t="s">
        <v>1605</v>
      </c>
      <c r="H150" s="100">
        <f>I144+I145+I146+0</f>
        <v>183.68</v>
      </c>
      <c r="I150" s="100"/>
      <c r="J150" s="100">
        <f>K144+K145+K146+0</f>
        <v>4787.55</v>
      </c>
      <c r="K150" s="100"/>
      <c r="O150" s="36">
        <f>I144+I145+I146+0</f>
        <v>183.68</v>
      </c>
      <c r="P150" s="36">
        <f>K144+K145+K146+0</f>
        <v>4787.55</v>
      </c>
    </row>
    <row r="152" spans="1:29" ht="42.75" x14ac:dyDescent="0.2">
      <c r="A152" s="27">
        <v>3</v>
      </c>
      <c r="B152" s="27" t="str">
        <f>Source!F158</f>
        <v>6.56-38-2</v>
      </c>
      <c r="C152" s="27" t="s">
        <v>154</v>
      </c>
      <c r="D152" s="28" t="str">
        <f>Source!H158</f>
        <v>100 м2</v>
      </c>
      <c r="E152" s="12">
        <f>Source!I158</f>
        <v>2.18E-2</v>
      </c>
      <c r="F152" s="30"/>
      <c r="G152" s="29"/>
      <c r="H152" s="12"/>
      <c r="I152" s="30"/>
      <c r="J152" s="12"/>
      <c r="K152" s="30"/>
      <c r="Q152">
        <f>Source!X158</f>
        <v>28.02</v>
      </c>
      <c r="R152">
        <f>Source!X159</f>
        <v>711.64</v>
      </c>
      <c r="S152">
        <f>Source!Y158</f>
        <v>19.260000000000002</v>
      </c>
      <c r="T152">
        <f>Source!Y159</f>
        <v>416.82</v>
      </c>
      <c r="U152">
        <f>ROUND((175/100)*ROUND(Source!R158, 2), 2)</f>
        <v>0</v>
      </c>
      <c r="V152">
        <f>ROUND((160/100)*ROUND(Source!R159, 2), 2)</f>
        <v>0</v>
      </c>
      <c r="AC152">
        <v>0</v>
      </c>
    </row>
    <row r="153" spans="1:29" ht="14.25" x14ac:dyDescent="0.2">
      <c r="A153" s="27"/>
      <c r="B153" s="27"/>
      <c r="C153" s="27" t="s">
        <v>1597</v>
      </c>
      <c r="D153" s="28"/>
      <c r="E153" s="12"/>
      <c r="F153" s="30">
        <f>Source!AO158</f>
        <v>1606.32</v>
      </c>
      <c r="G153" s="29" t="str">
        <f>Source!DG158</f>
        <v/>
      </c>
      <c r="H153" s="12">
        <f>Source!AV159</f>
        <v>1</v>
      </c>
      <c r="I153" s="30">
        <f>Source!S158</f>
        <v>35.020000000000003</v>
      </c>
      <c r="J153" s="12">
        <f>IF(Source!BA159&lt;&gt; 0, Source!BA159, 1)</f>
        <v>29.03</v>
      </c>
      <c r="K153" s="30">
        <f>Source!S159</f>
        <v>1016.63</v>
      </c>
    </row>
    <row r="154" spans="1:29" ht="14.25" x14ac:dyDescent="0.2">
      <c r="A154" s="27"/>
      <c r="B154" s="27"/>
      <c r="C154" s="27" t="s">
        <v>1598</v>
      </c>
      <c r="D154" s="28" t="s">
        <v>1599</v>
      </c>
      <c r="E154" s="12">
        <f>Source!DN159</f>
        <v>80</v>
      </c>
      <c r="F154" s="30"/>
      <c r="G154" s="29"/>
      <c r="H154" s="12"/>
      <c r="I154" s="30">
        <f>SUM(Q152:Q153)</f>
        <v>28.02</v>
      </c>
      <c r="J154" s="12">
        <f>Source!BZ159</f>
        <v>70</v>
      </c>
      <c r="K154" s="30">
        <f>SUM(R152:R153)</f>
        <v>711.64</v>
      </c>
    </row>
    <row r="155" spans="1:29" ht="14.25" x14ac:dyDescent="0.2">
      <c r="A155" s="27"/>
      <c r="B155" s="27"/>
      <c r="C155" s="27" t="s">
        <v>1600</v>
      </c>
      <c r="D155" s="28" t="s">
        <v>1599</v>
      </c>
      <c r="E155" s="12">
        <f>Source!DO159</f>
        <v>55</v>
      </c>
      <c r="F155" s="30"/>
      <c r="G155" s="29"/>
      <c r="H155" s="12"/>
      <c r="I155" s="30">
        <f>SUM(S152:S154)</f>
        <v>19.260000000000002</v>
      </c>
      <c r="J155" s="12">
        <f>Source!CA159</f>
        <v>41</v>
      </c>
      <c r="K155" s="30">
        <f>SUM(T152:T154)</f>
        <v>416.82</v>
      </c>
    </row>
    <row r="156" spans="1:29" ht="14.25" x14ac:dyDescent="0.2">
      <c r="A156" s="31"/>
      <c r="B156" s="31"/>
      <c r="C156" s="31" t="s">
        <v>1601</v>
      </c>
      <c r="D156" s="32" t="s">
        <v>1602</v>
      </c>
      <c r="E156" s="33">
        <f>Source!AQ158</f>
        <v>151.54</v>
      </c>
      <c r="F156" s="34"/>
      <c r="G156" s="35" t="str">
        <f>Source!DI158</f>
        <v/>
      </c>
      <c r="H156" s="33">
        <f>Source!AV159</f>
        <v>1</v>
      </c>
      <c r="I156" s="34">
        <f>Source!U158</f>
        <v>3.303572</v>
      </c>
      <c r="J156" s="33"/>
      <c r="K156" s="34"/>
    </row>
    <row r="157" spans="1:29" ht="15" x14ac:dyDescent="0.25">
      <c r="C157" s="22" t="s">
        <v>1603</v>
      </c>
      <c r="H157" s="104">
        <f>I153+I154+I155+0-0-0</f>
        <v>82.300000000000011</v>
      </c>
      <c r="I157" s="104"/>
      <c r="J157" s="104">
        <f>K153+K154+K155+0-0-0</f>
        <v>2145.09</v>
      </c>
      <c r="K157" s="104"/>
    </row>
    <row r="158" spans="1:29" ht="15" x14ac:dyDescent="0.25">
      <c r="C158" s="22" t="s">
        <v>1604</v>
      </c>
      <c r="H158" s="100">
        <f>0+0</f>
        <v>0</v>
      </c>
      <c r="I158" s="100"/>
      <c r="J158" s="100">
        <f>0+0</f>
        <v>0</v>
      </c>
      <c r="K158" s="100"/>
    </row>
    <row r="159" spans="1:29" ht="15" x14ac:dyDescent="0.25">
      <c r="C159" s="22" t="s">
        <v>1605</v>
      </c>
      <c r="H159" s="100">
        <f>I153+I154+I155+0</f>
        <v>82.300000000000011</v>
      </c>
      <c r="I159" s="100"/>
      <c r="J159" s="100">
        <f>K153+K154+K155+0</f>
        <v>2145.09</v>
      </c>
      <c r="K159" s="100"/>
      <c r="O159" s="36">
        <f>I153+I154+I155+0</f>
        <v>82.300000000000011</v>
      </c>
      <c r="P159" s="36">
        <f>K153+K154+K155+0</f>
        <v>2145.09</v>
      </c>
    </row>
    <row r="161" spans="1:29" ht="28.5" x14ac:dyDescent="0.2">
      <c r="A161" s="27">
        <v>4</v>
      </c>
      <c r="B161" s="27" t="str">
        <f>Source!F160</f>
        <v>6.55-3-1</v>
      </c>
      <c r="C161" s="27" t="s">
        <v>157</v>
      </c>
      <c r="D161" s="28" t="str">
        <f>Source!H160</f>
        <v>1 м3 кладки</v>
      </c>
      <c r="E161" s="12">
        <f>Source!I160</f>
        <v>6.2</v>
      </c>
      <c r="F161" s="30"/>
      <c r="G161" s="29"/>
      <c r="H161" s="12"/>
      <c r="I161" s="30"/>
      <c r="J161" s="12"/>
      <c r="K161" s="30"/>
      <c r="Q161">
        <f>Source!X160</f>
        <v>804.81</v>
      </c>
      <c r="R161">
        <f>Source!X161</f>
        <v>20443.13</v>
      </c>
      <c r="S161">
        <f>Source!Y160</f>
        <v>553.30999999999995</v>
      </c>
      <c r="T161">
        <f>Source!Y161</f>
        <v>11973.83</v>
      </c>
      <c r="U161">
        <f>ROUND((175/100)*ROUND(Source!R160, 2), 2)</f>
        <v>0</v>
      </c>
      <c r="V161">
        <f>ROUND((160/100)*ROUND(Source!R161, 2), 2)</f>
        <v>0</v>
      </c>
      <c r="AC161">
        <v>0</v>
      </c>
    </row>
    <row r="162" spans="1:29" ht="14.25" x14ac:dyDescent="0.2">
      <c r="A162" s="27"/>
      <c r="B162" s="27"/>
      <c r="C162" s="27" t="s">
        <v>1597</v>
      </c>
      <c r="D162" s="28"/>
      <c r="E162" s="12"/>
      <c r="F162" s="30">
        <f>Source!AO160</f>
        <v>162.26</v>
      </c>
      <c r="G162" s="29" t="str">
        <f>Source!DG160</f>
        <v/>
      </c>
      <c r="H162" s="12">
        <f>Source!AV161</f>
        <v>1</v>
      </c>
      <c r="I162" s="30">
        <f>Source!S160</f>
        <v>1006.01</v>
      </c>
      <c r="J162" s="12">
        <f>IF(Source!BA161&lt;&gt; 0, Source!BA161, 1)</f>
        <v>29.03</v>
      </c>
      <c r="K162" s="30">
        <f>Source!S161</f>
        <v>29204.47</v>
      </c>
    </row>
    <row r="163" spans="1:29" ht="28.5" x14ac:dyDescent="0.2">
      <c r="A163" s="27" t="s">
        <v>111</v>
      </c>
      <c r="B163" s="27" t="str">
        <f>Source!F162</f>
        <v>9999990001</v>
      </c>
      <c r="C163" s="27" t="s">
        <v>163</v>
      </c>
      <c r="D163" s="28" t="str">
        <f>Source!H162</f>
        <v>т</v>
      </c>
      <c r="E163" s="12">
        <f>Source!I162</f>
        <v>-12.4</v>
      </c>
      <c r="F163" s="30">
        <f>Source!AK162</f>
        <v>0</v>
      </c>
      <c r="G163" s="39" t="s">
        <v>3</v>
      </c>
      <c r="H163" s="12">
        <f>Source!AW163</f>
        <v>1</v>
      </c>
      <c r="I163" s="30">
        <f>Source!O162</f>
        <v>0</v>
      </c>
      <c r="J163" s="12">
        <f>IF(Source!BC163&lt;&gt; 0, Source!BC163, 1)</f>
        <v>8.65</v>
      </c>
      <c r="K163" s="30">
        <f>Source!O163</f>
        <v>0</v>
      </c>
      <c r="Q163">
        <f>Source!X162</f>
        <v>0</v>
      </c>
      <c r="R163">
        <f>Source!X163</f>
        <v>0</v>
      </c>
      <c r="S163">
        <f>Source!Y162</f>
        <v>0</v>
      </c>
      <c r="T163">
        <f>Source!Y163</f>
        <v>0</v>
      </c>
      <c r="U163">
        <f>ROUND((175/100)*ROUND(Source!R162, 2), 2)</f>
        <v>0</v>
      </c>
      <c r="V163">
        <f>ROUND((160/100)*ROUND(Source!R163, 2), 2)</f>
        <v>0</v>
      </c>
      <c r="AC163">
        <v>3</v>
      </c>
    </row>
    <row r="164" spans="1:29" ht="14.25" x14ac:dyDescent="0.2">
      <c r="A164" s="27"/>
      <c r="B164" s="27"/>
      <c r="C164" s="27" t="s">
        <v>1598</v>
      </c>
      <c r="D164" s="28" t="s">
        <v>1599</v>
      </c>
      <c r="E164" s="12">
        <f>Source!DN161</f>
        <v>80</v>
      </c>
      <c r="F164" s="30"/>
      <c r="G164" s="29"/>
      <c r="H164" s="12"/>
      <c r="I164" s="30">
        <f>SUM(Q161:Q163)</f>
        <v>804.81</v>
      </c>
      <c r="J164" s="12">
        <f>Source!BZ161</f>
        <v>70</v>
      </c>
      <c r="K164" s="30">
        <f>SUM(R161:R163)</f>
        <v>20443.13</v>
      </c>
    </row>
    <row r="165" spans="1:29" ht="14.25" x14ac:dyDescent="0.2">
      <c r="A165" s="27"/>
      <c r="B165" s="27"/>
      <c r="C165" s="27" t="s">
        <v>1600</v>
      </c>
      <c r="D165" s="28" t="s">
        <v>1599</v>
      </c>
      <c r="E165" s="12">
        <f>Source!DO161</f>
        <v>55</v>
      </c>
      <c r="F165" s="30"/>
      <c r="G165" s="29"/>
      <c r="H165" s="12"/>
      <c r="I165" s="30">
        <f>SUM(S161:S164)</f>
        <v>553.30999999999995</v>
      </c>
      <c r="J165" s="12">
        <f>Source!CA161</f>
        <v>41</v>
      </c>
      <c r="K165" s="30">
        <f>SUM(T161:T164)</f>
        <v>11973.83</v>
      </c>
    </row>
    <row r="166" spans="1:29" ht="14.25" x14ac:dyDescent="0.2">
      <c r="A166" s="31"/>
      <c r="B166" s="31"/>
      <c r="C166" s="31" t="s">
        <v>1601</v>
      </c>
      <c r="D166" s="32" t="s">
        <v>1602</v>
      </c>
      <c r="E166" s="33">
        <f>Source!AQ160</f>
        <v>15.88</v>
      </c>
      <c r="F166" s="34"/>
      <c r="G166" s="35" t="str">
        <f>Source!DI160</f>
        <v/>
      </c>
      <c r="H166" s="33">
        <f>Source!AV161</f>
        <v>1</v>
      </c>
      <c r="I166" s="34">
        <f>Source!U160</f>
        <v>98.456000000000003</v>
      </c>
      <c r="J166" s="33"/>
      <c r="K166" s="34"/>
    </row>
    <row r="167" spans="1:29" ht="15" x14ac:dyDescent="0.25">
      <c r="C167" s="22" t="s">
        <v>1603</v>
      </c>
      <c r="H167" s="104">
        <f>I162+I164+I165+SUM(I163:I163)-SUMIF(AC163:AC163, 5, I163:I163)-SUMIF(AC163:AC163, 6, I163:I163)</f>
        <v>2364.13</v>
      </c>
      <c r="I167" s="104"/>
      <c r="J167" s="104">
        <f>K162+K164+K165+SUM(K163:K163)-SUMIF(AC163:AC163, 5, K163:K163)-SUMIF(AC163:AC163, 6, K163:K163)</f>
        <v>61621.430000000008</v>
      </c>
      <c r="K167" s="104"/>
    </row>
    <row r="168" spans="1:29" ht="15" x14ac:dyDescent="0.25">
      <c r="C168" s="22" t="s">
        <v>1604</v>
      </c>
      <c r="H168" s="100">
        <f>SUMIF(AC163:AC163, 5, I163:I163)+SUMIF(AC163:AC163, 6, I163:I163)</f>
        <v>0</v>
      </c>
      <c r="I168" s="100"/>
      <c r="J168" s="100">
        <f>SUMIF(AC163:AC163, 5, K163:K163)+SUMIF(AC163:AC163, 6, K163:K163)</f>
        <v>0</v>
      </c>
      <c r="K168" s="100"/>
    </row>
    <row r="169" spans="1:29" ht="15" x14ac:dyDescent="0.25">
      <c r="C169" s="22" t="s">
        <v>1605</v>
      </c>
      <c r="H169" s="100">
        <f>I162+I164+I165+SUM(I163:I163)</f>
        <v>2364.13</v>
      </c>
      <c r="I169" s="100"/>
      <c r="J169" s="100">
        <f>K162+K164+K165+SUM(K163:K163)</f>
        <v>61621.430000000008</v>
      </c>
      <c r="K169" s="100"/>
      <c r="O169" s="36">
        <f>I162+I164+I165+SUM(I163:I163)</f>
        <v>2364.13</v>
      </c>
      <c r="P169" s="36">
        <f>K162+K164+K165+SUM(K163:K163)</f>
        <v>61621.430000000008</v>
      </c>
    </row>
    <row r="171" spans="1:29" ht="28.5" x14ac:dyDescent="0.2">
      <c r="A171" s="27">
        <v>5</v>
      </c>
      <c r="B171" s="27" t="str">
        <f>Source!F164</f>
        <v>6.52-1-3</v>
      </c>
      <c r="C171" s="27" t="s">
        <v>165</v>
      </c>
      <c r="D171" s="28" t="str">
        <f>Source!H164</f>
        <v>1 м3</v>
      </c>
      <c r="E171" s="12">
        <f>Source!I164</f>
        <v>7.5</v>
      </c>
      <c r="F171" s="30"/>
      <c r="G171" s="29"/>
      <c r="H171" s="12"/>
      <c r="I171" s="30"/>
      <c r="J171" s="12"/>
      <c r="K171" s="30"/>
      <c r="Q171">
        <f>Source!X164</f>
        <v>1115.7</v>
      </c>
      <c r="R171">
        <f>Source!X165</f>
        <v>28340.28</v>
      </c>
      <c r="S171">
        <f>Source!Y164</f>
        <v>767.05</v>
      </c>
      <c r="T171">
        <f>Source!Y165</f>
        <v>16599.310000000001</v>
      </c>
      <c r="U171">
        <f>ROUND((175/100)*ROUND(Source!R164, 2), 2)</f>
        <v>799.45</v>
      </c>
      <c r="V171">
        <f>ROUND((160/100)*ROUND(Source!R165, 2), 2)</f>
        <v>21218.83</v>
      </c>
      <c r="AC171">
        <v>0</v>
      </c>
    </row>
    <row r="172" spans="1:29" ht="14.25" x14ac:dyDescent="0.2">
      <c r="A172" s="27"/>
      <c r="B172" s="27"/>
      <c r="C172" s="27" t="s">
        <v>1597</v>
      </c>
      <c r="D172" s="28"/>
      <c r="E172" s="12"/>
      <c r="F172" s="30">
        <f>Source!AO164</f>
        <v>185.95</v>
      </c>
      <c r="G172" s="29" t="str">
        <f>Source!DG164</f>
        <v/>
      </c>
      <c r="H172" s="12">
        <f>Source!AV165</f>
        <v>1</v>
      </c>
      <c r="I172" s="30">
        <f>Source!S164</f>
        <v>1394.63</v>
      </c>
      <c r="J172" s="12">
        <f>IF(Source!BA165&lt;&gt; 0, Source!BA165, 1)</f>
        <v>29.03</v>
      </c>
      <c r="K172" s="30">
        <f>Source!S165</f>
        <v>40486.11</v>
      </c>
    </row>
    <row r="173" spans="1:29" ht="14.25" x14ac:dyDescent="0.2">
      <c r="A173" s="27"/>
      <c r="B173" s="27"/>
      <c r="C173" s="27" t="s">
        <v>1609</v>
      </c>
      <c r="D173" s="28"/>
      <c r="E173" s="12"/>
      <c r="F173" s="30">
        <f>Source!AM164</f>
        <v>323.45</v>
      </c>
      <c r="G173" s="29" t="str">
        <f>Source!DE164</f>
        <v/>
      </c>
      <c r="H173" s="12">
        <f>Source!AV165</f>
        <v>1</v>
      </c>
      <c r="I173" s="30">
        <f>Source!Q164</f>
        <v>2425.88</v>
      </c>
      <c r="J173" s="12">
        <f>IF(Source!BB165&lt;&gt; 0, Source!BB165, 1)</f>
        <v>12.46</v>
      </c>
      <c r="K173" s="30">
        <f>Source!Q165</f>
        <v>30226.46</v>
      </c>
    </row>
    <row r="174" spans="1:29" ht="14.25" x14ac:dyDescent="0.2">
      <c r="A174" s="27"/>
      <c r="B174" s="27"/>
      <c r="C174" s="27" t="s">
        <v>1610</v>
      </c>
      <c r="D174" s="28"/>
      <c r="E174" s="12"/>
      <c r="F174" s="30">
        <f>Source!AN164</f>
        <v>60.91</v>
      </c>
      <c r="G174" s="29" t="str">
        <f>Source!DF164</f>
        <v/>
      </c>
      <c r="H174" s="12">
        <f>Source!AV165</f>
        <v>1</v>
      </c>
      <c r="I174" s="38">
        <f>Source!R164</f>
        <v>456.83</v>
      </c>
      <c r="J174" s="12">
        <f>IF(Source!BS165&lt;&gt; 0, Source!BS165, 1)</f>
        <v>29.03</v>
      </c>
      <c r="K174" s="38">
        <f>Source!R165</f>
        <v>13261.77</v>
      </c>
    </row>
    <row r="175" spans="1:29" ht="28.5" x14ac:dyDescent="0.2">
      <c r="A175" s="27" t="s">
        <v>123</v>
      </c>
      <c r="B175" s="27" t="str">
        <f>Source!F166</f>
        <v>9999990001</v>
      </c>
      <c r="C175" s="27" t="s">
        <v>163</v>
      </c>
      <c r="D175" s="28" t="str">
        <f>Source!H166</f>
        <v>т</v>
      </c>
      <c r="E175" s="12">
        <f>Source!I166</f>
        <v>-18.75</v>
      </c>
      <c r="F175" s="30">
        <f>Source!AK166</f>
        <v>0</v>
      </c>
      <c r="G175" s="39" t="s">
        <v>3</v>
      </c>
      <c r="H175" s="12">
        <f>Source!AW167</f>
        <v>1</v>
      </c>
      <c r="I175" s="30">
        <f>Source!O166</f>
        <v>0</v>
      </c>
      <c r="J175" s="12">
        <f>IF(Source!BC167&lt;&gt; 0, Source!BC167, 1)</f>
        <v>8.65</v>
      </c>
      <c r="K175" s="30">
        <f>Source!O167</f>
        <v>0</v>
      </c>
      <c r="Q175">
        <f>Source!X166</f>
        <v>0</v>
      </c>
      <c r="R175">
        <f>Source!X167</f>
        <v>0</v>
      </c>
      <c r="S175">
        <f>Source!Y166</f>
        <v>0</v>
      </c>
      <c r="T175">
        <f>Source!Y167</f>
        <v>0</v>
      </c>
      <c r="U175">
        <f>ROUND((175/100)*ROUND(Source!R166, 2), 2)</f>
        <v>0</v>
      </c>
      <c r="V175">
        <f>ROUND((160/100)*ROUND(Source!R167, 2), 2)</f>
        <v>0</v>
      </c>
      <c r="AC175">
        <v>3</v>
      </c>
    </row>
    <row r="176" spans="1:29" ht="14.25" x14ac:dyDescent="0.2">
      <c r="A176" s="27"/>
      <c r="B176" s="27"/>
      <c r="C176" s="27" t="s">
        <v>1598</v>
      </c>
      <c r="D176" s="28" t="s">
        <v>1599</v>
      </c>
      <c r="E176" s="12">
        <f>Source!DN165</f>
        <v>80</v>
      </c>
      <c r="F176" s="30"/>
      <c r="G176" s="29"/>
      <c r="H176" s="12"/>
      <c r="I176" s="30">
        <f>SUM(Q171:Q175)</f>
        <v>1115.7</v>
      </c>
      <c r="J176" s="12">
        <f>Source!BZ165</f>
        <v>70</v>
      </c>
      <c r="K176" s="30">
        <f>SUM(R171:R175)</f>
        <v>28340.28</v>
      </c>
    </row>
    <row r="177" spans="1:29" ht="14.25" x14ac:dyDescent="0.2">
      <c r="A177" s="27"/>
      <c r="B177" s="27"/>
      <c r="C177" s="27" t="s">
        <v>1600</v>
      </c>
      <c r="D177" s="28" t="s">
        <v>1599</v>
      </c>
      <c r="E177" s="12">
        <f>Source!DO165</f>
        <v>55</v>
      </c>
      <c r="F177" s="30"/>
      <c r="G177" s="29"/>
      <c r="H177" s="12"/>
      <c r="I177" s="30">
        <f>SUM(S171:S176)</f>
        <v>767.05</v>
      </c>
      <c r="J177" s="12">
        <f>Source!CA165</f>
        <v>41</v>
      </c>
      <c r="K177" s="30">
        <f>SUM(T171:T176)</f>
        <v>16599.310000000001</v>
      </c>
    </row>
    <row r="178" spans="1:29" ht="14.25" x14ac:dyDescent="0.2">
      <c r="A178" s="27"/>
      <c r="B178" s="27"/>
      <c r="C178" s="27" t="s">
        <v>1612</v>
      </c>
      <c r="D178" s="28" t="s">
        <v>1599</v>
      </c>
      <c r="E178" s="12">
        <f>175</f>
        <v>175</v>
      </c>
      <c r="F178" s="30"/>
      <c r="G178" s="29"/>
      <c r="H178" s="12"/>
      <c r="I178" s="30">
        <f>SUM(U171:U177)</f>
        <v>799.45</v>
      </c>
      <c r="J178" s="12">
        <f>160</f>
        <v>160</v>
      </c>
      <c r="K178" s="30">
        <f>SUM(V171:V177)</f>
        <v>21218.83</v>
      </c>
    </row>
    <row r="179" spans="1:29" ht="14.25" x14ac:dyDescent="0.2">
      <c r="A179" s="31"/>
      <c r="B179" s="31"/>
      <c r="C179" s="31" t="s">
        <v>1601</v>
      </c>
      <c r="D179" s="32" t="s">
        <v>1602</v>
      </c>
      <c r="E179" s="33">
        <f>Source!AQ164</f>
        <v>13.32</v>
      </c>
      <c r="F179" s="34"/>
      <c r="G179" s="35" t="str">
        <f>Source!DI164</f>
        <v/>
      </c>
      <c r="H179" s="33">
        <f>Source!AV165</f>
        <v>1</v>
      </c>
      <c r="I179" s="34">
        <f>Source!U164</f>
        <v>99.9</v>
      </c>
      <c r="J179" s="33"/>
      <c r="K179" s="34"/>
    </row>
    <row r="180" spans="1:29" ht="15" x14ac:dyDescent="0.25">
      <c r="C180" s="22" t="s">
        <v>1603</v>
      </c>
      <c r="H180" s="104">
        <f>I172+I173+I176+I177+I178+SUM(I175:I175)-SUMIF(AC175:AC175, 5, I175:I175)-SUMIF(AC175:AC175, 6, I175:I175)</f>
        <v>6502.71</v>
      </c>
      <c r="I180" s="104"/>
      <c r="J180" s="104">
        <f>K172+K173+K176+K177+K178+SUM(K175:K175)-SUMIF(AC175:AC175, 5, K175:K175)-SUMIF(AC175:AC175, 6, K175:K175)</f>
        <v>136870.99</v>
      </c>
      <c r="K180" s="104"/>
    </row>
    <row r="181" spans="1:29" ht="15" x14ac:dyDescent="0.25">
      <c r="C181" s="22" t="s">
        <v>1604</v>
      </c>
      <c r="H181" s="100">
        <f>SUMIF(AC175:AC175, 5, I175:I175)+SUMIF(AC175:AC175, 6, I175:I175)</f>
        <v>0</v>
      </c>
      <c r="I181" s="100"/>
      <c r="J181" s="100">
        <f>SUMIF(AC175:AC175, 5, K175:K175)+SUMIF(AC175:AC175, 6, K175:K175)</f>
        <v>0</v>
      </c>
      <c r="K181" s="100"/>
    </row>
    <row r="182" spans="1:29" ht="15" x14ac:dyDescent="0.25">
      <c r="C182" s="22" t="s">
        <v>1605</v>
      </c>
      <c r="H182" s="100">
        <f>I172+I173+I176+I177+I178+SUM(I175:I175)</f>
        <v>6502.71</v>
      </c>
      <c r="I182" s="100"/>
      <c r="J182" s="100">
        <f>K172+K173+K176+K177+K178+SUM(K175:K175)</f>
        <v>136870.99</v>
      </c>
      <c r="K182" s="100"/>
      <c r="O182" s="36">
        <f>I172+I173+I176+I177+I178+SUM(I175:I175)</f>
        <v>6502.71</v>
      </c>
      <c r="P182" s="36">
        <f>K172+K173+K176+K177+K178+SUM(K175:K175)</f>
        <v>136870.99</v>
      </c>
    </row>
    <row r="184" spans="1:29" ht="28.5" x14ac:dyDescent="0.2">
      <c r="A184" s="27">
        <v>6</v>
      </c>
      <c r="B184" s="27" t="str">
        <f>Source!F168</f>
        <v>6.59-4-1</v>
      </c>
      <c r="C184" s="27" t="s">
        <v>171</v>
      </c>
      <c r="D184" s="28" t="str">
        <f>Source!H168</f>
        <v>100 м решетки</v>
      </c>
      <c r="E184" s="12">
        <f>Source!I168</f>
        <v>0.01</v>
      </c>
      <c r="F184" s="30"/>
      <c r="G184" s="29"/>
      <c r="H184" s="12"/>
      <c r="I184" s="30"/>
      <c r="J184" s="12"/>
      <c r="K184" s="30"/>
      <c r="Q184">
        <f>Source!X168</f>
        <v>3.94</v>
      </c>
      <c r="R184">
        <f>Source!X169</f>
        <v>99.98</v>
      </c>
      <c r="S184">
        <f>Source!Y168</f>
        <v>2.71</v>
      </c>
      <c r="T184">
        <f>Source!Y169</f>
        <v>58.56</v>
      </c>
      <c r="U184">
        <f>ROUND((175/100)*ROUND(Source!R168, 2), 2)</f>
        <v>0.23</v>
      </c>
      <c r="V184">
        <f>ROUND((160/100)*ROUND(Source!R169, 2), 2)</f>
        <v>6.03</v>
      </c>
      <c r="AC184">
        <v>0</v>
      </c>
    </row>
    <row r="185" spans="1:29" ht="14.25" x14ac:dyDescent="0.2">
      <c r="A185" s="27"/>
      <c r="B185" s="27"/>
      <c r="C185" s="27" t="s">
        <v>1597</v>
      </c>
      <c r="D185" s="28"/>
      <c r="E185" s="12"/>
      <c r="F185" s="30">
        <f>Source!AO168</f>
        <v>492.39</v>
      </c>
      <c r="G185" s="29" t="str">
        <f>Source!DG168</f>
        <v/>
      </c>
      <c r="H185" s="12">
        <f>Source!AV169</f>
        <v>1</v>
      </c>
      <c r="I185" s="30">
        <f>Source!S168</f>
        <v>4.92</v>
      </c>
      <c r="J185" s="12">
        <f>IF(Source!BA169&lt;&gt; 0, Source!BA169, 1)</f>
        <v>29.03</v>
      </c>
      <c r="K185" s="30">
        <f>Source!S169</f>
        <v>142.83000000000001</v>
      </c>
    </row>
    <row r="186" spans="1:29" ht="14.25" x14ac:dyDescent="0.2">
      <c r="A186" s="27"/>
      <c r="B186" s="27"/>
      <c r="C186" s="27" t="s">
        <v>1609</v>
      </c>
      <c r="D186" s="28"/>
      <c r="E186" s="12"/>
      <c r="F186" s="30">
        <f>Source!AM168</f>
        <v>203.98</v>
      </c>
      <c r="G186" s="29" t="str">
        <f>Source!DE168</f>
        <v/>
      </c>
      <c r="H186" s="12">
        <f>Source!AV169</f>
        <v>1</v>
      </c>
      <c r="I186" s="30">
        <f>Source!Q168</f>
        <v>2.04</v>
      </c>
      <c r="J186" s="12">
        <f>IF(Source!BB169&lt;&gt; 0, Source!BB169, 1)</f>
        <v>9.8800000000000008</v>
      </c>
      <c r="K186" s="30">
        <f>Source!Q169</f>
        <v>20.16</v>
      </c>
    </row>
    <row r="187" spans="1:29" ht="14.25" x14ac:dyDescent="0.2">
      <c r="A187" s="27"/>
      <c r="B187" s="27"/>
      <c r="C187" s="27" t="s">
        <v>1610</v>
      </c>
      <c r="D187" s="28"/>
      <c r="E187" s="12"/>
      <c r="F187" s="30">
        <f>Source!AN168</f>
        <v>12.6</v>
      </c>
      <c r="G187" s="29" t="str">
        <f>Source!DF168</f>
        <v/>
      </c>
      <c r="H187" s="12">
        <f>Source!AV169</f>
        <v>1</v>
      </c>
      <c r="I187" s="38">
        <f>Source!R168</f>
        <v>0.13</v>
      </c>
      <c r="J187" s="12">
        <f>IF(Source!BS169&lt;&gt; 0, Source!BS169, 1)</f>
        <v>29.03</v>
      </c>
      <c r="K187" s="38">
        <f>Source!R169</f>
        <v>3.77</v>
      </c>
    </row>
    <row r="188" spans="1:29" ht="28.5" x14ac:dyDescent="0.2">
      <c r="A188" s="27" t="s">
        <v>131</v>
      </c>
      <c r="B188" s="27" t="str">
        <f>Source!F170</f>
        <v>9999990001</v>
      </c>
      <c r="C188" s="27" t="s">
        <v>163</v>
      </c>
      <c r="D188" s="28" t="str">
        <f>Source!H170</f>
        <v>т</v>
      </c>
      <c r="E188" s="12">
        <f>Source!I170</f>
        <v>-2.5000000000000001E-2</v>
      </c>
      <c r="F188" s="30">
        <f>Source!AK170</f>
        <v>0</v>
      </c>
      <c r="G188" s="39" t="s">
        <v>3</v>
      </c>
      <c r="H188" s="12">
        <f>Source!AW171</f>
        <v>1</v>
      </c>
      <c r="I188" s="30">
        <f>Source!O170</f>
        <v>0</v>
      </c>
      <c r="J188" s="12">
        <f>IF(Source!BC171&lt;&gt; 0, Source!BC171, 1)</f>
        <v>8.65</v>
      </c>
      <c r="K188" s="30">
        <f>Source!O171</f>
        <v>0</v>
      </c>
      <c r="Q188">
        <f>Source!X170</f>
        <v>0</v>
      </c>
      <c r="R188">
        <f>Source!X171</f>
        <v>0</v>
      </c>
      <c r="S188">
        <f>Source!Y170</f>
        <v>0</v>
      </c>
      <c r="T188">
        <f>Source!Y171</f>
        <v>0</v>
      </c>
      <c r="U188">
        <f>ROUND((175/100)*ROUND(Source!R170, 2), 2)</f>
        <v>0</v>
      </c>
      <c r="V188">
        <f>ROUND((160/100)*ROUND(Source!R171, 2), 2)</f>
        <v>0</v>
      </c>
      <c r="AC188">
        <v>3</v>
      </c>
    </row>
    <row r="189" spans="1:29" ht="14.25" x14ac:dyDescent="0.2">
      <c r="A189" s="27"/>
      <c r="B189" s="27"/>
      <c r="C189" s="27" t="s">
        <v>1598</v>
      </c>
      <c r="D189" s="28" t="s">
        <v>1599</v>
      </c>
      <c r="E189" s="12">
        <f>Source!DN169</f>
        <v>80</v>
      </c>
      <c r="F189" s="30"/>
      <c r="G189" s="29"/>
      <c r="H189" s="12"/>
      <c r="I189" s="30">
        <f>SUM(Q184:Q188)</f>
        <v>3.94</v>
      </c>
      <c r="J189" s="12">
        <f>Source!BZ169</f>
        <v>70</v>
      </c>
      <c r="K189" s="30">
        <f>SUM(R184:R188)</f>
        <v>99.98</v>
      </c>
    </row>
    <row r="190" spans="1:29" ht="14.25" x14ac:dyDescent="0.2">
      <c r="A190" s="27"/>
      <c r="B190" s="27"/>
      <c r="C190" s="27" t="s">
        <v>1600</v>
      </c>
      <c r="D190" s="28" t="s">
        <v>1599</v>
      </c>
      <c r="E190" s="12">
        <f>Source!DO169</f>
        <v>55</v>
      </c>
      <c r="F190" s="30"/>
      <c r="G190" s="29"/>
      <c r="H190" s="12"/>
      <c r="I190" s="30">
        <f>SUM(S184:S189)</f>
        <v>2.71</v>
      </c>
      <c r="J190" s="12">
        <f>Source!CA169</f>
        <v>41</v>
      </c>
      <c r="K190" s="30">
        <f>SUM(T184:T189)</f>
        <v>58.56</v>
      </c>
    </row>
    <row r="191" spans="1:29" ht="14.25" x14ac:dyDescent="0.2">
      <c r="A191" s="27"/>
      <c r="B191" s="27"/>
      <c r="C191" s="27" t="s">
        <v>1612</v>
      </c>
      <c r="D191" s="28" t="s">
        <v>1599</v>
      </c>
      <c r="E191" s="12">
        <f>175</f>
        <v>175</v>
      </c>
      <c r="F191" s="30"/>
      <c r="G191" s="29"/>
      <c r="H191" s="12"/>
      <c r="I191" s="30">
        <f>SUM(U184:U190)</f>
        <v>0.23</v>
      </c>
      <c r="J191" s="12">
        <f>160</f>
        <v>160</v>
      </c>
      <c r="K191" s="30">
        <f>SUM(V184:V190)</f>
        <v>6.03</v>
      </c>
    </row>
    <row r="192" spans="1:29" ht="14.25" x14ac:dyDescent="0.2">
      <c r="A192" s="31"/>
      <c r="B192" s="31"/>
      <c r="C192" s="31" t="s">
        <v>1601</v>
      </c>
      <c r="D192" s="32" t="s">
        <v>1602</v>
      </c>
      <c r="E192" s="33">
        <f>Source!AQ168</f>
        <v>47.3</v>
      </c>
      <c r="F192" s="34"/>
      <c r="G192" s="35" t="str">
        <f>Source!DI168</f>
        <v/>
      </c>
      <c r="H192" s="33">
        <f>Source!AV169</f>
        <v>1</v>
      </c>
      <c r="I192" s="34">
        <f>Source!U168</f>
        <v>0.47299999999999998</v>
      </c>
      <c r="J192" s="33"/>
      <c r="K192" s="34"/>
    </row>
    <row r="193" spans="1:29" ht="15" x14ac:dyDescent="0.25">
      <c r="C193" s="22" t="s">
        <v>1603</v>
      </c>
      <c r="H193" s="104">
        <f>I185+I186+I189+I190+I191+SUM(I188:I188)-SUMIF(AC188:AC188, 5, I188:I188)-SUMIF(AC188:AC188, 6, I188:I188)</f>
        <v>13.84</v>
      </c>
      <c r="I193" s="104"/>
      <c r="J193" s="104">
        <f>K185+K186+K189+K190+K191+SUM(K188:K188)-SUMIF(AC188:AC188, 5, K188:K188)-SUMIF(AC188:AC188, 6, K188:K188)</f>
        <v>327.56</v>
      </c>
      <c r="K193" s="104"/>
    </row>
    <row r="194" spans="1:29" ht="15" x14ac:dyDescent="0.25">
      <c r="C194" s="22" t="s">
        <v>1604</v>
      </c>
      <c r="H194" s="100">
        <f>SUMIF(AC188:AC188, 5, I188:I188)+SUMIF(AC188:AC188, 6, I188:I188)</f>
        <v>0</v>
      </c>
      <c r="I194" s="100"/>
      <c r="J194" s="100">
        <f>SUMIF(AC188:AC188, 5, K188:K188)+SUMIF(AC188:AC188, 6, K188:K188)</f>
        <v>0</v>
      </c>
      <c r="K194" s="100"/>
    </row>
    <row r="195" spans="1:29" ht="15" x14ac:dyDescent="0.25">
      <c r="C195" s="22" t="s">
        <v>1605</v>
      </c>
      <c r="H195" s="100">
        <f>I185+I186+I189+I190+I191+SUM(I188:I188)</f>
        <v>13.84</v>
      </c>
      <c r="I195" s="100"/>
      <c r="J195" s="100">
        <f>K185+K186+K189+K190+K191+SUM(K188:K188)</f>
        <v>327.56</v>
      </c>
      <c r="K195" s="100"/>
      <c r="O195" s="36">
        <f>I185+I186+I189+I190+I191+SUM(I188:I188)</f>
        <v>13.84</v>
      </c>
      <c r="P195" s="36">
        <f>K185+K186+K189+K190+K191+SUM(K188:K188)</f>
        <v>327.56</v>
      </c>
    </row>
    <row r="197" spans="1:29" ht="52.5" x14ac:dyDescent="0.2">
      <c r="A197" s="27">
        <v>7</v>
      </c>
      <c r="B197" s="27" t="s">
        <v>1620</v>
      </c>
      <c r="C197" s="27" t="s">
        <v>178</v>
      </c>
      <c r="D197" s="28" t="str">
        <f>Source!H172</f>
        <v>1 Т</v>
      </c>
      <c r="E197" s="12">
        <f>Source!I172</f>
        <v>0.05</v>
      </c>
      <c r="F197" s="30"/>
      <c r="G197" s="29"/>
      <c r="H197" s="12"/>
      <c r="I197" s="30"/>
      <c r="J197" s="12"/>
      <c r="K197" s="30"/>
      <c r="Q197">
        <f>Source!X172</f>
        <v>39.049999999999997</v>
      </c>
      <c r="R197">
        <f>Source!X173</f>
        <v>933.55</v>
      </c>
      <c r="S197">
        <f>Source!Y172</f>
        <v>32.159999999999997</v>
      </c>
      <c r="T197">
        <f>Source!Y173</f>
        <v>546.79</v>
      </c>
      <c r="U197">
        <f>ROUND((175/100)*ROUND(Source!R172, 2), 2)</f>
        <v>0.23</v>
      </c>
      <c r="V197">
        <f>ROUND((160/100)*ROUND(Source!R173, 2), 2)</f>
        <v>6.03</v>
      </c>
      <c r="AC197">
        <v>0</v>
      </c>
    </row>
    <row r="198" spans="1:29" ht="14.25" x14ac:dyDescent="0.2">
      <c r="A198" s="27"/>
      <c r="B198" s="27"/>
      <c r="C198" s="27" t="s">
        <v>1597</v>
      </c>
      <c r="D198" s="28"/>
      <c r="E198" s="12"/>
      <c r="F198" s="30">
        <f>Source!AO172</f>
        <v>1531.2</v>
      </c>
      <c r="G198" s="29" t="str">
        <f>Source!DG172</f>
        <v>)*0,6</v>
      </c>
      <c r="H198" s="12">
        <f>Source!AV173</f>
        <v>1</v>
      </c>
      <c r="I198" s="30">
        <f>Source!S172</f>
        <v>45.94</v>
      </c>
      <c r="J198" s="12">
        <f>IF(Source!BA173&lt;&gt; 0, Source!BA173, 1)</f>
        <v>29.03</v>
      </c>
      <c r="K198" s="30">
        <f>Source!S173</f>
        <v>1333.64</v>
      </c>
    </row>
    <row r="199" spans="1:29" ht="14.25" x14ac:dyDescent="0.2">
      <c r="A199" s="27"/>
      <c r="B199" s="27"/>
      <c r="C199" s="27" t="s">
        <v>1609</v>
      </c>
      <c r="D199" s="28"/>
      <c r="E199" s="12"/>
      <c r="F199" s="30">
        <f>Source!AM172</f>
        <v>64.5</v>
      </c>
      <c r="G199" s="29" t="str">
        <f>Source!DE172</f>
        <v>)*0,6</v>
      </c>
      <c r="H199" s="12">
        <f>Source!AV173</f>
        <v>1</v>
      </c>
      <c r="I199" s="30">
        <f>Source!Q172</f>
        <v>1.94</v>
      </c>
      <c r="J199" s="12">
        <f>IF(Source!BB173&lt;&gt; 0, Source!BB173, 1)</f>
        <v>8.26</v>
      </c>
      <c r="K199" s="30">
        <f>Source!Q173</f>
        <v>16.02</v>
      </c>
    </row>
    <row r="200" spans="1:29" ht="14.25" x14ac:dyDescent="0.2">
      <c r="A200" s="27"/>
      <c r="B200" s="27"/>
      <c r="C200" s="27" t="s">
        <v>1610</v>
      </c>
      <c r="D200" s="28"/>
      <c r="E200" s="12"/>
      <c r="F200" s="30">
        <f>Source!AN172</f>
        <v>4.41</v>
      </c>
      <c r="G200" s="29" t="str">
        <f>Source!DF172</f>
        <v>)*0,6</v>
      </c>
      <c r="H200" s="12">
        <f>Source!AV173</f>
        <v>1</v>
      </c>
      <c r="I200" s="38">
        <f>Source!R172</f>
        <v>0.13</v>
      </c>
      <c r="J200" s="12">
        <f>IF(Source!BS173&lt;&gt; 0, Source!BS173, 1)</f>
        <v>29.03</v>
      </c>
      <c r="K200" s="38">
        <f>Source!R173</f>
        <v>3.77</v>
      </c>
    </row>
    <row r="201" spans="1:29" ht="14.25" x14ac:dyDescent="0.2">
      <c r="A201" s="27"/>
      <c r="B201" s="27"/>
      <c r="C201" s="27" t="s">
        <v>1611</v>
      </c>
      <c r="D201" s="28"/>
      <c r="E201" s="12"/>
      <c r="F201" s="30">
        <f>Source!AL172</f>
        <v>61.06</v>
      </c>
      <c r="G201" s="29" t="str">
        <f>Source!DD172</f>
        <v>)*0,6</v>
      </c>
      <c r="H201" s="12">
        <f>Source!AW173</f>
        <v>1</v>
      </c>
      <c r="I201" s="30">
        <f>Source!P172</f>
        <v>1.83</v>
      </c>
      <c r="J201" s="12">
        <f>IF(Source!BC173&lt;&gt; 0, Source!BC173, 1)</f>
        <v>20.260000000000002</v>
      </c>
      <c r="K201" s="30">
        <f>Source!P173</f>
        <v>37.08</v>
      </c>
    </row>
    <row r="202" spans="1:29" ht="14.25" x14ac:dyDescent="0.2">
      <c r="A202" s="27"/>
      <c r="B202" s="27"/>
      <c r="C202" s="27" t="s">
        <v>1598</v>
      </c>
      <c r="D202" s="28" t="s">
        <v>1599</v>
      </c>
      <c r="E202" s="12">
        <f>Source!DN173</f>
        <v>85</v>
      </c>
      <c r="F202" s="30"/>
      <c r="G202" s="29"/>
      <c r="H202" s="12"/>
      <c r="I202" s="30">
        <f>SUM(Q197:Q201)</f>
        <v>39.049999999999997</v>
      </c>
      <c r="J202" s="12">
        <f>Source!BZ173</f>
        <v>70</v>
      </c>
      <c r="K202" s="30">
        <f>SUM(R197:R201)</f>
        <v>933.55</v>
      </c>
    </row>
    <row r="203" spans="1:29" ht="14.25" x14ac:dyDescent="0.2">
      <c r="A203" s="27"/>
      <c r="B203" s="27"/>
      <c r="C203" s="27" t="s">
        <v>1600</v>
      </c>
      <c r="D203" s="28" t="s">
        <v>1599</v>
      </c>
      <c r="E203" s="12">
        <f>Source!DO173</f>
        <v>70</v>
      </c>
      <c r="F203" s="30"/>
      <c r="G203" s="29"/>
      <c r="H203" s="12"/>
      <c r="I203" s="30">
        <f>SUM(S197:S202)</f>
        <v>32.159999999999997</v>
      </c>
      <c r="J203" s="12">
        <f>Source!CA173</f>
        <v>41</v>
      </c>
      <c r="K203" s="30">
        <f>SUM(T197:T202)</f>
        <v>546.79</v>
      </c>
    </row>
    <row r="204" spans="1:29" ht="14.25" x14ac:dyDescent="0.2">
      <c r="A204" s="27"/>
      <c r="B204" s="27"/>
      <c r="C204" s="27" t="s">
        <v>1612</v>
      </c>
      <c r="D204" s="28" t="s">
        <v>1599</v>
      </c>
      <c r="E204" s="12">
        <f>175</f>
        <v>175</v>
      </c>
      <c r="F204" s="30"/>
      <c r="G204" s="29"/>
      <c r="H204" s="12"/>
      <c r="I204" s="30">
        <f>SUM(U197:U203)</f>
        <v>0.23</v>
      </c>
      <c r="J204" s="12">
        <f>160</f>
        <v>160</v>
      </c>
      <c r="K204" s="30">
        <f>SUM(V197:V203)</f>
        <v>6.03</v>
      </c>
    </row>
    <row r="205" spans="1:29" ht="14.25" x14ac:dyDescent="0.2">
      <c r="A205" s="31"/>
      <c r="B205" s="31"/>
      <c r="C205" s="31" t="s">
        <v>1601</v>
      </c>
      <c r="D205" s="32" t="s">
        <v>1602</v>
      </c>
      <c r="E205" s="33">
        <f>Source!AQ172</f>
        <v>116</v>
      </c>
      <c r="F205" s="34"/>
      <c r="G205" s="35" t="str">
        <f>Source!DI172</f>
        <v>)*0,6</v>
      </c>
      <c r="H205" s="33">
        <f>Source!AV173</f>
        <v>1</v>
      </c>
      <c r="I205" s="34">
        <f>Source!U172</f>
        <v>3.48</v>
      </c>
      <c r="J205" s="33"/>
      <c r="K205" s="34"/>
    </row>
    <row r="206" spans="1:29" ht="15" x14ac:dyDescent="0.25">
      <c r="C206" s="22" t="s">
        <v>1603</v>
      </c>
      <c r="H206" s="104">
        <f>I198+I199+I201+I202+I203+I204+0-0-0</f>
        <v>121.14999999999999</v>
      </c>
      <c r="I206" s="104"/>
      <c r="J206" s="104">
        <f>K198+K199+K201+K202+K203+K204+0-0-0</f>
        <v>2873.11</v>
      </c>
      <c r="K206" s="104"/>
    </row>
    <row r="207" spans="1:29" ht="15" x14ac:dyDescent="0.25">
      <c r="C207" s="22" t="s">
        <v>1604</v>
      </c>
      <c r="H207" s="100">
        <f>0+0</f>
        <v>0</v>
      </c>
      <c r="I207" s="100"/>
      <c r="J207" s="100">
        <f>0+0</f>
        <v>0</v>
      </c>
      <c r="K207" s="100"/>
    </row>
    <row r="208" spans="1:29" ht="15" x14ac:dyDescent="0.25">
      <c r="C208" s="22" t="s">
        <v>1605</v>
      </c>
      <c r="H208" s="100">
        <f>I198+I199+I201+I202+I203+I204+0</f>
        <v>121.14999999999999</v>
      </c>
      <c r="I208" s="100"/>
      <c r="J208" s="100">
        <f>K198+K199+K201+K202+K203+K204+0</f>
        <v>2873.11</v>
      </c>
      <c r="K208" s="100"/>
      <c r="O208" s="36">
        <f>I198+I199+I201+I202+I203+I204+0</f>
        <v>121.14999999999999</v>
      </c>
      <c r="P208" s="36">
        <f>K198+K199+K201+K202+K203+K204+0</f>
        <v>2873.11</v>
      </c>
    </row>
    <row r="210" spans="1:29" ht="65.25" x14ac:dyDescent="0.2">
      <c r="A210" s="27">
        <v>8</v>
      </c>
      <c r="B210" s="27" t="s">
        <v>1621</v>
      </c>
      <c r="C210" s="27" t="s">
        <v>183</v>
      </c>
      <c r="D210" s="28" t="str">
        <f>Source!H174</f>
        <v>100 м2 покрытия</v>
      </c>
      <c r="E210" s="12">
        <f>Source!I174</f>
        <v>6.0999999999999999E-2</v>
      </c>
      <c r="F210" s="30"/>
      <c r="G210" s="29"/>
      <c r="H210" s="12"/>
      <c r="I210" s="30"/>
      <c r="J210" s="12"/>
      <c r="K210" s="30"/>
      <c r="Q210">
        <f>Source!X174</f>
        <v>19.059999999999999</v>
      </c>
      <c r="R210">
        <f>Source!X175</f>
        <v>484.25</v>
      </c>
      <c r="S210">
        <f>Source!Y174</f>
        <v>13.11</v>
      </c>
      <c r="T210">
        <f>Source!Y175</f>
        <v>283.63</v>
      </c>
      <c r="U210">
        <f>ROUND((175/100)*ROUND(Source!R174, 2), 2)</f>
        <v>1.03</v>
      </c>
      <c r="V210">
        <f>ROUND((160/100)*ROUND(Source!R175, 2), 2)</f>
        <v>27.41</v>
      </c>
      <c r="AC210">
        <v>0</v>
      </c>
    </row>
    <row r="211" spans="1:29" ht="14.25" x14ac:dyDescent="0.2">
      <c r="A211" s="27"/>
      <c r="B211" s="27"/>
      <c r="C211" s="27" t="s">
        <v>1597</v>
      </c>
      <c r="D211" s="28"/>
      <c r="E211" s="12"/>
      <c r="F211" s="30">
        <f>Source!AO174</f>
        <v>781.15</v>
      </c>
      <c r="G211" s="29" t="str">
        <f>Source!DG174</f>
        <v>)*0,5</v>
      </c>
      <c r="H211" s="12">
        <f>Source!AV175</f>
        <v>1</v>
      </c>
      <c r="I211" s="30">
        <f>Source!S174</f>
        <v>23.83</v>
      </c>
      <c r="J211" s="12">
        <f>IF(Source!BA175&lt;&gt; 0, Source!BA175, 1)</f>
        <v>29.03</v>
      </c>
      <c r="K211" s="30">
        <f>Source!S175</f>
        <v>691.78</v>
      </c>
    </row>
    <row r="212" spans="1:29" ht="14.25" x14ac:dyDescent="0.2">
      <c r="A212" s="27"/>
      <c r="B212" s="27"/>
      <c r="C212" s="27" t="s">
        <v>1609</v>
      </c>
      <c r="D212" s="28"/>
      <c r="E212" s="12"/>
      <c r="F212" s="30">
        <f>Source!AM174</f>
        <v>64.48</v>
      </c>
      <c r="G212" s="29" t="str">
        <f>Source!DE174</f>
        <v>)*0,5</v>
      </c>
      <c r="H212" s="12">
        <f>Source!AV175</f>
        <v>1</v>
      </c>
      <c r="I212" s="30">
        <f>Source!Q174</f>
        <v>1.97</v>
      </c>
      <c r="J212" s="12">
        <f>IF(Source!BB175&lt;&gt; 0, Source!BB175, 1)</f>
        <v>16.43</v>
      </c>
      <c r="K212" s="30">
        <f>Source!Q175</f>
        <v>32.369999999999997</v>
      </c>
    </row>
    <row r="213" spans="1:29" ht="14.25" x14ac:dyDescent="0.2">
      <c r="A213" s="27"/>
      <c r="B213" s="27"/>
      <c r="C213" s="27" t="s">
        <v>1610</v>
      </c>
      <c r="D213" s="28"/>
      <c r="E213" s="12"/>
      <c r="F213" s="30">
        <f>Source!AN174</f>
        <v>19.25</v>
      </c>
      <c r="G213" s="29" t="str">
        <f>Source!DF174</f>
        <v>)*0,5</v>
      </c>
      <c r="H213" s="12">
        <f>Source!AV175</f>
        <v>1</v>
      </c>
      <c r="I213" s="38">
        <f>Source!R174</f>
        <v>0.59</v>
      </c>
      <c r="J213" s="12">
        <f>IF(Source!BS175&lt;&gt; 0, Source!BS175, 1)</f>
        <v>29.03</v>
      </c>
      <c r="K213" s="38">
        <f>Source!R175</f>
        <v>17.13</v>
      </c>
    </row>
    <row r="214" spans="1:29" ht="28.5" x14ac:dyDescent="0.2">
      <c r="A214" s="27" t="s">
        <v>190</v>
      </c>
      <c r="B214" s="27" t="str">
        <f>Source!F176</f>
        <v>9999990001</v>
      </c>
      <c r="C214" s="27" t="s">
        <v>163</v>
      </c>
      <c r="D214" s="28" t="str">
        <f>Source!H176</f>
        <v>т</v>
      </c>
      <c r="E214" s="12">
        <f>Source!I176</f>
        <v>-0.31719999999999998</v>
      </c>
      <c r="F214" s="30">
        <f>Source!AK176</f>
        <v>0</v>
      </c>
      <c r="G214" s="39" t="s">
        <v>3</v>
      </c>
      <c r="H214" s="12">
        <f>Source!AW177</f>
        <v>1</v>
      </c>
      <c r="I214" s="30">
        <f>Source!O176</f>
        <v>0</v>
      </c>
      <c r="J214" s="12">
        <f>IF(Source!BC177&lt;&gt; 0, Source!BC177, 1)</f>
        <v>8.65</v>
      </c>
      <c r="K214" s="30">
        <f>Source!O177</f>
        <v>0</v>
      </c>
      <c r="Q214">
        <f>Source!X176</f>
        <v>0</v>
      </c>
      <c r="R214">
        <f>Source!X177</f>
        <v>0</v>
      </c>
      <c r="S214">
        <f>Source!Y176</f>
        <v>0</v>
      </c>
      <c r="T214">
        <f>Source!Y177</f>
        <v>0</v>
      </c>
      <c r="U214">
        <f>ROUND((175/100)*ROUND(Source!R176, 2), 2)</f>
        <v>0</v>
      </c>
      <c r="V214">
        <f>ROUND((160/100)*ROUND(Source!R177, 2), 2)</f>
        <v>0</v>
      </c>
      <c r="AC214">
        <v>3</v>
      </c>
    </row>
    <row r="215" spans="1:29" ht="14.25" x14ac:dyDescent="0.2">
      <c r="A215" s="27"/>
      <c r="B215" s="27"/>
      <c r="C215" s="27" t="s">
        <v>1598</v>
      </c>
      <c r="D215" s="28" t="s">
        <v>1599</v>
      </c>
      <c r="E215" s="12">
        <f>Source!DN175</f>
        <v>80</v>
      </c>
      <c r="F215" s="30"/>
      <c r="G215" s="29"/>
      <c r="H215" s="12"/>
      <c r="I215" s="30">
        <f>SUM(Q210:Q214)</f>
        <v>19.059999999999999</v>
      </c>
      <c r="J215" s="12">
        <f>Source!BZ175</f>
        <v>70</v>
      </c>
      <c r="K215" s="30">
        <f>SUM(R210:R214)</f>
        <v>484.25</v>
      </c>
    </row>
    <row r="216" spans="1:29" ht="14.25" x14ac:dyDescent="0.2">
      <c r="A216" s="27"/>
      <c r="B216" s="27"/>
      <c r="C216" s="27" t="s">
        <v>1600</v>
      </c>
      <c r="D216" s="28" t="s">
        <v>1599</v>
      </c>
      <c r="E216" s="12">
        <f>Source!DO175</f>
        <v>55</v>
      </c>
      <c r="F216" s="30"/>
      <c r="G216" s="29"/>
      <c r="H216" s="12"/>
      <c r="I216" s="30">
        <f>SUM(S210:S215)</f>
        <v>13.11</v>
      </c>
      <c r="J216" s="12">
        <f>Source!CA175</f>
        <v>41</v>
      </c>
      <c r="K216" s="30">
        <f>SUM(T210:T215)</f>
        <v>283.63</v>
      </c>
    </row>
    <row r="217" spans="1:29" ht="14.25" x14ac:dyDescent="0.2">
      <c r="A217" s="27"/>
      <c r="B217" s="27"/>
      <c r="C217" s="27" t="s">
        <v>1612</v>
      </c>
      <c r="D217" s="28" t="s">
        <v>1599</v>
      </c>
      <c r="E217" s="12">
        <f>175</f>
        <v>175</v>
      </c>
      <c r="F217" s="30"/>
      <c r="G217" s="29"/>
      <c r="H217" s="12"/>
      <c r="I217" s="30">
        <f>SUM(U210:U216)</f>
        <v>1.03</v>
      </c>
      <c r="J217" s="12">
        <f>160</f>
        <v>160</v>
      </c>
      <c r="K217" s="30">
        <f>SUM(V210:V216)</f>
        <v>27.41</v>
      </c>
    </row>
    <row r="218" spans="1:29" ht="14.25" x14ac:dyDescent="0.2">
      <c r="A218" s="31"/>
      <c r="B218" s="31"/>
      <c r="C218" s="31" t="s">
        <v>1601</v>
      </c>
      <c r="D218" s="32" t="s">
        <v>1602</v>
      </c>
      <c r="E218" s="33">
        <f>Source!AQ174</f>
        <v>69.87</v>
      </c>
      <c r="F218" s="34"/>
      <c r="G218" s="35" t="str">
        <f>Source!DI174</f>
        <v>)*0,5</v>
      </c>
      <c r="H218" s="33">
        <f>Source!AV175</f>
        <v>1</v>
      </c>
      <c r="I218" s="34">
        <f>Source!U174</f>
        <v>2.1310350000000002</v>
      </c>
      <c r="J218" s="33"/>
      <c r="K218" s="34"/>
    </row>
    <row r="219" spans="1:29" ht="15" x14ac:dyDescent="0.25">
      <c r="C219" s="22" t="s">
        <v>1603</v>
      </c>
      <c r="H219" s="104">
        <f>I211+I212+I215+I216+I217+SUM(I214:I214)-SUMIF(AC214:AC214, 5, I214:I214)-SUMIF(AC214:AC214, 6, I214:I214)</f>
        <v>59</v>
      </c>
      <c r="I219" s="104"/>
      <c r="J219" s="104">
        <f>K211+K212+K215+K216+K217+SUM(K214:K214)-SUMIF(AC214:AC214, 5, K214:K214)-SUMIF(AC214:AC214, 6, K214:K214)</f>
        <v>1519.4400000000003</v>
      </c>
      <c r="K219" s="104"/>
    </row>
    <row r="220" spans="1:29" ht="15" x14ac:dyDescent="0.25">
      <c r="C220" s="22" t="s">
        <v>1604</v>
      </c>
      <c r="H220" s="100">
        <f>SUMIF(AC214:AC214, 5, I214:I214)+SUMIF(AC214:AC214, 6, I214:I214)</f>
        <v>0</v>
      </c>
      <c r="I220" s="100"/>
      <c r="J220" s="100">
        <f>SUMIF(AC214:AC214, 5, K214:K214)+SUMIF(AC214:AC214, 6, K214:K214)</f>
        <v>0</v>
      </c>
      <c r="K220" s="100"/>
    </row>
    <row r="221" spans="1:29" ht="15" x14ac:dyDescent="0.25">
      <c r="C221" s="22" t="s">
        <v>1605</v>
      </c>
      <c r="H221" s="100">
        <f>I211+I212+I215+I216+I217+SUM(I214:I214)</f>
        <v>59</v>
      </c>
      <c r="I221" s="100"/>
      <c r="J221" s="100">
        <f>K211+K212+K215+K216+K217+SUM(K214:K214)</f>
        <v>1519.4400000000003</v>
      </c>
      <c r="K221" s="100"/>
      <c r="O221" s="36">
        <f>I211+I212+I215+I216+I217+SUM(I214:I214)</f>
        <v>59</v>
      </c>
      <c r="P221" s="36">
        <f>K211+K212+K215+K216+K217+SUM(K214:K214)</f>
        <v>1519.4400000000003</v>
      </c>
    </row>
    <row r="223" spans="1:29" ht="28.5" x14ac:dyDescent="0.2">
      <c r="A223" s="27">
        <v>9</v>
      </c>
      <c r="B223" s="27" t="str">
        <f>Source!F178</f>
        <v>6.57-2-8</v>
      </c>
      <c r="C223" s="27" t="s">
        <v>193</v>
      </c>
      <c r="D223" s="28" t="str">
        <f>Source!H178</f>
        <v>100 м2 покрытия</v>
      </c>
      <c r="E223" s="12">
        <f>Source!I178</f>
        <v>6.5000000000000002E-2</v>
      </c>
      <c r="F223" s="30"/>
      <c r="G223" s="29"/>
      <c r="H223" s="12"/>
      <c r="I223" s="30"/>
      <c r="J223" s="12"/>
      <c r="K223" s="30"/>
      <c r="Q223">
        <f>Source!X178</f>
        <v>14.3</v>
      </c>
      <c r="R223">
        <f>Source!X179</f>
        <v>363.34</v>
      </c>
      <c r="S223">
        <f>Source!Y178</f>
        <v>9.83</v>
      </c>
      <c r="T223">
        <f>Source!Y179</f>
        <v>212.81</v>
      </c>
      <c r="U223">
        <f>ROUND((175/100)*ROUND(Source!R178, 2), 2)</f>
        <v>15.82</v>
      </c>
      <c r="V223">
        <f>ROUND((160/100)*ROUND(Source!R179, 2), 2)</f>
        <v>419.89</v>
      </c>
      <c r="AC223">
        <v>0</v>
      </c>
    </row>
    <row r="224" spans="1:29" ht="14.25" x14ac:dyDescent="0.2">
      <c r="A224" s="27"/>
      <c r="B224" s="27"/>
      <c r="C224" s="27" t="s">
        <v>1597</v>
      </c>
      <c r="D224" s="28"/>
      <c r="E224" s="12"/>
      <c r="F224" s="30">
        <f>Source!AO178</f>
        <v>275.02999999999997</v>
      </c>
      <c r="G224" s="29" t="str">
        <f>Source!DG178</f>
        <v/>
      </c>
      <c r="H224" s="12">
        <f>Source!AV179</f>
        <v>1</v>
      </c>
      <c r="I224" s="30">
        <f>Source!S178</f>
        <v>17.88</v>
      </c>
      <c r="J224" s="12">
        <f>IF(Source!BA179&lt;&gt; 0, Source!BA179, 1)</f>
        <v>29.03</v>
      </c>
      <c r="K224" s="30">
        <f>Source!S179</f>
        <v>519.05999999999995</v>
      </c>
    </row>
    <row r="225" spans="1:29" ht="14.25" x14ac:dyDescent="0.2">
      <c r="A225" s="27"/>
      <c r="B225" s="27"/>
      <c r="C225" s="27" t="s">
        <v>1609</v>
      </c>
      <c r="D225" s="28"/>
      <c r="E225" s="12"/>
      <c r="F225" s="30">
        <f>Source!AM178</f>
        <v>465.71</v>
      </c>
      <c r="G225" s="29" t="str">
        <f>Source!DE178</f>
        <v/>
      </c>
      <c r="H225" s="12">
        <f>Source!AV179</f>
        <v>1</v>
      </c>
      <c r="I225" s="30">
        <f>Source!Q178</f>
        <v>30.27</v>
      </c>
      <c r="J225" s="12">
        <f>IF(Source!BB179&lt;&gt; 0, Source!BB179, 1)</f>
        <v>16.43</v>
      </c>
      <c r="K225" s="30">
        <f>Source!Q179</f>
        <v>497.34</v>
      </c>
    </row>
    <row r="226" spans="1:29" ht="14.25" x14ac:dyDescent="0.2">
      <c r="A226" s="27"/>
      <c r="B226" s="27"/>
      <c r="C226" s="27" t="s">
        <v>1610</v>
      </c>
      <c r="D226" s="28"/>
      <c r="E226" s="12"/>
      <c r="F226" s="30">
        <f>Source!AN178</f>
        <v>139.05000000000001</v>
      </c>
      <c r="G226" s="29" t="str">
        <f>Source!DF178</f>
        <v/>
      </c>
      <c r="H226" s="12">
        <f>Source!AV179</f>
        <v>1</v>
      </c>
      <c r="I226" s="38">
        <f>Source!R178</f>
        <v>9.0399999999999991</v>
      </c>
      <c r="J226" s="12">
        <f>IF(Source!BS179&lt;&gt; 0, Source!BS179, 1)</f>
        <v>29.03</v>
      </c>
      <c r="K226" s="38">
        <f>Source!R179</f>
        <v>262.43</v>
      </c>
    </row>
    <row r="227" spans="1:29" ht="28.5" x14ac:dyDescent="0.2">
      <c r="A227" s="27" t="s">
        <v>195</v>
      </c>
      <c r="B227" s="27" t="str">
        <f>Source!F180</f>
        <v>9999990001</v>
      </c>
      <c r="C227" s="27" t="s">
        <v>163</v>
      </c>
      <c r="D227" s="28" t="str">
        <f>Source!H180</f>
        <v>т</v>
      </c>
      <c r="E227" s="12">
        <f>Source!I180</f>
        <v>-0.42899999999999999</v>
      </c>
      <c r="F227" s="30">
        <f>Source!AK180</f>
        <v>0</v>
      </c>
      <c r="G227" s="39" t="s">
        <v>3</v>
      </c>
      <c r="H227" s="12">
        <f>Source!AW181</f>
        <v>1</v>
      </c>
      <c r="I227" s="30">
        <f>Source!O180</f>
        <v>0</v>
      </c>
      <c r="J227" s="12">
        <f>IF(Source!BC181&lt;&gt; 0, Source!BC181, 1)</f>
        <v>8.65</v>
      </c>
      <c r="K227" s="30">
        <f>Source!O181</f>
        <v>0</v>
      </c>
      <c r="Q227">
        <f>Source!X180</f>
        <v>0</v>
      </c>
      <c r="R227">
        <f>Source!X181</f>
        <v>0</v>
      </c>
      <c r="S227">
        <f>Source!Y180</f>
        <v>0</v>
      </c>
      <c r="T227">
        <f>Source!Y181</f>
        <v>0</v>
      </c>
      <c r="U227">
        <f>ROUND((175/100)*ROUND(Source!R180, 2), 2)</f>
        <v>0</v>
      </c>
      <c r="V227">
        <f>ROUND((160/100)*ROUND(Source!R181, 2), 2)</f>
        <v>0</v>
      </c>
      <c r="AC227">
        <v>3</v>
      </c>
    </row>
    <row r="228" spans="1:29" ht="14.25" x14ac:dyDescent="0.2">
      <c r="A228" s="27"/>
      <c r="B228" s="27"/>
      <c r="C228" s="27" t="s">
        <v>1598</v>
      </c>
      <c r="D228" s="28" t="s">
        <v>1599</v>
      </c>
      <c r="E228" s="12">
        <f>Source!DN179</f>
        <v>80</v>
      </c>
      <c r="F228" s="30"/>
      <c r="G228" s="29"/>
      <c r="H228" s="12"/>
      <c r="I228" s="30">
        <f>SUM(Q223:Q227)</f>
        <v>14.3</v>
      </c>
      <c r="J228" s="12">
        <f>Source!BZ179</f>
        <v>70</v>
      </c>
      <c r="K228" s="30">
        <f>SUM(R223:R227)</f>
        <v>363.34</v>
      </c>
    </row>
    <row r="229" spans="1:29" ht="14.25" x14ac:dyDescent="0.2">
      <c r="A229" s="27"/>
      <c r="B229" s="27"/>
      <c r="C229" s="27" t="s">
        <v>1600</v>
      </c>
      <c r="D229" s="28" t="s">
        <v>1599</v>
      </c>
      <c r="E229" s="12">
        <f>Source!DO179</f>
        <v>55</v>
      </c>
      <c r="F229" s="30"/>
      <c r="G229" s="29"/>
      <c r="H229" s="12"/>
      <c r="I229" s="30">
        <f>SUM(S223:S228)</f>
        <v>9.83</v>
      </c>
      <c r="J229" s="12">
        <f>Source!CA179</f>
        <v>41</v>
      </c>
      <c r="K229" s="30">
        <f>SUM(T223:T228)</f>
        <v>212.81</v>
      </c>
    </row>
    <row r="230" spans="1:29" ht="14.25" x14ac:dyDescent="0.2">
      <c r="A230" s="27"/>
      <c r="B230" s="27"/>
      <c r="C230" s="27" t="s">
        <v>1612</v>
      </c>
      <c r="D230" s="28" t="s">
        <v>1599</v>
      </c>
      <c r="E230" s="12">
        <f>175</f>
        <v>175</v>
      </c>
      <c r="F230" s="30"/>
      <c r="G230" s="29"/>
      <c r="H230" s="12"/>
      <c r="I230" s="30">
        <f>SUM(U223:U229)</f>
        <v>15.82</v>
      </c>
      <c r="J230" s="12">
        <f>160</f>
        <v>160</v>
      </c>
      <c r="K230" s="30">
        <f>SUM(V223:V229)</f>
        <v>419.89</v>
      </c>
    </row>
    <row r="231" spans="1:29" ht="14.25" x14ac:dyDescent="0.2">
      <c r="A231" s="31"/>
      <c r="B231" s="31"/>
      <c r="C231" s="31" t="s">
        <v>1601</v>
      </c>
      <c r="D231" s="32" t="s">
        <v>1602</v>
      </c>
      <c r="E231" s="33">
        <f>Source!AQ178</f>
        <v>24.6</v>
      </c>
      <c r="F231" s="34"/>
      <c r="G231" s="35" t="str">
        <f>Source!DI178</f>
        <v/>
      </c>
      <c r="H231" s="33">
        <f>Source!AV179</f>
        <v>1</v>
      </c>
      <c r="I231" s="34">
        <f>Source!U178</f>
        <v>1.5990000000000002</v>
      </c>
      <c r="J231" s="33"/>
      <c r="K231" s="34"/>
    </row>
    <row r="232" spans="1:29" ht="15" x14ac:dyDescent="0.25">
      <c r="C232" s="22" t="s">
        <v>1603</v>
      </c>
      <c r="H232" s="104">
        <f>I224+I225+I228+I229+I230+SUM(I227:I227)-SUMIF(AC227:AC227, 5, I227:I227)-SUMIF(AC227:AC227, 6, I227:I227)</f>
        <v>88.1</v>
      </c>
      <c r="I232" s="104"/>
      <c r="J232" s="104">
        <f>K224+K225+K228+K229+K230+SUM(K227:K227)-SUMIF(AC227:AC227, 5, K227:K227)-SUMIF(AC227:AC227, 6, K227:K227)</f>
        <v>2012.4399999999996</v>
      </c>
      <c r="K232" s="104"/>
    </row>
    <row r="233" spans="1:29" ht="15" x14ac:dyDescent="0.25">
      <c r="C233" s="22" t="s">
        <v>1604</v>
      </c>
      <c r="H233" s="100">
        <f>SUMIF(AC227:AC227, 5, I227:I227)+SUMIF(AC227:AC227, 6, I227:I227)</f>
        <v>0</v>
      </c>
      <c r="I233" s="100"/>
      <c r="J233" s="100">
        <f>SUMIF(AC227:AC227, 5, K227:K227)+SUMIF(AC227:AC227, 6, K227:K227)</f>
        <v>0</v>
      </c>
      <c r="K233" s="100"/>
    </row>
    <row r="234" spans="1:29" ht="15" x14ac:dyDescent="0.25">
      <c r="C234" s="22" t="s">
        <v>1605</v>
      </c>
      <c r="H234" s="100">
        <f>I224+I225+I228+I229+I230+SUM(I227:I227)</f>
        <v>88.1</v>
      </c>
      <c r="I234" s="100"/>
      <c r="J234" s="100">
        <f>K224+K225+K228+K229+K230+SUM(K227:K227)</f>
        <v>2012.4399999999996</v>
      </c>
      <c r="K234" s="100"/>
      <c r="O234" s="36">
        <f>I224+I225+I228+I229+I230+SUM(I227:I227)</f>
        <v>88.1</v>
      </c>
      <c r="P234" s="36">
        <f>K224+K225+K228+K229+K230+SUM(K227:K227)</f>
        <v>2012.4399999999996</v>
      </c>
    </row>
    <row r="236" spans="1:29" ht="42.75" x14ac:dyDescent="0.2">
      <c r="A236" s="27">
        <v>10</v>
      </c>
      <c r="B236" s="27" t="str">
        <f>Source!F182</f>
        <v>6.57-2-16</v>
      </c>
      <c r="C236" s="27" t="s">
        <v>198</v>
      </c>
      <c r="D236" s="28" t="str">
        <f>Source!H182</f>
        <v>100 м2 покрытия</v>
      </c>
      <c r="E236" s="12">
        <f>Source!I182</f>
        <v>5.7000000000000002E-2</v>
      </c>
      <c r="F236" s="30"/>
      <c r="G236" s="29"/>
      <c r="H236" s="12"/>
      <c r="I236" s="30"/>
      <c r="J236" s="12"/>
      <c r="K236" s="30"/>
      <c r="Q236">
        <f>Source!X182</f>
        <v>6.12</v>
      </c>
      <c r="R236">
        <f>Source!X183</f>
        <v>155.46</v>
      </c>
      <c r="S236">
        <f>Source!Y182</f>
        <v>4.21</v>
      </c>
      <c r="T236">
        <f>Source!Y183</f>
        <v>91.05</v>
      </c>
      <c r="U236">
        <f>ROUND((175/100)*ROUND(Source!R182, 2), 2)</f>
        <v>0</v>
      </c>
      <c r="V236">
        <f>ROUND((160/100)*ROUND(Source!R183, 2), 2)</f>
        <v>0</v>
      </c>
      <c r="AC236">
        <v>0</v>
      </c>
    </row>
    <row r="237" spans="1:29" ht="14.25" x14ac:dyDescent="0.2">
      <c r="A237" s="27"/>
      <c r="B237" s="27"/>
      <c r="C237" s="27" t="s">
        <v>1597</v>
      </c>
      <c r="D237" s="28"/>
      <c r="E237" s="12"/>
      <c r="F237" s="30">
        <f>Source!AO182</f>
        <v>33.54</v>
      </c>
      <c r="G237" s="29" t="str">
        <f>Source!DG182</f>
        <v>)*4</v>
      </c>
      <c r="H237" s="12">
        <f>Source!AV183</f>
        <v>1</v>
      </c>
      <c r="I237" s="30">
        <f>Source!S182</f>
        <v>7.65</v>
      </c>
      <c r="J237" s="12">
        <f>IF(Source!BA183&lt;&gt; 0, Source!BA183, 1)</f>
        <v>29.03</v>
      </c>
      <c r="K237" s="30">
        <f>Source!S183</f>
        <v>222.08</v>
      </c>
    </row>
    <row r="238" spans="1:29" ht="28.5" x14ac:dyDescent="0.2">
      <c r="A238" s="27" t="s">
        <v>201</v>
      </c>
      <c r="B238" s="27" t="str">
        <f>Source!F184</f>
        <v>9999990001</v>
      </c>
      <c r="C238" s="27" t="s">
        <v>163</v>
      </c>
      <c r="D238" s="28" t="str">
        <f>Source!H184</f>
        <v>т</v>
      </c>
      <c r="E238" s="12">
        <f>Source!I184</f>
        <v>-0.25080000000000002</v>
      </c>
      <c r="F238" s="30">
        <f>Source!AK184</f>
        <v>0</v>
      </c>
      <c r="G238" s="39" t="s">
        <v>1622</v>
      </c>
      <c r="H238" s="12">
        <f>Source!AW185</f>
        <v>1</v>
      </c>
      <c r="I238" s="30">
        <f>Source!O184</f>
        <v>0</v>
      </c>
      <c r="J238" s="12">
        <f>IF(Source!BC185&lt;&gt; 0, Source!BC185, 1)</f>
        <v>8.65</v>
      </c>
      <c r="K238" s="30">
        <f>Source!O185</f>
        <v>0</v>
      </c>
      <c r="Q238">
        <f>Source!X184</f>
        <v>0</v>
      </c>
      <c r="R238">
        <f>Source!X185</f>
        <v>0</v>
      </c>
      <c r="S238">
        <f>Source!Y184</f>
        <v>0</v>
      </c>
      <c r="T238">
        <f>Source!Y185</f>
        <v>0</v>
      </c>
      <c r="U238">
        <f>ROUND((175/100)*ROUND(Source!R184, 2), 2)</f>
        <v>0</v>
      </c>
      <c r="V238">
        <f>ROUND((160/100)*ROUND(Source!R185, 2), 2)</f>
        <v>0</v>
      </c>
      <c r="AC238">
        <v>3</v>
      </c>
    </row>
    <row r="239" spans="1:29" ht="14.25" x14ac:dyDescent="0.2">
      <c r="A239" s="27"/>
      <c r="B239" s="27"/>
      <c r="C239" s="27" t="s">
        <v>1598</v>
      </c>
      <c r="D239" s="28" t="s">
        <v>1599</v>
      </c>
      <c r="E239" s="12">
        <f>Source!DN183</f>
        <v>80</v>
      </c>
      <c r="F239" s="30"/>
      <c r="G239" s="29"/>
      <c r="H239" s="12"/>
      <c r="I239" s="30">
        <f>SUM(Q236:Q238)</f>
        <v>6.12</v>
      </c>
      <c r="J239" s="12">
        <f>Source!BZ183</f>
        <v>70</v>
      </c>
      <c r="K239" s="30">
        <f>SUM(R236:R238)</f>
        <v>155.46</v>
      </c>
    </row>
    <row r="240" spans="1:29" ht="14.25" x14ac:dyDescent="0.2">
      <c r="A240" s="27"/>
      <c r="B240" s="27"/>
      <c r="C240" s="27" t="s">
        <v>1600</v>
      </c>
      <c r="D240" s="28" t="s">
        <v>1599</v>
      </c>
      <c r="E240" s="12">
        <f>Source!DO183</f>
        <v>55</v>
      </c>
      <c r="F240" s="30"/>
      <c r="G240" s="29"/>
      <c r="H240" s="12"/>
      <c r="I240" s="30">
        <f>SUM(S236:S239)</f>
        <v>4.21</v>
      </c>
      <c r="J240" s="12">
        <f>Source!CA183</f>
        <v>41</v>
      </c>
      <c r="K240" s="30">
        <f>SUM(T236:T239)</f>
        <v>91.05</v>
      </c>
    </row>
    <row r="241" spans="1:29" ht="14.25" x14ac:dyDescent="0.2">
      <c r="A241" s="31"/>
      <c r="B241" s="31"/>
      <c r="C241" s="31" t="s">
        <v>1601</v>
      </c>
      <c r="D241" s="32" t="s">
        <v>1602</v>
      </c>
      <c r="E241" s="33">
        <f>Source!AQ182</f>
        <v>3</v>
      </c>
      <c r="F241" s="34"/>
      <c r="G241" s="35" t="str">
        <f>Source!DI182</f>
        <v>)*4</v>
      </c>
      <c r="H241" s="33">
        <f>Source!AV183</f>
        <v>1</v>
      </c>
      <c r="I241" s="34">
        <f>Source!U182</f>
        <v>0.68400000000000005</v>
      </c>
      <c r="J241" s="33"/>
      <c r="K241" s="34"/>
    </row>
    <row r="242" spans="1:29" ht="15" x14ac:dyDescent="0.25">
      <c r="C242" s="22" t="s">
        <v>1603</v>
      </c>
      <c r="H242" s="104">
        <f>I237+I239+I240+SUM(I238:I238)-SUMIF(AC238:AC238, 5, I238:I238)-SUMIF(AC238:AC238, 6, I238:I238)</f>
        <v>17.98</v>
      </c>
      <c r="I242" s="104"/>
      <c r="J242" s="104">
        <f>K237+K239+K240+SUM(K238:K238)-SUMIF(AC238:AC238, 5, K238:K238)-SUMIF(AC238:AC238, 6, K238:K238)</f>
        <v>468.59000000000003</v>
      </c>
      <c r="K242" s="104"/>
    </row>
    <row r="243" spans="1:29" ht="15" x14ac:dyDescent="0.25">
      <c r="C243" s="22" t="s">
        <v>1604</v>
      </c>
      <c r="H243" s="100">
        <f>SUMIF(AC238:AC238, 5, I238:I238)+SUMIF(AC238:AC238, 6, I238:I238)</f>
        <v>0</v>
      </c>
      <c r="I243" s="100"/>
      <c r="J243" s="100">
        <f>SUMIF(AC238:AC238, 5, K238:K238)+SUMIF(AC238:AC238, 6, K238:K238)</f>
        <v>0</v>
      </c>
      <c r="K243" s="100"/>
    </row>
    <row r="244" spans="1:29" ht="15" x14ac:dyDescent="0.25">
      <c r="C244" s="22" t="s">
        <v>1605</v>
      </c>
      <c r="H244" s="100">
        <f>I237+I239+I240+SUM(I238:I238)</f>
        <v>17.98</v>
      </c>
      <c r="I244" s="100"/>
      <c r="J244" s="100">
        <f>K237+K239+K240+SUM(K238:K238)</f>
        <v>468.59000000000003</v>
      </c>
      <c r="K244" s="100"/>
      <c r="O244" s="36">
        <f>I237+I239+I240+SUM(I238:I238)</f>
        <v>17.98</v>
      </c>
      <c r="P244" s="36">
        <f>K237+K239+K240+SUM(K238:K238)</f>
        <v>468.59000000000003</v>
      </c>
    </row>
    <row r="246" spans="1:29" ht="28.5" x14ac:dyDescent="0.2">
      <c r="A246" s="27">
        <v>11</v>
      </c>
      <c r="B246" s="27" t="str">
        <f>Source!F186</f>
        <v>6.63-7-5</v>
      </c>
      <c r="C246" s="27" t="s">
        <v>204</v>
      </c>
      <c r="D246" s="28" t="str">
        <f>Source!H186</f>
        <v>100 м2 облицовки</v>
      </c>
      <c r="E246" s="12">
        <f>Source!I186</f>
        <v>0.21099999999999999</v>
      </c>
      <c r="F246" s="30"/>
      <c r="G246" s="29"/>
      <c r="H246" s="12"/>
      <c r="I246" s="30"/>
      <c r="J246" s="12"/>
      <c r="K246" s="30"/>
      <c r="Q246">
        <f>Source!X186</f>
        <v>131.94</v>
      </c>
      <c r="R246">
        <f>Source!X187</f>
        <v>3351.54</v>
      </c>
      <c r="S246">
        <f>Source!Y186</f>
        <v>90.71</v>
      </c>
      <c r="T246">
        <f>Source!Y187</f>
        <v>1963.05</v>
      </c>
      <c r="U246">
        <f>ROUND((175/100)*ROUND(Source!R186, 2), 2)</f>
        <v>0</v>
      </c>
      <c r="V246">
        <f>ROUND((160/100)*ROUND(Source!R187, 2), 2)</f>
        <v>0</v>
      </c>
      <c r="AC246">
        <v>0</v>
      </c>
    </row>
    <row r="247" spans="1:29" ht="14.25" x14ac:dyDescent="0.2">
      <c r="A247" s="27"/>
      <c r="B247" s="27"/>
      <c r="C247" s="27" t="s">
        <v>1597</v>
      </c>
      <c r="D247" s="28"/>
      <c r="E247" s="12"/>
      <c r="F247" s="30">
        <f>Source!AO186</f>
        <v>781.64</v>
      </c>
      <c r="G247" s="29" t="str">
        <f>Source!DG186</f>
        <v/>
      </c>
      <c r="H247" s="12">
        <f>Source!AV187</f>
        <v>1</v>
      </c>
      <c r="I247" s="30">
        <f>Source!S186</f>
        <v>164.93</v>
      </c>
      <c r="J247" s="12">
        <f>IF(Source!BA187&lt;&gt; 0, Source!BA187, 1)</f>
        <v>29.03</v>
      </c>
      <c r="K247" s="30">
        <f>Source!S187</f>
        <v>4787.92</v>
      </c>
    </row>
    <row r="248" spans="1:29" ht="79.5" x14ac:dyDescent="0.2">
      <c r="A248" s="27" t="s">
        <v>209</v>
      </c>
      <c r="B248" s="27" t="s">
        <v>1623</v>
      </c>
      <c r="C248" s="27" t="s">
        <v>163</v>
      </c>
      <c r="D248" s="28" t="str">
        <f>Source!H188</f>
        <v>т</v>
      </c>
      <c r="E248" s="12">
        <f>Source!I188</f>
        <v>-0.93050999999999995</v>
      </c>
      <c r="F248" s="30">
        <f>Source!AK188</f>
        <v>0</v>
      </c>
      <c r="G248" s="39" t="s">
        <v>3</v>
      </c>
      <c r="H248" s="12">
        <f>Source!AW189</f>
        <v>1</v>
      </c>
      <c r="I248" s="30">
        <f>Source!O188</f>
        <v>0</v>
      </c>
      <c r="J248" s="12">
        <f>IF(Source!BC189&lt;&gt; 0, Source!BC189, 1)</f>
        <v>8.65</v>
      </c>
      <c r="K248" s="30">
        <f>Source!O189</f>
        <v>0</v>
      </c>
      <c r="Q248">
        <f>Source!X188</f>
        <v>0</v>
      </c>
      <c r="R248">
        <f>Source!X189</f>
        <v>0</v>
      </c>
      <c r="S248">
        <f>Source!Y188</f>
        <v>0</v>
      </c>
      <c r="T248">
        <f>Source!Y189</f>
        <v>0</v>
      </c>
      <c r="U248">
        <f>ROUND((175/100)*ROUND(Source!R188, 2), 2)</f>
        <v>0</v>
      </c>
      <c r="V248">
        <f>ROUND((160/100)*ROUND(Source!R189, 2), 2)</f>
        <v>0</v>
      </c>
      <c r="AC248">
        <v>3</v>
      </c>
    </row>
    <row r="249" spans="1:29" ht="14.25" x14ac:dyDescent="0.2">
      <c r="A249" s="27"/>
      <c r="B249" s="27"/>
      <c r="C249" s="27" t="s">
        <v>1598</v>
      </c>
      <c r="D249" s="28" t="s">
        <v>1599</v>
      </c>
      <c r="E249" s="12">
        <f>Source!DN187</f>
        <v>80</v>
      </c>
      <c r="F249" s="30"/>
      <c r="G249" s="29"/>
      <c r="H249" s="12"/>
      <c r="I249" s="30">
        <f>SUM(Q246:Q248)</f>
        <v>131.94</v>
      </c>
      <c r="J249" s="12">
        <f>Source!BZ187</f>
        <v>70</v>
      </c>
      <c r="K249" s="30">
        <f>SUM(R246:R248)</f>
        <v>3351.54</v>
      </c>
    </row>
    <row r="250" spans="1:29" ht="14.25" x14ac:dyDescent="0.2">
      <c r="A250" s="27"/>
      <c r="B250" s="27"/>
      <c r="C250" s="27" t="s">
        <v>1600</v>
      </c>
      <c r="D250" s="28" t="s">
        <v>1599</v>
      </c>
      <c r="E250" s="12">
        <f>Source!DO187</f>
        <v>55</v>
      </c>
      <c r="F250" s="30"/>
      <c r="G250" s="29"/>
      <c r="H250" s="12"/>
      <c r="I250" s="30">
        <f>SUM(S246:S249)</f>
        <v>90.71</v>
      </c>
      <c r="J250" s="12">
        <f>Source!CA187</f>
        <v>41</v>
      </c>
      <c r="K250" s="30">
        <f>SUM(T246:T249)</f>
        <v>1963.05</v>
      </c>
    </row>
    <row r="251" spans="1:29" ht="14.25" x14ac:dyDescent="0.2">
      <c r="A251" s="31"/>
      <c r="B251" s="31"/>
      <c r="C251" s="31" t="s">
        <v>1601</v>
      </c>
      <c r="D251" s="32" t="s">
        <v>1602</v>
      </c>
      <c r="E251" s="33">
        <f>Source!AQ186</f>
        <v>74.3</v>
      </c>
      <c r="F251" s="34"/>
      <c r="G251" s="35" t="str">
        <f>Source!DI186</f>
        <v/>
      </c>
      <c r="H251" s="33">
        <f>Source!AV187</f>
        <v>1</v>
      </c>
      <c r="I251" s="34">
        <f>Source!U186</f>
        <v>15.677299999999999</v>
      </c>
      <c r="J251" s="33"/>
      <c r="K251" s="34"/>
    </row>
    <row r="252" spans="1:29" ht="15" x14ac:dyDescent="0.25">
      <c r="C252" s="22" t="s">
        <v>1603</v>
      </c>
      <c r="H252" s="104">
        <f>I247+I249+I250+SUM(I248:I248)-SUMIF(AC248:AC248, 5, I248:I248)-SUMIF(AC248:AC248, 6, I248:I248)</f>
        <v>387.58</v>
      </c>
      <c r="I252" s="104"/>
      <c r="J252" s="104">
        <f>K247+K249+K250+SUM(K248:K248)-SUMIF(AC248:AC248, 5, K248:K248)-SUMIF(AC248:AC248, 6, K248:K248)</f>
        <v>10102.51</v>
      </c>
      <c r="K252" s="104"/>
    </row>
    <row r="253" spans="1:29" ht="15" x14ac:dyDescent="0.25">
      <c r="C253" s="22" t="s">
        <v>1604</v>
      </c>
      <c r="H253" s="100">
        <f>SUMIF(AC248:AC248, 5, I248:I248)+SUMIF(AC248:AC248, 6, I248:I248)</f>
        <v>0</v>
      </c>
      <c r="I253" s="100"/>
      <c r="J253" s="100">
        <f>SUMIF(AC248:AC248, 5, K248:K248)+SUMIF(AC248:AC248, 6, K248:K248)</f>
        <v>0</v>
      </c>
      <c r="K253" s="100"/>
    </row>
    <row r="254" spans="1:29" ht="15" x14ac:dyDescent="0.25">
      <c r="C254" s="22" t="s">
        <v>1605</v>
      </c>
      <c r="H254" s="100">
        <f>I247+I249+I250+SUM(I248:I248)</f>
        <v>387.58</v>
      </c>
      <c r="I254" s="100"/>
      <c r="J254" s="100">
        <f>K247+K249+K250+SUM(K248:K248)</f>
        <v>10102.51</v>
      </c>
      <c r="K254" s="100"/>
      <c r="O254" s="36">
        <f>I247+I249+I250+SUM(I248:I248)</f>
        <v>387.58</v>
      </c>
      <c r="P254" s="36">
        <f>K247+K249+K250+SUM(K248:K248)</f>
        <v>10102.51</v>
      </c>
    </row>
    <row r="256" spans="1:29" ht="28.5" x14ac:dyDescent="0.2">
      <c r="A256" s="27">
        <v>12</v>
      </c>
      <c r="B256" s="27" t="str">
        <f>Source!F190</f>
        <v>6.54-1-6</v>
      </c>
      <c r="C256" s="27" t="s">
        <v>214</v>
      </c>
      <c r="D256" s="28" t="str">
        <f>Source!H190</f>
        <v>100 м2</v>
      </c>
      <c r="E256" s="12">
        <f>Source!I190</f>
        <v>0.8</v>
      </c>
      <c r="F256" s="30"/>
      <c r="G256" s="29"/>
      <c r="H256" s="12"/>
      <c r="I256" s="30"/>
      <c r="J256" s="12"/>
      <c r="K256" s="30"/>
      <c r="Q256">
        <f>Source!X190</f>
        <v>424.54</v>
      </c>
      <c r="R256">
        <f>Source!X191</f>
        <v>10783.95</v>
      </c>
      <c r="S256">
        <f>Source!Y190</f>
        <v>291.87</v>
      </c>
      <c r="T256">
        <f>Source!Y191</f>
        <v>6316.31</v>
      </c>
      <c r="U256">
        <f>ROUND((175/100)*ROUND(Source!R190, 2), 2)</f>
        <v>1.84</v>
      </c>
      <c r="V256">
        <f>ROUND((160/100)*ROUND(Source!R191, 2), 2)</f>
        <v>48.77</v>
      </c>
      <c r="AC256">
        <v>0</v>
      </c>
    </row>
    <row r="257" spans="1:16" ht="14.25" x14ac:dyDescent="0.2">
      <c r="A257" s="27"/>
      <c r="B257" s="27"/>
      <c r="C257" s="27" t="s">
        <v>1597</v>
      </c>
      <c r="D257" s="28"/>
      <c r="E257" s="12"/>
      <c r="F257" s="30">
        <f>Source!AO190</f>
        <v>663.35</v>
      </c>
      <c r="G257" s="29" t="str">
        <f>Source!DG190</f>
        <v/>
      </c>
      <c r="H257" s="12">
        <f>Source!AV191</f>
        <v>1</v>
      </c>
      <c r="I257" s="30">
        <f>Source!S190</f>
        <v>530.67999999999995</v>
      </c>
      <c r="J257" s="12">
        <f>IF(Source!BA191&lt;&gt; 0, Source!BA191, 1)</f>
        <v>29.03</v>
      </c>
      <c r="K257" s="30">
        <f>Source!S191</f>
        <v>15405.64</v>
      </c>
    </row>
    <row r="258" spans="1:16" ht="14.25" x14ac:dyDescent="0.2">
      <c r="A258" s="27"/>
      <c r="B258" s="27"/>
      <c r="C258" s="27" t="s">
        <v>1609</v>
      </c>
      <c r="D258" s="28"/>
      <c r="E258" s="12"/>
      <c r="F258" s="30">
        <f>Source!AM190</f>
        <v>2.5</v>
      </c>
      <c r="G258" s="29" t="str">
        <f>Source!DE190</f>
        <v/>
      </c>
      <c r="H258" s="12">
        <f>Source!AV191</f>
        <v>1</v>
      </c>
      <c r="I258" s="30">
        <f>Source!Q190</f>
        <v>2</v>
      </c>
      <c r="J258" s="12">
        <f>IF(Source!BB191&lt;&gt; 0, Source!BB191, 1)</f>
        <v>19.32</v>
      </c>
      <c r="K258" s="30">
        <f>Source!Q191</f>
        <v>38.64</v>
      </c>
    </row>
    <row r="259" spans="1:16" ht="14.25" x14ac:dyDescent="0.2">
      <c r="A259" s="27"/>
      <c r="B259" s="27"/>
      <c r="C259" s="27" t="s">
        <v>1610</v>
      </c>
      <c r="D259" s="28"/>
      <c r="E259" s="12"/>
      <c r="F259" s="30">
        <f>Source!AN190</f>
        <v>1.31</v>
      </c>
      <c r="G259" s="29" t="str">
        <f>Source!DF190</f>
        <v/>
      </c>
      <c r="H259" s="12">
        <f>Source!AV191</f>
        <v>1</v>
      </c>
      <c r="I259" s="38">
        <f>Source!R190</f>
        <v>1.05</v>
      </c>
      <c r="J259" s="12">
        <f>IF(Source!BS191&lt;&gt; 0, Source!BS191, 1)</f>
        <v>29.03</v>
      </c>
      <c r="K259" s="38">
        <f>Source!R191</f>
        <v>30.48</v>
      </c>
    </row>
    <row r="260" spans="1:16" ht="14.25" x14ac:dyDescent="0.2">
      <c r="A260" s="27"/>
      <c r="B260" s="27"/>
      <c r="C260" s="27" t="s">
        <v>1598</v>
      </c>
      <c r="D260" s="28" t="s">
        <v>1599</v>
      </c>
      <c r="E260" s="12">
        <f>Source!DN191</f>
        <v>80</v>
      </c>
      <c r="F260" s="30"/>
      <c r="G260" s="29"/>
      <c r="H260" s="12"/>
      <c r="I260" s="30">
        <f>SUM(Q256:Q259)</f>
        <v>424.54</v>
      </c>
      <c r="J260" s="12">
        <f>Source!BZ191</f>
        <v>70</v>
      </c>
      <c r="K260" s="30">
        <f>SUM(R256:R259)</f>
        <v>10783.95</v>
      </c>
    </row>
    <row r="261" spans="1:16" ht="14.25" x14ac:dyDescent="0.2">
      <c r="A261" s="27"/>
      <c r="B261" s="27"/>
      <c r="C261" s="27" t="s">
        <v>1600</v>
      </c>
      <c r="D261" s="28" t="s">
        <v>1599</v>
      </c>
      <c r="E261" s="12">
        <f>Source!DO191</f>
        <v>55</v>
      </c>
      <c r="F261" s="30"/>
      <c r="G261" s="29"/>
      <c r="H261" s="12"/>
      <c r="I261" s="30">
        <f>SUM(S256:S260)</f>
        <v>291.87</v>
      </c>
      <c r="J261" s="12">
        <f>Source!CA191</f>
        <v>41</v>
      </c>
      <c r="K261" s="30">
        <f>SUM(T256:T260)</f>
        <v>6316.31</v>
      </c>
    </row>
    <row r="262" spans="1:16" ht="14.25" x14ac:dyDescent="0.2">
      <c r="A262" s="27"/>
      <c r="B262" s="27"/>
      <c r="C262" s="27" t="s">
        <v>1612</v>
      </c>
      <c r="D262" s="28" t="s">
        <v>1599</v>
      </c>
      <c r="E262" s="12">
        <f>175</f>
        <v>175</v>
      </c>
      <c r="F262" s="30"/>
      <c r="G262" s="29"/>
      <c r="H262" s="12"/>
      <c r="I262" s="30">
        <f>SUM(U256:U261)</f>
        <v>1.84</v>
      </c>
      <c r="J262" s="12">
        <f>160</f>
        <v>160</v>
      </c>
      <c r="K262" s="30">
        <f>SUM(V256:V261)</f>
        <v>48.77</v>
      </c>
    </row>
    <row r="263" spans="1:16" ht="14.25" x14ac:dyDescent="0.2">
      <c r="A263" s="31"/>
      <c r="B263" s="31"/>
      <c r="C263" s="31" t="s">
        <v>1601</v>
      </c>
      <c r="D263" s="32" t="s">
        <v>1602</v>
      </c>
      <c r="E263" s="33">
        <f>Source!AQ190</f>
        <v>58.6</v>
      </c>
      <c r="F263" s="34"/>
      <c r="G263" s="35" t="str">
        <f>Source!DI190</f>
        <v/>
      </c>
      <c r="H263" s="33">
        <f>Source!AV191</f>
        <v>1</v>
      </c>
      <c r="I263" s="34">
        <f>Source!U190</f>
        <v>46.88</v>
      </c>
      <c r="J263" s="33"/>
      <c r="K263" s="34"/>
    </row>
    <row r="264" spans="1:16" ht="15" x14ac:dyDescent="0.25">
      <c r="C264" s="22" t="s">
        <v>1603</v>
      </c>
      <c r="H264" s="104">
        <f>I257+I258+I260+I261+I262+0-0-0</f>
        <v>1250.93</v>
      </c>
      <c r="I264" s="104"/>
      <c r="J264" s="104">
        <f>K257+K258+K260+K261+K262+0-0-0</f>
        <v>32593.31</v>
      </c>
      <c r="K264" s="104"/>
    </row>
    <row r="265" spans="1:16" ht="15" x14ac:dyDescent="0.25">
      <c r="C265" s="22" t="s">
        <v>1604</v>
      </c>
      <c r="H265" s="100">
        <f>0+0</f>
        <v>0</v>
      </c>
      <c r="I265" s="100"/>
      <c r="J265" s="100">
        <f>0+0</f>
        <v>0</v>
      </c>
      <c r="K265" s="100"/>
    </row>
    <row r="266" spans="1:16" ht="15" x14ac:dyDescent="0.25">
      <c r="C266" s="22" t="s">
        <v>1605</v>
      </c>
      <c r="H266" s="100">
        <f>I257+I258+I260+I261+I262+0</f>
        <v>1250.93</v>
      </c>
      <c r="I266" s="100"/>
      <c r="J266" s="100">
        <f>K257+K258+K260+K261+K262+0</f>
        <v>32593.31</v>
      </c>
      <c r="K266" s="100"/>
      <c r="O266" s="36">
        <f>I257+I258+I260+I261+I262+0</f>
        <v>1250.93</v>
      </c>
      <c r="P266" s="36">
        <f>K257+K258+K260+K261+K262+0</f>
        <v>32593.31</v>
      </c>
    </row>
    <row r="269" spans="1:16" ht="15" x14ac:dyDescent="0.25">
      <c r="A269" s="102" t="str">
        <f>CONCATENATE("Итого по разделу: ",IF(Source!G193&lt;&gt;"Новый раздел", Source!G193, ""))</f>
        <v>Итого по разделу: Демонтажные работы</v>
      </c>
      <c r="B269" s="102"/>
      <c r="C269" s="102"/>
      <c r="D269" s="102"/>
      <c r="E269" s="102"/>
      <c r="F269" s="102"/>
      <c r="G269" s="102"/>
      <c r="H269" s="100">
        <f>SUM(O129:O268)</f>
        <v>11398.33</v>
      </c>
      <c r="I269" s="101"/>
      <c r="J269" s="100">
        <f>SUM(P129:P268)</f>
        <v>262924.22000000003</v>
      </c>
      <c r="K269" s="101"/>
    </row>
    <row r="270" spans="1:16" hidden="1" x14ac:dyDescent="0.2">
      <c r="A270" t="s">
        <v>1606</v>
      </c>
      <c r="I270">
        <f>SUM(W129:W269)</f>
        <v>0</v>
      </c>
      <c r="J270">
        <f>SUM(X129:X269)</f>
        <v>0</v>
      </c>
    </row>
    <row r="271" spans="1:16" hidden="1" x14ac:dyDescent="0.2">
      <c r="A271" t="s">
        <v>1607</v>
      </c>
      <c r="I271">
        <f>SUM(Y129:Y270)</f>
        <v>0</v>
      </c>
      <c r="J271">
        <f>SUM(Z129:Z270)</f>
        <v>0</v>
      </c>
    </row>
    <row r="273" spans="1:29" ht="16.5" x14ac:dyDescent="0.25">
      <c r="A273" s="103" t="str">
        <f>CONCATENATE("Раздел: ",IF(Source!G223&lt;&gt;"Новый раздел", Source!G223, ""))</f>
        <v>Раздел: Монтажные работы</v>
      </c>
      <c r="B273" s="103"/>
      <c r="C273" s="103"/>
      <c r="D273" s="103"/>
      <c r="E273" s="103"/>
      <c r="F273" s="103"/>
      <c r="G273" s="103"/>
      <c r="H273" s="103"/>
      <c r="I273" s="103"/>
      <c r="J273" s="103"/>
      <c r="K273" s="103"/>
    </row>
    <row r="274" spans="1:29" ht="28.5" x14ac:dyDescent="0.2">
      <c r="A274" s="27">
        <v>13</v>
      </c>
      <c r="B274" s="27" t="str">
        <f>Source!F227</f>
        <v>6.56-36-2</v>
      </c>
      <c r="C274" s="27" t="s">
        <v>220</v>
      </c>
      <c r="D274" s="28" t="str">
        <f>Source!H227</f>
        <v>1 м2</v>
      </c>
      <c r="E274" s="12">
        <f>Source!I227</f>
        <v>3.6539999999999999</v>
      </c>
      <c r="F274" s="30"/>
      <c r="G274" s="29"/>
      <c r="H274" s="12"/>
      <c r="I274" s="30"/>
      <c r="J274" s="12"/>
      <c r="K274" s="30"/>
      <c r="Q274">
        <f>Source!X227</f>
        <v>90.72</v>
      </c>
      <c r="R274">
        <f>Source!X228</f>
        <v>2168.86</v>
      </c>
      <c r="S274">
        <f>Source!Y227</f>
        <v>74.709999999999994</v>
      </c>
      <c r="T274">
        <f>Source!Y228</f>
        <v>1270.33</v>
      </c>
      <c r="U274">
        <f>ROUND((175/100)*ROUND(Source!R227, 2), 2)</f>
        <v>4.99</v>
      </c>
      <c r="V274">
        <f>ROUND((160/100)*ROUND(Source!R228, 2), 2)</f>
        <v>132.38</v>
      </c>
      <c r="AC274">
        <v>0</v>
      </c>
    </row>
    <row r="275" spans="1:29" ht="14.25" x14ac:dyDescent="0.2">
      <c r="A275" s="27"/>
      <c r="B275" s="27"/>
      <c r="C275" s="27" t="s">
        <v>1597</v>
      </c>
      <c r="D275" s="28"/>
      <c r="E275" s="12"/>
      <c r="F275" s="30">
        <f>Source!AO227</f>
        <v>29.21</v>
      </c>
      <c r="G275" s="29" t="str">
        <f>Source!DG227</f>
        <v/>
      </c>
      <c r="H275" s="12">
        <f>Source!AV228</f>
        <v>1</v>
      </c>
      <c r="I275" s="30">
        <f>Source!S227</f>
        <v>106.73</v>
      </c>
      <c r="J275" s="12">
        <f>IF(Source!BA228&lt;&gt; 0, Source!BA228, 1)</f>
        <v>29.03</v>
      </c>
      <c r="K275" s="30">
        <f>Source!S228</f>
        <v>3098.37</v>
      </c>
    </row>
    <row r="276" spans="1:29" ht="14.25" x14ac:dyDescent="0.2">
      <c r="A276" s="27"/>
      <c r="B276" s="27"/>
      <c r="C276" s="27" t="s">
        <v>1609</v>
      </c>
      <c r="D276" s="28"/>
      <c r="E276" s="12"/>
      <c r="F276" s="30">
        <f>Source!AM227</f>
        <v>12.76</v>
      </c>
      <c r="G276" s="29" t="str">
        <f>Source!DE227</f>
        <v/>
      </c>
      <c r="H276" s="12">
        <f>Source!AV228</f>
        <v>1</v>
      </c>
      <c r="I276" s="30">
        <f>Source!Q227</f>
        <v>46.63</v>
      </c>
      <c r="J276" s="12">
        <f>IF(Source!BB228&lt;&gt; 0, Source!BB228, 1)</f>
        <v>8.91</v>
      </c>
      <c r="K276" s="30">
        <f>Source!Q228</f>
        <v>415.47</v>
      </c>
    </row>
    <row r="277" spans="1:29" ht="14.25" x14ac:dyDescent="0.2">
      <c r="A277" s="27"/>
      <c r="B277" s="27"/>
      <c r="C277" s="27" t="s">
        <v>1610</v>
      </c>
      <c r="D277" s="28"/>
      <c r="E277" s="12"/>
      <c r="F277" s="30">
        <f>Source!AN227</f>
        <v>0.78</v>
      </c>
      <c r="G277" s="29" t="str">
        <f>Source!DF227</f>
        <v/>
      </c>
      <c r="H277" s="12">
        <f>Source!AV228</f>
        <v>1</v>
      </c>
      <c r="I277" s="38">
        <f>Source!R227</f>
        <v>2.85</v>
      </c>
      <c r="J277" s="12">
        <f>IF(Source!BS228&lt;&gt; 0, Source!BS228, 1)</f>
        <v>29.03</v>
      </c>
      <c r="K277" s="38">
        <f>Source!R228</f>
        <v>82.74</v>
      </c>
    </row>
    <row r="278" spans="1:29" ht="14.25" x14ac:dyDescent="0.2">
      <c r="A278" s="27"/>
      <c r="B278" s="27"/>
      <c r="C278" s="27" t="s">
        <v>1611</v>
      </c>
      <c r="D278" s="28"/>
      <c r="E278" s="12"/>
      <c r="F278" s="30">
        <f>Source!AL227</f>
        <v>23.49</v>
      </c>
      <c r="G278" s="29" t="str">
        <f>Source!DD227</f>
        <v/>
      </c>
      <c r="H278" s="12">
        <f>Source!AW228</f>
        <v>1</v>
      </c>
      <c r="I278" s="30">
        <f>Source!P227</f>
        <v>85.83</v>
      </c>
      <c r="J278" s="12">
        <f>IF(Source!BC228&lt;&gt; 0, Source!BC228, 1)</f>
        <v>6.42</v>
      </c>
      <c r="K278" s="30">
        <f>Source!P228</f>
        <v>551.03</v>
      </c>
    </row>
    <row r="279" spans="1:29" ht="142.5" x14ac:dyDescent="0.2">
      <c r="A279" s="27" t="s">
        <v>225</v>
      </c>
      <c r="B279" s="27" t="str">
        <f>Source!F229</f>
        <v>1.7-2-135</v>
      </c>
      <c r="C279" s="27" t="s">
        <v>1560</v>
      </c>
      <c r="D279" s="28" t="str">
        <f>Source!H229</f>
        <v>т</v>
      </c>
      <c r="E279" s="12">
        <f>Source!I229</f>
        <v>0.1353</v>
      </c>
      <c r="F279" s="30">
        <f>Source!AK229</f>
        <v>52930.78</v>
      </c>
      <c r="G279" s="39" t="s">
        <v>3</v>
      </c>
      <c r="H279" s="12">
        <f>Source!AW230</f>
        <v>1</v>
      </c>
      <c r="I279" s="30">
        <f>Source!O229</f>
        <v>7161.53</v>
      </c>
      <c r="J279" s="12">
        <f>IF(Source!BC230&lt;&gt; 0, Source!BC230, 1)</f>
        <v>4.24</v>
      </c>
      <c r="K279" s="30">
        <f>Source!O230</f>
        <v>30364.89</v>
      </c>
      <c r="Q279">
        <f>Source!X229</f>
        <v>0</v>
      </c>
      <c r="R279">
        <f>Source!X230</f>
        <v>0</v>
      </c>
      <c r="S279">
        <f>Source!Y229</f>
        <v>0</v>
      </c>
      <c r="T279">
        <f>Source!Y230</f>
        <v>0</v>
      </c>
      <c r="U279">
        <f>ROUND((175/100)*ROUND(Source!R229, 2), 2)</f>
        <v>0</v>
      </c>
      <c r="V279">
        <f>ROUND((160/100)*ROUND(Source!R230, 2), 2)</f>
        <v>0</v>
      </c>
      <c r="AC279">
        <v>3</v>
      </c>
    </row>
    <row r="280" spans="1:29" ht="14.25" x14ac:dyDescent="0.2">
      <c r="A280" s="27"/>
      <c r="B280" s="27"/>
      <c r="C280" s="27" t="s">
        <v>1598</v>
      </c>
      <c r="D280" s="28" t="s">
        <v>1599</v>
      </c>
      <c r="E280" s="12">
        <f>Source!DN228</f>
        <v>85</v>
      </c>
      <c r="F280" s="30"/>
      <c r="G280" s="29"/>
      <c r="H280" s="12"/>
      <c r="I280" s="30">
        <f>SUM(Q274:Q279)</f>
        <v>90.72</v>
      </c>
      <c r="J280" s="12">
        <f>Source!BZ228</f>
        <v>70</v>
      </c>
      <c r="K280" s="30">
        <f>SUM(R274:R279)</f>
        <v>2168.86</v>
      </c>
    </row>
    <row r="281" spans="1:29" ht="14.25" x14ac:dyDescent="0.2">
      <c r="A281" s="27"/>
      <c r="B281" s="27"/>
      <c r="C281" s="27" t="s">
        <v>1600</v>
      </c>
      <c r="D281" s="28" t="s">
        <v>1599</v>
      </c>
      <c r="E281" s="12">
        <f>Source!DO228</f>
        <v>70</v>
      </c>
      <c r="F281" s="30"/>
      <c r="G281" s="29"/>
      <c r="H281" s="12"/>
      <c r="I281" s="30">
        <f>SUM(S274:S280)</f>
        <v>74.709999999999994</v>
      </c>
      <c r="J281" s="12">
        <f>Source!CA228</f>
        <v>41</v>
      </c>
      <c r="K281" s="30">
        <f>SUM(T274:T280)</f>
        <v>1270.33</v>
      </c>
    </row>
    <row r="282" spans="1:29" ht="14.25" x14ac:dyDescent="0.2">
      <c r="A282" s="27"/>
      <c r="B282" s="27"/>
      <c r="C282" s="27" t="s">
        <v>1612</v>
      </c>
      <c r="D282" s="28" t="s">
        <v>1599</v>
      </c>
      <c r="E282" s="12">
        <f>175</f>
        <v>175</v>
      </c>
      <c r="F282" s="30"/>
      <c r="G282" s="29"/>
      <c r="H282" s="12"/>
      <c r="I282" s="30">
        <f>SUM(U274:U281)</f>
        <v>4.99</v>
      </c>
      <c r="J282" s="12">
        <f>160</f>
        <v>160</v>
      </c>
      <c r="K282" s="30">
        <f>SUM(V274:V281)</f>
        <v>132.38</v>
      </c>
    </row>
    <row r="283" spans="1:29" ht="14.25" x14ac:dyDescent="0.2">
      <c r="A283" s="31"/>
      <c r="B283" s="31"/>
      <c r="C283" s="31" t="s">
        <v>1601</v>
      </c>
      <c r="D283" s="32" t="s">
        <v>1602</v>
      </c>
      <c r="E283" s="33">
        <f>Source!AQ227</f>
        <v>2.27</v>
      </c>
      <c r="F283" s="34"/>
      <c r="G283" s="35" t="str">
        <f>Source!DI227</f>
        <v/>
      </c>
      <c r="H283" s="33">
        <f>Source!AV228</f>
        <v>1</v>
      </c>
      <c r="I283" s="34">
        <f>Source!U227</f>
        <v>8.2945799999999998</v>
      </c>
      <c r="J283" s="33"/>
      <c r="K283" s="34"/>
    </row>
    <row r="284" spans="1:29" ht="15" x14ac:dyDescent="0.25">
      <c r="C284" s="22" t="s">
        <v>1603</v>
      </c>
      <c r="H284" s="104">
        <f>I275+I276+I278+I280+I281+I282+SUM(I279:I279)-SUMIF(AC279:AC279, 5, I279:I279)-SUMIF(AC279:AC279, 6, I279:I279)</f>
        <v>7571.1399999999994</v>
      </c>
      <c r="I284" s="104"/>
      <c r="J284" s="104">
        <f>K275+K276+K278+K280+K281+K282+SUM(K279:K279)-SUMIF(AC279:AC279, 5, K279:K279)-SUMIF(AC279:AC279, 6, K279:K279)</f>
        <v>38001.33</v>
      </c>
      <c r="K284" s="104"/>
    </row>
    <row r="285" spans="1:29" ht="15" x14ac:dyDescent="0.25">
      <c r="C285" s="22" t="s">
        <v>1604</v>
      </c>
      <c r="H285" s="100">
        <f>SUMIF(AC279:AC279, 5, I279:I279)+SUMIF(AC279:AC279, 6, I279:I279)</f>
        <v>0</v>
      </c>
      <c r="I285" s="100"/>
      <c r="J285" s="100">
        <f>SUMIF(AC279:AC279, 5, K279:K279)+SUMIF(AC279:AC279, 6, K279:K279)</f>
        <v>0</v>
      </c>
      <c r="K285" s="100"/>
    </row>
    <row r="286" spans="1:29" ht="15" x14ac:dyDescent="0.25">
      <c r="C286" s="22" t="s">
        <v>1605</v>
      </c>
      <c r="H286" s="100">
        <f>I275+I276+I278+I280+I281+I282+SUM(I279:I279)</f>
        <v>7571.1399999999994</v>
      </c>
      <c r="I286" s="100"/>
      <c r="J286" s="100">
        <f>K275+K276+K278+K280+K281+K282+SUM(K279:K279)</f>
        <v>38001.33</v>
      </c>
      <c r="K286" s="100"/>
      <c r="O286" s="36">
        <f>I275+I276+I278+I280+I281+I282+SUM(I279:I279)</f>
        <v>7571.1399999999994</v>
      </c>
      <c r="P286" s="36">
        <f>K275+K276+K278+K280+K281+K282+SUM(K279:K279)</f>
        <v>38001.33</v>
      </c>
    </row>
    <row r="288" spans="1:29" ht="52.5" x14ac:dyDescent="0.2">
      <c r="A288" s="27">
        <v>14</v>
      </c>
      <c r="B288" s="27" t="s">
        <v>1624</v>
      </c>
      <c r="C288" s="27" t="s">
        <v>230</v>
      </c>
      <c r="D288" s="28" t="str">
        <f>Source!H231</f>
        <v>1  ШТ.</v>
      </c>
      <c r="E288" s="12">
        <f>Source!I231</f>
        <v>1</v>
      </c>
      <c r="F288" s="30"/>
      <c r="G288" s="29"/>
      <c r="H288" s="12"/>
      <c r="I288" s="30"/>
      <c r="J288" s="12"/>
      <c r="K288" s="30"/>
      <c r="Q288">
        <f>Source!X231</f>
        <v>15.57</v>
      </c>
      <c r="R288">
        <f>Source!X232</f>
        <v>372.53</v>
      </c>
      <c r="S288">
        <f>Source!Y231</f>
        <v>11.98</v>
      </c>
      <c r="T288">
        <f>Source!Y232</f>
        <v>203.65</v>
      </c>
      <c r="U288">
        <f>ROUND((175/100)*ROUND(Source!R231, 2), 2)</f>
        <v>0.09</v>
      </c>
      <c r="V288">
        <f>ROUND((160/100)*ROUND(Source!R232, 2), 2)</f>
        <v>2.3199999999999998</v>
      </c>
      <c r="AC288">
        <v>0</v>
      </c>
    </row>
    <row r="289" spans="1:29" ht="14.25" x14ac:dyDescent="0.2">
      <c r="A289" s="27"/>
      <c r="B289" s="27"/>
      <c r="C289" s="27" t="s">
        <v>1597</v>
      </c>
      <c r="D289" s="28"/>
      <c r="E289" s="12"/>
      <c r="F289" s="30">
        <f>Source!AO231</f>
        <v>14.88</v>
      </c>
      <c r="G289" s="29" t="str">
        <f>Source!DG231</f>
        <v>)*1,15</v>
      </c>
      <c r="H289" s="12">
        <f>Source!AV232</f>
        <v>1</v>
      </c>
      <c r="I289" s="30">
        <f>Source!S231</f>
        <v>17.11</v>
      </c>
      <c r="J289" s="12">
        <f>IF(Source!BA232&lt;&gt; 0, Source!BA232, 1)</f>
        <v>29.03</v>
      </c>
      <c r="K289" s="30">
        <f>Source!S232</f>
        <v>496.7</v>
      </c>
    </row>
    <row r="290" spans="1:29" ht="14.25" x14ac:dyDescent="0.2">
      <c r="A290" s="27"/>
      <c r="B290" s="27"/>
      <c r="C290" s="27" t="s">
        <v>1609</v>
      </c>
      <c r="D290" s="28"/>
      <c r="E290" s="12"/>
      <c r="F290" s="30">
        <f>Source!AM231</f>
        <v>1.97</v>
      </c>
      <c r="G290" s="29" t="str">
        <f>Source!DE231</f>
        <v>)*1,25</v>
      </c>
      <c r="H290" s="12">
        <f>Source!AV232</f>
        <v>1</v>
      </c>
      <c r="I290" s="30">
        <f>Source!Q231</f>
        <v>2.46</v>
      </c>
      <c r="J290" s="12">
        <f>IF(Source!BB232&lt;&gt; 0, Source!BB232, 1)</f>
        <v>10.220000000000001</v>
      </c>
      <c r="K290" s="30">
        <f>Source!Q232</f>
        <v>25.14</v>
      </c>
    </row>
    <row r="291" spans="1:29" ht="14.25" x14ac:dyDescent="0.2">
      <c r="A291" s="27"/>
      <c r="B291" s="27"/>
      <c r="C291" s="27" t="s">
        <v>1610</v>
      </c>
      <c r="D291" s="28"/>
      <c r="E291" s="12"/>
      <c r="F291" s="30">
        <f>Source!AN231</f>
        <v>0.04</v>
      </c>
      <c r="G291" s="29" t="str">
        <f>Source!DF231</f>
        <v>)*1,25</v>
      </c>
      <c r="H291" s="12">
        <f>Source!AV232</f>
        <v>1</v>
      </c>
      <c r="I291" s="38">
        <f>Source!R231</f>
        <v>0.05</v>
      </c>
      <c r="J291" s="12">
        <f>IF(Source!BS232&lt;&gt; 0, Source!BS232, 1)</f>
        <v>29.03</v>
      </c>
      <c r="K291" s="38">
        <f>Source!R232</f>
        <v>1.45</v>
      </c>
    </row>
    <row r="292" spans="1:29" ht="14.25" x14ac:dyDescent="0.2">
      <c r="A292" s="27"/>
      <c r="B292" s="27"/>
      <c r="C292" s="27" t="s">
        <v>1611</v>
      </c>
      <c r="D292" s="28"/>
      <c r="E292" s="12"/>
      <c r="F292" s="30">
        <f>Source!AL231</f>
        <v>0.41</v>
      </c>
      <c r="G292" s="29" t="str">
        <f>Source!DD231</f>
        <v/>
      </c>
      <c r="H292" s="12">
        <f>Source!AW232</f>
        <v>1</v>
      </c>
      <c r="I292" s="30">
        <f>Source!P231</f>
        <v>0.41</v>
      </c>
      <c r="J292" s="12">
        <f>IF(Source!BC232&lt;&gt; 0, Source!BC232, 1)</f>
        <v>5.76</v>
      </c>
      <c r="K292" s="30">
        <f>Source!P232</f>
        <v>2.36</v>
      </c>
    </row>
    <row r="293" spans="1:29" ht="42.75" x14ac:dyDescent="0.2">
      <c r="A293" s="27" t="s">
        <v>235</v>
      </c>
      <c r="B293" s="27" t="str">
        <f>Source!F233</f>
        <v>1.8-1-83</v>
      </c>
      <c r="C293" s="27" t="s">
        <v>237</v>
      </c>
      <c r="D293" s="28" t="str">
        <f>Source!H233</f>
        <v>КОМПЛЕКТ</v>
      </c>
      <c r="E293" s="12">
        <f>Source!I233</f>
        <v>1</v>
      </c>
      <c r="F293" s="30">
        <f>Source!AK233</f>
        <v>1390.95</v>
      </c>
      <c r="G293" s="39" t="s">
        <v>3</v>
      </c>
      <c r="H293" s="12">
        <f>Source!AW234</f>
        <v>1</v>
      </c>
      <c r="I293" s="30">
        <f>Source!O233</f>
        <v>1390.95</v>
      </c>
      <c r="J293" s="12">
        <f>IF(Source!BC234&lt;&gt; 0, Source!BC234, 1)</f>
        <v>6.64</v>
      </c>
      <c r="K293" s="30">
        <f>Source!O234</f>
        <v>9235.91</v>
      </c>
      <c r="Q293">
        <f>Source!X233</f>
        <v>0</v>
      </c>
      <c r="R293">
        <f>Source!X234</f>
        <v>0</v>
      </c>
      <c r="S293">
        <f>Source!Y233</f>
        <v>0</v>
      </c>
      <c r="T293">
        <f>Source!Y234</f>
        <v>0</v>
      </c>
      <c r="U293">
        <f>ROUND((175/100)*ROUND(Source!R233, 2), 2)</f>
        <v>0</v>
      </c>
      <c r="V293">
        <f>ROUND((160/100)*ROUND(Source!R234, 2), 2)</f>
        <v>0</v>
      </c>
      <c r="AC293">
        <v>3</v>
      </c>
    </row>
    <row r="294" spans="1:29" ht="14.25" x14ac:dyDescent="0.2">
      <c r="A294" s="27"/>
      <c r="B294" s="27"/>
      <c r="C294" s="27" t="s">
        <v>1598</v>
      </c>
      <c r="D294" s="28" t="s">
        <v>1599</v>
      </c>
      <c r="E294" s="12">
        <f>Source!DN232</f>
        <v>91</v>
      </c>
      <c r="F294" s="30"/>
      <c r="G294" s="29"/>
      <c r="H294" s="12"/>
      <c r="I294" s="30">
        <f>SUM(Q288:Q293)</f>
        <v>15.57</v>
      </c>
      <c r="J294" s="12">
        <f>Source!BZ232</f>
        <v>75</v>
      </c>
      <c r="K294" s="30">
        <f>SUM(R288:R293)</f>
        <v>372.53</v>
      </c>
    </row>
    <row r="295" spans="1:29" ht="14.25" x14ac:dyDescent="0.2">
      <c r="A295" s="27"/>
      <c r="B295" s="27"/>
      <c r="C295" s="27" t="s">
        <v>1600</v>
      </c>
      <c r="D295" s="28" t="s">
        <v>1599</v>
      </c>
      <c r="E295" s="12">
        <f>Source!DO232</f>
        <v>70</v>
      </c>
      <c r="F295" s="30"/>
      <c r="G295" s="29"/>
      <c r="H295" s="12"/>
      <c r="I295" s="30">
        <f>SUM(S288:S294)</f>
        <v>11.98</v>
      </c>
      <c r="J295" s="12">
        <f>Source!CA232</f>
        <v>41</v>
      </c>
      <c r="K295" s="30">
        <f>SUM(T288:T294)</f>
        <v>203.65</v>
      </c>
    </row>
    <row r="296" spans="1:29" ht="14.25" x14ac:dyDescent="0.2">
      <c r="A296" s="27"/>
      <c r="B296" s="27"/>
      <c r="C296" s="27" t="s">
        <v>1612</v>
      </c>
      <c r="D296" s="28" t="s">
        <v>1599</v>
      </c>
      <c r="E296" s="12">
        <f>175</f>
        <v>175</v>
      </c>
      <c r="F296" s="30"/>
      <c r="G296" s="29"/>
      <c r="H296" s="12"/>
      <c r="I296" s="30">
        <f>SUM(U288:U295)</f>
        <v>0.09</v>
      </c>
      <c r="J296" s="12">
        <f>160</f>
        <v>160</v>
      </c>
      <c r="K296" s="30">
        <f>SUM(V288:V295)</f>
        <v>2.3199999999999998</v>
      </c>
    </row>
    <row r="297" spans="1:29" ht="14.25" x14ac:dyDescent="0.2">
      <c r="A297" s="31"/>
      <c r="B297" s="31"/>
      <c r="C297" s="31" t="s">
        <v>1601</v>
      </c>
      <c r="D297" s="32" t="s">
        <v>1602</v>
      </c>
      <c r="E297" s="33">
        <f>Source!AQ231</f>
        <v>1.1100000000000001</v>
      </c>
      <c r="F297" s="34"/>
      <c r="G297" s="35" t="str">
        <f>Source!DI231</f>
        <v>)*1,15</v>
      </c>
      <c r="H297" s="33">
        <f>Source!AV232</f>
        <v>1</v>
      </c>
      <c r="I297" s="34">
        <f>Source!U231</f>
        <v>1.2765</v>
      </c>
      <c r="J297" s="33"/>
      <c r="K297" s="34"/>
    </row>
    <row r="298" spans="1:29" ht="15" x14ac:dyDescent="0.25">
      <c r="C298" s="22" t="s">
        <v>1603</v>
      </c>
      <c r="H298" s="104">
        <f>I289+I290+I292+I294+I295+I296+SUM(I293:I293)-SUMIF(AC293:AC293, 5, I293:I293)-SUMIF(AC293:AC293, 6, I293:I293)</f>
        <v>1438.5700000000002</v>
      </c>
      <c r="I298" s="104"/>
      <c r="J298" s="104">
        <f>K289+K290+K292+K294+K295+K296+SUM(K293:K293)-SUMIF(AC293:AC293, 5, K293:K293)-SUMIF(AC293:AC293, 6, K293:K293)</f>
        <v>10338.61</v>
      </c>
      <c r="K298" s="104"/>
    </row>
    <row r="299" spans="1:29" ht="15" x14ac:dyDescent="0.25">
      <c r="C299" s="22" t="s">
        <v>1604</v>
      </c>
      <c r="H299" s="100">
        <f>SUMIF(AC293:AC293, 5, I293:I293)+SUMIF(AC293:AC293, 6, I293:I293)</f>
        <v>0</v>
      </c>
      <c r="I299" s="100"/>
      <c r="J299" s="100">
        <f>SUMIF(AC293:AC293, 5, K293:K293)+SUMIF(AC293:AC293, 6, K293:K293)</f>
        <v>0</v>
      </c>
      <c r="K299" s="100"/>
    </row>
    <row r="300" spans="1:29" ht="15" x14ac:dyDescent="0.25">
      <c r="C300" s="22" t="s">
        <v>1605</v>
      </c>
      <c r="H300" s="100">
        <f>I289+I290+I292+I294+I295+I296+SUM(I293:I293)</f>
        <v>1438.5700000000002</v>
      </c>
      <c r="I300" s="100"/>
      <c r="J300" s="100">
        <f>K289+K290+K292+K294+K295+K296+SUM(K293:K293)</f>
        <v>10338.61</v>
      </c>
      <c r="K300" s="100"/>
      <c r="O300" s="36">
        <f>I289+I290+I292+I294+I295+I296+SUM(I293:I293)</f>
        <v>1438.5700000000002</v>
      </c>
      <c r="P300" s="36">
        <f>K289+K290+K292+K294+K295+K296+SUM(K293:K293)</f>
        <v>10338.61</v>
      </c>
    </row>
    <row r="302" spans="1:29" ht="57" x14ac:dyDescent="0.2">
      <c r="A302" s="27">
        <v>15</v>
      </c>
      <c r="B302" s="27" t="s">
        <v>1625</v>
      </c>
      <c r="C302" s="27" t="s">
        <v>242</v>
      </c>
      <c r="D302" s="28" t="str">
        <f>Source!H235</f>
        <v>100 м2 проемов</v>
      </c>
      <c r="E302" s="12">
        <f>Source!I235</f>
        <v>3.78E-2</v>
      </c>
      <c r="F302" s="30"/>
      <c r="G302" s="29"/>
      <c r="H302" s="12"/>
      <c r="I302" s="30"/>
      <c r="J302" s="12"/>
      <c r="K302" s="30"/>
      <c r="Q302">
        <f>Source!X235</f>
        <v>49.36</v>
      </c>
      <c r="R302">
        <f>Source!X236</f>
        <v>1187.29</v>
      </c>
      <c r="S302">
        <f>Source!Y235</f>
        <v>32.909999999999997</v>
      </c>
      <c r="T302">
        <f>Source!Y236</f>
        <v>559.53</v>
      </c>
      <c r="U302">
        <f>ROUND((175/100)*ROUND(Source!R235, 2), 2)</f>
        <v>4.46</v>
      </c>
      <c r="V302">
        <f>ROUND((160/100)*ROUND(Source!R236, 2), 2)</f>
        <v>118.45</v>
      </c>
      <c r="AC302">
        <v>0</v>
      </c>
    </row>
    <row r="303" spans="1:29" ht="14.25" x14ac:dyDescent="0.2">
      <c r="A303" s="27"/>
      <c r="B303" s="27"/>
      <c r="C303" s="27" t="s">
        <v>1597</v>
      </c>
      <c r="D303" s="28"/>
      <c r="E303" s="12"/>
      <c r="F303" s="30">
        <f>Source!AO235</f>
        <v>1081.5</v>
      </c>
      <c r="G303" s="29" t="str">
        <f>Source!DG235</f>
        <v>)*1,15</v>
      </c>
      <c r="H303" s="12">
        <f>Source!AV236</f>
        <v>1</v>
      </c>
      <c r="I303" s="30">
        <f>Source!S235</f>
        <v>47.01</v>
      </c>
      <c r="J303" s="12">
        <f>IF(Source!BA236&lt;&gt; 0, Source!BA236, 1)</f>
        <v>29.03</v>
      </c>
      <c r="K303" s="30">
        <f>Source!S236</f>
        <v>1364.7</v>
      </c>
    </row>
    <row r="304" spans="1:29" ht="14.25" x14ac:dyDescent="0.2">
      <c r="A304" s="27"/>
      <c r="B304" s="27"/>
      <c r="C304" s="27" t="s">
        <v>1609</v>
      </c>
      <c r="D304" s="28"/>
      <c r="E304" s="12"/>
      <c r="F304" s="30">
        <f>Source!AM235</f>
        <v>454.29</v>
      </c>
      <c r="G304" s="29" t="str">
        <f>Source!DE235</f>
        <v>)*1,25</v>
      </c>
      <c r="H304" s="12">
        <f>Source!AV236</f>
        <v>1</v>
      </c>
      <c r="I304" s="30">
        <f>Source!Q235</f>
        <v>21.47</v>
      </c>
      <c r="J304" s="12">
        <f>IF(Source!BB236&lt;&gt; 0, Source!BB236, 1)</f>
        <v>10.66</v>
      </c>
      <c r="K304" s="30">
        <f>Source!Q236</f>
        <v>228.87</v>
      </c>
    </row>
    <row r="305" spans="1:29" ht="14.25" x14ac:dyDescent="0.2">
      <c r="A305" s="27"/>
      <c r="B305" s="27"/>
      <c r="C305" s="27" t="s">
        <v>1610</v>
      </c>
      <c r="D305" s="28"/>
      <c r="E305" s="12"/>
      <c r="F305" s="30">
        <f>Source!AN235</f>
        <v>53.91</v>
      </c>
      <c r="G305" s="29" t="str">
        <f>Source!DF235</f>
        <v>)*1,25</v>
      </c>
      <c r="H305" s="12">
        <f>Source!AV236</f>
        <v>1</v>
      </c>
      <c r="I305" s="38">
        <f>Source!R235</f>
        <v>2.5499999999999998</v>
      </c>
      <c r="J305" s="12">
        <f>IF(Source!BS236&lt;&gt; 0, Source!BS236, 1)</f>
        <v>29.03</v>
      </c>
      <c r="K305" s="38">
        <f>Source!R236</f>
        <v>74.03</v>
      </c>
    </row>
    <row r="306" spans="1:29" ht="14.25" x14ac:dyDescent="0.2">
      <c r="A306" s="27"/>
      <c r="B306" s="27"/>
      <c r="C306" s="27" t="s">
        <v>1611</v>
      </c>
      <c r="D306" s="28"/>
      <c r="E306" s="12"/>
      <c r="F306" s="30">
        <f>Source!AL235</f>
        <v>2019.82</v>
      </c>
      <c r="G306" s="29" t="str">
        <f>Source!DD235</f>
        <v/>
      </c>
      <c r="H306" s="12">
        <f>Source!AW236</f>
        <v>1</v>
      </c>
      <c r="I306" s="30">
        <f>Source!P235</f>
        <v>76.349999999999994</v>
      </c>
      <c r="J306" s="12">
        <f>IF(Source!BC236&lt;&gt; 0, Source!BC236, 1)</f>
        <v>7.34</v>
      </c>
      <c r="K306" s="30">
        <f>Source!P236</f>
        <v>560.41</v>
      </c>
    </row>
    <row r="307" spans="1:29" ht="68.25" x14ac:dyDescent="0.2">
      <c r="A307" s="27" t="s">
        <v>247</v>
      </c>
      <c r="B307" s="27" t="str">
        <f>Source!F237</f>
        <v>Цена поставщика</v>
      </c>
      <c r="C307" s="27" t="s">
        <v>1626</v>
      </c>
      <c r="D307" s="28" t="str">
        <f>Source!H237</f>
        <v>шт.</v>
      </c>
      <c r="E307" s="12">
        <f>Source!I237</f>
        <v>1</v>
      </c>
      <c r="F307" s="30">
        <f>Source!AK237</f>
        <v>0</v>
      </c>
      <c r="G307" s="39" t="s">
        <v>3</v>
      </c>
      <c r="H307" s="12">
        <f>Source!AW238</f>
        <v>1</v>
      </c>
      <c r="I307" s="30">
        <f>Source!O237</f>
        <v>0</v>
      </c>
      <c r="J307" s="12">
        <f>IF(Source!BC238&lt;&gt; 0, Source!BC238, 1)</f>
        <v>8.65</v>
      </c>
      <c r="K307" s="30">
        <f>Source!O238</f>
        <v>23561.99</v>
      </c>
      <c r="Q307">
        <f>Source!X237</f>
        <v>0</v>
      </c>
      <c r="R307">
        <f>Source!X238</f>
        <v>0</v>
      </c>
      <c r="S307">
        <f>Source!Y237</f>
        <v>0</v>
      </c>
      <c r="T307">
        <f>Source!Y238</f>
        <v>0</v>
      </c>
      <c r="U307">
        <f>ROUND((175/100)*ROUND(Source!R237, 2), 2)</f>
        <v>0</v>
      </c>
      <c r="V307">
        <f>ROUND((160/100)*ROUND(Source!R238, 2), 2)</f>
        <v>0</v>
      </c>
      <c r="AC307">
        <v>3</v>
      </c>
    </row>
    <row r="308" spans="1:29" ht="68.25" x14ac:dyDescent="0.2">
      <c r="A308" s="27" t="s">
        <v>253</v>
      </c>
      <c r="B308" s="27" t="str">
        <f>Source!F239</f>
        <v>Цена поставщика</v>
      </c>
      <c r="C308" s="27" t="s">
        <v>1627</v>
      </c>
      <c r="D308" s="28" t="str">
        <f>Source!H239</f>
        <v>шт.</v>
      </c>
      <c r="E308" s="12">
        <f>Source!I239</f>
        <v>1</v>
      </c>
      <c r="F308" s="30">
        <f>Source!AK239</f>
        <v>0</v>
      </c>
      <c r="G308" s="39" t="s">
        <v>3</v>
      </c>
      <c r="H308" s="12">
        <f>Source!AW240</f>
        <v>1</v>
      </c>
      <c r="I308" s="30">
        <f>Source!O239</f>
        <v>0</v>
      </c>
      <c r="J308" s="12">
        <f>IF(Source!BC240&lt;&gt; 0, Source!BC240, 1)</f>
        <v>8.65</v>
      </c>
      <c r="K308" s="30">
        <f>Source!O240</f>
        <v>192099.11</v>
      </c>
      <c r="Q308">
        <f>Source!X239</f>
        <v>0</v>
      </c>
      <c r="R308">
        <f>Source!X240</f>
        <v>0</v>
      </c>
      <c r="S308">
        <f>Source!Y239</f>
        <v>0</v>
      </c>
      <c r="T308">
        <f>Source!Y240</f>
        <v>0</v>
      </c>
      <c r="U308">
        <f>ROUND((175/100)*ROUND(Source!R239, 2), 2)</f>
        <v>0</v>
      </c>
      <c r="V308">
        <f>ROUND((160/100)*ROUND(Source!R240, 2), 2)</f>
        <v>0</v>
      </c>
      <c r="AC308">
        <v>3</v>
      </c>
    </row>
    <row r="309" spans="1:29" ht="14.25" x14ac:dyDescent="0.2">
      <c r="A309" s="27"/>
      <c r="B309" s="27"/>
      <c r="C309" s="27" t="s">
        <v>1598</v>
      </c>
      <c r="D309" s="28" t="s">
        <v>1599</v>
      </c>
      <c r="E309" s="12">
        <f>Source!DN236</f>
        <v>105</v>
      </c>
      <c r="F309" s="30"/>
      <c r="G309" s="29"/>
      <c r="H309" s="12"/>
      <c r="I309" s="30">
        <f>SUM(Q302:Q308)</f>
        <v>49.36</v>
      </c>
      <c r="J309" s="12">
        <f>Source!BZ236</f>
        <v>87</v>
      </c>
      <c r="K309" s="30">
        <f>SUM(R302:R308)</f>
        <v>1187.29</v>
      </c>
    </row>
    <row r="310" spans="1:29" ht="14.25" x14ac:dyDescent="0.2">
      <c r="A310" s="27"/>
      <c r="B310" s="27"/>
      <c r="C310" s="27" t="s">
        <v>1600</v>
      </c>
      <c r="D310" s="28" t="s">
        <v>1599</v>
      </c>
      <c r="E310" s="12">
        <f>Source!DO236</f>
        <v>70</v>
      </c>
      <c r="F310" s="30"/>
      <c r="G310" s="29"/>
      <c r="H310" s="12"/>
      <c r="I310" s="30">
        <f>SUM(S302:S309)</f>
        <v>32.909999999999997</v>
      </c>
      <c r="J310" s="12">
        <f>Source!CA236</f>
        <v>41</v>
      </c>
      <c r="K310" s="30">
        <f>SUM(T302:T309)</f>
        <v>559.53</v>
      </c>
    </row>
    <row r="311" spans="1:29" ht="14.25" x14ac:dyDescent="0.2">
      <c r="A311" s="27"/>
      <c r="B311" s="27"/>
      <c r="C311" s="27" t="s">
        <v>1612</v>
      </c>
      <c r="D311" s="28" t="s">
        <v>1599</v>
      </c>
      <c r="E311" s="12">
        <f>175</f>
        <v>175</v>
      </c>
      <c r="F311" s="30"/>
      <c r="G311" s="29"/>
      <c r="H311" s="12"/>
      <c r="I311" s="30">
        <f>SUM(U302:U310)</f>
        <v>4.46</v>
      </c>
      <c r="J311" s="12">
        <f>160</f>
        <v>160</v>
      </c>
      <c r="K311" s="30">
        <f>SUM(V302:V310)</f>
        <v>118.45</v>
      </c>
    </row>
    <row r="312" spans="1:29" ht="14.25" x14ac:dyDescent="0.2">
      <c r="A312" s="31"/>
      <c r="B312" s="31"/>
      <c r="C312" s="31" t="s">
        <v>1601</v>
      </c>
      <c r="D312" s="32" t="s">
        <v>1602</v>
      </c>
      <c r="E312" s="33">
        <f>Source!AQ235</f>
        <v>89.9</v>
      </c>
      <c r="F312" s="34"/>
      <c r="G312" s="35" t="str">
        <f>Source!DI235</f>
        <v>)*1,15</v>
      </c>
      <c r="H312" s="33">
        <f>Source!AV236</f>
        <v>1</v>
      </c>
      <c r="I312" s="34">
        <f>Source!U235</f>
        <v>3.907953</v>
      </c>
      <c r="J312" s="33"/>
      <c r="K312" s="34"/>
    </row>
    <row r="313" spans="1:29" ht="15" x14ac:dyDescent="0.25">
      <c r="C313" s="22" t="s">
        <v>1603</v>
      </c>
      <c r="H313" s="104">
        <f>I303+I304+I306+I309+I310+I311+SUM(I307:I308)-SUMIF(AC307:AC308, 5, I307:I308)-SUMIF(AC307:AC308, 6, I307:I308)</f>
        <v>231.56</v>
      </c>
      <c r="I313" s="104"/>
      <c r="J313" s="104">
        <f>K303+K304+K306+K309+K310+K311+SUM(K307:K308)-SUMIF(AC307:AC308, 5, K307:K308)-SUMIF(AC307:AC308, 6, K307:K308)</f>
        <v>219680.34999999998</v>
      </c>
      <c r="K313" s="104"/>
    </row>
    <row r="314" spans="1:29" ht="15" x14ac:dyDescent="0.25">
      <c r="C314" s="22" t="s">
        <v>1604</v>
      </c>
      <c r="H314" s="100">
        <f>SUMIF(AC307:AC308, 5, I307:I308)+SUMIF(AC307:AC308, 6, I307:I308)</f>
        <v>0</v>
      </c>
      <c r="I314" s="100"/>
      <c r="J314" s="100">
        <f>SUMIF(AC307:AC308, 5, K307:K308)+SUMIF(AC307:AC308, 6, K307:K308)</f>
        <v>0</v>
      </c>
      <c r="K314" s="100"/>
    </row>
    <row r="315" spans="1:29" ht="15" x14ac:dyDescent="0.25">
      <c r="C315" s="22" t="s">
        <v>1605</v>
      </c>
      <c r="H315" s="100">
        <f>I303+I304+I306+I309+I310+I311+SUM(I307:I308)</f>
        <v>231.56</v>
      </c>
      <c r="I315" s="100"/>
      <c r="J315" s="100">
        <f>K303+K304+K306+K309+K310+K311+SUM(K307:K308)</f>
        <v>219680.34999999998</v>
      </c>
      <c r="K315" s="100"/>
      <c r="O315" s="36">
        <f>I303+I304+I306+I309+I310+I311+SUM(I307:I308)</f>
        <v>231.56</v>
      </c>
      <c r="P315" s="36">
        <f>K303+K304+K306+K309+K310+K311+SUM(K307:K308)</f>
        <v>219680.34999999998</v>
      </c>
    </row>
    <row r="317" spans="1:29" ht="57" x14ac:dyDescent="0.2">
      <c r="A317" s="27">
        <v>16</v>
      </c>
      <c r="B317" s="27" t="s">
        <v>1628</v>
      </c>
      <c r="C317" s="27" t="s">
        <v>264</v>
      </c>
      <c r="D317" s="28" t="str">
        <f>Source!H245</f>
        <v>100 м2</v>
      </c>
      <c r="E317" s="12">
        <f>Source!I245</f>
        <v>3.9899999999999998E-2</v>
      </c>
      <c r="F317" s="30"/>
      <c r="G317" s="29"/>
      <c r="H317" s="12"/>
      <c r="I317" s="30"/>
      <c r="J317" s="12"/>
      <c r="K317" s="30"/>
      <c r="Q317">
        <f>Source!X245</f>
        <v>68.75</v>
      </c>
      <c r="R317">
        <f>Source!X246</f>
        <v>1653.77</v>
      </c>
      <c r="S317">
        <f>Source!Y245</f>
        <v>45.84</v>
      </c>
      <c r="T317">
        <f>Source!Y246</f>
        <v>779.36</v>
      </c>
      <c r="U317">
        <f>ROUND((175/100)*ROUND(Source!R245, 2), 2)</f>
        <v>4.2699999999999996</v>
      </c>
      <c r="V317">
        <f>ROUND((160/100)*ROUND(Source!R246, 2), 2)</f>
        <v>113.33</v>
      </c>
      <c r="AC317">
        <v>0</v>
      </c>
    </row>
    <row r="318" spans="1:29" ht="14.25" x14ac:dyDescent="0.2">
      <c r="A318" s="27"/>
      <c r="B318" s="27"/>
      <c r="C318" s="27" t="s">
        <v>1597</v>
      </c>
      <c r="D318" s="28"/>
      <c r="E318" s="12"/>
      <c r="F318" s="30">
        <f>Source!AO245</f>
        <v>1427.08</v>
      </c>
      <c r="G318" s="29" t="str">
        <f>Source!DG245</f>
        <v>)*1,15</v>
      </c>
      <c r="H318" s="12">
        <f>Source!AV246</f>
        <v>1</v>
      </c>
      <c r="I318" s="30">
        <f>Source!S245</f>
        <v>65.48</v>
      </c>
      <c r="J318" s="12">
        <f>IF(Source!BA246&lt;&gt; 0, Source!BA246, 1)</f>
        <v>29.03</v>
      </c>
      <c r="K318" s="30">
        <f>Source!S246</f>
        <v>1900.88</v>
      </c>
    </row>
    <row r="319" spans="1:29" ht="14.25" x14ac:dyDescent="0.2">
      <c r="A319" s="27"/>
      <c r="B319" s="27"/>
      <c r="C319" s="27" t="s">
        <v>1609</v>
      </c>
      <c r="D319" s="28"/>
      <c r="E319" s="12"/>
      <c r="F319" s="30">
        <f>Source!AM245</f>
        <v>282.74</v>
      </c>
      <c r="G319" s="29" t="str">
        <f>Source!DE245</f>
        <v>)*1,25</v>
      </c>
      <c r="H319" s="12">
        <f>Source!AV246</f>
        <v>1</v>
      </c>
      <c r="I319" s="30">
        <f>Source!Q245</f>
        <v>14.1</v>
      </c>
      <c r="J319" s="12">
        <f>IF(Source!BB246&lt;&gt; 0, Source!BB246, 1)</f>
        <v>11.22</v>
      </c>
      <c r="K319" s="30">
        <f>Source!Q246</f>
        <v>158.19999999999999</v>
      </c>
    </row>
    <row r="320" spans="1:29" ht="14.25" x14ac:dyDescent="0.2">
      <c r="A320" s="27"/>
      <c r="B320" s="27"/>
      <c r="C320" s="27" t="s">
        <v>1610</v>
      </c>
      <c r="D320" s="28"/>
      <c r="E320" s="12"/>
      <c r="F320" s="30">
        <f>Source!AN245</f>
        <v>48.88</v>
      </c>
      <c r="G320" s="29" t="str">
        <f>Source!DF245</f>
        <v>)*1,25</v>
      </c>
      <c r="H320" s="12">
        <f>Source!AV246</f>
        <v>1</v>
      </c>
      <c r="I320" s="38">
        <f>Source!R245</f>
        <v>2.44</v>
      </c>
      <c r="J320" s="12">
        <f>IF(Source!BS246&lt;&gt; 0, Source!BS246, 1)</f>
        <v>29.03</v>
      </c>
      <c r="K320" s="38">
        <f>Source!R246</f>
        <v>70.83</v>
      </c>
    </row>
    <row r="321" spans="1:29" ht="14.25" x14ac:dyDescent="0.2">
      <c r="A321" s="27"/>
      <c r="B321" s="27"/>
      <c r="C321" s="27" t="s">
        <v>1611</v>
      </c>
      <c r="D321" s="28"/>
      <c r="E321" s="12"/>
      <c r="F321" s="30">
        <f>Source!AL245</f>
        <v>5869.93</v>
      </c>
      <c r="G321" s="29" t="str">
        <f>Source!DD245</f>
        <v/>
      </c>
      <c r="H321" s="12">
        <f>Source!AW246</f>
        <v>1</v>
      </c>
      <c r="I321" s="30">
        <f>Source!P245</f>
        <v>234.21</v>
      </c>
      <c r="J321" s="12">
        <f>IF(Source!BC246&lt;&gt; 0, Source!BC246, 1)</f>
        <v>2.97</v>
      </c>
      <c r="K321" s="30">
        <f>Source!P246</f>
        <v>695.6</v>
      </c>
    </row>
    <row r="322" spans="1:29" ht="185.25" x14ac:dyDescent="0.2">
      <c r="A322" s="27" t="s">
        <v>268</v>
      </c>
      <c r="B322" s="27" t="str">
        <f>Source!F247</f>
        <v>1.1-1-3078</v>
      </c>
      <c r="C322" s="27" t="s">
        <v>1561</v>
      </c>
      <c r="D322" s="28" t="str">
        <f>Source!H247</f>
        <v>м</v>
      </c>
      <c r="E322" s="12">
        <f>Source!I247</f>
        <v>8.6981999999999999</v>
      </c>
      <c r="F322" s="30">
        <f>Source!AK247</f>
        <v>13.06</v>
      </c>
      <c r="G322" s="39" t="s">
        <v>3</v>
      </c>
      <c r="H322" s="12">
        <f>Source!AW248</f>
        <v>1</v>
      </c>
      <c r="I322" s="30">
        <f>Source!O247</f>
        <v>113.6</v>
      </c>
      <c r="J322" s="12">
        <f>IF(Source!BC248&lt;&gt; 0, Source!BC248, 1)</f>
        <v>0.99</v>
      </c>
      <c r="K322" s="30">
        <f>Source!O248</f>
        <v>112.46</v>
      </c>
      <c r="Q322">
        <f>Source!X247</f>
        <v>0</v>
      </c>
      <c r="R322">
        <f>Source!X248</f>
        <v>0</v>
      </c>
      <c r="S322">
        <f>Source!Y247</f>
        <v>0</v>
      </c>
      <c r="T322">
        <f>Source!Y248</f>
        <v>0</v>
      </c>
      <c r="U322">
        <f>ROUND((175/100)*ROUND(Source!R247, 2), 2)</f>
        <v>0</v>
      </c>
      <c r="V322">
        <f>ROUND((160/100)*ROUND(Source!R248, 2), 2)</f>
        <v>0</v>
      </c>
      <c r="AC322">
        <v>3</v>
      </c>
    </row>
    <row r="323" spans="1:29" ht="213.75" x14ac:dyDescent="0.2">
      <c r="A323" s="27" t="s">
        <v>272</v>
      </c>
      <c r="B323" s="27" t="str">
        <f>Source!F249</f>
        <v>1.1-1-3079</v>
      </c>
      <c r="C323" s="27" t="s">
        <v>1562</v>
      </c>
      <c r="D323" s="28" t="str">
        <f>Source!H249</f>
        <v>м</v>
      </c>
      <c r="E323" s="12">
        <f>Source!I249</f>
        <v>1.5960000000000003</v>
      </c>
      <c r="F323" s="30">
        <f>Source!AK249</f>
        <v>12.05</v>
      </c>
      <c r="G323" s="39" t="s">
        <v>3</v>
      </c>
      <c r="H323" s="12">
        <f>Source!AW250</f>
        <v>1</v>
      </c>
      <c r="I323" s="30">
        <f>Source!O249</f>
        <v>19.23</v>
      </c>
      <c r="J323" s="12">
        <f>IF(Source!BC250&lt;&gt; 0, Source!BC250, 1)</f>
        <v>0.71</v>
      </c>
      <c r="K323" s="30">
        <f>Source!O250</f>
        <v>13.65</v>
      </c>
      <c r="Q323">
        <f>Source!X249</f>
        <v>0</v>
      </c>
      <c r="R323">
        <f>Source!X250</f>
        <v>0</v>
      </c>
      <c r="S323">
        <f>Source!Y249</f>
        <v>0</v>
      </c>
      <c r="T323">
        <f>Source!Y250</f>
        <v>0</v>
      </c>
      <c r="U323">
        <f>ROUND((175/100)*ROUND(Source!R249, 2), 2)</f>
        <v>0</v>
      </c>
      <c r="V323">
        <f>ROUND((160/100)*ROUND(Source!R250, 2), 2)</f>
        <v>0</v>
      </c>
      <c r="AC323">
        <v>3</v>
      </c>
    </row>
    <row r="324" spans="1:29" ht="85.5" x14ac:dyDescent="0.2">
      <c r="A324" s="27" t="s">
        <v>275</v>
      </c>
      <c r="B324" s="27" t="str">
        <f>Source!F251</f>
        <v>1.9-2-23</v>
      </c>
      <c r="C324" s="27" t="s">
        <v>277</v>
      </c>
      <c r="D324" s="28" t="str">
        <f>Source!H251</f>
        <v>м2</v>
      </c>
      <c r="E324" s="12">
        <f>Source!I251</f>
        <v>3.99</v>
      </c>
      <c r="F324" s="30">
        <f>Source!AK251</f>
        <v>3107.76</v>
      </c>
      <c r="G324" s="39" t="s">
        <v>3</v>
      </c>
      <c r="H324" s="12">
        <f>Source!AW252</f>
        <v>1</v>
      </c>
      <c r="I324" s="30">
        <f>Source!O251</f>
        <v>12399.96</v>
      </c>
      <c r="J324" s="12">
        <f>IF(Source!BC252&lt;&gt; 0, Source!BC252, 1)</f>
        <v>8.65</v>
      </c>
      <c r="K324" s="30">
        <f>Source!O252</f>
        <v>107259.65</v>
      </c>
      <c r="Q324">
        <f>Source!X251</f>
        <v>0</v>
      </c>
      <c r="R324">
        <f>Source!X252</f>
        <v>0</v>
      </c>
      <c r="S324">
        <f>Source!Y251</f>
        <v>0</v>
      </c>
      <c r="T324">
        <f>Source!Y252</f>
        <v>0</v>
      </c>
      <c r="U324">
        <f>ROUND((175/100)*ROUND(Source!R251, 2), 2)</f>
        <v>0</v>
      </c>
      <c r="V324">
        <f>ROUND((160/100)*ROUND(Source!R252, 2), 2)</f>
        <v>0</v>
      </c>
      <c r="AC324">
        <v>3</v>
      </c>
    </row>
    <row r="325" spans="1:29" ht="14.25" x14ac:dyDescent="0.2">
      <c r="A325" s="27"/>
      <c r="B325" s="27"/>
      <c r="C325" s="27" t="s">
        <v>1598</v>
      </c>
      <c r="D325" s="28" t="s">
        <v>1599</v>
      </c>
      <c r="E325" s="12">
        <f>Source!DN246</f>
        <v>105</v>
      </c>
      <c r="F325" s="30"/>
      <c r="G325" s="29"/>
      <c r="H325" s="12"/>
      <c r="I325" s="30">
        <f>SUM(Q317:Q324)</f>
        <v>68.75</v>
      </c>
      <c r="J325" s="12">
        <f>Source!BZ246</f>
        <v>87</v>
      </c>
      <c r="K325" s="30">
        <f>SUM(R317:R324)</f>
        <v>1653.77</v>
      </c>
    </row>
    <row r="326" spans="1:29" ht="14.25" x14ac:dyDescent="0.2">
      <c r="A326" s="27"/>
      <c r="B326" s="27"/>
      <c r="C326" s="27" t="s">
        <v>1600</v>
      </c>
      <c r="D326" s="28" t="s">
        <v>1599</v>
      </c>
      <c r="E326" s="12">
        <f>Source!DO246</f>
        <v>70</v>
      </c>
      <c r="F326" s="30"/>
      <c r="G326" s="29"/>
      <c r="H326" s="12"/>
      <c r="I326" s="30">
        <f>SUM(S317:S325)</f>
        <v>45.84</v>
      </c>
      <c r="J326" s="12">
        <f>Source!CA246</f>
        <v>41</v>
      </c>
      <c r="K326" s="30">
        <f>SUM(T317:T325)</f>
        <v>779.36</v>
      </c>
    </row>
    <row r="327" spans="1:29" ht="14.25" x14ac:dyDescent="0.2">
      <c r="A327" s="27"/>
      <c r="B327" s="27"/>
      <c r="C327" s="27" t="s">
        <v>1612</v>
      </c>
      <c r="D327" s="28" t="s">
        <v>1599</v>
      </c>
      <c r="E327" s="12">
        <f>175</f>
        <v>175</v>
      </c>
      <c r="F327" s="30"/>
      <c r="G327" s="29"/>
      <c r="H327" s="12"/>
      <c r="I327" s="30">
        <f>SUM(U317:U326)</f>
        <v>4.2699999999999996</v>
      </c>
      <c r="J327" s="12">
        <f>160</f>
        <v>160</v>
      </c>
      <c r="K327" s="30">
        <f>SUM(V317:V326)</f>
        <v>113.33</v>
      </c>
    </row>
    <row r="328" spans="1:29" ht="14.25" x14ac:dyDescent="0.2">
      <c r="A328" s="31"/>
      <c r="B328" s="31"/>
      <c r="C328" s="31" t="s">
        <v>1601</v>
      </c>
      <c r="D328" s="32" t="s">
        <v>1602</v>
      </c>
      <c r="E328" s="33">
        <f>Source!AQ245</f>
        <v>122.57</v>
      </c>
      <c r="F328" s="34"/>
      <c r="G328" s="35" t="str">
        <f>Source!DI245</f>
        <v>)*1,15</v>
      </c>
      <c r="H328" s="33">
        <f>Source!AV246</f>
        <v>1</v>
      </c>
      <c r="I328" s="34">
        <f>Source!U245</f>
        <v>5.6241244499999983</v>
      </c>
      <c r="J328" s="33"/>
      <c r="K328" s="34"/>
    </row>
    <row r="329" spans="1:29" ht="15" x14ac:dyDescent="0.25">
      <c r="C329" s="22" t="s">
        <v>1603</v>
      </c>
      <c r="H329" s="104">
        <f>I318+I319+I321+I325+I326+I327+SUM(I322:I324)-SUMIF(AC322:AC324, 5, I322:I324)-SUMIF(AC322:AC324, 6, I322:I324)</f>
        <v>12965.439999999999</v>
      </c>
      <c r="I329" s="104"/>
      <c r="J329" s="104">
        <f>K318+K319+K321+K325+K326+K327+SUM(K322:K324)-SUMIF(AC322:AC324, 5, K322:K324)-SUMIF(AC322:AC324, 6, K322:K324)</f>
        <v>112686.9</v>
      </c>
      <c r="K329" s="104"/>
    </row>
    <row r="330" spans="1:29" ht="15" x14ac:dyDescent="0.25">
      <c r="C330" s="22" t="s">
        <v>1604</v>
      </c>
      <c r="H330" s="100">
        <f>SUMIF(AC322:AC324, 5, I322:I324)+SUMIF(AC322:AC324, 6, I322:I324)</f>
        <v>0</v>
      </c>
      <c r="I330" s="100"/>
      <c r="J330" s="100">
        <f>SUMIF(AC322:AC324, 5, K322:K324)+SUMIF(AC322:AC324, 6, K322:K324)</f>
        <v>0</v>
      </c>
      <c r="K330" s="100"/>
    </row>
    <row r="331" spans="1:29" ht="15" x14ac:dyDescent="0.25">
      <c r="C331" s="22" t="s">
        <v>1605</v>
      </c>
      <c r="H331" s="100">
        <f>I318+I319+I321+I325+I326+I327+SUM(I322:I324)</f>
        <v>12965.439999999999</v>
      </c>
      <c r="I331" s="100"/>
      <c r="J331" s="100">
        <f>K318+K319+K321+K325+K326+K327+SUM(K322:K324)</f>
        <v>112686.9</v>
      </c>
      <c r="K331" s="100"/>
      <c r="O331" s="36">
        <f>I318+I319+I321+I325+I326+I327+SUM(I322:I324)</f>
        <v>12965.439999999999</v>
      </c>
      <c r="P331" s="36">
        <f>K318+K319+K321+K325+K326+K327+SUM(K322:K324)</f>
        <v>112686.9</v>
      </c>
    </row>
    <row r="333" spans="1:29" ht="52.5" x14ac:dyDescent="0.2">
      <c r="A333" s="27">
        <v>17</v>
      </c>
      <c r="B333" s="27" t="s">
        <v>1629</v>
      </c>
      <c r="C333" s="27" t="s">
        <v>281</v>
      </c>
      <c r="D333" s="28" t="str">
        <f>Source!H253</f>
        <v>1 ПРИБОР</v>
      </c>
      <c r="E333" s="12">
        <f>Source!I253</f>
        <v>6</v>
      </c>
      <c r="F333" s="30"/>
      <c r="G333" s="29"/>
      <c r="H333" s="12"/>
      <c r="I333" s="30"/>
      <c r="J333" s="12"/>
      <c r="K333" s="30"/>
      <c r="Q333">
        <f>Source!X253</f>
        <v>28.11</v>
      </c>
      <c r="R333">
        <f>Source!X254</f>
        <v>676.1</v>
      </c>
      <c r="S333">
        <f>Source!Y253</f>
        <v>18.739999999999998</v>
      </c>
      <c r="T333">
        <f>Source!Y254</f>
        <v>318.62</v>
      </c>
      <c r="U333">
        <f>ROUND((175/100)*ROUND(Source!R253, 2), 2)</f>
        <v>0.26</v>
      </c>
      <c r="V333">
        <f>ROUND((160/100)*ROUND(Source!R254, 2), 2)</f>
        <v>6.96</v>
      </c>
      <c r="AC333">
        <v>0</v>
      </c>
    </row>
    <row r="334" spans="1:29" ht="14.25" x14ac:dyDescent="0.2">
      <c r="A334" s="27"/>
      <c r="B334" s="27"/>
      <c r="C334" s="27" t="s">
        <v>1597</v>
      </c>
      <c r="D334" s="28"/>
      <c r="E334" s="12"/>
      <c r="F334" s="30">
        <f>Source!AO253</f>
        <v>3.88</v>
      </c>
      <c r="G334" s="29" t="str">
        <f>Source!DG253</f>
        <v>)*1,15</v>
      </c>
      <c r="H334" s="12">
        <f>Source!AV254</f>
        <v>1</v>
      </c>
      <c r="I334" s="30">
        <f>Source!S253</f>
        <v>26.77</v>
      </c>
      <c r="J334" s="12">
        <f>IF(Source!BA254&lt;&gt; 0, Source!BA254, 1)</f>
        <v>29.03</v>
      </c>
      <c r="K334" s="30">
        <f>Source!S254</f>
        <v>777.13</v>
      </c>
    </row>
    <row r="335" spans="1:29" ht="14.25" x14ac:dyDescent="0.2">
      <c r="A335" s="27"/>
      <c r="B335" s="27"/>
      <c r="C335" s="27" t="s">
        <v>1609</v>
      </c>
      <c r="D335" s="28"/>
      <c r="E335" s="12"/>
      <c r="F335" s="30">
        <f>Source!AM253</f>
        <v>0.18</v>
      </c>
      <c r="G335" s="29" t="str">
        <f>Source!DE253</f>
        <v>)*1,25</v>
      </c>
      <c r="H335" s="12">
        <f>Source!AV254</f>
        <v>1</v>
      </c>
      <c r="I335" s="30">
        <f>Source!Q253</f>
        <v>1.35</v>
      </c>
      <c r="J335" s="12">
        <f>IF(Source!BB254&lt;&gt; 0, Source!BB254, 1)</f>
        <v>9.86</v>
      </c>
      <c r="K335" s="30">
        <f>Source!Q254</f>
        <v>13.31</v>
      </c>
    </row>
    <row r="336" spans="1:29" ht="14.25" x14ac:dyDescent="0.2">
      <c r="A336" s="27"/>
      <c r="B336" s="27"/>
      <c r="C336" s="27" t="s">
        <v>1610</v>
      </c>
      <c r="D336" s="28"/>
      <c r="E336" s="12"/>
      <c r="F336" s="30">
        <f>Source!AN253</f>
        <v>0.02</v>
      </c>
      <c r="G336" s="29" t="str">
        <f>Source!DF253</f>
        <v>)*1,25</v>
      </c>
      <c r="H336" s="12">
        <f>Source!AV254</f>
        <v>1</v>
      </c>
      <c r="I336" s="38">
        <f>Source!R253</f>
        <v>0.15</v>
      </c>
      <c r="J336" s="12">
        <f>IF(Source!BS254&lt;&gt; 0, Source!BS254, 1)</f>
        <v>29.03</v>
      </c>
      <c r="K336" s="38">
        <f>Source!R254</f>
        <v>4.3499999999999996</v>
      </c>
    </row>
    <row r="337" spans="1:29" ht="28.5" x14ac:dyDescent="0.2">
      <c r="A337" s="27" t="s">
        <v>286</v>
      </c>
      <c r="B337" s="27" t="str">
        <f>Source!F255</f>
        <v>1.8-1-73</v>
      </c>
      <c r="C337" s="27" t="s">
        <v>288</v>
      </c>
      <c r="D337" s="28" t="str">
        <f>Source!H255</f>
        <v>шт.</v>
      </c>
      <c r="E337" s="12">
        <f>Source!I255</f>
        <v>6</v>
      </c>
      <c r="F337" s="30">
        <f>Source!AK255</f>
        <v>267.93</v>
      </c>
      <c r="G337" s="39" t="s">
        <v>3</v>
      </c>
      <c r="H337" s="12">
        <f>Source!AW256</f>
        <v>1</v>
      </c>
      <c r="I337" s="30">
        <f>Source!O255</f>
        <v>1607.58</v>
      </c>
      <c r="J337" s="12">
        <f>IF(Source!BC256&lt;&gt; 0, Source!BC256, 1)</f>
        <v>5.98</v>
      </c>
      <c r="K337" s="30">
        <f>Source!O256</f>
        <v>9613.33</v>
      </c>
      <c r="Q337">
        <f>Source!X255</f>
        <v>0</v>
      </c>
      <c r="R337">
        <f>Source!X256</f>
        <v>0</v>
      </c>
      <c r="S337">
        <f>Source!Y255</f>
        <v>0</v>
      </c>
      <c r="T337">
        <f>Source!Y256</f>
        <v>0</v>
      </c>
      <c r="U337">
        <f>ROUND((175/100)*ROUND(Source!R255, 2), 2)</f>
        <v>0</v>
      </c>
      <c r="V337">
        <f>ROUND((160/100)*ROUND(Source!R256, 2), 2)</f>
        <v>0</v>
      </c>
      <c r="AC337">
        <v>3</v>
      </c>
    </row>
    <row r="338" spans="1:29" ht="14.25" x14ac:dyDescent="0.2">
      <c r="A338" s="27"/>
      <c r="B338" s="27"/>
      <c r="C338" s="27" t="s">
        <v>1598</v>
      </c>
      <c r="D338" s="28" t="s">
        <v>1599</v>
      </c>
      <c r="E338" s="12">
        <f>Source!DN254</f>
        <v>105</v>
      </c>
      <c r="F338" s="30"/>
      <c r="G338" s="29"/>
      <c r="H338" s="12"/>
      <c r="I338" s="30">
        <f>SUM(Q333:Q337)</f>
        <v>28.11</v>
      </c>
      <c r="J338" s="12">
        <f>Source!BZ254</f>
        <v>87</v>
      </c>
      <c r="K338" s="30">
        <f>SUM(R333:R337)</f>
        <v>676.1</v>
      </c>
    </row>
    <row r="339" spans="1:29" ht="14.25" x14ac:dyDescent="0.2">
      <c r="A339" s="27"/>
      <c r="B339" s="27"/>
      <c r="C339" s="27" t="s">
        <v>1600</v>
      </c>
      <c r="D339" s="28" t="s">
        <v>1599</v>
      </c>
      <c r="E339" s="12">
        <f>Source!DO254</f>
        <v>70</v>
      </c>
      <c r="F339" s="30"/>
      <c r="G339" s="29"/>
      <c r="H339" s="12"/>
      <c r="I339" s="30">
        <f>SUM(S333:S338)</f>
        <v>18.739999999999998</v>
      </c>
      <c r="J339" s="12">
        <f>Source!CA254</f>
        <v>41</v>
      </c>
      <c r="K339" s="30">
        <f>SUM(T333:T338)</f>
        <v>318.62</v>
      </c>
    </row>
    <row r="340" spans="1:29" ht="14.25" x14ac:dyDescent="0.2">
      <c r="A340" s="27"/>
      <c r="B340" s="27"/>
      <c r="C340" s="27" t="s">
        <v>1612</v>
      </c>
      <c r="D340" s="28" t="s">
        <v>1599</v>
      </c>
      <c r="E340" s="12">
        <f>175</f>
        <v>175</v>
      </c>
      <c r="F340" s="30"/>
      <c r="G340" s="29"/>
      <c r="H340" s="12"/>
      <c r="I340" s="30">
        <f>SUM(U333:U339)</f>
        <v>0.26</v>
      </c>
      <c r="J340" s="12">
        <f>160</f>
        <v>160</v>
      </c>
      <c r="K340" s="30">
        <f>SUM(V333:V339)</f>
        <v>6.96</v>
      </c>
    </row>
    <row r="341" spans="1:29" ht="14.25" x14ac:dyDescent="0.2">
      <c r="A341" s="31"/>
      <c r="B341" s="31"/>
      <c r="C341" s="31" t="s">
        <v>1601</v>
      </c>
      <c r="D341" s="32" t="s">
        <v>1602</v>
      </c>
      <c r="E341" s="33">
        <f>Source!AQ253</f>
        <v>0.27</v>
      </c>
      <c r="F341" s="34"/>
      <c r="G341" s="35" t="str">
        <f>Source!DI253</f>
        <v>)*1,15</v>
      </c>
      <c r="H341" s="33">
        <f>Source!AV254</f>
        <v>1</v>
      </c>
      <c r="I341" s="34">
        <f>Source!U253</f>
        <v>1.863</v>
      </c>
      <c r="J341" s="33"/>
      <c r="K341" s="34"/>
    </row>
    <row r="342" spans="1:29" ht="15" x14ac:dyDescent="0.25">
      <c r="C342" s="22" t="s">
        <v>1603</v>
      </c>
      <c r="H342" s="104">
        <f>I334+I335+I338+I339+I340+SUM(I337:I337)-SUMIF(AC337:AC337, 5, I337:I337)-SUMIF(AC337:AC337, 6, I337:I337)</f>
        <v>1682.81</v>
      </c>
      <c r="I342" s="104"/>
      <c r="J342" s="104">
        <f>K334+K335+K338+K339+K340+SUM(K337:K337)-SUMIF(AC337:AC337, 5, K337:K337)-SUMIF(AC337:AC337, 6, K337:K337)</f>
        <v>11405.45</v>
      </c>
      <c r="K342" s="104"/>
    </row>
    <row r="343" spans="1:29" ht="15" x14ac:dyDescent="0.25">
      <c r="C343" s="22" t="s">
        <v>1604</v>
      </c>
      <c r="H343" s="100">
        <f>SUMIF(AC337:AC337, 5, I337:I337)+SUMIF(AC337:AC337, 6, I337:I337)</f>
        <v>0</v>
      </c>
      <c r="I343" s="100"/>
      <c r="J343" s="100">
        <f>SUMIF(AC337:AC337, 5, K337:K337)+SUMIF(AC337:AC337, 6, K337:K337)</f>
        <v>0</v>
      </c>
      <c r="K343" s="100"/>
    </row>
    <row r="344" spans="1:29" ht="15" x14ac:dyDescent="0.25">
      <c r="C344" s="22" t="s">
        <v>1605</v>
      </c>
      <c r="H344" s="100">
        <f>I334+I335+I338+I339+I340+SUM(I337:I337)</f>
        <v>1682.81</v>
      </c>
      <c r="I344" s="100"/>
      <c r="J344" s="100">
        <f>K334+K335+K338+K339+K340+SUM(K337:K337)</f>
        <v>11405.45</v>
      </c>
      <c r="K344" s="100"/>
      <c r="O344" s="36">
        <f>I334+I335+I338+I339+I340+SUM(I337:I337)</f>
        <v>1682.81</v>
      </c>
      <c r="P344" s="36">
        <f>K334+K335+K338+K339+K340+SUM(K337:K337)</f>
        <v>11405.45</v>
      </c>
    </row>
    <row r="346" spans="1:29" ht="52.5" x14ac:dyDescent="0.2">
      <c r="A346" s="27">
        <v>18</v>
      </c>
      <c r="B346" s="27" t="s">
        <v>1630</v>
      </c>
      <c r="C346" s="27" t="s">
        <v>292</v>
      </c>
      <c r="D346" s="28" t="str">
        <f>Source!H257</f>
        <v>100 м2</v>
      </c>
      <c r="E346" s="12">
        <f>Source!I257</f>
        <v>0.01</v>
      </c>
      <c r="F346" s="30"/>
      <c r="G346" s="29"/>
      <c r="H346" s="12"/>
      <c r="I346" s="30"/>
      <c r="J346" s="12"/>
      <c r="K346" s="30"/>
      <c r="Q346">
        <f>Source!X257</f>
        <v>37.65</v>
      </c>
      <c r="R346">
        <f>Source!X258</f>
        <v>900.02</v>
      </c>
      <c r="S346">
        <f>Source!Y257</f>
        <v>31</v>
      </c>
      <c r="T346">
        <f>Source!Y258</f>
        <v>527.15</v>
      </c>
      <c r="U346">
        <f>ROUND((175/100)*ROUND(Source!R257, 2), 2)</f>
        <v>1.4</v>
      </c>
      <c r="V346">
        <f>ROUND((160/100)*ROUND(Source!R258, 2), 2)</f>
        <v>37.15</v>
      </c>
      <c r="AC346">
        <v>0</v>
      </c>
    </row>
    <row r="347" spans="1:29" ht="14.25" x14ac:dyDescent="0.2">
      <c r="A347" s="27"/>
      <c r="B347" s="27"/>
      <c r="C347" s="27" t="s">
        <v>1597</v>
      </c>
      <c r="D347" s="28"/>
      <c r="E347" s="12"/>
      <c r="F347" s="30">
        <f>Source!AO257</f>
        <v>3851.52</v>
      </c>
      <c r="G347" s="29" t="str">
        <f>Source!DG257</f>
        <v>)*1,15</v>
      </c>
      <c r="H347" s="12">
        <f>Source!AV258</f>
        <v>1</v>
      </c>
      <c r="I347" s="30">
        <f>Source!S257</f>
        <v>44.29</v>
      </c>
      <c r="J347" s="12">
        <f>IF(Source!BA258&lt;&gt; 0, Source!BA258, 1)</f>
        <v>29.03</v>
      </c>
      <c r="K347" s="30">
        <f>Source!S258</f>
        <v>1285.74</v>
      </c>
    </row>
    <row r="348" spans="1:29" ht="14.25" x14ac:dyDescent="0.2">
      <c r="A348" s="27"/>
      <c r="B348" s="27"/>
      <c r="C348" s="27" t="s">
        <v>1609</v>
      </c>
      <c r="D348" s="28"/>
      <c r="E348" s="12"/>
      <c r="F348" s="30">
        <f>Source!AM257</f>
        <v>882.13</v>
      </c>
      <c r="G348" s="29" t="str">
        <f>Source!DE257</f>
        <v>)*1,25</v>
      </c>
      <c r="H348" s="12">
        <f>Source!AV258</f>
        <v>1</v>
      </c>
      <c r="I348" s="30">
        <f>Source!Q257</f>
        <v>11.03</v>
      </c>
      <c r="J348" s="12">
        <f>IF(Source!BB258&lt;&gt; 0, Source!BB258, 1)</f>
        <v>9.58</v>
      </c>
      <c r="K348" s="30">
        <f>Source!Q258</f>
        <v>105.67</v>
      </c>
    </row>
    <row r="349" spans="1:29" ht="14.25" x14ac:dyDescent="0.2">
      <c r="A349" s="27"/>
      <c r="B349" s="27"/>
      <c r="C349" s="27" t="s">
        <v>1610</v>
      </c>
      <c r="D349" s="28"/>
      <c r="E349" s="12"/>
      <c r="F349" s="30">
        <f>Source!AN257</f>
        <v>63.66</v>
      </c>
      <c r="G349" s="29" t="str">
        <f>Source!DF257</f>
        <v>)*1,25</v>
      </c>
      <c r="H349" s="12">
        <f>Source!AV258</f>
        <v>1</v>
      </c>
      <c r="I349" s="38">
        <f>Source!R257</f>
        <v>0.8</v>
      </c>
      <c r="J349" s="12">
        <f>IF(Source!BS258&lt;&gt; 0, Source!BS258, 1)</f>
        <v>29.03</v>
      </c>
      <c r="K349" s="38">
        <f>Source!R258</f>
        <v>23.22</v>
      </c>
    </row>
    <row r="350" spans="1:29" ht="14.25" x14ac:dyDescent="0.2">
      <c r="A350" s="27"/>
      <c r="B350" s="27"/>
      <c r="C350" s="27" t="s">
        <v>1611</v>
      </c>
      <c r="D350" s="28"/>
      <c r="E350" s="12"/>
      <c r="F350" s="30">
        <f>Source!AL257</f>
        <v>60</v>
      </c>
      <c r="G350" s="29" t="str">
        <f>Source!DD257</f>
        <v/>
      </c>
      <c r="H350" s="12">
        <f>Source!AW258</f>
        <v>1</v>
      </c>
      <c r="I350" s="30">
        <f>Source!P257</f>
        <v>0.6</v>
      </c>
      <c r="J350" s="12">
        <f>IF(Source!BC258&lt;&gt; 0, Source!BC258, 1)</f>
        <v>1</v>
      </c>
      <c r="K350" s="30">
        <f>Source!P258</f>
        <v>0.6</v>
      </c>
    </row>
    <row r="351" spans="1:29" ht="54" x14ac:dyDescent="0.2">
      <c r="A351" s="27" t="s">
        <v>294</v>
      </c>
      <c r="B351" s="27" t="str">
        <f>Source!F259</f>
        <v>Цена поставщика</v>
      </c>
      <c r="C351" s="27" t="s">
        <v>1631</v>
      </c>
      <c r="D351" s="28" t="str">
        <f>Source!H259</f>
        <v>м2</v>
      </c>
      <c r="E351" s="12">
        <f>Source!I259</f>
        <v>2.1842000000000001</v>
      </c>
      <c r="F351" s="30">
        <f>Source!AK259</f>
        <v>0</v>
      </c>
      <c r="G351" s="39" t="s">
        <v>3</v>
      </c>
      <c r="H351" s="12">
        <f>Source!AW260</f>
        <v>1</v>
      </c>
      <c r="I351" s="30">
        <f>Source!O259</f>
        <v>0</v>
      </c>
      <c r="J351" s="12">
        <f>IF(Source!BC260&lt;&gt; 0, Source!BC260, 1)</f>
        <v>8.65</v>
      </c>
      <c r="K351" s="30">
        <f>Source!O260</f>
        <v>64608.58</v>
      </c>
      <c r="Q351">
        <f>Source!X259</f>
        <v>0</v>
      </c>
      <c r="R351">
        <f>Source!X260</f>
        <v>0</v>
      </c>
      <c r="S351">
        <f>Source!Y259</f>
        <v>0</v>
      </c>
      <c r="T351">
        <f>Source!Y260</f>
        <v>0</v>
      </c>
      <c r="U351">
        <f>ROUND((175/100)*ROUND(Source!R259, 2), 2)</f>
        <v>0</v>
      </c>
      <c r="V351">
        <f>ROUND((160/100)*ROUND(Source!R260, 2), 2)</f>
        <v>0</v>
      </c>
      <c r="AC351">
        <v>3</v>
      </c>
    </row>
    <row r="352" spans="1:29" ht="14.25" x14ac:dyDescent="0.2">
      <c r="A352" s="27"/>
      <c r="B352" s="27"/>
      <c r="C352" s="27" t="s">
        <v>1598</v>
      </c>
      <c r="D352" s="28" t="s">
        <v>1599</v>
      </c>
      <c r="E352" s="12">
        <f>Source!DN258</f>
        <v>85</v>
      </c>
      <c r="F352" s="30"/>
      <c r="G352" s="29"/>
      <c r="H352" s="12"/>
      <c r="I352" s="30">
        <f>SUM(Q346:Q351)</f>
        <v>37.65</v>
      </c>
      <c r="J352" s="12">
        <f>Source!BZ258</f>
        <v>70</v>
      </c>
      <c r="K352" s="30">
        <f>SUM(R346:R351)</f>
        <v>900.02</v>
      </c>
    </row>
    <row r="353" spans="1:29" ht="14.25" x14ac:dyDescent="0.2">
      <c r="A353" s="27"/>
      <c r="B353" s="27"/>
      <c r="C353" s="27" t="s">
        <v>1600</v>
      </c>
      <c r="D353" s="28" t="s">
        <v>1599</v>
      </c>
      <c r="E353" s="12">
        <f>Source!DO258</f>
        <v>70</v>
      </c>
      <c r="F353" s="30"/>
      <c r="G353" s="29"/>
      <c r="H353" s="12"/>
      <c r="I353" s="30">
        <f>SUM(S346:S352)</f>
        <v>31</v>
      </c>
      <c r="J353" s="12">
        <f>Source!CA258</f>
        <v>41</v>
      </c>
      <c r="K353" s="30">
        <f>SUM(T346:T352)</f>
        <v>527.15</v>
      </c>
    </row>
    <row r="354" spans="1:29" ht="14.25" x14ac:dyDescent="0.2">
      <c r="A354" s="27"/>
      <c r="B354" s="27"/>
      <c r="C354" s="27" t="s">
        <v>1612</v>
      </c>
      <c r="D354" s="28" t="s">
        <v>1599</v>
      </c>
      <c r="E354" s="12">
        <f>175</f>
        <v>175</v>
      </c>
      <c r="F354" s="30"/>
      <c r="G354" s="29"/>
      <c r="H354" s="12"/>
      <c r="I354" s="30">
        <f>SUM(U346:U353)</f>
        <v>1.4</v>
      </c>
      <c r="J354" s="12">
        <f>160</f>
        <v>160</v>
      </c>
      <c r="K354" s="30">
        <f>SUM(V346:V353)</f>
        <v>37.15</v>
      </c>
    </row>
    <row r="355" spans="1:29" ht="14.25" x14ac:dyDescent="0.2">
      <c r="A355" s="31"/>
      <c r="B355" s="31"/>
      <c r="C355" s="31" t="s">
        <v>1601</v>
      </c>
      <c r="D355" s="32" t="s">
        <v>1602</v>
      </c>
      <c r="E355" s="33">
        <f>Source!AQ257</f>
        <v>272</v>
      </c>
      <c r="F355" s="34"/>
      <c r="G355" s="35" t="str">
        <f>Source!DI257</f>
        <v>)*1,15</v>
      </c>
      <c r="H355" s="33">
        <f>Source!AV258</f>
        <v>1</v>
      </c>
      <c r="I355" s="34">
        <f>Source!U257</f>
        <v>3.1279999999999997</v>
      </c>
      <c r="J355" s="33"/>
      <c r="K355" s="34"/>
    </row>
    <row r="356" spans="1:29" ht="15" x14ac:dyDescent="0.25">
      <c r="C356" s="22" t="s">
        <v>1603</v>
      </c>
      <c r="H356" s="104">
        <f>I347+I348+I350+I352+I353+I354+SUM(I351:I351)-SUMIF(AC351:AC351, 5, I351:I351)-SUMIF(AC351:AC351, 6, I351:I351)</f>
        <v>125.97</v>
      </c>
      <c r="I356" s="104"/>
      <c r="J356" s="104">
        <f>K347+K348+K350+K352+K353+K354+SUM(K351:K351)-SUMIF(AC351:AC351, 5, K351:K351)-SUMIF(AC351:AC351, 6, K351:K351)</f>
        <v>67464.91</v>
      </c>
      <c r="K356" s="104"/>
    </row>
    <row r="357" spans="1:29" ht="15" x14ac:dyDescent="0.25">
      <c r="C357" s="22" t="s">
        <v>1604</v>
      </c>
      <c r="H357" s="100">
        <f>SUMIF(AC351:AC351, 5, I351:I351)+SUMIF(AC351:AC351, 6, I351:I351)</f>
        <v>0</v>
      </c>
      <c r="I357" s="100"/>
      <c r="J357" s="100">
        <f>SUMIF(AC351:AC351, 5, K351:K351)+SUMIF(AC351:AC351, 6, K351:K351)</f>
        <v>0</v>
      </c>
      <c r="K357" s="100"/>
    </row>
    <row r="358" spans="1:29" ht="15" x14ac:dyDescent="0.25">
      <c r="C358" s="22" t="s">
        <v>1605</v>
      </c>
      <c r="H358" s="100">
        <f>I347+I348+I350+I352+I353+I354+SUM(I351:I351)</f>
        <v>125.97</v>
      </c>
      <c r="I358" s="100"/>
      <c r="J358" s="100">
        <f>K347+K348+K350+K352+K353+K354+SUM(K351:K351)</f>
        <v>67464.91</v>
      </c>
      <c r="K358" s="100"/>
      <c r="O358" s="36">
        <f>I347+I348+I350+I352+I353+I354+SUM(I351:I351)</f>
        <v>125.97</v>
      </c>
      <c r="P358" s="36">
        <f>K347+K348+K350+K352+K353+K354+SUM(K351:K351)</f>
        <v>67464.91</v>
      </c>
    </row>
    <row r="360" spans="1:29" ht="52.5" x14ac:dyDescent="0.2">
      <c r="A360" s="27">
        <v>19</v>
      </c>
      <c r="B360" s="27" t="s">
        <v>1632</v>
      </c>
      <c r="C360" s="27" t="s">
        <v>299</v>
      </c>
      <c r="D360" s="28" t="str">
        <f>Source!H261</f>
        <v>1  ШТ.</v>
      </c>
      <c r="E360" s="12">
        <f>Source!I261</f>
        <v>1</v>
      </c>
      <c r="F360" s="30"/>
      <c r="G360" s="29"/>
      <c r="H360" s="12"/>
      <c r="I360" s="30"/>
      <c r="J360" s="12"/>
      <c r="K360" s="30"/>
      <c r="Q360">
        <f>Source!X261</f>
        <v>33.4</v>
      </c>
      <c r="R360">
        <f>Source!X262</f>
        <v>793.22</v>
      </c>
      <c r="S360">
        <f>Source!Y261</f>
        <v>22.47</v>
      </c>
      <c r="T360">
        <f>Source!Y262</f>
        <v>361.35</v>
      </c>
      <c r="U360">
        <f>ROUND((175/100)*ROUND(Source!R261, 2), 2)</f>
        <v>1.91</v>
      </c>
      <c r="V360">
        <f>ROUND((160/100)*ROUND(Source!R262, 2), 2)</f>
        <v>50.62</v>
      </c>
      <c r="AC360">
        <v>0</v>
      </c>
    </row>
    <row r="361" spans="1:29" ht="14.25" x14ac:dyDescent="0.2">
      <c r="A361" s="27"/>
      <c r="B361" s="27"/>
      <c r="C361" s="27" t="s">
        <v>1597</v>
      </c>
      <c r="D361" s="28"/>
      <c r="E361" s="12"/>
      <c r="F361" s="30">
        <f>Source!AO261</f>
        <v>26.4</v>
      </c>
      <c r="G361" s="29" t="str">
        <f>Source!DG261</f>
        <v>)*1,15</v>
      </c>
      <c r="H361" s="12">
        <f>Source!AV262</f>
        <v>1</v>
      </c>
      <c r="I361" s="30">
        <f>Source!S261</f>
        <v>30.36</v>
      </c>
      <c r="J361" s="12">
        <f>IF(Source!BA262&lt;&gt; 0, Source!BA262, 1)</f>
        <v>29.03</v>
      </c>
      <c r="K361" s="30">
        <f>Source!S262</f>
        <v>881.35</v>
      </c>
    </row>
    <row r="362" spans="1:29" ht="14.25" x14ac:dyDescent="0.2">
      <c r="A362" s="27"/>
      <c r="B362" s="27"/>
      <c r="C362" s="27" t="s">
        <v>1609</v>
      </c>
      <c r="D362" s="28"/>
      <c r="E362" s="12"/>
      <c r="F362" s="30">
        <f>Source!AM261</f>
        <v>7.93</v>
      </c>
      <c r="G362" s="29" t="str">
        <f>Source!DE261</f>
        <v>)*1,25</v>
      </c>
      <c r="H362" s="12">
        <f>Source!AV262</f>
        <v>1</v>
      </c>
      <c r="I362" s="30">
        <f>Source!Q261</f>
        <v>9.91</v>
      </c>
      <c r="J362" s="12">
        <f>IF(Source!BB262&lt;&gt; 0, Source!BB262, 1)</f>
        <v>10.9</v>
      </c>
      <c r="K362" s="30">
        <f>Source!Q262</f>
        <v>108.02</v>
      </c>
    </row>
    <row r="363" spans="1:29" ht="14.25" x14ac:dyDescent="0.2">
      <c r="A363" s="27"/>
      <c r="B363" s="27"/>
      <c r="C363" s="27" t="s">
        <v>1610</v>
      </c>
      <c r="D363" s="28"/>
      <c r="E363" s="12"/>
      <c r="F363" s="30">
        <f>Source!AN261</f>
        <v>0.87</v>
      </c>
      <c r="G363" s="29" t="str">
        <f>Source!DF261</f>
        <v>)*1,25</v>
      </c>
      <c r="H363" s="12">
        <f>Source!AV262</f>
        <v>1</v>
      </c>
      <c r="I363" s="38">
        <f>Source!R261</f>
        <v>1.0900000000000001</v>
      </c>
      <c r="J363" s="12">
        <f>IF(Source!BS262&lt;&gt; 0, Source!BS262, 1)</f>
        <v>29.03</v>
      </c>
      <c r="K363" s="38">
        <f>Source!R262</f>
        <v>31.64</v>
      </c>
    </row>
    <row r="364" spans="1:29" ht="14.25" x14ac:dyDescent="0.2">
      <c r="A364" s="27"/>
      <c r="B364" s="27"/>
      <c r="C364" s="27" t="s">
        <v>1611</v>
      </c>
      <c r="D364" s="28"/>
      <c r="E364" s="12"/>
      <c r="F364" s="30">
        <f>Source!AL261</f>
        <v>67.209999999999994</v>
      </c>
      <c r="G364" s="29" t="str">
        <f>Source!DD261</f>
        <v/>
      </c>
      <c r="H364" s="12">
        <f>Source!AW262</f>
        <v>1</v>
      </c>
      <c r="I364" s="30">
        <f>Source!P261</f>
        <v>67.209999999999994</v>
      </c>
      <c r="J364" s="12">
        <f>IF(Source!BC262&lt;&gt; 0, Source!BC262, 1)</f>
        <v>7.88</v>
      </c>
      <c r="K364" s="30">
        <f>Source!P262</f>
        <v>529.61</v>
      </c>
    </row>
    <row r="365" spans="1:29" ht="42.75" x14ac:dyDescent="0.2">
      <c r="A365" s="27" t="s">
        <v>303</v>
      </c>
      <c r="B365" s="27" t="str">
        <f>Source!F263</f>
        <v>Цена поставщика</v>
      </c>
      <c r="C365" s="27" t="s">
        <v>1633</v>
      </c>
      <c r="D365" s="28" t="str">
        <f>Source!H263</f>
        <v>шт.</v>
      </c>
      <c r="E365" s="12">
        <f>Source!I263</f>
        <v>1</v>
      </c>
      <c r="F365" s="30">
        <f>Source!AK263</f>
        <v>0</v>
      </c>
      <c r="G365" s="39" t="s">
        <v>3</v>
      </c>
      <c r="H365" s="12">
        <f>Source!AW264</f>
        <v>1</v>
      </c>
      <c r="I365" s="30">
        <f>Source!O263</f>
        <v>0</v>
      </c>
      <c r="J365" s="12">
        <f>IF(Source!BC264&lt;&gt; 0, Source!BC264, 1)</f>
        <v>8.65</v>
      </c>
      <c r="K365" s="30">
        <f>Source!O264</f>
        <v>1886.22</v>
      </c>
      <c r="Q365">
        <f>Source!X263</f>
        <v>0</v>
      </c>
      <c r="R365">
        <f>Source!X264</f>
        <v>0</v>
      </c>
      <c r="S365">
        <f>Source!Y263</f>
        <v>0</v>
      </c>
      <c r="T365">
        <f>Source!Y264</f>
        <v>0</v>
      </c>
      <c r="U365">
        <f>ROUND((175/100)*ROUND(Source!R263, 2), 2)</f>
        <v>0</v>
      </c>
      <c r="V365">
        <f>ROUND((160/100)*ROUND(Source!R264, 2), 2)</f>
        <v>0</v>
      </c>
      <c r="AC365">
        <v>3</v>
      </c>
    </row>
    <row r="366" spans="1:29" ht="14.25" x14ac:dyDescent="0.2">
      <c r="A366" s="27"/>
      <c r="B366" s="27"/>
      <c r="C366" s="27" t="s">
        <v>1598</v>
      </c>
      <c r="D366" s="28" t="s">
        <v>1599</v>
      </c>
      <c r="E366" s="12">
        <f>Source!DN262</f>
        <v>110</v>
      </c>
      <c r="F366" s="30"/>
      <c r="G366" s="29"/>
      <c r="H366" s="12"/>
      <c r="I366" s="30">
        <f>SUM(Q360:Q365)</f>
        <v>33.4</v>
      </c>
      <c r="J366" s="12">
        <f>Source!BZ262</f>
        <v>90</v>
      </c>
      <c r="K366" s="30">
        <f>SUM(R360:R365)</f>
        <v>793.22</v>
      </c>
    </row>
    <row r="367" spans="1:29" ht="14.25" x14ac:dyDescent="0.2">
      <c r="A367" s="27"/>
      <c r="B367" s="27"/>
      <c r="C367" s="27" t="s">
        <v>1600</v>
      </c>
      <c r="D367" s="28" t="s">
        <v>1599</v>
      </c>
      <c r="E367" s="12">
        <f>Source!DO262</f>
        <v>74</v>
      </c>
      <c r="F367" s="30"/>
      <c r="G367" s="29"/>
      <c r="H367" s="12"/>
      <c r="I367" s="30">
        <f>SUM(S360:S366)</f>
        <v>22.47</v>
      </c>
      <c r="J367" s="12">
        <f>Source!CA262</f>
        <v>41</v>
      </c>
      <c r="K367" s="30">
        <f>SUM(T360:T366)</f>
        <v>361.35</v>
      </c>
    </row>
    <row r="368" spans="1:29" ht="14.25" x14ac:dyDescent="0.2">
      <c r="A368" s="27"/>
      <c r="B368" s="27"/>
      <c r="C368" s="27" t="s">
        <v>1612</v>
      </c>
      <c r="D368" s="28" t="s">
        <v>1599</v>
      </c>
      <c r="E368" s="12">
        <f>175</f>
        <v>175</v>
      </c>
      <c r="F368" s="30"/>
      <c r="G368" s="29"/>
      <c r="H368" s="12"/>
      <c r="I368" s="30">
        <f>SUM(U360:U367)</f>
        <v>1.91</v>
      </c>
      <c r="J368" s="12">
        <f>160</f>
        <v>160</v>
      </c>
      <c r="K368" s="30">
        <f>SUM(V360:V367)</f>
        <v>50.62</v>
      </c>
    </row>
    <row r="369" spans="1:29" ht="14.25" x14ac:dyDescent="0.2">
      <c r="A369" s="31"/>
      <c r="B369" s="31"/>
      <c r="C369" s="31" t="s">
        <v>1601</v>
      </c>
      <c r="D369" s="32" t="s">
        <v>1602</v>
      </c>
      <c r="E369" s="33">
        <f>Source!AQ261</f>
        <v>2</v>
      </c>
      <c r="F369" s="34"/>
      <c r="G369" s="35" t="str">
        <f>Source!DI261</f>
        <v>)*1,15</v>
      </c>
      <c r="H369" s="33">
        <f>Source!AV262</f>
        <v>1</v>
      </c>
      <c r="I369" s="34">
        <f>Source!U261</f>
        <v>2.2999999999999998</v>
      </c>
      <c r="J369" s="33"/>
      <c r="K369" s="34"/>
    </row>
    <row r="370" spans="1:29" ht="15" x14ac:dyDescent="0.25">
      <c r="C370" s="22" t="s">
        <v>1603</v>
      </c>
      <c r="H370" s="104">
        <f>I361+I362+I364+I366+I367+I368+SUM(I365:I365)-SUMIF(AC365:AC365, 5, I365:I365)-SUMIF(AC365:AC365, 6, I365:I365)</f>
        <v>165.26</v>
      </c>
      <c r="I370" s="104"/>
      <c r="J370" s="104">
        <f>K361+K362+K364+K366+K367+K368+SUM(K365:K365)-SUMIF(AC365:AC365, 5, K365:K365)-SUMIF(AC365:AC365, 6, K365:K365)</f>
        <v>4610.3899999999994</v>
      </c>
      <c r="K370" s="104"/>
    </row>
    <row r="371" spans="1:29" ht="15" x14ac:dyDescent="0.25">
      <c r="C371" s="22" t="s">
        <v>1604</v>
      </c>
      <c r="H371" s="100">
        <f>SUMIF(AC365:AC365, 5, I365:I365)+SUMIF(AC365:AC365, 6, I365:I365)</f>
        <v>0</v>
      </c>
      <c r="I371" s="100"/>
      <c r="J371" s="100">
        <f>SUMIF(AC365:AC365, 5, K365:K365)+SUMIF(AC365:AC365, 6, K365:K365)</f>
        <v>0</v>
      </c>
      <c r="K371" s="100"/>
    </row>
    <row r="372" spans="1:29" ht="15" x14ac:dyDescent="0.25">
      <c r="C372" s="22" t="s">
        <v>1605</v>
      </c>
      <c r="H372" s="100">
        <f>I361+I362+I364+I366+I367+I368+SUM(I365:I365)</f>
        <v>165.26</v>
      </c>
      <c r="I372" s="100"/>
      <c r="J372" s="100">
        <f>K361+K362+K364+K366+K367+K368+SUM(K365:K365)</f>
        <v>4610.3899999999994</v>
      </c>
      <c r="K372" s="100"/>
      <c r="O372" s="36">
        <f>I361+I362+I364+I366+I367+I368+SUM(I365:I365)</f>
        <v>165.26</v>
      </c>
      <c r="P372" s="36">
        <f>K361+K362+K364+K366+K367+K368+SUM(K365:K365)</f>
        <v>4610.3899999999994</v>
      </c>
    </row>
    <row r="374" spans="1:29" ht="71.25" x14ac:dyDescent="0.2">
      <c r="A374" s="27">
        <v>20</v>
      </c>
      <c r="B374" s="27" t="s">
        <v>1634</v>
      </c>
      <c r="C374" s="27" t="s">
        <v>308</v>
      </c>
      <c r="D374" s="28" t="str">
        <f>Source!H265</f>
        <v>100 м2 перегородок (за вычетом проемов)</v>
      </c>
      <c r="E374" s="12">
        <f>Source!I265</f>
        <v>0.03</v>
      </c>
      <c r="F374" s="30"/>
      <c r="G374" s="29"/>
      <c r="H374" s="12"/>
      <c r="I374" s="30"/>
      <c r="J374" s="12"/>
      <c r="K374" s="30"/>
      <c r="Q374">
        <f>Source!X265</f>
        <v>41.75</v>
      </c>
      <c r="R374">
        <f>Source!X266</f>
        <v>998.93</v>
      </c>
      <c r="S374">
        <f>Source!Y265</f>
        <v>32.119999999999997</v>
      </c>
      <c r="T374">
        <f>Source!Y266</f>
        <v>546.08000000000004</v>
      </c>
      <c r="U374">
        <f>ROUND((175/100)*ROUND(Source!R265, 2), 2)</f>
        <v>0</v>
      </c>
      <c r="V374">
        <f>ROUND((160/100)*ROUND(Source!R266, 2), 2)</f>
        <v>0</v>
      </c>
      <c r="AC374">
        <v>0</v>
      </c>
    </row>
    <row r="375" spans="1:29" ht="14.25" x14ac:dyDescent="0.2">
      <c r="A375" s="27"/>
      <c r="B375" s="27"/>
      <c r="C375" s="27" t="s">
        <v>1597</v>
      </c>
      <c r="D375" s="28"/>
      <c r="E375" s="12"/>
      <c r="F375" s="30">
        <f>Source!AO265</f>
        <v>1329.79</v>
      </c>
      <c r="G375" s="29" t="str">
        <f>Source!DG265</f>
        <v>)*1,15</v>
      </c>
      <c r="H375" s="12">
        <f>Source!AV266</f>
        <v>1</v>
      </c>
      <c r="I375" s="30">
        <f>Source!S265</f>
        <v>45.88</v>
      </c>
      <c r="J375" s="12">
        <f>IF(Source!BA266&lt;&gt; 0, Source!BA266, 1)</f>
        <v>29.03</v>
      </c>
      <c r="K375" s="30">
        <f>Source!S266</f>
        <v>1331.9</v>
      </c>
    </row>
    <row r="376" spans="1:29" ht="14.25" x14ac:dyDescent="0.2">
      <c r="A376" s="27"/>
      <c r="B376" s="27"/>
      <c r="C376" s="27" t="s">
        <v>1611</v>
      </c>
      <c r="D376" s="28"/>
      <c r="E376" s="12"/>
      <c r="F376" s="30">
        <f>Source!AL265</f>
        <v>57.48</v>
      </c>
      <c r="G376" s="29" t="str">
        <f>Source!DD265</f>
        <v/>
      </c>
      <c r="H376" s="12">
        <f>Source!AW266</f>
        <v>1</v>
      </c>
      <c r="I376" s="30">
        <f>Source!P265</f>
        <v>1.72</v>
      </c>
      <c r="J376" s="12">
        <f>IF(Source!BC266&lt;&gt; 0, Source!BC266, 1)</f>
        <v>5.0199999999999996</v>
      </c>
      <c r="K376" s="30">
        <f>Source!P266</f>
        <v>8.6300000000000008</v>
      </c>
    </row>
    <row r="377" spans="1:29" ht="28.5" x14ac:dyDescent="0.2">
      <c r="A377" s="27" t="s">
        <v>313</v>
      </c>
      <c r="B377" s="27" t="str">
        <f>Source!F267</f>
        <v>1.1-1-352</v>
      </c>
      <c r="C377" s="27" t="s">
        <v>315</v>
      </c>
      <c r="D377" s="28" t="str">
        <f>Source!H267</f>
        <v>1000 шт.</v>
      </c>
      <c r="E377" s="12">
        <f>Source!I267</f>
        <v>0.15</v>
      </c>
      <c r="F377" s="30">
        <f>Source!AK267</f>
        <v>1064.6600000000001</v>
      </c>
      <c r="G377" s="39" t="s">
        <v>3</v>
      </c>
      <c r="H377" s="12">
        <f>Source!AW268</f>
        <v>1</v>
      </c>
      <c r="I377" s="30">
        <f>Source!O267</f>
        <v>159.69999999999999</v>
      </c>
      <c r="J377" s="12">
        <f>IF(Source!BC268&lt;&gt; 0, Source!BC268, 1)</f>
        <v>15.6</v>
      </c>
      <c r="K377" s="30">
        <f>Source!O268</f>
        <v>2491.3200000000002</v>
      </c>
      <c r="Q377">
        <f>Source!X267</f>
        <v>0</v>
      </c>
      <c r="R377">
        <f>Source!X268</f>
        <v>0</v>
      </c>
      <c r="S377">
        <f>Source!Y267</f>
        <v>0</v>
      </c>
      <c r="T377">
        <f>Source!Y268</f>
        <v>0</v>
      </c>
      <c r="U377">
        <f>ROUND((175/100)*ROUND(Source!R267, 2), 2)</f>
        <v>0</v>
      </c>
      <c r="V377">
        <f>ROUND((160/100)*ROUND(Source!R268, 2), 2)</f>
        <v>0</v>
      </c>
      <c r="AC377">
        <v>3</v>
      </c>
    </row>
    <row r="378" spans="1:29" ht="28.5" x14ac:dyDescent="0.2">
      <c r="A378" s="27" t="s">
        <v>318</v>
      </c>
      <c r="B378" s="27" t="str">
        <f>Source!F269</f>
        <v>1.3-2-13</v>
      </c>
      <c r="C378" s="27" t="s">
        <v>320</v>
      </c>
      <c r="D378" s="28" t="str">
        <f>Source!H269</f>
        <v>м3</v>
      </c>
      <c r="E378" s="12">
        <f>Source!I269</f>
        <v>6.9000000000000006E-2</v>
      </c>
      <c r="F378" s="30">
        <f>Source!AK269</f>
        <v>481.69</v>
      </c>
      <c r="G378" s="39" t="s">
        <v>3</v>
      </c>
      <c r="H378" s="12">
        <f>Source!AW270</f>
        <v>1</v>
      </c>
      <c r="I378" s="30">
        <f>Source!O269</f>
        <v>33.24</v>
      </c>
      <c r="J378" s="12">
        <f>IF(Source!BC270&lt;&gt; 0, Source!BC270, 1)</f>
        <v>9.43</v>
      </c>
      <c r="K378" s="30">
        <f>Source!O270</f>
        <v>313.45</v>
      </c>
      <c r="Q378">
        <f>Source!X269</f>
        <v>0</v>
      </c>
      <c r="R378">
        <f>Source!X270</f>
        <v>0</v>
      </c>
      <c r="S378">
        <f>Source!Y269</f>
        <v>0</v>
      </c>
      <c r="T378">
        <f>Source!Y270</f>
        <v>0</v>
      </c>
      <c r="U378">
        <f>ROUND((175/100)*ROUND(Source!R269, 2), 2)</f>
        <v>0</v>
      </c>
      <c r="V378">
        <f>ROUND((160/100)*ROUND(Source!R270, 2), 2)</f>
        <v>0</v>
      </c>
      <c r="AC378">
        <v>3</v>
      </c>
    </row>
    <row r="379" spans="1:29" ht="14.25" x14ac:dyDescent="0.2">
      <c r="A379" s="27"/>
      <c r="B379" s="27"/>
      <c r="C379" s="27" t="s">
        <v>1598</v>
      </c>
      <c r="D379" s="28" t="s">
        <v>1599</v>
      </c>
      <c r="E379" s="12">
        <f>Source!DN266</f>
        <v>91</v>
      </c>
      <c r="F379" s="30"/>
      <c r="G379" s="29"/>
      <c r="H379" s="12"/>
      <c r="I379" s="30">
        <f>SUM(Q374:Q378)</f>
        <v>41.75</v>
      </c>
      <c r="J379" s="12">
        <f>Source!BZ266</f>
        <v>75</v>
      </c>
      <c r="K379" s="30">
        <f>SUM(R374:R378)</f>
        <v>998.93</v>
      </c>
    </row>
    <row r="380" spans="1:29" ht="14.25" x14ac:dyDescent="0.2">
      <c r="A380" s="27"/>
      <c r="B380" s="27"/>
      <c r="C380" s="27" t="s">
        <v>1600</v>
      </c>
      <c r="D380" s="28" t="s">
        <v>1599</v>
      </c>
      <c r="E380" s="12">
        <f>Source!DO266</f>
        <v>70</v>
      </c>
      <c r="F380" s="30"/>
      <c r="G380" s="29"/>
      <c r="H380" s="12"/>
      <c r="I380" s="30">
        <f>SUM(S374:S379)</f>
        <v>32.119999999999997</v>
      </c>
      <c r="J380" s="12">
        <f>Source!CA266</f>
        <v>41</v>
      </c>
      <c r="K380" s="30">
        <f>SUM(T374:T379)</f>
        <v>546.08000000000004</v>
      </c>
    </row>
    <row r="381" spans="1:29" ht="14.25" x14ac:dyDescent="0.2">
      <c r="A381" s="31"/>
      <c r="B381" s="31"/>
      <c r="C381" s="31" t="s">
        <v>1601</v>
      </c>
      <c r="D381" s="32" t="s">
        <v>1602</v>
      </c>
      <c r="E381" s="33">
        <f>Source!AQ265</f>
        <v>121</v>
      </c>
      <c r="F381" s="34"/>
      <c r="G381" s="35" t="str">
        <f>Source!DI265</f>
        <v>)*1,15</v>
      </c>
      <c r="H381" s="33">
        <f>Source!AV266</f>
        <v>1</v>
      </c>
      <c r="I381" s="34">
        <f>Source!U265</f>
        <v>4.1744999999999992</v>
      </c>
      <c r="J381" s="33"/>
      <c r="K381" s="34"/>
    </row>
    <row r="382" spans="1:29" ht="15" x14ac:dyDescent="0.25">
      <c r="C382" s="22" t="s">
        <v>1603</v>
      </c>
      <c r="H382" s="104">
        <f>I375+I376+I379+I380+SUM(I377:I378)-SUMIF(AC377:AC378, 5, I377:I378)-SUMIF(AC377:AC378, 6, I377:I378)</f>
        <v>314.40999999999997</v>
      </c>
      <c r="I382" s="104"/>
      <c r="J382" s="104">
        <f>K375+K376+K379+K380+SUM(K377:K378)-SUMIF(AC377:AC378, 5, K377:K378)-SUMIF(AC377:AC378, 6, K377:K378)</f>
        <v>5690.3099999999995</v>
      </c>
      <c r="K382" s="104"/>
    </row>
    <row r="383" spans="1:29" ht="15" x14ac:dyDescent="0.25">
      <c r="C383" s="22" t="s">
        <v>1604</v>
      </c>
      <c r="H383" s="100">
        <f>SUMIF(AC377:AC378, 5, I377:I378)+SUMIF(AC377:AC378, 6, I377:I378)</f>
        <v>0</v>
      </c>
      <c r="I383" s="100"/>
      <c r="J383" s="100">
        <f>SUMIF(AC377:AC378, 5, K377:K378)+SUMIF(AC377:AC378, 6, K377:K378)</f>
        <v>0</v>
      </c>
      <c r="K383" s="100"/>
    </row>
    <row r="384" spans="1:29" ht="15" x14ac:dyDescent="0.25">
      <c r="C384" s="22" t="s">
        <v>1605</v>
      </c>
      <c r="H384" s="100">
        <f>I375+I376+I379+I380+SUM(I377:I378)</f>
        <v>314.40999999999997</v>
      </c>
      <c r="I384" s="100"/>
      <c r="J384" s="100">
        <f>K375+K376+K379+K380+SUM(K377:K378)</f>
        <v>5690.3099999999995</v>
      </c>
      <c r="K384" s="100"/>
      <c r="O384" s="36">
        <f>I375+I376+I379+I380+SUM(I377:I378)</f>
        <v>314.40999999999997</v>
      </c>
      <c r="P384" s="36">
        <f>K375+K376+K379+K380+SUM(K377:K378)</f>
        <v>5690.3099999999995</v>
      </c>
    </row>
    <row r="386" spans="1:29" ht="57" x14ac:dyDescent="0.2">
      <c r="A386" s="27">
        <v>21</v>
      </c>
      <c r="B386" s="27" t="str">
        <f>Source!F271</f>
        <v>6.61-1-1</v>
      </c>
      <c r="C386" s="27" t="s">
        <v>324</v>
      </c>
      <c r="D386" s="28" t="str">
        <f>Source!H271</f>
        <v>100 м2</v>
      </c>
      <c r="E386" s="12">
        <f>Source!I271</f>
        <v>0.42199999999999999</v>
      </c>
      <c r="F386" s="30"/>
      <c r="G386" s="29"/>
      <c r="H386" s="12"/>
      <c r="I386" s="30"/>
      <c r="J386" s="12"/>
      <c r="K386" s="30"/>
      <c r="Q386">
        <f>Source!X271</f>
        <v>135.94</v>
      </c>
      <c r="R386">
        <f>Source!X272</f>
        <v>3275.46</v>
      </c>
      <c r="S386">
        <f>Source!Y271</f>
        <v>87</v>
      </c>
      <c r="T386">
        <f>Source!Y272</f>
        <v>1618</v>
      </c>
      <c r="U386">
        <f>ROUND((175/100)*ROUND(Source!R271, 2), 2)</f>
        <v>0</v>
      </c>
      <c r="V386">
        <f>ROUND((160/100)*ROUND(Source!R272, 2), 2)</f>
        <v>0</v>
      </c>
      <c r="AC386">
        <v>0</v>
      </c>
    </row>
    <row r="387" spans="1:29" ht="14.25" x14ac:dyDescent="0.2">
      <c r="A387" s="27"/>
      <c r="B387" s="27"/>
      <c r="C387" s="27" t="s">
        <v>1597</v>
      </c>
      <c r="D387" s="28"/>
      <c r="E387" s="12"/>
      <c r="F387" s="30">
        <f>Source!AO271</f>
        <v>322.13</v>
      </c>
      <c r="G387" s="29" t="str">
        <f>Source!DG271</f>
        <v/>
      </c>
      <c r="H387" s="12">
        <f>Source!AV272</f>
        <v>1</v>
      </c>
      <c r="I387" s="30">
        <f>Source!S271</f>
        <v>135.94</v>
      </c>
      <c r="J387" s="12">
        <f>IF(Source!BA272&lt;&gt; 0, Source!BA272, 1)</f>
        <v>29.03</v>
      </c>
      <c r="K387" s="30">
        <f>Source!S272</f>
        <v>3946.34</v>
      </c>
    </row>
    <row r="388" spans="1:29" ht="28.5" x14ac:dyDescent="0.2">
      <c r="A388" s="27" t="s">
        <v>328</v>
      </c>
      <c r="B388" s="27" t="str">
        <f>Source!F273</f>
        <v>1.3-2-13</v>
      </c>
      <c r="C388" s="27" t="s">
        <v>320</v>
      </c>
      <c r="D388" s="28" t="str">
        <f>Source!H273</f>
        <v>м3</v>
      </c>
      <c r="E388" s="12">
        <f>Source!I273</f>
        <v>0.22366</v>
      </c>
      <c r="F388" s="30">
        <f>Source!AK273</f>
        <v>481.69</v>
      </c>
      <c r="G388" s="39" t="s">
        <v>3</v>
      </c>
      <c r="H388" s="12">
        <f>Source!AW274</f>
        <v>1</v>
      </c>
      <c r="I388" s="30">
        <f>Source!O273</f>
        <v>107.73</v>
      </c>
      <c r="J388" s="12">
        <f>IF(Source!BC274&lt;&gt; 0, Source!BC274, 1)</f>
        <v>9.43</v>
      </c>
      <c r="K388" s="30">
        <f>Source!O274</f>
        <v>1015.89</v>
      </c>
      <c r="Q388">
        <f>Source!X273</f>
        <v>0</v>
      </c>
      <c r="R388">
        <f>Source!X274</f>
        <v>0</v>
      </c>
      <c r="S388">
        <f>Source!Y273</f>
        <v>0</v>
      </c>
      <c r="T388">
        <f>Source!Y274</f>
        <v>0</v>
      </c>
      <c r="U388">
        <f>ROUND((175/100)*ROUND(Source!R273, 2), 2)</f>
        <v>0</v>
      </c>
      <c r="V388">
        <f>ROUND((160/100)*ROUND(Source!R274, 2), 2)</f>
        <v>0</v>
      </c>
      <c r="AC388">
        <v>3</v>
      </c>
    </row>
    <row r="389" spans="1:29" ht="14.25" x14ac:dyDescent="0.2">
      <c r="A389" s="27"/>
      <c r="B389" s="27"/>
      <c r="C389" s="27" t="s">
        <v>1598</v>
      </c>
      <c r="D389" s="28" t="s">
        <v>1599</v>
      </c>
      <c r="E389" s="12">
        <f>Source!DN272</f>
        <v>100</v>
      </c>
      <c r="F389" s="30"/>
      <c r="G389" s="29"/>
      <c r="H389" s="12"/>
      <c r="I389" s="30">
        <f>SUM(Q386:Q388)</f>
        <v>135.94</v>
      </c>
      <c r="J389" s="12">
        <f>Source!BZ272</f>
        <v>83</v>
      </c>
      <c r="K389" s="30">
        <f>SUM(R386:R388)</f>
        <v>3275.46</v>
      </c>
    </row>
    <row r="390" spans="1:29" ht="14.25" x14ac:dyDescent="0.2">
      <c r="A390" s="27"/>
      <c r="B390" s="27"/>
      <c r="C390" s="27" t="s">
        <v>1600</v>
      </c>
      <c r="D390" s="28" t="s">
        <v>1599</v>
      </c>
      <c r="E390" s="12">
        <f>Source!DO272</f>
        <v>64</v>
      </c>
      <c r="F390" s="30"/>
      <c r="G390" s="29"/>
      <c r="H390" s="12"/>
      <c r="I390" s="30">
        <f>SUM(S386:S389)</f>
        <v>87</v>
      </c>
      <c r="J390" s="12">
        <f>Source!CA272</f>
        <v>41</v>
      </c>
      <c r="K390" s="30">
        <f>SUM(T386:T389)</f>
        <v>1618</v>
      </c>
    </row>
    <row r="391" spans="1:29" ht="14.25" x14ac:dyDescent="0.2">
      <c r="A391" s="31"/>
      <c r="B391" s="31"/>
      <c r="C391" s="31" t="s">
        <v>1601</v>
      </c>
      <c r="D391" s="32" t="s">
        <v>1602</v>
      </c>
      <c r="E391" s="33">
        <f>Source!AQ271</f>
        <v>29.58</v>
      </c>
      <c r="F391" s="34"/>
      <c r="G391" s="35" t="str">
        <f>Source!DI271</f>
        <v/>
      </c>
      <c r="H391" s="33">
        <f>Source!AV272</f>
        <v>1</v>
      </c>
      <c r="I391" s="34">
        <f>Source!U271</f>
        <v>12.482759999999999</v>
      </c>
      <c r="J391" s="33"/>
      <c r="K391" s="34"/>
    </row>
    <row r="392" spans="1:29" ht="15" x14ac:dyDescent="0.25">
      <c r="C392" s="22" t="s">
        <v>1603</v>
      </c>
      <c r="H392" s="104">
        <f>I387+I389+I390+SUM(I388:I388)-SUMIF(AC388:AC388, 5, I388:I388)-SUMIF(AC388:AC388, 6, I388:I388)</f>
        <v>466.61</v>
      </c>
      <c r="I392" s="104"/>
      <c r="J392" s="104">
        <f>K387+K389+K390+SUM(K388:K388)-SUMIF(AC388:AC388, 5, K388:K388)-SUMIF(AC388:AC388, 6, K388:K388)</f>
        <v>9855.6899999999987</v>
      </c>
      <c r="K392" s="104"/>
    </row>
    <row r="393" spans="1:29" ht="15" x14ac:dyDescent="0.25">
      <c r="C393" s="22" t="s">
        <v>1604</v>
      </c>
      <c r="H393" s="100">
        <f>SUMIF(AC388:AC388, 5, I388:I388)+SUMIF(AC388:AC388, 6, I388:I388)</f>
        <v>0</v>
      </c>
      <c r="I393" s="100"/>
      <c r="J393" s="100">
        <f>SUMIF(AC388:AC388, 5, K388:K388)+SUMIF(AC388:AC388, 6, K388:K388)</f>
        <v>0</v>
      </c>
      <c r="K393" s="100"/>
    </row>
    <row r="394" spans="1:29" ht="15" x14ac:dyDescent="0.25">
      <c r="C394" s="22" t="s">
        <v>1605</v>
      </c>
      <c r="H394" s="100">
        <f>I387+I389+I390+SUM(I388:I388)</f>
        <v>466.61</v>
      </c>
      <c r="I394" s="100"/>
      <c r="J394" s="100">
        <f>K387+K389+K390+SUM(K388:K388)</f>
        <v>9855.6899999999987</v>
      </c>
      <c r="K394" s="100"/>
      <c r="O394" s="36">
        <f>I387+I389+I390+SUM(I388:I388)</f>
        <v>466.61</v>
      </c>
      <c r="P394" s="36">
        <f>K387+K389+K390+SUM(K388:K388)</f>
        <v>9855.6899999999987</v>
      </c>
    </row>
    <row r="396" spans="1:29" ht="71.25" x14ac:dyDescent="0.2">
      <c r="A396" s="27">
        <v>22</v>
      </c>
      <c r="B396" s="27" t="s">
        <v>1635</v>
      </c>
      <c r="C396" s="27" t="s">
        <v>331</v>
      </c>
      <c r="D396" s="28" t="str">
        <f>Source!H275</f>
        <v>100 м2 поверхности облицовки</v>
      </c>
      <c r="E396" s="12">
        <f>Source!I275</f>
        <v>0.42199999999999999</v>
      </c>
      <c r="F396" s="30"/>
      <c r="G396" s="29"/>
      <c r="H396" s="12"/>
      <c r="I396" s="30"/>
      <c r="J396" s="12"/>
      <c r="K396" s="30"/>
      <c r="Q396">
        <f>Source!X275</f>
        <v>1141.43</v>
      </c>
      <c r="R396">
        <f>Source!X276</f>
        <v>27502.639999999999</v>
      </c>
      <c r="S396">
        <f>Source!Y275</f>
        <v>730.52</v>
      </c>
      <c r="T396">
        <f>Source!Y276</f>
        <v>13585.64</v>
      </c>
      <c r="U396">
        <f>ROUND((175/100)*ROUND(Source!R275, 2), 2)</f>
        <v>6.34</v>
      </c>
      <c r="V396">
        <f>ROUND((160/100)*ROUND(Source!R276, 2), 2)</f>
        <v>168.14</v>
      </c>
      <c r="AC396">
        <v>0</v>
      </c>
    </row>
    <row r="397" spans="1:29" ht="14.25" x14ac:dyDescent="0.2">
      <c r="A397" s="27"/>
      <c r="B397" s="27"/>
      <c r="C397" s="27" t="s">
        <v>1597</v>
      </c>
      <c r="D397" s="28"/>
      <c r="E397" s="12"/>
      <c r="F397" s="30">
        <f>Source!AO275</f>
        <v>2352</v>
      </c>
      <c r="G397" s="29" t="str">
        <f>Source!DG275</f>
        <v>)*1,15</v>
      </c>
      <c r="H397" s="12">
        <f>Source!AV276</f>
        <v>1</v>
      </c>
      <c r="I397" s="30">
        <f>Source!S275</f>
        <v>1141.43</v>
      </c>
      <c r="J397" s="12">
        <f>IF(Source!BA276&lt;&gt; 0, Source!BA276, 1)</f>
        <v>29.03</v>
      </c>
      <c r="K397" s="30">
        <f>Source!S276</f>
        <v>33135.71</v>
      </c>
    </row>
    <row r="398" spans="1:29" ht="14.25" x14ac:dyDescent="0.2">
      <c r="A398" s="27"/>
      <c r="B398" s="27"/>
      <c r="C398" s="27" t="s">
        <v>1609</v>
      </c>
      <c r="D398" s="28"/>
      <c r="E398" s="12"/>
      <c r="F398" s="30">
        <f>Source!AM275</f>
        <v>29.03</v>
      </c>
      <c r="G398" s="29" t="str">
        <f>Source!DE275</f>
        <v>)*1,25</v>
      </c>
      <c r="H398" s="12">
        <f>Source!AV276</f>
        <v>1</v>
      </c>
      <c r="I398" s="30">
        <f>Source!Q275</f>
        <v>15.31</v>
      </c>
      <c r="J398" s="12">
        <f>IF(Source!BB276&lt;&gt; 0, Source!BB276, 1)</f>
        <v>13.44</v>
      </c>
      <c r="K398" s="30">
        <f>Source!Q276</f>
        <v>205.77</v>
      </c>
    </row>
    <row r="399" spans="1:29" ht="14.25" x14ac:dyDescent="0.2">
      <c r="A399" s="27"/>
      <c r="B399" s="27"/>
      <c r="C399" s="27" t="s">
        <v>1610</v>
      </c>
      <c r="D399" s="28"/>
      <c r="E399" s="12"/>
      <c r="F399" s="30">
        <f>Source!AN275</f>
        <v>6.86</v>
      </c>
      <c r="G399" s="29" t="str">
        <f>Source!DF275</f>
        <v>)*1,25</v>
      </c>
      <c r="H399" s="12">
        <f>Source!AV276</f>
        <v>1</v>
      </c>
      <c r="I399" s="38">
        <f>Source!R275</f>
        <v>3.62</v>
      </c>
      <c r="J399" s="12">
        <f>IF(Source!BS276&lt;&gt; 0, Source!BS276, 1)</f>
        <v>29.03</v>
      </c>
      <c r="K399" s="38">
        <f>Source!R276</f>
        <v>105.09</v>
      </c>
    </row>
    <row r="400" spans="1:29" ht="14.25" x14ac:dyDescent="0.2">
      <c r="A400" s="27"/>
      <c r="B400" s="27"/>
      <c r="C400" s="27" t="s">
        <v>1611</v>
      </c>
      <c r="D400" s="28"/>
      <c r="E400" s="12"/>
      <c r="F400" s="30">
        <f>Source!AL275</f>
        <v>726.98</v>
      </c>
      <c r="G400" s="29" t="str">
        <f>Source!DD275</f>
        <v/>
      </c>
      <c r="H400" s="12">
        <f>Source!AW276</f>
        <v>1</v>
      </c>
      <c r="I400" s="30">
        <f>Source!P275</f>
        <v>306.79000000000002</v>
      </c>
      <c r="J400" s="12">
        <f>IF(Source!BC276&lt;&gt; 0, Source!BC276, 1)</f>
        <v>8.51</v>
      </c>
      <c r="K400" s="30">
        <f>Source!P276</f>
        <v>2610.7800000000002</v>
      </c>
    </row>
    <row r="401" spans="1:29" ht="28.5" x14ac:dyDescent="0.2">
      <c r="A401" s="27" t="s">
        <v>336</v>
      </c>
      <c r="B401" s="27" t="str">
        <f>Source!F277</f>
        <v>1.1-1-4000</v>
      </c>
      <c r="C401" s="27" t="s">
        <v>338</v>
      </c>
      <c r="D401" s="28" t="str">
        <f>Source!H277</f>
        <v>м2</v>
      </c>
      <c r="E401" s="12">
        <f>Source!I277</f>
        <v>42.2</v>
      </c>
      <c r="F401" s="30">
        <f>Source!AK277</f>
        <v>68.27</v>
      </c>
      <c r="G401" s="39" t="s">
        <v>3</v>
      </c>
      <c r="H401" s="12">
        <f>Source!AW278</f>
        <v>1</v>
      </c>
      <c r="I401" s="30">
        <f>Source!O277</f>
        <v>2880.99</v>
      </c>
      <c r="J401" s="12">
        <f>IF(Source!BC278&lt;&gt; 0, Source!BC278, 1)</f>
        <v>12.32</v>
      </c>
      <c r="K401" s="30">
        <f>Source!O278</f>
        <v>35493.800000000003</v>
      </c>
      <c r="Q401">
        <f>Source!X277</f>
        <v>0</v>
      </c>
      <c r="R401">
        <f>Source!X278</f>
        <v>0</v>
      </c>
      <c r="S401">
        <f>Source!Y277</f>
        <v>0</v>
      </c>
      <c r="T401">
        <f>Source!Y278</f>
        <v>0</v>
      </c>
      <c r="U401">
        <f>ROUND((175/100)*ROUND(Source!R277, 2), 2)</f>
        <v>0</v>
      </c>
      <c r="V401">
        <f>ROUND((160/100)*ROUND(Source!R278, 2), 2)</f>
        <v>0</v>
      </c>
      <c r="AC401">
        <v>3</v>
      </c>
    </row>
    <row r="402" spans="1:29" ht="14.25" x14ac:dyDescent="0.2">
      <c r="A402" s="27"/>
      <c r="B402" s="27"/>
      <c r="C402" s="27" t="s">
        <v>1598</v>
      </c>
      <c r="D402" s="28" t="s">
        <v>1599</v>
      </c>
      <c r="E402" s="12">
        <f>Source!DN276</f>
        <v>100</v>
      </c>
      <c r="F402" s="30"/>
      <c r="G402" s="29"/>
      <c r="H402" s="12"/>
      <c r="I402" s="30">
        <f>SUM(Q396:Q401)</f>
        <v>1141.43</v>
      </c>
      <c r="J402" s="12">
        <f>Source!BZ276</f>
        <v>83</v>
      </c>
      <c r="K402" s="30">
        <f>SUM(R396:R401)</f>
        <v>27502.639999999999</v>
      </c>
    </row>
    <row r="403" spans="1:29" ht="14.25" x14ac:dyDescent="0.2">
      <c r="A403" s="27"/>
      <c r="B403" s="27"/>
      <c r="C403" s="27" t="s">
        <v>1600</v>
      </c>
      <c r="D403" s="28" t="s">
        <v>1599</v>
      </c>
      <c r="E403" s="12">
        <f>Source!DO276</f>
        <v>64</v>
      </c>
      <c r="F403" s="30"/>
      <c r="G403" s="29"/>
      <c r="H403" s="12"/>
      <c r="I403" s="30">
        <f>SUM(S396:S402)</f>
        <v>730.52</v>
      </c>
      <c r="J403" s="12">
        <f>Source!CA276</f>
        <v>41</v>
      </c>
      <c r="K403" s="30">
        <f>SUM(T396:T402)</f>
        <v>13585.64</v>
      </c>
    </row>
    <row r="404" spans="1:29" ht="14.25" x14ac:dyDescent="0.2">
      <c r="A404" s="27"/>
      <c r="B404" s="27"/>
      <c r="C404" s="27" t="s">
        <v>1612</v>
      </c>
      <c r="D404" s="28" t="s">
        <v>1599</v>
      </c>
      <c r="E404" s="12">
        <f>175</f>
        <v>175</v>
      </c>
      <c r="F404" s="30"/>
      <c r="G404" s="29"/>
      <c r="H404" s="12"/>
      <c r="I404" s="30">
        <f>SUM(U396:U403)</f>
        <v>6.34</v>
      </c>
      <c r="J404" s="12">
        <f>160</f>
        <v>160</v>
      </c>
      <c r="K404" s="30">
        <f>SUM(V396:V403)</f>
        <v>168.14</v>
      </c>
    </row>
    <row r="405" spans="1:29" ht="14.25" x14ac:dyDescent="0.2">
      <c r="A405" s="31"/>
      <c r="B405" s="31"/>
      <c r="C405" s="31" t="s">
        <v>1601</v>
      </c>
      <c r="D405" s="32" t="s">
        <v>1602</v>
      </c>
      <c r="E405" s="33">
        <f>Source!AQ275</f>
        <v>200</v>
      </c>
      <c r="F405" s="34"/>
      <c r="G405" s="35" t="str">
        <f>Source!DI275</f>
        <v>)*1,15</v>
      </c>
      <c r="H405" s="33">
        <f>Source!AV276</f>
        <v>1</v>
      </c>
      <c r="I405" s="34">
        <f>Source!U275</f>
        <v>97.059999999999988</v>
      </c>
      <c r="J405" s="33"/>
      <c r="K405" s="34"/>
    </row>
    <row r="406" spans="1:29" ht="15" x14ac:dyDescent="0.25">
      <c r="C406" s="22" t="s">
        <v>1603</v>
      </c>
      <c r="H406" s="104">
        <f>I397+I398+I400+I402+I403+I404+SUM(I401:I401)-SUMIF(AC401:AC401, 5, I401:I401)-SUMIF(AC401:AC401, 6, I401:I401)</f>
        <v>6222.8099999999995</v>
      </c>
      <c r="I406" s="104"/>
      <c r="J406" s="104">
        <f>K397+K398+K400+K402+K403+K404+SUM(K401:K401)-SUMIF(AC401:AC401, 5, K401:K401)-SUMIF(AC401:AC401, 6, K401:K401)</f>
        <v>112702.48</v>
      </c>
      <c r="K406" s="104"/>
    </row>
    <row r="407" spans="1:29" ht="15" x14ac:dyDescent="0.25">
      <c r="C407" s="22" t="s">
        <v>1604</v>
      </c>
      <c r="H407" s="100">
        <f>SUMIF(AC401:AC401, 5, I401:I401)+SUMIF(AC401:AC401, 6, I401:I401)</f>
        <v>0</v>
      </c>
      <c r="I407" s="100"/>
      <c r="J407" s="100">
        <f>SUMIF(AC401:AC401, 5, K401:K401)+SUMIF(AC401:AC401, 6, K401:K401)</f>
        <v>0</v>
      </c>
      <c r="K407" s="100"/>
    </row>
    <row r="408" spans="1:29" ht="15" x14ac:dyDescent="0.25">
      <c r="C408" s="22" t="s">
        <v>1605</v>
      </c>
      <c r="H408" s="100">
        <f>I397+I398+I400+I402+I403+I404+SUM(I401:I401)</f>
        <v>6222.8099999999995</v>
      </c>
      <c r="I408" s="100"/>
      <c r="J408" s="100">
        <f>K397+K398+K400+K402+K403+K404+SUM(K401:K401)</f>
        <v>112702.48</v>
      </c>
      <c r="K408" s="100"/>
      <c r="O408" s="36">
        <f>I397+I398+I400+I402+I403+I404+SUM(I401:I401)</f>
        <v>6222.8099999999995</v>
      </c>
      <c r="P408" s="36">
        <f>K397+K398+K400+K402+K403+K404+SUM(K401:K401)</f>
        <v>112702.48</v>
      </c>
    </row>
    <row r="410" spans="1:29" ht="85.5" x14ac:dyDescent="0.2">
      <c r="A410" s="27">
        <v>23</v>
      </c>
      <c r="B410" s="27" t="s">
        <v>1636</v>
      </c>
      <c r="C410" s="27" t="s">
        <v>342</v>
      </c>
      <c r="D410" s="28" t="str">
        <f>Source!H279</f>
        <v>100 м2 оштукатуриваемой поверхности</v>
      </c>
      <c r="E410" s="12">
        <f>Source!I279</f>
        <v>0.123</v>
      </c>
      <c r="F410" s="30"/>
      <c r="G410" s="29"/>
      <c r="H410" s="12"/>
      <c r="I410" s="30"/>
      <c r="J410" s="12"/>
      <c r="K410" s="30"/>
      <c r="Q410">
        <f>Source!X279</f>
        <v>117.69</v>
      </c>
      <c r="R410">
        <f>Source!X280</f>
        <v>2835.73</v>
      </c>
      <c r="S410">
        <f>Source!Y279</f>
        <v>75.319999999999993</v>
      </c>
      <c r="T410">
        <f>Source!Y280</f>
        <v>1400.78</v>
      </c>
      <c r="U410">
        <f>ROUND((175/100)*ROUND(Source!R279, 2), 2)</f>
        <v>15.82</v>
      </c>
      <c r="V410">
        <f>ROUND((160/100)*ROUND(Source!R280, 2), 2)</f>
        <v>419.89</v>
      </c>
      <c r="AC410">
        <v>0</v>
      </c>
    </row>
    <row r="411" spans="1:29" ht="14.25" x14ac:dyDescent="0.2">
      <c r="A411" s="27"/>
      <c r="B411" s="27"/>
      <c r="C411" s="27" t="s">
        <v>1597</v>
      </c>
      <c r="D411" s="28"/>
      <c r="E411" s="12"/>
      <c r="F411" s="30">
        <f>Source!AO279</f>
        <v>832</v>
      </c>
      <c r="G411" s="29" t="str">
        <f>Source!DG279</f>
        <v>)*1,15</v>
      </c>
      <c r="H411" s="12">
        <f>Source!AV280</f>
        <v>1</v>
      </c>
      <c r="I411" s="30">
        <f>Source!S279</f>
        <v>117.69</v>
      </c>
      <c r="J411" s="12">
        <f>IF(Source!BA280&lt;&gt; 0, Source!BA280, 1)</f>
        <v>29.03</v>
      </c>
      <c r="K411" s="30">
        <f>Source!S280</f>
        <v>3416.54</v>
      </c>
    </row>
    <row r="412" spans="1:29" ht="14.25" x14ac:dyDescent="0.2">
      <c r="A412" s="27"/>
      <c r="B412" s="27"/>
      <c r="C412" s="27" t="s">
        <v>1609</v>
      </c>
      <c r="D412" s="28"/>
      <c r="E412" s="12"/>
      <c r="F412" s="30">
        <f>Source!AM279</f>
        <v>116.56</v>
      </c>
      <c r="G412" s="29" t="str">
        <f>Source!DE279</f>
        <v>)*1,25</v>
      </c>
      <c r="H412" s="12">
        <f>Source!AV280</f>
        <v>1</v>
      </c>
      <c r="I412" s="30">
        <f>Source!Q279</f>
        <v>17.920000000000002</v>
      </c>
      <c r="J412" s="12">
        <f>IF(Source!BB280&lt;&gt; 0, Source!BB280, 1)</f>
        <v>21.68</v>
      </c>
      <c r="K412" s="30">
        <f>Source!Q280</f>
        <v>388.51</v>
      </c>
    </row>
    <row r="413" spans="1:29" ht="14.25" x14ac:dyDescent="0.2">
      <c r="A413" s="27"/>
      <c r="B413" s="27"/>
      <c r="C413" s="27" t="s">
        <v>1610</v>
      </c>
      <c r="D413" s="28"/>
      <c r="E413" s="12"/>
      <c r="F413" s="30">
        <f>Source!AN279</f>
        <v>58.8</v>
      </c>
      <c r="G413" s="29" t="str">
        <f>Source!DF279</f>
        <v>)*1,25</v>
      </c>
      <c r="H413" s="12">
        <f>Source!AV280</f>
        <v>1</v>
      </c>
      <c r="I413" s="38">
        <f>Source!R279</f>
        <v>9.0399999999999991</v>
      </c>
      <c r="J413" s="12">
        <f>IF(Source!BS280&lt;&gt; 0, Source!BS280, 1)</f>
        <v>29.03</v>
      </c>
      <c r="K413" s="38">
        <f>Source!R280</f>
        <v>262.43</v>
      </c>
    </row>
    <row r="414" spans="1:29" ht="14.25" x14ac:dyDescent="0.2">
      <c r="A414" s="27"/>
      <c r="B414" s="27"/>
      <c r="C414" s="27" t="s">
        <v>1611</v>
      </c>
      <c r="D414" s="28"/>
      <c r="E414" s="12"/>
      <c r="F414" s="30">
        <f>Source!AL279</f>
        <v>95.21</v>
      </c>
      <c r="G414" s="29" t="str">
        <f>Source!DD279</f>
        <v/>
      </c>
      <c r="H414" s="12">
        <f>Source!AW280</f>
        <v>1</v>
      </c>
      <c r="I414" s="30">
        <f>Source!P279</f>
        <v>11.71</v>
      </c>
      <c r="J414" s="12">
        <f>IF(Source!BC280&lt;&gt; 0, Source!BC280, 1)</f>
        <v>23.64</v>
      </c>
      <c r="K414" s="30">
        <f>Source!P280</f>
        <v>276.82</v>
      </c>
    </row>
    <row r="415" spans="1:29" ht="14.25" x14ac:dyDescent="0.2">
      <c r="A415" s="27" t="s">
        <v>347</v>
      </c>
      <c r="B415" s="27" t="str">
        <f>Source!F281</f>
        <v>1.1-1-118</v>
      </c>
      <c r="C415" s="27" t="s">
        <v>349</v>
      </c>
      <c r="D415" s="28" t="str">
        <f>Source!H281</f>
        <v>м3</v>
      </c>
      <c r="E415" s="12">
        <f>Source!I281</f>
        <v>1.0331999999999999E-2</v>
      </c>
      <c r="F415" s="30">
        <f>Source!AK281</f>
        <v>7.07</v>
      </c>
      <c r="G415" s="39" t="s">
        <v>3</v>
      </c>
      <c r="H415" s="12">
        <f>Source!AW282</f>
        <v>1</v>
      </c>
      <c r="I415" s="30">
        <f>Source!O281</f>
        <v>7.0000000000000007E-2</v>
      </c>
      <c r="J415" s="12">
        <f>IF(Source!BC282&lt;&gt; 0, Source!BC282, 1)</f>
        <v>6</v>
      </c>
      <c r="K415" s="30">
        <f>Source!O282</f>
        <v>0.42</v>
      </c>
      <c r="Q415">
        <f>Source!X281</f>
        <v>0</v>
      </c>
      <c r="R415">
        <f>Source!X282</f>
        <v>0</v>
      </c>
      <c r="S415">
        <f>Source!Y281</f>
        <v>0</v>
      </c>
      <c r="T415">
        <f>Source!Y282</f>
        <v>0</v>
      </c>
      <c r="U415">
        <f>ROUND((175/100)*ROUND(Source!R281, 2), 2)</f>
        <v>0</v>
      </c>
      <c r="V415">
        <f>ROUND((160/100)*ROUND(Source!R282, 2), 2)</f>
        <v>0</v>
      </c>
      <c r="AC415">
        <v>3</v>
      </c>
    </row>
    <row r="416" spans="1:29" ht="242.25" x14ac:dyDescent="0.2">
      <c r="A416" s="27" t="s">
        <v>351</v>
      </c>
      <c r="B416" s="27" t="str">
        <f>Source!F283</f>
        <v>1.3-2-26</v>
      </c>
      <c r="C416" s="27" t="s">
        <v>1563</v>
      </c>
      <c r="D416" s="28" t="str">
        <f>Source!H283</f>
        <v>т</v>
      </c>
      <c r="E416" s="12">
        <f>Source!I283</f>
        <v>5.9040000000000002E-2</v>
      </c>
      <c r="F416" s="30">
        <f>Source!AK283</f>
        <v>1823.55</v>
      </c>
      <c r="G416" s="39" t="s">
        <v>3</v>
      </c>
      <c r="H416" s="12">
        <f>Source!AW284</f>
        <v>1</v>
      </c>
      <c r="I416" s="30">
        <f>Source!O283</f>
        <v>107.66</v>
      </c>
      <c r="J416" s="12">
        <f>IF(Source!BC284&lt;&gt; 0, Source!BC284, 1)</f>
        <v>4.9000000000000004</v>
      </c>
      <c r="K416" s="30">
        <f>Source!O284</f>
        <v>527.53</v>
      </c>
      <c r="Q416">
        <f>Source!X283</f>
        <v>0</v>
      </c>
      <c r="R416">
        <f>Source!X284</f>
        <v>0</v>
      </c>
      <c r="S416">
        <f>Source!Y283</f>
        <v>0</v>
      </c>
      <c r="T416">
        <f>Source!Y284</f>
        <v>0</v>
      </c>
      <c r="U416">
        <f>ROUND((175/100)*ROUND(Source!R283, 2), 2)</f>
        <v>0</v>
      </c>
      <c r="V416">
        <f>ROUND((160/100)*ROUND(Source!R284, 2), 2)</f>
        <v>0</v>
      </c>
      <c r="AC416">
        <v>3</v>
      </c>
    </row>
    <row r="417" spans="1:29" ht="28.5" x14ac:dyDescent="0.2">
      <c r="A417" s="27" t="s">
        <v>354</v>
      </c>
      <c r="B417" s="27" t="str">
        <f>Source!F285</f>
        <v>1.3-2-13</v>
      </c>
      <c r="C417" s="27" t="s">
        <v>320</v>
      </c>
      <c r="D417" s="28" t="str">
        <f>Source!H285</f>
        <v>м3</v>
      </c>
      <c r="E417" s="12">
        <f>Source!I285</f>
        <v>0.14858399999999999</v>
      </c>
      <c r="F417" s="30">
        <f>Source!AK285</f>
        <v>481.69</v>
      </c>
      <c r="G417" s="39" t="s">
        <v>3</v>
      </c>
      <c r="H417" s="12">
        <f>Source!AW286</f>
        <v>1</v>
      </c>
      <c r="I417" s="30">
        <f>Source!O285</f>
        <v>71.569999999999993</v>
      </c>
      <c r="J417" s="12">
        <f>IF(Source!BC286&lt;&gt; 0, Source!BC286, 1)</f>
        <v>9.43</v>
      </c>
      <c r="K417" s="30">
        <f>Source!O286</f>
        <v>674.91</v>
      </c>
      <c r="Q417">
        <f>Source!X285</f>
        <v>0</v>
      </c>
      <c r="R417">
        <f>Source!X286</f>
        <v>0</v>
      </c>
      <c r="S417">
        <f>Source!Y285</f>
        <v>0</v>
      </c>
      <c r="T417">
        <f>Source!Y286</f>
        <v>0</v>
      </c>
      <c r="U417">
        <f>ROUND((175/100)*ROUND(Source!R285, 2), 2)</f>
        <v>0</v>
      </c>
      <c r="V417">
        <f>ROUND((160/100)*ROUND(Source!R286, 2), 2)</f>
        <v>0</v>
      </c>
      <c r="AC417">
        <v>3</v>
      </c>
    </row>
    <row r="418" spans="1:29" ht="14.25" x14ac:dyDescent="0.2">
      <c r="A418" s="27"/>
      <c r="B418" s="27"/>
      <c r="C418" s="27" t="s">
        <v>1598</v>
      </c>
      <c r="D418" s="28" t="s">
        <v>1599</v>
      </c>
      <c r="E418" s="12">
        <f>Source!DN280</f>
        <v>100</v>
      </c>
      <c r="F418" s="30"/>
      <c r="G418" s="29"/>
      <c r="H418" s="12"/>
      <c r="I418" s="30">
        <f>SUM(Q410:Q417)</f>
        <v>117.69</v>
      </c>
      <c r="J418" s="12">
        <f>Source!BZ280</f>
        <v>83</v>
      </c>
      <c r="K418" s="30">
        <f>SUM(R410:R417)</f>
        <v>2835.73</v>
      </c>
    </row>
    <row r="419" spans="1:29" ht="14.25" x14ac:dyDescent="0.2">
      <c r="A419" s="27"/>
      <c r="B419" s="27"/>
      <c r="C419" s="27" t="s">
        <v>1600</v>
      </c>
      <c r="D419" s="28" t="s">
        <v>1599</v>
      </c>
      <c r="E419" s="12">
        <f>Source!DO280</f>
        <v>64</v>
      </c>
      <c r="F419" s="30"/>
      <c r="G419" s="29"/>
      <c r="H419" s="12"/>
      <c r="I419" s="30">
        <f>SUM(S410:S418)</f>
        <v>75.319999999999993</v>
      </c>
      <c r="J419" s="12">
        <f>Source!CA280</f>
        <v>41</v>
      </c>
      <c r="K419" s="30">
        <f>SUM(T410:T418)</f>
        <v>1400.78</v>
      </c>
    </row>
    <row r="420" spans="1:29" ht="14.25" x14ac:dyDescent="0.2">
      <c r="A420" s="27"/>
      <c r="B420" s="27"/>
      <c r="C420" s="27" t="s">
        <v>1612</v>
      </c>
      <c r="D420" s="28" t="s">
        <v>1599</v>
      </c>
      <c r="E420" s="12">
        <f>175</f>
        <v>175</v>
      </c>
      <c r="F420" s="30"/>
      <c r="G420" s="29"/>
      <c r="H420" s="12"/>
      <c r="I420" s="30">
        <f>SUM(U410:U419)</f>
        <v>15.82</v>
      </c>
      <c r="J420" s="12">
        <f>160</f>
        <v>160</v>
      </c>
      <c r="K420" s="30">
        <f>SUM(V410:V419)</f>
        <v>419.89</v>
      </c>
    </row>
    <row r="421" spans="1:29" ht="14.25" x14ac:dyDescent="0.2">
      <c r="A421" s="31"/>
      <c r="B421" s="31"/>
      <c r="C421" s="31" t="s">
        <v>1601</v>
      </c>
      <c r="D421" s="32" t="s">
        <v>1602</v>
      </c>
      <c r="E421" s="33">
        <f>Source!AQ279</f>
        <v>65</v>
      </c>
      <c r="F421" s="34"/>
      <c r="G421" s="35" t="str">
        <f>Source!DI279</f>
        <v>)*1,15</v>
      </c>
      <c r="H421" s="33">
        <f>Source!AV280</f>
        <v>1</v>
      </c>
      <c r="I421" s="34">
        <f>Source!U279</f>
        <v>9.1942500000000003</v>
      </c>
      <c r="J421" s="33"/>
      <c r="K421" s="34"/>
    </row>
    <row r="422" spans="1:29" ht="15" x14ac:dyDescent="0.25">
      <c r="C422" s="22" t="s">
        <v>1603</v>
      </c>
      <c r="H422" s="104">
        <f>I411+I412+I414+I418+I419+I420+SUM(I415:I417)-SUMIF(AC415:AC417, 5, I415:I417)-SUMIF(AC415:AC417, 6, I415:I417)</f>
        <v>535.44999999999993</v>
      </c>
      <c r="I422" s="104"/>
      <c r="J422" s="104">
        <f>K411+K412+K414+K418+K419+K420+SUM(K415:K417)-SUMIF(AC415:AC417, 5, K415:K417)-SUMIF(AC415:AC417, 6, K415:K417)</f>
        <v>9941.130000000001</v>
      </c>
      <c r="K422" s="104"/>
    </row>
    <row r="423" spans="1:29" ht="15" x14ac:dyDescent="0.25">
      <c r="C423" s="22" t="s">
        <v>1604</v>
      </c>
      <c r="H423" s="100">
        <f>SUMIF(AC415:AC417, 5, I415:I417)+SUMIF(AC415:AC417, 6, I415:I417)</f>
        <v>0</v>
      </c>
      <c r="I423" s="100"/>
      <c r="J423" s="100">
        <f>SUMIF(AC415:AC417, 5, K415:K417)+SUMIF(AC415:AC417, 6, K415:K417)</f>
        <v>0</v>
      </c>
      <c r="K423" s="100"/>
    </row>
    <row r="424" spans="1:29" ht="15" x14ac:dyDescent="0.25">
      <c r="C424" s="22" t="s">
        <v>1605</v>
      </c>
      <c r="H424" s="100">
        <f>I411+I412+I414+I418+I419+I420+SUM(I415:I417)</f>
        <v>535.44999999999993</v>
      </c>
      <c r="I424" s="100"/>
      <c r="J424" s="100">
        <f>K411+K412+K414+K418+K419+K420+SUM(K415:K417)</f>
        <v>9941.130000000001</v>
      </c>
      <c r="K424" s="100"/>
      <c r="O424" s="36">
        <f>I411+I412+I414+I418+I419+I420+SUM(I415:I417)</f>
        <v>535.44999999999993</v>
      </c>
      <c r="P424" s="36">
        <f>K411+K412+K414+K418+K419+K420+SUM(K415:K417)</f>
        <v>9941.130000000001</v>
      </c>
    </row>
    <row r="426" spans="1:29" ht="71.25" x14ac:dyDescent="0.2">
      <c r="A426" s="27">
        <v>24</v>
      </c>
      <c r="B426" s="27" t="s">
        <v>1637</v>
      </c>
      <c r="C426" s="27" t="s">
        <v>357</v>
      </c>
      <c r="D426" s="28" t="str">
        <f>Source!H287</f>
        <v>100 м2 окрашиваемой поверхности</v>
      </c>
      <c r="E426" s="12">
        <f>Source!I287</f>
        <v>0.161</v>
      </c>
      <c r="F426" s="30"/>
      <c r="G426" s="29"/>
      <c r="H426" s="12"/>
      <c r="I426" s="30"/>
      <c r="J426" s="12"/>
      <c r="K426" s="30"/>
      <c r="Q426">
        <f>Source!X287</f>
        <v>84.92</v>
      </c>
      <c r="R426">
        <f>Source!X288</f>
        <v>2046.14</v>
      </c>
      <c r="S426">
        <f>Source!Y287</f>
        <v>54.35</v>
      </c>
      <c r="T426">
        <f>Source!Y288</f>
        <v>1010.74</v>
      </c>
      <c r="U426">
        <f>ROUND((175/100)*ROUND(Source!R287, 2), 2)</f>
        <v>2.42</v>
      </c>
      <c r="V426">
        <f>ROUND((160/100)*ROUND(Source!R288, 2), 2)</f>
        <v>64.099999999999994</v>
      </c>
      <c r="AC426">
        <v>0</v>
      </c>
    </row>
    <row r="427" spans="1:29" ht="14.25" x14ac:dyDescent="0.2">
      <c r="A427" s="27"/>
      <c r="B427" s="27"/>
      <c r="C427" s="27" t="s">
        <v>1597</v>
      </c>
      <c r="D427" s="28"/>
      <c r="E427" s="12"/>
      <c r="F427" s="30">
        <f>Source!AO287</f>
        <v>458.64</v>
      </c>
      <c r="G427" s="29" t="str">
        <f>Source!DG287</f>
        <v>)*1,15</v>
      </c>
      <c r="H427" s="12">
        <f>Source!AV288</f>
        <v>1</v>
      </c>
      <c r="I427" s="30">
        <f>Source!S287</f>
        <v>84.92</v>
      </c>
      <c r="J427" s="12">
        <f>IF(Source!BA288&lt;&gt; 0, Source!BA288, 1)</f>
        <v>29.03</v>
      </c>
      <c r="K427" s="30">
        <f>Source!S288</f>
        <v>2465.23</v>
      </c>
    </row>
    <row r="428" spans="1:29" ht="14.25" x14ac:dyDescent="0.2">
      <c r="A428" s="27"/>
      <c r="B428" s="27"/>
      <c r="C428" s="27" t="s">
        <v>1609</v>
      </c>
      <c r="D428" s="28"/>
      <c r="E428" s="12"/>
      <c r="F428" s="30">
        <f>Source!AM287</f>
        <v>29.03</v>
      </c>
      <c r="G428" s="29" t="str">
        <f>Source!DE287</f>
        <v>)*1,25</v>
      </c>
      <c r="H428" s="12">
        <f>Source!AV288</f>
        <v>1</v>
      </c>
      <c r="I428" s="30">
        <f>Source!Q287</f>
        <v>5.84</v>
      </c>
      <c r="J428" s="12">
        <f>IF(Source!BB288&lt;&gt; 0, Source!BB288, 1)</f>
        <v>13.44</v>
      </c>
      <c r="K428" s="30">
        <f>Source!Q288</f>
        <v>78.489999999999995</v>
      </c>
    </row>
    <row r="429" spans="1:29" ht="14.25" x14ac:dyDescent="0.2">
      <c r="A429" s="27"/>
      <c r="B429" s="27"/>
      <c r="C429" s="27" t="s">
        <v>1610</v>
      </c>
      <c r="D429" s="28"/>
      <c r="E429" s="12"/>
      <c r="F429" s="30">
        <f>Source!AN287</f>
        <v>6.86</v>
      </c>
      <c r="G429" s="29" t="str">
        <f>Source!DF287</f>
        <v>)*1,25</v>
      </c>
      <c r="H429" s="12">
        <f>Source!AV288</f>
        <v>1</v>
      </c>
      <c r="I429" s="38">
        <f>Source!R287</f>
        <v>1.38</v>
      </c>
      <c r="J429" s="12">
        <f>IF(Source!BS288&lt;&gt; 0, Source!BS288, 1)</f>
        <v>29.03</v>
      </c>
      <c r="K429" s="38">
        <f>Source!R288</f>
        <v>40.06</v>
      </c>
    </row>
    <row r="430" spans="1:29" ht="14.25" x14ac:dyDescent="0.2">
      <c r="A430" s="27"/>
      <c r="B430" s="27"/>
      <c r="C430" s="27" t="s">
        <v>1611</v>
      </c>
      <c r="D430" s="28"/>
      <c r="E430" s="12"/>
      <c r="F430" s="30">
        <f>Source!AL287</f>
        <v>6.09</v>
      </c>
      <c r="G430" s="29" t="str">
        <f>Source!DD287</f>
        <v/>
      </c>
      <c r="H430" s="12">
        <f>Source!AW288</f>
        <v>1</v>
      </c>
      <c r="I430" s="30">
        <f>Source!P287</f>
        <v>0.98</v>
      </c>
      <c r="J430" s="12">
        <f>IF(Source!BC288&lt;&gt; 0, Source!BC288, 1)</f>
        <v>8.8699999999999992</v>
      </c>
      <c r="K430" s="30">
        <f>Source!P288</f>
        <v>8.69</v>
      </c>
    </row>
    <row r="431" spans="1:29" ht="28.5" x14ac:dyDescent="0.2">
      <c r="A431" s="27" t="s">
        <v>362</v>
      </c>
      <c r="B431" s="27" t="str">
        <f>Source!F289</f>
        <v>1.1-1-1487</v>
      </c>
      <c r="C431" s="27" t="s">
        <v>364</v>
      </c>
      <c r="D431" s="28" t="str">
        <f>Source!H289</f>
        <v>т</v>
      </c>
      <c r="E431" s="12">
        <f>Source!I289</f>
        <v>8.2109999999999995E-3</v>
      </c>
      <c r="F431" s="30">
        <f>Source!AK289</f>
        <v>2278.84</v>
      </c>
      <c r="G431" s="39" t="s">
        <v>3</v>
      </c>
      <c r="H431" s="12">
        <f>Source!AW290</f>
        <v>1</v>
      </c>
      <c r="I431" s="30">
        <f>Source!O289</f>
        <v>18.71</v>
      </c>
      <c r="J431" s="12">
        <f>IF(Source!BC290&lt;&gt; 0, Source!BC290, 1)</f>
        <v>8.32</v>
      </c>
      <c r="K431" s="30">
        <f>Source!O290</f>
        <v>155.66999999999999</v>
      </c>
      <c r="Q431">
        <f>Source!X289</f>
        <v>0</v>
      </c>
      <c r="R431">
        <f>Source!X290</f>
        <v>0</v>
      </c>
      <c r="S431">
        <f>Source!Y289</f>
        <v>0</v>
      </c>
      <c r="T431">
        <f>Source!Y290</f>
        <v>0</v>
      </c>
      <c r="U431">
        <f>ROUND((175/100)*ROUND(Source!R289, 2), 2)</f>
        <v>0</v>
      </c>
      <c r="V431">
        <f>ROUND((160/100)*ROUND(Source!R290, 2), 2)</f>
        <v>0</v>
      </c>
      <c r="AC431">
        <v>3</v>
      </c>
    </row>
    <row r="432" spans="1:29" ht="57" x14ac:dyDescent="0.2">
      <c r="A432" s="27" t="s">
        <v>366</v>
      </c>
      <c r="B432" s="27" t="str">
        <f>Source!F291</f>
        <v>1.1-1-2854</v>
      </c>
      <c r="C432" s="27" t="s">
        <v>368</v>
      </c>
      <c r="D432" s="28" t="str">
        <f>Source!H291</f>
        <v>кг</v>
      </c>
      <c r="E432" s="12">
        <f>Source!I291</f>
        <v>8.2000519999999995</v>
      </c>
      <c r="F432" s="30">
        <f>Source!AK291</f>
        <v>28.98</v>
      </c>
      <c r="G432" s="39" t="s">
        <v>3</v>
      </c>
      <c r="H432" s="12">
        <f>Source!AW292</f>
        <v>1</v>
      </c>
      <c r="I432" s="30">
        <f>Source!O291</f>
        <v>237.64</v>
      </c>
      <c r="J432" s="12">
        <f>IF(Source!BC292&lt;&gt; 0, Source!BC292, 1)</f>
        <v>3.58</v>
      </c>
      <c r="K432" s="30">
        <f>Source!O292</f>
        <v>850.75</v>
      </c>
      <c r="Q432">
        <f>Source!X291</f>
        <v>0</v>
      </c>
      <c r="R432">
        <f>Source!X292</f>
        <v>0</v>
      </c>
      <c r="S432">
        <f>Source!Y291</f>
        <v>0</v>
      </c>
      <c r="T432">
        <f>Source!Y292</f>
        <v>0</v>
      </c>
      <c r="U432">
        <f>ROUND((175/100)*ROUND(Source!R291, 2), 2)</f>
        <v>0</v>
      </c>
      <c r="V432">
        <f>ROUND((160/100)*ROUND(Source!R292, 2), 2)</f>
        <v>0</v>
      </c>
      <c r="AC432">
        <v>3</v>
      </c>
    </row>
    <row r="433" spans="1:29" ht="171" x14ac:dyDescent="0.2">
      <c r="A433" s="27" t="s">
        <v>371</v>
      </c>
      <c r="B433" s="27" t="str">
        <f>Source!F293</f>
        <v>1.1-1-2180</v>
      </c>
      <c r="C433" s="27" t="s">
        <v>1564</v>
      </c>
      <c r="D433" s="28" t="str">
        <f>Source!H293</f>
        <v>т</v>
      </c>
      <c r="E433" s="12">
        <f>Source!I293</f>
        <v>1.0143000000000001E-2</v>
      </c>
      <c r="F433" s="30">
        <f>Source!AK293</f>
        <v>33030.400000000001</v>
      </c>
      <c r="G433" s="39" t="s">
        <v>3</v>
      </c>
      <c r="H433" s="12">
        <f>Source!AW294</f>
        <v>1</v>
      </c>
      <c r="I433" s="30">
        <f>Source!O293</f>
        <v>335.03</v>
      </c>
      <c r="J433" s="12">
        <f>IF(Source!BC294&lt;&gt; 0, Source!BC294, 1)</f>
        <v>3.81</v>
      </c>
      <c r="K433" s="30">
        <f>Source!O294</f>
        <v>1276.46</v>
      </c>
      <c r="Q433">
        <f>Source!X293</f>
        <v>0</v>
      </c>
      <c r="R433">
        <f>Source!X294</f>
        <v>0</v>
      </c>
      <c r="S433">
        <f>Source!Y293</f>
        <v>0</v>
      </c>
      <c r="T433">
        <f>Source!Y294</f>
        <v>0</v>
      </c>
      <c r="U433">
        <f>ROUND((175/100)*ROUND(Source!R293, 2), 2)</f>
        <v>0</v>
      </c>
      <c r="V433">
        <f>ROUND((160/100)*ROUND(Source!R294, 2), 2)</f>
        <v>0</v>
      </c>
      <c r="AC433">
        <v>3</v>
      </c>
    </row>
    <row r="434" spans="1:29" ht="14.25" x14ac:dyDescent="0.2">
      <c r="A434" s="27"/>
      <c r="B434" s="27"/>
      <c r="C434" s="27" t="s">
        <v>1598</v>
      </c>
      <c r="D434" s="28" t="s">
        <v>1599</v>
      </c>
      <c r="E434" s="12">
        <f>Source!DN288</f>
        <v>100</v>
      </c>
      <c r="F434" s="30"/>
      <c r="G434" s="29"/>
      <c r="H434" s="12"/>
      <c r="I434" s="30">
        <f>SUM(Q426:Q433)</f>
        <v>84.92</v>
      </c>
      <c r="J434" s="12">
        <f>Source!BZ288</f>
        <v>83</v>
      </c>
      <c r="K434" s="30">
        <f>SUM(R426:R433)</f>
        <v>2046.14</v>
      </c>
    </row>
    <row r="435" spans="1:29" ht="14.25" x14ac:dyDescent="0.2">
      <c r="A435" s="27"/>
      <c r="B435" s="27"/>
      <c r="C435" s="27" t="s">
        <v>1600</v>
      </c>
      <c r="D435" s="28" t="s">
        <v>1599</v>
      </c>
      <c r="E435" s="12">
        <f>Source!DO288</f>
        <v>64</v>
      </c>
      <c r="F435" s="30"/>
      <c r="G435" s="29"/>
      <c r="H435" s="12"/>
      <c r="I435" s="30">
        <f>SUM(S426:S434)</f>
        <v>54.35</v>
      </c>
      <c r="J435" s="12">
        <f>Source!CA288</f>
        <v>41</v>
      </c>
      <c r="K435" s="30">
        <f>SUM(T426:T434)</f>
        <v>1010.74</v>
      </c>
    </row>
    <row r="436" spans="1:29" ht="14.25" x14ac:dyDescent="0.2">
      <c r="A436" s="27"/>
      <c r="B436" s="27"/>
      <c r="C436" s="27" t="s">
        <v>1612</v>
      </c>
      <c r="D436" s="28" t="s">
        <v>1599</v>
      </c>
      <c r="E436" s="12">
        <f>175</f>
        <v>175</v>
      </c>
      <c r="F436" s="30"/>
      <c r="G436" s="29"/>
      <c r="H436" s="12"/>
      <c r="I436" s="30">
        <f>SUM(U426:U435)</f>
        <v>2.42</v>
      </c>
      <c r="J436" s="12">
        <f>160</f>
        <v>160</v>
      </c>
      <c r="K436" s="30">
        <f>SUM(V426:V435)</f>
        <v>64.099999999999994</v>
      </c>
    </row>
    <row r="437" spans="1:29" ht="14.25" x14ac:dyDescent="0.2">
      <c r="A437" s="31"/>
      <c r="B437" s="31"/>
      <c r="C437" s="31" t="s">
        <v>1601</v>
      </c>
      <c r="D437" s="32" t="s">
        <v>1602</v>
      </c>
      <c r="E437" s="33">
        <f>Source!AQ287</f>
        <v>39</v>
      </c>
      <c r="F437" s="34"/>
      <c r="G437" s="35" t="str">
        <f>Source!DI287</f>
        <v>)*1,15</v>
      </c>
      <c r="H437" s="33">
        <f>Source!AV288</f>
        <v>1</v>
      </c>
      <c r="I437" s="34">
        <f>Source!U287</f>
        <v>7.2208499999999995</v>
      </c>
      <c r="J437" s="33"/>
      <c r="K437" s="34"/>
    </row>
    <row r="438" spans="1:29" ht="15" x14ac:dyDescent="0.25">
      <c r="C438" s="22" t="s">
        <v>1603</v>
      </c>
      <c r="H438" s="104">
        <f>I427+I428+I430+I434+I435+I436+SUM(I431:I433)-SUMIF(AC431:AC433, 5, I431:I433)-SUMIF(AC431:AC433, 6, I431:I433)</f>
        <v>824.81</v>
      </c>
      <c r="I438" s="104"/>
      <c r="J438" s="104">
        <f>K427+K428+K430+K434+K435+K436+SUM(K431:K433)-SUMIF(AC431:AC433, 5, K431:K433)-SUMIF(AC431:AC433, 6, K431:K433)</f>
        <v>7956.27</v>
      </c>
      <c r="K438" s="104"/>
    </row>
    <row r="439" spans="1:29" ht="15" x14ac:dyDescent="0.25">
      <c r="C439" s="22" t="s">
        <v>1604</v>
      </c>
      <c r="H439" s="100">
        <f>SUMIF(AC431:AC433, 5, I431:I433)+SUMIF(AC431:AC433, 6, I431:I433)</f>
        <v>0</v>
      </c>
      <c r="I439" s="100"/>
      <c r="J439" s="100">
        <f>SUMIF(AC431:AC433, 5, K431:K433)+SUMIF(AC431:AC433, 6, K431:K433)</f>
        <v>0</v>
      </c>
      <c r="K439" s="100"/>
    </row>
    <row r="440" spans="1:29" ht="15" x14ac:dyDescent="0.25">
      <c r="C440" s="22" t="s">
        <v>1605</v>
      </c>
      <c r="H440" s="100">
        <f>I427+I428+I430+I434+I435+I436+SUM(I431:I433)</f>
        <v>824.81</v>
      </c>
      <c r="I440" s="100"/>
      <c r="J440" s="100">
        <f>K427+K428+K430+K434+K435+K436+SUM(K431:K433)</f>
        <v>7956.27</v>
      </c>
      <c r="K440" s="100"/>
      <c r="O440" s="36">
        <f>I427+I428+I430+I434+I435+I436+SUM(I431:I433)</f>
        <v>824.81</v>
      </c>
      <c r="P440" s="36">
        <f>K427+K428+K430+K434+K435+K436+SUM(K431:K433)</f>
        <v>7956.27</v>
      </c>
    </row>
    <row r="442" spans="1:29" ht="85.5" x14ac:dyDescent="0.2">
      <c r="A442" s="27">
        <v>25</v>
      </c>
      <c r="B442" s="27" t="str">
        <f>Source!F295</f>
        <v>6.62-36-5</v>
      </c>
      <c r="C442" s="27" t="s">
        <v>376</v>
      </c>
      <c r="D442" s="28" t="str">
        <f>Source!H295</f>
        <v>100 м2 окрашиваемой поверхности</v>
      </c>
      <c r="E442" s="12">
        <f>Source!I295</f>
        <v>6.7000000000000004E-2</v>
      </c>
      <c r="F442" s="30"/>
      <c r="G442" s="29"/>
      <c r="H442" s="12"/>
      <c r="I442" s="30"/>
      <c r="J442" s="12"/>
      <c r="K442" s="30"/>
      <c r="Q442">
        <f>Source!X295</f>
        <v>25.86</v>
      </c>
      <c r="R442">
        <f>Source!X296</f>
        <v>623.1</v>
      </c>
      <c r="S442">
        <f>Source!Y295</f>
        <v>16.55</v>
      </c>
      <c r="T442">
        <f>Source!Y296</f>
        <v>307.8</v>
      </c>
      <c r="U442">
        <f>ROUND((175/100)*ROUND(Source!R295, 2), 2)</f>
        <v>0.12</v>
      </c>
      <c r="V442">
        <f>ROUND((160/100)*ROUND(Source!R296, 2), 2)</f>
        <v>3.25</v>
      </c>
      <c r="AC442">
        <v>0</v>
      </c>
    </row>
    <row r="443" spans="1:29" ht="14.25" x14ac:dyDescent="0.2">
      <c r="A443" s="27"/>
      <c r="B443" s="27"/>
      <c r="C443" s="27" t="s">
        <v>1597</v>
      </c>
      <c r="D443" s="28"/>
      <c r="E443" s="12"/>
      <c r="F443" s="30">
        <f>Source!AO295</f>
        <v>386.01</v>
      </c>
      <c r="G443" s="29" t="str">
        <f>Source!DG295</f>
        <v/>
      </c>
      <c r="H443" s="12">
        <f>Source!AV296</f>
        <v>1</v>
      </c>
      <c r="I443" s="30">
        <f>Source!S295</f>
        <v>25.86</v>
      </c>
      <c r="J443" s="12">
        <f>IF(Source!BA296&lt;&gt; 0, Source!BA296, 1)</f>
        <v>29.03</v>
      </c>
      <c r="K443" s="30">
        <f>Source!S296</f>
        <v>750.72</v>
      </c>
    </row>
    <row r="444" spans="1:29" ht="14.25" x14ac:dyDescent="0.2">
      <c r="A444" s="27"/>
      <c r="B444" s="27"/>
      <c r="C444" s="27" t="s">
        <v>1609</v>
      </c>
      <c r="D444" s="28"/>
      <c r="E444" s="12"/>
      <c r="F444" s="30">
        <f>Source!AM295</f>
        <v>4.47</v>
      </c>
      <c r="G444" s="29" t="str">
        <f>Source!DE295</f>
        <v/>
      </c>
      <c r="H444" s="12">
        <f>Source!AV296</f>
        <v>1</v>
      </c>
      <c r="I444" s="30">
        <f>Source!Q295</f>
        <v>0.3</v>
      </c>
      <c r="J444" s="12">
        <f>IF(Source!BB296&lt;&gt; 0, Source!BB296, 1)</f>
        <v>13.46</v>
      </c>
      <c r="K444" s="30">
        <f>Source!Q296</f>
        <v>4.04</v>
      </c>
    </row>
    <row r="445" spans="1:29" ht="14.25" x14ac:dyDescent="0.2">
      <c r="A445" s="27"/>
      <c r="B445" s="27"/>
      <c r="C445" s="27" t="s">
        <v>1610</v>
      </c>
      <c r="D445" s="28"/>
      <c r="E445" s="12"/>
      <c r="F445" s="30">
        <f>Source!AN295</f>
        <v>1.06</v>
      </c>
      <c r="G445" s="29" t="str">
        <f>Source!DF295</f>
        <v/>
      </c>
      <c r="H445" s="12">
        <f>Source!AV296</f>
        <v>1</v>
      </c>
      <c r="I445" s="38">
        <f>Source!R295</f>
        <v>7.0000000000000007E-2</v>
      </c>
      <c r="J445" s="12">
        <f>IF(Source!BS296&lt;&gt; 0, Source!BS296, 1)</f>
        <v>29.03</v>
      </c>
      <c r="K445" s="38">
        <f>Source!R296</f>
        <v>2.0299999999999998</v>
      </c>
    </row>
    <row r="446" spans="1:29" ht="14.25" x14ac:dyDescent="0.2">
      <c r="A446" s="27"/>
      <c r="B446" s="27"/>
      <c r="C446" s="27" t="s">
        <v>1611</v>
      </c>
      <c r="D446" s="28"/>
      <c r="E446" s="12"/>
      <c r="F446" s="30">
        <f>Source!AL295</f>
        <v>212.51</v>
      </c>
      <c r="G446" s="29" t="str">
        <f>Source!DD295</f>
        <v/>
      </c>
      <c r="H446" s="12">
        <f>Source!AW296</f>
        <v>1</v>
      </c>
      <c r="I446" s="30">
        <f>Source!P295</f>
        <v>14.24</v>
      </c>
      <c r="J446" s="12">
        <f>IF(Source!BC296&lt;&gt; 0, Source!BC296, 1)</f>
        <v>7.91</v>
      </c>
      <c r="K446" s="30">
        <f>Source!P296</f>
        <v>112.64</v>
      </c>
    </row>
    <row r="447" spans="1:29" ht="28.5" x14ac:dyDescent="0.2">
      <c r="A447" s="27" t="s">
        <v>380</v>
      </c>
      <c r="B447" s="27" t="str">
        <f>Source!F297</f>
        <v>1.1-1-1487</v>
      </c>
      <c r="C447" s="27" t="s">
        <v>364</v>
      </c>
      <c r="D447" s="28" t="str">
        <f>Source!H297</f>
        <v>т</v>
      </c>
      <c r="E447" s="12">
        <f>Source!I297</f>
        <v>4.5600000000000003E-4</v>
      </c>
      <c r="F447" s="30">
        <f>Source!AK297</f>
        <v>2278.84</v>
      </c>
      <c r="G447" s="39" t="s">
        <v>3</v>
      </c>
      <c r="H447" s="12">
        <f>Source!AW298</f>
        <v>1</v>
      </c>
      <c r="I447" s="30">
        <f>Source!O297</f>
        <v>1.04</v>
      </c>
      <c r="J447" s="12">
        <f>IF(Source!BC298&lt;&gt; 0, Source!BC298, 1)</f>
        <v>8.32</v>
      </c>
      <c r="K447" s="30">
        <f>Source!O298</f>
        <v>8.65</v>
      </c>
      <c r="Q447">
        <f>Source!X297</f>
        <v>0</v>
      </c>
      <c r="R447">
        <f>Source!X298</f>
        <v>0</v>
      </c>
      <c r="S447">
        <f>Source!Y297</f>
        <v>0</v>
      </c>
      <c r="T447">
        <f>Source!Y298</f>
        <v>0</v>
      </c>
      <c r="U447">
        <f>ROUND((175/100)*ROUND(Source!R297, 2), 2)</f>
        <v>0</v>
      </c>
      <c r="V447">
        <f>ROUND((160/100)*ROUND(Source!R298, 2), 2)</f>
        <v>0</v>
      </c>
      <c r="AC447">
        <v>3</v>
      </c>
    </row>
    <row r="448" spans="1:29" ht="42.75" x14ac:dyDescent="0.2">
      <c r="A448" s="27" t="s">
        <v>381</v>
      </c>
      <c r="B448" s="27" t="str">
        <f>Source!F299</f>
        <v>1.1-1-438</v>
      </c>
      <c r="C448" s="27" t="s">
        <v>383</v>
      </c>
      <c r="D448" s="28" t="str">
        <f>Source!H299</f>
        <v>т</v>
      </c>
      <c r="E448" s="12">
        <f>Source!I299</f>
        <v>4.4889999999999999E-3</v>
      </c>
      <c r="F448" s="30">
        <f>Source!AK299</f>
        <v>22652.13</v>
      </c>
      <c r="G448" s="39" t="s">
        <v>3</v>
      </c>
      <c r="H448" s="12">
        <f>Source!AW300</f>
        <v>1</v>
      </c>
      <c r="I448" s="30">
        <f>Source!O299</f>
        <v>101.69</v>
      </c>
      <c r="J448" s="12">
        <f>IF(Source!BC300&lt;&gt; 0, Source!BC300, 1)</f>
        <v>2.06</v>
      </c>
      <c r="K448" s="30">
        <f>Source!O300</f>
        <v>209.48</v>
      </c>
      <c r="Q448">
        <f>Source!X299</f>
        <v>0</v>
      </c>
      <c r="R448">
        <f>Source!X300</f>
        <v>0</v>
      </c>
      <c r="S448">
        <f>Source!Y299</f>
        <v>0</v>
      </c>
      <c r="T448">
        <f>Source!Y300</f>
        <v>0</v>
      </c>
      <c r="U448">
        <f>ROUND((175/100)*ROUND(Source!R299, 2), 2)</f>
        <v>0</v>
      </c>
      <c r="V448">
        <f>ROUND((160/100)*ROUND(Source!R300, 2), 2)</f>
        <v>0</v>
      </c>
      <c r="AC448">
        <v>3</v>
      </c>
    </row>
    <row r="449" spans="1:29" ht="14.25" x14ac:dyDescent="0.2">
      <c r="A449" s="27"/>
      <c r="B449" s="27"/>
      <c r="C449" s="27" t="s">
        <v>1598</v>
      </c>
      <c r="D449" s="28" t="s">
        <v>1599</v>
      </c>
      <c r="E449" s="12">
        <f>Source!DN296</f>
        <v>100</v>
      </c>
      <c r="F449" s="30"/>
      <c r="G449" s="29"/>
      <c r="H449" s="12"/>
      <c r="I449" s="30">
        <f>SUM(Q442:Q448)</f>
        <v>25.86</v>
      </c>
      <c r="J449" s="12">
        <f>Source!BZ296</f>
        <v>83</v>
      </c>
      <c r="K449" s="30">
        <f>SUM(R442:R448)</f>
        <v>623.1</v>
      </c>
    </row>
    <row r="450" spans="1:29" ht="14.25" x14ac:dyDescent="0.2">
      <c r="A450" s="27"/>
      <c r="B450" s="27"/>
      <c r="C450" s="27" t="s">
        <v>1600</v>
      </c>
      <c r="D450" s="28" t="s">
        <v>1599</v>
      </c>
      <c r="E450" s="12">
        <f>Source!DO296</f>
        <v>64</v>
      </c>
      <c r="F450" s="30"/>
      <c r="G450" s="29"/>
      <c r="H450" s="12"/>
      <c r="I450" s="30">
        <f>SUM(S442:S449)</f>
        <v>16.55</v>
      </c>
      <c r="J450" s="12">
        <f>Source!CA296</f>
        <v>41</v>
      </c>
      <c r="K450" s="30">
        <f>SUM(T442:T449)</f>
        <v>307.8</v>
      </c>
    </row>
    <row r="451" spans="1:29" ht="14.25" x14ac:dyDescent="0.2">
      <c r="A451" s="27"/>
      <c r="B451" s="27"/>
      <c r="C451" s="27" t="s">
        <v>1612</v>
      </c>
      <c r="D451" s="28" t="s">
        <v>1599</v>
      </c>
      <c r="E451" s="12">
        <f>175</f>
        <v>175</v>
      </c>
      <c r="F451" s="30"/>
      <c r="G451" s="29"/>
      <c r="H451" s="12"/>
      <c r="I451" s="30">
        <f>SUM(U442:U450)</f>
        <v>0.12</v>
      </c>
      <c r="J451" s="12">
        <f>160</f>
        <v>160</v>
      </c>
      <c r="K451" s="30">
        <f>SUM(V442:V450)</f>
        <v>3.25</v>
      </c>
    </row>
    <row r="452" spans="1:29" ht="14.25" x14ac:dyDescent="0.2">
      <c r="A452" s="31"/>
      <c r="B452" s="31"/>
      <c r="C452" s="31" t="s">
        <v>1601</v>
      </c>
      <c r="D452" s="32" t="s">
        <v>1602</v>
      </c>
      <c r="E452" s="33">
        <f>Source!AQ295</f>
        <v>34.1</v>
      </c>
      <c r="F452" s="34"/>
      <c r="G452" s="35" t="str">
        <f>Source!DI295</f>
        <v/>
      </c>
      <c r="H452" s="33">
        <f>Source!AV296</f>
        <v>1</v>
      </c>
      <c r="I452" s="34">
        <f>Source!U295</f>
        <v>2.2847000000000004</v>
      </c>
      <c r="J452" s="33"/>
      <c r="K452" s="34"/>
    </row>
    <row r="453" spans="1:29" ht="15" x14ac:dyDescent="0.25">
      <c r="C453" s="22" t="s">
        <v>1603</v>
      </c>
      <c r="H453" s="104">
        <f>I443+I444+I446+I449+I450+I451+SUM(I447:I448)-SUMIF(AC447:AC448, 5, I447:I448)-SUMIF(AC447:AC448, 6, I447:I448)</f>
        <v>185.66</v>
      </c>
      <c r="I453" s="104"/>
      <c r="J453" s="104">
        <f>K443+K444+K446+K449+K450+K451+SUM(K447:K448)-SUMIF(AC447:AC448, 5, K447:K448)-SUMIF(AC447:AC448, 6, K447:K448)</f>
        <v>2019.6799999999998</v>
      </c>
      <c r="K453" s="104"/>
    </row>
    <row r="454" spans="1:29" ht="15" x14ac:dyDescent="0.25">
      <c r="C454" s="22" t="s">
        <v>1604</v>
      </c>
      <c r="H454" s="100">
        <f>SUMIF(AC447:AC448, 5, I447:I448)+SUMIF(AC447:AC448, 6, I447:I448)</f>
        <v>0</v>
      </c>
      <c r="I454" s="100"/>
      <c r="J454" s="100">
        <f>SUMIF(AC447:AC448, 5, K447:K448)+SUMIF(AC447:AC448, 6, K447:K448)</f>
        <v>0</v>
      </c>
      <c r="K454" s="100"/>
    </row>
    <row r="455" spans="1:29" ht="15" x14ac:dyDescent="0.25">
      <c r="C455" s="22" t="s">
        <v>1605</v>
      </c>
      <c r="H455" s="100">
        <f>I443+I444+I446+I449+I450+I451+SUM(I447:I448)</f>
        <v>185.66</v>
      </c>
      <c r="I455" s="100"/>
      <c r="J455" s="100">
        <f>K443+K444+K446+K449+K450+K451+SUM(K447:K448)</f>
        <v>2019.6799999999998</v>
      </c>
      <c r="K455" s="100"/>
      <c r="O455" s="36">
        <f>I443+I444+I446+I449+I450+I451+SUM(I447:I448)</f>
        <v>185.66</v>
      </c>
      <c r="P455" s="36">
        <f>K443+K444+K446+K449+K450+K451+SUM(K447:K448)</f>
        <v>2019.6799999999998</v>
      </c>
    </row>
    <row r="457" spans="1:29" ht="71.25" x14ac:dyDescent="0.2">
      <c r="A457" s="27">
        <v>26</v>
      </c>
      <c r="B457" s="27" t="s">
        <v>1638</v>
      </c>
      <c r="C457" s="27" t="s">
        <v>387</v>
      </c>
      <c r="D457" s="28" t="str">
        <f>Source!H301</f>
        <v>100 м2</v>
      </c>
      <c r="E457" s="12">
        <f>Source!I301</f>
        <v>0.8</v>
      </c>
      <c r="F457" s="30"/>
      <c r="G457" s="29"/>
      <c r="H457" s="12"/>
      <c r="I457" s="30"/>
      <c r="J457" s="12"/>
      <c r="K457" s="30"/>
      <c r="Q457">
        <f>Source!X301</f>
        <v>1926.85</v>
      </c>
      <c r="R457">
        <f>Source!X302</f>
        <v>46427.26</v>
      </c>
      <c r="S457">
        <f>Source!Y301</f>
        <v>1233.18</v>
      </c>
      <c r="T457">
        <f>Source!Y302</f>
        <v>22933.95</v>
      </c>
      <c r="U457">
        <f>ROUND((175/100)*ROUND(Source!R301, 2), 2)</f>
        <v>6.88</v>
      </c>
      <c r="V457">
        <f>ROUND((160/100)*ROUND(Source!R302, 2), 2)</f>
        <v>182.54</v>
      </c>
      <c r="AC457">
        <v>0</v>
      </c>
    </row>
    <row r="458" spans="1:29" ht="14.25" x14ac:dyDescent="0.2">
      <c r="A458" s="27"/>
      <c r="B458" s="27"/>
      <c r="C458" s="27" t="s">
        <v>1597</v>
      </c>
      <c r="D458" s="28"/>
      <c r="E458" s="12"/>
      <c r="F458" s="30">
        <f>Source!AO301</f>
        <v>2094.4</v>
      </c>
      <c r="G458" s="29" t="str">
        <f>Source!DG301</f>
        <v>)*1,15</v>
      </c>
      <c r="H458" s="12">
        <f>Source!AV302</f>
        <v>1</v>
      </c>
      <c r="I458" s="30">
        <f>Source!S301</f>
        <v>1926.85</v>
      </c>
      <c r="J458" s="12">
        <f>IF(Source!BA302&lt;&gt; 0, Source!BA302, 1)</f>
        <v>29.03</v>
      </c>
      <c r="K458" s="30">
        <f>Source!S302</f>
        <v>55936.46</v>
      </c>
    </row>
    <row r="459" spans="1:29" ht="14.25" x14ac:dyDescent="0.2">
      <c r="A459" s="27"/>
      <c r="B459" s="27"/>
      <c r="C459" s="27" t="s">
        <v>1609</v>
      </c>
      <c r="D459" s="28"/>
      <c r="E459" s="12"/>
      <c r="F459" s="30">
        <f>Source!AM301</f>
        <v>19.66</v>
      </c>
      <c r="G459" s="29" t="str">
        <f>Source!DE301</f>
        <v>)*1,25</v>
      </c>
      <c r="H459" s="12">
        <f>Source!AV302</f>
        <v>1</v>
      </c>
      <c r="I459" s="30">
        <f>Source!Q301</f>
        <v>19.66</v>
      </c>
      <c r="J459" s="12">
        <f>IF(Source!BB302&lt;&gt; 0, Source!BB302, 1)</f>
        <v>12.7</v>
      </c>
      <c r="K459" s="30">
        <f>Source!Q302</f>
        <v>249.68</v>
      </c>
    </row>
    <row r="460" spans="1:29" ht="14.25" x14ac:dyDescent="0.2">
      <c r="A460" s="27"/>
      <c r="B460" s="27"/>
      <c r="C460" s="27" t="s">
        <v>1610</v>
      </c>
      <c r="D460" s="28"/>
      <c r="E460" s="12"/>
      <c r="F460" s="30">
        <f>Source!AN301</f>
        <v>3.93</v>
      </c>
      <c r="G460" s="29" t="str">
        <f>Source!DF301</f>
        <v>)*1,25</v>
      </c>
      <c r="H460" s="12">
        <f>Source!AV302</f>
        <v>1</v>
      </c>
      <c r="I460" s="38">
        <f>Source!R301</f>
        <v>3.93</v>
      </c>
      <c r="J460" s="12">
        <f>IF(Source!BS302&lt;&gt; 0, Source!BS302, 1)</f>
        <v>29.03</v>
      </c>
      <c r="K460" s="38">
        <f>Source!R302</f>
        <v>114.09</v>
      </c>
    </row>
    <row r="461" spans="1:29" ht="14.25" x14ac:dyDescent="0.2">
      <c r="A461" s="27"/>
      <c r="B461" s="27"/>
      <c r="C461" s="27" t="s">
        <v>1611</v>
      </c>
      <c r="D461" s="28"/>
      <c r="E461" s="12"/>
      <c r="F461" s="30">
        <f>Source!AL301</f>
        <v>51.82</v>
      </c>
      <c r="G461" s="29" t="str">
        <f>Source!DD301</f>
        <v/>
      </c>
      <c r="H461" s="12">
        <f>Source!AW302</f>
        <v>1</v>
      </c>
      <c r="I461" s="30">
        <f>Source!P301</f>
        <v>41.46</v>
      </c>
      <c r="J461" s="12">
        <f>IF(Source!BC302&lt;&gt; 0, Source!BC302, 1)</f>
        <v>7.22</v>
      </c>
      <c r="K461" s="30">
        <f>Source!P302</f>
        <v>299.33999999999997</v>
      </c>
    </row>
    <row r="462" spans="1:29" ht="28.5" x14ac:dyDescent="0.2">
      <c r="A462" s="27" t="s">
        <v>391</v>
      </c>
      <c r="B462" s="27" t="str">
        <f>Source!F303</f>
        <v>5262120000</v>
      </c>
      <c r="C462" s="27" t="s">
        <v>393</v>
      </c>
      <c r="D462" s="28" t="str">
        <f>Source!H303</f>
        <v>КОМПЛЕКТ</v>
      </c>
      <c r="E462" s="12">
        <f>Source!I303</f>
        <v>80</v>
      </c>
      <c r="F462" s="30">
        <f>Source!AK303</f>
        <v>0</v>
      </c>
      <c r="G462" s="39" t="s">
        <v>3</v>
      </c>
      <c r="H462" s="12">
        <f>Source!AW304</f>
        <v>1</v>
      </c>
      <c r="I462" s="30">
        <f>Source!O303</f>
        <v>0</v>
      </c>
      <c r="J462" s="12">
        <f>IF(Source!BC304&lt;&gt; 0, Source!BC304, 1)</f>
        <v>8.65</v>
      </c>
      <c r="K462" s="30">
        <f>Source!O304</f>
        <v>0</v>
      </c>
      <c r="Q462">
        <f>Source!X303</f>
        <v>0</v>
      </c>
      <c r="R462">
        <f>Source!X304</f>
        <v>0</v>
      </c>
      <c r="S462">
        <f>Source!Y303</f>
        <v>0</v>
      </c>
      <c r="T462">
        <f>Source!Y304</f>
        <v>0</v>
      </c>
      <c r="U462">
        <f>ROUND((175/100)*ROUND(Source!R303, 2), 2)</f>
        <v>0</v>
      </c>
      <c r="V462">
        <f>ROUND((160/100)*ROUND(Source!R304, 2), 2)</f>
        <v>0</v>
      </c>
      <c r="AC462">
        <v>3</v>
      </c>
    </row>
    <row r="463" spans="1:29" ht="14.25" x14ac:dyDescent="0.2">
      <c r="A463" s="27"/>
      <c r="B463" s="27"/>
      <c r="C463" s="27" t="s">
        <v>1598</v>
      </c>
      <c r="D463" s="28" t="s">
        <v>1599</v>
      </c>
      <c r="E463" s="12">
        <f>Source!DN302</f>
        <v>100</v>
      </c>
      <c r="F463" s="30"/>
      <c r="G463" s="29"/>
      <c r="H463" s="12"/>
      <c r="I463" s="30">
        <f>SUM(Q457:Q462)</f>
        <v>1926.85</v>
      </c>
      <c r="J463" s="12">
        <f>Source!BZ302</f>
        <v>83</v>
      </c>
      <c r="K463" s="30">
        <f>SUM(R457:R462)</f>
        <v>46427.26</v>
      </c>
    </row>
    <row r="464" spans="1:29" ht="14.25" x14ac:dyDescent="0.2">
      <c r="A464" s="27"/>
      <c r="B464" s="27"/>
      <c r="C464" s="27" t="s">
        <v>1600</v>
      </c>
      <c r="D464" s="28" t="s">
        <v>1599</v>
      </c>
      <c r="E464" s="12">
        <f>Source!DO302</f>
        <v>64</v>
      </c>
      <c r="F464" s="30"/>
      <c r="G464" s="29"/>
      <c r="H464" s="12"/>
      <c r="I464" s="30">
        <f>SUM(S457:S463)</f>
        <v>1233.18</v>
      </c>
      <c r="J464" s="12">
        <f>Source!CA302</f>
        <v>41</v>
      </c>
      <c r="K464" s="30">
        <f>SUM(T457:T463)</f>
        <v>22933.95</v>
      </c>
    </row>
    <row r="465" spans="1:29" ht="14.25" x14ac:dyDescent="0.2">
      <c r="A465" s="27"/>
      <c r="B465" s="27"/>
      <c r="C465" s="27" t="s">
        <v>1612</v>
      </c>
      <c r="D465" s="28" t="s">
        <v>1599</v>
      </c>
      <c r="E465" s="12">
        <f>175</f>
        <v>175</v>
      </c>
      <c r="F465" s="30"/>
      <c r="G465" s="29"/>
      <c r="H465" s="12"/>
      <c r="I465" s="30">
        <f>SUM(U457:U464)</f>
        <v>6.88</v>
      </c>
      <c r="J465" s="12">
        <f>160</f>
        <v>160</v>
      </c>
      <c r="K465" s="30">
        <f>SUM(V457:V464)</f>
        <v>182.54</v>
      </c>
    </row>
    <row r="466" spans="1:29" ht="14.25" x14ac:dyDescent="0.2">
      <c r="A466" s="31"/>
      <c r="B466" s="31"/>
      <c r="C466" s="31" t="s">
        <v>1601</v>
      </c>
      <c r="D466" s="32" t="s">
        <v>1602</v>
      </c>
      <c r="E466" s="33">
        <f>Source!AQ301</f>
        <v>176</v>
      </c>
      <c r="F466" s="34"/>
      <c r="G466" s="35" t="str">
        <f>Source!DI301</f>
        <v>)*1,15</v>
      </c>
      <c r="H466" s="33">
        <f>Source!AV302</f>
        <v>1</v>
      </c>
      <c r="I466" s="34">
        <f>Source!U301</f>
        <v>161.91999999999999</v>
      </c>
      <c r="J466" s="33"/>
      <c r="K466" s="34"/>
    </row>
    <row r="467" spans="1:29" ht="15" x14ac:dyDescent="0.25">
      <c r="C467" s="22" t="s">
        <v>1603</v>
      </c>
      <c r="H467" s="104">
        <f>I458+I459+I461+I463+I464+I465+SUM(I462:I462)-SUMIF(AC462:AC462, 5, I462:I462)-SUMIF(AC462:AC462, 6, I462:I462)</f>
        <v>5154.88</v>
      </c>
      <c r="I467" s="104"/>
      <c r="J467" s="104">
        <f>K458+K459+K461+K463+K464+K465+SUM(K462:K462)-SUMIF(AC462:AC462, 5, K462:K462)-SUMIF(AC462:AC462, 6, K462:K462)</f>
        <v>126029.22999999998</v>
      </c>
      <c r="K467" s="104"/>
    </row>
    <row r="468" spans="1:29" ht="15" x14ac:dyDescent="0.25">
      <c r="C468" s="22" t="s">
        <v>1604</v>
      </c>
      <c r="H468" s="100">
        <f>SUMIF(AC462:AC462, 5, I462:I462)+SUMIF(AC462:AC462, 6, I462:I462)</f>
        <v>0</v>
      </c>
      <c r="I468" s="100"/>
      <c r="J468" s="100">
        <f>SUMIF(AC462:AC462, 5, K462:K462)+SUMIF(AC462:AC462, 6, K462:K462)</f>
        <v>0</v>
      </c>
      <c r="K468" s="100"/>
    </row>
    <row r="469" spans="1:29" ht="15" x14ac:dyDescent="0.25">
      <c r="C469" s="22" t="s">
        <v>1605</v>
      </c>
      <c r="H469" s="100">
        <f>I458+I459+I461+I463+I464+I465+SUM(I462:I462)</f>
        <v>5154.88</v>
      </c>
      <c r="I469" s="100"/>
      <c r="J469" s="100">
        <f>K458+K459+K461+K463+K464+K465+SUM(K462:K462)</f>
        <v>126029.22999999998</v>
      </c>
      <c r="K469" s="100"/>
      <c r="O469" s="36">
        <f>I458+I459+I461+I463+I464+I465+SUM(I462:I462)</f>
        <v>5154.88</v>
      </c>
      <c r="P469" s="36">
        <f>K458+K459+K461+K463+K464+K465+SUM(K462:K462)</f>
        <v>126029.22999999998</v>
      </c>
    </row>
    <row r="471" spans="1:29" ht="57" x14ac:dyDescent="0.2">
      <c r="A471" s="27">
        <v>27</v>
      </c>
      <c r="B471" s="27" t="s">
        <v>1639</v>
      </c>
      <c r="C471" s="27" t="s">
        <v>399</v>
      </c>
      <c r="D471" s="28" t="str">
        <f>Source!H307</f>
        <v>100 м2 пола</v>
      </c>
      <c r="E471" s="12">
        <f>Source!I307</f>
        <v>6.0999999999999999E-2</v>
      </c>
      <c r="F471" s="30"/>
      <c r="G471" s="29"/>
      <c r="H471" s="12"/>
      <c r="I471" s="30"/>
      <c r="J471" s="12"/>
      <c r="K471" s="30"/>
      <c r="Q471">
        <f>Source!X307</f>
        <v>72.010000000000005</v>
      </c>
      <c r="R471">
        <f>Source!X308</f>
        <v>1748.73</v>
      </c>
      <c r="S471">
        <f>Source!Y307</f>
        <v>48.47</v>
      </c>
      <c r="T471">
        <f>Source!Y308</f>
        <v>824.12</v>
      </c>
      <c r="U471">
        <f>ROUND((175/100)*ROUND(Source!R307, 2), 2)</f>
        <v>1.66</v>
      </c>
      <c r="V471">
        <f>ROUND((160/100)*ROUND(Source!R308, 2), 2)</f>
        <v>44.13</v>
      </c>
      <c r="AC471">
        <v>0</v>
      </c>
    </row>
    <row r="472" spans="1:29" ht="14.25" x14ac:dyDescent="0.2">
      <c r="A472" s="27"/>
      <c r="B472" s="27"/>
      <c r="C472" s="27" t="s">
        <v>1597</v>
      </c>
      <c r="D472" s="28"/>
      <c r="E472" s="12"/>
      <c r="F472" s="30">
        <f>Source!AO307</f>
        <v>986.98</v>
      </c>
      <c r="G472" s="29" t="str">
        <f>Source!DG307</f>
        <v>)*1,15</v>
      </c>
      <c r="H472" s="12">
        <f>Source!AV308</f>
        <v>1</v>
      </c>
      <c r="I472" s="30">
        <f>Source!S307</f>
        <v>69.239999999999995</v>
      </c>
      <c r="J472" s="12">
        <f>IF(Source!BA308&lt;&gt; 0, Source!BA308, 1)</f>
        <v>29.03</v>
      </c>
      <c r="K472" s="30">
        <f>Source!S308</f>
        <v>2010.04</v>
      </c>
    </row>
    <row r="473" spans="1:29" ht="14.25" x14ac:dyDescent="0.2">
      <c r="A473" s="27"/>
      <c r="B473" s="27"/>
      <c r="C473" s="27" t="s">
        <v>1609</v>
      </c>
      <c r="D473" s="28"/>
      <c r="E473" s="12"/>
      <c r="F473" s="30">
        <f>Source!AM307</f>
        <v>99.77</v>
      </c>
      <c r="G473" s="29" t="str">
        <f>Source!DE307</f>
        <v>)*1,25</v>
      </c>
      <c r="H473" s="12">
        <f>Source!AV308</f>
        <v>1</v>
      </c>
      <c r="I473" s="30">
        <f>Source!Q307</f>
        <v>7.61</v>
      </c>
      <c r="J473" s="12">
        <f>IF(Source!BB308&lt;&gt; 0, Source!BB308, 1)</f>
        <v>12.03</v>
      </c>
      <c r="K473" s="30">
        <f>Source!Q308</f>
        <v>91.55</v>
      </c>
    </row>
    <row r="474" spans="1:29" ht="14.25" x14ac:dyDescent="0.2">
      <c r="A474" s="27"/>
      <c r="B474" s="27"/>
      <c r="C474" s="27" t="s">
        <v>1610</v>
      </c>
      <c r="D474" s="28"/>
      <c r="E474" s="12"/>
      <c r="F474" s="30">
        <f>Source!AN307</f>
        <v>12.51</v>
      </c>
      <c r="G474" s="29" t="str">
        <f>Source!DF307</f>
        <v>)*1,25</v>
      </c>
      <c r="H474" s="12">
        <f>Source!AV308</f>
        <v>1</v>
      </c>
      <c r="I474" s="38">
        <f>Source!R307</f>
        <v>0.95</v>
      </c>
      <c r="J474" s="12">
        <f>IF(Source!BS308&lt;&gt; 0, Source!BS308, 1)</f>
        <v>29.03</v>
      </c>
      <c r="K474" s="38">
        <f>Source!R308</f>
        <v>27.58</v>
      </c>
    </row>
    <row r="475" spans="1:29" ht="14.25" x14ac:dyDescent="0.2">
      <c r="A475" s="27"/>
      <c r="B475" s="27"/>
      <c r="C475" s="27" t="s">
        <v>1611</v>
      </c>
      <c r="D475" s="28"/>
      <c r="E475" s="12"/>
      <c r="F475" s="30">
        <f>Source!AL307</f>
        <v>699.78</v>
      </c>
      <c r="G475" s="29" t="str">
        <f>Source!DD307</f>
        <v/>
      </c>
      <c r="H475" s="12">
        <f>Source!AW308</f>
        <v>1</v>
      </c>
      <c r="I475" s="30">
        <f>Source!P307</f>
        <v>42.69</v>
      </c>
      <c r="J475" s="12">
        <f>IF(Source!BC308&lt;&gt; 0, Source!BC308, 1)</f>
        <v>3.21</v>
      </c>
      <c r="K475" s="30">
        <f>Source!P308</f>
        <v>137.03</v>
      </c>
    </row>
    <row r="476" spans="1:29" ht="28.5" x14ac:dyDescent="0.2">
      <c r="A476" s="27" t="s">
        <v>404</v>
      </c>
      <c r="B476" s="27" t="str">
        <f>Source!F309</f>
        <v>1.3-2-138</v>
      </c>
      <c r="C476" s="27" t="s">
        <v>406</v>
      </c>
      <c r="D476" s="28" t="str">
        <f>Source!H309</f>
        <v>т</v>
      </c>
      <c r="E476" s="12">
        <f>Source!I309</f>
        <v>6.1000000000000004E-3</v>
      </c>
      <c r="F476" s="30">
        <f>Source!AK309</f>
        <v>27362.67</v>
      </c>
      <c r="G476" s="39" t="s">
        <v>3</v>
      </c>
      <c r="H476" s="12">
        <f>Source!AW310</f>
        <v>1</v>
      </c>
      <c r="I476" s="30">
        <f>Source!O309</f>
        <v>166.91</v>
      </c>
      <c r="J476" s="12">
        <f>IF(Source!BC310&lt;&gt; 0, Source!BC310, 1)</f>
        <v>2.3199999999999998</v>
      </c>
      <c r="K476" s="30">
        <f>Source!O310</f>
        <v>387.23</v>
      </c>
      <c r="Q476">
        <f>Source!X309</f>
        <v>0</v>
      </c>
      <c r="R476">
        <f>Source!X310</f>
        <v>0</v>
      </c>
      <c r="S476">
        <f>Source!Y309</f>
        <v>0</v>
      </c>
      <c r="T476">
        <f>Source!Y310</f>
        <v>0</v>
      </c>
      <c r="U476">
        <f>ROUND((175/100)*ROUND(Source!R309, 2), 2)</f>
        <v>0</v>
      </c>
      <c r="V476">
        <f>ROUND((160/100)*ROUND(Source!R310, 2), 2)</f>
        <v>0</v>
      </c>
      <c r="AC476">
        <v>3</v>
      </c>
    </row>
    <row r="477" spans="1:29" ht="42.75" x14ac:dyDescent="0.2">
      <c r="A477" s="27" t="s">
        <v>408</v>
      </c>
      <c r="B477" s="27" t="str">
        <f>Source!F311</f>
        <v>1.3-2-136</v>
      </c>
      <c r="C477" s="27" t="s">
        <v>410</v>
      </c>
      <c r="D477" s="28" t="str">
        <f>Source!H311</f>
        <v>т</v>
      </c>
      <c r="E477" s="12">
        <f>Source!I311</f>
        <v>2.8670000000000001E-2</v>
      </c>
      <c r="F477" s="30">
        <f>Source!AK311</f>
        <v>1424.67</v>
      </c>
      <c r="G477" s="39" t="s">
        <v>3</v>
      </c>
      <c r="H477" s="12">
        <f>Source!AW312</f>
        <v>1</v>
      </c>
      <c r="I477" s="30">
        <f>Source!O311</f>
        <v>40.85</v>
      </c>
      <c r="J477" s="12">
        <f>IF(Source!BC312&lt;&gt; 0, Source!BC312, 1)</f>
        <v>18.989999999999998</v>
      </c>
      <c r="K477" s="30">
        <f>Source!O312</f>
        <v>775.74</v>
      </c>
      <c r="Q477">
        <f>Source!X311</f>
        <v>0</v>
      </c>
      <c r="R477">
        <f>Source!X312</f>
        <v>0</v>
      </c>
      <c r="S477">
        <f>Source!Y311</f>
        <v>0</v>
      </c>
      <c r="T477">
        <f>Source!Y312</f>
        <v>0</v>
      </c>
      <c r="U477">
        <f>ROUND((175/100)*ROUND(Source!R311, 2), 2)</f>
        <v>0</v>
      </c>
      <c r="V477">
        <f>ROUND((160/100)*ROUND(Source!R312, 2), 2)</f>
        <v>0</v>
      </c>
      <c r="AC477">
        <v>3</v>
      </c>
    </row>
    <row r="478" spans="1:29" ht="55.5" x14ac:dyDescent="0.2">
      <c r="A478" s="27" t="s">
        <v>412</v>
      </c>
      <c r="B478" s="27" t="str">
        <f>Source!F313</f>
        <v>Цена поставщика</v>
      </c>
      <c r="C478" s="27" t="s">
        <v>1640</v>
      </c>
      <c r="D478" s="28" t="str">
        <f>Source!H313</f>
        <v>м2</v>
      </c>
      <c r="E478" s="12">
        <f>Source!I313</f>
        <v>6.2220000000000004</v>
      </c>
      <c r="F478" s="30">
        <f>Source!AK313</f>
        <v>0</v>
      </c>
      <c r="G478" s="39" t="s">
        <v>3</v>
      </c>
      <c r="H478" s="12">
        <f>Source!AW314</f>
        <v>1</v>
      </c>
      <c r="I478" s="30">
        <f>Source!O313</f>
        <v>0</v>
      </c>
      <c r="J478" s="12">
        <f>IF(Source!BC314&lt;&gt; 0, Source!BC314, 1)</f>
        <v>8.65</v>
      </c>
      <c r="K478" s="30">
        <f>Source!O314</f>
        <v>7721.6</v>
      </c>
      <c r="Q478">
        <f>Source!X313</f>
        <v>0</v>
      </c>
      <c r="R478">
        <f>Source!X314</f>
        <v>0</v>
      </c>
      <c r="S478">
        <f>Source!Y313</f>
        <v>0</v>
      </c>
      <c r="T478">
        <f>Source!Y314</f>
        <v>0</v>
      </c>
      <c r="U478">
        <f>ROUND((175/100)*ROUND(Source!R313, 2), 2)</f>
        <v>0</v>
      </c>
      <c r="V478">
        <f>ROUND((160/100)*ROUND(Source!R314, 2), 2)</f>
        <v>0</v>
      </c>
      <c r="AC478">
        <v>3</v>
      </c>
    </row>
    <row r="479" spans="1:29" ht="14.25" x14ac:dyDescent="0.2">
      <c r="A479" s="27"/>
      <c r="B479" s="27"/>
      <c r="C479" s="27" t="s">
        <v>1598</v>
      </c>
      <c r="D479" s="28" t="s">
        <v>1599</v>
      </c>
      <c r="E479" s="12">
        <f>Source!DN308</f>
        <v>104</v>
      </c>
      <c r="F479" s="30"/>
      <c r="G479" s="29"/>
      <c r="H479" s="12"/>
      <c r="I479" s="30">
        <f>SUM(Q471:Q478)</f>
        <v>72.010000000000005</v>
      </c>
      <c r="J479" s="12">
        <f>Source!BZ308</f>
        <v>87</v>
      </c>
      <c r="K479" s="30">
        <f>SUM(R471:R478)</f>
        <v>1748.73</v>
      </c>
    </row>
    <row r="480" spans="1:29" ht="14.25" x14ac:dyDescent="0.2">
      <c r="A480" s="27"/>
      <c r="B480" s="27"/>
      <c r="C480" s="27" t="s">
        <v>1600</v>
      </c>
      <c r="D480" s="28" t="s">
        <v>1599</v>
      </c>
      <c r="E480" s="12">
        <f>Source!DO308</f>
        <v>70</v>
      </c>
      <c r="F480" s="30"/>
      <c r="G480" s="29"/>
      <c r="H480" s="12"/>
      <c r="I480" s="30">
        <f>SUM(S471:S479)</f>
        <v>48.47</v>
      </c>
      <c r="J480" s="12">
        <f>Source!CA308</f>
        <v>41</v>
      </c>
      <c r="K480" s="30">
        <f>SUM(T471:T479)</f>
        <v>824.12</v>
      </c>
    </row>
    <row r="481" spans="1:29" ht="14.25" x14ac:dyDescent="0.2">
      <c r="A481" s="27"/>
      <c r="B481" s="27"/>
      <c r="C481" s="27" t="s">
        <v>1612</v>
      </c>
      <c r="D481" s="28" t="s">
        <v>1599</v>
      </c>
      <c r="E481" s="12">
        <f>175</f>
        <v>175</v>
      </c>
      <c r="F481" s="30"/>
      <c r="G481" s="29"/>
      <c r="H481" s="12"/>
      <c r="I481" s="30">
        <f>SUM(U471:U480)</f>
        <v>1.66</v>
      </c>
      <c r="J481" s="12">
        <f>160</f>
        <v>160</v>
      </c>
      <c r="K481" s="30">
        <f>SUM(V471:V480)</f>
        <v>44.13</v>
      </c>
    </row>
    <row r="482" spans="1:29" ht="14.25" x14ac:dyDescent="0.2">
      <c r="A482" s="31"/>
      <c r="B482" s="31"/>
      <c r="C482" s="31" t="s">
        <v>1601</v>
      </c>
      <c r="D482" s="32" t="s">
        <v>1602</v>
      </c>
      <c r="E482" s="33">
        <f>Source!AQ307</f>
        <v>84.08</v>
      </c>
      <c r="F482" s="34"/>
      <c r="G482" s="35" t="str">
        <f>Source!DI307</f>
        <v>)*1,15</v>
      </c>
      <c r="H482" s="33">
        <f>Source!AV308</f>
        <v>1</v>
      </c>
      <c r="I482" s="34">
        <f>Source!U307</f>
        <v>5.8982119999999991</v>
      </c>
      <c r="J482" s="33"/>
      <c r="K482" s="34"/>
    </row>
    <row r="483" spans="1:29" ht="15" x14ac:dyDescent="0.25">
      <c r="C483" s="22" t="s">
        <v>1603</v>
      </c>
      <c r="H483" s="104">
        <f>I472+I473+I475+I479+I480+I481+SUM(I476:I478)-SUMIF(AC476:AC478, 5, I476:I478)-SUMIF(AC476:AC478, 6, I476:I478)</f>
        <v>449.44</v>
      </c>
      <c r="I483" s="104"/>
      <c r="J483" s="104">
        <f>K472+K473+K475+K479+K480+K481+SUM(K476:K478)-SUMIF(AC476:AC478, 5, K476:K478)-SUMIF(AC476:AC478, 6, K476:K478)</f>
        <v>13740.17</v>
      </c>
      <c r="K483" s="104"/>
    </row>
    <row r="484" spans="1:29" ht="15" x14ac:dyDescent="0.25">
      <c r="C484" s="22" t="s">
        <v>1604</v>
      </c>
      <c r="H484" s="100">
        <f>SUMIF(AC476:AC478, 5, I476:I478)+SUMIF(AC476:AC478, 6, I476:I478)</f>
        <v>0</v>
      </c>
      <c r="I484" s="100"/>
      <c r="J484" s="100">
        <f>SUMIF(AC476:AC478, 5, K476:K478)+SUMIF(AC476:AC478, 6, K476:K478)</f>
        <v>0</v>
      </c>
      <c r="K484" s="100"/>
    </row>
    <row r="485" spans="1:29" ht="15" x14ac:dyDescent="0.25">
      <c r="C485" s="22" t="s">
        <v>1605</v>
      </c>
      <c r="H485" s="100">
        <f>I472+I473+I475+I479+I480+I481+SUM(I476:I478)</f>
        <v>449.44</v>
      </c>
      <c r="I485" s="100"/>
      <c r="J485" s="100">
        <f>K472+K473+K475+K479+K480+K481+SUM(K476:K478)</f>
        <v>13740.17</v>
      </c>
      <c r="K485" s="100"/>
      <c r="O485" s="36">
        <f>I472+I473+I475+I479+I480+I481+SUM(I476:I478)</f>
        <v>449.44</v>
      </c>
      <c r="P485" s="36">
        <f>K472+K473+K475+K479+K480+K481+SUM(K476:K478)</f>
        <v>13740.17</v>
      </c>
    </row>
    <row r="487" spans="1:29" ht="71.25" x14ac:dyDescent="0.2">
      <c r="A487" s="27">
        <v>28</v>
      </c>
      <c r="B487" s="27" t="s">
        <v>1641</v>
      </c>
      <c r="C487" s="27" t="s">
        <v>421</v>
      </c>
      <c r="D487" s="28" t="str">
        <f>Source!H317</f>
        <v>100 м2 изолируемой поверхности</v>
      </c>
      <c r="E487" s="12">
        <f>Source!I317</f>
        <v>7.0000000000000007E-2</v>
      </c>
      <c r="F487" s="30"/>
      <c r="G487" s="29"/>
      <c r="H487" s="12"/>
      <c r="I487" s="30"/>
      <c r="J487" s="12"/>
      <c r="K487" s="30"/>
      <c r="Q487">
        <f>Source!X317</f>
        <v>31.5</v>
      </c>
      <c r="R487">
        <f>Source!X318</f>
        <v>765.01</v>
      </c>
      <c r="S487">
        <f>Source!Y317</f>
        <v>21.2</v>
      </c>
      <c r="T487">
        <f>Source!Y318</f>
        <v>360.52</v>
      </c>
      <c r="U487">
        <f>ROUND((175/100)*ROUND(Source!R317, 2), 2)</f>
        <v>9.84</v>
      </c>
      <c r="V487">
        <f>ROUND((160/100)*ROUND(Source!R318, 2), 2)</f>
        <v>261.04000000000002</v>
      </c>
      <c r="AC487">
        <v>0</v>
      </c>
    </row>
    <row r="488" spans="1:29" ht="14.25" x14ac:dyDescent="0.2">
      <c r="A488" s="27"/>
      <c r="B488" s="27"/>
      <c r="C488" s="27" t="s">
        <v>1597</v>
      </c>
      <c r="D488" s="28"/>
      <c r="E488" s="12"/>
      <c r="F488" s="30">
        <f>Source!AO317</f>
        <v>376.32</v>
      </c>
      <c r="G488" s="29" t="str">
        <f>Source!DG317</f>
        <v>)*1,15</v>
      </c>
      <c r="H488" s="12">
        <f>Source!AV318</f>
        <v>1</v>
      </c>
      <c r="I488" s="30">
        <f>Source!S317</f>
        <v>30.29</v>
      </c>
      <c r="J488" s="12">
        <f>IF(Source!BA318&lt;&gt; 0, Source!BA318, 1)</f>
        <v>29.03</v>
      </c>
      <c r="K488" s="30">
        <f>Source!S318</f>
        <v>879.32</v>
      </c>
    </row>
    <row r="489" spans="1:29" ht="14.25" x14ac:dyDescent="0.2">
      <c r="A489" s="27"/>
      <c r="B489" s="27"/>
      <c r="C489" s="27" t="s">
        <v>1609</v>
      </c>
      <c r="D489" s="28"/>
      <c r="E489" s="12"/>
      <c r="F489" s="30">
        <f>Source!AM317</f>
        <v>403.01</v>
      </c>
      <c r="G489" s="29" t="str">
        <f>Source!DE317</f>
        <v>)*1,25</v>
      </c>
      <c r="H489" s="12">
        <f>Source!AV318</f>
        <v>1</v>
      </c>
      <c r="I489" s="30">
        <f>Source!Q317</f>
        <v>35.26</v>
      </c>
      <c r="J489" s="12">
        <f>IF(Source!BB318&lt;&gt; 0, Source!BB318, 1)</f>
        <v>11.87</v>
      </c>
      <c r="K489" s="30">
        <f>Source!Q318</f>
        <v>418.54</v>
      </c>
    </row>
    <row r="490" spans="1:29" ht="14.25" x14ac:dyDescent="0.2">
      <c r="A490" s="27"/>
      <c r="B490" s="27"/>
      <c r="C490" s="27" t="s">
        <v>1610</v>
      </c>
      <c r="D490" s="28"/>
      <c r="E490" s="12"/>
      <c r="F490" s="30">
        <f>Source!AN317</f>
        <v>64.180000000000007</v>
      </c>
      <c r="G490" s="29" t="str">
        <f>Source!DF317</f>
        <v>)*1,25</v>
      </c>
      <c r="H490" s="12">
        <f>Source!AV318</f>
        <v>1</v>
      </c>
      <c r="I490" s="38">
        <f>Source!R317</f>
        <v>5.62</v>
      </c>
      <c r="J490" s="12">
        <f>IF(Source!BS318&lt;&gt; 0, Source!BS318, 1)</f>
        <v>29.03</v>
      </c>
      <c r="K490" s="38">
        <f>Source!R318</f>
        <v>163.15</v>
      </c>
    </row>
    <row r="491" spans="1:29" ht="14.25" x14ac:dyDescent="0.2">
      <c r="A491" s="27"/>
      <c r="B491" s="27"/>
      <c r="C491" s="27" t="s">
        <v>1611</v>
      </c>
      <c r="D491" s="28"/>
      <c r="E491" s="12"/>
      <c r="F491" s="30">
        <f>Source!AL317</f>
        <v>10508.86</v>
      </c>
      <c r="G491" s="29" t="str">
        <f>Source!DD317</f>
        <v/>
      </c>
      <c r="H491" s="12">
        <f>Source!AW318</f>
        <v>1</v>
      </c>
      <c r="I491" s="30">
        <f>Source!P317</f>
        <v>735.62</v>
      </c>
      <c r="J491" s="12">
        <f>IF(Source!BC318&lt;&gt; 0, Source!BC318, 1)</f>
        <v>3.95</v>
      </c>
      <c r="K491" s="30">
        <f>Source!P318</f>
        <v>2905.7</v>
      </c>
    </row>
    <row r="492" spans="1:29" ht="42.75" x14ac:dyDescent="0.2">
      <c r="A492" s="27" t="s">
        <v>426</v>
      </c>
      <c r="B492" s="27" t="str">
        <f>Source!F319</f>
        <v>1.1-1-1016</v>
      </c>
      <c r="C492" s="27" t="s">
        <v>428</v>
      </c>
      <c r="D492" s="28" t="str">
        <f>Source!H319</f>
        <v>м2</v>
      </c>
      <c r="E492" s="12">
        <f>Source!I319</f>
        <v>7.84</v>
      </c>
      <c r="F492" s="30">
        <f>Source!AK319</f>
        <v>7</v>
      </c>
      <c r="G492" s="39" t="s">
        <v>3</v>
      </c>
      <c r="H492" s="12">
        <f>Source!AW320</f>
        <v>1</v>
      </c>
      <c r="I492" s="30">
        <f>Source!O319</f>
        <v>54.88</v>
      </c>
      <c r="J492" s="12">
        <f>IF(Source!BC320&lt;&gt; 0, Source!BC320, 1)</f>
        <v>8.65</v>
      </c>
      <c r="K492" s="30">
        <f>Source!O320</f>
        <v>474.71</v>
      </c>
      <c r="Q492">
        <f>Source!X319</f>
        <v>0</v>
      </c>
      <c r="R492">
        <f>Source!X320</f>
        <v>0</v>
      </c>
      <c r="S492">
        <f>Source!Y319</f>
        <v>0</v>
      </c>
      <c r="T492">
        <f>Source!Y320</f>
        <v>0</v>
      </c>
      <c r="U492">
        <f>ROUND((175/100)*ROUND(Source!R319, 2), 2)</f>
        <v>0</v>
      </c>
      <c r="V492">
        <f>ROUND((160/100)*ROUND(Source!R320, 2), 2)</f>
        <v>0</v>
      </c>
      <c r="AC492">
        <v>3</v>
      </c>
    </row>
    <row r="493" spans="1:29" ht="14.25" x14ac:dyDescent="0.2">
      <c r="A493" s="27"/>
      <c r="B493" s="27"/>
      <c r="C493" s="27" t="s">
        <v>1598</v>
      </c>
      <c r="D493" s="28" t="s">
        <v>1599</v>
      </c>
      <c r="E493" s="12">
        <f>Source!DN318</f>
        <v>104</v>
      </c>
      <c r="F493" s="30"/>
      <c r="G493" s="29"/>
      <c r="H493" s="12"/>
      <c r="I493" s="30">
        <f>SUM(Q487:Q492)</f>
        <v>31.5</v>
      </c>
      <c r="J493" s="12">
        <f>Source!BZ318</f>
        <v>87</v>
      </c>
      <c r="K493" s="30">
        <f>SUM(R487:R492)</f>
        <v>765.01</v>
      </c>
    </row>
    <row r="494" spans="1:29" ht="14.25" x14ac:dyDescent="0.2">
      <c r="A494" s="27"/>
      <c r="B494" s="27"/>
      <c r="C494" s="27" t="s">
        <v>1600</v>
      </c>
      <c r="D494" s="28" t="s">
        <v>1599</v>
      </c>
      <c r="E494" s="12">
        <f>Source!DO318</f>
        <v>70</v>
      </c>
      <c r="F494" s="30"/>
      <c r="G494" s="29"/>
      <c r="H494" s="12"/>
      <c r="I494" s="30">
        <f>SUM(S487:S493)</f>
        <v>21.2</v>
      </c>
      <c r="J494" s="12">
        <f>Source!CA318</f>
        <v>41</v>
      </c>
      <c r="K494" s="30">
        <f>SUM(T487:T493)</f>
        <v>360.52</v>
      </c>
    </row>
    <row r="495" spans="1:29" ht="14.25" x14ac:dyDescent="0.2">
      <c r="A495" s="27"/>
      <c r="B495" s="27"/>
      <c r="C495" s="27" t="s">
        <v>1612</v>
      </c>
      <c r="D495" s="28" t="s">
        <v>1599</v>
      </c>
      <c r="E495" s="12">
        <f>175</f>
        <v>175</v>
      </c>
      <c r="F495" s="30"/>
      <c r="G495" s="29"/>
      <c r="H495" s="12"/>
      <c r="I495" s="30">
        <f>SUM(U487:U494)</f>
        <v>9.84</v>
      </c>
      <c r="J495" s="12">
        <f>160</f>
        <v>160</v>
      </c>
      <c r="K495" s="30">
        <f>SUM(V487:V494)</f>
        <v>261.04000000000002</v>
      </c>
    </row>
    <row r="496" spans="1:29" ht="14.25" x14ac:dyDescent="0.2">
      <c r="A496" s="31"/>
      <c r="B496" s="31"/>
      <c r="C496" s="31" t="s">
        <v>1601</v>
      </c>
      <c r="D496" s="32" t="s">
        <v>1602</v>
      </c>
      <c r="E496" s="33">
        <f>Source!AQ317</f>
        <v>32</v>
      </c>
      <c r="F496" s="34"/>
      <c r="G496" s="35" t="str">
        <f>Source!DI317</f>
        <v>)*1,15</v>
      </c>
      <c r="H496" s="33">
        <f>Source!AV318</f>
        <v>1</v>
      </c>
      <c r="I496" s="34">
        <f>Source!U317</f>
        <v>2.5760000000000001</v>
      </c>
      <c r="J496" s="33"/>
      <c r="K496" s="34"/>
    </row>
    <row r="497" spans="1:29" ht="15" x14ac:dyDescent="0.25">
      <c r="C497" s="22" t="s">
        <v>1603</v>
      </c>
      <c r="H497" s="104">
        <f>I488+I489+I491+I493+I494+I495+SUM(I492:I492)-SUMIF(AC492:AC492, 5, I492:I492)-SUMIF(AC492:AC492, 6, I492:I492)</f>
        <v>918.59</v>
      </c>
      <c r="I497" s="104"/>
      <c r="J497" s="104">
        <f>K488+K489+K491+K493+K494+K495+SUM(K492:K492)-SUMIF(AC492:AC492, 5, K492:K492)-SUMIF(AC492:AC492, 6, K492:K492)</f>
        <v>6064.84</v>
      </c>
      <c r="K497" s="104"/>
    </row>
    <row r="498" spans="1:29" ht="15" x14ac:dyDescent="0.25">
      <c r="C498" s="22" t="s">
        <v>1604</v>
      </c>
      <c r="H498" s="100">
        <f>SUMIF(AC492:AC492, 5, I492:I492)+SUMIF(AC492:AC492, 6, I492:I492)</f>
        <v>0</v>
      </c>
      <c r="I498" s="100"/>
      <c r="J498" s="100">
        <f>SUMIF(AC492:AC492, 5, K492:K492)+SUMIF(AC492:AC492, 6, K492:K492)</f>
        <v>0</v>
      </c>
      <c r="K498" s="100"/>
    </row>
    <row r="499" spans="1:29" ht="15" x14ac:dyDescent="0.25">
      <c r="C499" s="22" t="s">
        <v>1605</v>
      </c>
      <c r="H499" s="100">
        <f>I488+I489+I491+I493+I494+I495+SUM(I492:I492)</f>
        <v>918.59</v>
      </c>
      <c r="I499" s="100"/>
      <c r="J499" s="100">
        <f>K488+K489+K491+K493+K494+K495+SUM(K492:K492)</f>
        <v>6064.84</v>
      </c>
      <c r="K499" s="100"/>
      <c r="O499" s="36">
        <f>I488+I489+I491+I493+I494+I495+SUM(I492:I492)</f>
        <v>918.59</v>
      </c>
      <c r="P499" s="36">
        <f>K488+K489+K491+K493+K494+K495+SUM(K492:K492)</f>
        <v>6064.84</v>
      </c>
    </row>
    <row r="501" spans="1:29" ht="52.5" x14ac:dyDescent="0.2">
      <c r="A501" s="27">
        <v>29</v>
      </c>
      <c r="B501" s="27" t="s">
        <v>1642</v>
      </c>
      <c r="C501" s="27" t="s">
        <v>432</v>
      </c>
      <c r="D501" s="28" t="str">
        <f>Source!H321</f>
        <v>100 м2 стяжки</v>
      </c>
      <c r="E501" s="12">
        <f>Source!I321</f>
        <v>7.0000000000000007E-2</v>
      </c>
      <c r="F501" s="30"/>
      <c r="G501" s="29"/>
      <c r="H501" s="12"/>
      <c r="I501" s="30"/>
      <c r="J501" s="12"/>
      <c r="K501" s="30"/>
      <c r="Q501">
        <f>Source!X321</f>
        <v>32.770000000000003</v>
      </c>
      <c r="R501">
        <f>Source!X322</f>
        <v>795.82</v>
      </c>
      <c r="S501">
        <f>Source!Y321</f>
        <v>22.06</v>
      </c>
      <c r="T501">
        <f>Source!Y322</f>
        <v>375.04</v>
      </c>
      <c r="U501">
        <f>ROUND((175/100)*ROUND(Source!R321, 2), 2)</f>
        <v>1.4</v>
      </c>
      <c r="V501">
        <f>ROUND((160/100)*ROUND(Source!R322, 2), 2)</f>
        <v>37.15</v>
      </c>
      <c r="AC501">
        <v>0</v>
      </c>
    </row>
    <row r="502" spans="1:29" ht="14.25" x14ac:dyDescent="0.2">
      <c r="A502" s="27"/>
      <c r="B502" s="27"/>
      <c r="C502" s="27" t="s">
        <v>1597</v>
      </c>
      <c r="D502" s="28"/>
      <c r="E502" s="12"/>
      <c r="F502" s="30">
        <f>Source!AO321</f>
        <v>391.47</v>
      </c>
      <c r="G502" s="29" t="str">
        <f>Source!DG321</f>
        <v>)*1,15</v>
      </c>
      <c r="H502" s="12">
        <f>Source!AV322</f>
        <v>1</v>
      </c>
      <c r="I502" s="30">
        <f>Source!S321</f>
        <v>31.51</v>
      </c>
      <c r="J502" s="12">
        <f>IF(Source!BA322&lt;&gt; 0, Source!BA322, 1)</f>
        <v>29.03</v>
      </c>
      <c r="K502" s="30">
        <f>Source!S322</f>
        <v>914.74</v>
      </c>
    </row>
    <row r="503" spans="1:29" ht="14.25" x14ac:dyDescent="0.2">
      <c r="A503" s="27"/>
      <c r="B503" s="27"/>
      <c r="C503" s="27" t="s">
        <v>1609</v>
      </c>
      <c r="D503" s="28"/>
      <c r="E503" s="12"/>
      <c r="F503" s="30">
        <f>Source!AM321</f>
        <v>65.87</v>
      </c>
      <c r="G503" s="29" t="str">
        <f>Source!DE321</f>
        <v>)*1,25</v>
      </c>
      <c r="H503" s="12">
        <f>Source!AV322</f>
        <v>1</v>
      </c>
      <c r="I503" s="30">
        <f>Source!Q321</f>
        <v>5.76</v>
      </c>
      <c r="J503" s="12">
        <f>IF(Source!BB322&lt;&gt; 0, Source!BB322, 1)</f>
        <v>10.61</v>
      </c>
      <c r="K503" s="30">
        <f>Source!Q322</f>
        <v>61.11</v>
      </c>
    </row>
    <row r="504" spans="1:29" ht="14.25" x14ac:dyDescent="0.2">
      <c r="A504" s="27"/>
      <c r="B504" s="27"/>
      <c r="C504" s="27" t="s">
        <v>1610</v>
      </c>
      <c r="D504" s="28"/>
      <c r="E504" s="12"/>
      <c r="F504" s="30">
        <f>Source!AN321</f>
        <v>9.19</v>
      </c>
      <c r="G504" s="29" t="str">
        <f>Source!DF321</f>
        <v>)*1,25</v>
      </c>
      <c r="H504" s="12">
        <f>Source!AV322</f>
        <v>1</v>
      </c>
      <c r="I504" s="38">
        <f>Source!R321</f>
        <v>0.8</v>
      </c>
      <c r="J504" s="12">
        <f>IF(Source!BS322&lt;&gt; 0, Source!BS322, 1)</f>
        <v>29.03</v>
      </c>
      <c r="K504" s="38">
        <f>Source!R322</f>
        <v>23.22</v>
      </c>
    </row>
    <row r="505" spans="1:29" ht="14.25" x14ac:dyDescent="0.2">
      <c r="A505" s="27"/>
      <c r="B505" s="27"/>
      <c r="C505" s="27" t="s">
        <v>1611</v>
      </c>
      <c r="D505" s="28"/>
      <c r="E505" s="12"/>
      <c r="F505" s="30">
        <f>Source!AL321</f>
        <v>25.24</v>
      </c>
      <c r="G505" s="29" t="str">
        <f>Source!DD321</f>
        <v/>
      </c>
      <c r="H505" s="12">
        <f>Source!AW322</f>
        <v>1</v>
      </c>
      <c r="I505" s="30">
        <f>Source!P321</f>
        <v>1.77</v>
      </c>
      <c r="J505" s="12">
        <f>IF(Source!BC322&lt;&gt; 0, Source!BC322, 1)</f>
        <v>3.61</v>
      </c>
      <c r="K505" s="30">
        <f>Source!P322</f>
        <v>6.39</v>
      </c>
    </row>
    <row r="506" spans="1:29" ht="42.75" x14ac:dyDescent="0.2">
      <c r="A506" s="27" t="s">
        <v>437</v>
      </c>
      <c r="B506" s="27" t="str">
        <f>Source!F323</f>
        <v>1.1-1-3258</v>
      </c>
      <c r="C506" s="27" t="s">
        <v>439</v>
      </c>
      <c r="D506" s="28" t="str">
        <f>Source!H323</f>
        <v>кг</v>
      </c>
      <c r="E506" s="12">
        <f>Source!I323</f>
        <v>1.4</v>
      </c>
      <c r="F506" s="30">
        <f>Source!AK323</f>
        <v>53.76</v>
      </c>
      <c r="G506" s="39" t="s">
        <v>3</v>
      </c>
      <c r="H506" s="12">
        <f>Source!AW324</f>
        <v>1</v>
      </c>
      <c r="I506" s="30">
        <f>Source!O323</f>
        <v>75.260000000000005</v>
      </c>
      <c r="J506" s="12">
        <f>IF(Source!BC324&lt;&gt; 0, Source!BC324, 1)</f>
        <v>13.85</v>
      </c>
      <c r="K506" s="30">
        <f>Source!O324</f>
        <v>1042.3499999999999</v>
      </c>
      <c r="Q506">
        <f>Source!X323</f>
        <v>0</v>
      </c>
      <c r="R506">
        <f>Source!X324</f>
        <v>0</v>
      </c>
      <c r="S506">
        <f>Source!Y323</f>
        <v>0</v>
      </c>
      <c r="T506">
        <f>Source!Y324</f>
        <v>0</v>
      </c>
      <c r="U506">
        <f>ROUND((175/100)*ROUND(Source!R323, 2), 2)</f>
        <v>0</v>
      </c>
      <c r="V506">
        <f>ROUND((160/100)*ROUND(Source!R324, 2), 2)</f>
        <v>0</v>
      </c>
      <c r="AC506">
        <v>3</v>
      </c>
    </row>
    <row r="507" spans="1:29" ht="57" x14ac:dyDescent="0.2">
      <c r="A507" s="27" t="s">
        <v>441</v>
      </c>
      <c r="B507" s="27" t="str">
        <f>Source!F325</f>
        <v>1.3-2-38</v>
      </c>
      <c r="C507" s="27" t="s">
        <v>443</v>
      </c>
      <c r="D507" s="28" t="str">
        <f>Source!H325</f>
        <v>т</v>
      </c>
      <c r="E507" s="12">
        <f>Source!I325</f>
        <v>5.8939999999999992E-2</v>
      </c>
      <c r="F507" s="30">
        <f>Source!AK325</f>
        <v>10322.83</v>
      </c>
      <c r="G507" s="39" t="s">
        <v>3</v>
      </c>
      <c r="H507" s="12">
        <f>Source!AW326</f>
        <v>1</v>
      </c>
      <c r="I507" s="30">
        <f>Source!O325</f>
        <v>608.42999999999995</v>
      </c>
      <c r="J507" s="12">
        <f>IF(Source!BC326&lt;&gt; 0, Source!BC326, 1)</f>
        <v>3.7</v>
      </c>
      <c r="K507" s="30">
        <f>Source!O326</f>
        <v>2251.19</v>
      </c>
      <c r="Q507">
        <f>Source!X325</f>
        <v>0</v>
      </c>
      <c r="R507">
        <f>Source!X326</f>
        <v>0</v>
      </c>
      <c r="S507">
        <f>Source!Y325</f>
        <v>0</v>
      </c>
      <c r="T507">
        <f>Source!Y326</f>
        <v>0</v>
      </c>
      <c r="U507">
        <f>ROUND((175/100)*ROUND(Source!R325, 2), 2)</f>
        <v>0</v>
      </c>
      <c r="V507">
        <f>ROUND((160/100)*ROUND(Source!R326, 2), 2)</f>
        <v>0</v>
      </c>
      <c r="AC507">
        <v>3</v>
      </c>
    </row>
    <row r="508" spans="1:29" ht="14.25" x14ac:dyDescent="0.2">
      <c r="A508" s="27"/>
      <c r="B508" s="27"/>
      <c r="C508" s="27" t="s">
        <v>1598</v>
      </c>
      <c r="D508" s="28" t="s">
        <v>1599</v>
      </c>
      <c r="E508" s="12">
        <f>Source!DN322</f>
        <v>104</v>
      </c>
      <c r="F508" s="30"/>
      <c r="G508" s="29"/>
      <c r="H508" s="12"/>
      <c r="I508" s="30">
        <f>SUM(Q501:Q507)</f>
        <v>32.770000000000003</v>
      </c>
      <c r="J508" s="12">
        <f>Source!BZ322</f>
        <v>87</v>
      </c>
      <c r="K508" s="30">
        <f>SUM(R501:R507)</f>
        <v>795.82</v>
      </c>
    </row>
    <row r="509" spans="1:29" ht="14.25" x14ac:dyDescent="0.2">
      <c r="A509" s="27"/>
      <c r="B509" s="27"/>
      <c r="C509" s="27" t="s">
        <v>1600</v>
      </c>
      <c r="D509" s="28" t="s">
        <v>1599</v>
      </c>
      <c r="E509" s="12">
        <f>Source!DO322</f>
        <v>70</v>
      </c>
      <c r="F509" s="30"/>
      <c r="G509" s="29"/>
      <c r="H509" s="12"/>
      <c r="I509" s="30">
        <f>SUM(S501:S508)</f>
        <v>22.06</v>
      </c>
      <c r="J509" s="12">
        <f>Source!CA322</f>
        <v>41</v>
      </c>
      <c r="K509" s="30">
        <f>SUM(T501:T508)</f>
        <v>375.04</v>
      </c>
    </row>
    <row r="510" spans="1:29" ht="14.25" x14ac:dyDescent="0.2">
      <c r="A510" s="27"/>
      <c r="B510" s="27"/>
      <c r="C510" s="27" t="s">
        <v>1612</v>
      </c>
      <c r="D510" s="28" t="s">
        <v>1599</v>
      </c>
      <c r="E510" s="12">
        <f>175</f>
        <v>175</v>
      </c>
      <c r="F510" s="30"/>
      <c r="G510" s="29"/>
      <c r="H510" s="12"/>
      <c r="I510" s="30">
        <f>SUM(U501:U509)</f>
        <v>1.4</v>
      </c>
      <c r="J510" s="12">
        <f>160</f>
        <v>160</v>
      </c>
      <c r="K510" s="30">
        <f>SUM(V501:V509)</f>
        <v>37.15</v>
      </c>
    </row>
    <row r="511" spans="1:29" ht="14.25" x14ac:dyDescent="0.2">
      <c r="A511" s="31"/>
      <c r="B511" s="31"/>
      <c r="C511" s="31" t="s">
        <v>1601</v>
      </c>
      <c r="D511" s="32" t="s">
        <v>1602</v>
      </c>
      <c r="E511" s="33">
        <f>Source!AQ321</f>
        <v>33.020000000000003</v>
      </c>
      <c r="F511" s="34"/>
      <c r="G511" s="35" t="str">
        <f>Source!DI321</f>
        <v>)*1,15</v>
      </c>
      <c r="H511" s="33">
        <f>Source!AV322</f>
        <v>1</v>
      </c>
      <c r="I511" s="34">
        <f>Source!U321</f>
        <v>2.6581100000000002</v>
      </c>
      <c r="J511" s="33"/>
      <c r="K511" s="34"/>
    </row>
    <row r="512" spans="1:29" ht="15" x14ac:dyDescent="0.25">
      <c r="C512" s="22" t="s">
        <v>1603</v>
      </c>
      <c r="H512" s="104">
        <f>I502+I503+I505+I508+I509+I510+SUM(I506:I507)-SUMIF(AC506:AC507, 5, I506:I507)-SUMIF(AC506:AC507, 6, I506:I507)</f>
        <v>778.95999999999992</v>
      </c>
      <c r="I512" s="104"/>
      <c r="J512" s="104">
        <f>K502+K503+K505+K508+K509+K510+SUM(K506:K507)-SUMIF(AC506:AC507, 5, K506:K507)-SUMIF(AC506:AC507, 6, K506:K507)</f>
        <v>5483.79</v>
      </c>
      <c r="K512" s="104"/>
    </row>
    <row r="513" spans="1:29" ht="15" x14ac:dyDescent="0.25">
      <c r="C513" s="22" t="s">
        <v>1604</v>
      </c>
      <c r="H513" s="100">
        <f>SUMIF(AC506:AC507, 5, I506:I507)+SUMIF(AC506:AC507, 6, I506:I507)</f>
        <v>0</v>
      </c>
      <c r="I513" s="100"/>
      <c r="J513" s="100">
        <f>SUMIF(AC506:AC507, 5, K506:K507)+SUMIF(AC506:AC507, 6, K506:K507)</f>
        <v>0</v>
      </c>
      <c r="K513" s="100"/>
    </row>
    <row r="514" spans="1:29" ht="15" x14ac:dyDescent="0.25">
      <c r="C514" s="22" t="s">
        <v>1605</v>
      </c>
      <c r="H514" s="100">
        <f>I502+I503+I505+I508+I509+I510+SUM(I506:I507)</f>
        <v>778.95999999999992</v>
      </c>
      <c r="I514" s="100"/>
      <c r="J514" s="100">
        <f>K502+K503+K505+K508+K509+K510+SUM(K506:K507)</f>
        <v>5483.79</v>
      </c>
      <c r="K514" s="100"/>
      <c r="O514" s="36">
        <f>I502+I503+I505+I508+I509+I510+SUM(I506:I507)</f>
        <v>778.95999999999992</v>
      </c>
      <c r="P514" s="36">
        <f>K502+K503+K505+K508+K509+K510+SUM(K506:K507)</f>
        <v>5483.79</v>
      </c>
    </row>
    <row r="516" spans="1:29" ht="57" x14ac:dyDescent="0.2">
      <c r="A516" s="27">
        <v>30</v>
      </c>
      <c r="B516" s="27" t="s">
        <v>1639</v>
      </c>
      <c r="C516" s="27" t="s">
        <v>399</v>
      </c>
      <c r="D516" s="28" t="str">
        <f>Source!H327</f>
        <v>100 м2 пола</v>
      </c>
      <c r="E516" s="12">
        <f>Source!I327</f>
        <v>7.0000000000000007E-2</v>
      </c>
      <c r="F516" s="30"/>
      <c r="G516" s="29"/>
      <c r="H516" s="12"/>
      <c r="I516" s="30"/>
      <c r="J516" s="12"/>
      <c r="K516" s="30"/>
      <c r="Q516">
        <f>Source!X327</f>
        <v>82.63</v>
      </c>
      <c r="R516">
        <f>Source!X328</f>
        <v>2006.59</v>
      </c>
      <c r="S516">
        <f>Source!Y327</f>
        <v>55.62</v>
      </c>
      <c r="T516">
        <f>Source!Y328</f>
        <v>945.64</v>
      </c>
      <c r="U516">
        <f>ROUND((175/100)*ROUND(Source!R327, 2), 2)</f>
        <v>1.91</v>
      </c>
      <c r="V516">
        <f>ROUND((160/100)*ROUND(Source!R328, 2), 2)</f>
        <v>50.62</v>
      </c>
      <c r="AC516">
        <v>0</v>
      </c>
    </row>
    <row r="517" spans="1:29" ht="14.25" x14ac:dyDescent="0.2">
      <c r="A517" s="27"/>
      <c r="B517" s="27"/>
      <c r="C517" s="27" t="s">
        <v>1597</v>
      </c>
      <c r="D517" s="28"/>
      <c r="E517" s="12"/>
      <c r="F517" s="30">
        <f>Source!AO327</f>
        <v>986.98</v>
      </c>
      <c r="G517" s="29" t="str">
        <f>Source!DG327</f>
        <v>)*1,15</v>
      </c>
      <c r="H517" s="12">
        <f>Source!AV328</f>
        <v>1</v>
      </c>
      <c r="I517" s="30">
        <f>Source!S327</f>
        <v>79.45</v>
      </c>
      <c r="J517" s="12">
        <f>IF(Source!BA328&lt;&gt; 0, Source!BA328, 1)</f>
        <v>29.03</v>
      </c>
      <c r="K517" s="30">
        <f>Source!S328</f>
        <v>2306.4299999999998</v>
      </c>
    </row>
    <row r="518" spans="1:29" ht="14.25" x14ac:dyDescent="0.2">
      <c r="A518" s="27"/>
      <c r="B518" s="27"/>
      <c r="C518" s="27" t="s">
        <v>1609</v>
      </c>
      <c r="D518" s="28"/>
      <c r="E518" s="12"/>
      <c r="F518" s="30">
        <f>Source!AM327</f>
        <v>99.77</v>
      </c>
      <c r="G518" s="29" t="str">
        <f>Source!DE327</f>
        <v>)*1,25</v>
      </c>
      <c r="H518" s="12">
        <f>Source!AV328</f>
        <v>1</v>
      </c>
      <c r="I518" s="30">
        <f>Source!Q327</f>
        <v>8.73</v>
      </c>
      <c r="J518" s="12">
        <f>IF(Source!BB328&lt;&gt; 0, Source!BB328, 1)</f>
        <v>12.03</v>
      </c>
      <c r="K518" s="30">
        <f>Source!Q328</f>
        <v>105.02</v>
      </c>
    </row>
    <row r="519" spans="1:29" ht="14.25" x14ac:dyDescent="0.2">
      <c r="A519" s="27"/>
      <c r="B519" s="27"/>
      <c r="C519" s="27" t="s">
        <v>1610</v>
      </c>
      <c r="D519" s="28"/>
      <c r="E519" s="12"/>
      <c r="F519" s="30">
        <f>Source!AN327</f>
        <v>12.51</v>
      </c>
      <c r="G519" s="29" t="str">
        <f>Source!DF327</f>
        <v>)*1,25</v>
      </c>
      <c r="H519" s="12">
        <f>Source!AV328</f>
        <v>1</v>
      </c>
      <c r="I519" s="38">
        <f>Source!R327</f>
        <v>1.0900000000000001</v>
      </c>
      <c r="J519" s="12">
        <f>IF(Source!BS328&lt;&gt; 0, Source!BS328, 1)</f>
        <v>29.03</v>
      </c>
      <c r="K519" s="38">
        <f>Source!R328</f>
        <v>31.64</v>
      </c>
    </row>
    <row r="520" spans="1:29" ht="14.25" x14ac:dyDescent="0.2">
      <c r="A520" s="27"/>
      <c r="B520" s="27"/>
      <c r="C520" s="27" t="s">
        <v>1611</v>
      </c>
      <c r="D520" s="28"/>
      <c r="E520" s="12"/>
      <c r="F520" s="30">
        <f>Source!AL327</f>
        <v>699.78</v>
      </c>
      <c r="G520" s="29" t="str">
        <f>Source!DD327</f>
        <v/>
      </c>
      <c r="H520" s="12">
        <f>Source!AW328</f>
        <v>1</v>
      </c>
      <c r="I520" s="30">
        <f>Source!P327</f>
        <v>48.98</v>
      </c>
      <c r="J520" s="12">
        <f>IF(Source!BC328&lt;&gt; 0, Source!BC328, 1)</f>
        <v>3.21</v>
      </c>
      <c r="K520" s="30">
        <f>Source!P328</f>
        <v>157.22999999999999</v>
      </c>
    </row>
    <row r="521" spans="1:29" ht="28.5" x14ac:dyDescent="0.2">
      <c r="A521" s="27" t="s">
        <v>446</v>
      </c>
      <c r="B521" s="27" t="str">
        <f>Source!F329</f>
        <v>1.3-2-138</v>
      </c>
      <c r="C521" s="27" t="s">
        <v>406</v>
      </c>
      <c r="D521" s="28" t="str">
        <f>Source!H329</f>
        <v>т</v>
      </c>
      <c r="E521" s="12">
        <f>Source!I329</f>
        <v>7.0000000000000001E-3</v>
      </c>
      <c r="F521" s="30">
        <f>Source!AK329</f>
        <v>27362.67</v>
      </c>
      <c r="G521" s="39" t="s">
        <v>3</v>
      </c>
      <c r="H521" s="12">
        <f>Source!AW330</f>
        <v>1</v>
      </c>
      <c r="I521" s="30">
        <f>Source!O329</f>
        <v>191.54</v>
      </c>
      <c r="J521" s="12">
        <f>IF(Source!BC330&lt;&gt; 0, Source!BC330, 1)</f>
        <v>2.3199999999999998</v>
      </c>
      <c r="K521" s="30">
        <f>Source!O330</f>
        <v>444.37</v>
      </c>
      <c r="Q521">
        <f>Source!X329</f>
        <v>0</v>
      </c>
      <c r="R521">
        <f>Source!X330</f>
        <v>0</v>
      </c>
      <c r="S521">
        <f>Source!Y329</f>
        <v>0</v>
      </c>
      <c r="T521">
        <f>Source!Y330</f>
        <v>0</v>
      </c>
      <c r="U521">
        <f>ROUND((175/100)*ROUND(Source!R329, 2), 2)</f>
        <v>0</v>
      </c>
      <c r="V521">
        <f>ROUND((160/100)*ROUND(Source!R330, 2), 2)</f>
        <v>0</v>
      </c>
      <c r="AC521">
        <v>3</v>
      </c>
    </row>
    <row r="522" spans="1:29" ht="42.75" x14ac:dyDescent="0.2">
      <c r="A522" s="27" t="s">
        <v>447</v>
      </c>
      <c r="B522" s="27" t="str">
        <f>Source!F331</f>
        <v>1.3-2-136</v>
      </c>
      <c r="C522" s="27" t="s">
        <v>410</v>
      </c>
      <c r="D522" s="28" t="str">
        <f>Source!H331</f>
        <v>т</v>
      </c>
      <c r="E522" s="12">
        <f>Source!I331</f>
        <v>3.2899999999999999E-2</v>
      </c>
      <c r="F522" s="30">
        <f>Source!AK331</f>
        <v>1424.67</v>
      </c>
      <c r="G522" s="39" t="s">
        <v>3</v>
      </c>
      <c r="H522" s="12">
        <f>Source!AW332</f>
        <v>1</v>
      </c>
      <c r="I522" s="30">
        <f>Source!O331</f>
        <v>46.87</v>
      </c>
      <c r="J522" s="12">
        <f>IF(Source!BC332&lt;&gt; 0, Source!BC332, 1)</f>
        <v>18.989999999999998</v>
      </c>
      <c r="K522" s="30">
        <f>Source!O332</f>
        <v>890.06</v>
      </c>
      <c r="Q522">
        <f>Source!X331</f>
        <v>0</v>
      </c>
      <c r="R522">
        <f>Source!X332</f>
        <v>0</v>
      </c>
      <c r="S522">
        <f>Source!Y331</f>
        <v>0</v>
      </c>
      <c r="T522">
        <f>Source!Y332</f>
        <v>0</v>
      </c>
      <c r="U522">
        <f>ROUND((175/100)*ROUND(Source!R331, 2), 2)</f>
        <v>0</v>
      </c>
      <c r="V522">
        <f>ROUND((160/100)*ROUND(Source!R332, 2), 2)</f>
        <v>0</v>
      </c>
      <c r="AC522">
        <v>3</v>
      </c>
    </row>
    <row r="523" spans="1:29" ht="55.5" x14ac:dyDescent="0.2">
      <c r="A523" s="27" t="s">
        <v>448</v>
      </c>
      <c r="B523" s="27" t="str">
        <f>Source!F333</f>
        <v>Цена поставщика</v>
      </c>
      <c r="C523" s="27" t="s">
        <v>1640</v>
      </c>
      <c r="D523" s="28" t="str">
        <f>Source!H333</f>
        <v>м2</v>
      </c>
      <c r="E523" s="12">
        <f>Source!I333</f>
        <v>7.14</v>
      </c>
      <c r="F523" s="30">
        <f>Source!AK333</f>
        <v>0</v>
      </c>
      <c r="G523" s="39" t="s">
        <v>3</v>
      </c>
      <c r="H523" s="12">
        <f>Source!AW334</f>
        <v>1</v>
      </c>
      <c r="I523" s="30">
        <f>Source!O333</f>
        <v>0</v>
      </c>
      <c r="J523" s="12">
        <f>IF(Source!BC334&lt;&gt; 0, Source!BC334, 1)</f>
        <v>8.65</v>
      </c>
      <c r="K523" s="30">
        <f>Source!O334</f>
        <v>8860.89</v>
      </c>
      <c r="Q523">
        <f>Source!X333</f>
        <v>0</v>
      </c>
      <c r="R523">
        <f>Source!X334</f>
        <v>0</v>
      </c>
      <c r="S523">
        <f>Source!Y333</f>
        <v>0</v>
      </c>
      <c r="T523">
        <f>Source!Y334</f>
        <v>0</v>
      </c>
      <c r="U523">
        <f>ROUND((175/100)*ROUND(Source!R333, 2), 2)</f>
        <v>0</v>
      </c>
      <c r="V523">
        <f>ROUND((160/100)*ROUND(Source!R334, 2), 2)</f>
        <v>0</v>
      </c>
      <c r="AC523">
        <v>3</v>
      </c>
    </row>
    <row r="524" spans="1:29" ht="14.25" x14ac:dyDescent="0.2">
      <c r="A524" s="27"/>
      <c r="B524" s="27"/>
      <c r="C524" s="27" t="s">
        <v>1598</v>
      </c>
      <c r="D524" s="28" t="s">
        <v>1599</v>
      </c>
      <c r="E524" s="12">
        <f>Source!DN328</f>
        <v>104</v>
      </c>
      <c r="F524" s="30"/>
      <c r="G524" s="29"/>
      <c r="H524" s="12"/>
      <c r="I524" s="30">
        <f>SUM(Q516:Q523)</f>
        <v>82.63</v>
      </c>
      <c r="J524" s="12">
        <f>Source!BZ328</f>
        <v>87</v>
      </c>
      <c r="K524" s="30">
        <f>SUM(R516:R523)</f>
        <v>2006.59</v>
      </c>
    </row>
    <row r="525" spans="1:29" ht="14.25" x14ac:dyDescent="0.2">
      <c r="A525" s="27"/>
      <c r="B525" s="27"/>
      <c r="C525" s="27" t="s">
        <v>1600</v>
      </c>
      <c r="D525" s="28" t="s">
        <v>1599</v>
      </c>
      <c r="E525" s="12">
        <f>Source!DO328</f>
        <v>70</v>
      </c>
      <c r="F525" s="30"/>
      <c r="G525" s="29"/>
      <c r="H525" s="12"/>
      <c r="I525" s="30">
        <f>SUM(S516:S524)</f>
        <v>55.62</v>
      </c>
      <c r="J525" s="12">
        <f>Source!CA328</f>
        <v>41</v>
      </c>
      <c r="K525" s="30">
        <f>SUM(T516:T524)</f>
        <v>945.64</v>
      </c>
    </row>
    <row r="526" spans="1:29" ht="14.25" x14ac:dyDescent="0.2">
      <c r="A526" s="27"/>
      <c r="B526" s="27"/>
      <c r="C526" s="27" t="s">
        <v>1612</v>
      </c>
      <c r="D526" s="28" t="s">
        <v>1599</v>
      </c>
      <c r="E526" s="12">
        <f>175</f>
        <v>175</v>
      </c>
      <c r="F526" s="30"/>
      <c r="G526" s="29"/>
      <c r="H526" s="12"/>
      <c r="I526" s="30">
        <f>SUM(U516:U525)</f>
        <v>1.91</v>
      </c>
      <c r="J526" s="12">
        <f>160</f>
        <v>160</v>
      </c>
      <c r="K526" s="30">
        <f>SUM(V516:V525)</f>
        <v>50.62</v>
      </c>
    </row>
    <row r="527" spans="1:29" ht="14.25" x14ac:dyDescent="0.2">
      <c r="A527" s="31"/>
      <c r="B527" s="31"/>
      <c r="C527" s="31" t="s">
        <v>1601</v>
      </c>
      <c r="D527" s="32" t="s">
        <v>1602</v>
      </c>
      <c r="E527" s="33">
        <f>Source!AQ327</f>
        <v>84.08</v>
      </c>
      <c r="F527" s="34"/>
      <c r="G527" s="35" t="str">
        <f>Source!DI327</f>
        <v>)*1,15</v>
      </c>
      <c r="H527" s="33">
        <f>Source!AV328</f>
        <v>1</v>
      </c>
      <c r="I527" s="34">
        <f>Source!U327</f>
        <v>6.76844</v>
      </c>
      <c r="J527" s="33"/>
      <c r="K527" s="34"/>
    </row>
    <row r="528" spans="1:29" ht="15" x14ac:dyDescent="0.25">
      <c r="C528" s="22" t="s">
        <v>1603</v>
      </c>
      <c r="H528" s="104">
        <f>I517+I518+I520+I524+I525+I526+SUM(I521:I523)-SUMIF(AC521:AC523, 5, I521:I523)-SUMIF(AC521:AC523, 6, I521:I523)</f>
        <v>515.73</v>
      </c>
      <c r="I528" s="104"/>
      <c r="J528" s="104">
        <f>K517+K518+K520+K524+K525+K526+SUM(K521:K523)-SUMIF(AC521:AC523, 5, K521:K523)-SUMIF(AC521:AC523, 6, K521:K523)</f>
        <v>15766.849999999999</v>
      </c>
      <c r="K528" s="104"/>
    </row>
    <row r="529" spans="1:29" ht="15" x14ac:dyDescent="0.25">
      <c r="C529" s="22" t="s">
        <v>1604</v>
      </c>
      <c r="H529" s="100">
        <f>SUMIF(AC521:AC523, 5, I521:I523)+SUMIF(AC521:AC523, 6, I521:I523)</f>
        <v>0</v>
      </c>
      <c r="I529" s="100"/>
      <c r="J529" s="100">
        <f>SUMIF(AC521:AC523, 5, K521:K523)+SUMIF(AC521:AC523, 6, K521:K523)</f>
        <v>0</v>
      </c>
      <c r="K529" s="100"/>
    </row>
    <row r="530" spans="1:29" ht="15" x14ac:dyDescent="0.25">
      <c r="C530" s="22" t="s">
        <v>1605</v>
      </c>
      <c r="H530" s="100">
        <f>I517+I518+I520+I524+I525+I526+SUM(I521:I523)</f>
        <v>515.73</v>
      </c>
      <c r="I530" s="100"/>
      <c r="J530" s="100">
        <f>K517+K518+K520+K524+K525+K526+SUM(K521:K523)</f>
        <v>15766.849999999999</v>
      </c>
      <c r="K530" s="100"/>
      <c r="O530" s="36">
        <f>I517+I518+I520+I524+I525+I526+SUM(I521:I523)</f>
        <v>515.73</v>
      </c>
      <c r="P530" s="36">
        <f>K517+K518+K520+K524+K525+K526+SUM(K521:K523)</f>
        <v>15766.849999999999</v>
      </c>
    </row>
    <row r="532" spans="1:29" ht="28.5" x14ac:dyDescent="0.2">
      <c r="A532" s="27">
        <v>31</v>
      </c>
      <c r="B532" s="27" t="str">
        <f>Source!F337</f>
        <v>6.58-18-2</v>
      </c>
      <c r="C532" s="27" t="s">
        <v>454</v>
      </c>
      <c r="D532" s="28" t="str">
        <f>Source!H337</f>
        <v>100 м</v>
      </c>
      <c r="E532" s="12">
        <f>Source!I337</f>
        <v>5.2999999999999999E-2</v>
      </c>
      <c r="F532" s="30"/>
      <c r="G532" s="29"/>
      <c r="H532" s="12"/>
      <c r="I532" s="30"/>
      <c r="J532" s="12"/>
      <c r="K532" s="30"/>
      <c r="Q532">
        <f>Source!X337</f>
        <v>13.03</v>
      </c>
      <c r="R532">
        <f>Source!X338</f>
        <v>316.45999999999998</v>
      </c>
      <c r="S532">
        <f>Source!Y337</f>
        <v>9.9</v>
      </c>
      <c r="T532">
        <f>Source!Y338</f>
        <v>149.13999999999999</v>
      </c>
      <c r="U532">
        <f>ROUND((175/100)*ROUND(Source!R337, 2), 2)</f>
        <v>0</v>
      </c>
      <c r="V532">
        <f>ROUND((160/100)*ROUND(Source!R338, 2), 2)</f>
        <v>0</v>
      </c>
      <c r="AC532">
        <v>0</v>
      </c>
    </row>
    <row r="533" spans="1:29" ht="14.25" x14ac:dyDescent="0.2">
      <c r="A533" s="27"/>
      <c r="B533" s="27"/>
      <c r="C533" s="27" t="s">
        <v>1597</v>
      </c>
      <c r="D533" s="28"/>
      <c r="E533" s="12"/>
      <c r="F533" s="30">
        <f>Source!AO337</f>
        <v>236.39</v>
      </c>
      <c r="G533" s="29" t="str">
        <f>Source!DG337</f>
        <v/>
      </c>
      <c r="H533" s="12">
        <f>Source!AV338</f>
        <v>1</v>
      </c>
      <c r="I533" s="30">
        <f>Source!S337</f>
        <v>12.53</v>
      </c>
      <c r="J533" s="12">
        <f>IF(Source!BA338&lt;&gt; 0, Source!BA338, 1)</f>
        <v>29.03</v>
      </c>
      <c r="K533" s="30">
        <f>Source!S338</f>
        <v>363.75</v>
      </c>
    </row>
    <row r="534" spans="1:29" ht="14.25" x14ac:dyDescent="0.2">
      <c r="A534" s="27"/>
      <c r="B534" s="27"/>
      <c r="C534" s="27" t="s">
        <v>1611</v>
      </c>
      <c r="D534" s="28"/>
      <c r="E534" s="12"/>
      <c r="F534" s="30">
        <f>Source!AL337</f>
        <v>517.19000000000005</v>
      </c>
      <c r="G534" s="29" t="str">
        <f>Source!DD337</f>
        <v/>
      </c>
      <c r="H534" s="12">
        <f>Source!AW338</f>
        <v>1</v>
      </c>
      <c r="I534" s="30">
        <f>Source!P337</f>
        <v>27.41</v>
      </c>
      <c r="J534" s="12">
        <f>IF(Source!BC338&lt;&gt; 0, Source!BC338, 1)</f>
        <v>88.46</v>
      </c>
      <c r="K534" s="30">
        <f>Source!P338</f>
        <v>2424.69</v>
      </c>
    </row>
    <row r="535" spans="1:29" ht="42.75" x14ac:dyDescent="0.2">
      <c r="A535" s="27" t="s">
        <v>459</v>
      </c>
      <c r="B535" s="27" t="str">
        <f>Source!F339</f>
        <v>1.1-1-924</v>
      </c>
      <c r="C535" s="27" t="s">
        <v>461</v>
      </c>
      <c r="D535" s="28" t="str">
        <f>Source!H339</f>
        <v>т</v>
      </c>
      <c r="E535" s="12">
        <f>Source!I339</f>
        <v>3.4980000000000002E-3</v>
      </c>
      <c r="F535" s="30">
        <f>Source!AK339</f>
        <v>6870.66</v>
      </c>
      <c r="G535" s="39" t="s">
        <v>3</v>
      </c>
      <c r="H535" s="12">
        <f>Source!AW340</f>
        <v>1</v>
      </c>
      <c r="I535" s="30">
        <f>Source!O339</f>
        <v>24.03</v>
      </c>
      <c r="J535" s="12">
        <f>IF(Source!BC340&lt;&gt; 0, Source!BC340, 1)</f>
        <v>7.94</v>
      </c>
      <c r="K535" s="30">
        <f>Source!O340</f>
        <v>190.8</v>
      </c>
      <c r="Q535">
        <f>Source!X339</f>
        <v>0</v>
      </c>
      <c r="R535">
        <f>Source!X340</f>
        <v>0</v>
      </c>
      <c r="S535">
        <f>Source!Y339</f>
        <v>0</v>
      </c>
      <c r="T535">
        <f>Source!Y340</f>
        <v>0</v>
      </c>
      <c r="U535">
        <f>ROUND((175/100)*ROUND(Source!R339, 2), 2)</f>
        <v>0</v>
      </c>
      <c r="V535">
        <f>ROUND((160/100)*ROUND(Source!R340, 2), 2)</f>
        <v>0</v>
      </c>
      <c r="AC535">
        <v>3</v>
      </c>
    </row>
    <row r="536" spans="1:29" ht="28.5" x14ac:dyDescent="0.2">
      <c r="A536" s="27" t="s">
        <v>463</v>
      </c>
      <c r="B536" s="27" t="str">
        <f>Source!F341</f>
        <v>1.1-1-1079</v>
      </c>
      <c r="C536" s="27" t="s">
        <v>465</v>
      </c>
      <c r="D536" s="28" t="str">
        <f>Source!H341</f>
        <v>т</v>
      </c>
      <c r="E536" s="12">
        <f>Source!I341</f>
        <v>1.6218E-2</v>
      </c>
      <c r="F536" s="30">
        <f>Source!AK341</f>
        <v>15328.48</v>
      </c>
      <c r="G536" s="39" t="s">
        <v>3</v>
      </c>
      <c r="H536" s="12">
        <f>Source!AW342</f>
        <v>1</v>
      </c>
      <c r="I536" s="30">
        <f>Source!O341</f>
        <v>248.6</v>
      </c>
      <c r="J536" s="12">
        <f>IF(Source!BC342&lt;&gt; 0, Source!BC342, 1)</f>
        <v>4.5599999999999996</v>
      </c>
      <c r="K536" s="30">
        <f>Source!O342</f>
        <v>1133.6199999999999</v>
      </c>
      <c r="Q536">
        <f>Source!X341</f>
        <v>0</v>
      </c>
      <c r="R536">
        <f>Source!X342</f>
        <v>0</v>
      </c>
      <c r="S536">
        <f>Source!Y341</f>
        <v>0</v>
      </c>
      <c r="T536">
        <f>Source!Y342</f>
        <v>0</v>
      </c>
      <c r="U536">
        <f>ROUND((175/100)*ROUND(Source!R341, 2), 2)</f>
        <v>0</v>
      </c>
      <c r="V536">
        <f>ROUND((160/100)*ROUND(Source!R342, 2), 2)</f>
        <v>0</v>
      </c>
      <c r="AC536">
        <v>3</v>
      </c>
    </row>
    <row r="537" spans="1:29" ht="14.25" x14ac:dyDescent="0.2">
      <c r="A537" s="27"/>
      <c r="B537" s="27"/>
      <c r="C537" s="27" t="s">
        <v>1598</v>
      </c>
      <c r="D537" s="28" t="s">
        <v>1599</v>
      </c>
      <c r="E537" s="12">
        <f>Source!DN338</f>
        <v>104</v>
      </c>
      <c r="F537" s="30"/>
      <c r="G537" s="29"/>
      <c r="H537" s="12"/>
      <c r="I537" s="30">
        <f>SUM(Q532:Q536)</f>
        <v>13.03</v>
      </c>
      <c r="J537" s="12">
        <f>Source!BZ338</f>
        <v>87</v>
      </c>
      <c r="K537" s="30">
        <f>SUM(R532:R536)</f>
        <v>316.45999999999998</v>
      </c>
    </row>
    <row r="538" spans="1:29" ht="14.25" x14ac:dyDescent="0.2">
      <c r="A538" s="27"/>
      <c r="B538" s="27"/>
      <c r="C538" s="27" t="s">
        <v>1600</v>
      </c>
      <c r="D538" s="28" t="s">
        <v>1599</v>
      </c>
      <c r="E538" s="12">
        <f>Source!DO338</f>
        <v>79</v>
      </c>
      <c r="F538" s="30"/>
      <c r="G538" s="29"/>
      <c r="H538" s="12"/>
      <c r="I538" s="30">
        <f>SUM(S532:S537)</f>
        <v>9.9</v>
      </c>
      <c r="J538" s="12">
        <f>Source!CA338</f>
        <v>41</v>
      </c>
      <c r="K538" s="30">
        <f>SUM(T532:T537)</f>
        <v>149.13999999999999</v>
      </c>
    </row>
    <row r="539" spans="1:29" ht="14.25" x14ac:dyDescent="0.2">
      <c r="A539" s="31"/>
      <c r="B539" s="31"/>
      <c r="C539" s="31" t="s">
        <v>1601</v>
      </c>
      <c r="D539" s="32" t="s">
        <v>1602</v>
      </c>
      <c r="E539" s="33">
        <f>Source!AQ337</f>
        <v>21.51</v>
      </c>
      <c r="F539" s="34"/>
      <c r="G539" s="35" t="str">
        <f>Source!DI337</f>
        <v/>
      </c>
      <c r="H539" s="33">
        <f>Source!AV338</f>
        <v>1</v>
      </c>
      <c r="I539" s="34">
        <f>Source!U337</f>
        <v>1.1400300000000001</v>
      </c>
      <c r="J539" s="33"/>
      <c r="K539" s="34"/>
    </row>
    <row r="540" spans="1:29" ht="15" x14ac:dyDescent="0.25">
      <c r="C540" s="22" t="s">
        <v>1603</v>
      </c>
      <c r="H540" s="104">
        <f>I533+I534+I537+I538+SUM(I535:I536)-SUMIF(AC535:AC536, 5, I535:I536)-SUMIF(AC535:AC536, 6, I535:I536)</f>
        <v>335.5</v>
      </c>
      <c r="I540" s="104"/>
      <c r="J540" s="104">
        <f>K533+K534+K537+K538+SUM(K535:K536)-SUMIF(AC535:AC536, 5, K535:K536)-SUMIF(AC535:AC536, 6, K535:K536)</f>
        <v>4578.46</v>
      </c>
      <c r="K540" s="104"/>
    </row>
    <row r="541" spans="1:29" ht="15" x14ac:dyDescent="0.25">
      <c r="C541" s="22" t="s">
        <v>1604</v>
      </c>
      <c r="H541" s="100">
        <f>SUMIF(AC535:AC536, 5, I535:I536)+SUMIF(AC535:AC536, 6, I535:I536)</f>
        <v>0</v>
      </c>
      <c r="I541" s="100"/>
      <c r="J541" s="100">
        <f>SUMIF(AC535:AC536, 5, K535:K536)+SUMIF(AC535:AC536, 6, K535:K536)</f>
        <v>0</v>
      </c>
      <c r="K541" s="100"/>
    </row>
    <row r="542" spans="1:29" ht="15" x14ac:dyDescent="0.25">
      <c r="C542" s="22" t="s">
        <v>1605</v>
      </c>
      <c r="H542" s="100">
        <f>I533+I534+I537+I538+SUM(I535:I536)</f>
        <v>335.5</v>
      </c>
      <c r="I542" s="100"/>
      <c r="J542" s="100">
        <f>K533+K534+K537+K538+SUM(K535:K536)</f>
        <v>4578.46</v>
      </c>
      <c r="K542" s="100"/>
      <c r="O542" s="36">
        <f>I533+I534+I537+I538+SUM(I535:I536)</f>
        <v>335.5</v>
      </c>
      <c r="P542" s="36">
        <f>K533+K534+K537+K538+SUM(K535:K536)</f>
        <v>4578.46</v>
      </c>
    </row>
    <row r="544" spans="1:29" ht="28.5" x14ac:dyDescent="0.2">
      <c r="A544" s="27">
        <v>32</v>
      </c>
      <c r="B544" s="27" t="str">
        <f>Source!F343</f>
        <v>6.58-19-1</v>
      </c>
      <c r="C544" s="27" t="s">
        <v>469</v>
      </c>
      <c r="D544" s="28" t="str">
        <f>Source!H343</f>
        <v>100 м труб</v>
      </c>
      <c r="E544" s="12">
        <f>Source!I343</f>
        <v>6.2E-2</v>
      </c>
      <c r="F544" s="30"/>
      <c r="G544" s="29"/>
      <c r="H544" s="12"/>
      <c r="I544" s="30"/>
      <c r="J544" s="12"/>
      <c r="K544" s="30"/>
      <c r="Q544">
        <f>Source!X343</f>
        <v>28.52</v>
      </c>
      <c r="R544">
        <f>Source!X344</f>
        <v>692.52</v>
      </c>
      <c r="S544">
        <f>Source!Y343</f>
        <v>21.66</v>
      </c>
      <c r="T544">
        <f>Source!Y344</f>
        <v>326.36</v>
      </c>
      <c r="U544">
        <f>ROUND((175/100)*ROUND(Source!R343, 2), 2)</f>
        <v>0.02</v>
      </c>
      <c r="V544">
        <f>ROUND((160/100)*ROUND(Source!R344, 2), 2)</f>
        <v>0.46</v>
      </c>
      <c r="AC544">
        <v>0</v>
      </c>
    </row>
    <row r="545" spans="1:29" ht="14.25" x14ac:dyDescent="0.2">
      <c r="A545" s="27"/>
      <c r="B545" s="27"/>
      <c r="C545" s="27" t="s">
        <v>1597</v>
      </c>
      <c r="D545" s="28"/>
      <c r="E545" s="12"/>
      <c r="F545" s="30">
        <f>Source!AO343</f>
        <v>442.2</v>
      </c>
      <c r="G545" s="29" t="str">
        <f>Source!DG343</f>
        <v/>
      </c>
      <c r="H545" s="12">
        <f>Source!AV344</f>
        <v>1</v>
      </c>
      <c r="I545" s="30">
        <f>Source!S343</f>
        <v>27.42</v>
      </c>
      <c r="J545" s="12">
        <f>IF(Source!BA344&lt;&gt; 0, Source!BA344, 1)</f>
        <v>29.03</v>
      </c>
      <c r="K545" s="30">
        <f>Source!S344</f>
        <v>796</v>
      </c>
    </row>
    <row r="546" spans="1:29" ht="14.25" x14ac:dyDescent="0.2">
      <c r="A546" s="27"/>
      <c r="B546" s="27"/>
      <c r="C546" s="27" t="s">
        <v>1609</v>
      </c>
      <c r="D546" s="28"/>
      <c r="E546" s="12"/>
      <c r="F546" s="30">
        <f>Source!AM343</f>
        <v>2.15</v>
      </c>
      <c r="G546" s="29" t="str">
        <f>Source!DE343</f>
        <v/>
      </c>
      <c r="H546" s="12">
        <f>Source!AV344</f>
        <v>1</v>
      </c>
      <c r="I546" s="30">
        <f>Source!Q343</f>
        <v>0.13</v>
      </c>
      <c r="J546" s="12">
        <f>IF(Source!BB344&lt;&gt; 0, Source!BB344, 1)</f>
        <v>9.4700000000000006</v>
      </c>
      <c r="K546" s="30">
        <f>Source!Q344</f>
        <v>1.23</v>
      </c>
    </row>
    <row r="547" spans="1:29" ht="14.25" x14ac:dyDescent="0.2">
      <c r="A547" s="27"/>
      <c r="B547" s="27"/>
      <c r="C547" s="27" t="s">
        <v>1610</v>
      </c>
      <c r="D547" s="28"/>
      <c r="E547" s="12"/>
      <c r="F547" s="30">
        <f>Source!AN343</f>
        <v>0.09</v>
      </c>
      <c r="G547" s="29" t="str">
        <f>Source!DF343</f>
        <v/>
      </c>
      <c r="H547" s="12">
        <f>Source!AV344</f>
        <v>1</v>
      </c>
      <c r="I547" s="38">
        <f>Source!R343</f>
        <v>0.01</v>
      </c>
      <c r="J547" s="12">
        <f>IF(Source!BS344&lt;&gt; 0, Source!BS344, 1)</f>
        <v>29.03</v>
      </c>
      <c r="K547" s="38">
        <f>Source!R344</f>
        <v>0.28999999999999998</v>
      </c>
    </row>
    <row r="548" spans="1:29" ht="14.25" x14ac:dyDescent="0.2">
      <c r="A548" s="27"/>
      <c r="B548" s="27"/>
      <c r="C548" s="27" t="s">
        <v>1611</v>
      </c>
      <c r="D548" s="28"/>
      <c r="E548" s="12"/>
      <c r="F548" s="30">
        <f>Source!AL343</f>
        <v>652.71</v>
      </c>
      <c r="G548" s="29" t="str">
        <f>Source!DD343</f>
        <v/>
      </c>
      <c r="H548" s="12">
        <f>Source!AW344</f>
        <v>1</v>
      </c>
      <c r="I548" s="30">
        <f>Source!P343</f>
        <v>40.47</v>
      </c>
      <c r="J548" s="12">
        <f>IF(Source!BC344&lt;&gt; 0, Source!BC344, 1)</f>
        <v>7.94</v>
      </c>
      <c r="K548" s="30">
        <f>Source!P344</f>
        <v>321.33</v>
      </c>
    </row>
    <row r="549" spans="1:29" ht="42.75" x14ac:dyDescent="0.2">
      <c r="A549" s="27" t="s">
        <v>472</v>
      </c>
      <c r="B549" s="27" t="str">
        <f>Source!F345</f>
        <v>1.7-1-23</v>
      </c>
      <c r="C549" s="27" t="s">
        <v>474</v>
      </c>
      <c r="D549" s="28" t="str">
        <f>Source!H345</f>
        <v>м</v>
      </c>
      <c r="E549" s="12">
        <f>Source!I345</f>
        <v>6.2</v>
      </c>
      <c r="F549" s="30">
        <f>Source!AK345</f>
        <v>137</v>
      </c>
      <c r="G549" s="39" t="s">
        <v>3</v>
      </c>
      <c r="H549" s="12">
        <f>Source!AW346</f>
        <v>1</v>
      </c>
      <c r="I549" s="30">
        <f>Source!O345</f>
        <v>849.4</v>
      </c>
      <c r="J549" s="12">
        <f>IF(Source!BC346&lt;&gt; 0, Source!BC346, 1)</f>
        <v>3.6</v>
      </c>
      <c r="K549" s="30">
        <f>Source!O346</f>
        <v>3057.84</v>
      </c>
      <c r="Q549">
        <f>Source!X345</f>
        <v>0</v>
      </c>
      <c r="R549">
        <f>Source!X346</f>
        <v>0</v>
      </c>
      <c r="S549">
        <f>Source!Y345</f>
        <v>0</v>
      </c>
      <c r="T549">
        <f>Source!Y346</f>
        <v>0</v>
      </c>
      <c r="U549">
        <f>ROUND((175/100)*ROUND(Source!R345, 2), 2)</f>
        <v>0</v>
      </c>
      <c r="V549">
        <f>ROUND((160/100)*ROUND(Source!R346, 2), 2)</f>
        <v>0</v>
      </c>
      <c r="AC549">
        <v>3</v>
      </c>
    </row>
    <row r="550" spans="1:29" ht="14.25" x14ac:dyDescent="0.2">
      <c r="A550" s="27"/>
      <c r="B550" s="27"/>
      <c r="C550" s="27" t="s">
        <v>1598</v>
      </c>
      <c r="D550" s="28" t="s">
        <v>1599</v>
      </c>
      <c r="E550" s="12">
        <f>Source!DN344</f>
        <v>104</v>
      </c>
      <c r="F550" s="30"/>
      <c r="G550" s="29"/>
      <c r="H550" s="12"/>
      <c r="I550" s="30">
        <f>SUM(Q544:Q549)</f>
        <v>28.52</v>
      </c>
      <c r="J550" s="12">
        <f>Source!BZ344</f>
        <v>87</v>
      </c>
      <c r="K550" s="30">
        <f>SUM(R544:R549)</f>
        <v>692.52</v>
      </c>
    </row>
    <row r="551" spans="1:29" ht="14.25" x14ac:dyDescent="0.2">
      <c r="A551" s="27"/>
      <c r="B551" s="27"/>
      <c r="C551" s="27" t="s">
        <v>1600</v>
      </c>
      <c r="D551" s="28" t="s">
        <v>1599</v>
      </c>
      <c r="E551" s="12">
        <f>Source!DO344</f>
        <v>79</v>
      </c>
      <c r="F551" s="30"/>
      <c r="G551" s="29"/>
      <c r="H551" s="12"/>
      <c r="I551" s="30">
        <f>SUM(S544:S550)</f>
        <v>21.66</v>
      </c>
      <c r="J551" s="12">
        <f>Source!CA344</f>
        <v>41</v>
      </c>
      <c r="K551" s="30">
        <f>SUM(T544:T550)</f>
        <v>326.36</v>
      </c>
    </row>
    <row r="552" spans="1:29" ht="14.25" x14ac:dyDescent="0.2">
      <c r="A552" s="27"/>
      <c r="B552" s="27"/>
      <c r="C552" s="27" t="s">
        <v>1612</v>
      </c>
      <c r="D552" s="28" t="s">
        <v>1599</v>
      </c>
      <c r="E552" s="12">
        <f>175</f>
        <v>175</v>
      </c>
      <c r="F552" s="30"/>
      <c r="G552" s="29"/>
      <c r="H552" s="12"/>
      <c r="I552" s="30">
        <f>SUM(U544:U551)</f>
        <v>0.02</v>
      </c>
      <c r="J552" s="12">
        <f>160</f>
        <v>160</v>
      </c>
      <c r="K552" s="30">
        <f>SUM(V544:V551)</f>
        <v>0.46</v>
      </c>
    </row>
    <row r="553" spans="1:29" ht="14.25" x14ac:dyDescent="0.2">
      <c r="A553" s="31"/>
      <c r="B553" s="31"/>
      <c r="C553" s="31" t="s">
        <v>1601</v>
      </c>
      <c r="D553" s="32" t="s">
        <v>1602</v>
      </c>
      <c r="E553" s="33">
        <f>Source!AQ343</f>
        <v>35.04</v>
      </c>
      <c r="F553" s="34"/>
      <c r="G553" s="35" t="str">
        <f>Source!DI343</f>
        <v/>
      </c>
      <c r="H553" s="33">
        <f>Source!AV344</f>
        <v>1</v>
      </c>
      <c r="I553" s="34">
        <f>Source!U343</f>
        <v>2.1724799999999997</v>
      </c>
      <c r="J553" s="33"/>
      <c r="K553" s="34"/>
    </row>
    <row r="554" spans="1:29" ht="15" x14ac:dyDescent="0.25">
      <c r="C554" s="22" t="s">
        <v>1603</v>
      </c>
      <c r="H554" s="104">
        <f>I545+I546+I548+I550+I551+I552+SUM(I549:I549)-SUMIF(AC549:AC549, 5, I549:I549)-SUMIF(AC549:AC549, 6, I549:I549)</f>
        <v>967.62</v>
      </c>
      <c r="I554" s="104"/>
      <c r="J554" s="104">
        <f>K545+K546+K548+K550+K551+K552+SUM(K549:K549)-SUMIF(AC549:AC549, 5, K549:K549)-SUMIF(AC549:AC549, 6, K549:K549)</f>
        <v>5195.74</v>
      </c>
      <c r="K554" s="104"/>
    </row>
    <row r="555" spans="1:29" ht="15" x14ac:dyDescent="0.25">
      <c r="C555" s="22" t="s">
        <v>1604</v>
      </c>
      <c r="H555" s="100">
        <f>SUMIF(AC549:AC549, 5, I549:I549)+SUMIF(AC549:AC549, 6, I549:I549)</f>
        <v>0</v>
      </c>
      <c r="I555" s="100"/>
      <c r="J555" s="100">
        <f>SUMIF(AC549:AC549, 5, K549:K549)+SUMIF(AC549:AC549, 6, K549:K549)</f>
        <v>0</v>
      </c>
      <c r="K555" s="100"/>
    </row>
    <row r="556" spans="1:29" ht="15" x14ac:dyDescent="0.25">
      <c r="C556" s="22" t="s">
        <v>1605</v>
      </c>
      <c r="H556" s="100">
        <f>I545+I546+I548+I550+I551+I552+SUM(I549:I549)</f>
        <v>967.62</v>
      </c>
      <c r="I556" s="100"/>
      <c r="J556" s="100">
        <f>K545+K546+K548+K550+K551+K552+SUM(K549:K549)</f>
        <v>5195.74</v>
      </c>
      <c r="K556" s="100"/>
      <c r="O556" s="36">
        <f>I545+I546+I548+I550+I551+I552+SUM(I549:I549)</f>
        <v>967.62</v>
      </c>
      <c r="P556" s="36">
        <f>K545+K546+K548+K550+K551+K552+SUM(K549:K549)</f>
        <v>5195.74</v>
      </c>
    </row>
    <row r="559" spans="1:29" ht="15" x14ac:dyDescent="0.25">
      <c r="A559" s="102" t="str">
        <f>CONCATENATE("Итого по разделу: ",IF(Source!G348&lt;&gt;"Новый раздел", Source!G348, ""))</f>
        <v>Итого по разделу: Монтажные работы</v>
      </c>
      <c r="B559" s="102"/>
      <c r="C559" s="102"/>
      <c r="D559" s="102"/>
      <c r="E559" s="102"/>
      <c r="F559" s="102"/>
      <c r="G559" s="102"/>
      <c r="H559" s="100">
        <f>SUM(O273:O558)</f>
        <v>41851.220000000008</v>
      </c>
      <c r="I559" s="101"/>
      <c r="J559" s="100">
        <f>SUM(P273:P558)</f>
        <v>789212.58</v>
      </c>
      <c r="K559" s="101"/>
    </row>
    <row r="560" spans="1:29" hidden="1" x14ac:dyDescent="0.2">
      <c r="A560" t="s">
        <v>1606</v>
      </c>
      <c r="I560">
        <f>SUM(W273:W559)</f>
        <v>0</v>
      </c>
      <c r="J560">
        <f>SUM(X273:X559)</f>
        <v>0</v>
      </c>
    </row>
    <row r="561" spans="1:29" hidden="1" x14ac:dyDescent="0.2">
      <c r="A561" t="s">
        <v>1607</v>
      </c>
      <c r="I561">
        <f>SUM(Y273:Y560)</f>
        <v>0</v>
      </c>
      <c r="J561">
        <f>SUM(Z273:Z560)</f>
        <v>0</v>
      </c>
    </row>
    <row r="563" spans="1:29" ht="16.5" x14ac:dyDescent="0.25">
      <c r="A563" s="103" t="str">
        <f>CONCATENATE("Раздел: ",IF(Source!G378&lt;&gt;"Новый раздел", Source!G378, ""))</f>
        <v>Раздел: Прочие работы</v>
      </c>
      <c r="B563" s="103"/>
      <c r="C563" s="103"/>
      <c r="D563" s="103"/>
      <c r="E563" s="103"/>
      <c r="F563" s="103"/>
      <c r="G563" s="103"/>
      <c r="H563" s="103"/>
      <c r="I563" s="103"/>
      <c r="J563" s="103"/>
      <c r="K563" s="103"/>
    </row>
    <row r="564" spans="1:29" ht="42.75" x14ac:dyDescent="0.2">
      <c r="A564" s="27">
        <v>33</v>
      </c>
      <c r="B564" s="27" t="str">
        <f>Source!F382</f>
        <v>6.68-13-1</v>
      </c>
      <c r="C564" s="27" t="s">
        <v>479</v>
      </c>
      <c r="D564" s="28" t="str">
        <f>Source!H382</f>
        <v>1 Т</v>
      </c>
      <c r="E564" s="12">
        <f>Source!I382</f>
        <v>39.771500000000003</v>
      </c>
      <c r="F564" s="30"/>
      <c r="G564" s="29"/>
      <c r="H564" s="12"/>
      <c r="I564" s="30"/>
      <c r="J564" s="12"/>
      <c r="K564" s="30"/>
      <c r="Q564">
        <f>Source!X382</f>
        <v>0</v>
      </c>
      <c r="R564">
        <f>Source!X383</f>
        <v>0</v>
      </c>
      <c r="S564">
        <f>Source!Y382</f>
        <v>0</v>
      </c>
      <c r="T564">
        <f>Source!Y383</f>
        <v>0</v>
      </c>
      <c r="U564">
        <f>ROUND((175/100)*ROUND(Source!R382, 2), 2)</f>
        <v>103.01</v>
      </c>
      <c r="V564">
        <f>ROUND((160/100)*ROUND(Source!R383, 2), 2)</f>
        <v>2733.94</v>
      </c>
      <c r="AC564">
        <v>0</v>
      </c>
    </row>
    <row r="565" spans="1:29" ht="14.25" x14ac:dyDescent="0.2">
      <c r="A565" s="27"/>
      <c r="B565" s="27"/>
      <c r="C565" s="27" t="s">
        <v>1609</v>
      </c>
      <c r="D565" s="28"/>
      <c r="E565" s="12"/>
      <c r="F565" s="30">
        <f>Source!AM382</f>
        <v>8.86</v>
      </c>
      <c r="G565" s="29" t="str">
        <f>Source!DE382</f>
        <v/>
      </c>
      <c r="H565" s="12">
        <f>Source!AV383</f>
        <v>1</v>
      </c>
      <c r="I565" s="30">
        <f>Source!Q382</f>
        <v>352.38</v>
      </c>
      <c r="J565" s="12">
        <f>IF(Source!BB383&lt;&gt; 0, Source!BB383, 1)</f>
        <v>12.03</v>
      </c>
      <c r="K565" s="30">
        <f>Source!Q383</f>
        <v>4239.13</v>
      </c>
    </row>
    <row r="566" spans="1:29" ht="14.25" x14ac:dyDescent="0.2">
      <c r="A566" s="27"/>
      <c r="B566" s="27"/>
      <c r="C566" s="27" t="s">
        <v>1610</v>
      </c>
      <c r="D566" s="28"/>
      <c r="E566" s="12"/>
      <c r="F566" s="30">
        <f>Source!AN382</f>
        <v>1.48</v>
      </c>
      <c r="G566" s="29" t="str">
        <f>Source!DF382</f>
        <v/>
      </c>
      <c r="H566" s="12">
        <f>Source!AV383</f>
        <v>1</v>
      </c>
      <c r="I566" s="38">
        <f>Source!R382</f>
        <v>58.86</v>
      </c>
      <c r="J566" s="12">
        <f>IF(Source!BS383&lt;&gt; 0, Source!BS383, 1)</f>
        <v>29.03</v>
      </c>
      <c r="K566" s="38">
        <f>Source!R383</f>
        <v>1708.71</v>
      </c>
    </row>
    <row r="567" spans="1:29" ht="14.25" x14ac:dyDescent="0.2">
      <c r="A567" s="31"/>
      <c r="B567" s="31"/>
      <c r="C567" s="31" t="s">
        <v>1612</v>
      </c>
      <c r="D567" s="32" t="s">
        <v>1599</v>
      </c>
      <c r="E567" s="33">
        <f>175</f>
        <v>175</v>
      </c>
      <c r="F567" s="34"/>
      <c r="G567" s="35"/>
      <c r="H567" s="33"/>
      <c r="I567" s="34">
        <f>SUM(U564:U566)</f>
        <v>103.01</v>
      </c>
      <c r="J567" s="33">
        <f>160</f>
        <v>160</v>
      </c>
      <c r="K567" s="34">
        <f>SUM(V564:V566)</f>
        <v>2733.94</v>
      </c>
    </row>
    <row r="568" spans="1:29" ht="15" x14ac:dyDescent="0.25">
      <c r="C568" s="22" t="s">
        <v>1603</v>
      </c>
      <c r="H568" s="104">
        <f>I565+I567+0-0-0</f>
        <v>455.39</v>
      </c>
      <c r="I568" s="104"/>
      <c r="J568" s="104">
        <f>K565+K567+0-0-0</f>
        <v>6973.07</v>
      </c>
      <c r="K568" s="104"/>
    </row>
    <row r="569" spans="1:29" ht="15" x14ac:dyDescent="0.25">
      <c r="C569" s="22" t="s">
        <v>1604</v>
      </c>
      <c r="H569" s="100">
        <f>0+0</f>
        <v>0</v>
      </c>
      <c r="I569" s="100"/>
      <c r="J569" s="100">
        <f>0+0</f>
        <v>0</v>
      </c>
      <c r="K569" s="100"/>
    </row>
    <row r="570" spans="1:29" ht="15" x14ac:dyDescent="0.25">
      <c r="C570" s="22" t="s">
        <v>1605</v>
      </c>
      <c r="H570" s="100">
        <f>I565+I567+0</f>
        <v>455.39</v>
      </c>
      <c r="I570" s="100"/>
      <c r="J570" s="100">
        <f>K565+K567+0</f>
        <v>6973.07</v>
      </c>
      <c r="K570" s="100"/>
      <c r="O570" s="36">
        <f>I565+I567+0</f>
        <v>455.39</v>
      </c>
      <c r="P570" s="36">
        <f>K565+K567+0</f>
        <v>6973.07</v>
      </c>
    </row>
    <row r="572" spans="1:29" ht="42.75" x14ac:dyDescent="0.2">
      <c r="A572" s="27">
        <v>34</v>
      </c>
      <c r="B572" s="27" t="str">
        <f>Source!F384</f>
        <v>15.2-42-10</v>
      </c>
      <c r="C572" s="27" t="s">
        <v>485</v>
      </c>
      <c r="D572" s="28" t="str">
        <f>Source!H384</f>
        <v>т</v>
      </c>
      <c r="E572" s="12">
        <f>Source!I384</f>
        <v>39.771500000000003</v>
      </c>
      <c r="F572" s="30"/>
      <c r="G572" s="29"/>
      <c r="H572" s="12"/>
      <c r="I572" s="30"/>
      <c r="J572" s="12"/>
      <c r="K572" s="30"/>
      <c r="Q572">
        <f>Source!X384</f>
        <v>0</v>
      </c>
      <c r="R572">
        <f>Source!X385</f>
        <v>0</v>
      </c>
      <c r="S572">
        <f>Source!Y384</f>
        <v>0</v>
      </c>
      <c r="T572">
        <f>Source!Y385</f>
        <v>0</v>
      </c>
      <c r="U572">
        <f>ROUND((175/100)*ROUND(Source!R384, 2), 2)</f>
        <v>0</v>
      </c>
      <c r="V572">
        <f>ROUND((160/100)*ROUND(Source!R385, 2), 2)</f>
        <v>0</v>
      </c>
      <c r="AC572">
        <v>0</v>
      </c>
    </row>
    <row r="573" spans="1:29" ht="14.25" x14ac:dyDescent="0.2">
      <c r="A573" s="31"/>
      <c r="B573" s="31"/>
      <c r="C573" s="31" t="s">
        <v>1609</v>
      </c>
      <c r="D573" s="32"/>
      <c r="E573" s="33"/>
      <c r="F573" s="34">
        <f>Source!AM384</f>
        <v>38.17</v>
      </c>
      <c r="G573" s="35" t="str">
        <f>Source!DE384</f>
        <v/>
      </c>
      <c r="H573" s="33">
        <f>Source!AV385</f>
        <v>1</v>
      </c>
      <c r="I573" s="34">
        <f>Source!Q384</f>
        <v>1518.08</v>
      </c>
      <c r="J573" s="33">
        <f>IF(Source!BB385&lt;&gt; 0, Source!BB385, 1)</f>
        <v>13.76</v>
      </c>
      <c r="K573" s="34">
        <f>Source!Q385</f>
        <v>20888.78</v>
      </c>
    </row>
    <row r="574" spans="1:29" ht="15" x14ac:dyDescent="0.25">
      <c r="C574" s="22" t="s">
        <v>1603</v>
      </c>
      <c r="H574" s="104">
        <f>I573+0-0-0</f>
        <v>1518.08</v>
      </c>
      <c r="I574" s="104"/>
      <c r="J574" s="104">
        <f>K573+0-0-0</f>
        <v>20888.78</v>
      </c>
      <c r="K574" s="104"/>
    </row>
    <row r="575" spans="1:29" ht="15" x14ac:dyDescent="0.25">
      <c r="C575" s="22" t="s">
        <v>1604</v>
      </c>
      <c r="H575" s="100">
        <f>0+0</f>
        <v>0</v>
      </c>
      <c r="I575" s="100"/>
      <c r="J575" s="100">
        <f>0+0</f>
        <v>0</v>
      </c>
      <c r="K575" s="100"/>
    </row>
    <row r="576" spans="1:29" ht="15" x14ac:dyDescent="0.25">
      <c r="C576" s="22" t="s">
        <v>1605</v>
      </c>
      <c r="H576" s="100">
        <f>I573+0</f>
        <v>1518.08</v>
      </c>
      <c r="I576" s="100"/>
      <c r="J576" s="100">
        <f>K573+0</f>
        <v>20888.78</v>
      </c>
      <c r="K576" s="100"/>
      <c r="O576" s="36">
        <f>I573+0</f>
        <v>1518.08</v>
      </c>
      <c r="P576" s="36">
        <f>K573+0</f>
        <v>20888.78</v>
      </c>
    </row>
    <row r="578" spans="1:29" ht="28.5" x14ac:dyDescent="0.2">
      <c r="A578" s="27">
        <v>35</v>
      </c>
      <c r="B578" s="27" t="str">
        <f>Source!F386</f>
        <v>15.1-1500-01</v>
      </c>
      <c r="C578" s="27" t="s">
        <v>492</v>
      </c>
      <c r="D578" s="28" t="str">
        <f>Source!H386</f>
        <v>1 Т</v>
      </c>
      <c r="E578" s="12">
        <f>Source!I386</f>
        <v>1.1813</v>
      </c>
      <c r="F578" s="30"/>
      <c r="G578" s="29"/>
      <c r="H578" s="12"/>
      <c r="I578" s="30"/>
      <c r="J578" s="12"/>
      <c r="K578" s="30"/>
      <c r="Q578">
        <f>Source!X386</f>
        <v>0</v>
      </c>
      <c r="R578">
        <f>Source!X387</f>
        <v>0</v>
      </c>
      <c r="S578">
        <f>Source!Y386</f>
        <v>0</v>
      </c>
      <c r="T578">
        <f>Source!Y387</f>
        <v>0</v>
      </c>
      <c r="U578">
        <f>ROUND((175/100)*ROUND(Source!R386, 2), 2)</f>
        <v>0</v>
      </c>
      <c r="V578">
        <f>ROUND((160/100)*ROUND(Source!R387, 2), 2)</f>
        <v>0</v>
      </c>
      <c r="AC578">
        <v>0</v>
      </c>
    </row>
    <row r="579" spans="1:29" ht="14.25" x14ac:dyDescent="0.2">
      <c r="A579" s="31"/>
      <c r="B579" s="31"/>
      <c r="C579" s="31" t="s">
        <v>1609</v>
      </c>
      <c r="D579" s="32"/>
      <c r="E579" s="33"/>
      <c r="F579" s="34">
        <f>Source!AM386</f>
        <v>31.67</v>
      </c>
      <c r="G579" s="35" t="str">
        <f>Source!DE386</f>
        <v/>
      </c>
      <c r="H579" s="33">
        <f>Source!AV387</f>
        <v>1</v>
      </c>
      <c r="I579" s="34">
        <f>Source!Q386</f>
        <v>37.409999999999997</v>
      </c>
      <c r="J579" s="33">
        <f>IF(Source!BB387&lt;&gt; 0, Source!BB387, 1)</f>
        <v>43.37</v>
      </c>
      <c r="K579" s="34">
        <f>Source!Q387</f>
        <v>1622.47</v>
      </c>
    </row>
    <row r="580" spans="1:29" ht="15" x14ac:dyDescent="0.25">
      <c r="C580" s="22" t="s">
        <v>1603</v>
      </c>
      <c r="H580" s="104">
        <f>I579+0-0-0</f>
        <v>37.409999999999997</v>
      </c>
      <c r="I580" s="104"/>
      <c r="J580" s="104">
        <f>K579+0-0-0</f>
        <v>1622.47</v>
      </c>
      <c r="K580" s="104"/>
    </row>
    <row r="581" spans="1:29" ht="15" x14ac:dyDescent="0.25">
      <c r="C581" s="22" t="s">
        <v>1604</v>
      </c>
      <c r="H581" s="100">
        <f>0+0</f>
        <v>0</v>
      </c>
      <c r="I581" s="100"/>
      <c r="J581" s="100">
        <f>0+0</f>
        <v>0</v>
      </c>
      <c r="K581" s="100"/>
    </row>
    <row r="582" spans="1:29" ht="15" x14ac:dyDescent="0.25">
      <c r="C582" s="22" t="s">
        <v>1605</v>
      </c>
      <c r="H582" s="100">
        <f>I579+0</f>
        <v>37.409999999999997</v>
      </c>
      <c r="I582" s="100"/>
      <c r="J582" s="100">
        <f>K579+0</f>
        <v>1622.47</v>
      </c>
      <c r="K582" s="100"/>
      <c r="O582" s="36">
        <f>I579+0</f>
        <v>37.409999999999997</v>
      </c>
      <c r="P582" s="36">
        <f>K579+0</f>
        <v>1622.47</v>
      </c>
    </row>
    <row r="584" spans="1:29" ht="42.75" x14ac:dyDescent="0.2">
      <c r="A584" s="27">
        <v>36</v>
      </c>
      <c r="B584" s="27" t="str">
        <f>Source!F388</f>
        <v>15.1-1201-03</v>
      </c>
      <c r="C584" s="27" t="s">
        <v>496</v>
      </c>
      <c r="D584" s="28" t="str">
        <f>Source!H388</f>
        <v>1 Т</v>
      </c>
      <c r="E584" s="12">
        <f>Source!I388</f>
        <v>38.590200000000003</v>
      </c>
      <c r="F584" s="30"/>
      <c r="G584" s="29"/>
      <c r="H584" s="12"/>
      <c r="I584" s="30"/>
      <c r="J584" s="12"/>
      <c r="K584" s="30"/>
      <c r="Q584">
        <f>Source!X388</f>
        <v>0</v>
      </c>
      <c r="R584">
        <f>Source!X389</f>
        <v>0</v>
      </c>
      <c r="S584">
        <f>Source!Y388</f>
        <v>0</v>
      </c>
      <c r="T584">
        <f>Source!Y389</f>
        <v>0</v>
      </c>
      <c r="U584">
        <f>ROUND((175/100)*ROUND(Source!R388, 2), 2)</f>
        <v>0</v>
      </c>
      <c r="V584">
        <f>ROUND((160/100)*ROUND(Source!R389, 2), 2)</f>
        <v>0</v>
      </c>
      <c r="AC584">
        <v>0</v>
      </c>
    </row>
    <row r="585" spans="1:29" ht="14.25" x14ac:dyDescent="0.2">
      <c r="A585" s="31"/>
      <c r="B585" s="31"/>
      <c r="C585" s="31" t="s">
        <v>1609</v>
      </c>
      <c r="D585" s="32"/>
      <c r="E585" s="33"/>
      <c r="F585" s="34">
        <f>Source!AM388</f>
        <v>22.57</v>
      </c>
      <c r="G585" s="35" t="str">
        <f>Source!DE388</f>
        <v/>
      </c>
      <c r="H585" s="33">
        <f>Source!AV389</f>
        <v>1</v>
      </c>
      <c r="I585" s="34">
        <f>Source!Q388</f>
        <v>870.98</v>
      </c>
      <c r="J585" s="33">
        <f>IF(Source!BB389&lt;&gt; 0, Source!BB389, 1)</f>
        <v>6.48</v>
      </c>
      <c r="K585" s="34">
        <f>Source!Q389</f>
        <v>5643.95</v>
      </c>
    </row>
    <row r="586" spans="1:29" ht="15" x14ac:dyDescent="0.25">
      <c r="C586" s="22" t="s">
        <v>1603</v>
      </c>
      <c r="H586" s="104">
        <f>I585+0-0-0</f>
        <v>870.98</v>
      </c>
      <c r="I586" s="104"/>
      <c r="J586" s="104">
        <f>K585+0-0-0</f>
        <v>5643.95</v>
      </c>
      <c r="K586" s="104"/>
    </row>
    <row r="587" spans="1:29" ht="15" x14ac:dyDescent="0.25">
      <c r="C587" s="22" t="s">
        <v>1604</v>
      </c>
      <c r="H587" s="100">
        <f>0+0</f>
        <v>0</v>
      </c>
      <c r="I587" s="100"/>
      <c r="J587" s="100">
        <f>0+0</f>
        <v>0</v>
      </c>
      <c r="K587" s="100"/>
    </row>
    <row r="588" spans="1:29" ht="15" x14ac:dyDescent="0.25">
      <c r="C588" s="22" t="s">
        <v>1605</v>
      </c>
      <c r="H588" s="100">
        <f>I585+0</f>
        <v>870.98</v>
      </c>
      <c r="I588" s="100"/>
      <c r="J588" s="100">
        <f>K585+0</f>
        <v>5643.95</v>
      </c>
      <c r="K588" s="100"/>
      <c r="O588" s="36">
        <f>I585+0</f>
        <v>870.98</v>
      </c>
      <c r="P588" s="36">
        <f>K585+0</f>
        <v>5643.95</v>
      </c>
    </row>
    <row r="591" spans="1:29" ht="15" x14ac:dyDescent="0.25">
      <c r="A591" s="102" t="str">
        <f>CONCATENATE("Итого по разделу: ",IF(Source!G391&lt;&gt;"Новый раздел", Source!G391, ""))</f>
        <v>Итого по разделу: Прочие работы</v>
      </c>
      <c r="B591" s="102"/>
      <c r="C591" s="102"/>
      <c r="D591" s="102"/>
      <c r="E591" s="102"/>
      <c r="F591" s="102"/>
      <c r="G591" s="102"/>
      <c r="H591" s="100">
        <f>SUM(O563:O590)</f>
        <v>2881.8599999999997</v>
      </c>
      <c r="I591" s="101"/>
      <c r="J591" s="100">
        <f>SUM(P563:P590)</f>
        <v>35128.269999999997</v>
      </c>
      <c r="K591" s="101"/>
    </row>
    <row r="592" spans="1:29" hidden="1" x14ac:dyDescent="0.2">
      <c r="A592" t="s">
        <v>1606</v>
      </c>
      <c r="I592">
        <f>SUM(W563:W591)</f>
        <v>0</v>
      </c>
      <c r="J592">
        <f>SUM(X563:X591)</f>
        <v>0</v>
      </c>
    </row>
    <row r="593" spans="1:29" hidden="1" x14ac:dyDescent="0.2">
      <c r="A593" t="s">
        <v>1607</v>
      </c>
      <c r="I593">
        <f>SUM(Y563:Y592)</f>
        <v>0</v>
      </c>
      <c r="J593">
        <f>SUM(Z563:Z592)</f>
        <v>0</v>
      </c>
    </row>
    <row r="595" spans="1:29" ht="15" x14ac:dyDescent="0.25">
      <c r="A595" s="102" t="str">
        <f>CONCATENATE("Итого по локальной смете: ",IF(Source!G421&lt;&gt;"Новая локальная смета", Source!G421, ""))</f>
        <v>Итого по локальной смете: Архитектурные решения</v>
      </c>
      <c r="B595" s="102"/>
      <c r="C595" s="102"/>
      <c r="D595" s="102"/>
      <c r="E595" s="102"/>
      <c r="F595" s="102"/>
      <c r="G595" s="102"/>
      <c r="H595" s="100">
        <f>SUM(O127:O594)</f>
        <v>56131.410000000011</v>
      </c>
      <c r="I595" s="101"/>
      <c r="J595" s="100">
        <f>SUM(P127:P594)</f>
        <v>1087265.07</v>
      </c>
      <c r="K595" s="101"/>
    </row>
    <row r="596" spans="1:29" hidden="1" x14ac:dyDescent="0.2">
      <c r="A596" t="s">
        <v>1606</v>
      </c>
      <c r="I596">
        <f>SUM(W127:W595)</f>
        <v>0</v>
      </c>
      <c r="J596">
        <f>SUM(X127:X595)</f>
        <v>0</v>
      </c>
    </row>
    <row r="597" spans="1:29" hidden="1" x14ac:dyDescent="0.2">
      <c r="A597" t="s">
        <v>1607</v>
      </c>
      <c r="I597">
        <f>SUM(Y127:Y596)</f>
        <v>0</v>
      </c>
      <c r="J597">
        <f>SUM(Z127:Z596)</f>
        <v>0</v>
      </c>
    </row>
    <row r="599" spans="1:29" ht="16.5" x14ac:dyDescent="0.25">
      <c r="A599" s="103" t="str">
        <f>CONCATENATE("Локальная смета: ",IF(Source!G451&lt;&gt;"Новая локальная смета", Source!G451, ""))</f>
        <v>Локальная смета: Конструктивные решения</v>
      </c>
      <c r="B599" s="103"/>
      <c r="C599" s="103"/>
      <c r="D599" s="103"/>
      <c r="E599" s="103"/>
      <c r="F599" s="103"/>
      <c r="G599" s="103"/>
      <c r="H599" s="103"/>
      <c r="I599" s="103"/>
      <c r="J599" s="103"/>
      <c r="K599" s="103"/>
    </row>
    <row r="601" spans="1:29" ht="16.5" x14ac:dyDescent="0.25">
      <c r="A601" s="103" t="str">
        <f>CONCATENATE("Раздел: ",IF(Source!G455&lt;&gt;"Новый раздел", Source!G455, ""))</f>
        <v>Раздел: Демонтажные работы</v>
      </c>
      <c r="B601" s="103"/>
      <c r="C601" s="103"/>
      <c r="D601" s="103"/>
      <c r="E601" s="103"/>
      <c r="F601" s="103"/>
      <c r="G601" s="103"/>
      <c r="H601" s="103"/>
      <c r="I601" s="103"/>
      <c r="J601" s="103"/>
      <c r="K601" s="103"/>
    </row>
    <row r="602" spans="1:29" ht="65.25" x14ac:dyDescent="0.2">
      <c r="A602" s="27">
        <v>1</v>
      </c>
      <c r="B602" s="27" t="s">
        <v>1643</v>
      </c>
      <c r="C602" s="27" t="s">
        <v>501</v>
      </c>
      <c r="D602" s="28" t="str">
        <f>Source!H459</f>
        <v>10 м3 кладки</v>
      </c>
      <c r="E602" s="12">
        <f>Source!I459</f>
        <v>0.35099999999999998</v>
      </c>
      <c r="F602" s="30"/>
      <c r="G602" s="29"/>
      <c r="H602" s="12"/>
      <c r="I602" s="30"/>
      <c r="J602" s="12"/>
      <c r="K602" s="30"/>
      <c r="Q602">
        <f>Source!X459</f>
        <v>197.81</v>
      </c>
      <c r="R602">
        <f>Source!X460</f>
        <v>5024.57</v>
      </c>
      <c r="S602">
        <f>Source!Y459</f>
        <v>135.99</v>
      </c>
      <c r="T602">
        <f>Source!Y460</f>
        <v>2942.96</v>
      </c>
      <c r="U602">
        <f>ROUND((175/100)*ROUND(Source!R459, 2), 2)</f>
        <v>251.18</v>
      </c>
      <c r="V602">
        <f>ROUND((160/100)*ROUND(Source!R460, 2), 2)</f>
        <v>6666.69</v>
      </c>
      <c r="AC602">
        <v>0</v>
      </c>
    </row>
    <row r="603" spans="1:29" ht="14.25" x14ac:dyDescent="0.2">
      <c r="A603" s="27"/>
      <c r="B603" s="27"/>
      <c r="C603" s="27" t="s">
        <v>1597</v>
      </c>
      <c r="D603" s="28"/>
      <c r="E603" s="12"/>
      <c r="F603" s="30">
        <f>Source!AO459</f>
        <v>2134.7199999999998</v>
      </c>
      <c r="G603" s="29" t="str">
        <f>Source!DG459</f>
        <v>)*0,33</v>
      </c>
      <c r="H603" s="12">
        <f>Source!AV460</f>
        <v>1</v>
      </c>
      <c r="I603" s="30">
        <f>Source!S459</f>
        <v>247.26</v>
      </c>
      <c r="J603" s="12">
        <f>IF(Source!BA460&lt;&gt; 0, Source!BA460, 1)</f>
        <v>29.03</v>
      </c>
      <c r="K603" s="30">
        <f>Source!S460</f>
        <v>7177.96</v>
      </c>
    </row>
    <row r="604" spans="1:29" ht="14.25" x14ac:dyDescent="0.2">
      <c r="A604" s="27"/>
      <c r="B604" s="27"/>
      <c r="C604" s="27" t="s">
        <v>1609</v>
      </c>
      <c r="D604" s="28"/>
      <c r="E604" s="12"/>
      <c r="F604" s="30">
        <f>Source!AM459</f>
        <v>1394.25</v>
      </c>
      <c r="G604" s="29" t="str">
        <f>Source!DE459</f>
        <v/>
      </c>
      <c r="H604" s="12">
        <f>Source!AV460</f>
        <v>1</v>
      </c>
      <c r="I604" s="30">
        <f>Source!Q459</f>
        <v>489.38</v>
      </c>
      <c r="J604" s="12">
        <f>IF(Source!BB460&lt;&gt; 0, Source!BB460, 1)</f>
        <v>16.05</v>
      </c>
      <c r="K604" s="30">
        <f>Source!Q460</f>
        <v>7854.55</v>
      </c>
    </row>
    <row r="605" spans="1:29" ht="14.25" x14ac:dyDescent="0.2">
      <c r="A605" s="27"/>
      <c r="B605" s="27"/>
      <c r="C605" s="27" t="s">
        <v>1610</v>
      </c>
      <c r="D605" s="28"/>
      <c r="E605" s="12"/>
      <c r="F605" s="30">
        <f>Source!AN459</f>
        <v>408.93</v>
      </c>
      <c r="G605" s="29" t="str">
        <f>Source!DF459</f>
        <v/>
      </c>
      <c r="H605" s="12">
        <f>Source!AV460</f>
        <v>1</v>
      </c>
      <c r="I605" s="38">
        <f>Source!R459</f>
        <v>143.53</v>
      </c>
      <c r="J605" s="12">
        <f>IF(Source!BS460&lt;&gt; 0, Source!BS460, 1)</f>
        <v>29.03</v>
      </c>
      <c r="K605" s="38">
        <f>Source!R460</f>
        <v>4166.68</v>
      </c>
    </row>
    <row r="606" spans="1:29" ht="28.5" x14ac:dyDescent="0.2">
      <c r="A606" s="27" t="s">
        <v>509</v>
      </c>
      <c r="B606" s="27" t="str">
        <f>Source!F461</f>
        <v>9999990001</v>
      </c>
      <c r="C606" s="27" t="s">
        <v>163</v>
      </c>
      <c r="D606" s="28" t="str">
        <f>Source!H461</f>
        <v>т</v>
      </c>
      <c r="E606" s="12">
        <f>Source!I461</f>
        <v>-7.2341100000000003</v>
      </c>
      <c r="F606" s="30">
        <f>Source!AK461</f>
        <v>0</v>
      </c>
      <c r="G606" s="39" t="s">
        <v>3</v>
      </c>
      <c r="H606" s="12">
        <f>Source!AW462</f>
        <v>1</v>
      </c>
      <c r="I606" s="30">
        <f>Source!O461</f>
        <v>0</v>
      </c>
      <c r="J606" s="12">
        <f>IF(Source!BC462&lt;&gt; 0, Source!BC462, 1)</f>
        <v>8.65</v>
      </c>
      <c r="K606" s="30">
        <f>Source!O462</f>
        <v>0</v>
      </c>
      <c r="Q606">
        <f>Source!X461</f>
        <v>0</v>
      </c>
      <c r="R606">
        <f>Source!X462</f>
        <v>0</v>
      </c>
      <c r="S606">
        <f>Source!Y461</f>
        <v>0</v>
      </c>
      <c r="T606">
        <f>Source!Y462</f>
        <v>0</v>
      </c>
      <c r="U606">
        <f>ROUND((175/100)*ROUND(Source!R461, 2), 2)</f>
        <v>0</v>
      </c>
      <c r="V606">
        <f>ROUND((160/100)*ROUND(Source!R462, 2), 2)</f>
        <v>0</v>
      </c>
      <c r="AC606">
        <v>3</v>
      </c>
    </row>
    <row r="607" spans="1:29" ht="14.25" x14ac:dyDescent="0.2">
      <c r="A607" s="27"/>
      <c r="B607" s="27"/>
      <c r="C607" s="27" t="s">
        <v>1598</v>
      </c>
      <c r="D607" s="28" t="s">
        <v>1599</v>
      </c>
      <c r="E607" s="12">
        <f>Source!DN460</f>
        <v>80</v>
      </c>
      <c r="F607" s="30"/>
      <c r="G607" s="29"/>
      <c r="H607" s="12"/>
      <c r="I607" s="30">
        <f>SUM(Q602:Q606)</f>
        <v>197.81</v>
      </c>
      <c r="J607" s="12">
        <f>Source!BZ460</f>
        <v>70</v>
      </c>
      <c r="K607" s="30">
        <f>SUM(R602:R606)</f>
        <v>5024.57</v>
      </c>
    </row>
    <row r="608" spans="1:29" ht="14.25" x14ac:dyDescent="0.2">
      <c r="A608" s="27"/>
      <c r="B608" s="27"/>
      <c r="C608" s="27" t="s">
        <v>1600</v>
      </c>
      <c r="D608" s="28" t="s">
        <v>1599</v>
      </c>
      <c r="E608" s="12">
        <f>Source!DO460</f>
        <v>55</v>
      </c>
      <c r="F608" s="30"/>
      <c r="G608" s="29"/>
      <c r="H608" s="12"/>
      <c r="I608" s="30">
        <f>SUM(S602:S607)</f>
        <v>135.99</v>
      </c>
      <c r="J608" s="12">
        <f>Source!CA460</f>
        <v>41</v>
      </c>
      <c r="K608" s="30">
        <f>SUM(T602:T607)</f>
        <v>2942.96</v>
      </c>
    </row>
    <row r="609" spans="1:29" ht="14.25" x14ac:dyDescent="0.2">
      <c r="A609" s="27"/>
      <c r="B609" s="27"/>
      <c r="C609" s="27" t="s">
        <v>1612</v>
      </c>
      <c r="D609" s="28" t="s">
        <v>1599</v>
      </c>
      <c r="E609" s="12">
        <f>175</f>
        <v>175</v>
      </c>
      <c r="F609" s="30"/>
      <c r="G609" s="29"/>
      <c r="H609" s="12"/>
      <c r="I609" s="30">
        <f>SUM(U602:U608)</f>
        <v>251.18</v>
      </c>
      <c r="J609" s="12">
        <f>160</f>
        <v>160</v>
      </c>
      <c r="K609" s="30">
        <f>SUM(V602:V608)</f>
        <v>6666.69</v>
      </c>
    </row>
    <row r="610" spans="1:29" ht="14.25" x14ac:dyDescent="0.2">
      <c r="A610" s="31"/>
      <c r="B610" s="31"/>
      <c r="C610" s="31" t="s">
        <v>1601</v>
      </c>
      <c r="D610" s="32" t="s">
        <v>1602</v>
      </c>
      <c r="E610" s="33">
        <f>Source!AQ459</f>
        <v>212.41</v>
      </c>
      <c r="F610" s="34"/>
      <c r="G610" s="35" t="str">
        <f>Source!DI459</f>
        <v>)*0,33</v>
      </c>
      <c r="H610" s="33">
        <f>Source!AV460</f>
        <v>1</v>
      </c>
      <c r="I610" s="34">
        <f>Source!U459</f>
        <v>24.603450300000002</v>
      </c>
      <c r="J610" s="33"/>
      <c r="K610" s="34"/>
    </row>
    <row r="611" spans="1:29" ht="15" x14ac:dyDescent="0.25">
      <c r="C611" s="22" t="s">
        <v>1603</v>
      </c>
      <c r="H611" s="104">
        <f>I603+I604+I607+I608+I609+SUM(I606:I606)-SUMIF(AC606:AC606, 5, I606:I606)-SUMIF(AC606:AC606, 6, I606:I606)</f>
        <v>1321.6200000000001</v>
      </c>
      <c r="I611" s="104"/>
      <c r="J611" s="104">
        <f>K603+K604+K607+K608+K609+SUM(K606:K606)-SUMIF(AC606:AC606, 5, K606:K606)-SUMIF(AC606:AC606, 6, K606:K606)</f>
        <v>29666.73</v>
      </c>
      <c r="K611" s="104"/>
    </row>
    <row r="612" spans="1:29" ht="15" x14ac:dyDescent="0.25">
      <c r="C612" s="22" t="s">
        <v>1604</v>
      </c>
      <c r="H612" s="100">
        <f>SUMIF(AC606:AC606, 5, I606:I606)+SUMIF(AC606:AC606, 6, I606:I606)</f>
        <v>0</v>
      </c>
      <c r="I612" s="100"/>
      <c r="J612" s="100">
        <f>SUMIF(AC606:AC606, 5, K606:K606)+SUMIF(AC606:AC606, 6, K606:K606)</f>
        <v>0</v>
      </c>
      <c r="K612" s="100"/>
    </row>
    <row r="613" spans="1:29" ht="15" x14ac:dyDescent="0.25">
      <c r="C613" s="22" t="s">
        <v>1605</v>
      </c>
      <c r="H613" s="100">
        <f>I603+I604+I607+I608+I609+SUM(I606:I606)</f>
        <v>1321.6200000000001</v>
      </c>
      <c r="I613" s="100"/>
      <c r="J613" s="100">
        <f>K603+K604+K607+K608+K609+SUM(K606:K606)</f>
        <v>29666.73</v>
      </c>
      <c r="K613" s="100"/>
      <c r="O613" s="36">
        <f>I603+I604+I607+I608+I609+SUM(I606:I606)</f>
        <v>1321.6200000000001</v>
      </c>
      <c r="P613" s="36">
        <f>K603+K604+K607+K608+K609+SUM(K606:K606)</f>
        <v>29666.73</v>
      </c>
    </row>
    <row r="615" spans="1:29" ht="52.5" x14ac:dyDescent="0.2">
      <c r="A615" s="27">
        <v>2</v>
      </c>
      <c r="B615" s="27" t="s">
        <v>1644</v>
      </c>
      <c r="C615" s="27" t="s">
        <v>511</v>
      </c>
      <c r="D615" s="28" t="str">
        <f>Source!H463</f>
        <v>1 т конструкций</v>
      </c>
      <c r="E615" s="12">
        <f>Source!I463</f>
        <v>0.8</v>
      </c>
      <c r="F615" s="30"/>
      <c r="G615" s="29"/>
      <c r="H615" s="12"/>
      <c r="I615" s="30"/>
      <c r="J615" s="12"/>
      <c r="K615" s="30"/>
      <c r="Q615">
        <f>Source!X463</f>
        <v>490.09</v>
      </c>
      <c r="R615">
        <f>Source!X464</f>
        <v>11716.68</v>
      </c>
      <c r="S615">
        <f>Source!Y463</f>
        <v>403.61</v>
      </c>
      <c r="T615">
        <f>Source!Y464</f>
        <v>6862.63</v>
      </c>
      <c r="U615">
        <f>ROUND((175/100)*ROUND(Source!R463, 2), 2)</f>
        <v>17.45</v>
      </c>
      <c r="V615">
        <f>ROUND((160/100)*ROUND(Source!R464, 2), 2)</f>
        <v>463.09</v>
      </c>
      <c r="AC615">
        <v>0</v>
      </c>
    </row>
    <row r="616" spans="1:29" ht="14.25" x14ac:dyDescent="0.2">
      <c r="A616" s="27"/>
      <c r="B616" s="27"/>
      <c r="C616" s="27" t="s">
        <v>1597</v>
      </c>
      <c r="D616" s="28"/>
      <c r="E616" s="12"/>
      <c r="F616" s="30">
        <f>Source!AO463</f>
        <v>1201.2</v>
      </c>
      <c r="G616" s="29" t="str">
        <f>Source!DG463</f>
        <v>)*0,6</v>
      </c>
      <c r="H616" s="12">
        <f>Source!AV464</f>
        <v>1</v>
      </c>
      <c r="I616" s="30">
        <f>Source!S463</f>
        <v>576.58000000000004</v>
      </c>
      <c r="J616" s="12">
        <f>IF(Source!BA464&lt;&gt; 0, Source!BA464, 1)</f>
        <v>29.03</v>
      </c>
      <c r="K616" s="30">
        <f>Source!S464</f>
        <v>16738.12</v>
      </c>
    </row>
    <row r="617" spans="1:29" ht="14.25" x14ac:dyDescent="0.2">
      <c r="A617" s="27"/>
      <c r="B617" s="27"/>
      <c r="C617" s="27" t="s">
        <v>1609</v>
      </c>
      <c r="D617" s="28"/>
      <c r="E617" s="12"/>
      <c r="F617" s="30">
        <f>Source!AM463</f>
        <v>222.79</v>
      </c>
      <c r="G617" s="29" t="str">
        <f>Source!DE463</f>
        <v>)*0,6</v>
      </c>
      <c r="H617" s="12">
        <f>Source!AV464</f>
        <v>1</v>
      </c>
      <c r="I617" s="30">
        <f>Source!Q463</f>
        <v>106.94</v>
      </c>
      <c r="J617" s="12">
        <f>IF(Source!BB464&lt;&gt; 0, Source!BB464, 1)</f>
        <v>11.31</v>
      </c>
      <c r="K617" s="30">
        <f>Source!Q464</f>
        <v>1209.49</v>
      </c>
    </row>
    <row r="618" spans="1:29" ht="14.25" x14ac:dyDescent="0.2">
      <c r="A618" s="27"/>
      <c r="B618" s="27"/>
      <c r="C618" s="27" t="s">
        <v>1610</v>
      </c>
      <c r="D618" s="28"/>
      <c r="E618" s="12"/>
      <c r="F618" s="30">
        <f>Source!AN463</f>
        <v>20.78</v>
      </c>
      <c r="G618" s="29" t="str">
        <f>Source!DF463</f>
        <v>)*0,6</v>
      </c>
      <c r="H618" s="12">
        <f>Source!AV464</f>
        <v>1</v>
      </c>
      <c r="I618" s="38">
        <f>Source!R463</f>
        <v>9.9700000000000006</v>
      </c>
      <c r="J618" s="12">
        <f>IF(Source!BS464&lt;&gt; 0, Source!BS464, 1)</f>
        <v>29.03</v>
      </c>
      <c r="K618" s="38">
        <f>Source!R464</f>
        <v>289.43</v>
      </c>
    </row>
    <row r="619" spans="1:29" ht="14.25" x14ac:dyDescent="0.2">
      <c r="A619" s="27"/>
      <c r="B619" s="27"/>
      <c r="C619" s="27" t="s">
        <v>1611</v>
      </c>
      <c r="D619" s="28"/>
      <c r="E619" s="12"/>
      <c r="F619" s="30">
        <f>Source!AL463</f>
        <v>154.62</v>
      </c>
      <c r="G619" s="29" t="str">
        <f>Source!DD463</f>
        <v>)*0,6</v>
      </c>
      <c r="H619" s="12">
        <f>Source!AW464</f>
        <v>1</v>
      </c>
      <c r="I619" s="30">
        <f>Source!P463</f>
        <v>74.22</v>
      </c>
      <c r="J619" s="12">
        <f>IF(Source!BC464&lt;&gt; 0, Source!BC464, 1)</f>
        <v>20.27</v>
      </c>
      <c r="K619" s="30">
        <f>Source!P464</f>
        <v>1504.44</v>
      </c>
    </row>
    <row r="620" spans="1:29" ht="28.5" x14ac:dyDescent="0.2">
      <c r="A620" s="27" t="s">
        <v>91</v>
      </c>
      <c r="B620" s="27" t="str">
        <f>Source!F465</f>
        <v>9999990001</v>
      </c>
      <c r="C620" s="27" t="s">
        <v>163</v>
      </c>
      <c r="D620" s="28" t="str">
        <f>Source!H465</f>
        <v>т</v>
      </c>
      <c r="E620" s="12">
        <f>Source!I465</f>
        <v>-0.48</v>
      </c>
      <c r="F620" s="30">
        <f>Source!AK465</f>
        <v>0</v>
      </c>
      <c r="G620" s="39" t="s">
        <v>3</v>
      </c>
      <c r="H620" s="12">
        <f>Source!AW466</f>
        <v>1</v>
      </c>
      <c r="I620" s="30">
        <f>Source!O465</f>
        <v>0</v>
      </c>
      <c r="J620" s="12">
        <f>IF(Source!BC466&lt;&gt; 0, Source!BC466, 1)</f>
        <v>8.65</v>
      </c>
      <c r="K620" s="30">
        <f>Source!O466</f>
        <v>0</v>
      </c>
      <c r="Q620">
        <f>Source!X465</f>
        <v>0</v>
      </c>
      <c r="R620">
        <f>Source!X466</f>
        <v>0</v>
      </c>
      <c r="S620">
        <f>Source!Y465</f>
        <v>0</v>
      </c>
      <c r="T620">
        <f>Source!Y466</f>
        <v>0</v>
      </c>
      <c r="U620">
        <f>ROUND((175/100)*ROUND(Source!R465, 2), 2)</f>
        <v>0</v>
      </c>
      <c r="V620">
        <f>ROUND((160/100)*ROUND(Source!R466, 2), 2)</f>
        <v>0</v>
      </c>
      <c r="AC620">
        <v>3</v>
      </c>
    </row>
    <row r="621" spans="1:29" ht="14.25" x14ac:dyDescent="0.2">
      <c r="A621" s="27"/>
      <c r="B621" s="27"/>
      <c r="C621" s="27" t="s">
        <v>1598</v>
      </c>
      <c r="D621" s="28" t="s">
        <v>1599</v>
      </c>
      <c r="E621" s="12">
        <f>Source!DN464</f>
        <v>85</v>
      </c>
      <c r="F621" s="30"/>
      <c r="G621" s="29"/>
      <c r="H621" s="12"/>
      <c r="I621" s="30">
        <f>SUM(Q615:Q620)</f>
        <v>490.09</v>
      </c>
      <c r="J621" s="12">
        <f>Source!BZ464</f>
        <v>70</v>
      </c>
      <c r="K621" s="30">
        <f>SUM(R615:R620)</f>
        <v>11716.68</v>
      </c>
    </row>
    <row r="622" spans="1:29" ht="14.25" x14ac:dyDescent="0.2">
      <c r="A622" s="27"/>
      <c r="B622" s="27"/>
      <c r="C622" s="27" t="s">
        <v>1600</v>
      </c>
      <c r="D622" s="28" t="s">
        <v>1599</v>
      </c>
      <c r="E622" s="12">
        <f>Source!DO464</f>
        <v>70</v>
      </c>
      <c r="F622" s="30"/>
      <c r="G622" s="29"/>
      <c r="H622" s="12"/>
      <c r="I622" s="30">
        <f>SUM(S615:S621)</f>
        <v>403.61</v>
      </c>
      <c r="J622" s="12">
        <f>Source!CA464</f>
        <v>41</v>
      </c>
      <c r="K622" s="30">
        <f>SUM(T615:T621)</f>
        <v>6862.63</v>
      </c>
    </row>
    <row r="623" spans="1:29" ht="14.25" x14ac:dyDescent="0.2">
      <c r="A623" s="27"/>
      <c r="B623" s="27"/>
      <c r="C623" s="27" t="s">
        <v>1612</v>
      </c>
      <c r="D623" s="28" t="s">
        <v>1599</v>
      </c>
      <c r="E623" s="12">
        <f>175</f>
        <v>175</v>
      </c>
      <c r="F623" s="30"/>
      <c r="G623" s="29"/>
      <c r="H623" s="12"/>
      <c r="I623" s="30">
        <f>SUM(U615:U622)</f>
        <v>17.45</v>
      </c>
      <c r="J623" s="12">
        <f>160</f>
        <v>160</v>
      </c>
      <c r="K623" s="30">
        <f>SUM(V615:V622)</f>
        <v>463.09</v>
      </c>
    </row>
    <row r="624" spans="1:29" ht="14.25" x14ac:dyDescent="0.2">
      <c r="A624" s="31"/>
      <c r="B624" s="31"/>
      <c r="C624" s="31" t="s">
        <v>1601</v>
      </c>
      <c r="D624" s="32" t="s">
        <v>1602</v>
      </c>
      <c r="E624" s="33">
        <f>Source!AQ463</f>
        <v>91</v>
      </c>
      <c r="F624" s="34"/>
      <c r="G624" s="35" t="str">
        <f>Source!DI463</f>
        <v>)*0,6</v>
      </c>
      <c r="H624" s="33">
        <f>Source!AV464</f>
        <v>1</v>
      </c>
      <c r="I624" s="34">
        <f>Source!U463</f>
        <v>43.680000000000007</v>
      </c>
      <c r="J624" s="33"/>
      <c r="K624" s="34"/>
    </row>
    <row r="625" spans="1:29" ht="15" x14ac:dyDescent="0.25">
      <c r="C625" s="22" t="s">
        <v>1603</v>
      </c>
      <c r="H625" s="104">
        <f>I616+I617+I619+I621+I622+I623+SUM(I620:I620)-SUMIF(AC620:AC620, 5, I620:I620)-SUMIF(AC620:AC620, 6, I620:I620)</f>
        <v>1668.89</v>
      </c>
      <c r="I625" s="104"/>
      <c r="J625" s="104">
        <f>K616+K617+K619+K621+K622+K623+SUM(K620:K620)-SUMIF(AC620:AC620, 5, K620:K620)-SUMIF(AC620:AC620, 6, K620:K620)</f>
        <v>38494.449999999997</v>
      </c>
      <c r="K625" s="104"/>
    </row>
    <row r="626" spans="1:29" ht="15" x14ac:dyDescent="0.25">
      <c r="C626" s="22" t="s">
        <v>1604</v>
      </c>
      <c r="H626" s="100">
        <f>SUMIF(AC620:AC620, 5, I620:I620)+SUMIF(AC620:AC620, 6, I620:I620)</f>
        <v>0</v>
      </c>
      <c r="I626" s="100"/>
      <c r="J626" s="100">
        <f>SUMIF(AC620:AC620, 5, K620:K620)+SUMIF(AC620:AC620, 6, K620:K620)</f>
        <v>0</v>
      </c>
      <c r="K626" s="100"/>
    </row>
    <row r="627" spans="1:29" ht="15" x14ac:dyDescent="0.25">
      <c r="C627" s="22" t="s">
        <v>1605</v>
      </c>
      <c r="H627" s="100">
        <f>I616+I617+I619+I621+I622+I623+SUM(I620:I620)</f>
        <v>1668.89</v>
      </c>
      <c r="I627" s="100"/>
      <c r="J627" s="100">
        <f>K616+K617+K619+K621+K622+K623+SUM(K620:K620)</f>
        <v>38494.449999999997</v>
      </c>
      <c r="K627" s="100"/>
      <c r="O627" s="36">
        <f>I616+I617+I619+I621+I622+I623+SUM(I620:I620)</f>
        <v>1668.89</v>
      </c>
      <c r="P627" s="36">
        <f>K616+K617+K619+K621+K622+K623+SUM(K620:K620)</f>
        <v>38494.449999999997</v>
      </c>
    </row>
    <row r="630" spans="1:29" ht="15" x14ac:dyDescent="0.25">
      <c r="A630" s="102" t="str">
        <f>CONCATENATE("Итого по разделу: ",IF(Source!G468&lt;&gt;"Новый раздел", Source!G468, ""))</f>
        <v>Итого по разделу: Демонтажные работы</v>
      </c>
      <c r="B630" s="102"/>
      <c r="C630" s="102"/>
      <c r="D630" s="102"/>
      <c r="E630" s="102"/>
      <c r="F630" s="102"/>
      <c r="G630" s="102"/>
      <c r="H630" s="100">
        <f>SUM(O601:O629)</f>
        <v>2990.51</v>
      </c>
      <c r="I630" s="101"/>
      <c r="J630" s="100">
        <f>SUM(P601:P629)</f>
        <v>68161.179999999993</v>
      </c>
      <c r="K630" s="101"/>
    </row>
    <row r="631" spans="1:29" hidden="1" x14ac:dyDescent="0.2">
      <c r="A631" t="s">
        <v>1606</v>
      </c>
      <c r="I631">
        <f>SUM(W601:W630)</f>
        <v>0</v>
      </c>
      <c r="J631">
        <f>SUM(X601:X630)</f>
        <v>0</v>
      </c>
    </row>
    <row r="632" spans="1:29" hidden="1" x14ac:dyDescent="0.2">
      <c r="A632" t="s">
        <v>1607</v>
      </c>
      <c r="I632">
        <f>SUM(Y601:Y631)</f>
        <v>0</v>
      </c>
      <c r="J632">
        <f>SUM(Z601:Z631)</f>
        <v>0</v>
      </c>
    </row>
    <row r="634" spans="1:29" ht="16.5" x14ac:dyDescent="0.25">
      <c r="A634" s="103" t="str">
        <f>CONCATENATE("Раздел: ",IF(Source!G498&lt;&gt;"Новый раздел", Source!G498, ""))</f>
        <v>Раздел: Монтажные работы</v>
      </c>
      <c r="B634" s="103"/>
      <c r="C634" s="103"/>
      <c r="D634" s="103"/>
      <c r="E634" s="103"/>
      <c r="F634" s="103"/>
      <c r="G634" s="103"/>
      <c r="H634" s="103"/>
      <c r="I634" s="103"/>
      <c r="J634" s="103"/>
      <c r="K634" s="103"/>
    </row>
    <row r="635" spans="1:29" ht="52.5" x14ac:dyDescent="0.2">
      <c r="A635" s="27">
        <v>3</v>
      </c>
      <c r="B635" s="27" t="s">
        <v>1645</v>
      </c>
      <c r="C635" s="27" t="s">
        <v>514</v>
      </c>
      <c r="D635" s="28" t="str">
        <f>Source!H502</f>
        <v>1 м3 основания</v>
      </c>
      <c r="E635" s="12">
        <f>Source!I502</f>
        <v>2.11</v>
      </c>
      <c r="F635" s="30"/>
      <c r="G635" s="29"/>
      <c r="H635" s="12"/>
      <c r="I635" s="30"/>
      <c r="J635" s="12"/>
      <c r="K635" s="30"/>
      <c r="Q635">
        <f>Source!X502</f>
        <v>17.93</v>
      </c>
      <c r="R635">
        <f>Source!X503</f>
        <v>428.92</v>
      </c>
      <c r="S635">
        <f>Source!Y502</f>
        <v>13.79</v>
      </c>
      <c r="T635">
        <f>Source!Y503</f>
        <v>234.47</v>
      </c>
      <c r="U635">
        <f>ROUND((175/100)*ROUND(Source!R502, 2), 2)</f>
        <v>17.45</v>
      </c>
      <c r="V635">
        <f>ROUND((160/100)*ROUND(Source!R503, 2), 2)</f>
        <v>463.09</v>
      </c>
      <c r="AC635">
        <v>0</v>
      </c>
    </row>
    <row r="636" spans="1:29" ht="14.25" x14ac:dyDescent="0.2">
      <c r="A636" s="27"/>
      <c r="B636" s="27"/>
      <c r="C636" s="27" t="s">
        <v>1597</v>
      </c>
      <c r="D636" s="28"/>
      <c r="E636" s="12"/>
      <c r="F636" s="30">
        <f>Source!AO502</f>
        <v>8.1199999999999992</v>
      </c>
      <c r="G636" s="29" t="str">
        <f>Source!DG502</f>
        <v>)*1,15</v>
      </c>
      <c r="H636" s="12">
        <f>Source!AV503</f>
        <v>1</v>
      </c>
      <c r="I636" s="30">
        <f>Source!S502</f>
        <v>19.7</v>
      </c>
      <c r="J636" s="12">
        <f>IF(Source!BA503&lt;&gt; 0, Source!BA503, 1)</f>
        <v>29.03</v>
      </c>
      <c r="K636" s="30">
        <f>Source!S503</f>
        <v>571.89</v>
      </c>
    </row>
    <row r="637" spans="1:29" ht="14.25" x14ac:dyDescent="0.2">
      <c r="A637" s="27"/>
      <c r="B637" s="27"/>
      <c r="C637" s="27" t="s">
        <v>1609</v>
      </c>
      <c r="D637" s="28"/>
      <c r="E637" s="12"/>
      <c r="F637" s="30">
        <f>Source!AM502</f>
        <v>15.17</v>
      </c>
      <c r="G637" s="29" t="str">
        <f>Source!DE502</f>
        <v>)*1,25</v>
      </c>
      <c r="H637" s="12">
        <f>Source!AV503</f>
        <v>1</v>
      </c>
      <c r="I637" s="30">
        <f>Source!Q502</f>
        <v>40.01</v>
      </c>
      <c r="J637" s="12">
        <f>IF(Source!BB503&lt;&gt; 0, Source!BB503, 1)</f>
        <v>13.08</v>
      </c>
      <c r="K637" s="30">
        <f>Source!Q503</f>
        <v>523.33000000000004</v>
      </c>
    </row>
    <row r="638" spans="1:29" ht="14.25" x14ac:dyDescent="0.2">
      <c r="A638" s="27"/>
      <c r="B638" s="27"/>
      <c r="C638" s="27" t="s">
        <v>1610</v>
      </c>
      <c r="D638" s="28"/>
      <c r="E638" s="12"/>
      <c r="F638" s="30">
        <f>Source!AN502</f>
        <v>3.78</v>
      </c>
      <c r="G638" s="29" t="str">
        <f>Source!DF502</f>
        <v>)*1,25</v>
      </c>
      <c r="H638" s="12">
        <f>Source!AV503</f>
        <v>1</v>
      </c>
      <c r="I638" s="38">
        <f>Source!R502</f>
        <v>9.9700000000000006</v>
      </c>
      <c r="J638" s="12">
        <f>IF(Source!BS503&lt;&gt; 0, Source!BS503, 1)</f>
        <v>29.03</v>
      </c>
      <c r="K638" s="38">
        <f>Source!R503</f>
        <v>289.43</v>
      </c>
    </row>
    <row r="639" spans="1:29" ht="14.25" x14ac:dyDescent="0.2">
      <c r="A639" s="27"/>
      <c r="B639" s="27"/>
      <c r="C639" s="27" t="s">
        <v>1611</v>
      </c>
      <c r="D639" s="28"/>
      <c r="E639" s="12"/>
      <c r="F639" s="30">
        <f>Source!AL502</f>
        <v>1.06</v>
      </c>
      <c r="G639" s="29" t="str">
        <f>Source!DD502</f>
        <v/>
      </c>
      <c r="H639" s="12">
        <f>Source!AW503</f>
        <v>1</v>
      </c>
      <c r="I639" s="30">
        <f>Source!P502</f>
        <v>2.2400000000000002</v>
      </c>
      <c r="J639" s="12">
        <f>IF(Source!BC503&lt;&gt; 0, Source!BC503, 1)</f>
        <v>6.01</v>
      </c>
      <c r="K639" s="30">
        <f>Source!P503</f>
        <v>13.46</v>
      </c>
    </row>
    <row r="640" spans="1:29" ht="28.5" x14ac:dyDescent="0.2">
      <c r="A640" s="27" t="s">
        <v>100</v>
      </c>
      <c r="B640" s="27" t="str">
        <f>Source!F504</f>
        <v>1.1-1-766</v>
      </c>
      <c r="C640" s="27" t="s">
        <v>93</v>
      </c>
      <c r="D640" s="28" t="str">
        <f>Source!H504</f>
        <v>м3</v>
      </c>
      <c r="E640" s="12">
        <f>Source!I504</f>
        <v>2.3210000000000002</v>
      </c>
      <c r="F640" s="30">
        <f>Source!AK504</f>
        <v>104.99</v>
      </c>
      <c r="G640" s="39" t="s">
        <v>3</v>
      </c>
      <c r="H640" s="12">
        <f>Source!AW505</f>
        <v>1</v>
      </c>
      <c r="I640" s="30">
        <f>Source!O504</f>
        <v>243.68</v>
      </c>
      <c r="J640" s="12">
        <f>IF(Source!BC505&lt;&gt; 0, Source!BC505, 1)</f>
        <v>6.88</v>
      </c>
      <c r="K640" s="30">
        <f>Source!O505</f>
        <v>1676.52</v>
      </c>
      <c r="Q640">
        <f>Source!X504</f>
        <v>0</v>
      </c>
      <c r="R640">
        <f>Source!X505</f>
        <v>0</v>
      </c>
      <c r="S640">
        <f>Source!Y504</f>
        <v>0</v>
      </c>
      <c r="T640">
        <f>Source!Y505</f>
        <v>0</v>
      </c>
      <c r="U640">
        <f>ROUND((175/100)*ROUND(Source!R504, 2), 2)</f>
        <v>0</v>
      </c>
      <c r="V640">
        <f>ROUND((160/100)*ROUND(Source!R505, 2), 2)</f>
        <v>0</v>
      </c>
      <c r="AC640">
        <v>3</v>
      </c>
    </row>
    <row r="641" spans="1:29" ht="14.25" x14ac:dyDescent="0.2">
      <c r="A641" s="27"/>
      <c r="B641" s="27"/>
      <c r="C641" s="27" t="s">
        <v>1598</v>
      </c>
      <c r="D641" s="28" t="s">
        <v>1599</v>
      </c>
      <c r="E641" s="12">
        <f>Source!DN503</f>
        <v>91</v>
      </c>
      <c r="F641" s="30"/>
      <c r="G641" s="29"/>
      <c r="H641" s="12"/>
      <c r="I641" s="30">
        <f>SUM(Q635:Q640)</f>
        <v>17.93</v>
      </c>
      <c r="J641" s="12">
        <f>Source!BZ503</f>
        <v>75</v>
      </c>
      <c r="K641" s="30">
        <f>SUM(R635:R640)</f>
        <v>428.92</v>
      </c>
    </row>
    <row r="642" spans="1:29" ht="14.25" x14ac:dyDescent="0.2">
      <c r="A642" s="27"/>
      <c r="B642" s="27"/>
      <c r="C642" s="27" t="s">
        <v>1600</v>
      </c>
      <c r="D642" s="28" t="s">
        <v>1599</v>
      </c>
      <c r="E642" s="12">
        <f>Source!DO503</f>
        <v>70</v>
      </c>
      <c r="F642" s="30"/>
      <c r="G642" s="29"/>
      <c r="H642" s="12"/>
      <c r="I642" s="30">
        <f>SUM(S635:S641)</f>
        <v>13.79</v>
      </c>
      <c r="J642" s="12">
        <f>Source!CA503</f>
        <v>41</v>
      </c>
      <c r="K642" s="30">
        <f>SUM(T635:T641)</f>
        <v>234.47</v>
      </c>
    </row>
    <row r="643" spans="1:29" ht="14.25" x14ac:dyDescent="0.2">
      <c r="A643" s="27"/>
      <c r="B643" s="27"/>
      <c r="C643" s="27" t="s">
        <v>1612</v>
      </c>
      <c r="D643" s="28" t="s">
        <v>1599</v>
      </c>
      <c r="E643" s="12">
        <f>175</f>
        <v>175</v>
      </c>
      <c r="F643" s="30"/>
      <c r="G643" s="29"/>
      <c r="H643" s="12"/>
      <c r="I643" s="30">
        <f>SUM(U635:U642)</f>
        <v>17.45</v>
      </c>
      <c r="J643" s="12">
        <f>160</f>
        <v>160</v>
      </c>
      <c r="K643" s="30">
        <f>SUM(V635:V642)</f>
        <v>463.09</v>
      </c>
    </row>
    <row r="644" spans="1:29" ht="14.25" x14ac:dyDescent="0.2">
      <c r="A644" s="31"/>
      <c r="B644" s="31"/>
      <c r="C644" s="31" t="s">
        <v>1601</v>
      </c>
      <c r="D644" s="32" t="s">
        <v>1602</v>
      </c>
      <c r="E644" s="33">
        <f>Source!AQ502</f>
        <v>0.78</v>
      </c>
      <c r="F644" s="34"/>
      <c r="G644" s="35" t="str">
        <f>Source!DI502</f>
        <v>)*1,15</v>
      </c>
      <c r="H644" s="33">
        <f>Source!AV503</f>
        <v>1</v>
      </c>
      <c r="I644" s="34">
        <f>Source!U502</f>
        <v>1.8926699999999996</v>
      </c>
      <c r="J644" s="33"/>
      <c r="K644" s="34"/>
    </row>
    <row r="645" spans="1:29" ht="15" x14ac:dyDescent="0.25">
      <c r="C645" s="22" t="s">
        <v>1603</v>
      </c>
      <c r="H645" s="104">
        <f>I636+I637+I639+I641+I642+I643+SUM(I640:I640)-SUMIF(AC640:AC640, 5, I640:I640)-SUMIF(AC640:AC640, 6, I640:I640)</f>
        <v>354.8</v>
      </c>
      <c r="I645" s="104"/>
      <c r="J645" s="104">
        <f>K636+K637+K639+K641+K642+K643+SUM(K640:K640)-SUMIF(AC640:AC640, 5, K640:K640)-SUMIF(AC640:AC640, 6, K640:K640)</f>
        <v>3911.6800000000003</v>
      </c>
      <c r="K645" s="104"/>
    </row>
    <row r="646" spans="1:29" ht="15" x14ac:dyDescent="0.25">
      <c r="C646" s="22" t="s">
        <v>1604</v>
      </c>
      <c r="H646" s="100">
        <f>SUMIF(AC640:AC640, 5, I640:I640)+SUMIF(AC640:AC640, 6, I640:I640)</f>
        <v>0</v>
      </c>
      <c r="I646" s="100"/>
      <c r="J646" s="100">
        <f>SUMIF(AC640:AC640, 5, K640:K640)+SUMIF(AC640:AC640, 6, K640:K640)</f>
        <v>0</v>
      </c>
      <c r="K646" s="100"/>
    </row>
    <row r="647" spans="1:29" ht="15" x14ac:dyDescent="0.25">
      <c r="C647" s="22" t="s">
        <v>1605</v>
      </c>
      <c r="H647" s="100">
        <f>I636+I637+I639+I641+I642+I643+SUM(I640:I640)</f>
        <v>354.8</v>
      </c>
      <c r="I647" s="100"/>
      <c r="J647" s="100">
        <f>K636+K637+K639+K641+K642+K643+SUM(K640:K640)</f>
        <v>3911.6800000000003</v>
      </c>
      <c r="K647" s="100"/>
      <c r="O647" s="36">
        <f>I636+I637+I639+I641+I642+I643+SUM(I640:I640)</f>
        <v>354.8</v>
      </c>
      <c r="P647" s="36">
        <f>K636+K637+K639+K641+K642+K643+SUM(K640:K640)</f>
        <v>3911.6800000000003</v>
      </c>
    </row>
    <row r="649" spans="1:29" ht="52.5" x14ac:dyDescent="0.2">
      <c r="A649" s="27">
        <v>4</v>
      </c>
      <c r="B649" s="27" t="s">
        <v>1646</v>
      </c>
      <c r="C649" s="27" t="s">
        <v>520</v>
      </c>
      <c r="D649" s="28" t="str">
        <f>Source!H506</f>
        <v>1 м3 основания</v>
      </c>
      <c r="E649" s="12">
        <f>Source!I506</f>
        <v>2.11</v>
      </c>
      <c r="F649" s="30"/>
      <c r="G649" s="29"/>
      <c r="H649" s="12"/>
      <c r="I649" s="30"/>
      <c r="J649" s="12"/>
      <c r="K649" s="30"/>
      <c r="Q649">
        <f>Source!X506</f>
        <v>19.54</v>
      </c>
      <c r="R649">
        <f>Source!X507</f>
        <v>467.45</v>
      </c>
      <c r="S649">
        <f>Source!Y506</f>
        <v>15.03</v>
      </c>
      <c r="T649">
        <f>Source!Y507</f>
        <v>255.54</v>
      </c>
      <c r="U649">
        <f>ROUND((175/100)*ROUND(Source!R506, 2), 2)</f>
        <v>18.690000000000001</v>
      </c>
      <c r="V649">
        <f>ROUND((160/100)*ROUND(Source!R507, 2), 2)</f>
        <v>496.06</v>
      </c>
      <c r="AC649">
        <v>0</v>
      </c>
    </row>
    <row r="650" spans="1:29" ht="14.25" x14ac:dyDescent="0.2">
      <c r="A650" s="27"/>
      <c r="B650" s="27"/>
      <c r="C650" s="27" t="s">
        <v>1597</v>
      </c>
      <c r="D650" s="28"/>
      <c r="E650" s="12"/>
      <c r="F650" s="30">
        <f>Source!AO506</f>
        <v>8.85</v>
      </c>
      <c r="G650" s="29" t="str">
        <f>Source!DG506</f>
        <v>)*1,15</v>
      </c>
      <c r="H650" s="12">
        <f>Source!AV507</f>
        <v>1</v>
      </c>
      <c r="I650" s="30">
        <f>Source!S506</f>
        <v>21.47</v>
      </c>
      <c r="J650" s="12">
        <f>IF(Source!BA507&lt;&gt; 0, Source!BA507, 1)</f>
        <v>29.03</v>
      </c>
      <c r="K650" s="30">
        <f>Source!S507</f>
        <v>623.27</v>
      </c>
    </row>
    <row r="651" spans="1:29" ht="14.25" x14ac:dyDescent="0.2">
      <c r="A651" s="27"/>
      <c r="B651" s="27"/>
      <c r="C651" s="27" t="s">
        <v>1609</v>
      </c>
      <c r="D651" s="28"/>
      <c r="E651" s="12"/>
      <c r="F651" s="30">
        <f>Source!AM506</f>
        <v>16.02</v>
      </c>
      <c r="G651" s="29" t="str">
        <f>Source!DE506</f>
        <v>)*1,25</v>
      </c>
      <c r="H651" s="12">
        <f>Source!AV507</f>
        <v>1</v>
      </c>
      <c r="I651" s="30">
        <f>Source!Q506</f>
        <v>42.25</v>
      </c>
      <c r="J651" s="12">
        <f>IF(Source!BB507&lt;&gt; 0, Source!BB507, 1)</f>
        <v>13.21</v>
      </c>
      <c r="K651" s="30">
        <f>Source!Q507</f>
        <v>558.12</v>
      </c>
    </row>
    <row r="652" spans="1:29" ht="14.25" x14ac:dyDescent="0.2">
      <c r="A652" s="27"/>
      <c r="B652" s="27"/>
      <c r="C652" s="27" t="s">
        <v>1610</v>
      </c>
      <c r="D652" s="28"/>
      <c r="E652" s="12"/>
      <c r="F652" s="30">
        <f>Source!AN506</f>
        <v>4.05</v>
      </c>
      <c r="G652" s="29" t="str">
        <f>Source!DF506</f>
        <v>)*1,25</v>
      </c>
      <c r="H652" s="12">
        <f>Source!AV507</f>
        <v>1</v>
      </c>
      <c r="I652" s="38">
        <f>Source!R506</f>
        <v>10.68</v>
      </c>
      <c r="J652" s="12">
        <f>IF(Source!BS507&lt;&gt; 0, Source!BS507, 1)</f>
        <v>29.03</v>
      </c>
      <c r="K652" s="38">
        <f>Source!R507</f>
        <v>310.04000000000002</v>
      </c>
    </row>
    <row r="653" spans="1:29" ht="14.25" x14ac:dyDescent="0.2">
      <c r="A653" s="27"/>
      <c r="B653" s="27"/>
      <c r="C653" s="27" t="s">
        <v>1611</v>
      </c>
      <c r="D653" s="28"/>
      <c r="E653" s="12"/>
      <c r="F653" s="30">
        <f>Source!AL506</f>
        <v>1.06</v>
      </c>
      <c r="G653" s="29" t="str">
        <f>Source!DD506</f>
        <v/>
      </c>
      <c r="H653" s="12">
        <f>Source!AW507</f>
        <v>1</v>
      </c>
      <c r="I653" s="30">
        <f>Source!P506</f>
        <v>2.2400000000000002</v>
      </c>
      <c r="J653" s="12">
        <f>IF(Source!BC507&lt;&gt; 0, Source!BC507, 1)</f>
        <v>6.01</v>
      </c>
      <c r="K653" s="30">
        <f>Source!P507</f>
        <v>13.46</v>
      </c>
    </row>
    <row r="654" spans="1:29" ht="42.75" x14ac:dyDescent="0.2">
      <c r="A654" s="27" t="s">
        <v>111</v>
      </c>
      <c r="B654" s="27" t="str">
        <f>Source!F508</f>
        <v>1.1-1-1518</v>
      </c>
      <c r="C654" s="27" t="s">
        <v>523</v>
      </c>
      <c r="D654" s="28" t="str">
        <f>Source!H508</f>
        <v>м3</v>
      </c>
      <c r="E654" s="12">
        <f>Source!I508</f>
        <v>2.4264999999999999</v>
      </c>
      <c r="F654" s="30">
        <f>Source!AK508</f>
        <v>197.51</v>
      </c>
      <c r="G654" s="39" t="s">
        <v>3</v>
      </c>
      <c r="H654" s="12">
        <f>Source!AW509</f>
        <v>1</v>
      </c>
      <c r="I654" s="30">
        <f>Source!O508</f>
        <v>479.26</v>
      </c>
      <c r="J654" s="12">
        <f>IF(Source!BC509&lt;&gt; 0, Source!BC509, 1)</f>
        <v>10.63</v>
      </c>
      <c r="K654" s="30">
        <f>Source!O509</f>
        <v>5094.53</v>
      </c>
      <c r="Q654">
        <f>Source!X508</f>
        <v>0</v>
      </c>
      <c r="R654">
        <f>Source!X509</f>
        <v>0</v>
      </c>
      <c r="S654">
        <f>Source!Y508</f>
        <v>0</v>
      </c>
      <c r="T654">
        <f>Source!Y509</f>
        <v>0</v>
      </c>
      <c r="U654">
        <f>ROUND((175/100)*ROUND(Source!R508, 2), 2)</f>
        <v>0</v>
      </c>
      <c r="V654">
        <f>ROUND((160/100)*ROUND(Source!R509, 2), 2)</f>
        <v>0</v>
      </c>
      <c r="AC654">
        <v>3</v>
      </c>
    </row>
    <row r="655" spans="1:29" ht="14.25" x14ac:dyDescent="0.2">
      <c r="A655" s="27"/>
      <c r="B655" s="27"/>
      <c r="C655" s="27" t="s">
        <v>1598</v>
      </c>
      <c r="D655" s="28" t="s">
        <v>1599</v>
      </c>
      <c r="E655" s="12">
        <f>Source!DN507</f>
        <v>91</v>
      </c>
      <c r="F655" s="30"/>
      <c r="G655" s="29"/>
      <c r="H655" s="12"/>
      <c r="I655" s="30">
        <f>SUM(Q649:Q654)</f>
        <v>19.54</v>
      </c>
      <c r="J655" s="12">
        <f>Source!BZ507</f>
        <v>75</v>
      </c>
      <c r="K655" s="30">
        <f>SUM(R649:R654)</f>
        <v>467.45</v>
      </c>
    </row>
    <row r="656" spans="1:29" ht="14.25" x14ac:dyDescent="0.2">
      <c r="A656" s="27"/>
      <c r="B656" s="27"/>
      <c r="C656" s="27" t="s">
        <v>1600</v>
      </c>
      <c r="D656" s="28" t="s">
        <v>1599</v>
      </c>
      <c r="E656" s="12">
        <f>Source!DO507</f>
        <v>70</v>
      </c>
      <c r="F656" s="30"/>
      <c r="G656" s="29"/>
      <c r="H656" s="12"/>
      <c r="I656" s="30">
        <f>SUM(S649:S655)</f>
        <v>15.03</v>
      </c>
      <c r="J656" s="12">
        <f>Source!CA507</f>
        <v>41</v>
      </c>
      <c r="K656" s="30">
        <f>SUM(T649:T655)</f>
        <v>255.54</v>
      </c>
    </row>
    <row r="657" spans="1:29" ht="14.25" x14ac:dyDescent="0.2">
      <c r="A657" s="27"/>
      <c r="B657" s="27"/>
      <c r="C657" s="27" t="s">
        <v>1612</v>
      </c>
      <c r="D657" s="28" t="s">
        <v>1599</v>
      </c>
      <c r="E657" s="12">
        <f>175</f>
        <v>175</v>
      </c>
      <c r="F657" s="30"/>
      <c r="G657" s="29"/>
      <c r="H657" s="12"/>
      <c r="I657" s="30">
        <f>SUM(U649:U656)</f>
        <v>18.690000000000001</v>
      </c>
      <c r="J657" s="12">
        <f>160</f>
        <v>160</v>
      </c>
      <c r="K657" s="30">
        <f>SUM(V649:V656)</f>
        <v>496.06</v>
      </c>
    </row>
    <row r="658" spans="1:29" ht="14.25" x14ac:dyDescent="0.2">
      <c r="A658" s="31"/>
      <c r="B658" s="31"/>
      <c r="C658" s="31" t="s">
        <v>1601</v>
      </c>
      <c r="D658" s="32" t="s">
        <v>1602</v>
      </c>
      <c r="E658" s="33">
        <f>Source!AQ506</f>
        <v>0.85</v>
      </c>
      <c r="F658" s="34"/>
      <c r="G658" s="35" t="str">
        <f>Source!DI506</f>
        <v>)*1,15</v>
      </c>
      <c r="H658" s="33">
        <f>Source!AV507</f>
        <v>1</v>
      </c>
      <c r="I658" s="34">
        <f>Source!U506</f>
        <v>2.0625249999999995</v>
      </c>
      <c r="J658" s="33"/>
      <c r="K658" s="34"/>
    </row>
    <row r="659" spans="1:29" ht="15" x14ac:dyDescent="0.25">
      <c r="C659" s="22" t="s">
        <v>1603</v>
      </c>
      <c r="H659" s="104">
        <f>I650+I651+I653+I655+I656+I657+SUM(I654:I654)-SUMIF(AC654:AC654, 5, I654:I654)-SUMIF(AC654:AC654, 6, I654:I654)</f>
        <v>598.48</v>
      </c>
      <c r="I659" s="104"/>
      <c r="J659" s="104">
        <f>K650+K651+K653+K655+K656+K657+SUM(K654:K654)-SUMIF(AC654:AC654, 5, K654:K654)-SUMIF(AC654:AC654, 6, K654:K654)</f>
        <v>7508.43</v>
      </c>
      <c r="K659" s="104"/>
    </row>
    <row r="660" spans="1:29" ht="15" x14ac:dyDescent="0.25">
      <c r="C660" s="22" t="s">
        <v>1604</v>
      </c>
      <c r="H660" s="100">
        <f>SUMIF(AC654:AC654, 5, I654:I654)+SUMIF(AC654:AC654, 6, I654:I654)</f>
        <v>0</v>
      </c>
      <c r="I660" s="100"/>
      <c r="J660" s="100">
        <f>SUMIF(AC654:AC654, 5, K654:K654)+SUMIF(AC654:AC654, 6, K654:K654)</f>
        <v>0</v>
      </c>
      <c r="K660" s="100"/>
    </row>
    <row r="661" spans="1:29" ht="15" x14ac:dyDescent="0.25">
      <c r="C661" s="22" t="s">
        <v>1605</v>
      </c>
      <c r="H661" s="100">
        <f>I650+I651+I653+I655+I656+I657+SUM(I654:I654)</f>
        <v>598.48</v>
      </c>
      <c r="I661" s="100"/>
      <c r="J661" s="100">
        <f>K650+K651+K653+K655+K656+K657+SUM(K654:K654)</f>
        <v>7508.43</v>
      </c>
      <c r="K661" s="100"/>
      <c r="O661" s="36">
        <f>I650+I651+I653+I655+I656+I657+SUM(I654:I654)</f>
        <v>598.48</v>
      </c>
      <c r="P661" s="36">
        <f>K650+K651+K653+K655+K656+K657+SUM(K654:K654)</f>
        <v>7508.43</v>
      </c>
    </row>
    <row r="663" spans="1:29" ht="52.5" x14ac:dyDescent="0.2">
      <c r="A663" s="27">
        <v>5</v>
      </c>
      <c r="B663" s="27" t="s">
        <v>1647</v>
      </c>
      <c r="C663" s="27" t="s">
        <v>526</v>
      </c>
      <c r="D663" s="28" t="str">
        <f>Source!H510</f>
        <v>100 м3 в деле</v>
      </c>
      <c r="E663" s="12">
        <f>Source!I510</f>
        <v>4.6399999999999997E-2</v>
      </c>
      <c r="F663" s="30"/>
      <c r="G663" s="29"/>
      <c r="H663" s="12"/>
      <c r="I663" s="30"/>
      <c r="J663" s="12"/>
      <c r="K663" s="30"/>
      <c r="Q663">
        <f>Source!X510</f>
        <v>90.77</v>
      </c>
      <c r="R663">
        <f>Source!X511</f>
        <v>2170.08</v>
      </c>
      <c r="S663">
        <f>Source!Y510</f>
        <v>74.75</v>
      </c>
      <c r="T663">
        <f>Source!Y511</f>
        <v>1271.05</v>
      </c>
      <c r="U663">
        <f>ROUND((175/100)*ROUND(Source!R510, 2), 2)</f>
        <v>4.38</v>
      </c>
      <c r="V663">
        <f>ROUND((160/100)*ROUND(Source!R511, 2), 2)</f>
        <v>116.13</v>
      </c>
      <c r="AC663">
        <v>0</v>
      </c>
    </row>
    <row r="664" spans="1:29" ht="14.25" x14ac:dyDescent="0.2">
      <c r="A664" s="27"/>
      <c r="B664" s="27"/>
      <c r="C664" s="27" t="s">
        <v>1597</v>
      </c>
      <c r="D664" s="28"/>
      <c r="E664" s="12"/>
      <c r="F664" s="30">
        <f>Source!AO510</f>
        <v>2001.22</v>
      </c>
      <c r="G664" s="29" t="str">
        <f>Source!DG510</f>
        <v>)*1,15</v>
      </c>
      <c r="H664" s="12">
        <f>Source!AV511</f>
        <v>1</v>
      </c>
      <c r="I664" s="30">
        <f>Source!S510</f>
        <v>106.79</v>
      </c>
      <c r="J664" s="12">
        <f>IF(Source!BA511&lt;&gt; 0, Source!BA511, 1)</f>
        <v>29.03</v>
      </c>
      <c r="K664" s="30">
        <f>Source!S511</f>
        <v>3100.11</v>
      </c>
    </row>
    <row r="665" spans="1:29" ht="14.25" x14ac:dyDescent="0.2">
      <c r="A665" s="27"/>
      <c r="B665" s="27"/>
      <c r="C665" s="27" t="s">
        <v>1609</v>
      </c>
      <c r="D665" s="28"/>
      <c r="E665" s="12"/>
      <c r="F665" s="30">
        <f>Source!AM510</f>
        <v>1050.3699999999999</v>
      </c>
      <c r="G665" s="29" t="str">
        <f>Source!DE510</f>
        <v>)*1,25</v>
      </c>
      <c r="H665" s="12">
        <f>Source!AV511</f>
        <v>1</v>
      </c>
      <c r="I665" s="30">
        <f>Source!Q510</f>
        <v>60.92</v>
      </c>
      <c r="J665" s="12">
        <f>IF(Source!BB511&lt;&gt; 0, Source!BB511, 1)</f>
        <v>10.37</v>
      </c>
      <c r="K665" s="30">
        <f>Source!Q511</f>
        <v>631.74</v>
      </c>
    </row>
    <row r="666" spans="1:29" ht="14.25" x14ac:dyDescent="0.2">
      <c r="A666" s="27"/>
      <c r="B666" s="27"/>
      <c r="C666" s="27" t="s">
        <v>1610</v>
      </c>
      <c r="D666" s="28"/>
      <c r="E666" s="12"/>
      <c r="F666" s="30">
        <f>Source!AN510</f>
        <v>43.16</v>
      </c>
      <c r="G666" s="29" t="str">
        <f>Source!DF510</f>
        <v>)*1,25</v>
      </c>
      <c r="H666" s="12">
        <f>Source!AV511</f>
        <v>1</v>
      </c>
      <c r="I666" s="38">
        <f>Source!R510</f>
        <v>2.5</v>
      </c>
      <c r="J666" s="12">
        <f>IF(Source!BS511&lt;&gt; 0, Source!BS511, 1)</f>
        <v>29.03</v>
      </c>
      <c r="K666" s="38">
        <f>Source!R511</f>
        <v>72.58</v>
      </c>
    </row>
    <row r="667" spans="1:29" ht="14.25" x14ac:dyDescent="0.2">
      <c r="A667" s="27"/>
      <c r="B667" s="27"/>
      <c r="C667" s="27" t="s">
        <v>1611</v>
      </c>
      <c r="D667" s="28"/>
      <c r="E667" s="12"/>
      <c r="F667" s="30">
        <f>Source!AL510</f>
        <v>1800.88</v>
      </c>
      <c r="G667" s="29" t="str">
        <f>Source!DD510</f>
        <v/>
      </c>
      <c r="H667" s="12">
        <f>Source!AW511</f>
        <v>1</v>
      </c>
      <c r="I667" s="30">
        <f>Source!P510</f>
        <v>83.56</v>
      </c>
      <c r="J667" s="12">
        <f>IF(Source!BC511&lt;&gt; 0, Source!BC511, 1)</f>
        <v>14.68</v>
      </c>
      <c r="K667" s="30">
        <f>Source!P511</f>
        <v>1226.6600000000001</v>
      </c>
    </row>
    <row r="668" spans="1:29" ht="71.25" x14ac:dyDescent="0.2">
      <c r="A668" s="27" t="s">
        <v>123</v>
      </c>
      <c r="B668" s="27" t="str">
        <f>Source!F512</f>
        <v>1.3-4-20</v>
      </c>
      <c r="C668" s="27" t="s">
        <v>532</v>
      </c>
      <c r="D668" s="28" t="str">
        <f>Source!H512</f>
        <v>т</v>
      </c>
      <c r="E668" s="12">
        <f>Source!I512</f>
        <v>1.4489999999999999E-2</v>
      </c>
      <c r="F668" s="30">
        <f>Source!AK512</f>
        <v>0</v>
      </c>
      <c r="G668" s="39" t="s">
        <v>3</v>
      </c>
      <c r="H668" s="12">
        <f>Source!AW513</f>
        <v>1</v>
      </c>
      <c r="I668" s="30">
        <f>Source!O512</f>
        <v>0</v>
      </c>
      <c r="J668" s="12">
        <f>IF(Source!BC513&lt;&gt; 0, Source!BC513, 1)</f>
        <v>12.06</v>
      </c>
      <c r="K668" s="30">
        <f>Source!O513</f>
        <v>0</v>
      </c>
      <c r="Q668">
        <f>Source!X512</f>
        <v>0</v>
      </c>
      <c r="R668">
        <f>Source!X513</f>
        <v>0</v>
      </c>
      <c r="S668">
        <f>Source!Y512</f>
        <v>0</v>
      </c>
      <c r="T668">
        <f>Source!Y513</f>
        <v>0</v>
      </c>
      <c r="U668">
        <f>ROUND((175/100)*ROUND(Source!R512, 2), 2)</f>
        <v>0</v>
      </c>
      <c r="V668">
        <f>ROUND((160/100)*ROUND(Source!R513, 2), 2)</f>
        <v>0</v>
      </c>
      <c r="AC668">
        <v>3</v>
      </c>
    </row>
    <row r="669" spans="1:29" ht="71.25" x14ac:dyDescent="0.2">
      <c r="A669" s="27" t="s">
        <v>533</v>
      </c>
      <c r="B669" s="27" t="str">
        <f>Source!F514</f>
        <v>1.3-4-22</v>
      </c>
      <c r="C669" s="27" t="s">
        <v>535</v>
      </c>
      <c r="D669" s="28" t="str">
        <f>Source!H514</f>
        <v>т</v>
      </c>
      <c r="E669" s="12">
        <f>Source!I514</f>
        <v>0.52371000000000001</v>
      </c>
      <c r="F669" s="30">
        <f>Source!AK514</f>
        <v>0</v>
      </c>
      <c r="G669" s="39" t="s">
        <v>3</v>
      </c>
      <c r="H669" s="12">
        <f>Source!AW515</f>
        <v>1</v>
      </c>
      <c r="I669" s="30">
        <f>Source!O514</f>
        <v>0</v>
      </c>
      <c r="J669" s="12">
        <f>IF(Source!BC515&lt;&gt; 0, Source!BC515, 1)</f>
        <v>11.18</v>
      </c>
      <c r="K669" s="30">
        <f>Source!O515</f>
        <v>0</v>
      </c>
      <c r="Q669">
        <f>Source!X514</f>
        <v>0</v>
      </c>
      <c r="R669">
        <f>Source!X515</f>
        <v>0</v>
      </c>
      <c r="S669">
        <f>Source!Y514</f>
        <v>0</v>
      </c>
      <c r="T669">
        <f>Source!Y515</f>
        <v>0</v>
      </c>
      <c r="U669">
        <f>ROUND((175/100)*ROUND(Source!R514, 2), 2)</f>
        <v>0</v>
      </c>
      <c r="V669">
        <f>ROUND((160/100)*ROUND(Source!R515, 2), 2)</f>
        <v>0</v>
      </c>
      <c r="AC669">
        <v>3</v>
      </c>
    </row>
    <row r="670" spans="1:29" ht="57" x14ac:dyDescent="0.2">
      <c r="A670" s="27" t="s">
        <v>536</v>
      </c>
      <c r="B670" s="27" t="str">
        <f>Source!F516</f>
        <v>1.3-1-151</v>
      </c>
      <c r="C670" s="27" t="s">
        <v>538</v>
      </c>
      <c r="D670" s="28" t="str">
        <f>Source!H516</f>
        <v>м3</v>
      </c>
      <c r="E670" s="12">
        <f>Source!I516</f>
        <v>4.7096</v>
      </c>
      <c r="F670" s="30">
        <f>Source!AK516</f>
        <v>0</v>
      </c>
      <c r="G670" s="39" t="s">
        <v>3</v>
      </c>
      <c r="H670" s="12">
        <f>Source!AW517</f>
        <v>1</v>
      </c>
      <c r="I670" s="30">
        <f>Source!O516</f>
        <v>0</v>
      </c>
      <c r="J670" s="12">
        <f>IF(Source!BC517&lt;&gt; 0, Source!BC517, 1)</f>
        <v>7.95</v>
      </c>
      <c r="K670" s="30">
        <f>Source!O517</f>
        <v>0</v>
      </c>
      <c r="Q670">
        <f>Source!X516</f>
        <v>0</v>
      </c>
      <c r="R670">
        <f>Source!X517</f>
        <v>0</v>
      </c>
      <c r="S670">
        <f>Source!Y516</f>
        <v>0</v>
      </c>
      <c r="T670">
        <f>Source!Y517</f>
        <v>0</v>
      </c>
      <c r="U670">
        <f>ROUND((175/100)*ROUND(Source!R516, 2), 2)</f>
        <v>0</v>
      </c>
      <c r="V670">
        <f>ROUND((160/100)*ROUND(Source!R517, 2), 2)</f>
        <v>0</v>
      </c>
      <c r="AC670">
        <v>3</v>
      </c>
    </row>
    <row r="671" spans="1:29" ht="14.25" x14ac:dyDescent="0.2">
      <c r="A671" s="27"/>
      <c r="B671" s="27"/>
      <c r="C671" s="27" t="s">
        <v>1598</v>
      </c>
      <c r="D671" s="28" t="s">
        <v>1599</v>
      </c>
      <c r="E671" s="12">
        <f>Source!DN511</f>
        <v>85</v>
      </c>
      <c r="F671" s="30"/>
      <c r="G671" s="29"/>
      <c r="H671" s="12"/>
      <c r="I671" s="30">
        <f>SUM(Q663:Q670)</f>
        <v>90.77</v>
      </c>
      <c r="J671" s="12">
        <f>Source!BZ511</f>
        <v>70</v>
      </c>
      <c r="K671" s="30">
        <f>SUM(R663:R670)</f>
        <v>2170.08</v>
      </c>
    </row>
    <row r="672" spans="1:29" ht="14.25" x14ac:dyDescent="0.2">
      <c r="A672" s="27"/>
      <c r="B672" s="27"/>
      <c r="C672" s="27" t="s">
        <v>1600</v>
      </c>
      <c r="D672" s="28" t="s">
        <v>1599</v>
      </c>
      <c r="E672" s="12">
        <f>Source!DO511</f>
        <v>70</v>
      </c>
      <c r="F672" s="30"/>
      <c r="G672" s="29"/>
      <c r="H672" s="12"/>
      <c r="I672" s="30">
        <f>SUM(S663:S671)</f>
        <v>74.75</v>
      </c>
      <c r="J672" s="12">
        <f>Source!CA511</f>
        <v>41</v>
      </c>
      <c r="K672" s="30">
        <f>SUM(T663:T671)</f>
        <v>1271.05</v>
      </c>
    </row>
    <row r="673" spans="1:29" ht="14.25" x14ac:dyDescent="0.2">
      <c r="A673" s="27"/>
      <c r="B673" s="27"/>
      <c r="C673" s="27" t="s">
        <v>1612</v>
      </c>
      <c r="D673" s="28" t="s">
        <v>1599</v>
      </c>
      <c r="E673" s="12">
        <f>175</f>
        <v>175</v>
      </c>
      <c r="F673" s="30"/>
      <c r="G673" s="29"/>
      <c r="H673" s="12"/>
      <c r="I673" s="30">
        <f>SUM(U663:U672)</f>
        <v>4.38</v>
      </c>
      <c r="J673" s="12">
        <f>160</f>
        <v>160</v>
      </c>
      <c r="K673" s="30">
        <f>SUM(V663:V672)</f>
        <v>116.13</v>
      </c>
    </row>
    <row r="674" spans="1:29" ht="14.25" x14ac:dyDescent="0.2">
      <c r="A674" s="31"/>
      <c r="B674" s="31"/>
      <c r="C674" s="31" t="s">
        <v>1601</v>
      </c>
      <c r="D674" s="32" t="s">
        <v>1602</v>
      </c>
      <c r="E674" s="33">
        <f>Source!AQ510</f>
        <v>179</v>
      </c>
      <c r="F674" s="34"/>
      <c r="G674" s="35" t="str">
        <f>Source!DI510</f>
        <v>)*1,15</v>
      </c>
      <c r="H674" s="33">
        <f>Source!AV511</f>
        <v>1</v>
      </c>
      <c r="I674" s="34">
        <f>Source!U510</f>
        <v>9.5514399999999995</v>
      </c>
      <c r="J674" s="33"/>
      <c r="K674" s="34"/>
    </row>
    <row r="675" spans="1:29" ht="15" x14ac:dyDescent="0.25">
      <c r="C675" s="22" t="s">
        <v>1603</v>
      </c>
      <c r="H675" s="104">
        <f>I664+I665+I667+I671+I672+I673+SUM(I668:I670)-SUMIF(AC668:AC670, 5, I668:I670)-SUMIF(AC668:AC670, 6, I668:I670)</f>
        <v>421.17</v>
      </c>
      <c r="I675" s="104"/>
      <c r="J675" s="104">
        <f>K664+K665+K667+K671+K672+K673+SUM(K668:K670)-SUMIF(AC668:AC670, 5, K668:K670)-SUMIF(AC668:AC670, 6, K668:K670)</f>
        <v>8515.7699999999986</v>
      </c>
      <c r="K675" s="104"/>
    </row>
    <row r="676" spans="1:29" ht="15" x14ac:dyDescent="0.25">
      <c r="C676" s="22" t="s">
        <v>1604</v>
      </c>
      <c r="H676" s="100">
        <f>SUMIF(AC668:AC670, 5, I668:I670)+SUMIF(AC668:AC670, 6, I668:I670)</f>
        <v>0</v>
      </c>
      <c r="I676" s="100"/>
      <c r="J676" s="100">
        <f>SUMIF(AC668:AC670, 5, K668:K670)+SUMIF(AC668:AC670, 6, K668:K670)</f>
        <v>0</v>
      </c>
      <c r="K676" s="100"/>
    </row>
    <row r="677" spans="1:29" ht="15" x14ac:dyDescent="0.25">
      <c r="C677" s="22" t="s">
        <v>1605</v>
      </c>
      <c r="H677" s="100">
        <f>I664+I665+I667+I671+I672+I673+SUM(I668:I670)</f>
        <v>421.17</v>
      </c>
      <c r="I677" s="100"/>
      <c r="J677" s="100">
        <f>K664+K665+K667+K671+K672+K673+SUM(K668:K670)</f>
        <v>8515.7699999999986</v>
      </c>
      <c r="K677" s="100"/>
      <c r="O677" s="36">
        <f>I664+I665+I667+I671+I672+I673+SUM(I668:I670)</f>
        <v>421.17</v>
      </c>
      <c r="P677" s="36">
        <f>K664+K665+K667+K671+K672+K673+SUM(K668:K670)</f>
        <v>8515.7699999999986</v>
      </c>
    </row>
    <row r="679" spans="1:29" ht="52.5" x14ac:dyDescent="0.2">
      <c r="A679" s="27">
        <v>6</v>
      </c>
      <c r="B679" s="27" t="s">
        <v>1648</v>
      </c>
      <c r="C679" s="27" t="s">
        <v>540</v>
      </c>
      <c r="D679" s="28" t="str">
        <f>Source!H518</f>
        <v>1 Т</v>
      </c>
      <c r="E679" s="12">
        <f>Source!I518</f>
        <v>5.3900000000000003E-2</v>
      </c>
      <c r="F679" s="30"/>
      <c r="G679" s="29"/>
      <c r="H679" s="12"/>
      <c r="I679" s="30"/>
      <c r="J679" s="12"/>
      <c r="K679" s="30"/>
      <c r="Q679">
        <f>Source!X518</f>
        <v>52.85</v>
      </c>
      <c r="R679">
        <f>Source!X519</f>
        <v>1263.56</v>
      </c>
      <c r="S679">
        <f>Source!Y518</f>
        <v>43.53</v>
      </c>
      <c r="T679">
        <f>Source!Y519</f>
        <v>740.09</v>
      </c>
      <c r="U679">
        <f>ROUND((175/100)*ROUND(Source!R518, 2), 2)</f>
        <v>0.33</v>
      </c>
      <c r="V679">
        <f>ROUND((160/100)*ROUND(Source!R519, 2), 2)</f>
        <v>8.83</v>
      </c>
      <c r="AC679">
        <v>0</v>
      </c>
    </row>
    <row r="680" spans="1:29" ht="14.25" x14ac:dyDescent="0.2">
      <c r="A680" s="27"/>
      <c r="B680" s="27"/>
      <c r="C680" s="27" t="s">
        <v>1597</v>
      </c>
      <c r="D680" s="28"/>
      <c r="E680" s="12"/>
      <c r="F680" s="30">
        <f>Source!AO518</f>
        <v>1003.2</v>
      </c>
      <c r="G680" s="29" t="str">
        <f>Source!DG518</f>
        <v>)*1,15</v>
      </c>
      <c r="H680" s="12">
        <f>Source!AV519</f>
        <v>1</v>
      </c>
      <c r="I680" s="30">
        <f>Source!S518</f>
        <v>62.18</v>
      </c>
      <c r="J680" s="12">
        <f>IF(Source!BA519&lt;&gt; 0, Source!BA519, 1)</f>
        <v>29.03</v>
      </c>
      <c r="K680" s="30">
        <f>Source!S519</f>
        <v>1805.09</v>
      </c>
    </row>
    <row r="681" spans="1:29" ht="14.25" x14ac:dyDescent="0.2">
      <c r="A681" s="27"/>
      <c r="B681" s="27"/>
      <c r="C681" s="27" t="s">
        <v>1609</v>
      </c>
      <c r="D681" s="28"/>
      <c r="E681" s="12"/>
      <c r="F681" s="30">
        <f>Source!AM518</f>
        <v>42.26</v>
      </c>
      <c r="G681" s="29" t="str">
        <f>Source!DE518</f>
        <v>)*1,25</v>
      </c>
      <c r="H681" s="12">
        <f>Source!AV519</f>
        <v>1</v>
      </c>
      <c r="I681" s="30">
        <f>Source!Q518</f>
        <v>2.85</v>
      </c>
      <c r="J681" s="12">
        <f>IF(Source!BB519&lt;&gt; 0, Source!BB519, 1)</f>
        <v>8.26</v>
      </c>
      <c r="K681" s="30">
        <f>Source!Q519</f>
        <v>23.54</v>
      </c>
    </row>
    <row r="682" spans="1:29" ht="14.25" x14ac:dyDescent="0.2">
      <c r="A682" s="27"/>
      <c r="B682" s="27"/>
      <c r="C682" s="27" t="s">
        <v>1610</v>
      </c>
      <c r="D682" s="28"/>
      <c r="E682" s="12"/>
      <c r="F682" s="30">
        <f>Source!AN518</f>
        <v>2.89</v>
      </c>
      <c r="G682" s="29" t="str">
        <f>Source!DF518</f>
        <v>)*1,25</v>
      </c>
      <c r="H682" s="12">
        <f>Source!AV519</f>
        <v>1</v>
      </c>
      <c r="I682" s="38">
        <f>Source!R518</f>
        <v>0.19</v>
      </c>
      <c r="J682" s="12">
        <f>IF(Source!BS519&lt;&gt; 0, Source!BS519, 1)</f>
        <v>29.03</v>
      </c>
      <c r="K682" s="38">
        <f>Source!R519</f>
        <v>5.52</v>
      </c>
    </row>
    <row r="683" spans="1:29" ht="14.25" x14ac:dyDescent="0.2">
      <c r="A683" s="27"/>
      <c r="B683" s="27"/>
      <c r="C683" s="27" t="s">
        <v>1611</v>
      </c>
      <c r="D683" s="28"/>
      <c r="E683" s="12"/>
      <c r="F683" s="30">
        <f>Source!AL518</f>
        <v>49.55</v>
      </c>
      <c r="G683" s="29" t="str">
        <f>Source!DD518</f>
        <v/>
      </c>
      <c r="H683" s="12">
        <f>Source!AW519</f>
        <v>1</v>
      </c>
      <c r="I683" s="30">
        <f>Source!P518</f>
        <v>2.67</v>
      </c>
      <c r="J683" s="12">
        <f>IF(Source!BC519&lt;&gt; 0, Source!BC519, 1)</f>
        <v>20.27</v>
      </c>
      <c r="K683" s="30">
        <f>Source!P519</f>
        <v>54.12</v>
      </c>
    </row>
    <row r="684" spans="1:29" ht="42.75" x14ac:dyDescent="0.2">
      <c r="A684" s="27" t="s">
        <v>131</v>
      </c>
      <c r="B684" s="27" t="str">
        <f>Source!F520</f>
        <v>1.1-1-1147</v>
      </c>
      <c r="C684" s="27" t="s">
        <v>543</v>
      </c>
      <c r="D684" s="28" t="str">
        <f>Source!H520</f>
        <v>т</v>
      </c>
      <c r="E684" s="12">
        <f>Source!I520</f>
        <v>5.3900000000000003E-2</v>
      </c>
      <c r="F684" s="30">
        <f>Source!AK520</f>
        <v>7043.96</v>
      </c>
      <c r="G684" s="39" t="s">
        <v>3</v>
      </c>
      <c r="H684" s="12">
        <f>Source!AW521</f>
        <v>1</v>
      </c>
      <c r="I684" s="30">
        <f>Source!O520</f>
        <v>379.67</v>
      </c>
      <c r="J684" s="12">
        <f>IF(Source!BC521&lt;&gt; 0, Source!BC521, 1)</f>
        <v>8.65</v>
      </c>
      <c r="K684" s="30">
        <f>Source!O521</f>
        <v>3284.15</v>
      </c>
      <c r="Q684">
        <f>Source!X520</f>
        <v>0</v>
      </c>
      <c r="R684">
        <f>Source!X521</f>
        <v>0</v>
      </c>
      <c r="S684">
        <f>Source!Y520</f>
        <v>0</v>
      </c>
      <c r="T684">
        <f>Source!Y521</f>
        <v>0</v>
      </c>
      <c r="U684">
        <f>ROUND((175/100)*ROUND(Source!R520, 2), 2)</f>
        <v>0</v>
      </c>
      <c r="V684">
        <f>ROUND((160/100)*ROUND(Source!R521, 2), 2)</f>
        <v>0</v>
      </c>
      <c r="AC684">
        <v>3</v>
      </c>
    </row>
    <row r="685" spans="1:29" ht="14.25" x14ac:dyDescent="0.2">
      <c r="A685" s="27"/>
      <c r="B685" s="27"/>
      <c r="C685" s="27" t="s">
        <v>1598</v>
      </c>
      <c r="D685" s="28" t="s">
        <v>1599</v>
      </c>
      <c r="E685" s="12">
        <f>Source!DN519</f>
        <v>85</v>
      </c>
      <c r="F685" s="30"/>
      <c r="G685" s="29"/>
      <c r="H685" s="12"/>
      <c r="I685" s="30">
        <f>SUM(Q679:Q684)</f>
        <v>52.85</v>
      </c>
      <c r="J685" s="12">
        <f>Source!BZ519</f>
        <v>70</v>
      </c>
      <c r="K685" s="30">
        <f>SUM(R679:R684)</f>
        <v>1263.56</v>
      </c>
    </row>
    <row r="686" spans="1:29" ht="14.25" x14ac:dyDescent="0.2">
      <c r="A686" s="27"/>
      <c r="B686" s="27"/>
      <c r="C686" s="27" t="s">
        <v>1600</v>
      </c>
      <c r="D686" s="28" t="s">
        <v>1599</v>
      </c>
      <c r="E686" s="12">
        <f>Source!DO519</f>
        <v>70</v>
      </c>
      <c r="F686" s="30"/>
      <c r="G686" s="29"/>
      <c r="H686" s="12"/>
      <c r="I686" s="30">
        <f>SUM(S679:S685)</f>
        <v>43.53</v>
      </c>
      <c r="J686" s="12">
        <f>Source!CA519</f>
        <v>41</v>
      </c>
      <c r="K686" s="30">
        <f>SUM(T679:T685)</f>
        <v>740.09</v>
      </c>
    </row>
    <row r="687" spans="1:29" ht="14.25" x14ac:dyDescent="0.2">
      <c r="A687" s="27"/>
      <c r="B687" s="27"/>
      <c r="C687" s="27" t="s">
        <v>1612</v>
      </c>
      <c r="D687" s="28" t="s">
        <v>1599</v>
      </c>
      <c r="E687" s="12">
        <f>175</f>
        <v>175</v>
      </c>
      <c r="F687" s="30"/>
      <c r="G687" s="29"/>
      <c r="H687" s="12"/>
      <c r="I687" s="30">
        <f>SUM(U679:U686)</f>
        <v>0.33</v>
      </c>
      <c r="J687" s="12">
        <f>160</f>
        <v>160</v>
      </c>
      <c r="K687" s="30">
        <f>SUM(V679:V686)</f>
        <v>8.83</v>
      </c>
    </row>
    <row r="688" spans="1:29" ht="14.25" x14ac:dyDescent="0.2">
      <c r="A688" s="31"/>
      <c r="B688" s="31"/>
      <c r="C688" s="31" t="s">
        <v>1601</v>
      </c>
      <c r="D688" s="32" t="s">
        <v>1602</v>
      </c>
      <c r="E688" s="33">
        <f>Source!AQ518</f>
        <v>76</v>
      </c>
      <c r="F688" s="34"/>
      <c r="G688" s="35" t="str">
        <f>Source!DI518</f>
        <v>)*1,15</v>
      </c>
      <c r="H688" s="33">
        <f>Source!AV519</f>
        <v>1</v>
      </c>
      <c r="I688" s="34">
        <f>Source!U518</f>
        <v>4.7108600000000003</v>
      </c>
      <c r="J688" s="33"/>
      <c r="K688" s="34"/>
    </row>
    <row r="689" spans="1:29" ht="15" x14ac:dyDescent="0.25">
      <c r="C689" s="22" t="s">
        <v>1603</v>
      </c>
      <c r="H689" s="104">
        <f>I680+I681+I683+I685+I686+I687+SUM(I684:I684)-SUMIF(AC684:AC684, 5, I684:I684)-SUMIF(AC684:AC684, 6, I684:I684)</f>
        <v>544.08000000000004</v>
      </c>
      <c r="I689" s="104"/>
      <c r="J689" s="104">
        <f>K680+K681+K683+K685+K686+K687+SUM(K684:K684)-SUMIF(AC684:AC684, 5, K684:K684)-SUMIF(AC684:AC684, 6, K684:K684)</f>
        <v>7179.3799999999992</v>
      </c>
      <c r="K689" s="104"/>
    </row>
    <row r="690" spans="1:29" ht="15" x14ac:dyDescent="0.25">
      <c r="C690" s="22" t="s">
        <v>1604</v>
      </c>
      <c r="H690" s="100">
        <f>SUMIF(AC684:AC684, 5, I684:I684)+SUMIF(AC684:AC684, 6, I684:I684)</f>
        <v>0</v>
      </c>
      <c r="I690" s="100"/>
      <c r="J690" s="100">
        <f>SUMIF(AC684:AC684, 5, K684:K684)+SUMIF(AC684:AC684, 6, K684:K684)</f>
        <v>0</v>
      </c>
      <c r="K690" s="100"/>
    </row>
    <row r="691" spans="1:29" ht="15" x14ac:dyDescent="0.25">
      <c r="C691" s="22" t="s">
        <v>1605</v>
      </c>
      <c r="H691" s="100">
        <f>I680+I681+I683+I685+I686+I687+SUM(I684:I684)</f>
        <v>544.08000000000004</v>
      </c>
      <c r="I691" s="100"/>
      <c r="J691" s="100">
        <f>K680+K681+K683+K685+K686+K687+SUM(K684:K684)</f>
        <v>7179.3799999999992</v>
      </c>
      <c r="K691" s="100"/>
      <c r="O691" s="36">
        <f>I680+I681+I683+I685+I686+I687+SUM(I684:I684)</f>
        <v>544.08000000000004</v>
      </c>
      <c r="P691" s="36">
        <f>K680+K681+K683+K685+K686+K687+SUM(K684:K684)</f>
        <v>7179.3799999999992</v>
      </c>
    </row>
    <row r="693" spans="1:29" ht="52.5" x14ac:dyDescent="0.2">
      <c r="A693" s="27">
        <v>7</v>
      </c>
      <c r="B693" s="27" t="s">
        <v>1649</v>
      </c>
      <c r="C693" s="27" t="s">
        <v>546</v>
      </c>
      <c r="D693" s="28" t="str">
        <f>Source!H522</f>
        <v>1 т конструкций</v>
      </c>
      <c r="E693" s="12">
        <f>Source!I522</f>
        <v>0.15029999999999999</v>
      </c>
      <c r="F693" s="30"/>
      <c r="G693" s="29"/>
      <c r="H693" s="12"/>
      <c r="I693" s="30"/>
      <c r="J693" s="12"/>
      <c r="K693" s="30"/>
      <c r="Q693">
        <f>Source!X522</f>
        <v>69.62</v>
      </c>
      <c r="R693">
        <f>Source!X523</f>
        <v>1664.5</v>
      </c>
      <c r="S693">
        <f>Source!Y522</f>
        <v>57.34</v>
      </c>
      <c r="T693">
        <f>Source!Y523</f>
        <v>974.92</v>
      </c>
      <c r="U693">
        <f>ROUND((175/100)*ROUND(Source!R522, 2), 2)</f>
        <v>24.85</v>
      </c>
      <c r="V693">
        <f>ROUND((160/100)*ROUND(Source!R523, 2), 2)</f>
        <v>659.57</v>
      </c>
      <c r="AC693">
        <v>0</v>
      </c>
    </row>
    <row r="694" spans="1:29" ht="14.25" x14ac:dyDescent="0.2">
      <c r="A694" s="27"/>
      <c r="B694" s="27"/>
      <c r="C694" s="27" t="s">
        <v>1597</v>
      </c>
      <c r="D694" s="28"/>
      <c r="E694" s="12"/>
      <c r="F694" s="30">
        <f>Source!AO522</f>
        <v>473.88</v>
      </c>
      <c r="G694" s="29" t="str">
        <f>Source!DG522</f>
        <v>)*1,15</v>
      </c>
      <c r="H694" s="12">
        <f>Source!AV523</f>
        <v>1</v>
      </c>
      <c r="I694" s="30">
        <f>Source!S522</f>
        <v>81.91</v>
      </c>
      <c r="J694" s="12">
        <f>IF(Source!BA523&lt;&gt; 0, Source!BA523, 1)</f>
        <v>29.03</v>
      </c>
      <c r="K694" s="30">
        <f>Source!S523</f>
        <v>2377.85</v>
      </c>
    </row>
    <row r="695" spans="1:29" ht="14.25" x14ac:dyDescent="0.2">
      <c r="A695" s="27"/>
      <c r="B695" s="27"/>
      <c r="C695" s="27" t="s">
        <v>1609</v>
      </c>
      <c r="D695" s="28"/>
      <c r="E695" s="12"/>
      <c r="F695" s="30">
        <f>Source!AM522</f>
        <v>846.59</v>
      </c>
      <c r="G695" s="29" t="str">
        <f>Source!DE522</f>
        <v>)*1,25</v>
      </c>
      <c r="H695" s="12">
        <f>Source!AV523</f>
        <v>1</v>
      </c>
      <c r="I695" s="30">
        <f>Source!Q522</f>
        <v>159.05000000000001</v>
      </c>
      <c r="J695" s="12">
        <f>IF(Source!BB523&lt;&gt; 0, Source!BB523, 1)</f>
        <v>10.25</v>
      </c>
      <c r="K695" s="30">
        <f>Source!Q523</f>
        <v>1630.26</v>
      </c>
    </row>
    <row r="696" spans="1:29" ht="14.25" x14ac:dyDescent="0.2">
      <c r="A696" s="27"/>
      <c r="B696" s="27"/>
      <c r="C696" s="27" t="s">
        <v>1610</v>
      </c>
      <c r="D696" s="28"/>
      <c r="E696" s="12"/>
      <c r="F696" s="30">
        <f>Source!AN522</f>
        <v>75.599999999999994</v>
      </c>
      <c r="G696" s="29" t="str">
        <f>Source!DF522</f>
        <v>)*1,25</v>
      </c>
      <c r="H696" s="12">
        <f>Source!AV523</f>
        <v>1</v>
      </c>
      <c r="I696" s="38">
        <f>Source!R522</f>
        <v>14.2</v>
      </c>
      <c r="J696" s="12">
        <f>IF(Source!BS523&lt;&gt; 0, Source!BS523, 1)</f>
        <v>29.03</v>
      </c>
      <c r="K696" s="38">
        <f>Source!R523</f>
        <v>412.23</v>
      </c>
    </row>
    <row r="697" spans="1:29" ht="14.25" x14ac:dyDescent="0.2">
      <c r="A697" s="27"/>
      <c r="B697" s="27"/>
      <c r="C697" s="27" t="s">
        <v>1611</v>
      </c>
      <c r="D697" s="28"/>
      <c r="E697" s="12"/>
      <c r="F697" s="30">
        <f>Source!AL522</f>
        <v>80.900000000000006</v>
      </c>
      <c r="G697" s="29" t="str">
        <f>Source!DD522</f>
        <v/>
      </c>
      <c r="H697" s="12">
        <f>Source!AW523</f>
        <v>1</v>
      </c>
      <c r="I697" s="30">
        <f>Source!P522</f>
        <v>12.16</v>
      </c>
      <c r="J697" s="12">
        <f>IF(Source!BC523&lt;&gt; 0, Source!BC523, 1)</f>
        <v>16.72</v>
      </c>
      <c r="K697" s="30">
        <f>Source!P523</f>
        <v>203.32</v>
      </c>
    </row>
    <row r="698" spans="1:29" ht="57" x14ac:dyDescent="0.2">
      <c r="A698" s="27" t="s">
        <v>548</v>
      </c>
      <c r="B698" s="27" t="str">
        <f>Source!F524</f>
        <v>1.7-5-260</v>
      </c>
      <c r="C698" s="27" t="s">
        <v>550</v>
      </c>
      <c r="D698" s="28" t="str">
        <f>Source!H524</f>
        <v>100 шт.</v>
      </c>
      <c r="E698" s="12">
        <f>Source!I524</f>
        <v>0.16</v>
      </c>
      <c r="F698" s="30">
        <f>Source!AK524</f>
        <v>0</v>
      </c>
      <c r="G698" s="39" t="s">
        <v>3</v>
      </c>
      <c r="H698" s="12">
        <f>Source!AW525</f>
        <v>1</v>
      </c>
      <c r="I698" s="30">
        <f>Source!O524</f>
        <v>0</v>
      </c>
      <c r="J698" s="12">
        <f>IF(Source!BC525&lt;&gt; 0, Source!BC525, 1)</f>
        <v>9.76</v>
      </c>
      <c r="K698" s="30">
        <f>Source!O525</f>
        <v>0</v>
      </c>
      <c r="Q698">
        <f>Source!X524</f>
        <v>0</v>
      </c>
      <c r="R698">
        <f>Source!X525</f>
        <v>0</v>
      </c>
      <c r="S698">
        <f>Source!Y524</f>
        <v>0</v>
      </c>
      <c r="T698">
        <f>Source!Y525</f>
        <v>0</v>
      </c>
      <c r="U698">
        <f>ROUND((175/100)*ROUND(Source!R524, 2), 2)</f>
        <v>0</v>
      </c>
      <c r="V698">
        <f>ROUND((160/100)*ROUND(Source!R525, 2), 2)</f>
        <v>0</v>
      </c>
      <c r="AC698">
        <v>3</v>
      </c>
    </row>
    <row r="699" spans="1:29" ht="57" x14ac:dyDescent="0.2">
      <c r="A699" s="27" t="s">
        <v>552</v>
      </c>
      <c r="B699" s="27" t="str">
        <f>Source!F526</f>
        <v>1.1-1-2284</v>
      </c>
      <c r="C699" s="27" t="s">
        <v>554</v>
      </c>
      <c r="D699" s="28" t="str">
        <f>Source!H526</f>
        <v>т</v>
      </c>
      <c r="E699" s="12">
        <f>Source!I526</f>
        <v>1.7919999999999998E-2</v>
      </c>
      <c r="F699" s="30">
        <f>Source!AK526</f>
        <v>0</v>
      </c>
      <c r="G699" s="39" t="s">
        <v>3</v>
      </c>
      <c r="H699" s="12">
        <f>Source!AW527</f>
        <v>1</v>
      </c>
      <c r="I699" s="30">
        <f>Source!O526</f>
        <v>0</v>
      </c>
      <c r="J699" s="12">
        <f>IF(Source!BC527&lt;&gt; 0, Source!BC527, 1)</f>
        <v>8.65</v>
      </c>
      <c r="K699" s="30">
        <f>Source!O527</f>
        <v>0</v>
      </c>
      <c r="Q699">
        <f>Source!X526</f>
        <v>0</v>
      </c>
      <c r="R699">
        <f>Source!X527</f>
        <v>0</v>
      </c>
      <c r="S699">
        <f>Source!Y526</f>
        <v>0</v>
      </c>
      <c r="T699">
        <f>Source!Y527</f>
        <v>0</v>
      </c>
      <c r="U699">
        <f>ROUND((175/100)*ROUND(Source!R526, 2), 2)</f>
        <v>0</v>
      </c>
      <c r="V699">
        <f>ROUND((160/100)*ROUND(Source!R527, 2), 2)</f>
        <v>0</v>
      </c>
      <c r="AC699">
        <v>3</v>
      </c>
    </row>
    <row r="700" spans="1:29" ht="42.75" x14ac:dyDescent="0.2">
      <c r="A700" s="27" t="s">
        <v>555</v>
      </c>
      <c r="B700" s="27" t="str">
        <f>Source!F528</f>
        <v>1.1-1-1146</v>
      </c>
      <c r="C700" s="27" t="s">
        <v>557</v>
      </c>
      <c r="D700" s="28" t="str">
        <f>Source!H528</f>
        <v>т</v>
      </c>
      <c r="E700" s="12">
        <f>Source!I528</f>
        <v>2.4060000000000002E-2</v>
      </c>
      <c r="F700" s="30">
        <f>Source!AK528</f>
        <v>0</v>
      </c>
      <c r="G700" s="39" t="s">
        <v>3</v>
      </c>
      <c r="H700" s="12">
        <f>Source!AW529</f>
        <v>1</v>
      </c>
      <c r="I700" s="30">
        <f>Source!O528</f>
        <v>0</v>
      </c>
      <c r="J700" s="12">
        <f>IF(Source!BC529&lt;&gt; 0, Source!BC529, 1)</f>
        <v>8.65</v>
      </c>
      <c r="K700" s="30">
        <f>Source!O529</f>
        <v>0</v>
      </c>
      <c r="Q700">
        <f>Source!X528</f>
        <v>0</v>
      </c>
      <c r="R700">
        <f>Source!X529</f>
        <v>0</v>
      </c>
      <c r="S700">
        <f>Source!Y528</f>
        <v>0</v>
      </c>
      <c r="T700">
        <f>Source!Y529</f>
        <v>0</v>
      </c>
      <c r="U700">
        <f>ROUND((175/100)*ROUND(Source!R528, 2), 2)</f>
        <v>0</v>
      </c>
      <c r="V700">
        <f>ROUND((160/100)*ROUND(Source!R529, 2), 2)</f>
        <v>0</v>
      </c>
      <c r="AC700">
        <v>3</v>
      </c>
    </row>
    <row r="701" spans="1:29" ht="57" x14ac:dyDescent="0.2">
      <c r="A701" s="27" t="s">
        <v>558</v>
      </c>
      <c r="B701" s="27" t="str">
        <f>Source!F530</f>
        <v>1.1-1-1120</v>
      </c>
      <c r="C701" s="27" t="s">
        <v>560</v>
      </c>
      <c r="D701" s="28" t="str">
        <f>Source!H530</f>
        <v>т</v>
      </c>
      <c r="E701" s="12">
        <f>Source!I530</f>
        <v>3.0509999999999999E-2</v>
      </c>
      <c r="F701" s="30">
        <f>Source!AK530</f>
        <v>0</v>
      </c>
      <c r="G701" s="39" t="s">
        <v>3</v>
      </c>
      <c r="H701" s="12">
        <f>Source!AW531</f>
        <v>1</v>
      </c>
      <c r="I701" s="30">
        <f>Source!O530</f>
        <v>0</v>
      </c>
      <c r="J701" s="12">
        <f>IF(Source!BC531&lt;&gt; 0, Source!BC531, 1)</f>
        <v>5.54</v>
      </c>
      <c r="K701" s="30">
        <f>Source!O531</f>
        <v>0</v>
      </c>
      <c r="Q701">
        <f>Source!X530</f>
        <v>0</v>
      </c>
      <c r="R701">
        <f>Source!X531</f>
        <v>0</v>
      </c>
      <c r="S701">
        <f>Source!Y530</f>
        <v>0</v>
      </c>
      <c r="T701">
        <f>Source!Y531</f>
        <v>0</v>
      </c>
      <c r="U701">
        <f>ROUND((175/100)*ROUND(Source!R530, 2), 2)</f>
        <v>0</v>
      </c>
      <c r="V701">
        <f>ROUND((160/100)*ROUND(Source!R531, 2), 2)</f>
        <v>0</v>
      </c>
      <c r="AC701">
        <v>3</v>
      </c>
    </row>
    <row r="702" spans="1:29" ht="42.75" x14ac:dyDescent="0.2">
      <c r="A702" s="27" t="s">
        <v>561</v>
      </c>
      <c r="B702" s="27" t="str">
        <f>Source!F532</f>
        <v>1.1-1-1105</v>
      </c>
      <c r="C702" s="27" t="s">
        <v>563</v>
      </c>
      <c r="D702" s="28" t="str">
        <f>Source!H532</f>
        <v>т</v>
      </c>
      <c r="E702" s="12">
        <f>Source!I532</f>
        <v>1.8839999999999999E-2</v>
      </c>
      <c r="F702" s="30">
        <f>Source!AK532</f>
        <v>0</v>
      </c>
      <c r="G702" s="39" t="s">
        <v>3</v>
      </c>
      <c r="H702" s="12">
        <f>Source!AW533</f>
        <v>1</v>
      </c>
      <c r="I702" s="30">
        <f>Source!O532</f>
        <v>0</v>
      </c>
      <c r="J702" s="12">
        <f>IF(Source!BC533&lt;&gt; 0, Source!BC533, 1)</f>
        <v>11.89</v>
      </c>
      <c r="K702" s="30">
        <f>Source!O533</f>
        <v>0</v>
      </c>
      <c r="Q702">
        <f>Source!X532</f>
        <v>0</v>
      </c>
      <c r="R702">
        <f>Source!X533</f>
        <v>0</v>
      </c>
      <c r="S702">
        <f>Source!Y532</f>
        <v>0</v>
      </c>
      <c r="T702">
        <f>Source!Y533</f>
        <v>0</v>
      </c>
      <c r="U702">
        <f>ROUND((175/100)*ROUND(Source!R532, 2), 2)</f>
        <v>0</v>
      </c>
      <c r="V702">
        <f>ROUND((160/100)*ROUND(Source!R533, 2), 2)</f>
        <v>0</v>
      </c>
      <c r="AC702">
        <v>3</v>
      </c>
    </row>
    <row r="703" spans="1:29" ht="85.5" x14ac:dyDescent="0.2">
      <c r="A703" s="27" t="s">
        <v>564</v>
      </c>
      <c r="B703" s="27" t="str">
        <f>Source!F534</f>
        <v>1.6-1-216</v>
      </c>
      <c r="C703" s="27" t="s">
        <v>566</v>
      </c>
      <c r="D703" s="28" t="str">
        <f>Source!H534</f>
        <v>т</v>
      </c>
      <c r="E703" s="12">
        <f>Source!I534</f>
        <v>5.8999999999999997E-2</v>
      </c>
      <c r="F703" s="30">
        <f>Source!AK534</f>
        <v>0</v>
      </c>
      <c r="G703" s="39" t="s">
        <v>3</v>
      </c>
      <c r="H703" s="12">
        <f>Source!AW535</f>
        <v>1</v>
      </c>
      <c r="I703" s="30">
        <f>Source!O534</f>
        <v>0</v>
      </c>
      <c r="J703" s="12">
        <f>IF(Source!BC535&lt;&gt; 0, Source!BC535, 1)</f>
        <v>8.57</v>
      </c>
      <c r="K703" s="30">
        <f>Source!O535</f>
        <v>0</v>
      </c>
      <c r="Q703">
        <f>Source!X534</f>
        <v>0</v>
      </c>
      <c r="R703">
        <f>Source!X535</f>
        <v>0</v>
      </c>
      <c r="S703">
        <f>Source!Y534</f>
        <v>0</v>
      </c>
      <c r="T703">
        <f>Source!Y535</f>
        <v>0</v>
      </c>
      <c r="U703">
        <f>ROUND((175/100)*ROUND(Source!R534, 2), 2)</f>
        <v>0</v>
      </c>
      <c r="V703">
        <f>ROUND((160/100)*ROUND(Source!R535, 2), 2)</f>
        <v>0</v>
      </c>
      <c r="AC703">
        <v>3</v>
      </c>
    </row>
    <row r="704" spans="1:29" ht="57" x14ac:dyDescent="0.2">
      <c r="A704" s="27" t="s">
        <v>567</v>
      </c>
      <c r="B704" s="27" t="str">
        <f>Source!F536</f>
        <v>1.6-1-271</v>
      </c>
      <c r="C704" s="27" t="s">
        <v>569</v>
      </c>
      <c r="D704" s="28" t="str">
        <f>Source!H536</f>
        <v>т</v>
      </c>
      <c r="E704" s="12">
        <f>Source!I536</f>
        <v>-1.4999999999999999E-4</v>
      </c>
      <c r="F704" s="30">
        <f>Source!AK536</f>
        <v>12654.07</v>
      </c>
      <c r="G704" s="39" t="s">
        <v>3</v>
      </c>
      <c r="H704" s="12">
        <f>Source!AW537</f>
        <v>1</v>
      </c>
      <c r="I704" s="30">
        <f>Source!O536</f>
        <v>-1.9</v>
      </c>
      <c r="J704" s="12">
        <f>IF(Source!BC537&lt;&gt; 0, Source!BC537, 1)</f>
        <v>8.64</v>
      </c>
      <c r="K704" s="30">
        <f>Source!O537</f>
        <v>-16.420000000000002</v>
      </c>
      <c r="Q704">
        <f>Source!X536</f>
        <v>0</v>
      </c>
      <c r="R704">
        <f>Source!X537</f>
        <v>0</v>
      </c>
      <c r="S704">
        <f>Source!Y536</f>
        <v>0</v>
      </c>
      <c r="T704">
        <f>Source!Y537</f>
        <v>0</v>
      </c>
      <c r="U704">
        <f>ROUND((175/100)*ROUND(Source!R536, 2), 2)</f>
        <v>0</v>
      </c>
      <c r="V704">
        <f>ROUND((160/100)*ROUND(Source!R537, 2), 2)</f>
        <v>0</v>
      </c>
      <c r="AC704">
        <v>3</v>
      </c>
    </row>
    <row r="705" spans="1:29" ht="14.25" x14ac:dyDescent="0.2">
      <c r="A705" s="27"/>
      <c r="B705" s="27"/>
      <c r="C705" s="27" t="s">
        <v>1598</v>
      </c>
      <c r="D705" s="28" t="s">
        <v>1599</v>
      </c>
      <c r="E705" s="12">
        <f>Source!DN523</f>
        <v>85</v>
      </c>
      <c r="F705" s="30"/>
      <c r="G705" s="29"/>
      <c r="H705" s="12"/>
      <c r="I705" s="30">
        <f>SUM(Q693:Q704)</f>
        <v>69.62</v>
      </c>
      <c r="J705" s="12">
        <f>Source!BZ523</f>
        <v>70</v>
      </c>
      <c r="K705" s="30">
        <f>SUM(R693:R704)</f>
        <v>1664.5</v>
      </c>
    </row>
    <row r="706" spans="1:29" ht="14.25" x14ac:dyDescent="0.2">
      <c r="A706" s="27"/>
      <c r="B706" s="27"/>
      <c r="C706" s="27" t="s">
        <v>1600</v>
      </c>
      <c r="D706" s="28" t="s">
        <v>1599</v>
      </c>
      <c r="E706" s="12">
        <f>Source!DO523</f>
        <v>70</v>
      </c>
      <c r="F706" s="30"/>
      <c r="G706" s="29"/>
      <c r="H706" s="12"/>
      <c r="I706" s="30">
        <f>SUM(S693:S705)</f>
        <v>57.34</v>
      </c>
      <c r="J706" s="12">
        <f>Source!CA523</f>
        <v>41</v>
      </c>
      <c r="K706" s="30">
        <f>SUM(T693:T705)</f>
        <v>974.92</v>
      </c>
    </row>
    <row r="707" spans="1:29" ht="14.25" x14ac:dyDescent="0.2">
      <c r="A707" s="27"/>
      <c r="B707" s="27"/>
      <c r="C707" s="27" t="s">
        <v>1612</v>
      </c>
      <c r="D707" s="28" t="s">
        <v>1599</v>
      </c>
      <c r="E707" s="12">
        <f>175</f>
        <v>175</v>
      </c>
      <c r="F707" s="30"/>
      <c r="G707" s="29"/>
      <c r="H707" s="12"/>
      <c r="I707" s="30">
        <f>SUM(U693:U706)</f>
        <v>24.85</v>
      </c>
      <c r="J707" s="12">
        <f>160</f>
        <v>160</v>
      </c>
      <c r="K707" s="30">
        <f>SUM(V693:V706)</f>
        <v>659.57</v>
      </c>
    </row>
    <row r="708" spans="1:29" ht="14.25" x14ac:dyDescent="0.2">
      <c r="A708" s="31"/>
      <c r="B708" s="31"/>
      <c r="C708" s="31" t="s">
        <v>1601</v>
      </c>
      <c r="D708" s="32" t="s">
        <v>1602</v>
      </c>
      <c r="E708" s="33">
        <f>Source!AQ522</f>
        <v>35.9</v>
      </c>
      <c r="F708" s="34"/>
      <c r="G708" s="35" t="str">
        <f>Source!DI522</f>
        <v>)*1,15</v>
      </c>
      <c r="H708" s="33">
        <f>Source!AV523</f>
        <v>1</v>
      </c>
      <c r="I708" s="34">
        <f>Source!U522</f>
        <v>6.205135499999999</v>
      </c>
      <c r="J708" s="33"/>
      <c r="K708" s="34"/>
    </row>
    <row r="709" spans="1:29" ht="15" x14ac:dyDescent="0.25">
      <c r="C709" s="22" t="s">
        <v>1603</v>
      </c>
      <c r="H709" s="104">
        <f>I694+I695+I697+I705+I706+I707+SUM(I698:I704)-SUMIF(AC698:AC704, 5, I698:I704)-SUMIF(AC698:AC704, 6, I698:I704)</f>
        <v>403.03000000000009</v>
      </c>
      <c r="I709" s="104"/>
      <c r="J709" s="104">
        <f>K694+K695+K697+K705+K706+K707+SUM(K698:K704)-SUMIF(AC698:AC704, 5, K698:K704)-SUMIF(AC698:AC704, 6, K698:K704)</f>
        <v>7493.9999999999991</v>
      </c>
      <c r="K709" s="104"/>
    </row>
    <row r="710" spans="1:29" ht="15" x14ac:dyDescent="0.25">
      <c r="C710" s="22" t="s">
        <v>1604</v>
      </c>
      <c r="H710" s="100">
        <f>SUMIF(AC698:AC704, 5, I698:I704)+SUMIF(AC698:AC704, 6, I698:I704)</f>
        <v>0</v>
      </c>
      <c r="I710" s="100"/>
      <c r="J710" s="100">
        <f>SUMIF(AC698:AC704, 5, K698:K704)+SUMIF(AC698:AC704, 6, K698:K704)</f>
        <v>0</v>
      </c>
      <c r="K710" s="100"/>
    </row>
    <row r="711" spans="1:29" ht="15" x14ac:dyDescent="0.25">
      <c r="C711" s="22" t="s">
        <v>1605</v>
      </c>
      <c r="H711" s="100">
        <f>I694+I695+I697+I705+I706+I707+SUM(I698:I704)</f>
        <v>403.03000000000009</v>
      </c>
      <c r="I711" s="100"/>
      <c r="J711" s="100">
        <f>K694+K695+K697+K705+K706+K707+SUM(K698:K704)</f>
        <v>7493.9999999999991</v>
      </c>
      <c r="K711" s="100"/>
      <c r="O711" s="36">
        <f>I694+I695+I697+I705+I706+I707+SUM(I698:I704)</f>
        <v>403.03000000000009</v>
      </c>
      <c r="P711" s="36">
        <f>K694+K695+K697+K705+K706+K707+SUM(K698:K704)</f>
        <v>7493.9999999999991</v>
      </c>
    </row>
    <row r="713" spans="1:29" ht="52.5" x14ac:dyDescent="0.2">
      <c r="A713" s="27">
        <v>8</v>
      </c>
      <c r="B713" s="27" t="s">
        <v>1650</v>
      </c>
      <c r="C713" s="27" t="s">
        <v>511</v>
      </c>
      <c r="D713" s="28" t="str">
        <f>Source!H538</f>
        <v>1 т конструкций</v>
      </c>
      <c r="E713" s="12">
        <f>Source!I538</f>
        <v>9.98E-2</v>
      </c>
      <c r="F713" s="30"/>
      <c r="G713" s="29"/>
      <c r="H713" s="12"/>
      <c r="I713" s="30"/>
      <c r="J713" s="12"/>
      <c r="K713" s="30"/>
      <c r="Q713">
        <f>Source!X538</f>
        <v>117.18</v>
      </c>
      <c r="R713">
        <f>Source!X539</f>
        <v>2801.46</v>
      </c>
      <c r="S713">
        <f>Source!Y538</f>
        <v>96.5</v>
      </c>
      <c r="T713">
        <f>Source!Y539</f>
        <v>1640.85</v>
      </c>
      <c r="U713">
        <f>ROUND((175/100)*ROUND(Source!R538, 2), 2)</f>
        <v>4.53</v>
      </c>
      <c r="V713">
        <f>ROUND((160/100)*ROUND(Source!R539, 2), 2)</f>
        <v>120.3</v>
      </c>
      <c r="AC713">
        <v>0</v>
      </c>
    </row>
    <row r="714" spans="1:29" ht="14.25" x14ac:dyDescent="0.2">
      <c r="A714" s="27"/>
      <c r="B714" s="27"/>
      <c r="C714" s="27" t="s">
        <v>1597</v>
      </c>
      <c r="D714" s="28"/>
      <c r="E714" s="12"/>
      <c r="F714" s="30">
        <f>Source!AO538</f>
        <v>1201.2</v>
      </c>
      <c r="G714" s="29" t="str">
        <f>Source!DG538</f>
        <v>)*1,15</v>
      </c>
      <c r="H714" s="12">
        <f>Source!AV539</f>
        <v>1</v>
      </c>
      <c r="I714" s="30">
        <f>Source!S538</f>
        <v>137.86000000000001</v>
      </c>
      <c r="J714" s="12">
        <f>IF(Source!BA539&lt;&gt; 0, Source!BA539, 1)</f>
        <v>29.03</v>
      </c>
      <c r="K714" s="30">
        <f>Source!S539</f>
        <v>4002.08</v>
      </c>
    </row>
    <row r="715" spans="1:29" ht="14.25" x14ac:dyDescent="0.2">
      <c r="A715" s="27"/>
      <c r="B715" s="27"/>
      <c r="C715" s="27" t="s">
        <v>1609</v>
      </c>
      <c r="D715" s="28"/>
      <c r="E715" s="12"/>
      <c r="F715" s="30">
        <f>Source!AM538</f>
        <v>222.79</v>
      </c>
      <c r="G715" s="29" t="str">
        <f>Source!DE538</f>
        <v>)*1,25</v>
      </c>
      <c r="H715" s="12">
        <f>Source!AV539</f>
        <v>1</v>
      </c>
      <c r="I715" s="30">
        <f>Source!Q538</f>
        <v>27.79</v>
      </c>
      <c r="J715" s="12">
        <f>IF(Source!BB539&lt;&gt; 0, Source!BB539, 1)</f>
        <v>11.31</v>
      </c>
      <c r="K715" s="30">
        <f>Source!Q539</f>
        <v>314.3</v>
      </c>
    </row>
    <row r="716" spans="1:29" ht="14.25" x14ac:dyDescent="0.2">
      <c r="A716" s="27"/>
      <c r="B716" s="27"/>
      <c r="C716" s="27" t="s">
        <v>1610</v>
      </c>
      <c r="D716" s="28"/>
      <c r="E716" s="12"/>
      <c r="F716" s="30">
        <f>Source!AN538</f>
        <v>20.78</v>
      </c>
      <c r="G716" s="29" t="str">
        <f>Source!DF538</f>
        <v>)*1,25</v>
      </c>
      <c r="H716" s="12">
        <f>Source!AV539</f>
        <v>1</v>
      </c>
      <c r="I716" s="38">
        <f>Source!R538</f>
        <v>2.59</v>
      </c>
      <c r="J716" s="12">
        <f>IF(Source!BS539&lt;&gt; 0, Source!BS539, 1)</f>
        <v>29.03</v>
      </c>
      <c r="K716" s="38">
        <f>Source!R539</f>
        <v>75.19</v>
      </c>
    </row>
    <row r="717" spans="1:29" ht="14.25" x14ac:dyDescent="0.2">
      <c r="A717" s="27"/>
      <c r="B717" s="27"/>
      <c r="C717" s="27" t="s">
        <v>1611</v>
      </c>
      <c r="D717" s="28"/>
      <c r="E717" s="12"/>
      <c r="F717" s="30">
        <f>Source!AL538</f>
        <v>154.62</v>
      </c>
      <c r="G717" s="29" t="str">
        <f>Source!DD538</f>
        <v/>
      </c>
      <c r="H717" s="12">
        <f>Source!AW539</f>
        <v>1</v>
      </c>
      <c r="I717" s="30">
        <f>Source!P538</f>
        <v>15.43</v>
      </c>
      <c r="J717" s="12">
        <f>IF(Source!BC539&lt;&gt; 0, Source!BC539, 1)</f>
        <v>20.27</v>
      </c>
      <c r="K717" s="30">
        <f>Source!P539</f>
        <v>312.77</v>
      </c>
    </row>
    <row r="718" spans="1:29" ht="14.25" x14ac:dyDescent="0.2">
      <c r="A718" s="27" t="s">
        <v>190</v>
      </c>
      <c r="B718" s="27" t="str">
        <f>Source!F540</f>
        <v>1.1-1-987</v>
      </c>
      <c r="C718" s="27" t="s">
        <v>572</v>
      </c>
      <c r="D718" s="28" t="str">
        <f>Source!H540</f>
        <v>м3</v>
      </c>
      <c r="E718" s="12">
        <f>Source!I540</f>
        <v>4.99E-2</v>
      </c>
      <c r="F718" s="30">
        <f>Source!AK540</f>
        <v>5.67</v>
      </c>
      <c r="G718" s="39" t="s">
        <v>3</v>
      </c>
      <c r="H718" s="12">
        <f>Source!AW541</f>
        <v>1</v>
      </c>
      <c r="I718" s="30">
        <f>Source!O540</f>
        <v>0.28000000000000003</v>
      </c>
      <c r="J718" s="12">
        <f>IF(Source!BC541&lt;&gt; 0, Source!BC541, 1)</f>
        <v>19.55</v>
      </c>
      <c r="K718" s="30">
        <f>Source!O541</f>
        <v>5.47</v>
      </c>
      <c r="Q718">
        <f>Source!X540</f>
        <v>0</v>
      </c>
      <c r="R718">
        <f>Source!X541</f>
        <v>0</v>
      </c>
      <c r="S718">
        <f>Source!Y540</f>
        <v>0</v>
      </c>
      <c r="T718">
        <f>Source!Y541</f>
        <v>0</v>
      </c>
      <c r="U718">
        <f>ROUND((175/100)*ROUND(Source!R540, 2), 2)</f>
        <v>0</v>
      </c>
      <c r="V718">
        <f>ROUND((160/100)*ROUND(Source!R541, 2), 2)</f>
        <v>0</v>
      </c>
      <c r="AC718">
        <v>3</v>
      </c>
    </row>
    <row r="719" spans="1:29" ht="69.75" x14ac:dyDescent="0.2">
      <c r="A719" s="27" t="s">
        <v>574</v>
      </c>
      <c r="B719" s="27" t="str">
        <f>Source!F542</f>
        <v>Цена поставщика</v>
      </c>
      <c r="C719" s="27" t="s">
        <v>1651</v>
      </c>
      <c r="D719" s="28" t="str">
        <f>Source!H542</f>
        <v>м</v>
      </c>
      <c r="E719" s="12">
        <f>Source!I542</f>
        <v>12.5</v>
      </c>
      <c r="F719" s="30">
        <f>Source!AK542</f>
        <v>0</v>
      </c>
      <c r="G719" s="39" t="s">
        <v>3</v>
      </c>
      <c r="H719" s="12">
        <f>Source!AW543</f>
        <v>1</v>
      </c>
      <c r="I719" s="30">
        <f>Source!O542</f>
        <v>0</v>
      </c>
      <c r="J719" s="12">
        <f>IF(Source!BC543&lt;&gt; 0, Source!BC543, 1)</f>
        <v>8.65</v>
      </c>
      <c r="K719" s="30">
        <f>Source!O543</f>
        <v>84999.23</v>
      </c>
      <c r="Q719">
        <f>Source!X542</f>
        <v>0</v>
      </c>
      <c r="R719">
        <f>Source!X543</f>
        <v>0</v>
      </c>
      <c r="S719">
        <f>Source!Y542</f>
        <v>0</v>
      </c>
      <c r="T719">
        <f>Source!Y543</f>
        <v>0</v>
      </c>
      <c r="U719">
        <f>ROUND((175/100)*ROUND(Source!R542, 2), 2)</f>
        <v>0</v>
      </c>
      <c r="V719">
        <f>ROUND((160/100)*ROUND(Source!R543, 2), 2)</f>
        <v>0</v>
      </c>
      <c r="AC719">
        <v>3</v>
      </c>
    </row>
    <row r="720" spans="1:29" ht="14.25" x14ac:dyDescent="0.2">
      <c r="A720" s="27" t="s">
        <v>589</v>
      </c>
      <c r="B720" s="27" t="str">
        <f>Source!F552</f>
        <v>1.1-1-376</v>
      </c>
      <c r="C720" s="27" t="s">
        <v>591</v>
      </c>
      <c r="D720" s="28" t="str">
        <f>Source!H552</f>
        <v>м3</v>
      </c>
      <c r="E720" s="12">
        <f>Source!I552</f>
        <v>0.25947999999999999</v>
      </c>
      <c r="F720" s="30">
        <f>Source!AK552</f>
        <v>5.91</v>
      </c>
      <c r="G720" s="39" t="s">
        <v>3</v>
      </c>
      <c r="H720" s="12">
        <f>Source!AW553</f>
        <v>1</v>
      </c>
      <c r="I720" s="30">
        <f>Source!O552</f>
        <v>1.53</v>
      </c>
      <c r="J720" s="12">
        <f>IF(Source!BC553&lt;&gt; 0, Source!BC553, 1)</f>
        <v>13.02</v>
      </c>
      <c r="K720" s="30">
        <f>Source!O553</f>
        <v>19.920000000000002</v>
      </c>
      <c r="Q720">
        <f>Source!X552</f>
        <v>0</v>
      </c>
      <c r="R720">
        <f>Source!X553</f>
        <v>0</v>
      </c>
      <c r="S720">
        <f>Source!Y552</f>
        <v>0</v>
      </c>
      <c r="T720">
        <f>Source!Y553</f>
        <v>0</v>
      </c>
      <c r="U720">
        <f>ROUND((175/100)*ROUND(Source!R552, 2), 2)</f>
        <v>0</v>
      </c>
      <c r="V720">
        <f>ROUND((160/100)*ROUND(Source!R553, 2), 2)</f>
        <v>0</v>
      </c>
      <c r="AC720">
        <v>3</v>
      </c>
    </row>
    <row r="721" spans="1:29" ht="14.25" x14ac:dyDescent="0.2">
      <c r="A721" s="27"/>
      <c r="B721" s="27"/>
      <c r="C721" s="27" t="s">
        <v>1598</v>
      </c>
      <c r="D721" s="28" t="s">
        <v>1599</v>
      </c>
      <c r="E721" s="12">
        <f>Source!DN539</f>
        <v>85</v>
      </c>
      <c r="F721" s="30"/>
      <c r="G721" s="29"/>
      <c r="H721" s="12"/>
      <c r="I721" s="30">
        <f>SUM(Q713:Q720)</f>
        <v>117.18</v>
      </c>
      <c r="J721" s="12">
        <f>Source!BZ539</f>
        <v>70</v>
      </c>
      <c r="K721" s="30">
        <f>SUM(R713:R720)</f>
        <v>2801.46</v>
      </c>
    </row>
    <row r="722" spans="1:29" ht="14.25" x14ac:dyDescent="0.2">
      <c r="A722" s="27"/>
      <c r="B722" s="27"/>
      <c r="C722" s="27" t="s">
        <v>1600</v>
      </c>
      <c r="D722" s="28" t="s">
        <v>1599</v>
      </c>
      <c r="E722" s="12">
        <f>Source!DO539</f>
        <v>70</v>
      </c>
      <c r="F722" s="30"/>
      <c r="G722" s="29"/>
      <c r="H722" s="12"/>
      <c r="I722" s="30">
        <f>SUM(S713:S721)</f>
        <v>96.5</v>
      </c>
      <c r="J722" s="12">
        <f>Source!CA539</f>
        <v>41</v>
      </c>
      <c r="K722" s="30">
        <f>SUM(T713:T721)</f>
        <v>1640.85</v>
      </c>
    </row>
    <row r="723" spans="1:29" ht="14.25" x14ac:dyDescent="0.2">
      <c r="A723" s="27"/>
      <c r="B723" s="27"/>
      <c r="C723" s="27" t="s">
        <v>1612</v>
      </c>
      <c r="D723" s="28" t="s">
        <v>1599</v>
      </c>
      <c r="E723" s="12">
        <f>175</f>
        <v>175</v>
      </c>
      <c r="F723" s="30"/>
      <c r="G723" s="29"/>
      <c r="H723" s="12"/>
      <c r="I723" s="30">
        <f>SUM(U713:U722)</f>
        <v>4.53</v>
      </c>
      <c r="J723" s="12">
        <f>160</f>
        <v>160</v>
      </c>
      <c r="K723" s="30">
        <f>SUM(V713:V722)</f>
        <v>120.3</v>
      </c>
    </row>
    <row r="724" spans="1:29" ht="14.25" x14ac:dyDescent="0.2">
      <c r="A724" s="31"/>
      <c r="B724" s="31"/>
      <c r="C724" s="31" t="s">
        <v>1601</v>
      </c>
      <c r="D724" s="32" t="s">
        <v>1602</v>
      </c>
      <c r="E724" s="33">
        <f>Source!AQ538</f>
        <v>91</v>
      </c>
      <c r="F724" s="34"/>
      <c r="G724" s="35" t="str">
        <f>Source!DI538</f>
        <v>)*1,15</v>
      </c>
      <c r="H724" s="33">
        <f>Source!AV539</f>
        <v>1</v>
      </c>
      <c r="I724" s="34">
        <f>Source!U538</f>
        <v>10.44407</v>
      </c>
      <c r="J724" s="33"/>
      <c r="K724" s="34"/>
    </row>
    <row r="725" spans="1:29" ht="15" x14ac:dyDescent="0.25">
      <c r="C725" s="22" t="s">
        <v>1603</v>
      </c>
      <c r="H725" s="104">
        <f>I714+I715+I717+I721+I722+I723+SUM(I718:I720)-SUMIF(AC718:AC720, 5, I718:I720)-SUMIF(AC718:AC720, 6, I718:I720)</f>
        <v>401.09999999999997</v>
      </c>
      <c r="I725" s="104"/>
      <c r="J725" s="104">
        <f>K714+K715+K717+K721+K722+K723+SUM(K718:K720)-SUMIF(AC718:AC720, 5, K718:K720)-SUMIF(AC718:AC720, 6, K718:K720)</f>
        <v>94216.37999999999</v>
      </c>
      <c r="K725" s="104"/>
    </row>
    <row r="726" spans="1:29" ht="15" x14ac:dyDescent="0.25">
      <c r="C726" s="22" t="s">
        <v>1604</v>
      </c>
      <c r="H726" s="100">
        <f>SUMIF(AC718:AC720, 5, I718:I720)+SUMIF(AC718:AC720, 6, I718:I720)</f>
        <v>0</v>
      </c>
      <c r="I726" s="100"/>
      <c r="J726" s="100">
        <f>SUMIF(AC718:AC720, 5, K718:K720)+SUMIF(AC718:AC720, 6, K718:K720)</f>
        <v>0</v>
      </c>
      <c r="K726" s="100"/>
    </row>
    <row r="727" spans="1:29" ht="15" x14ac:dyDescent="0.25">
      <c r="C727" s="22" t="s">
        <v>1605</v>
      </c>
      <c r="H727" s="100">
        <f>I714+I715+I717+I721+I722+I723+SUM(I718:I720)</f>
        <v>401.09999999999997</v>
      </c>
      <c r="I727" s="100"/>
      <c r="J727" s="100">
        <f>K714+K715+K717+K721+K722+K723+SUM(K718:K720)</f>
        <v>94216.37999999999</v>
      </c>
      <c r="K727" s="100"/>
      <c r="O727" s="36">
        <f>I714+I715+I717+I721+I722+I723+SUM(I718:I720)</f>
        <v>401.09999999999997</v>
      </c>
      <c r="P727" s="36">
        <f>K714+K715+K717+K721+K722+K723+SUM(K718:K720)</f>
        <v>94216.37999999999</v>
      </c>
    </row>
    <row r="729" spans="1:29" ht="52.5" x14ac:dyDescent="0.2">
      <c r="A729" s="27">
        <v>9</v>
      </c>
      <c r="B729" s="27" t="s">
        <v>1648</v>
      </c>
      <c r="C729" s="27" t="s">
        <v>540</v>
      </c>
      <c r="D729" s="28" t="str">
        <f>Source!H554</f>
        <v>1 Т</v>
      </c>
      <c r="E729" s="12">
        <f>Source!I554</f>
        <v>9.98E-2</v>
      </c>
      <c r="F729" s="30"/>
      <c r="G729" s="29"/>
      <c r="H729" s="12"/>
      <c r="I729" s="30"/>
      <c r="J729" s="12"/>
      <c r="K729" s="30"/>
      <c r="Q729">
        <f>Source!X554</f>
        <v>97.87</v>
      </c>
      <c r="R729">
        <f>Source!X555</f>
        <v>2339.7600000000002</v>
      </c>
      <c r="S729">
        <f>Source!Y554</f>
        <v>80.599999999999994</v>
      </c>
      <c r="T729">
        <f>Source!Y555</f>
        <v>1370.43</v>
      </c>
      <c r="U729">
        <f>ROUND((175/100)*ROUND(Source!R554, 2), 2)</f>
        <v>0.63</v>
      </c>
      <c r="V729">
        <f>ROUND((160/100)*ROUND(Source!R555, 2), 2)</f>
        <v>16.72</v>
      </c>
      <c r="AC729">
        <v>0</v>
      </c>
    </row>
    <row r="730" spans="1:29" ht="14.25" x14ac:dyDescent="0.2">
      <c r="A730" s="27"/>
      <c r="B730" s="27"/>
      <c r="C730" s="27" t="s">
        <v>1597</v>
      </c>
      <c r="D730" s="28"/>
      <c r="E730" s="12"/>
      <c r="F730" s="30">
        <f>Source!AO554</f>
        <v>1003.2</v>
      </c>
      <c r="G730" s="29" t="str">
        <f>Source!DG554</f>
        <v>)*1,15</v>
      </c>
      <c r="H730" s="12">
        <f>Source!AV555</f>
        <v>1</v>
      </c>
      <c r="I730" s="30">
        <f>Source!S554</f>
        <v>115.14</v>
      </c>
      <c r="J730" s="12">
        <f>IF(Source!BA555&lt;&gt; 0, Source!BA555, 1)</f>
        <v>29.03</v>
      </c>
      <c r="K730" s="30">
        <f>Source!S555</f>
        <v>3342.51</v>
      </c>
    </row>
    <row r="731" spans="1:29" ht="14.25" x14ac:dyDescent="0.2">
      <c r="A731" s="27"/>
      <c r="B731" s="27"/>
      <c r="C731" s="27" t="s">
        <v>1609</v>
      </c>
      <c r="D731" s="28"/>
      <c r="E731" s="12"/>
      <c r="F731" s="30">
        <f>Source!AM554</f>
        <v>42.26</v>
      </c>
      <c r="G731" s="29" t="str">
        <f>Source!DE554</f>
        <v>)*1,25</v>
      </c>
      <c r="H731" s="12">
        <f>Source!AV555</f>
        <v>1</v>
      </c>
      <c r="I731" s="30">
        <f>Source!Q554</f>
        <v>5.27</v>
      </c>
      <c r="J731" s="12">
        <f>IF(Source!BB555&lt;&gt; 0, Source!BB555, 1)</f>
        <v>8.26</v>
      </c>
      <c r="K731" s="30">
        <f>Source!Q555</f>
        <v>43.53</v>
      </c>
    </row>
    <row r="732" spans="1:29" ht="14.25" x14ac:dyDescent="0.2">
      <c r="A732" s="27"/>
      <c r="B732" s="27"/>
      <c r="C732" s="27" t="s">
        <v>1610</v>
      </c>
      <c r="D732" s="28"/>
      <c r="E732" s="12"/>
      <c r="F732" s="30">
        <f>Source!AN554</f>
        <v>2.89</v>
      </c>
      <c r="G732" s="29" t="str">
        <f>Source!DF554</f>
        <v>)*1,25</v>
      </c>
      <c r="H732" s="12">
        <f>Source!AV555</f>
        <v>1</v>
      </c>
      <c r="I732" s="38">
        <f>Source!R554</f>
        <v>0.36</v>
      </c>
      <c r="J732" s="12">
        <f>IF(Source!BS555&lt;&gt; 0, Source!BS555, 1)</f>
        <v>29.03</v>
      </c>
      <c r="K732" s="38">
        <f>Source!R555</f>
        <v>10.45</v>
      </c>
    </row>
    <row r="733" spans="1:29" ht="14.25" x14ac:dyDescent="0.2">
      <c r="A733" s="27"/>
      <c r="B733" s="27"/>
      <c r="C733" s="27" t="s">
        <v>1611</v>
      </c>
      <c r="D733" s="28"/>
      <c r="E733" s="12"/>
      <c r="F733" s="30">
        <f>Source!AL554</f>
        <v>49.55</v>
      </c>
      <c r="G733" s="29" t="str">
        <f>Source!DD554</f>
        <v/>
      </c>
      <c r="H733" s="12">
        <f>Source!AW555</f>
        <v>1</v>
      </c>
      <c r="I733" s="30">
        <f>Source!P554</f>
        <v>4.95</v>
      </c>
      <c r="J733" s="12">
        <f>IF(Source!BC555&lt;&gt; 0, Source!BC555, 1)</f>
        <v>20.27</v>
      </c>
      <c r="K733" s="30">
        <f>Source!P555</f>
        <v>100.34</v>
      </c>
    </row>
    <row r="734" spans="1:29" ht="99.75" x14ac:dyDescent="0.2">
      <c r="A734" s="27" t="s">
        <v>195</v>
      </c>
      <c r="B734" s="27" t="str">
        <f>Source!F556</f>
        <v>1.7-5-198</v>
      </c>
      <c r="C734" s="27" t="s">
        <v>594</v>
      </c>
      <c r="D734" s="28" t="str">
        <f>Source!H556</f>
        <v>шт.</v>
      </c>
      <c r="E734" s="12">
        <f>Source!I556</f>
        <v>76</v>
      </c>
      <c r="F734" s="30">
        <f>Source!AK556</f>
        <v>12.2</v>
      </c>
      <c r="G734" s="39" t="s">
        <v>3</v>
      </c>
      <c r="H734" s="12">
        <f>Source!AW557</f>
        <v>1</v>
      </c>
      <c r="I734" s="30">
        <f>Source!O556</f>
        <v>927.2</v>
      </c>
      <c r="J734" s="12">
        <f>IF(Source!BC557&lt;&gt; 0, Source!BC557, 1)</f>
        <v>11.03</v>
      </c>
      <c r="K734" s="30">
        <f>Source!O557</f>
        <v>10227.02</v>
      </c>
      <c r="Q734">
        <f>Source!X556</f>
        <v>0</v>
      </c>
      <c r="R734">
        <f>Source!X557</f>
        <v>0</v>
      </c>
      <c r="S734">
        <f>Source!Y556</f>
        <v>0</v>
      </c>
      <c r="T734">
        <f>Source!Y557</f>
        <v>0</v>
      </c>
      <c r="U734">
        <f>ROUND((175/100)*ROUND(Source!R556, 2), 2)</f>
        <v>0</v>
      </c>
      <c r="V734">
        <f>ROUND((160/100)*ROUND(Source!R557, 2), 2)</f>
        <v>0</v>
      </c>
      <c r="AC734">
        <v>3</v>
      </c>
    </row>
    <row r="735" spans="1:29" ht="14.25" x14ac:dyDescent="0.2">
      <c r="A735" s="27"/>
      <c r="B735" s="27"/>
      <c r="C735" s="27" t="s">
        <v>1598</v>
      </c>
      <c r="D735" s="28" t="s">
        <v>1599</v>
      </c>
      <c r="E735" s="12">
        <f>Source!DN555</f>
        <v>85</v>
      </c>
      <c r="F735" s="30"/>
      <c r="G735" s="29"/>
      <c r="H735" s="12"/>
      <c r="I735" s="30">
        <f>SUM(Q729:Q734)</f>
        <v>97.87</v>
      </c>
      <c r="J735" s="12">
        <f>Source!BZ555</f>
        <v>70</v>
      </c>
      <c r="K735" s="30">
        <f>SUM(R729:R734)</f>
        <v>2339.7600000000002</v>
      </c>
    </row>
    <row r="736" spans="1:29" ht="14.25" x14ac:dyDescent="0.2">
      <c r="A736" s="27"/>
      <c r="B736" s="27"/>
      <c r="C736" s="27" t="s">
        <v>1600</v>
      </c>
      <c r="D736" s="28" t="s">
        <v>1599</v>
      </c>
      <c r="E736" s="12">
        <f>Source!DO555</f>
        <v>70</v>
      </c>
      <c r="F736" s="30"/>
      <c r="G736" s="29"/>
      <c r="H736" s="12"/>
      <c r="I736" s="30">
        <f>SUM(S729:S735)</f>
        <v>80.599999999999994</v>
      </c>
      <c r="J736" s="12">
        <f>Source!CA555</f>
        <v>41</v>
      </c>
      <c r="K736" s="30">
        <f>SUM(T729:T735)</f>
        <v>1370.43</v>
      </c>
    </row>
    <row r="737" spans="1:29" ht="14.25" x14ac:dyDescent="0.2">
      <c r="A737" s="27"/>
      <c r="B737" s="27"/>
      <c r="C737" s="27" t="s">
        <v>1612</v>
      </c>
      <c r="D737" s="28" t="s">
        <v>1599</v>
      </c>
      <c r="E737" s="12">
        <f>175</f>
        <v>175</v>
      </c>
      <c r="F737" s="30"/>
      <c r="G737" s="29"/>
      <c r="H737" s="12"/>
      <c r="I737" s="30">
        <f>SUM(U729:U736)</f>
        <v>0.63</v>
      </c>
      <c r="J737" s="12">
        <f>160</f>
        <v>160</v>
      </c>
      <c r="K737" s="30">
        <f>SUM(V729:V736)</f>
        <v>16.72</v>
      </c>
    </row>
    <row r="738" spans="1:29" ht="14.25" x14ac:dyDescent="0.2">
      <c r="A738" s="31"/>
      <c r="B738" s="31"/>
      <c r="C738" s="31" t="s">
        <v>1601</v>
      </c>
      <c r="D738" s="32" t="s">
        <v>1602</v>
      </c>
      <c r="E738" s="33">
        <f>Source!AQ554</f>
        <v>76</v>
      </c>
      <c r="F738" s="34"/>
      <c r="G738" s="35" t="str">
        <f>Source!DI554</f>
        <v>)*1,15</v>
      </c>
      <c r="H738" s="33">
        <f>Source!AV555</f>
        <v>1</v>
      </c>
      <c r="I738" s="34">
        <f>Source!U554</f>
        <v>8.7225199999999994</v>
      </c>
      <c r="J738" s="33"/>
      <c r="K738" s="34"/>
    </row>
    <row r="739" spans="1:29" ht="15" x14ac:dyDescent="0.25">
      <c r="C739" s="22" t="s">
        <v>1603</v>
      </c>
      <c r="H739" s="104">
        <f>I730+I731+I733+I735+I736+I737+SUM(I734:I734)-SUMIF(AC734:AC734, 5, I734:I734)-SUMIF(AC734:AC734, 6, I734:I734)</f>
        <v>1231.6600000000001</v>
      </c>
      <c r="I739" s="104"/>
      <c r="J739" s="104">
        <f>K730+K731+K733+K735+K736+K737+SUM(K734:K734)-SUMIF(AC734:AC734, 5, K734:K734)-SUMIF(AC734:AC734, 6, K734:K734)</f>
        <v>17440.310000000001</v>
      </c>
      <c r="K739" s="104"/>
    </row>
    <row r="740" spans="1:29" ht="15" x14ac:dyDescent="0.25">
      <c r="C740" s="22" t="s">
        <v>1604</v>
      </c>
      <c r="H740" s="100">
        <f>SUMIF(AC734:AC734, 5, I734:I734)+SUMIF(AC734:AC734, 6, I734:I734)</f>
        <v>0</v>
      </c>
      <c r="I740" s="100"/>
      <c r="J740" s="100">
        <f>SUMIF(AC734:AC734, 5, K734:K734)+SUMIF(AC734:AC734, 6, K734:K734)</f>
        <v>0</v>
      </c>
      <c r="K740" s="100"/>
    </row>
    <row r="741" spans="1:29" ht="15" x14ac:dyDescent="0.25">
      <c r="C741" s="22" t="s">
        <v>1605</v>
      </c>
      <c r="H741" s="100">
        <f>I730+I731+I733+I735+I736+I737+SUM(I734:I734)</f>
        <v>1231.6600000000001</v>
      </c>
      <c r="I741" s="100"/>
      <c r="J741" s="100">
        <f>K730+K731+K733+K735+K736+K737+SUM(K734:K734)</f>
        <v>17440.310000000001</v>
      </c>
      <c r="K741" s="100"/>
      <c r="O741" s="36">
        <f>I730+I731+I733+I735+I736+I737+SUM(I734:I734)</f>
        <v>1231.6600000000001</v>
      </c>
      <c r="P741" s="36">
        <f>K730+K731+K733+K735+K736+K737+SUM(K734:K734)</f>
        <v>17440.310000000001</v>
      </c>
    </row>
    <row r="743" spans="1:29" ht="52.5" x14ac:dyDescent="0.2">
      <c r="A743" s="27">
        <v>10</v>
      </c>
      <c r="B743" s="27" t="s">
        <v>1645</v>
      </c>
      <c r="C743" s="27" t="s">
        <v>514</v>
      </c>
      <c r="D743" s="28" t="str">
        <f>Source!H558</f>
        <v>1 м3 основания</v>
      </c>
      <c r="E743" s="12">
        <f>Source!I558</f>
        <v>0.46500000000000002</v>
      </c>
      <c r="F743" s="30"/>
      <c r="G743" s="29"/>
      <c r="H743" s="12"/>
      <c r="I743" s="30"/>
      <c r="J743" s="12"/>
      <c r="K743" s="30"/>
      <c r="Q743">
        <f>Source!X558</f>
        <v>3.95</v>
      </c>
      <c r="R743">
        <f>Source!X559</f>
        <v>94.49</v>
      </c>
      <c r="S743">
        <f>Source!Y558</f>
        <v>3.04</v>
      </c>
      <c r="T743">
        <f>Source!Y559</f>
        <v>51.66</v>
      </c>
      <c r="U743">
        <f>ROUND((175/100)*ROUND(Source!R558, 2), 2)</f>
        <v>3.85</v>
      </c>
      <c r="V743">
        <f>ROUND((160/100)*ROUND(Source!R559, 2), 2)</f>
        <v>102.19</v>
      </c>
      <c r="AC743">
        <v>0</v>
      </c>
    </row>
    <row r="744" spans="1:29" ht="14.25" x14ac:dyDescent="0.2">
      <c r="A744" s="27"/>
      <c r="B744" s="27"/>
      <c r="C744" s="27" t="s">
        <v>1597</v>
      </c>
      <c r="D744" s="28"/>
      <c r="E744" s="12"/>
      <c r="F744" s="30">
        <f>Source!AO558</f>
        <v>8.1199999999999992</v>
      </c>
      <c r="G744" s="29" t="str">
        <f>Source!DG558</f>
        <v>)*1,15</v>
      </c>
      <c r="H744" s="12">
        <f>Source!AV559</f>
        <v>1</v>
      </c>
      <c r="I744" s="30">
        <f>Source!S558</f>
        <v>4.34</v>
      </c>
      <c r="J744" s="12">
        <f>IF(Source!BA559&lt;&gt; 0, Source!BA559, 1)</f>
        <v>29.03</v>
      </c>
      <c r="K744" s="30">
        <f>Source!S559</f>
        <v>125.99</v>
      </c>
    </row>
    <row r="745" spans="1:29" ht="14.25" x14ac:dyDescent="0.2">
      <c r="A745" s="27"/>
      <c r="B745" s="27"/>
      <c r="C745" s="27" t="s">
        <v>1609</v>
      </c>
      <c r="D745" s="28"/>
      <c r="E745" s="12"/>
      <c r="F745" s="30">
        <f>Source!AM558</f>
        <v>15.17</v>
      </c>
      <c r="G745" s="29" t="str">
        <f>Source!DE558</f>
        <v>)*1,25</v>
      </c>
      <c r="H745" s="12">
        <f>Source!AV559</f>
        <v>1</v>
      </c>
      <c r="I745" s="30">
        <f>Source!Q558</f>
        <v>8.82</v>
      </c>
      <c r="J745" s="12">
        <f>IF(Source!BB559&lt;&gt; 0, Source!BB559, 1)</f>
        <v>13.08</v>
      </c>
      <c r="K745" s="30">
        <f>Source!Q559</f>
        <v>115.37</v>
      </c>
    </row>
    <row r="746" spans="1:29" ht="14.25" x14ac:dyDescent="0.2">
      <c r="A746" s="27"/>
      <c r="B746" s="27"/>
      <c r="C746" s="27" t="s">
        <v>1610</v>
      </c>
      <c r="D746" s="28"/>
      <c r="E746" s="12"/>
      <c r="F746" s="30">
        <f>Source!AN558</f>
        <v>3.78</v>
      </c>
      <c r="G746" s="29" t="str">
        <f>Source!DF558</f>
        <v>)*1,25</v>
      </c>
      <c r="H746" s="12">
        <f>Source!AV559</f>
        <v>1</v>
      </c>
      <c r="I746" s="38">
        <f>Source!R558</f>
        <v>2.2000000000000002</v>
      </c>
      <c r="J746" s="12">
        <f>IF(Source!BS559&lt;&gt; 0, Source!BS559, 1)</f>
        <v>29.03</v>
      </c>
      <c r="K746" s="38">
        <f>Source!R559</f>
        <v>63.87</v>
      </c>
    </row>
    <row r="747" spans="1:29" ht="14.25" x14ac:dyDescent="0.2">
      <c r="A747" s="27"/>
      <c r="B747" s="27"/>
      <c r="C747" s="27" t="s">
        <v>1611</v>
      </c>
      <c r="D747" s="28"/>
      <c r="E747" s="12"/>
      <c r="F747" s="30">
        <f>Source!AL558</f>
        <v>1.06</v>
      </c>
      <c r="G747" s="29" t="str">
        <f>Source!DD558</f>
        <v/>
      </c>
      <c r="H747" s="12">
        <f>Source!AW559</f>
        <v>1</v>
      </c>
      <c r="I747" s="30">
        <f>Source!P558</f>
        <v>0.49</v>
      </c>
      <c r="J747" s="12">
        <f>IF(Source!BC559&lt;&gt; 0, Source!BC559, 1)</f>
        <v>6.01</v>
      </c>
      <c r="K747" s="30">
        <f>Source!P559</f>
        <v>2.94</v>
      </c>
    </row>
    <row r="748" spans="1:29" ht="28.5" x14ac:dyDescent="0.2">
      <c r="A748" s="27" t="s">
        <v>201</v>
      </c>
      <c r="B748" s="27" t="str">
        <f>Source!F560</f>
        <v>1.1-1-766</v>
      </c>
      <c r="C748" s="27" t="s">
        <v>93</v>
      </c>
      <c r="D748" s="28" t="str">
        <f>Source!H560</f>
        <v>м3</v>
      </c>
      <c r="E748" s="12">
        <f>Source!I560</f>
        <v>0.51149999999999995</v>
      </c>
      <c r="F748" s="30">
        <f>Source!AK560</f>
        <v>104.99</v>
      </c>
      <c r="G748" s="39" t="s">
        <v>3</v>
      </c>
      <c r="H748" s="12">
        <f>Source!AW561</f>
        <v>1</v>
      </c>
      <c r="I748" s="30">
        <f>Source!O560</f>
        <v>53.7</v>
      </c>
      <c r="J748" s="12">
        <f>IF(Source!BC561&lt;&gt; 0, Source!BC561, 1)</f>
        <v>6.88</v>
      </c>
      <c r="K748" s="30">
        <f>Source!O561</f>
        <v>369.46</v>
      </c>
      <c r="Q748">
        <f>Source!X560</f>
        <v>0</v>
      </c>
      <c r="R748">
        <f>Source!X561</f>
        <v>0</v>
      </c>
      <c r="S748">
        <f>Source!Y560</f>
        <v>0</v>
      </c>
      <c r="T748">
        <f>Source!Y561</f>
        <v>0</v>
      </c>
      <c r="U748">
        <f>ROUND((175/100)*ROUND(Source!R560, 2), 2)</f>
        <v>0</v>
      </c>
      <c r="V748">
        <f>ROUND((160/100)*ROUND(Source!R561, 2), 2)</f>
        <v>0</v>
      </c>
      <c r="AC748">
        <v>3</v>
      </c>
    </row>
    <row r="749" spans="1:29" ht="14.25" x14ac:dyDescent="0.2">
      <c r="A749" s="27"/>
      <c r="B749" s="27"/>
      <c r="C749" s="27" t="s">
        <v>1598</v>
      </c>
      <c r="D749" s="28" t="s">
        <v>1599</v>
      </c>
      <c r="E749" s="12">
        <f>Source!DN559</f>
        <v>91</v>
      </c>
      <c r="F749" s="30"/>
      <c r="G749" s="29"/>
      <c r="H749" s="12"/>
      <c r="I749" s="30">
        <f>SUM(Q743:Q748)</f>
        <v>3.95</v>
      </c>
      <c r="J749" s="12">
        <f>Source!BZ559</f>
        <v>75</v>
      </c>
      <c r="K749" s="30">
        <f>SUM(R743:R748)</f>
        <v>94.49</v>
      </c>
    </row>
    <row r="750" spans="1:29" ht="14.25" x14ac:dyDescent="0.2">
      <c r="A750" s="27"/>
      <c r="B750" s="27"/>
      <c r="C750" s="27" t="s">
        <v>1600</v>
      </c>
      <c r="D750" s="28" t="s">
        <v>1599</v>
      </c>
      <c r="E750" s="12">
        <f>Source!DO559</f>
        <v>70</v>
      </c>
      <c r="F750" s="30"/>
      <c r="G750" s="29"/>
      <c r="H750" s="12"/>
      <c r="I750" s="30">
        <f>SUM(S743:S749)</f>
        <v>3.04</v>
      </c>
      <c r="J750" s="12">
        <f>Source!CA559</f>
        <v>41</v>
      </c>
      <c r="K750" s="30">
        <f>SUM(T743:T749)</f>
        <v>51.66</v>
      </c>
    </row>
    <row r="751" spans="1:29" ht="14.25" x14ac:dyDescent="0.2">
      <c r="A751" s="27"/>
      <c r="B751" s="27"/>
      <c r="C751" s="27" t="s">
        <v>1612</v>
      </c>
      <c r="D751" s="28" t="s">
        <v>1599</v>
      </c>
      <c r="E751" s="12">
        <f>175</f>
        <v>175</v>
      </c>
      <c r="F751" s="30"/>
      <c r="G751" s="29"/>
      <c r="H751" s="12"/>
      <c r="I751" s="30">
        <f>SUM(U743:U750)</f>
        <v>3.85</v>
      </c>
      <c r="J751" s="12">
        <f>160</f>
        <v>160</v>
      </c>
      <c r="K751" s="30">
        <f>SUM(V743:V750)</f>
        <v>102.19</v>
      </c>
    </row>
    <row r="752" spans="1:29" ht="14.25" x14ac:dyDescent="0.2">
      <c r="A752" s="31"/>
      <c r="B752" s="31"/>
      <c r="C752" s="31" t="s">
        <v>1601</v>
      </c>
      <c r="D752" s="32" t="s">
        <v>1602</v>
      </c>
      <c r="E752" s="33">
        <f>Source!AQ558</f>
        <v>0.78</v>
      </c>
      <c r="F752" s="34"/>
      <c r="G752" s="35" t="str">
        <f>Source!DI558</f>
        <v>)*1,15</v>
      </c>
      <c r="H752" s="33">
        <f>Source!AV559</f>
        <v>1</v>
      </c>
      <c r="I752" s="34">
        <f>Source!U558</f>
        <v>0.417105</v>
      </c>
      <c r="J752" s="33"/>
      <c r="K752" s="34"/>
    </row>
    <row r="753" spans="1:29" ht="15" x14ac:dyDescent="0.25">
      <c r="C753" s="22" t="s">
        <v>1603</v>
      </c>
      <c r="H753" s="104">
        <f>I744+I745+I747+I749+I750+I751+SUM(I748:I748)-SUMIF(AC748:AC748, 5, I748:I748)-SUMIF(AC748:AC748, 6, I748:I748)</f>
        <v>78.19</v>
      </c>
      <c r="I753" s="104"/>
      <c r="J753" s="104">
        <f>K744+K745+K747+K749+K750+K751+SUM(K748:K748)-SUMIF(AC748:AC748, 5, K748:K748)-SUMIF(AC748:AC748, 6, K748:K748)</f>
        <v>862.1</v>
      </c>
      <c r="K753" s="104"/>
    </row>
    <row r="754" spans="1:29" ht="15" x14ac:dyDescent="0.25">
      <c r="C754" s="22" t="s">
        <v>1604</v>
      </c>
      <c r="H754" s="100">
        <f>SUMIF(AC748:AC748, 5, I748:I748)+SUMIF(AC748:AC748, 6, I748:I748)</f>
        <v>0</v>
      </c>
      <c r="I754" s="100"/>
      <c r="J754" s="100">
        <f>SUMIF(AC748:AC748, 5, K748:K748)+SUMIF(AC748:AC748, 6, K748:K748)</f>
        <v>0</v>
      </c>
      <c r="K754" s="100"/>
    </row>
    <row r="755" spans="1:29" ht="15" x14ac:dyDescent="0.25">
      <c r="C755" s="22" t="s">
        <v>1605</v>
      </c>
      <c r="H755" s="100">
        <f>I744+I745+I747+I749+I750+I751+SUM(I748:I748)</f>
        <v>78.19</v>
      </c>
      <c r="I755" s="100"/>
      <c r="J755" s="100">
        <f>K744+K745+K747+K749+K750+K751+SUM(K748:K748)</f>
        <v>862.1</v>
      </c>
      <c r="K755" s="100"/>
      <c r="O755" s="36">
        <f>I744+I745+I747+I749+I750+I751+SUM(I748:I748)</f>
        <v>78.19</v>
      </c>
      <c r="P755" s="36">
        <f>K744+K745+K747+K749+K750+K751+SUM(K748:K748)</f>
        <v>862.1</v>
      </c>
    </row>
    <row r="757" spans="1:29" ht="52.5" x14ac:dyDescent="0.2">
      <c r="A757" s="27">
        <v>11</v>
      </c>
      <c r="B757" s="27" t="s">
        <v>1646</v>
      </c>
      <c r="C757" s="27" t="s">
        <v>520</v>
      </c>
      <c r="D757" s="28" t="str">
        <f>Source!H562</f>
        <v>1 м3 основания</v>
      </c>
      <c r="E757" s="12">
        <f>Source!I562</f>
        <v>0.46500000000000002</v>
      </c>
      <c r="F757" s="30"/>
      <c r="G757" s="29"/>
      <c r="H757" s="12"/>
      <c r="I757" s="30"/>
      <c r="J757" s="12"/>
      <c r="K757" s="30"/>
      <c r="Q757">
        <f>Source!X562</f>
        <v>4.3</v>
      </c>
      <c r="R757">
        <f>Source!X563</f>
        <v>102.98</v>
      </c>
      <c r="S757">
        <f>Source!Y562</f>
        <v>3.31</v>
      </c>
      <c r="T757">
        <f>Source!Y563</f>
        <v>56.3</v>
      </c>
      <c r="U757">
        <f>ROUND((175/100)*ROUND(Source!R562, 2), 2)</f>
        <v>4.1100000000000003</v>
      </c>
      <c r="V757">
        <f>ROUND((160/100)*ROUND(Source!R563, 2), 2)</f>
        <v>109.15</v>
      </c>
      <c r="AC757">
        <v>0</v>
      </c>
    </row>
    <row r="758" spans="1:29" ht="14.25" x14ac:dyDescent="0.2">
      <c r="A758" s="27"/>
      <c r="B758" s="27"/>
      <c r="C758" s="27" t="s">
        <v>1597</v>
      </c>
      <c r="D758" s="28"/>
      <c r="E758" s="12"/>
      <c r="F758" s="30">
        <f>Source!AO562</f>
        <v>8.85</v>
      </c>
      <c r="G758" s="29" t="str">
        <f>Source!DG562</f>
        <v>)*1,15</v>
      </c>
      <c r="H758" s="12">
        <f>Source!AV563</f>
        <v>1</v>
      </c>
      <c r="I758" s="30">
        <f>Source!S562</f>
        <v>4.7300000000000004</v>
      </c>
      <c r="J758" s="12">
        <f>IF(Source!BA563&lt;&gt; 0, Source!BA563, 1)</f>
        <v>29.03</v>
      </c>
      <c r="K758" s="30">
        <f>Source!S563</f>
        <v>137.31</v>
      </c>
    </row>
    <row r="759" spans="1:29" ht="14.25" x14ac:dyDescent="0.2">
      <c r="A759" s="27"/>
      <c r="B759" s="27"/>
      <c r="C759" s="27" t="s">
        <v>1609</v>
      </c>
      <c r="D759" s="28"/>
      <c r="E759" s="12"/>
      <c r="F759" s="30">
        <f>Source!AM562</f>
        <v>16.02</v>
      </c>
      <c r="G759" s="29" t="str">
        <f>Source!DE562</f>
        <v>)*1,25</v>
      </c>
      <c r="H759" s="12">
        <f>Source!AV563</f>
        <v>1</v>
      </c>
      <c r="I759" s="30">
        <f>Source!Q562</f>
        <v>9.31</v>
      </c>
      <c r="J759" s="12">
        <f>IF(Source!BB563&lt;&gt; 0, Source!BB563, 1)</f>
        <v>13.21</v>
      </c>
      <c r="K759" s="30">
        <f>Source!Q563</f>
        <v>122.99</v>
      </c>
    </row>
    <row r="760" spans="1:29" ht="14.25" x14ac:dyDescent="0.2">
      <c r="A760" s="27"/>
      <c r="B760" s="27"/>
      <c r="C760" s="27" t="s">
        <v>1610</v>
      </c>
      <c r="D760" s="28"/>
      <c r="E760" s="12"/>
      <c r="F760" s="30">
        <f>Source!AN562</f>
        <v>4.05</v>
      </c>
      <c r="G760" s="29" t="str">
        <f>Source!DF562</f>
        <v>)*1,25</v>
      </c>
      <c r="H760" s="12">
        <f>Source!AV563</f>
        <v>1</v>
      </c>
      <c r="I760" s="38">
        <f>Source!R562</f>
        <v>2.35</v>
      </c>
      <c r="J760" s="12">
        <f>IF(Source!BS563&lt;&gt; 0, Source!BS563, 1)</f>
        <v>29.03</v>
      </c>
      <c r="K760" s="38">
        <f>Source!R563</f>
        <v>68.22</v>
      </c>
    </row>
    <row r="761" spans="1:29" ht="14.25" x14ac:dyDescent="0.2">
      <c r="A761" s="27"/>
      <c r="B761" s="27"/>
      <c r="C761" s="27" t="s">
        <v>1611</v>
      </c>
      <c r="D761" s="28"/>
      <c r="E761" s="12"/>
      <c r="F761" s="30">
        <f>Source!AL562</f>
        <v>1.06</v>
      </c>
      <c r="G761" s="29" t="str">
        <f>Source!DD562</f>
        <v/>
      </c>
      <c r="H761" s="12">
        <f>Source!AW563</f>
        <v>1</v>
      </c>
      <c r="I761" s="30">
        <f>Source!P562</f>
        <v>0.49</v>
      </c>
      <c r="J761" s="12">
        <f>IF(Source!BC563&lt;&gt; 0, Source!BC563, 1)</f>
        <v>6.01</v>
      </c>
      <c r="K761" s="30">
        <f>Source!P563</f>
        <v>2.94</v>
      </c>
    </row>
    <row r="762" spans="1:29" ht="42.75" x14ac:dyDescent="0.2">
      <c r="A762" s="27" t="s">
        <v>209</v>
      </c>
      <c r="B762" s="27" t="str">
        <f>Source!F564</f>
        <v>1.1-1-1518</v>
      </c>
      <c r="C762" s="27" t="s">
        <v>523</v>
      </c>
      <c r="D762" s="28" t="str">
        <f>Source!H564</f>
        <v>м3</v>
      </c>
      <c r="E762" s="12">
        <f>Source!I564</f>
        <v>0.53474999999999995</v>
      </c>
      <c r="F762" s="30">
        <f>Source!AK564</f>
        <v>197.51</v>
      </c>
      <c r="G762" s="39" t="s">
        <v>3</v>
      </c>
      <c r="H762" s="12">
        <f>Source!AW565</f>
        <v>1</v>
      </c>
      <c r="I762" s="30">
        <f>Source!O564</f>
        <v>105.62</v>
      </c>
      <c r="J762" s="12">
        <f>IF(Source!BC565&lt;&gt; 0, Source!BC565, 1)</f>
        <v>10.63</v>
      </c>
      <c r="K762" s="30">
        <f>Source!O565</f>
        <v>1122.74</v>
      </c>
      <c r="Q762">
        <f>Source!X564</f>
        <v>0</v>
      </c>
      <c r="R762">
        <f>Source!X565</f>
        <v>0</v>
      </c>
      <c r="S762">
        <f>Source!Y564</f>
        <v>0</v>
      </c>
      <c r="T762">
        <f>Source!Y565</f>
        <v>0</v>
      </c>
      <c r="U762">
        <f>ROUND((175/100)*ROUND(Source!R564, 2), 2)</f>
        <v>0</v>
      </c>
      <c r="V762">
        <f>ROUND((160/100)*ROUND(Source!R565, 2), 2)</f>
        <v>0</v>
      </c>
      <c r="AC762">
        <v>3</v>
      </c>
    </row>
    <row r="763" spans="1:29" ht="14.25" x14ac:dyDescent="0.2">
      <c r="A763" s="27"/>
      <c r="B763" s="27"/>
      <c r="C763" s="27" t="s">
        <v>1598</v>
      </c>
      <c r="D763" s="28" t="s">
        <v>1599</v>
      </c>
      <c r="E763" s="12">
        <f>Source!DN563</f>
        <v>91</v>
      </c>
      <c r="F763" s="30"/>
      <c r="G763" s="29"/>
      <c r="H763" s="12"/>
      <c r="I763" s="30">
        <f>SUM(Q757:Q762)</f>
        <v>4.3</v>
      </c>
      <c r="J763" s="12">
        <f>Source!BZ563</f>
        <v>75</v>
      </c>
      <c r="K763" s="30">
        <f>SUM(R757:R762)</f>
        <v>102.98</v>
      </c>
    </row>
    <row r="764" spans="1:29" ht="14.25" x14ac:dyDescent="0.2">
      <c r="A764" s="27"/>
      <c r="B764" s="27"/>
      <c r="C764" s="27" t="s">
        <v>1600</v>
      </c>
      <c r="D764" s="28" t="s">
        <v>1599</v>
      </c>
      <c r="E764" s="12">
        <f>Source!DO563</f>
        <v>70</v>
      </c>
      <c r="F764" s="30"/>
      <c r="G764" s="29"/>
      <c r="H764" s="12"/>
      <c r="I764" s="30">
        <f>SUM(S757:S763)</f>
        <v>3.31</v>
      </c>
      <c r="J764" s="12">
        <f>Source!CA563</f>
        <v>41</v>
      </c>
      <c r="K764" s="30">
        <f>SUM(T757:T763)</f>
        <v>56.3</v>
      </c>
    </row>
    <row r="765" spans="1:29" ht="14.25" x14ac:dyDescent="0.2">
      <c r="A765" s="27"/>
      <c r="B765" s="27"/>
      <c r="C765" s="27" t="s">
        <v>1612</v>
      </c>
      <c r="D765" s="28" t="s">
        <v>1599</v>
      </c>
      <c r="E765" s="12">
        <f>175</f>
        <v>175</v>
      </c>
      <c r="F765" s="30"/>
      <c r="G765" s="29"/>
      <c r="H765" s="12"/>
      <c r="I765" s="30">
        <f>SUM(U757:U764)</f>
        <v>4.1100000000000003</v>
      </c>
      <c r="J765" s="12">
        <f>160</f>
        <v>160</v>
      </c>
      <c r="K765" s="30">
        <f>SUM(V757:V764)</f>
        <v>109.15</v>
      </c>
    </row>
    <row r="766" spans="1:29" ht="14.25" x14ac:dyDescent="0.2">
      <c r="A766" s="31"/>
      <c r="B766" s="31"/>
      <c r="C766" s="31" t="s">
        <v>1601</v>
      </c>
      <c r="D766" s="32" t="s">
        <v>1602</v>
      </c>
      <c r="E766" s="33">
        <f>Source!AQ562</f>
        <v>0.85</v>
      </c>
      <c r="F766" s="34"/>
      <c r="G766" s="35" t="str">
        <f>Source!DI562</f>
        <v>)*1,15</v>
      </c>
      <c r="H766" s="33">
        <f>Source!AV563</f>
        <v>1</v>
      </c>
      <c r="I766" s="34">
        <f>Source!U562</f>
        <v>0.45453749999999998</v>
      </c>
      <c r="J766" s="33"/>
      <c r="K766" s="34"/>
    </row>
    <row r="767" spans="1:29" ht="15" x14ac:dyDescent="0.25">
      <c r="C767" s="22" t="s">
        <v>1603</v>
      </c>
      <c r="H767" s="104">
        <f>I758+I759+I761+I763+I764+I765+SUM(I762:I762)-SUMIF(AC762:AC762, 5, I762:I762)-SUMIF(AC762:AC762, 6, I762:I762)</f>
        <v>131.87</v>
      </c>
      <c r="I767" s="104"/>
      <c r="J767" s="104">
        <f>K758+K759+K761+K763+K764+K765+SUM(K762:K762)-SUMIF(AC762:AC762, 5, K762:K762)-SUMIF(AC762:AC762, 6, K762:K762)</f>
        <v>1654.41</v>
      </c>
      <c r="K767" s="104"/>
    </row>
    <row r="768" spans="1:29" ht="15" x14ac:dyDescent="0.25">
      <c r="C768" s="22" t="s">
        <v>1604</v>
      </c>
      <c r="H768" s="100">
        <f>SUMIF(AC762:AC762, 5, I762:I762)+SUMIF(AC762:AC762, 6, I762:I762)</f>
        <v>0</v>
      </c>
      <c r="I768" s="100"/>
      <c r="J768" s="100">
        <f>SUMIF(AC762:AC762, 5, K762:K762)+SUMIF(AC762:AC762, 6, K762:K762)</f>
        <v>0</v>
      </c>
      <c r="K768" s="100"/>
    </row>
    <row r="769" spans="1:29" ht="15" x14ac:dyDescent="0.25">
      <c r="C769" s="22" t="s">
        <v>1605</v>
      </c>
      <c r="H769" s="100">
        <f>I758+I759+I761+I763+I764+I765+SUM(I762:I762)</f>
        <v>131.87</v>
      </c>
      <c r="I769" s="100"/>
      <c r="J769" s="100">
        <f>K758+K759+K761+K763+K764+K765+SUM(K762:K762)</f>
        <v>1654.41</v>
      </c>
      <c r="K769" s="100"/>
      <c r="O769" s="36">
        <f>I758+I759+I761+I763+I764+I765+SUM(I762:I762)</f>
        <v>131.87</v>
      </c>
      <c r="P769" s="36">
        <f>K758+K759+K761+K763+K764+K765+SUM(K762:K762)</f>
        <v>1654.41</v>
      </c>
    </row>
    <row r="771" spans="1:29" ht="52.5" x14ac:dyDescent="0.2">
      <c r="A771" s="27">
        <v>12</v>
      </c>
      <c r="B771" s="27" t="s">
        <v>1647</v>
      </c>
      <c r="C771" s="27" t="s">
        <v>526</v>
      </c>
      <c r="D771" s="28" t="str">
        <f>Source!H566</f>
        <v>100 м3 в деле</v>
      </c>
      <c r="E771" s="12">
        <f>Source!I566</f>
        <v>5.3E-3</v>
      </c>
      <c r="F771" s="30"/>
      <c r="G771" s="29"/>
      <c r="H771" s="12"/>
      <c r="I771" s="30"/>
      <c r="J771" s="12"/>
      <c r="K771" s="30"/>
      <c r="Q771">
        <f>Source!X566</f>
        <v>10.37</v>
      </c>
      <c r="R771">
        <f>Source!X567</f>
        <v>247.92</v>
      </c>
      <c r="S771">
        <f>Source!Y566</f>
        <v>8.5399999999999991</v>
      </c>
      <c r="T771">
        <f>Source!Y567</f>
        <v>145.21</v>
      </c>
      <c r="U771">
        <f>ROUND((175/100)*ROUND(Source!R566, 2), 2)</f>
        <v>0.51</v>
      </c>
      <c r="V771">
        <f>ROUND((160/100)*ROUND(Source!R567, 2), 2)</f>
        <v>13.47</v>
      </c>
      <c r="AC771">
        <v>0</v>
      </c>
    </row>
    <row r="772" spans="1:29" ht="14.25" x14ac:dyDescent="0.2">
      <c r="A772" s="27"/>
      <c r="B772" s="27"/>
      <c r="C772" s="27" t="s">
        <v>1597</v>
      </c>
      <c r="D772" s="28"/>
      <c r="E772" s="12"/>
      <c r="F772" s="30">
        <f>Source!AO566</f>
        <v>2001.22</v>
      </c>
      <c r="G772" s="29" t="str">
        <f>Source!DG566</f>
        <v>)*1,15</v>
      </c>
      <c r="H772" s="12">
        <f>Source!AV567</f>
        <v>1</v>
      </c>
      <c r="I772" s="30">
        <f>Source!S566</f>
        <v>12.2</v>
      </c>
      <c r="J772" s="12">
        <f>IF(Source!BA567&lt;&gt; 0, Source!BA567, 1)</f>
        <v>29.03</v>
      </c>
      <c r="K772" s="30">
        <f>Source!S567</f>
        <v>354.17</v>
      </c>
    </row>
    <row r="773" spans="1:29" ht="14.25" x14ac:dyDescent="0.2">
      <c r="A773" s="27"/>
      <c r="B773" s="27"/>
      <c r="C773" s="27" t="s">
        <v>1609</v>
      </c>
      <c r="D773" s="28"/>
      <c r="E773" s="12"/>
      <c r="F773" s="30">
        <f>Source!AM566</f>
        <v>1050.3699999999999</v>
      </c>
      <c r="G773" s="29" t="str">
        <f>Source!DE566</f>
        <v>)*1,25</v>
      </c>
      <c r="H773" s="12">
        <f>Source!AV567</f>
        <v>1</v>
      </c>
      <c r="I773" s="30">
        <f>Source!Q566</f>
        <v>6.96</v>
      </c>
      <c r="J773" s="12">
        <f>IF(Source!BB567&lt;&gt; 0, Source!BB567, 1)</f>
        <v>10.37</v>
      </c>
      <c r="K773" s="30">
        <f>Source!Q567</f>
        <v>72.180000000000007</v>
      </c>
    </row>
    <row r="774" spans="1:29" ht="14.25" x14ac:dyDescent="0.2">
      <c r="A774" s="27"/>
      <c r="B774" s="27"/>
      <c r="C774" s="27" t="s">
        <v>1610</v>
      </c>
      <c r="D774" s="28"/>
      <c r="E774" s="12"/>
      <c r="F774" s="30">
        <f>Source!AN566</f>
        <v>43.16</v>
      </c>
      <c r="G774" s="29" t="str">
        <f>Source!DF566</f>
        <v>)*1,25</v>
      </c>
      <c r="H774" s="12">
        <f>Source!AV567</f>
        <v>1</v>
      </c>
      <c r="I774" s="38">
        <f>Source!R566</f>
        <v>0.28999999999999998</v>
      </c>
      <c r="J774" s="12">
        <f>IF(Source!BS567&lt;&gt; 0, Source!BS567, 1)</f>
        <v>29.03</v>
      </c>
      <c r="K774" s="38">
        <f>Source!R567</f>
        <v>8.42</v>
      </c>
    </row>
    <row r="775" spans="1:29" ht="14.25" x14ac:dyDescent="0.2">
      <c r="A775" s="27"/>
      <c r="B775" s="27"/>
      <c r="C775" s="27" t="s">
        <v>1611</v>
      </c>
      <c r="D775" s="28"/>
      <c r="E775" s="12"/>
      <c r="F775" s="30">
        <f>Source!AL566</f>
        <v>1800.88</v>
      </c>
      <c r="G775" s="29" t="str">
        <f>Source!DD566</f>
        <v/>
      </c>
      <c r="H775" s="12">
        <f>Source!AW567</f>
        <v>1</v>
      </c>
      <c r="I775" s="30">
        <f>Source!P566</f>
        <v>9.5399999999999991</v>
      </c>
      <c r="J775" s="12">
        <f>IF(Source!BC567&lt;&gt; 0, Source!BC567, 1)</f>
        <v>14.68</v>
      </c>
      <c r="K775" s="30">
        <f>Source!P567</f>
        <v>140.05000000000001</v>
      </c>
    </row>
    <row r="776" spans="1:29" ht="71.25" x14ac:dyDescent="0.2">
      <c r="A776" s="27" t="s">
        <v>596</v>
      </c>
      <c r="B776" s="27" t="str">
        <f>Source!F568</f>
        <v>1.3-4-19</v>
      </c>
      <c r="C776" s="27" t="s">
        <v>598</v>
      </c>
      <c r="D776" s="28" t="str">
        <f>Source!H568</f>
        <v>т</v>
      </c>
      <c r="E776" s="12">
        <f>Source!I568</f>
        <v>4.2929999999999996E-2</v>
      </c>
      <c r="F776" s="30">
        <f>Source!AK568</f>
        <v>5752.41</v>
      </c>
      <c r="G776" s="39" t="s">
        <v>3</v>
      </c>
      <c r="H776" s="12">
        <f>Source!AW569</f>
        <v>1</v>
      </c>
      <c r="I776" s="30">
        <f>Source!O568</f>
        <v>246.95</v>
      </c>
      <c r="J776" s="12">
        <f>IF(Source!BC569&lt;&gt; 0, Source!BC569, 1)</f>
        <v>12.22</v>
      </c>
      <c r="K776" s="30">
        <f>Source!O569</f>
        <v>3017.73</v>
      </c>
      <c r="Q776">
        <f>Source!X568</f>
        <v>0</v>
      </c>
      <c r="R776">
        <f>Source!X569</f>
        <v>0</v>
      </c>
      <c r="S776">
        <f>Source!Y568</f>
        <v>0</v>
      </c>
      <c r="T776">
        <f>Source!Y569</f>
        <v>0</v>
      </c>
      <c r="U776">
        <f>ROUND((175/100)*ROUND(Source!R568, 2), 2)</f>
        <v>0</v>
      </c>
      <c r="V776">
        <f>ROUND((160/100)*ROUND(Source!R569, 2), 2)</f>
        <v>0</v>
      </c>
      <c r="AC776">
        <v>3</v>
      </c>
    </row>
    <row r="777" spans="1:29" ht="57" x14ac:dyDescent="0.2">
      <c r="A777" s="27" t="s">
        <v>600</v>
      </c>
      <c r="B777" s="27" t="str">
        <f>Source!F570</f>
        <v>1.3-1-151</v>
      </c>
      <c r="C777" s="27" t="s">
        <v>538</v>
      </c>
      <c r="D777" s="28" t="str">
        <f>Source!H570</f>
        <v>м3</v>
      </c>
      <c r="E777" s="12">
        <f>Source!I570</f>
        <v>0.53795000000000004</v>
      </c>
      <c r="F777" s="30">
        <f>Source!AK570</f>
        <v>727.31</v>
      </c>
      <c r="G777" s="39" t="s">
        <v>3</v>
      </c>
      <c r="H777" s="12">
        <f>Source!AW571</f>
        <v>1</v>
      </c>
      <c r="I777" s="30">
        <f>Source!O570</f>
        <v>391.26</v>
      </c>
      <c r="J777" s="12">
        <f>IF(Source!BC571&lt;&gt; 0, Source!BC571, 1)</f>
        <v>7.95</v>
      </c>
      <c r="K777" s="30">
        <f>Source!O571</f>
        <v>3110.52</v>
      </c>
      <c r="Q777">
        <f>Source!X570</f>
        <v>0</v>
      </c>
      <c r="R777">
        <f>Source!X571</f>
        <v>0</v>
      </c>
      <c r="S777">
        <f>Source!Y570</f>
        <v>0</v>
      </c>
      <c r="T777">
        <f>Source!Y571</f>
        <v>0</v>
      </c>
      <c r="U777">
        <f>ROUND((175/100)*ROUND(Source!R570, 2), 2)</f>
        <v>0</v>
      </c>
      <c r="V777">
        <f>ROUND((160/100)*ROUND(Source!R571, 2), 2)</f>
        <v>0</v>
      </c>
      <c r="AC777">
        <v>3</v>
      </c>
    </row>
    <row r="778" spans="1:29" ht="14.25" x14ac:dyDescent="0.2">
      <c r="A778" s="27"/>
      <c r="B778" s="27"/>
      <c r="C778" s="27" t="s">
        <v>1598</v>
      </c>
      <c r="D778" s="28" t="s">
        <v>1599</v>
      </c>
      <c r="E778" s="12">
        <f>Source!DN567</f>
        <v>85</v>
      </c>
      <c r="F778" s="30"/>
      <c r="G778" s="29"/>
      <c r="H778" s="12"/>
      <c r="I778" s="30">
        <f>SUM(Q771:Q777)</f>
        <v>10.37</v>
      </c>
      <c r="J778" s="12">
        <f>Source!BZ567</f>
        <v>70</v>
      </c>
      <c r="K778" s="30">
        <f>SUM(R771:R777)</f>
        <v>247.92</v>
      </c>
    </row>
    <row r="779" spans="1:29" ht="14.25" x14ac:dyDescent="0.2">
      <c r="A779" s="27"/>
      <c r="B779" s="27"/>
      <c r="C779" s="27" t="s">
        <v>1600</v>
      </c>
      <c r="D779" s="28" t="s">
        <v>1599</v>
      </c>
      <c r="E779" s="12">
        <f>Source!DO567</f>
        <v>70</v>
      </c>
      <c r="F779" s="30"/>
      <c r="G779" s="29"/>
      <c r="H779" s="12"/>
      <c r="I779" s="30">
        <f>SUM(S771:S778)</f>
        <v>8.5399999999999991</v>
      </c>
      <c r="J779" s="12">
        <f>Source!CA567</f>
        <v>41</v>
      </c>
      <c r="K779" s="30">
        <f>SUM(T771:T778)</f>
        <v>145.21</v>
      </c>
    </row>
    <row r="780" spans="1:29" ht="14.25" x14ac:dyDescent="0.2">
      <c r="A780" s="27"/>
      <c r="B780" s="27"/>
      <c r="C780" s="27" t="s">
        <v>1612</v>
      </c>
      <c r="D780" s="28" t="s">
        <v>1599</v>
      </c>
      <c r="E780" s="12">
        <f>175</f>
        <v>175</v>
      </c>
      <c r="F780" s="30"/>
      <c r="G780" s="29"/>
      <c r="H780" s="12"/>
      <c r="I780" s="30">
        <f>SUM(U771:U779)</f>
        <v>0.51</v>
      </c>
      <c r="J780" s="12">
        <f>160</f>
        <v>160</v>
      </c>
      <c r="K780" s="30">
        <f>SUM(V771:V779)</f>
        <v>13.47</v>
      </c>
    </row>
    <row r="781" spans="1:29" ht="14.25" x14ac:dyDescent="0.2">
      <c r="A781" s="31"/>
      <c r="B781" s="31"/>
      <c r="C781" s="31" t="s">
        <v>1601</v>
      </c>
      <c r="D781" s="32" t="s">
        <v>1602</v>
      </c>
      <c r="E781" s="33">
        <f>Source!AQ566</f>
        <v>179</v>
      </c>
      <c r="F781" s="34"/>
      <c r="G781" s="35" t="str">
        <f>Source!DI566</f>
        <v>)*1,15</v>
      </c>
      <c r="H781" s="33">
        <f>Source!AV567</f>
        <v>1</v>
      </c>
      <c r="I781" s="34">
        <f>Source!U566</f>
        <v>1.091005</v>
      </c>
      <c r="J781" s="33"/>
      <c r="K781" s="34"/>
    </row>
    <row r="782" spans="1:29" ht="15" x14ac:dyDescent="0.25">
      <c r="C782" s="22" t="s">
        <v>1603</v>
      </c>
      <c r="H782" s="104">
        <f>I772+I773+I775+I778+I779+I780+SUM(I776:I777)-SUMIF(AC776:AC777, 5, I776:I777)-SUMIF(AC776:AC777, 6, I776:I777)</f>
        <v>686.33</v>
      </c>
      <c r="I782" s="104"/>
      <c r="J782" s="104">
        <f>K772+K773+K775+K778+K779+K780+SUM(K776:K777)-SUMIF(AC776:AC777, 5, K776:K777)-SUMIF(AC776:AC777, 6, K776:K777)</f>
        <v>7101.25</v>
      </c>
      <c r="K782" s="104"/>
    </row>
    <row r="783" spans="1:29" ht="15" x14ac:dyDescent="0.25">
      <c r="C783" s="22" t="s">
        <v>1604</v>
      </c>
      <c r="H783" s="100">
        <f>SUMIF(AC776:AC777, 5, I776:I777)+SUMIF(AC776:AC777, 6, I776:I777)</f>
        <v>0</v>
      </c>
      <c r="I783" s="100"/>
      <c r="J783" s="100">
        <f>SUMIF(AC776:AC777, 5, K776:K777)+SUMIF(AC776:AC777, 6, K776:K777)</f>
        <v>0</v>
      </c>
      <c r="K783" s="100"/>
    </row>
    <row r="784" spans="1:29" ht="15" x14ac:dyDescent="0.25">
      <c r="C784" s="22" t="s">
        <v>1605</v>
      </c>
      <c r="H784" s="100">
        <f>I772+I773+I775+I778+I779+I780+SUM(I776:I777)</f>
        <v>686.33</v>
      </c>
      <c r="I784" s="100"/>
      <c r="J784" s="100">
        <f>K772+K773+K775+K778+K779+K780+SUM(K776:K777)</f>
        <v>7101.25</v>
      </c>
      <c r="K784" s="100"/>
      <c r="O784" s="36">
        <f>I772+I773+I775+I778+I779+I780+SUM(I776:I777)</f>
        <v>686.33</v>
      </c>
      <c r="P784" s="36">
        <f>K772+K773+K775+K778+K779+K780+SUM(K776:K777)</f>
        <v>7101.25</v>
      </c>
    </row>
    <row r="786" spans="1:29" ht="52.5" x14ac:dyDescent="0.2">
      <c r="A786" s="27">
        <v>13</v>
      </c>
      <c r="B786" s="27" t="s">
        <v>1652</v>
      </c>
      <c r="C786" s="27" t="s">
        <v>603</v>
      </c>
      <c r="D786" s="28" t="str">
        <f>Source!H572</f>
        <v>100 м2</v>
      </c>
      <c r="E786" s="12">
        <f>Source!I572</f>
        <v>0.38800000000000001</v>
      </c>
      <c r="F786" s="30"/>
      <c r="G786" s="29"/>
      <c r="H786" s="12"/>
      <c r="I786" s="30"/>
      <c r="J786" s="12"/>
      <c r="K786" s="30"/>
      <c r="Q786">
        <f>Source!X572</f>
        <v>33.08</v>
      </c>
      <c r="R786">
        <f>Source!X573</f>
        <v>797.06</v>
      </c>
      <c r="S786">
        <f>Source!Y572</f>
        <v>21.17</v>
      </c>
      <c r="T786">
        <f>Source!Y573</f>
        <v>393.73</v>
      </c>
      <c r="U786">
        <f>ROUND((175/100)*ROUND(Source!R572, 2), 2)</f>
        <v>1.59</v>
      </c>
      <c r="V786">
        <f>ROUND((160/100)*ROUND(Source!R573, 2), 2)</f>
        <v>42.27</v>
      </c>
      <c r="AC786">
        <v>0</v>
      </c>
    </row>
    <row r="787" spans="1:29" ht="14.25" x14ac:dyDescent="0.2">
      <c r="A787" s="27"/>
      <c r="B787" s="27"/>
      <c r="C787" s="27" t="s">
        <v>1597</v>
      </c>
      <c r="D787" s="28"/>
      <c r="E787" s="12"/>
      <c r="F787" s="30">
        <f>Source!AO572</f>
        <v>74.13</v>
      </c>
      <c r="G787" s="29" t="str">
        <f>Source!DG572</f>
        <v>)*1,15</v>
      </c>
      <c r="H787" s="12">
        <f>Source!AV573</f>
        <v>1</v>
      </c>
      <c r="I787" s="30">
        <f>Source!S572</f>
        <v>33.08</v>
      </c>
      <c r="J787" s="12">
        <f>IF(Source!BA573&lt;&gt; 0, Source!BA573, 1)</f>
        <v>29.03</v>
      </c>
      <c r="K787" s="30">
        <f>Source!S573</f>
        <v>960.31</v>
      </c>
    </row>
    <row r="788" spans="1:29" ht="14.25" x14ac:dyDescent="0.2">
      <c r="A788" s="27"/>
      <c r="B788" s="27"/>
      <c r="C788" s="27" t="s">
        <v>1609</v>
      </c>
      <c r="D788" s="28"/>
      <c r="E788" s="12"/>
      <c r="F788" s="30">
        <f>Source!AM572</f>
        <v>20.89</v>
      </c>
      <c r="G788" s="29" t="str">
        <f>Source!DE572</f>
        <v>)*1,25</v>
      </c>
      <c r="H788" s="12">
        <f>Source!AV573</f>
        <v>1</v>
      </c>
      <c r="I788" s="30">
        <f>Source!Q572</f>
        <v>10.130000000000001</v>
      </c>
      <c r="J788" s="12">
        <f>IF(Source!BB573&lt;&gt; 0, Source!BB573, 1)</f>
        <v>9.32</v>
      </c>
      <c r="K788" s="30">
        <f>Source!Q573</f>
        <v>94.41</v>
      </c>
    </row>
    <row r="789" spans="1:29" ht="14.25" x14ac:dyDescent="0.2">
      <c r="A789" s="27"/>
      <c r="B789" s="27"/>
      <c r="C789" s="27" t="s">
        <v>1610</v>
      </c>
      <c r="D789" s="28"/>
      <c r="E789" s="12"/>
      <c r="F789" s="30">
        <f>Source!AN572</f>
        <v>1.87</v>
      </c>
      <c r="G789" s="29" t="str">
        <f>Source!DF572</f>
        <v>)*1,25</v>
      </c>
      <c r="H789" s="12">
        <f>Source!AV573</f>
        <v>1</v>
      </c>
      <c r="I789" s="38">
        <f>Source!R572</f>
        <v>0.91</v>
      </c>
      <c r="J789" s="12">
        <f>IF(Source!BS573&lt;&gt; 0, Source!BS573, 1)</f>
        <v>29.03</v>
      </c>
      <c r="K789" s="38">
        <f>Source!R573</f>
        <v>26.42</v>
      </c>
    </row>
    <row r="790" spans="1:29" ht="14.25" x14ac:dyDescent="0.2">
      <c r="A790" s="27"/>
      <c r="B790" s="27"/>
      <c r="C790" s="27" t="s">
        <v>1611</v>
      </c>
      <c r="D790" s="28"/>
      <c r="E790" s="12"/>
      <c r="F790" s="30">
        <f>Source!AL572</f>
        <v>9.4600000000000009</v>
      </c>
      <c r="G790" s="29" t="str">
        <f>Source!DD572</f>
        <v/>
      </c>
      <c r="H790" s="12">
        <f>Source!AW573</f>
        <v>1</v>
      </c>
      <c r="I790" s="30">
        <f>Source!P572</f>
        <v>3.67</v>
      </c>
      <c r="J790" s="12">
        <f>IF(Source!BC573&lt;&gt; 0, Source!BC573, 1)</f>
        <v>19.260000000000002</v>
      </c>
      <c r="K790" s="30">
        <f>Source!P573</f>
        <v>70.680000000000007</v>
      </c>
    </row>
    <row r="791" spans="1:29" ht="14.25" x14ac:dyDescent="0.2">
      <c r="A791" s="27" t="s">
        <v>225</v>
      </c>
      <c r="B791" s="27" t="str">
        <f>Source!F574</f>
        <v>1.1-1-165</v>
      </c>
      <c r="C791" s="27" t="s">
        <v>608</v>
      </c>
      <c r="D791" s="28" t="str">
        <f>Source!H574</f>
        <v>т</v>
      </c>
      <c r="E791" s="12">
        <f>Source!I574</f>
        <v>3.4919999999999999E-3</v>
      </c>
      <c r="F791" s="30">
        <f>Source!AK574</f>
        <v>18660.61</v>
      </c>
      <c r="G791" s="39" t="s">
        <v>3</v>
      </c>
      <c r="H791" s="12">
        <f>Source!AW575</f>
        <v>1</v>
      </c>
      <c r="I791" s="30">
        <f>Source!O574</f>
        <v>65.16</v>
      </c>
      <c r="J791" s="12">
        <f>IF(Source!BC575&lt;&gt; 0, Source!BC575, 1)</f>
        <v>3.7</v>
      </c>
      <c r="K791" s="30">
        <f>Source!O575</f>
        <v>241.09</v>
      </c>
      <c r="Q791">
        <f>Source!X574</f>
        <v>0</v>
      </c>
      <c r="R791">
        <f>Source!X575</f>
        <v>0</v>
      </c>
      <c r="S791">
        <f>Source!Y574</f>
        <v>0</v>
      </c>
      <c r="T791">
        <f>Source!Y575</f>
        <v>0</v>
      </c>
      <c r="U791">
        <f>ROUND((175/100)*ROUND(Source!R574, 2), 2)</f>
        <v>0</v>
      </c>
      <c r="V791">
        <f>ROUND((160/100)*ROUND(Source!R575, 2), 2)</f>
        <v>0</v>
      </c>
      <c r="AC791">
        <v>3</v>
      </c>
    </row>
    <row r="792" spans="1:29" ht="14.25" x14ac:dyDescent="0.2">
      <c r="A792" s="27"/>
      <c r="B792" s="27"/>
      <c r="C792" s="27" t="s">
        <v>1598</v>
      </c>
      <c r="D792" s="28" t="s">
        <v>1599</v>
      </c>
      <c r="E792" s="12">
        <f>Source!DN573</f>
        <v>100</v>
      </c>
      <c r="F792" s="30"/>
      <c r="G792" s="29"/>
      <c r="H792" s="12"/>
      <c r="I792" s="30">
        <f>SUM(Q786:Q791)</f>
        <v>33.08</v>
      </c>
      <c r="J792" s="12">
        <f>Source!BZ573</f>
        <v>83</v>
      </c>
      <c r="K792" s="30">
        <f>SUM(R786:R791)</f>
        <v>797.06</v>
      </c>
    </row>
    <row r="793" spans="1:29" ht="14.25" x14ac:dyDescent="0.2">
      <c r="A793" s="27"/>
      <c r="B793" s="27"/>
      <c r="C793" s="27" t="s">
        <v>1600</v>
      </c>
      <c r="D793" s="28" t="s">
        <v>1599</v>
      </c>
      <c r="E793" s="12">
        <f>Source!DO573</f>
        <v>64</v>
      </c>
      <c r="F793" s="30"/>
      <c r="G793" s="29"/>
      <c r="H793" s="12"/>
      <c r="I793" s="30">
        <f>SUM(S786:S792)</f>
        <v>21.17</v>
      </c>
      <c r="J793" s="12">
        <f>Source!CA573</f>
        <v>41</v>
      </c>
      <c r="K793" s="30">
        <f>SUM(T786:T792)</f>
        <v>393.73</v>
      </c>
    </row>
    <row r="794" spans="1:29" ht="14.25" x14ac:dyDescent="0.2">
      <c r="A794" s="27"/>
      <c r="B794" s="27"/>
      <c r="C794" s="27" t="s">
        <v>1612</v>
      </c>
      <c r="D794" s="28" t="s">
        <v>1599</v>
      </c>
      <c r="E794" s="12">
        <f>175</f>
        <v>175</v>
      </c>
      <c r="F794" s="30"/>
      <c r="G794" s="29"/>
      <c r="H794" s="12"/>
      <c r="I794" s="30">
        <f>SUM(U786:U793)</f>
        <v>1.59</v>
      </c>
      <c r="J794" s="12">
        <f>160</f>
        <v>160</v>
      </c>
      <c r="K794" s="30">
        <f>SUM(V786:V793)</f>
        <v>42.27</v>
      </c>
    </row>
    <row r="795" spans="1:29" ht="14.25" x14ac:dyDescent="0.2">
      <c r="A795" s="31"/>
      <c r="B795" s="31"/>
      <c r="C795" s="31" t="s">
        <v>1601</v>
      </c>
      <c r="D795" s="32" t="s">
        <v>1602</v>
      </c>
      <c r="E795" s="33">
        <f>Source!AQ572</f>
        <v>5.31</v>
      </c>
      <c r="F795" s="34"/>
      <c r="G795" s="35" t="str">
        <f>Source!DI572</f>
        <v>)*1,15</v>
      </c>
      <c r="H795" s="33">
        <f>Source!AV573</f>
        <v>1</v>
      </c>
      <c r="I795" s="34">
        <f>Source!U572</f>
        <v>2.3693219999999995</v>
      </c>
      <c r="J795" s="33"/>
      <c r="K795" s="34"/>
    </row>
    <row r="796" spans="1:29" ht="15" x14ac:dyDescent="0.25">
      <c r="C796" s="22" t="s">
        <v>1603</v>
      </c>
      <c r="H796" s="104">
        <f>I787+I788+I790+I792+I793+I794+SUM(I791:I791)-SUMIF(AC791:AC791, 5, I791:I791)-SUMIF(AC791:AC791, 6, I791:I791)</f>
        <v>167.88</v>
      </c>
      <c r="I796" s="104"/>
      <c r="J796" s="104">
        <f>K787+K788+K790+K792+K793+K794+SUM(K791:K791)-SUMIF(AC791:AC791, 5, K791:K791)-SUMIF(AC791:AC791, 6, K791:K791)</f>
        <v>2599.5500000000002</v>
      </c>
      <c r="K796" s="104"/>
    </row>
    <row r="797" spans="1:29" ht="15" x14ac:dyDescent="0.25">
      <c r="C797" s="22" t="s">
        <v>1604</v>
      </c>
      <c r="H797" s="100">
        <f>SUMIF(AC791:AC791, 5, I791:I791)+SUMIF(AC791:AC791, 6, I791:I791)</f>
        <v>0</v>
      </c>
      <c r="I797" s="100"/>
      <c r="J797" s="100">
        <f>SUMIF(AC791:AC791, 5, K791:K791)+SUMIF(AC791:AC791, 6, K791:K791)</f>
        <v>0</v>
      </c>
      <c r="K797" s="100"/>
    </row>
    <row r="798" spans="1:29" ht="15" x14ac:dyDescent="0.25">
      <c r="C798" s="22" t="s">
        <v>1605</v>
      </c>
      <c r="H798" s="100">
        <f>I787+I788+I790+I792+I793+I794+SUM(I791:I791)</f>
        <v>167.88</v>
      </c>
      <c r="I798" s="100"/>
      <c r="J798" s="100">
        <f>K787+K788+K790+K792+K793+K794+SUM(K791:K791)</f>
        <v>2599.5500000000002</v>
      </c>
      <c r="K798" s="100"/>
      <c r="O798" s="36">
        <f>I787+I788+I790+I792+I793+I794+SUM(I791:I791)</f>
        <v>167.88</v>
      </c>
      <c r="P798" s="36">
        <f>K787+K788+K790+K792+K793+K794+SUM(K791:K791)</f>
        <v>2599.5500000000002</v>
      </c>
    </row>
    <row r="800" spans="1:29" ht="52.5" x14ac:dyDescent="0.2">
      <c r="A800" s="27">
        <v>14</v>
      </c>
      <c r="B800" s="27" t="s">
        <v>1653</v>
      </c>
      <c r="C800" s="27" t="s">
        <v>611</v>
      </c>
      <c r="D800" s="28" t="str">
        <f>Source!H576</f>
        <v>100 м2</v>
      </c>
      <c r="E800" s="12">
        <f>Source!I576</f>
        <v>0.38800000000000001</v>
      </c>
      <c r="F800" s="30"/>
      <c r="G800" s="29"/>
      <c r="H800" s="12"/>
      <c r="I800" s="30"/>
      <c r="J800" s="12"/>
      <c r="K800" s="30"/>
      <c r="Q800">
        <f>Source!X576</f>
        <v>11.31</v>
      </c>
      <c r="R800">
        <f>Source!X577</f>
        <v>272.51</v>
      </c>
      <c r="S800">
        <f>Source!Y576</f>
        <v>7.24</v>
      </c>
      <c r="T800">
        <f>Source!Y577</f>
        <v>134.62</v>
      </c>
      <c r="U800">
        <f>ROUND((175/100)*ROUND(Source!R576, 2), 2)</f>
        <v>0.26</v>
      </c>
      <c r="V800">
        <f>ROUND((160/100)*ROUND(Source!R577, 2), 2)</f>
        <v>6.96</v>
      </c>
      <c r="AC800">
        <v>0</v>
      </c>
    </row>
    <row r="801" spans="1:16" ht="14.25" x14ac:dyDescent="0.2">
      <c r="A801" s="27"/>
      <c r="B801" s="27"/>
      <c r="C801" s="27" t="s">
        <v>1597</v>
      </c>
      <c r="D801" s="28"/>
      <c r="E801" s="12"/>
      <c r="F801" s="30">
        <f>Source!AO576</f>
        <v>25.35</v>
      </c>
      <c r="G801" s="29" t="str">
        <f>Source!DG576</f>
        <v>)*1,15</v>
      </c>
      <c r="H801" s="12">
        <f>Source!AV577</f>
        <v>1</v>
      </c>
      <c r="I801" s="30">
        <f>Source!S576</f>
        <v>11.31</v>
      </c>
      <c r="J801" s="12">
        <f>IF(Source!BA577&lt;&gt; 0, Source!BA577, 1)</f>
        <v>29.03</v>
      </c>
      <c r="K801" s="30">
        <f>Source!S577</f>
        <v>328.33</v>
      </c>
    </row>
    <row r="802" spans="1:16" ht="14.25" x14ac:dyDescent="0.2">
      <c r="A802" s="27"/>
      <c r="B802" s="27"/>
      <c r="C802" s="27" t="s">
        <v>1609</v>
      </c>
      <c r="D802" s="28"/>
      <c r="E802" s="12"/>
      <c r="F802" s="30">
        <f>Source!AM576</f>
        <v>1.5</v>
      </c>
      <c r="G802" s="29" t="str">
        <f>Source!DE576</f>
        <v>)*1,25</v>
      </c>
      <c r="H802" s="12">
        <f>Source!AV577</f>
        <v>1</v>
      </c>
      <c r="I802" s="30">
        <f>Source!Q576</f>
        <v>0.73</v>
      </c>
      <c r="J802" s="12">
        <f>IF(Source!BB577&lt;&gt; 0, Source!BB577, 1)</f>
        <v>11.57</v>
      </c>
      <c r="K802" s="30">
        <f>Source!Q577</f>
        <v>8.4499999999999993</v>
      </c>
    </row>
    <row r="803" spans="1:16" ht="14.25" x14ac:dyDescent="0.2">
      <c r="A803" s="27"/>
      <c r="B803" s="27"/>
      <c r="C803" s="27" t="s">
        <v>1610</v>
      </c>
      <c r="D803" s="28"/>
      <c r="E803" s="12"/>
      <c r="F803" s="30">
        <f>Source!AN576</f>
        <v>0.31</v>
      </c>
      <c r="G803" s="29" t="str">
        <f>Source!DF576</f>
        <v>)*1,25</v>
      </c>
      <c r="H803" s="12">
        <f>Source!AV577</f>
        <v>1</v>
      </c>
      <c r="I803" s="38">
        <f>Source!R576</f>
        <v>0.15</v>
      </c>
      <c r="J803" s="12">
        <f>IF(Source!BS577&lt;&gt; 0, Source!BS577, 1)</f>
        <v>29.03</v>
      </c>
      <c r="K803" s="38">
        <f>Source!R577</f>
        <v>4.3499999999999996</v>
      </c>
    </row>
    <row r="804" spans="1:16" ht="14.25" x14ac:dyDescent="0.2">
      <c r="A804" s="27"/>
      <c r="B804" s="27"/>
      <c r="C804" s="27" t="s">
        <v>1611</v>
      </c>
      <c r="D804" s="28"/>
      <c r="E804" s="12"/>
      <c r="F804" s="30">
        <f>Source!AL576</f>
        <v>287.64999999999998</v>
      </c>
      <c r="G804" s="29" t="str">
        <f>Source!DD576</f>
        <v/>
      </c>
      <c r="H804" s="12">
        <f>Source!AW577</f>
        <v>1</v>
      </c>
      <c r="I804" s="30">
        <f>Source!P576</f>
        <v>111.61</v>
      </c>
      <c r="J804" s="12">
        <f>IF(Source!BC577&lt;&gt; 0, Source!BC577, 1)</f>
        <v>2.76</v>
      </c>
      <c r="K804" s="30">
        <f>Source!P577</f>
        <v>308.04000000000002</v>
      </c>
    </row>
    <row r="805" spans="1:16" ht="14.25" x14ac:dyDescent="0.2">
      <c r="A805" s="27"/>
      <c r="B805" s="27"/>
      <c r="C805" s="27" t="s">
        <v>1598</v>
      </c>
      <c r="D805" s="28" t="s">
        <v>1599</v>
      </c>
      <c r="E805" s="12">
        <f>Source!DN577</f>
        <v>100</v>
      </c>
      <c r="F805" s="30"/>
      <c r="G805" s="29"/>
      <c r="H805" s="12"/>
      <c r="I805" s="30">
        <f>SUM(Q800:Q804)</f>
        <v>11.31</v>
      </c>
      <c r="J805" s="12">
        <f>Source!BZ577</f>
        <v>83</v>
      </c>
      <c r="K805" s="30">
        <f>SUM(R800:R804)</f>
        <v>272.51</v>
      </c>
    </row>
    <row r="806" spans="1:16" ht="14.25" x14ac:dyDescent="0.2">
      <c r="A806" s="27"/>
      <c r="B806" s="27"/>
      <c r="C806" s="27" t="s">
        <v>1600</v>
      </c>
      <c r="D806" s="28" t="s">
        <v>1599</v>
      </c>
      <c r="E806" s="12">
        <f>Source!DO577</f>
        <v>64</v>
      </c>
      <c r="F806" s="30"/>
      <c r="G806" s="29"/>
      <c r="H806" s="12"/>
      <c r="I806" s="30">
        <f>SUM(S800:S805)</f>
        <v>7.24</v>
      </c>
      <c r="J806" s="12">
        <f>Source!CA577</f>
        <v>41</v>
      </c>
      <c r="K806" s="30">
        <f>SUM(T800:T805)</f>
        <v>134.62</v>
      </c>
    </row>
    <row r="807" spans="1:16" ht="14.25" x14ac:dyDescent="0.2">
      <c r="A807" s="27"/>
      <c r="B807" s="27"/>
      <c r="C807" s="27" t="s">
        <v>1612</v>
      </c>
      <c r="D807" s="28" t="s">
        <v>1599</v>
      </c>
      <c r="E807" s="12">
        <f>175</f>
        <v>175</v>
      </c>
      <c r="F807" s="30"/>
      <c r="G807" s="29"/>
      <c r="H807" s="12"/>
      <c r="I807" s="30">
        <f>SUM(U800:U806)</f>
        <v>0.26</v>
      </c>
      <c r="J807" s="12">
        <f>160</f>
        <v>160</v>
      </c>
      <c r="K807" s="30">
        <f>SUM(V800:V806)</f>
        <v>6.96</v>
      </c>
    </row>
    <row r="808" spans="1:16" ht="14.25" x14ac:dyDescent="0.2">
      <c r="A808" s="31"/>
      <c r="B808" s="31"/>
      <c r="C808" s="31" t="s">
        <v>1601</v>
      </c>
      <c r="D808" s="32" t="s">
        <v>1602</v>
      </c>
      <c r="E808" s="33">
        <f>Source!AQ576</f>
        <v>2.13</v>
      </c>
      <c r="F808" s="34"/>
      <c r="G808" s="35" t="str">
        <f>Source!DI576</f>
        <v>)*1,15</v>
      </c>
      <c r="H808" s="33">
        <f>Source!AV577</f>
        <v>1</v>
      </c>
      <c r="I808" s="34">
        <f>Source!U576</f>
        <v>0.95040599999999986</v>
      </c>
      <c r="J808" s="33"/>
      <c r="K808" s="34"/>
    </row>
    <row r="809" spans="1:16" ht="15" x14ac:dyDescent="0.25">
      <c r="C809" s="22" t="s">
        <v>1603</v>
      </c>
      <c r="H809" s="104">
        <f>I801+I802+I804+I805+I806+I807+0-0-0</f>
        <v>142.46</v>
      </c>
      <c r="I809" s="104"/>
      <c r="J809" s="104">
        <f>K801+K802+K804+K805+K806+K807+0-0-0</f>
        <v>1058.9099999999999</v>
      </c>
      <c r="K809" s="104"/>
    </row>
    <row r="810" spans="1:16" ht="15" x14ac:dyDescent="0.25">
      <c r="C810" s="22" t="s">
        <v>1604</v>
      </c>
      <c r="H810" s="100">
        <f>0+0</f>
        <v>0</v>
      </c>
      <c r="I810" s="100"/>
      <c r="J810" s="100">
        <f>0+0</f>
        <v>0</v>
      </c>
      <c r="K810" s="100"/>
    </row>
    <row r="811" spans="1:16" ht="15" x14ac:dyDescent="0.25">
      <c r="C811" s="22" t="s">
        <v>1605</v>
      </c>
      <c r="H811" s="100">
        <f>I801+I802+I804+I805+I806+I807+0</f>
        <v>142.46</v>
      </c>
      <c r="I811" s="100"/>
      <c r="J811" s="100">
        <f>K801+K802+K804+K805+K806+K807+0</f>
        <v>1058.9099999999999</v>
      </c>
      <c r="K811" s="100"/>
      <c r="O811" s="36">
        <f>I801+I802+I804+I805+I806+I807+0</f>
        <v>142.46</v>
      </c>
      <c r="P811" s="36">
        <f>K801+K802+K804+K805+K806+K807+0</f>
        <v>1058.9099999999999</v>
      </c>
    </row>
    <row r="814" spans="1:16" ht="15" x14ac:dyDescent="0.25">
      <c r="A814" s="102" t="str">
        <f>CONCATENATE("Итого по разделу: ",IF(Source!G579&lt;&gt;"Новый раздел", Source!G579, ""))</f>
        <v>Итого по разделу: Монтажные работы</v>
      </c>
      <c r="B814" s="102"/>
      <c r="C814" s="102"/>
      <c r="D814" s="102"/>
      <c r="E814" s="102"/>
      <c r="F814" s="102"/>
      <c r="G814" s="102"/>
      <c r="H814" s="100">
        <f>SUM(O634:O813)</f>
        <v>5161.0500000000011</v>
      </c>
      <c r="I814" s="101"/>
      <c r="J814" s="100">
        <f>SUM(P634:P813)</f>
        <v>159542.16999999998</v>
      </c>
      <c r="K814" s="101"/>
    </row>
    <row r="815" spans="1:16" hidden="1" x14ac:dyDescent="0.2">
      <c r="A815" t="s">
        <v>1606</v>
      </c>
      <c r="I815">
        <f>SUM(W634:W814)</f>
        <v>0</v>
      </c>
      <c r="J815">
        <f>SUM(X634:X814)</f>
        <v>0</v>
      </c>
    </row>
    <row r="816" spans="1:16" hidden="1" x14ac:dyDescent="0.2">
      <c r="A816" t="s">
        <v>1607</v>
      </c>
      <c r="I816">
        <f>SUM(Y634:Y815)</f>
        <v>0</v>
      </c>
      <c r="J816">
        <f>SUM(Z634:Z815)</f>
        <v>0</v>
      </c>
    </row>
    <row r="818" spans="1:29" ht="15" x14ac:dyDescent="0.25">
      <c r="A818" s="102" t="str">
        <f>CONCATENATE("Итого по локальной смете: ",IF(Source!G609&lt;&gt;"Новая локальная смета", Source!G609, ""))</f>
        <v>Итого по локальной смете: Конструктивные решения</v>
      </c>
      <c r="B818" s="102"/>
      <c r="C818" s="102"/>
      <c r="D818" s="102"/>
      <c r="E818" s="102"/>
      <c r="F818" s="102"/>
      <c r="G818" s="102"/>
      <c r="H818" s="100">
        <f>SUM(O599:O817)</f>
        <v>8151.5599999999995</v>
      </c>
      <c r="I818" s="101"/>
      <c r="J818" s="100">
        <f>SUM(P599:P817)</f>
        <v>227703.34999999998</v>
      </c>
      <c r="K818" s="101"/>
    </row>
    <row r="819" spans="1:29" hidden="1" x14ac:dyDescent="0.2">
      <c r="A819" t="s">
        <v>1606</v>
      </c>
      <c r="I819">
        <f>SUM(W599:W818)</f>
        <v>0</v>
      </c>
      <c r="J819">
        <f>SUM(X599:X818)</f>
        <v>0</v>
      </c>
    </row>
    <row r="820" spans="1:29" hidden="1" x14ac:dyDescent="0.2">
      <c r="A820" t="s">
        <v>1607</v>
      </c>
      <c r="I820">
        <f>SUM(Y599:Y819)</f>
        <v>0</v>
      </c>
      <c r="J820">
        <f>SUM(Z599:Z819)</f>
        <v>0</v>
      </c>
    </row>
    <row r="822" spans="1:29" ht="16.5" x14ac:dyDescent="0.25">
      <c r="A822" s="103" t="str">
        <f>CONCATENATE("Локальная смета: ",IF(Source!G639&lt;&gt;"Новая локальная смета", Source!G639, ""))</f>
        <v>Локальная смета: Система связи</v>
      </c>
      <c r="B822" s="103"/>
      <c r="C822" s="103"/>
      <c r="D822" s="103"/>
      <c r="E822" s="103"/>
      <c r="F822" s="103"/>
      <c r="G822" s="103"/>
      <c r="H822" s="103"/>
      <c r="I822" s="103"/>
      <c r="J822" s="103"/>
      <c r="K822" s="103"/>
    </row>
    <row r="824" spans="1:29" ht="16.5" x14ac:dyDescent="0.25">
      <c r="A824" s="103" t="str">
        <f>CONCATENATE("Раздел: ",IF(Source!G643&lt;&gt;"Новый раздел", Source!G643, ""))</f>
        <v>Раздел: Монтажные работы</v>
      </c>
      <c r="B824" s="103"/>
      <c r="C824" s="103"/>
      <c r="D824" s="103"/>
      <c r="E824" s="103"/>
      <c r="F824" s="103"/>
      <c r="G824" s="103"/>
      <c r="H824" s="103"/>
      <c r="I824" s="103"/>
      <c r="J824" s="103"/>
      <c r="K824" s="103"/>
    </row>
    <row r="825" spans="1:29" ht="14.25" x14ac:dyDescent="0.2">
      <c r="A825" s="27">
        <v>1</v>
      </c>
      <c r="B825" s="27" t="str">
        <f>Source!F647</f>
        <v>4.10-174-2</v>
      </c>
      <c r="C825" s="27" t="s">
        <v>618</v>
      </c>
      <c r="D825" s="28" t="str">
        <f>Source!H647</f>
        <v>10 шт.</v>
      </c>
      <c r="E825" s="12">
        <f>Source!I647</f>
        <v>0.1</v>
      </c>
      <c r="F825" s="30"/>
      <c r="G825" s="29"/>
      <c r="H825" s="12"/>
      <c r="I825" s="30"/>
      <c r="J825" s="12"/>
      <c r="K825" s="30"/>
      <c r="Q825">
        <f>Source!X647</f>
        <v>46.18</v>
      </c>
      <c r="R825">
        <f>Source!X648</f>
        <v>929.05</v>
      </c>
      <c r="S825">
        <f>Source!Y647</f>
        <v>27.14</v>
      </c>
      <c r="T825">
        <f>Source!Y648</f>
        <v>482.16</v>
      </c>
      <c r="U825">
        <f>ROUND((175/100)*ROUND(Source!R647, 2), 2)</f>
        <v>7.0000000000000007E-2</v>
      </c>
      <c r="V825">
        <f>ROUND((160/100)*ROUND(Source!R648, 2), 2)</f>
        <v>1.86</v>
      </c>
      <c r="AC825">
        <v>0</v>
      </c>
    </row>
    <row r="826" spans="1:29" ht="14.25" x14ac:dyDescent="0.2">
      <c r="A826" s="27"/>
      <c r="B826" s="27"/>
      <c r="C826" s="27" t="s">
        <v>1597</v>
      </c>
      <c r="D826" s="28"/>
      <c r="E826" s="12"/>
      <c r="F826" s="30">
        <f>Source!AO647</f>
        <v>405.09</v>
      </c>
      <c r="G826" s="29" t="str">
        <f>Source!DG647</f>
        <v/>
      </c>
      <c r="H826" s="12">
        <f>Source!AV648</f>
        <v>1</v>
      </c>
      <c r="I826" s="30">
        <f>Source!S647</f>
        <v>40.51</v>
      </c>
      <c r="J826" s="12">
        <f>IF(Source!BA648&lt;&gt; 0, Source!BA648, 1)</f>
        <v>29.03</v>
      </c>
      <c r="K826" s="30">
        <f>Source!S648</f>
        <v>1176.01</v>
      </c>
    </row>
    <row r="827" spans="1:29" ht="14.25" x14ac:dyDescent="0.2">
      <c r="A827" s="27"/>
      <c r="B827" s="27"/>
      <c r="C827" s="27" t="s">
        <v>1609</v>
      </c>
      <c r="D827" s="28"/>
      <c r="E827" s="12"/>
      <c r="F827" s="30">
        <f>Source!AM647</f>
        <v>3.84</v>
      </c>
      <c r="G827" s="29" t="str">
        <f>Source!DE647</f>
        <v/>
      </c>
      <c r="H827" s="12">
        <f>Source!AV648</f>
        <v>1</v>
      </c>
      <c r="I827" s="30">
        <f>Source!Q647</f>
        <v>0.38</v>
      </c>
      <c r="J827" s="12">
        <f>IF(Source!BB648&lt;&gt; 0, Source!BB648, 1)</f>
        <v>9.15</v>
      </c>
      <c r="K827" s="30">
        <f>Source!Q648</f>
        <v>3.48</v>
      </c>
    </row>
    <row r="828" spans="1:29" ht="14.25" x14ac:dyDescent="0.2">
      <c r="A828" s="27"/>
      <c r="B828" s="27"/>
      <c r="C828" s="27" t="s">
        <v>1610</v>
      </c>
      <c r="D828" s="28"/>
      <c r="E828" s="12"/>
      <c r="F828" s="30">
        <f>Source!AN647</f>
        <v>0.35</v>
      </c>
      <c r="G828" s="29" t="str">
        <f>Source!DF647</f>
        <v/>
      </c>
      <c r="H828" s="12">
        <f>Source!AV648</f>
        <v>1</v>
      </c>
      <c r="I828" s="38">
        <f>Source!R647</f>
        <v>0.04</v>
      </c>
      <c r="J828" s="12">
        <f>IF(Source!BS648&lt;&gt; 0, Source!BS648, 1)</f>
        <v>29.03</v>
      </c>
      <c r="K828" s="38">
        <f>Source!R648</f>
        <v>1.1599999999999999</v>
      </c>
    </row>
    <row r="829" spans="1:29" ht="14.25" x14ac:dyDescent="0.2">
      <c r="A829" s="27"/>
      <c r="B829" s="27"/>
      <c r="C829" s="27" t="s">
        <v>1611</v>
      </c>
      <c r="D829" s="28"/>
      <c r="E829" s="12"/>
      <c r="F829" s="30">
        <f>Source!AL647</f>
        <v>42.51</v>
      </c>
      <c r="G829" s="29" t="str">
        <f>Source!DD647</f>
        <v/>
      </c>
      <c r="H829" s="12">
        <f>Source!AW648</f>
        <v>1</v>
      </c>
      <c r="I829" s="30">
        <f>Source!P647</f>
        <v>4.25</v>
      </c>
      <c r="J829" s="12">
        <f>IF(Source!BC648&lt;&gt; 0, Source!BC648, 1)</f>
        <v>1.92</v>
      </c>
      <c r="K829" s="30">
        <f>Source!P648</f>
        <v>8.16</v>
      </c>
    </row>
    <row r="830" spans="1:29" ht="14.25" x14ac:dyDescent="0.2">
      <c r="A830" s="27"/>
      <c r="B830" s="27"/>
      <c r="C830" s="27" t="s">
        <v>1598</v>
      </c>
      <c r="D830" s="28" t="s">
        <v>1599</v>
      </c>
      <c r="E830" s="12">
        <f>Source!DN648</f>
        <v>114</v>
      </c>
      <c r="F830" s="30"/>
      <c r="G830" s="29"/>
      <c r="H830" s="12"/>
      <c r="I830" s="30">
        <f>SUM(Q825:Q829)</f>
        <v>46.18</v>
      </c>
      <c r="J830" s="12">
        <f>Source!BZ648</f>
        <v>79</v>
      </c>
      <c r="K830" s="30">
        <f>SUM(R825:R829)</f>
        <v>929.05</v>
      </c>
    </row>
    <row r="831" spans="1:29" ht="14.25" x14ac:dyDescent="0.2">
      <c r="A831" s="27"/>
      <c r="B831" s="27"/>
      <c r="C831" s="27" t="s">
        <v>1600</v>
      </c>
      <c r="D831" s="28" t="s">
        <v>1599</v>
      </c>
      <c r="E831" s="12">
        <f>Source!DO648</f>
        <v>67</v>
      </c>
      <c r="F831" s="30"/>
      <c r="G831" s="29"/>
      <c r="H831" s="12"/>
      <c r="I831" s="30">
        <f>SUM(S825:S830)</f>
        <v>27.14</v>
      </c>
      <c r="J831" s="12">
        <f>Source!CA648</f>
        <v>41</v>
      </c>
      <c r="K831" s="30">
        <f>SUM(T825:T830)</f>
        <v>482.16</v>
      </c>
    </row>
    <row r="832" spans="1:29" ht="14.25" x14ac:dyDescent="0.2">
      <c r="A832" s="27"/>
      <c r="B832" s="27"/>
      <c r="C832" s="27" t="s">
        <v>1612</v>
      </c>
      <c r="D832" s="28" t="s">
        <v>1599</v>
      </c>
      <c r="E832" s="12">
        <f>175</f>
        <v>175</v>
      </c>
      <c r="F832" s="30"/>
      <c r="G832" s="29"/>
      <c r="H832" s="12"/>
      <c r="I832" s="30">
        <f>SUM(U825:U831)</f>
        <v>7.0000000000000007E-2</v>
      </c>
      <c r="J832" s="12">
        <f>160</f>
        <v>160</v>
      </c>
      <c r="K832" s="30">
        <f>SUM(V825:V831)</f>
        <v>1.86</v>
      </c>
    </row>
    <row r="833" spans="1:29" ht="14.25" x14ac:dyDescent="0.2">
      <c r="A833" s="31"/>
      <c r="B833" s="31"/>
      <c r="C833" s="31" t="s">
        <v>1601</v>
      </c>
      <c r="D833" s="32" t="s">
        <v>1602</v>
      </c>
      <c r="E833" s="33">
        <f>Source!AQ647</f>
        <v>25.56</v>
      </c>
      <c r="F833" s="34"/>
      <c r="G833" s="35" t="str">
        <f>Source!DI647</f>
        <v/>
      </c>
      <c r="H833" s="33">
        <f>Source!AV648</f>
        <v>1</v>
      </c>
      <c r="I833" s="34">
        <f>Source!U647</f>
        <v>2.556</v>
      </c>
      <c r="J833" s="33"/>
      <c r="K833" s="34"/>
    </row>
    <row r="834" spans="1:29" ht="15" x14ac:dyDescent="0.25">
      <c r="C834" s="22" t="s">
        <v>1603</v>
      </c>
      <c r="H834" s="104">
        <f>I826+I827+I829+I830+I831+I832+0-0-0</f>
        <v>118.52999999999999</v>
      </c>
      <c r="I834" s="104"/>
      <c r="J834" s="104">
        <f>K826+K827+K829+K830+K831+K832+0-0-0</f>
        <v>2600.7199999999998</v>
      </c>
      <c r="K834" s="104"/>
    </row>
    <row r="835" spans="1:29" ht="15" x14ac:dyDescent="0.25">
      <c r="C835" s="22" t="s">
        <v>1604</v>
      </c>
      <c r="H835" s="100">
        <f>0+0</f>
        <v>0</v>
      </c>
      <c r="I835" s="100"/>
      <c r="J835" s="100">
        <f>0+0</f>
        <v>0</v>
      </c>
      <c r="K835" s="100"/>
    </row>
    <row r="836" spans="1:29" ht="15" x14ac:dyDescent="0.25">
      <c r="C836" s="22" t="s">
        <v>1605</v>
      </c>
      <c r="H836" s="100">
        <f>I826+I827+I829+I830+I831+I832+0</f>
        <v>118.52999999999999</v>
      </c>
      <c r="I836" s="100"/>
      <c r="J836" s="100">
        <f>K826+K827+K829+K830+K831+K832+0</f>
        <v>2600.7199999999998</v>
      </c>
      <c r="K836" s="100"/>
      <c r="O836" s="36">
        <f>I826+I827+I829+I830+I831+I832+0</f>
        <v>118.52999999999999</v>
      </c>
      <c r="P836" s="36">
        <f>K826+K827+K829+K830+K831+K832+0</f>
        <v>2600.7199999999998</v>
      </c>
    </row>
    <row r="838" spans="1:29" ht="14.25" x14ac:dyDescent="0.2">
      <c r="A838" s="27">
        <v>2</v>
      </c>
      <c r="B838" s="27" t="str">
        <f>Source!F649</f>
        <v>4.10-175-1</v>
      </c>
      <c r="C838" s="27" t="s">
        <v>625</v>
      </c>
      <c r="D838" s="28" t="str">
        <f>Source!H649</f>
        <v>1  ШТ.</v>
      </c>
      <c r="E838" s="12">
        <f>Source!I649</f>
        <v>1</v>
      </c>
      <c r="F838" s="30"/>
      <c r="G838" s="29"/>
      <c r="H838" s="12"/>
      <c r="I838" s="30"/>
      <c r="J838" s="12"/>
      <c r="K838" s="30"/>
      <c r="Q838">
        <f>Source!X649</f>
        <v>23.54</v>
      </c>
      <c r="R838">
        <f>Source!X650</f>
        <v>473.58</v>
      </c>
      <c r="S838">
        <f>Source!Y649</f>
        <v>13.84</v>
      </c>
      <c r="T838">
        <f>Source!Y650</f>
        <v>245.78</v>
      </c>
      <c r="U838">
        <f>ROUND((175/100)*ROUND(Source!R649, 2), 2)</f>
        <v>0.33</v>
      </c>
      <c r="V838">
        <f>ROUND((160/100)*ROUND(Source!R650, 2), 2)</f>
        <v>8.83</v>
      </c>
      <c r="AC838">
        <v>0</v>
      </c>
    </row>
    <row r="839" spans="1:29" ht="14.25" x14ac:dyDescent="0.2">
      <c r="A839" s="27"/>
      <c r="B839" s="27"/>
      <c r="C839" s="27" t="s">
        <v>1597</v>
      </c>
      <c r="D839" s="28"/>
      <c r="E839" s="12"/>
      <c r="F839" s="30">
        <f>Source!AO649</f>
        <v>20.65</v>
      </c>
      <c r="G839" s="29" t="str">
        <f>Source!DG649</f>
        <v/>
      </c>
      <c r="H839" s="12">
        <f>Source!AV650</f>
        <v>1</v>
      </c>
      <c r="I839" s="30">
        <f>Source!S649</f>
        <v>20.65</v>
      </c>
      <c r="J839" s="12">
        <f>IF(Source!BA650&lt;&gt; 0, Source!BA650, 1)</f>
        <v>29.03</v>
      </c>
      <c r="K839" s="30">
        <f>Source!S650</f>
        <v>599.47</v>
      </c>
    </row>
    <row r="840" spans="1:29" ht="14.25" x14ac:dyDescent="0.2">
      <c r="A840" s="27"/>
      <c r="B840" s="27"/>
      <c r="C840" s="27" t="s">
        <v>1609</v>
      </c>
      <c r="D840" s="28"/>
      <c r="E840" s="12"/>
      <c r="F840" s="30">
        <f>Source!AM649</f>
        <v>0.85</v>
      </c>
      <c r="G840" s="29" t="str">
        <f>Source!DE649</f>
        <v/>
      </c>
      <c r="H840" s="12">
        <f>Source!AV650</f>
        <v>1</v>
      </c>
      <c r="I840" s="30">
        <f>Source!Q649</f>
        <v>0.85</v>
      </c>
      <c r="J840" s="12">
        <f>IF(Source!BB650&lt;&gt; 0, Source!BB650, 1)</f>
        <v>11.35</v>
      </c>
      <c r="K840" s="30">
        <f>Source!Q650</f>
        <v>9.65</v>
      </c>
    </row>
    <row r="841" spans="1:29" ht="14.25" x14ac:dyDescent="0.2">
      <c r="A841" s="27"/>
      <c r="B841" s="27"/>
      <c r="C841" s="27" t="s">
        <v>1610</v>
      </c>
      <c r="D841" s="28"/>
      <c r="E841" s="12"/>
      <c r="F841" s="30">
        <f>Source!AN649</f>
        <v>0.19</v>
      </c>
      <c r="G841" s="29" t="str">
        <f>Source!DF649</f>
        <v/>
      </c>
      <c r="H841" s="12">
        <f>Source!AV650</f>
        <v>1</v>
      </c>
      <c r="I841" s="38">
        <f>Source!R649</f>
        <v>0.19</v>
      </c>
      <c r="J841" s="12">
        <f>IF(Source!BS650&lt;&gt; 0, Source!BS650, 1)</f>
        <v>29.03</v>
      </c>
      <c r="K841" s="38">
        <f>Source!R650</f>
        <v>5.52</v>
      </c>
    </row>
    <row r="842" spans="1:29" ht="14.25" x14ac:dyDescent="0.2">
      <c r="A842" s="27"/>
      <c r="B842" s="27"/>
      <c r="C842" s="27" t="s">
        <v>1611</v>
      </c>
      <c r="D842" s="28"/>
      <c r="E842" s="12"/>
      <c r="F842" s="30">
        <f>Source!AL649</f>
        <v>0.88</v>
      </c>
      <c r="G842" s="29" t="str">
        <f>Source!DD649</f>
        <v/>
      </c>
      <c r="H842" s="12">
        <f>Source!AW650</f>
        <v>1</v>
      </c>
      <c r="I842" s="30">
        <f>Source!P649</f>
        <v>0.88</v>
      </c>
      <c r="J842" s="12">
        <f>IF(Source!BC650&lt;&gt; 0, Source!BC650, 1)</f>
        <v>22.75</v>
      </c>
      <c r="K842" s="30">
        <f>Source!P650</f>
        <v>20.02</v>
      </c>
    </row>
    <row r="843" spans="1:29" ht="14.25" x14ac:dyDescent="0.2">
      <c r="A843" s="27"/>
      <c r="B843" s="27"/>
      <c r="C843" s="27" t="s">
        <v>1598</v>
      </c>
      <c r="D843" s="28" t="s">
        <v>1599</v>
      </c>
      <c r="E843" s="12">
        <f>Source!DN650</f>
        <v>114</v>
      </c>
      <c r="F843" s="30"/>
      <c r="G843" s="29"/>
      <c r="H843" s="12"/>
      <c r="I843" s="30">
        <f>SUM(Q838:Q842)</f>
        <v>23.54</v>
      </c>
      <c r="J843" s="12">
        <f>Source!BZ650</f>
        <v>79</v>
      </c>
      <c r="K843" s="30">
        <f>SUM(R838:R842)</f>
        <v>473.58</v>
      </c>
    </row>
    <row r="844" spans="1:29" ht="14.25" x14ac:dyDescent="0.2">
      <c r="A844" s="27"/>
      <c r="B844" s="27"/>
      <c r="C844" s="27" t="s">
        <v>1600</v>
      </c>
      <c r="D844" s="28" t="s">
        <v>1599</v>
      </c>
      <c r="E844" s="12">
        <f>Source!DO650</f>
        <v>67</v>
      </c>
      <c r="F844" s="30"/>
      <c r="G844" s="29"/>
      <c r="H844" s="12"/>
      <c r="I844" s="30">
        <f>SUM(S838:S843)</f>
        <v>13.84</v>
      </c>
      <c r="J844" s="12">
        <f>Source!CA650</f>
        <v>41</v>
      </c>
      <c r="K844" s="30">
        <f>SUM(T838:T843)</f>
        <v>245.78</v>
      </c>
    </row>
    <row r="845" spans="1:29" ht="14.25" x14ac:dyDescent="0.2">
      <c r="A845" s="27"/>
      <c r="B845" s="27"/>
      <c r="C845" s="27" t="s">
        <v>1612</v>
      </c>
      <c r="D845" s="28" t="s">
        <v>1599</v>
      </c>
      <c r="E845" s="12">
        <f>175</f>
        <v>175</v>
      </c>
      <c r="F845" s="30"/>
      <c r="G845" s="29"/>
      <c r="H845" s="12"/>
      <c r="I845" s="30">
        <f>SUM(U838:U844)</f>
        <v>0.33</v>
      </c>
      <c r="J845" s="12">
        <f>160</f>
        <v>160</v>
      </c>
      <c r="K845" s="30">
        <f>SUM(V838:V844)</f>
        <v>8.83</v>
      </c>
    </row>
    <row r="846" spans="1:29" ht="14.25" x14ac:dyDescent="0.2">
      <c r="A846" s="31"/>
      <c r="B846" s="31"/>
      <c r="C846" s="31" t="s">
        <v>1601</v>
      </c>
      <c r="D846" s="32" t="s">
        <v>1602</v>
      </c>
      <c r="E846" s="33">
        <f>Source!AQ649</f>
        <v>1.35</v>
      </c>
      <c r="F846" s="34"/>
      <c r="G846" s="35" t="str">
        <f>Source!DI649</f>
        <v/>
      </c>
      <c r="H846" s="33">
        <f>Source!AV650</f>
        <v>1</v>
      </c>
      <c r="I846" s="34">
        <f>Source!U649</f>
        <v>1.35</v>
      </c>
      <c r="J846" s="33"/>
      <c r="K846" s="34"/>
    </row>
    <row r="847" spans="1:29" ht="15" x14ac:dyDescent="0.25">
      <c r="C847" s="22" t="s">
        <v>1603</v>
      </c>
      <c r="H847" s="104">
        <f>I839+I840+I842+I843+I844+I845+0-0-0</f>
        <v>60.09</v>
      </c>
      <c r="I847" s="104"/>
      <c r="J847" s="104">
        <f>K839+K840+K842+K843+K844+K845+0-0-0</f>
        <v>1357.33</v>
      </c>
      <c r="K847" s="104"/>
    </row>
    <row r="848" spans="1:29" ht="15" x14ac:dyDescent="0.25">
      <c r="C848" s="22" t="s">
        <v>1604</v>
      </c>
      <c r="H848" s="100">
        <f>0+0</f>
        <v>0</v>
      </c>
      <c r="I848" s="100"/>
      <c r="J848" s="100">
        <f>0+0</f>
        <v>0</v>
      </c>
      <c r="K848" s="100"/>
    </row>
    <row r="849" spans="1:29" ht="15" x14ac:dyDescent="0.25">
      <c r="C849" s="22" t="s">
        <v>1605</v>
      </c>
      <c r="H849" s="100">
        <f>I839+I840+I842+I843+I844+I845+0</f>
        <v>60.09</v>
      </c>
      <c r="I849" s="100"/>
      <c r="J849" s="100">
        <f>K839+K840+K842+K843+K844+K845+0</f>
        <v>1357.33</v>
      </c>
      <c r="K849" s="100"/>
      <c r="O849" s="36">
        <f>I839+I840+I842+I843+I844+I845+0</f>
        <v>60.09</v>
      </c>
      <c r="P849" s="36">
        <f>K839+K840+K842+K843+K844+K845+0</f>
        <v>1357.33</v>
      </c>
    </row>
    <row r="851" spans="1:29" ht="28.5" x14ac:dyDescent="0.2">
      <c r="A851" s="27">
        <v>3</v>
      </c>
      <c r="B851" s="27" t="str">
        <f>Source!F651</f>
        <v>4.10-19-6</v>
      </c>
      <c r="C851" s="27" t="s">
        <v>630</v>
      </c>
      <c r="D851" s="28" t="str">
        <f>Source!H651</f>
        <v>1  ШТ.</v>
      </c>
      <c r="E851" s="12">
        <f>Source!I651</f>
        <v>1</v>
      </c>
      <c r="F851" s="30"/>
      <c r="G851" s="29"/>
      <c r="H851" s="12"/>
      <c r="I851" s="30"/>
      <c r="J851" s="12"/>
      <c r="K851" s="30"/>
      <c r="Q851">
        <f>Source!X651</f>
        <v>154.15</v>
      </c>
      <c r="R851">
        <f>Source!X652</f>
        <v>3101.1</v>
      </c>
      <c r="S851">
        <f>Source!Y651</f>
        <v>90.6</v>
      </c>
      <c r="T851">
        <f>Source!Y652</f>
        <v>1609.43</v>
      </c>
      <c r="U851">
        <f>ROUND((175/100)*ROUND(Source!R651, 2), 2)</f>
        <v>11.83</v>
      </c>
      <c r="V851">
        <f>ROUND((160/100)*ROUND(Source!R652, 2), 2)</f>
        <v>313.98</v>
      </c>
      <c r="AC851">
        <v>0</v>
      </c>
    </row>
    <row r="852" spans="1:29" ht="14.25" x14ac:dyDescent="0.2">
      <c r="A852" s="27"/>
      <c r="B852" s="27"/>
      <c r="C852" s="27" t="s">
        <v>1597</v>
      </c>
      <c r="D852" s="28"/>
      <c r="E852" s="12"/>
      <c r="F852" s="30">
        <f>Source!AO651</f>
        <v>135.22</v>
      </c>
      <c r="G852" s="29" t="str">
        <f>Source!DG651</f>
        <v/>
      </c>
      <c r="H852" s="12">
        <f>Source!AV652</f>
        <v>1</v>
      </c>
      <c r="I852" s="30">
        <f>Source!S651</f>
        <v>135.22</v>
      </c>
      <c r="J852" s="12">
        <f>IF(Source!BA652&lt;&gt; 0, Source!BA652, 1)</f>
        <v>29.03</v>
      </c>
      <c r="K852" s="30">
        <f>Source!S652</f>
        <v>3925.44</v>
      </c>
    </row>
    <row r="853" spans="1:29" ht="14.25" x14ac:dyDescent="0.2">
      <c r="A853" s="27"/>
      <c r="B853" s="27"/>
      <c r="C853" s="27" t="s">
        <v>1609</v>
      </c>
      <c r="D853" s="28"/>
      <c r="E853" s="12"/>
      <c r="F853" s="30">
        <f>Source!AM651</f>
        <v>29.2</v>
      </c>
      <c r="G853" s="29" t="str">
        <f>Source!DE651</f>
        <v/>
      </c>
      <c r="H853" s="12">
        <f>Source!AV652</f>
        <v>1</v>
      </c>
      <c r="I853" s="30">
        <f>Source!Q651</f>
        <v>29.2</v>
      </c>
      <c r="J853" s="12">
        <f>IF(Source!BB652&lt;&gt; 0, Source!BB652, 1)</f>
        <v>11.32</v>
      </c>
      <c r="K853" s="30">
        <f>Source!Q652</f>
        <v>330.54</v>
      </c>
    </row>
    <row r="854" spans="1:29" ht="14.25" x14ac:dyDescent="0.2">
      <c r="A854" s="27"/>
      <c r="B854" s="27"/>
      <c r="C854" s="27" t="s">
        <v>1610</v>
      </c>
      <c r="D854" s="28"/>
      <c r="E854" s="12"/>
      <c r="F854" s="30">
        <f>Source!AN651</f>
        <v>6.76</v>
      </c>
      <c r="G854" s="29" t="str">
        <f>Source!DF651</f>
        <v/>
      </c>
      <c r="H854" s="12">
        <f>Source!AV652</f>
        <v>1</v>
      </c>
      <c r="I854" s="38">
        <f>Source!R651</f>
        <v>6.76</v>
      </c>
      <c r="J854" s="12">
        <f>IF(Source!BS652&lt;&gt; 0, Source!BS652, 1)</f>
        <v>29.03</v>
      </c>
      <c r="K854" s="38">
        <f>Source!R652</f>
        <v>196.24</v>
      </c>
    </row>
    <row r="855" spans="1:29" ht="14.25" x14ac:dyDescent="0.2">
      <c r="A855" s="27"/>
      <c r="B855" s="27"/>
      <c r="C855" s="27" t="s">
        <v>1611</v>
      </c>
      <c r="D855" s="28"/>
      <c r="E855" s="12"/>
      <c r="F855" s="30">
        <f>Source!AL651</f>
        <v>5.1100000000000003</v>
      </c>
      <c r="G855" s="29" t="str">
        <f>Source!DD651</f>
        <v/>
      </c>
      <c r="H855" s="12">
        <f>Source!AW652</f>
        <v>1</v>
      </c>
      <c r="I855" s="30">
        <f>Source!P651</f>
        <v>5.1100000000000003</v>
      </c>
      <c r="J855" s="12">
        <f>IF(Source!BC652&lt;&gt; 0, Source!BC652, 1)</f>
        <v>8.91</v>
      </c>
      <c r="K855" s="30">
        <f>Source!P652</f>
        <v>45.53</v>
      </c>
    </row>
    <row r="856" spans="1:29" ht="14.25" x14ac:dyDescent="0.2">
      <c r="A856" s="27"/>
      <c r="B856" s="27"/>
      <c r="C856" s="27" t="s">
        <v>1598</v>
      </c>
      <c r="D856" s="28" t="s">
        <v>1599</v>
      </c>
      <c r="E856" s="12">
        <f>Source!DN652</f>
        <v>114</v>
      </c>
      <c r="F856" s="30"/>
      <c r="G856" s="29"/>
      <c r="H856" s="12"/>
      <c r="I856" s="30">
        <f>SUM(Q851:Q855)</f>
        <v>154.15</v>
      </c>
      <c r="J856" s="12">
        <f>Source!BZ652</f>
        <v>79</v>
      </c>
      <c r="K856" s="30">
        <f>SUM(R851:R855)</f>
        <v>3101.1</v>
      </c>
    </row>
    <row r="857" spans="1:29" ht="14.25" x14ac:dyDescent="0.2">
      <c r="A857" s="27"/>
      <c r="B857" s="27"/>
      <c r="C857" s="27" t="s">
        <v>1600</v>
      </c>
      <c r="D857" s="28" t="s">
        <v>1599</v>
      </c>
      <c r="E857" s="12">
        <f>Source!DO652</f>
        <v>67</v>
      </c>
      <c r="F857" s="30"/>
      <c r="G857" s="29"/>
      <c r="H857" s="12"/>
      <c r="I857" s="30">
        <f>SUM(S851:S856)</f>
        <v>90.6</v>
      </c>
      <c r="J857" s="12">
        <f>Source!CA652</f>
        <v>41</v>
      </c>
      <c r="K857" s="30">
        <f>SUM(T851:T856)</f>
        <v>1609.43</v>
      </c>
    </row>
    <row r="858" spans="1:29" ht="14.25" x14ac:dyDescent="0.2">
      <c r="A858" s="27"/>
      <c r="B858" s="27"/>
      <c r="C858" s="27" t="s">
        <v>1612</v>
      </c>
      <c r="D858" s="28" t="s">
        <v>1599</v>
      </c>
      <c r="E858" s="12">
        <f>175</f>
        <v>175</v>
      </c>
      <c r="F858" s="30"/>
      <c r="G858" s="29"/>
      <c r="H858" s="12"/>
      <c r="I858" s="30">
        <f>SUM(U851:U857)</f>
        <v>11.83</v>
      </c>
      <c r="J858" s="12">
        <f>160</f>
        <v>160</v>
      </c>
      <c r="K858" s="30">
        <f>SUM(V851:V857)</f>
        <v>313.98</v>
      </c>
    </row>
    <row r="859" spans="1:29" ht="14.25" x14ac:dyDescent="0.2">
      <c r="A859" s="31"/>
      <c r="B859" s="31"/>
      <c r="C859" s="31" t="s">
        <v>1601</v>
      </c>
      <c r="D859" s="32" t="s">
        <v>1602</v>
      </c>
      <c r="E859" s="33">
        <f>Source!AQ651</f>
        <v>9.3000000000000007</v>
      </c>
      <c r="F859" s="34"/>
      <c r="G859" s="35" t="str">
        <f>Source!DI651</f>
        <v/>
      </c>
      <c r="H859" s="33">
        <f>Source!AV652</f>
        <v>1</v>
      </c>
      <c r="I859" s="34">
        <f>Source!U651</f>
        <v>9.3000000000000007</v>
      </c>
      <c r="J859" s="33"/>
      <c r="K859" s="34"/>
    </row>
    <row r="860" spans="1:29" ht="15" x14ac:dyDescent="0.25">
      <c r="C860" s="22" t="s">
        <v>1603</v>
      </c>
      <c r="H860" s="104">
        <f>I852+I853+I855+I856+I857+I858+0-0-0</f>
        <v>426.10999999999996</v>
      </c>
      <c r="I860" s="104"/>
      <c r="J860" s="104">
        <f>K852+K853+K855+K856+K857+K858+0-0-0</f>
        <v>9326.02</v>
      </c>
      <c r="K860" s="104"/>
    </row>
    <row r="861" spans="1:29" ht="15" x14ac:dyDescent="0.25">
      <c r="C861" s="22" t="s">
        <v>1604</v>
      </c>
      <c r="H861" s="100">
        <f>0+0</f>
        <v>0</v>
      </c>
      <c r="I861" s="100"/>
      <c r="J861" s="100">
        <f>0+0</f>
        <v>0</v>
      </c>
      <c r="K861" s="100"/>
    </row>
    <row r="862" spans="1:29" ht="15" x14ac:dyDescent="0.25">
      <c r="C862" s="22" t="s">
        <v>1605</v>
      </c>
      <c r="H862" s="100">
        <f>I852+I853+I855+I856+I857+I858+0</f>
        <v>426.10999999999996</v>
      </c>
      <c r="I862" s="100"/>
      <c r="J862" s="100">
        <f>K852+K853+K855+K856+K857+K858+0</f>
        <v>9326.02</v>
      </c>
      <c r="K862" s="100"/>
      <c r="O862" s="36">
        <f>I852+I853+I855+I856+I857+I858+0</f>
        <v>426.10999999999996</v>
      </c>
      <c r="P862" s="36">
        <f>K852+K853+K855+K856+K857+K858+0</f>
        <v>9326.02</v>
      </c>
    </row>
    <row r="864" spans="1:29" ht="28.5" x14ac:dyDescent="0.2">
      <c r="A864" s="27">
        <v>4</v>
      </c>
      <c r="B864" s="27" t="str">
        <f>Source!F653</f>
        <v>4.11-7-1</v>
      </c>
      <c r="C864" s="27" t="s">
        <v>635</v>
      </c>
      <c r="D864" s="28" t="str">
        <f>Source!H653</f>
        <v>1  ШТ.</v>
      </c>
      <c r="E864" s="12">
        <f>Source!I653</f>
        <v>1</v>
      </c>
      <c r="F864" s="30"/>
      <c r="G864" s="29"/>
      <c r="H864" s="12"/>
      <c r="I864" s="30"/>
      <c r="J864" s="12"/>
      <c r="K864" s="30"/>
      <c r="Q864">
        <f>Source!X653</f>
        <v>13.13</v>
      </c>
      <c r="R864">
        <f>Source!X654</f>
        <v>264.2</v>
      </c>
      <c r="S864">
        <f>Source!Y653</f>
        <v>7.72</v>
      </c>
      <c r="T864">
        <f>Source!Y654</f>
        <v>137.12</v>
      </c>
      <c r="U864">
        <f>ROUND((175/100)*ROUND(Source!R653, 2), 2)</f>
        <v>4.92</v>
      </c>
      <c r="V864">
        <f>ROUND((160/100)*ROUND(Source!R654, 2), 2)</f>
        <v>130.51</v>
      </c>
      <c r="AC864">
        <v>0</v>
      </c>
    </row>
    <row r="865" spans="1:29" ht="14.25" x14ac:dyDescent="0.2">
      <c r="A865" s="27"/>
      <c r="B865" s="27"/>
      <c r="C865" s="27" t="s">
        <v>1597</v>
      </c>
      <c r="D865" s="28"/>
      <c r="E865" s="12"/>
      <c r="F865" s="30">
        <f>Source!AO653</f>
        <v>11.52</v>
      </c>
      <c r="G865" s="29" t="str">
        <f>Source!DG653</f>
        <v/>
      </c>
      <c r="H865" s="12">
        <f>Source!AV654</f>
        <v>1</v>
      </c>
      <c r="I865" s="30">
        <f>Source!S653</f>
        <v>11.52</v>
      </c>
      <c r="J865" s="12">
        <f>IF(Source!BA654&lt;&gt; 0, Source!BA654, 1)</f>
        <v>29.03</v>
      </c>
      <c r="K865" s="30">
        <f>Source!S654</f>
        <v>334.43</v>
      </c>
    </row>
    <row r="866" spans="1:29" ht="14.25" x14ac:dyDescent="0.2">
      <c r="A866" s="27"/>
      <c r="B866" s="27"/>
      <c r="C866" s="27" t="s">
        <v>1609</v>
      </c>
      <c r="D866" s="28"/>
      <c r="E866" s="12"/>
      <c r="F866" s="30">
        <f>Source!AM653</f>
        <v>11.91</v>
      </c>
      <c r="G866" s="29" t="str">
        <f>Source!DE653</f>
        <v/>
      </c>
      <c r="H866" s="12">
        <f>Source!AV654</f>
        <v>1</v>
      </c>
      <c r="I866" s="30">
        <f>Source!Q653</f>
        <v>11.91</v>
      </c>
      <c r="J866" s="12">
        <f>IF(Source!BB654&lt;&gt; 0, Source!BB654, 1)</f>
        <v>11.42</v>
      </c>
      <c r="K866" s="30">
        <f>Source!Q654</f>
        <v>136.01</v>
      </c>
    </row>
    <row r="867" spans="1:29" ht="14.25" x14ac:dyDescent="0.2">
      <c r="A867" s="27"/>
      <c r="B867" s="27"/>
      <c r="C867" s="27" t="s">
        <v>1610</v>
      </c>
      <c r="D867" s="28"/>
      <c r="E867" s="12"/>
      <c r="F867" s="30">
        <f>Source!AN653</f>
        <v>2.81</v>
      </c>
      <c r="G867" s="29" t="str">
        <f>Source!DF653</f>
        <v/>
      </c>
      <c r="H867" s="12">
        <f>Source!AV654</f>
        <v>1</v>
      </c>
      <c r="I867" s="38">
        <f>Source!R653</f>
        <v>2.81</v>
      </c>
      <c r="J867" s="12">
        <f>IF(Source!BS654&lt;&gt; 0, Source!BS654, 1)</f>
        <v>29.03</v>
      </c>
      <c r="K867" s="38">
        <f>Source!R654</f>
        <v>81.569999999999993</v>
      </c>
    </row>
    <row r="868" spans="1:29" ht="14.25" x14ac:dyDescent="0.2">
      <c r="A868" s="27"/>
      <c r="B868" s="27"/>
      <c r="C868" s="27" t="s">
        <v>1611</v>
      </c>
      <c r="D868" s="28"/>
      <c r="E868" s="12"/>
      <c r="F868" s="30">
        <f>Source!AL653</f>
        <v>0.14000000000000001</v>
      </c>
      <c r="G868" s="29" t="str">
        <f>Source!DD653</f>
        <v/>
      </c>
      <c r="H868" s="12">
        <f>Source!AW654</f>
        <v>1</v>
      </c>
      <c r="I868" s="30">
        <f>Source!P653</f>
        <v>0.14000000000000001</v>
      </c>
      <c r="J868" s="12">
        <f>IF(Source!BC654&lt;&gt; 0, Source!BC654, 1)</f>
        <v>1</v>
      </c>
      <c r="K868" s="30">
        <f>Source!P654</f>
        <v>0.14000000000000001</v>
      </c>
    </row>
    <row r="869" spans="1:29" ht="14.25" x14ac:dyDescent="0.2">
      <c r="A869" s="27"/>
      <c r="B869" s="27"/>
      <c r="C869" s="27" t="s">
        <v>1598</v>
      </c>
      <c r="D869" s="28" t="s">
        <v>1599</v>
      </c>
      <c r="E869" s="12">
        <f>Source!DN654</f>
        <v>114</v>
      </c>
      <c r="F869" s="30"/>
      <c r="G869" s="29"/>
      <c r="H869" s="12"/>
      <c r="I869" s="30">
        <f>SUM(Q864:Q868)</f>
        <v>13.13</v>
      </c>
      <c r="J869" s="12">
        <f>Source!BZ654</f>
        <v>79</v>
      </c>
      <c r="K869" s="30">
        <f>SUM(R864:R868)</f>
        <v>264.2</v>
      </c>
    </row>
    <row r="870" spans="1:29" ht="14.25" x14ac:dyDescent="0.2">
      <c r="A870" s="27"/>
      <c r="B870" s="27"/>
      <c r="C870" s="27" t="s">
        <v>1600</v>
      </c>
      <c r="D870" s="28" t="s">
        <v>1599</v>
      </c>
      <c r="E870" s="12">
        <f>Source!DO654</f>
        <v>67</v>
      </c>
      <c r="F870" s="30"/>
      <c r="G870" s="29"/>
      <c r="H870" s="12"/>
      <c r="I870" s="30">
        <f>SUM(S864:S869)</f>
        <v>7.72</v>
      </c>
      <c r="J870" s="12">
        <f>Source!CA654</f>
        <v>41</v>
      </c>
      <c r="K870" s="30">
        <f>SUM(T864:T869)</f>
        <v>137.12</v>
      </c>
    </row>
    <row r="871" spans="1:29" ht="14.25" x14ac:dyDescent="0.2">
      <c r="A871" s="27"/>
      <c r="B871" s="27"/>
      <c r="C871" s="27" t="s">
        <v>1612</v>
      </c>
      <c r="D871" s="28" t="s">
        <v>1599</v>
      </c>
      <c r="E871" s="12">
        <f>175</f>
        <v>175</v>
      </c>
      <c r="F871" s="30"/>
      <c r="G871" s="29"/>
      <c r="H871" s="12"/>
      <c r="I871" s="30">
        <f>SUM(U864:U870)</f>
        <v>4.92</v>
      </c>
      <c r="J871" s="12">
        <f>160</f>
        <v>160</v>
      </c>
      <c r="K871" s="30">
        <f>SUM(V864:V870)</f>
        <v>130.51</v>
      </c>
    </row>
    <row r="872" spans="1:29" ht="14.25" x14ac:dyDescent="0.2">
      <c r="A872" s="31"/>
      <c r="B872" s="31"/>
      <c r="C872" s="31" t="s">
        <v>1601</v>
      </c>
      <c r="D872" s="32" t="s">
        <v>1602</v>
      </c>
      <c r="E872" s="33">
        <f>Source!AQ653</f>
        <v>1.03</v>
      </c>
      <c r="F872" s="34"/>
      <c r="G872" s="35" t="str">
        <f>Source!DI653</f>
        <v/>
      </c>
      <c r="H872" s="33">
        <f>Source!AV654</f>
        <v>1</v>
      </c>
      <c r="I872" s="34">
        <f>Source!U653</f>
        <v>1.03</v>
      </c>
      <c r="J872" s="33"/>
      <c r="K872" s="34"/>
    </row>
    <row r="873" spans="1:29" ht="15" x14ac:dyDescent="0.25">
      <c r="C873" s="22" t="s">
        <v>1603</v>
      </c>
      <c r="H873" s="104">
        <f>I865+I866+I868+I869+I870+I871+0-0-0</f>
        <v>49.34</v>
      </c>
      <c r="I873" s="104"/>
      <c r="J873" s="104">
        <f>K865+K866+K868+K869+K870+K871+0-0-0</f>
        <v>1002.41</v>
      </c>
      <c r="K873" s="104"/>
    </row>
    <row r="874" spans="1:29" ht="15" x14ac:dyDescent="0.25">
      <c r="C874" s="22" t="s">
        <v>1604</v>
      </c>
      <c r="H874" s="100">
        <f>0+0</f>
        <v>0</v>
      </c>
      <c r="I874" s="100"/>
      <c r="J874" s="100">
        <f>0+0</f>
        <v>0</v>
      </c>
      <c r="K874" s="100"/>
    </row>
    <row r="875" spans="1:29" ht="15" x14ac:dyDescent="0.25">
      <c r="C875" s="22" t="s">
        <v>1605</v>
      </c>
      <c r="H875" s="100">
        <f>I865+I866+I868+I869+I870+I871+0</f>
        <v>49.34</v>
      </c>
      <c r="I875" s="100"/>
      <c r="J875" s="100">
        <f>K865+K866+K868+K869+K870+K871+0</f>
        <v>1002.41</v>
      </c>
      <c r="K875" s="100"/>
      <c r="O875" s="36">
        <f>I865+I866+I868+I869+I870+I871+0</f>
        <v>49.34</v>
      </c>
      <c r="P875" s="36">
        <f>K865+K866+K868+K869+K870+K871+0</f>
        <v>1002.41</v>
      </c>
    </row>
    <row r="877" spans="1:29" ht="42.75" x14ac:dyDescent="0.2">
      <c r="A877" s="27">
        <v>5</v>
      </c>
      <c r="B877" s="27" t="str">
        <f>Source!F655</f>
        <v>4.10-82-1</v>
      </c>
      <c r="C877" s="27" t="s">
        <v>640</v>
      </c>
      <c r="D877" s="28" t="str">
        <f>Source!H655</f>
        <v>1  ШТ.</v>
      </c>
      <c r="E877" s="12">
        <f>Source!I655</f>
        <v>1</v>
      </c>
      <c r="F877" s="30"/>
      <c r="G877" s="29"/>
      <c r="H877" s="12"/>
      <c r="I877" s="30"/>
      <c r="J877" s="12"/>
      <c r="K877" s="30"/>
      <c r="Q877">
        <f>Source!X655</f>
        <v>115.57</v>
      </c>
      <c r="R877">
        <f>Source!X656</f>
        <v>2325.02</v>
      </c>
      <c r="S877">
        <f>Source!Y655</f>
        <v>67.92</v>
      </c>
      <c r="T877">
        <f>Source!Y656</f>
        <v>1206.6500000000001</v>
      </c>
      <c r="U877">
        <f>ROUND((175/100)*ROUND(Source!R655, 2), 2)</f>
        <v>0.02</v>
      </c>
      <c r="V877">
        <f>ROUND((160/100)*ROUND(Source!R656, 2), 2)</f>
        <v>0.46</v>
      </c>
      <c r="AC877">
        <v>0</v>
      </c>
    </row>
    <row r="878" spans="1:29" ht="14.25" x14ac:dyDescent="0.2">
      <c r="A878" s="27"/>
      <c r="B878" s="27"/>
      <c r="C878" s="27" t="s">
        <v>1597</v>
      </c>
      <c r="D878" s="28"/>
      <c r="E878" s="12"/>
      <c r="F878" s="30">
        <f>Source!AO655</f>
        <v>101.38</v>
      </c>
      <c r="G878" s="29" t="str">
        <f>Source!DG655</f>
        <v/>
      </c>
      <c r="H878" s="12">
        <f>Source!AV656</f>
        <v>1</v>
      </c>
      <c r="I878" s="30">
        <f>Source!S655</f>
        <v>101.38</v>
      </c>
      <c r="J878" s="12">
        <f>IF(Source!BA656&lt;&gt; 0, Source!BA656, 1)</f>
        <v>29.03</v>
      </c>
      <c r="K878" s="30">
        <f>Source!S656</f>
        <v>2943.06</v>
      </c>
    </row>
    <row r="879" spans="1:29" ht="14.25" x14ac:dyDescent="0.2">
      <c r="A879" s="27"/>
      <c r="B879" s="27"/>
      <c r="C879" s="27" t="s">
        <v>1609</v>
      </c>
      <c r="D879" s="28"/>
      <c r="E879" s="12"/>
      <c r="F879" s="30">
        <f>Source!AM655</f>
        <v>0.05</v>
      </c>
      <c r="G879" s="29" t="str">
        <f>Source!DE655</f>
        <v/>
      </c>
      <c r="H879" s="12">
        <f>Source!AV656</f>
        <v>1</v>
      </c>
      <c r="I879" s="30">
        <f>Source!Q655</f>
        <v>0.05</v>
      </c>
      <c r="J879" s="12">
        <f>IF(Source!BB656&lt;&gt; 0, Source!BB656, 1)</f>
        <v>12.8</v>
      </c>
      <c r="K879" s="30">
        <f>Source!Q656</f>
        <v>0.64</v>
      </c>
    </row>
    <row r="880" spans="1:29" ht="14.25" x14ac:dyDescent="0.2">
      <c r="A880" s="27"/>
      <c r="B880" s="27"/>
      <c r="C880" s="27" t="s">
        <v>1610</v>
      </c>
      <c r="D880" s="28"/>
      <c r="E880" s="12"/>
      <c r="F880" s="30">
        <f>Source!AN655</f>
        <v>0.01</v>
      </c>
      <c r="G880" s="29" t="str">
        <f>Source!DF655</f>
        <v/>
      </c>
      <c r="H880" s="12">
        <f>Source!AV656</f>
        <v>1</v>
      </c>
      <c r="I880" s="38">
        <f>Source!R655</f>
        <v>0.01</v>
      </c>
      <c r="J880" s="12">
        <f>IF(Source!BS656&lt;&gt; 0, Source!BS656, 1)</f>
        <v>29.03</v>
      </c>
      <c r="K880" s="38">
        <f>Source!R656</f>
        <v>0.28999999999999998</v>
      </c>
    </row>
    <row r="881" spans="1:29" ht="14.25" x14ac:dyDescent="0.2">
      <c r="A881" s="27"/>
      <c r="B881" s="27"/>
      <c r="C881" s="27" t="s">
        <v>1611</v>
      </c>
      <c r="D881" s="28"/>
      <c r="E881" s="12"/>
      <c r="F881" s="30">
        <f>Source!AL655</f>
        <v>4.6900000000000004</v>
      </c>
      <c r="G881" s="29" t="str">
        <f>Source!DD655</f>
        <v/>
      </c>
      <c r="H881" s="12">
        <f>Source!AW656</f>
        <v>1</v>
      </c>
      <c r="I881" s="30">
        <f>Source!P655</f>
        <v>4.6900000000000004</v>
      </c>
      <c r="J881" s="12">
        <f>IF(Source!BC656&lt;&gt; 0, Source!BC656, 1)</f>
        <v>8.8699999999999992</v>
      </c>
      <c r="K881" s="30">
        <f>Source!P656</f>
        <v>41.6</v>
      </c>
    </row>
    <row r="882" spans="1:29" ht="14.25" x14ac:dyDescent="0.2">
      <c r="A882" s="27"/>
      <c r="B882" s="27"/>
      <c r="C882" s="27" t="s">
        <v>1598</v>
      </c>
      <c r="D882" s="28" t="s">
        <v>1599</v>
      </c>
      <c r="E882" s="12">
        <f>Source!DN656</f>
        <v>114</v>
      </c>
      <c r="F882" s="30"/>
      <c r="G882" s="29"/>
      <c r="H882" s="12"/>
      <c r="I882" s="30">
        <f>SUM(Q877:Q881)</f>
        <v>115.57</v>
      </c>
      <c r="J882" s="12">
        <f>Source!BZ656</f>
        <v>79</v>
      </c>
      <c r="K882" s="30">
        <f>SUM(R877:R881)</f>
        <v>2325.02</v>
      </c>
    </row>
    <row r="883" spans="1:29" ht="14.25" x14ac:dyDescent="0.2">
      <c r="A883" s="27"/>
      <c r="B883" s="27"/>
      <c r="C883" s="27" t="s">
        <v>1600</v>
      </c>
      <c r="D883" s="28" t="s">
        <v>1599</v>
      </c>
      <c r="E883" s="12">
        <f>Source!DO656</f>
        <v>67</v>
      </c>
      <c r="F883" s="30"/>
      <c r="G883" s="29"/>
      <c r="H883" s="12"/>
      <c r="I883" s="30">
        <f>SUM(S877:S882)</f>
        <v>67.92</v>
      </c>
      <c r="J883" s="12">
        <f>Source!CA656</f>
        <v>41</v>
      </c>
      <c r="K883" s="30">
        <f>SUM(T877:T882)</f>
        <v>1206.6500000000001</v>
      </c>
    </row>
    <row r="884" spans="1:29" ht="14.25" x14ac:dyDescent="0.2">
      <c r="A884" s="27"/>
      <c r="B884" s="27"/>
      <c r="C884" s="27" t="s">
        <v>1612</v>
      </c>
      <c r="D884" s="28" t="s">
        <v>1599</v>
      </c>
      <c r="E884" s="12">
        <f>175</f>
        <v>175</v>
      </c>
      <c r="F884" s="30"/>
      <c r="G884" s="29"/>
      <c r="H884" s="12"/>
      <c r="I884" s="30">
        <f>SUM(U877:U883)</f>
        <v>0.02</v>
      </c>
      <c r="J884" s="12">
        <f>160</f>
        <v>160</v>
      </c>
      <c r="K884" s="30">
        <f>SUM(V877:V883)</f>
        <v>0.46</v>
      </c>
    </row>
    <row r="885" spans="1:29" ht="14.25" x14ac:dyDescent="0.2">
      <c r="A885" s="31"/>
      <c r="B885" s="31"/>
      <c r="C885" s="31" t="s">
        <v>1601</v>
      </c>
      <c r="D885" s="32" t="s">
        <v>1602</v>
      </c>
      <c r="E885" s="33">
        <f>Source!AQ655</f>
        <v>7.92</v>
      </c>
      <c r="F885" s="34"/>
      <c r="G885" s="35" t="str">
        <f>Source!DI655</f>
        <v/>
      </c>
      <c r="H885" s="33">
        <f>Source!AV656</f>
        <v>1</v>
      </c>
      <c r="I885" s="34">
        <f>Source!U655</f>
        <v>7.92</v>
      </c>
      <c r="J885" s="33"/>
      <c r="K885" s="34"/>
    </row>
    <row r="886" spans="1:29" ht="15" x14ac:dyDescent="0.25">
      <c r="C886" s="22" t="s">
        <v>1603</v>
      </c>
      <c r="H886" s="104">
        <f>I878+I879+I881+I882+I883+I884+0-0-0</f>
        <v>289.63</v>
      </c>
      <c r="I886" s="104"/>
      <c r="J886" s="104">
        <f>K878+K879+K881+K882+K883+K884+0-0-0</f>
        <v>6517.4299999999994</v>
      </c>
      <c r="K886" s="104"/>
    </row>
    <row r="887" spans="1:29" ht="15" x14ac:dyDescent="0.25">
      <c r="C887" s="22" t="s">
        <v>1604</v>
      </c>
      <c r="H887" s="100">
        <f>0+0</f>
        <v>0</v>
      </c>
      <c r="I887" s="100"/>
      <c r="J887" s="100">
        <f>0+0</f>
        <v>0</v>
      </c>
      <c r="K887" s="100"/>
    </row>
    <row r="888" spans="1:29" ht="15" x14ac:dyDescent="0.25">
      <c r="C888" s="22" t="s">
        <v>1605</v>
      </c>
      <c r="H888" s="100">
        <f>I878+I879+I881+I882+I883+I884+0</f>
        <v>289.63</v>
      </c>
      <c r="I888" s="100"/>
      <c r="J888" s="100">
        <f>K878+K879+K881+K882+K883+K884+0</f>
        <v>6517.4299999999994</v>
      </c>
      <c r="K888" s="100"/>
      <c r="O888" s="36">
        <f>I878+I879+I881+I882+I883+I884+0</f>
        <v>289.63</v>
      </c>
      <c r="P888" s="36">
        <f>K878+K879+K881+K882+K883+K884+0</f>
        <v>6517.4299999999994</v>
      </c>
    </row>
    <row r="890" spans="1:29" ht="28.5" x14ac:dyDescent="0.2">
      <c r="A890" s="27">
        <v>6</v>
      </c>
      <c r="B890" s="27" t="str">
        <f>Source!F657</f>
        <v>4.10-76-7</v>
      </c>
      <c r="C890" s="27" t="s">
        <v>643</v>
      </c>
      <c r="D890" s="28" t="str">
        <f>Source!H657</f>
        <v>1  ШТ.</v>
      </c>
      <c r="E890" s="12">
        <f>Source!I657</f>
        <v>2</v>
      </c>
      <c r="F890" s="30"/>
      <c r="G890" s="29"/>
      <c r="H890" s="12"/>
      <c r="I890" s="30"/>
      <c r="J890" s="12"/>
      <c r="K890" s="30"/>
      <c r="Q890">
        <f>Source!X657</f>
        <v>54.26</v>
      </c>
      <c r="R890">
        <f>Source!X658</f>
        <v>1091.6500000000001</v>
      </c>
      <c r="S890">
        <f>Source!Y657</f>
        <v>31.89</v>
      </c>
      <c r="T890">
        <f>Source!Y658</f>
        <v>566.54999999999995</v>
      </c>
      <c r="U890">
        <f>ROUND((175/100)*ROUND(Source!R657, 2), 2)</f>
        <v>0</v>
      </c>
      <c r="V890">
        <f>ROUND((160/100)*ROUND(Source!R658, 2), 2)</f>
        <v>0</v>
      </c>
      <c r="AC890">
        <v>0</v>
      </c>
    </row>
    <row r="891" spans="1:29" ht="14.25" x14ac:dyDescent="0.2">
      <c r="A891" s="27"/>
      <c r="B891" s="27"/>
      <c r="C891" s="27" t="s">
        <v>1597</v>
      </c>
      <c r="D891" s="28"/>
      <c r="E891" s="12"/>
      <c r="F891" s="30">
        <f>Source!AO657</f>
        <v>23.8</v>
      </c>
      <c r="G891" s="29" t="str">
        <f>Source!DG657</f>
        <v/>
      </c>
      <c r="H891" s="12">
        <f>Source!AV658</f>
        <v>1</v>
      </c>
      <c r="I891" s="30">
        <f>Source!S657</f>
        <v>47.6</v>
      </c>
      <c r="J891" s="12">
        <f>IF(Source!BA658&lt;&gt; 0, Source!BA658, 1)</f>
        <v>29.03</v>
      </c>
      <c r="K891" s="30">
        <f>Source!S658</f>
        <v>1381.83</v>
      </c>
    </row>
    <row r="892" spans="1:29" ht="14.25" x14ac:dyDescent="0.2">
      <c r="A892" s="27"/>
      <c r="B892" s="27"/>
      <c r="C892" s="27" t="s">
        <v>1611</v>
      </c>
      <c r="D892" s="28"/>
      <c r="E892" s="12"/>
      <c r="F892" s="30">
        <f>Source!AL657</f>
        <v>0.91</v>
      </c>
      <c r="G892" s="29" t="str">
        <f>Source!DD657</f>
        <v/>
      </c>
      <c r="H892" s="12">
        <f>Source!AW658</f>
        <v>1</v>
      </c>
      <c r="I892" s="30">
        <f>Source!P657</f>
        <v>1.82</v>
      </c>
      <c r="J892" s="12">
        <f>IF(Source!BC658&lt;&gt; 0, Source!BC658, 1)</f>
        <v>8.6199999999999992</v>
      </c>
      <c r="K892" s="30">
        <f>Source!P658</f>
        <v>15.69</v>
      </c>
    </row>
    <row r="893" spans="1:29" ht="14.25" x14ac:dyDescent="0.2">
      <c r="A893" s="27"/>
      <c r="B893" s="27"/>
      <c r="C893" s="27" t="s">
        <v>1598</v>
      </c>
      <c r="D893" s="28" t="s">
        <v>1599</v>
      </c>
      <c r="E893" s="12">
        <f>Source!DN658</f>
        <v>114</v>
      </c>
      <c r="F893" s="30"/>
      <c r="G893" s="29"/>
      <c r="H893" s="12"/>
      <c r="I893" s="30">
        <f>SUM(Q890:Q892)</f>
        <v>54.26</v>
      </c>
      <c r="J893" s="12">
        <f>Source!BZ658</f>
        <v>79</v>
      </c>
      <c r="K893" s="30">
        <f>SUM(R890:R892)</f>
        <v>1091.6500000000001</v>
      </c>
    </row>
    <row r="894" spans="1:29" ht="14.25" x14ac:dyDescent="0.2">
      <c r="A894" s="27"/>
      <c r="B894" s="27"/>
      <c r="C894" s="27" t="s">
        <v>1600</v>
      </c>
      <c r="D894" s="28" t="s">
        <v>1599</v>
      </c>
      <c r="E894" s="12">
        <f>Source!DO658</f>
        <v>67</v>
      </c>
      <c r="F894" s="30"/>
      <c r="G894" s="29"/>
      <c r="H894" s="12"/>
      <c r="I894" s="30">
        <f>SUM(S890:S893)</f>
        <v>31.89</v>
      </c>
      <c r="J894" s="12">
        <f>Source!CA658</f>
        <v>41</v>
      </c>
      <c r="K894" s="30">
        <f>SUM(T890:T893)</f>
        <v>566.54999999999995</v>
      </c>
    </row>
    <row r="895" spans="1:29" ht="14.25" x14ac:dyDescent="0.2">
      <c r="A895" s="31"/>
      <c r="B895" s="31"/>
      <c r="C895" s="31" t="s">
        <v>1601</v>
      </c>
      <c r="D895" s="32" t="s">
        <v>1602</v>
      </c>
      <c r="E895" s="33">
        <f>Source!AQ657</f>
        <v>2</v>
      </c>
      <c r="F895" s="34"/>
      <c r="G895" s="35" t="str">
        <f>Source!DI657</f>
        <v/>
      </c>
      <c r="H895" s="33">
        <f>Source!AV658</f>
        <v>1</v>
      </c>
      <c r="I895" s="34">
        <f>Source!U657</f>
        <v>4</v>
      </c>
      <c r="J895" s="33"/>
      <c r="K895" s="34"/>
    </row>
    <row r="896" spans="1:29" ht="15" x14ac:dyDescent="0.25">
      <c r="C896" s="22" t="s">
        <v>1603</v>
      </c>
      <c r="H896" s="104">
        <f>I891+I892+I893+I894+0-0-0</f>
        <v>135.57</v>
      </c>
      <c r="I896" s="104"/>
      <c r="J896" s="104">
        <f>K891+K892+K893+K894+0-0-0</f>
        <v>3055.7200000000003</v>
      </c>
      <c r="K896" s="104"/>
    </row>
    <row r="897" spans="1:29" ht="15" x14ac:dyDescent="0.25">
      <c r="C897" s="22" t="s">
        <v>1604</v>
      </c>
      <c r="H897" s="100">
        <f>0+0</f>
        <v>0</v>
      </c>
      <c r="I897" s="100"/>
      <c r="J897" s="100">
        <f>0+0</f>
        <v>0</v>
      </c>
      <c r="K897" s="100"/>
    </row>
    <row r="898" spans="1:29" ht="15" x14ac:dyDescent="0.25">
      <c r="C898" s="22" t="s">
        <v>1605</v>
      </c>
      <c r="H898" s="100">
        <f>I891+I892+I893+I894+0</f>
        <v>135.57</v>
      </c>
      <c r="I898" s="100"/>
      <c r="J898" s="100">
        <f>K891+K892+K893+K894+0</f>
        <v>3055.7200000000003</v>
      </c>
      <c r="K898" s="100"/>
      <c r="O898" s="36">
        <f>I891+I892+I893+I894+0</f>
        <v>135.57</v>
      </c>
      <c r="P898" s="36">
        <f>K891+K892+K893+K894+0</f>
        <v>3055.7200000000003</v>
      </c>
    </row>
    <row r="900" spans="1:29" ht="52.5" x14ac:dyDescent="0.2">
      <c r="A900" s="27">
        <v>7</v>
      </c>
      <c r="B900" s="27" t="s">
        <v>1654</v>
      </c>
      <c r="C900" s="27" t="s">
        <v>646</v>
      </c>
      <c r="D900" s="28" t="str">
        <f>Source!H659</f>
        <v>1  ШТ.</v>
      </c>
      <c r="E900" s="12">
        <f>Source!I659</f>
        <v>2</v>
      </c>
      <c r="F900" s="30"/>
      <c r="G900" s="29"/>
      <c r="H900" s="12"/>
      <c r="I900" s="30"/>
      <c r="J900" s="12"/>
      <c r="K900" s="30"/>
      <c r="Q900">
        <f>Source!X659</f>
        <v>1.97</v>
      </c>
      <c r="R900">
        <f>Source!X660</f>
        <v>47.15</v>
      </c>
      <c r="S900">
        <f>Source!Y659</f>
        <v>1.62</v>
      </c>
      <c r="T900">
        <f>Source!Y660</f>
        <v>27.61</v>
      </c>
      <c r="U900">
        <f>ROUND((175/100)*ROUND(Source!R659, 2), 2)</f>
        <v>0</v>
      </c>
      <c r="V900">
        <f>ROUND((160/100)*ROUND(Source!R660, 2), 2)</f>
        <v>0</v>
      </c>
      <c r="AC900">
        <v>0</v>
      </c>
    </row>
    <row r="901" spans="1:29" ht="14.25" x14ac:dyDescent="0.2">
      <c r="A901" s="27"/>
      <c r="B901" s="27"/>
      <c r="C901" s="27" t="s">
        <v>1597</v>
      </c>
      <c r="D901" s="28"/>
      <c r="E901" s="12"/>
      <c r="F901" s="30">
        <f>Source!AO659</f>
        <v>1.01</v>
      </c>
      <c r="G901" s="29" t="str">
        <f>Source!DG659</f>
        <v>)*1,15</v>
      </c>
      <c r="H901" s="12">
        <f>Source!AV660</f>
        <v>1</v>
      </c>
      <c r="I901" s="30">
        <f>Source!S659</f>
        <v>2.3199999999999998</v>
      </c>
      <c r="J901" s="12">
        <f>IF(Source!BA660&lt;&gt; 0, Source!BA660, 1)</f>
        <v>29.03</v>
      </c>
      <c r="K901" s="30">
        <f>Source!S660</f>
        <v>67.349999999999994</v>
      </c>
    </row>
    <row r="902" spans="1:29" ht="14.25" x14ac:dyDescent="0.2">
      <c r="A902" s="27"/>
      <c r="B902" s="27"/>
      <c r="C902" s="27" t="s">
        <v>1611</v>
      </c>
      <c r="D902" s="28"/>
      <c r="E902" s="12"/>
      <c r="F902" s="30">
        <f>Source!AL659</f>
        <v>0.17</v>
      </c>
      <c r="G902" s="29" t="str">
        <f>Source!DD659</f>
        <v/>
      </c>
      <c r="H902" s="12">
        <f>Source!AW660</f>
        <v>1</v>
      </c>
      <c r="I902" s="30">
        <f>Source!P659</f>
        <v>0.34</v>
      </c>
      <c r="J902" s="12">
        <f>IF(Source!BC660&lt;&gt; 0, Source!BC660, 1)</f>
        <v>11.76</v>
      </c>
      <c r="K902" s="30">
        <f>Source!P660</f>
        <v>4</v>
      </c>
    </row>
    <row r="903" spans="1:29" ht="42.75" x14ac:dyDescent="0.2">
      <c r="A903" s="27" t="s">
        <v>548</v>
      </c>
      <c r="B903" s="27" t="str">
        <f>Source!F661</f>
        <v>1.1-1-2614</v>
      </c>
      <c r="C903" s="27" t="s">
        <v>649</v>
      </c>
      <c r="D903" s="28" t="str">
        <f>Source!H661</f>
        <v>шт.</v>
      </c>
      <c r="E903" s="12">
        <f>Source!I661</f>
        <v>2</v>
      </c>
      <c r="F903" s="30">
        <f>Source!AK661</f>
        <v>15.36</v>
      </c>
      <c r="G903" s="39" t="s">
        <v>3</v>
      </c>
      <c r="H903" s="12">
        <f>Source!AW662</f>
        <v>1</v>
      </c>
      <c r="I903" s="30">
        <f>Source!O661</f>
        <v>30.72</v>
      </c>
      <c r="J903" s="12">
        <f>IF(Source!BC662&lt;&gt; 0, Source!BC662, 1)</f>
        <v>3.94</v>
      </c>
      <c r="K903" s="30">
        <f>Source!O662</f>
        <v>121.04</v>
      </c>
      <c r="Q903">
        <f>Source!X661</f>
        <v>0</v>
      </c>
      <c r="R903">
        <f>Source!X662</f>
        <v>0</v>
      </c>
      <c r="S903">
        <f>Source!Y661</f>
        <v>0</v>
      </c>
      <c r="T903">
        <f>Source!Y662</f>
        <v>0</v>
      </c>
      <c r="U903">
        <f>ROUND((175/100)*ROUND(Source!R661, 2), 2)</f>
        <v>0</v>
      </c>
      <c r="V903">
        <f>ROUND((160/100)*ROUND(Source!R662, 2), 2)</f>
        <v>0</v>
      </c>
      <c r="AC903">
        <v>3</v>
      </c>
    </row>
    <row r="904" spans="1:29" ht="55.5" x14ac:dyDescent="0.2">
      <c r="A904" s="27" t="s">
        <v>552</v>
      </c>
      <c r="B904" s="27" t="str">
        <f>Source!F663</f>
        <v>Цена поставщика</v>
      </c>
      <c r="C904" s="27" t="s">
        <v>1655</v>
      </c>
      <c r="D904" s="28" t="str">
        <f>Source!H663</f>
        <v>шт.</v>
      </c>
      <c r="E904" s="12">
        <f>Source!I663</f>
        <v>2</v>
      </c>
      <c r="F904" s="30">
        <f>Source!AK663</f>
        <v>60.25</v>
      </c>
      <c r="G904" s="39" t="s">
        <v>3</v>
      </c>
      <c r="H904" s="12">
        <f>Source!AW664</f>
        <v>1</v>
      </c>
      <c r="I904" s="30">
        <f>Source!O663</f>
        <v>120.5</v>
      </c>
      <c r="J904" s="12">
        <f>IF(Source!BC664&lt;&gt; 0, Source!BC664, 1)</f>
        <v>8.65</v>
      </c>
      <c r="K904" s="30">
        <f>Source!O664</f>
        <v>1172.94</v>
      </c>
      <c r="Q904">
        <f>Source!X663</f>
        <v>0</v>
      </c>
      <c r="R904">
        <f>Source!X664</f>
        <v>0</v>
      </c>
      <c r="S904">
        <f>Source!Y663</f>
        <v>0</v>
      </c>
      <c r="T904">
        <f>Source!Y664</f>
        <v>0</v>
      </c>
      <c r="U904">
        <f>ROUND((175/100)*ROUND(Source!R663, 2), 2)</f>
        <v>0</v>
      </c>
      <c r="V904">
        <f>ROUND((160/100)*ROUND(Source!R664, 2), 2)</f>
        <v>0</v>
      </c>
      <c r="AC904">
        <v>3</v>
      </c>
    </row>
    <row r="905" spans="1:29" ht="14.25" x14ac:dyDescent="0.2">
      <c r="A905" s="27"/>
      <c r="B905" s="27"/>
      <c r="C905" s="27" t="s">
        <v>1598</v>
      </c>
      <c r="D905" s="28" t="s">
        <v>1599</v>
      </c>
      <c r="E905" s="12">
        <f>Source!DN660</f>
        <v>85</v>
      </c>
      <c r="F905" s="30"/>
      <c r="G905" s="29"/>
      <c r="H905" s="12"/>
      <c r="I905" s="30">
        <f>SUM(Q900:Q904)</f>
        <v>1.97</v>
      </c>
      <c r="J905" s="12">
        <f>Source!BZ660</f>
        <v>70</v>
      </c>
      <c r="K905" s="30">
        <f>SUM(R900:R904)</f>
        <v>47.15</v>
      </c>
    </row>
    <row r="906" spans="1:29" ht="14.25" x14ac:dyDescent="0.2">
      <c r="A906" s="27"/>
      <c r="B906" s="27"/>
      <c r="C906" s="27" t="s">
        <v>1600</v>
      </c>
      <c r="D906" s="28" t="s">
        <v>1599</v>
      </c>
      <c r="E906" s="12">
        <f>Source!DO660</f>
        <v>70</v>
      </c>
      <c r="F906" s="30"/>
      <c r="G906" s="29"/>
      <c r="H906" s="12"/>
      <c r="I906" s="30">
        <f>SUM(S900:S905)</f>
        <v>1.62</v>
      </c>
      <c r="J906" s="12">
        <f>Source!CA660</f>
        <v>41</v>
      </c>
      <c r="K906" s="30">
        <f>SUM(T900:T905)</f>
        <v>27.61</v>
      </c>
    </row>
    <row r="907" spans="1:29" ht="14.25" x14ac:dyDescent="0.2">
      <c r="A907" s="31"/>
      <c r="B907" s="31"/>
      <c r="C907" s="31" t="s">
        <v>1601</v>
      </c>
      <c r="D907" s="32" t="s">
        <v>1602</v>
      </c>
      <c r="E907" s="33">
        <f>Source!AQ659</f>
        <v>0.09</v>
      </c>
      <c r="F907" s="34"/>
      <c r="G907" s="35" t="str">
        <f>Source!DI659</f>
        <v>)*1,15</v>
      </c>
      <c r="H907" s="33">
        <f>Source!AV660</f>
        <v>1</v>
      </c>
      <c r="I907" s="34">
        <f>Source!U659</f>
        <v>0.20699999999999999</v>
      </c>
      <c r="J907" s="33"/>
      <c r="K907" s="34"/>
    </row>
    <row r="908" spans="1:29" ht="15" x14ac:dyDescent="0.25">
      <c r="C908" s="22" t="s">
        <v>1603</v>
      </c>
      <c r="H908" s="104">
        <f>I901+I902+I905+I906+SUM(I903:I904)-SUMIF(AC903:AC904, 5, I903:I904)-SUMIF(AC903:AC904, 6, I903:I904)</f>
        <v>157.47</v>
      </c>
      <c r="I908" s="104"/>
      <c r="J908" s="104">
        <f>K901+K902+K905+K906+SUM(K903:K904)-SUMIF(AC903:AC904, 5, K903:K904)-SUMIF(AC903:AC904, 6, K903:K904)</f>
        <v>1440.0900000000001</v>
      </c>
      <c r="K908" s="104"/>
    </row>
    <row r="909" spans="1:29" ht="15" x14ac:dyDescent="0.25">
      <c r="C909" s="22" t="s">
        <v>1604</v>
      </c>
      <c r="H909" s="100">
        <f>SUMIF(AC903:AC904, 5, I903:I904)+SUMIF(AC903:AC904, 6, I903:I904)</f>
        <v>0</v>
      </c>
      <c r="I909" s="100"/>
      <c r="J909" s="100">
        <f>SUMIF(AC903:AC904, 5, K903:K904)+SUMIF(AC903:AC904, 6, K903:K904)</f>
        <v>0</v>
      </c>
      <c r="K909" s="100"/>
    </row>
    <row r="910" spans="1:29" ht="15" x14ac:dyDescent="0.25">
      <c r="C910" s="22" t="s">
        <v>1605</v>
      </c>
      <c r="H910" s="100">
        <f>I901+I902+I905+I906+SUM(I903:I904)</f>
        <v>157.47</v>
      </c>
      <c r="I910" s="100"/>
      <c r="J910" s="100">
        <f>K901+K902+K905+K906+SUM(K903:K904)</f>
        <v>1440.0900000000001</v>
      </c>
      <c r="K910" s="100"/>
      <c r="O910" s="36">
        <f>I901+I902+I905+I906+SUM(I903:I904)</f>
        <v>157.47</v>
      </c>
      <c r="P910" s="36">
        <f>K901+K902+K905+K906+SUM(K903:K904)</f>
        <v>1440.0900000000001</v>
      </c>
    </row>
    <row r="912" spans="1:29" ht="28.5" x14ac:dyDescent="0.2">
      <c r="A912" s="27">
        <v>8</v>
      </c>
      <c r="B912" s="27" t="str">
        <f>Source!F665</f>
        <v>4.8-245-10</v>
      </c>
      <c r="C912" s="27" t="s">
        <v>654</v>
      </c>
      <c r="D912" s="28" t="str">
        <f>Source!H665</f>
        <v>100 шт.</v>
      </c>
      <c r="E912" s="12">
        <f>Source!I665</f>
        <v>0.01</v>
      </c>
      <c r="F912" s="30"/>
      <c r="G912" s="29"/>
      <c r="H912" s="12"/>
      <c r="I912" s="30"/>
      <c r="J912" s="12"/>
      <c r="K912" s="30"/>
      <c r="Q912">
        <f>Source!X665</f>
        <v>12.55</v>
      </c>
      <c r="R912">
        <f>Source!X666</f>
        <v>252.5</v>
      </c>
      <c r="S912">
        <f>Source!Y665</f>
        <v>7.38</v>
      </c>
      <c r="T912">
        <f>Source!Y666</f>
        <v>131.04</v>
      </c>
      <c r="U912">
        <f>ROUND((175/100)*ROUND(Source!R665, 2), 2)</f>
        <v>0.39</v>
      </c>
      <c r="V912">
        <f>ROUND((160/100)*ROUND(Source!R666, 2), 2)</f>
        <v>10.220000000000001</v>
      </c>
      <c r="AC912">
        <v>0</v>
      </c>
    </row>
    <row r="913" spans="1:29" ht="14.25" x14ac:dyDescent="0.2">
      <c r="A913" s="27"/>
      <c r="B913" s="27"/>
      <c r="C913" s="27" t="s">
        <v>1597</v>
      </c>
      <c r="D913" s="28"/>
      <c r="E913" s="12"/>
      <c r="F913" s="30">
        <f>Source!AO665</f>
        <v>1100.71</v>
      </c>
      <c r="G913" s="29" t="str">
        <f>Source!DG665</f>
        <v/>
      </c>
      <c r="H913" s="12">
        <f>Source!AV666</f>
        <v>1</v>
      </c>
      <c r="I913" s="30">
        <f>Source!S665</f>
        <v>11.01</v>
      </c>
      <c r="J913" s="12">
        <f>IF(Source!BA666&lt;&gt; 0, Source!BA666, 1)</f>
        <v>29.03</v>
      </c>
      <c r="K913" s="30">
        <f>Source!S666</f>
        <v>319.62</v>
      </c>
    </row>
    <row r="914" spans="1:29" ht="14.25" x14ac:dyDescent="0.2">
      <c r="A914" s="27"/>
      <c r="B914" s="27"/>
      <c r="C914" s="27" t="s">
        <v>1609</v>
      </c>
      <c r="D914" s="28"/>
      <c r="E914" s="12"/>
      <c r="F914" s="30">
        <f>Source!AM665</f>
        <v>139.31</v>
      </c>
      <c r="G914" s="29" t="str">
        <f>Source!DE665</f>
        <v/>
      </c>
      <c r="H914" s="12">
        <f>Source!AV666</f>
        <v>1</v>
      </c>
      <c r="I914" s="30">
        <f>Source!Q665</f>
        <v>1.39</v>
      </c>
      <c r="J914" s="12">
        <f>IF(Source!BB666&lt;&gt; 0, Source!BB666, 1)</f>
        <v>11.11</v>
      </c>
      <c r="K914" s="30">
        <f>Source!Q666</f>
        <v>15.44</v>
      </c>
    </row>
    <row r="915" spans="1:29" ht="14.25" x14ac:dyDescent="0.2">
      <c r="A915" s="27"/>
      <c r="B915" s="27"/>
      <c r="C915" s="27" t="s">
        <v>1610</v>
      </c>
      <c r="D915" s="28"/>
      <c r="E915" s="12"/>
      <c r="F915" s="30">
        <f>Source!AN665</f>
        <v>22.46</v>
      </c>
      <c r="G915" s="29" t="str">
        <f>Source!DF665</f>
        <v/>
      </c>
      <c r="H915" s="12">
        <f>Source!AV666</f>
        <v>1</v>
      </c>
      <c r="I915" s="38">
        <f>Source!R665</f>
        <v>0.22</v>
      </c>
      <c r="J915" s="12">
        <f>IF(Source!BS666&lt;&gt; 0, Source!BS666, 1)</f>
        <v>29.03</v>
      </c>
      <c r="K915" s="38">
        <f>Source!R666</f>
        <v>6.39</v>
      </c>
    </row>
    <row r="916" spans="1:29" ht="14.25" x14ac:dyDescent="0.2">
      <c r="A916" s="27"/>
      <c r="B916" s="27"/>
      <c r="C916" s="27" t="s">
        <v>1611</v>
      </c>
      <c r="D916" s="28"/>
      <c r="E916" s="12"/>
      <c r="F916" s="30">
        <f>Source!AL665</f>
        <v>116.9</v>
      </c>
      <c r="G916" s="29" t="str">
        <f>Source!DD665</f>
        <v/>
      </c>
      <c r="H916" s="12">
        <f>Source!AW666</f>
        <v>1</v>
      </c>
      <c r="I916" s="30">
        <f>Source!P665</f>
        <v>1.17</v>
      </c>
      <c r="J916" s="12">
        <f>IF(Source!BC666&lt;&gt; 0, Source!BC666, 1)</f>
        <v>8.14</v>
      </c>
      <c r="K916" s="30">
        <f>Source!P666</f>
        <v>9.52</v>
      </c>
    </row>
    <row r="917" spans="1:29" ht="14.25" x14ac:dyDescent="0.2">
      <c r="A917" s="27"/>
      <c r="B917" s="27"/>
      <c r="C917" s="27" t="s">
        <v>1598</v>
      </c>
      <c r="D917" s="28" t="s">
        <v>1599</v>
      </c>
      <c r="E917" s="12">
        <f>Source!DN666</f>
        <v>114</v>
      </c>
      <c r="F917" s="30"/>
      <c r="G917" s="29"/>
      <c r="H917" s="12"/>
      <c r="I917" s="30">
        <f>SUM(Q912:Q916)</f>
        <v>12.55</v>
      </c>
      <c r="J917" s="12">
        <f>Source!BZ666</f>
        <v>79</v>
      </c>
      <c r="K917" s="30">
        <f>SUM(R912:R916)</f>
        <v>252.5</v>
      </c>
    </row>
    <row r="918" spans="1:29" ht="14.25" x14ac:dyDescent="0.2">
      <c r="A918" s="27"/>
      <c r="B918" s="27"/>
      <c r="C918" s="27" t="s">
        <v>1600</v>
      </c>
      <c r="D918" s="28" t="s">
        <v>1599</v>
      </c>
      <c r="E918" s="12">
        <f>Source!DO666</f>
        <v>67</v>
      </c>
      <c r="F918" s="30"/>
      <c r="G918" s="29"/>
      <c r="H918" s="12"/>
      <c r="I918" s="30">
        <f>SUM(S912:S917)</f>
        <v>7.38</v>
      </c>
      <c r="J918" s="12">
        <f>Source!CA666</f>
        <v>41</v>
      </c>
      <c r="K918" s="30">
        <f>SUM(T912:T917)</f>
        <v>131.04</v>
      </c>
    </row>
    <row r="919" spans="1:29" ht="14.25" x14ac:dyDescent="0.2">
      <c r="A919" s="27"/>
      <c r="B919" s="27"/>
      <c r="C919" s="27" t="s">
        <v>1612</v>
      </c>
      <c r="D919" s="28" t="s">
        <v>1599</v>
      </c>
      <c r="E919" s="12">
        <f>175</f>
        <v>175</v>
      </c>
      <c r="F919" s="30"/>
      <c r="G919" s="29"/>
      <c r="H919" s="12"/>
      <c r="I919" s="30">
        <f>SUM(U912:U918)</f>
        <v>0.39</v>
      </c>
      <c r="J919" s="12">
        <f>160</f>
        <v>160</v>
      </c>
      <c r="K919" s="30">
        <f>SUM(V912:V918)</f>
        <v>10.220000000000001</v>
      </c>
    </row>
    <row r="920" spans="1:29" ht="14.25" x14ac:dyDescent="0.2">
      <c r="A920" s="31"/>
      <c r="B920" s="31"/>
      <c r="C920" s="31" t="s">
        <v>1601</v>
      </c>
      <c r="D920" s="32" t="s">
        <v>1602</v>
      </c>
      <c r="E920" s="33">
        <f>Source!AQ665</f>
        <v>84.67</v>
      </c>
      <c r="F920" s="34"/>
      <c r="G920" s="35" t="str">
        <f>Source!DI665</f>
        <v/>
      </c>
      <c r="H920" s="33">
        <f>Source!AV666</f>
        <v>1</v>
      </c>
      <c r="I920" s="34">
        <f>Source!U665</f>
        <v>0.84670000000000001</v>
      </c>
      <c r="J920" s="33"/>
      <c r="K920" s="34"/>
    </row>
    <row r="921" spans="1:29" ht="15" x14ac:dyDescent="0.25">
      <c r="C921" s="22" t="s">
        <v>1603</v>
      </c>
      <c r="H921" s="104">
        <f>I913+I914+I916+I917+I918+I919+0-0-0</f>
        <v>33.89</v>
      </c>
      <c r="I921" s="104"/>
      <c r="J921" s="104">
        <f>K913+K914+K916+K917+K918+K919+0-0-0</f>
        <v>738.33999999999992</v>
      </c>
      <c r="K921" s="104"/>
    </row>
    <row r="922" spans="1:29" ht="15" x14ac:dyDescent="0.25">
      <c r="C922" s="22" t="s">
        <v>1604</v>
      </c>
      <c r="H922" s="100">
        <f>0+0</f>
        <v>0</v>
      </c>
      <c r="I922" s="100"/>
      <c r="J922" s="100">
        <f>0+0</f>
        <v>0</v>
      </c>
      <c r="K922" s="100"/>
    </row>
    <row r="923" spans="1:29" ht="15" x14ac:dyDescent="0.25">
      <c r="C923" s="22" t="s">
        <v>1605</v>
      </c>
      <c r="H923" s="100">
        <f>I913+I914+I916+I917+I918+I919+0</f>
        <v>33.89</v>
      </c>
      <c r="I923" s="100"/>
      <c r="J923" s="100">
        <f>K913+K914+K916+K917+K918+K919+0</f>
        <v>738.33999999999992</v>
      </c>
      <c r="K923" s="100"/>
      <c r="O923" s="36">
        <f>I913+I914+I916+I917+I918+I919+0</f>
        <v>33.89</v>
      </c>
      <c r="P923" s="36">
        <f>K913+K914+K916+K917+K918+K919+0</f>
        <v>738.33999999999992</v>
      </c>
    </row>
    <row r="925" spans="1:29" ht="14.25" x14ac:dyDescent="0.2">
      <c r="A925" s="27">
        <v>9</v>
      </c>
      <c r="B925" s="27" t="str">
        <f>Source!F667</f>
        <v>4.10-59-3</v>
      </c>
      <c r="C925" s="27" t="s">
        <v>659</v>
      </c>
      <c r="D925" s="28" t="str">
        <f>Source!H667</f>
        <v>1  ШТ.</v>
      </c>
      <c r="E925" s="12">
        <f>Source!I667</f>
        <v>2</v>
      </c>
      <c r="F925" s="30"/>
      <c r="G925" s="29"/>
      <c r="H925" s="12"/>
      <c r="I925" s="30"/>
      <c r="J925" s="12"/>
      <c r="K925" s="30"/>
      <c r="Q925">
        <f>Source!X667</f>
        <v>24.4</v>
      </c>
      <c r="R925">
        <f>Source!X668</f>
        <v>490.78</v>
      </c>
      <c r="S925">
        <f>Source!Y667</f>
        <v>14.34</v>
      </c>
      <c r="T925">
        <f>Source!Y668</f>
        <v>254.71</v>
      </c>
      <c r="U925">
        <f>ROUND((175/100)*ROUND(Source!R667, 2), 2)</f>
        <v>0</v>
      </c>
      <c r="V925">
        <f>ROUND((160/100)*ROUND(Source!R668, 2), 2)</f>
        <v>0</v>
      </c>
      <c r="AC925">
        <v>0</v>
      </c>
    </row>
    <row r="926" spans="1:29" ht="14.25" x14ac:dyDescent="0.2">
      <c r="A926" s="27"/>
      <c r="B926" s="27"/>
      <c r="C926" s="27" t="s">
        <v>1597</v>
      </c>
      <c r="D926" s="28"/>
      <c r="E926" s="12"/>
      <c r="F926" s="30">
        <f>Source!AO667</f>
        <v>10.7</v>
      </c>
      <c r="G926" s="29" t="str">
        <f>Source!DG667</f>
        <v/>
      </c>
      <c r="H926" s="12">
        <f>Source!AV668</f>
        <v>1</v>
      </c>
      <c r="I926" s="30">
        <f>Source!S667</f>
        <v>21.4</v>
      </c>
      <c r="J926" s="12">
        <f>IF(Source!BA668&lt;&gt; 0, Source!BA668, 1)</f>
        <v>29.03</v>
      </c>
      <c r="K926" s="30">
        <f>Source!S668</f>
        <v>621.24</v>
      </c>
    </row>
    <row r="927" spans="1:29" ht="14.25" x14ac:dyDescent="0.2">
      <c r="A927" s="27"/>
      <c r="B927" s="27"/>
      <c r="C927" s="27" t="s">
        <v>1611</v>
      </c>
      <c r="D927" s="28"/>
      <c r="E927" s="12"/>
      <c r="F927" s="30">
        <f>Source!AL667</f>
        <v>7.0000000000000007E-2</v>
      </c>
      <c r="G927" s="29" t="str">
        <f>Source!DD667</f>
        <v/>
      </c>
      <c r="H927" s="12">
        <f>Source!AW668</f>
        <v>1</v>
      </c>
      <c r="I927" s="30">
        <f>Source!P667</f>
        <v>0.14000000000000001</v>
      </c>
      <c r="J927" s="12">
        <f>IF(Source!BC668&lt;&gt; 0, Source!BC668, 1)</f>
        <v>1</v>
      </c>
      <c r="K927" s="30">
        <f>Source!P668</f>
        <v>0.14000000000000001</v>
      </c>
    </row>
    <row r="928" spans="1:29" ht="14.25" x14ac:dyDescent="0.2">
      <c r="A928" s="27"/>
      <c r="B928" s="27"/>
      <c r="C928" s="27" t="s">
        <v>1598</v>
      </c>
      <c r="D928" s="28" t="s">
        <v>1599</v>
      </c>
      <c r="E928" s="12">
        <f>Source!DN668</f>
        <v>114</v>
      </c>
      <c r="F928" s="30"/>
      <c r="G928" s="29"/>
      <c r="H928" s="12"/>
      <c r="I928" s="30">
        <f>SUM(Q925:Q927)</f>
        <v>24.4</v>
      </c>
      <c r="J928" s="12">
        <f>Source!BZ668</f>
        <v>79</v>
      </c>
      <c r="K928" s="30">
        <f>SUM(R925:R927)</f>
        <v>490.78</v>
      </c>
    </row>
    <row r="929" spans="1:29" ht="14.25" x14ac:dyDescent="0.2">
      <c r="A929" s="27"/>
      <c r="B929" s="27"/>
      <c r="C929" s="27" t="s">
        <v>1600</v>
      </c>
      <c r="D929" s="28" t="s">
        <v>1599</v>
      </c>
      <c r="E929" s="12">
        <f>Source!DO668</f>
        <v>67</v>
      </c>
      <c r="F929" s="30"/>
      <c r="G929" s="29"/>
      <c r="H929" s="12"/>
      <c r="I929" s="30">
        <f>SUM(S925:S928)</f>
        <v>14.34</v>
      </c>
      <c r="J929" s="12">
        <f>Source!CA668</f>
        <v>41</v>
      </c>
      <c r="K929" s="30">
        <f>SUM(T925:T928)</f>
        <v>254.71</v>
      </c>
    </row>
    <row r="930" spans="1:29" ht="14.25" x14ac:dyDescent="0.2">
      <c r="A930" s="31"/>
      <c r="B930" s="31"/>
      <c r="C930" s="31" t="s">
        <v>1601</v>
      </c>
      <c r="D930" s="32" t="s">
        <v>1602</v>
      </c>
      <c r="E930" s="33">
        <f>Source!AQ667</f>
        <v>1</v>
      </c>
      <c r="F930" s="34"/>
      <c r="G930" s="35" t="str">
        <f>Source!DI667</f>
        <v/>
      </c>
      <c r="H930" s="33">
        <f>Source!AV668</f>
        <v>1</v>
      </c>
      <c r="I930" s="34">
        <f>Source!U667</f>
        <v>2</v>
      </c>
      <c r="J930" s="33"/>
      <c r="K930" s="34"/>
    </row>
    <row r="931" spans="1:29" ht="15" x14ac:dyDescent="0.25">
      <c r="C931" s="22" t="s">
        <v>1603</v>
      </c>
      <c r="H931" s="104">
        <f>I926+I927+I928+I929+0-0-0</f>
        <v>60.28</v>
      </c>
      <c r="I931" s="104"/>
      <c r="J931" s="104">
        <f>K926+K927+K928+K929+0-0-0</f>
        <v>1366.87</v>
      </c>
      <c r="K931" s="104"/>
    </row>
    <row r="932" spans="1:29" ht="15" x14ac:dyDescent="0.25">
      <c r="C932" s="22" t="s">
        <v>1604</v>
      </c>
      <c r="H932" s="100">
        <f>0+0</f>
        <v>0</v>
      </c>
      <c r="I932" s="100"/>
      <c r="J932" s="100">
        <f>0+0</f>
        <v>0</v>
      </c>
      <c r="K932" s="100"/>
    </row>
    <row r="933" spans="1:29" ht="15" x14ac:dyDescent="0.25">
      <c r="C933" s="22" t="s">
        <v>1605</v>
      </c>
      <c r="H933" s="100">
        <f>I926+I927+I928+I929+0</f>
        <v>60.28</v>
      </c>
      <c r="I933" s="100"/>
      <c r="J933" s="100">
        <f>K926+K927+K928+K929+0</f>
        <v>1366.87</v>
      </c>
      <c r="K933" s="100"/>
      <c r="O933" s="36">
        <f>I926+I927+I928+I929+0</f>
        <v>60.28</v>
      </c>
      <c r="P933" s="36">
        <f>K926+K927+K928+K929+0</f>
        <v>1366.87</v>
      </c>
    </row>
    <row r="935" spans="1:29" ht="52.5" x14ac:dyDescent="0.2">
      <c r="A935" s="27">
        <v>10</v>
      </c>
      <c r="B935" s="27" t="s">
        <v>1654</v>
      </c>
      <c r="C935" s="27" t="s">
        <v>646</v>
      </c>
      <c r="D935" s="28" t="str">
        <f>Source!H669</f>
        <v>1  ШТ.</v>
      </c>
      <c r="E935" s="12">
        <f>Source!I669</f>
        <v>1</v>
      </c>
      <c r="F935" s="30"/>
      <c r="G935" s="29"/>
      <c r="H935" s="12"/>
      <c r="I935" s="30"/>
      <c r="J935" s="12"/>
      <c r="K935" s="30"/>
      <c r="Q935">
        <f>Source!X669</f>
        <v>0.99</v>
      </c>
      <c r="R935">
        <f>Source!X670</f>
        <v>23.57</v>
      </c>
      <c r="S935">
        <f>Source!Y669</f>
        <v>0.81</v>
      </c>
      <c r="T935">
        <f>Source!Y670</f>
        <v>13.8</v>
      </c>
      <c r="U935">
        <f>ROUND((175/100)*ROUND(Source!R669, 2), 2)</f>
        <v>0</v>
      </c>
      <c r="V935">
        <f>ROUND((160/100)*ROUND(Source!R670, 2), 2)</f>
        <v>0</v>
      </c>
      <c r="AC935">
        <v>0</v>
      </c>
    </row>
    <row r="936" spans="1:29" ht="14.25" x14ac:dyDescent="0.2">
      <c r="A936" s="27"/>
      <c r="B936" s="27"/>
      <c r="C936" s="27" t="s">
        <v>1597</v>
      </c>
      <c r="D936" s="28"/>
      <c r="E936" s="12"/>
      <c r="F936" s="30">
        <f>Source!AO669</f>
        <v>1.01</v>
      </c>
      <c r="G936" s="29" t="str">
        <f>Source!DG669</f>
        <v>)*1,15</v>
      </c>
      <c r="H936" s="12">
        <f>Source!AV670</f>
        <v>1</v>
      </c>
      <c r="I936" s="30">
        <f>Source!S669</f>
        <v>1.1599999999999999</v>
      </c>
      <c r="J936" s="12">
        <f>IF(Source!BA670&lt;&gt; 0, Source!BA670, 1)</f>
        <v>29.03</v>
      </c>
      <c r="K936" s="30">
        <f>Source!S670</f>
        <v>33.67</v>
      </c>
    </row>
    <row r="937" spans="1:29" ht="14.25" x14ac:dyDescent="0.2">
      <c r="A937" s="27"/>
      <c r="B937" s="27"/>
      <c r="C937" s="27" t="s">
        <v>1611</v>
      </c>
      <c r="D937" s="28"/>
      <c r="E937" s="12"/>
      <c r="F937" s="30">
        <f>Source!AL669</f>
        <v>0.17</v>
      </c>
      <c r="G937" s="29" t="str">
        <f>Source!DD669</f>
        <v/>
      </c>
      <c r="H937" s="12">
        <f>Source!AW670</f>
        <v>1</v>
      </c>
      <c r="I937" s="30">
        <f>Source!P669</f>
        <v>0.17</v>
      </c>
      <c r="J937" s="12">
        <f>IF(Source!BC670&lt;&gt; 0, Source!BC670, 1)</f>
        <v>11.76</v>
      </c>
      <c r="K937" s="30">
        <f>Source!P670</f>
        <v>2</v>
      </c>
    </row>
    <row r="938" spans="1:29" ht="55.5" x14ac:dyDescent="0.2">
      <c r="A938" s="27" t="s">
        <v>201</v>
      </c>
      <c r="B938" s="27" t="str">
        <f>Source!F671</f>
        <v>Цена поставщика</v>
      </c>
      <c r="C938" s="27" t="s">
        <v>1656</v>
      </c>
      <c r="D938" s="28" t="str">
        <f>Source!H671</f>
        <v>шт.</v>
      </c>
      <c r="E938" s="12">
        <f>Source!I671</f>
        <v>1</v>
      </c>
      <c r="F938" s="30">
        <f>Source!AK671</f>
        <v>60.25</v>
      </c>
      <c r="G938" s="39" t="s">
        <v>3</v>
      </c>
      <c r="H938" s="12">
        <f>Source!AW672</f>
        <v>1</v>
      </c>
      <c r="I938" s="30">
        <f>Source!O671</f>
        <v>60.25</v>
      </c>
      <c r="J938" s="12">
        <f>IF(Source!BC672&lt;&gt; 0, Source!BC672, 1)</f>
        <v>8.65</v>
      </c>
      <c r="K938" s="30">
        <f>Source!O672</f>
        <v>586.47</v>
      </c>
      <c r="Q938">
        <f>Source!X671</f>
        <v>0</v>
      </c>
      <c r="R938">
        <f>Source!X672</f>
        <v>0</v>
      </c>
      <c r="S938">
        <f>Source!Y671</f>
        <v>0</v>
      </c>
      <c r="T938">
        <f>Source!Y672</f>
        <v>0</v>
      </c>
      <c r="U938">
        <f>ROUND((175/100)*ROUND(Source!R671, 2), 2)</f>
        <v>0</v>
      </c>
      <c r="V938">
        <f>ROUND((160/100)*ROUND(Source!R672, 2), 2)</f>
        <v>0</v>
      </c>
      <c r="AC938">
        <v>3</v>
      </c>
    </row>
    <row r="939" spans="1:29" ht="14.25" x14ac:dyDescent="0.2">
      <c r="A939" s="27"/>
      <c r="B939" s="27"/>
      <c r="C939" s="27" t="s">
        <v>1598</v>
      </c>
      <c r="D939" s="28" t="s">
        <v>1599</v>
      </c>
      <c r="E939" s="12">
        <f>Source!DN670</f>
        <v>85</v>
      </c>
      <c r="F939" s="30"/>
      <c r="G939" s="29"/>
      <c r="H939" s="12"/>
      <c r="I939" s="30">
        <f>SUM(Q935:Q938)</f>
        <v>0.99</v>
      </c>
      <c r="J939" s="12">
        <f>Source!BZ670</f>
        <v>70</v>
      </c>
      <c r="K939" s="30">
        <f>SUM(R935:R938)</f>
        <v>23.57</v>
      </c>
    </row>
    <row r="940" spans="1:29" ht="14.25" x14ac:dyDescent="0.2">
      <c r="A940" s="27"/>
      <c r="B940" s="27"/>
      <c r="C940" s="27" t="s">
        <v>1600</v>
      </c>
      <c r="D940" s="28" t="s">
        <v>1599</v>
      </c>
      <c r="E940" s="12">
        <f>Source!DO670</f>
        <v>70</v>
      </c>
      <c r="F940" s="30"/>
      <c r="G940" s="29"/>
      <c r="H940" s="12"/>
      <c r="I940" s="30">
        <f>SUM(S935:S939)</f>
        <v>0.81</v>
      </c>
      <c r="J940" s="12">
        <f>Source!CA670</f>
        <v>41</v>
      </c>
      <c r="K940" s="30">
        <f>SUM(T935:T939)</f>
        <v>13.8</v>
      </c>
    </row>
    <row r="941" spans="1:29" ht="14.25" x14ac:dyDescent="0.2">
      <c r="A941" s="31"/>
      <c r="B941" s="31"/>
      <c r="C941" s="31" t="s">
        <v>1601</v>
      </c>
      <c r="D941" s="32" t="s">
        <v>1602</v>
      </c>
      <c r="E941" s="33">
        <f>Source!AQ669</f>
        <v>0.09</v>
      </c>
      <c r="F941" s="34"/>
      <c r="G941" s="35" t="str">
        <f>Source!DI669</f>
        <v>)*1,15</v>
      </c>
      <c r="H941" s="33">
        <f>Source!AV670</f>
        <v>1</v>
      </c>
      <c r="I941" s="34">
        <f>Source!U669</f>
        <v>0.10349999999999999</v>
      </c>
      <c r="J941" s="33"/>
      <c r="K941" s="34"/>
    </row>
    <row r="942" spans="1:29" ht="15" x14ac:dyDescent="0.25">
      <c r="C942" s="22" t="s">
        <v>1603</v>
      </c>
      <c r="H942" s="104">
        <f>I936+I937+I939+I940+SUM(I938:I938)-SUMIF(AC938:AC938, 5, I938:I938)-SUMIF(AC938:AC938, 6, I938:I938)</f>
        <v>63.38</v>
      </c>
      <c r="I942" s="104"/>
      <c r="J942" s="104">
        <f>K936+K937+K939+K940+SUM(K938:K938)-SUMIF(AC938:AC938, 5, K938:K938)-SUMIF(AC938:AC938, 6, K938:K938)</f>
        <v>659.51</v>
      </c>
      <c r="K942" s="104"/>
    </row>
    <row r="943" spans="1:29" ht="15" x14ac:dyDescent="0.25">
      <c r="C943" s="22" t="s">
        <v>1604</v>
      </c>
      <c r="H943" s="100">
        <f>SUMIF(AC938:AC938, 5, I938:I938)+SUMIF(AC938:AC938, 6, I938:I938)</f>
        <v>0</v>
      </c>
      <c r="I943" s="100"/>
      <c r="J943" s="100">
        <f>SUMIF(AC938:AC938, 5, K938:K938)+SUMIF(AC938:AC938, 6, K938:K938)</f>
        <v>0</v>
      </c>
      <c r="K943" s="100"/>
    </row>
    <row r="944" spans="1:29" ht="15" x14ac:dyDescent="0.25">
      <c r="C944" s="22" t="s">
        <v>1605</v>
      </c>
      <c r="H944" s="100">
        <f>I936+I937+I939+I940+SUM(I938:I938)</f>
        <v>63.38</v>
      </c>
      <c r="I944" s="100"/>
      <c r="J944" s="100">
        <f>K936+K937+K939+K940+SUM(K938:K938)</f>
        <v>659.51</v>
      </c>
      <c r="K944" s="100"/>
      <c r="O944" s="36">
        <f>I936+I937+I939+I940+SUM(I938:I938)</f>
        <v>63.38</v>
      </c>
      <c r="P944" s="36">
        <f>K936+K937+K939+K940+SUM(K938:K938)</f>
        <v>659.51</v>
      </c>
    </row>
    <row r="946" spans="1:29" ht="28.5" x14ac:dyDescent="0.2">
      <c r="A946" s="27">
        <v>11</v>
      </c>
      <c r="B946" s="27" t="str">
        <f>Source!F673</f>
        <v>4.10-19-6</v>
      </c>
      <c r="C946" s="27" t="s">
        <v>630</v>
      </c>
      <c r="D946" s="28" t="str">
        <f>Source!H673</f>
        <v>1  ШТ.</v>
      </c>
      <c r="E946" s="12">
        <f>Source!I673</f>
        <v>1</v>
      </c>
      <c r="F946" s="30"/>
      <c r="G946" s="29"/>
      <c r="H946" s="12"/>
      <c r="I946" s="30"/>
      <c r="J946" s="12"/>
      <c r="K946" s="30"/>
      <c r="Q946">
        <f>Source!X673</f>
        <v>154.15</v>
      </c>
      <c r="R946">
        <f>Source!X674</f>
        <v>3101.1</v>
      </c>
      <c r="S946">
        <f>Source!Y673</f>
        <v>90.6</v>
      </c>
      <c r="T946">
        <f>Source!Y674</f>
        <v>1609.43</v>
      </c>
      <c r="U946">
        <f>ROUND((175/100)*ROUND(Source!R673, 2), 2)</f>
        <v>11.83</v>
      </c>
      <c r="V946">
        <f>ROUND((160/100)*ROUND(Source!R674, 2), 2)</f>
        <v>313.98</v>
      </c>
      <c r="AC946">
        <v>0</v>
      </c>
    </row>
    <row r="947" spans="1:29" ht="14.25" x14ac:dyDescent="0.2">
      <c r="A947" s="27"/>
      <c r="B947" s="27"/>
      <c r="C947" s="27" t="s">
        <v>1597</v>
      </c>
      <c r="D947" s="28"/>
      <c r="E947" s="12"/>
      <c r="F947" s="30">
        <f>Source!AO673</f>
        <v>135.22</v>
      </c>
      <c r="G947" s="29" t="str">
        <f>Source!DG673</f>
        <v/>
      </c>
      <c r="H947" s="12">
        <f>Source!AV674</f>
        <v>1</v>
      </c>
      <c r="I947" s="30">
        <f>Source!S673</f>
        <v>135.22</v>
      </c>
      <c r="J947" s="12">
        <f>IF(Source!BA674&lt;&gt; 0, Source!BA674, 1)</f>
        <v>29.03</v>
      </c>
      <c r="K947" s="30">
        <f>Source!S674</f>
        <v>3925.44</v>
      </c>
    </row>
    <row r="948" spans="1:29" ht="14.25" x14ac:dyDescent="0.2">
      <c r="A948" s="27"/>
      <c r="B948" s="27"/>
      <c r="C948" s="27" t="s">
        <v>1609</v>
      </c>
      <c r="D948" s="28"/>
      <c r="E948" s="12"/>
      <c r="F948" s="30">
        <f>Source!AM673</f>
        <v>29.2</v>
      </c>
      <c r="G948" s="29" t="str">
        <f>Source!DE673</f>
        <v/>
      </c>
      <c r="H948" s="12">
        <f>Source!AV674</f>
        <v>1</v>
      </c>
      <c r="I948" s="30">
        <f>Source!Q673</f>
        <v>29.2</v>
      </c>
      <c r="J948" s="12">
        <f>IF(Source!BB674&lt;&gt; 0, Source!BB674, 1)</f>
        <v>11.32</v>
      </c>
      <c r="K948" s="30">
        <f>Source!Q674</f>
        <v>330.54</v>
      </c>
    </row>
    <row r="949" spans="1:29" ht="14.25" x14ac:dyDescent="0.2">
      <c r="A949" s="27"/>
      <c r="B949" s="27"/>
      <c r="C949" s="27" t="s">
        <v>1610</v>
      </c>
      <c r="D949" s="28"/>
      <c r="E949" s="12"/>
      <c r="F949" s="30">
        <f>Source!AN673</f>
        <v>6.76</v>
      </c>
      <c r="G949" s="29" t="str">
        <f>Source!DF673</f>
        <v/>
      </c>
      <c r="H949" s="12">
        <f>Source!AV674</f>
        <v>1</v>
      </c>
      <c r="I949" s="38">
        <f>Source!R673</f>
        <v>6.76</v>
      </c>
      <c r="J949" s="12">
        <f>IF(Source!BS674&lt;&gt; 0, Source!BS674, 1)</f>
        <v>29.03</v>
      </c>
      <c r="K949" s="38">
        <f>Source!R674</f>
        <v>196.24</v>
      </c>
    </row>
    <row r="950" spans="1:29" ht="14.25" x14ac:dyDescent="0.2">
      <c r="A950" s="27"/>
      <c r="B950" s="27"/>
      <c r="C950" s="27" t="s">
        <v>1611</v>
      </c>
      <c r="D950" s="28"/>
      <c r="E950" s="12"/>
      <c r="F950" s="30">
        <f>Source!AL673</f>
        <v>5.1100000000000003</v>
      </c>
      <c r="G950" s="29" t="str">
        <f>Source!DD673</f>
        <v/>
      </c>
      <c r="H950" s="12">
        <f>Source!AW674</f>
        <v>1</v>
      </c>
      <c r="I950" s="30">
        <f>Source!P673</f>
        <v>5.1100000000000003</v>
      </c>
      <c r="J950" s="12">
        <f>IF(Source!BC674&lt;&gt; 0, Source!BC674, 1)</f>
        <v>8.91</v>
      </c>
      <c r="K950" s="30">
        <f>Source!P674</f>
        <v>45.53</v>
      </c>
    </row>
    <row r="951" spans="1:29" ht="14.25" x14ac:dyDescent="0.2">
      <c r="A951" s="27"/>
      <c r="B951" s="27"/>
      <c r="C951" s="27" t="s">
        <v>1598</v>
      </c>
      <c r="D951" s="28" t="s">
        <v>1599</v>
      </c>
      <c r="E951" s="12">
        <f>Source!DN674</f>
        <v>114</v>
      </c>
      <c r="F951" s="30"/>
      <c r="G951" s="29"/>
      <c r="H951" s="12"/>
      <c r="I951" s="30">
        <f>SUM(Q946:Q950)</f>
        <v>154.15</v>
      </c>
      <c r="J951" s="12">
        <f>Source!BZ674</f>
        <v>79</v>
      </c>
      <c r="K951" s="30">
        <f>SUM(R946:R950)</f>
        <v>3101.1</v>
      </c>
    </row>
    <row r="952" spans="1:29" ht="14.25" x14ac:dyDescent="0.2">
      <c r="A952" s="27"/>
      <c r="B952" s="27"/>
      <c r="C952" s="27" t="s">
        <v>1600</v>
      </c>
      <c r="D952" s="28" t="s">
        <v>1599</v>
      </c>
      <c r="E952" s="12">
        <f>Source!DO674</f>
        <v>67</v>
      </c>
      <c r="F952" s="30"/>
      <c r="G952" s="29"/>
      <c r="H952" s="12"/>
      <c r="I952" s="30">
        <f>SUM(S946:S951)</f>
        <v>90.6</v>
      </c>
      <c r="J952" s="12">
        <f>Source!CA674</f>
        <v>41</v>
      </c>
      <c r="K952" s="30">
        <f>SUM(T946:T951)</f>
        <v>1609.43</v>
      </c>
    </row>
    <row r="953" spans="1:29" ht="14.25" x14ac:dyDescent="0.2">
      <c r="A953" s="27"/>
      <c r="B953" s="27"/>
      <c r="C953" s="27" t="s">
        <v>1612</v>
      </c>
      <c r="D953" s="28" t="s">
        <v>1599</v>
      </c>
      <c r="E953" s="12">
        <f>175</f>
        <v>175</v>
      </c>
      <c r="F953" s="30"/>
      <c r="G953" s="29"/>
      <c r="H953" s="12"/>
      <c r="I953" s="30">
        <f>SUM(U946:U952)</f>
        <v>11.83</v>
      </c>
      <c r="J953" s="12">
        <f>160</f>
        <v>160</v>
      </c>
      <c r="K953" s="30">
        <f>SUM(V946:V952)</f>
        <v>313.98</v>
      </c>
    </row>
    <row r="954" spans="1:29" ht="14.25" x14ac:dyDescent="0.2">
      <c r="A954" s="31"/>
      <c r="B954" s="31"/>
      <c r="C954" s="31" t="s">
        <v>1601</v>
      </c>
      <c r="D954" s="32" t="s">
        <v>1602</v>
      </c>
      <c r="E954" s="33">
        <f>Source!AQ673</f>
        <v>9.3000000000000007</v>
      </c>
      <c r="F954" s="34"/>
      <c r="G954" s="35" t="str">
        <f>Source!DI673</f>
        <v/>
      </c>
      <c r="H954" s="33">
        <f>Source!AV674</f>
        <v>1</v>
      </c>
      <c r="I954" s="34">
        <f>Source!U673</f>
        <v>9.3000000000000007</v>
      </c>
      <c r="J954" s="33"/>
      <c r="K954" s="34"/>
    </row>
    <row r="955" spans="1:29" ht="15" x14ac:dyDescent="0.25">
      <c r="C955" s="22" t="s">
        <v>1603</v>
      </c>
      <c r="H955" s="104">
        <f>I947+I948+I950+I951+I952+I953+0-0-0</f>
        <v>426.10999999999996</v>
      </c>
      <c r="I955" s="104"/>
      <c r="J955" s="104">
        <f>K947+K948+K950+K951+K952+K953+0-0-0</f>
        <v>9326.02</v>
      </c>
      <c r="K955" s="104"/>
    </row>
    <row r="956" spans="1:29" ht="15" x14ac:dyDescent="0.25">
      <c r="C956" s="22" t="s">
        <v>1604</v>
      </c>
      <c r="H956" s="100">
        <f>0+0</f>
        <v>0</v>
      </c>
      <c r="I956" s="100"/>
      <c r="J956" s="100">
        <f>0+0</f>
        <v>0</v>
      </c>
      <c r="K956" s="100"/>
    </row>
    <row r="957" spans="1:29" ht="15" x14ac:dyDescent="0.25">
      <c r="C957" s="22" t="s">
        <v>1605</v>
      </c>
      <c r="H957" s="100">
        <f>I947+I948+I950+I951+I952+I953+0</f>
        <v>426.10999999999996</v>
      </c>
      <c r="I957" s="100"/>
      <c r="J957" s="100">
        <f>K947+K948+K950+K951+K952+K953+0</f>
        <v>9326.02</v>
      </c>
      <c r="K957" s="100"/>
      <c r="O957" s="36">
        <f>I947+I948+I950+I951+I952+I953+0</f>
        <v>426.10999999999996</v>
      </c>
      <c r="P957" s="36">
        <f>K947+K948+K950+K951+K952+K953+0</f>
        <v>9326.02</v>
      </c>
    </row>
    <row r="959" spans="1:29" ht="57" x14ac:dyDescent="0.2">
      <c r="A959" s="27">
        <v>12</v>
      </c>
      <c r="B959" s="27" t="str">
        <f>Source!F675</f>
        <v>4.8-251-9</v>
      </c>
      <c r="C959" s="27" t="s">
        <v>663</v>
      </c>
      <c r="D959" s="28" t="str">
        <f>Source!H675</f>
        <v>1  ШТ.</v>
      </c>
      <c r="E959" s="12">
        <f>Source!I675</f>
        <v>1</v>
      </c>
      <c r="F959" s="30"/>
      <c r="G959" s="29"/>
      <c r="H959" s="12"/>
      <c r="I959" s="30"/>
      <c r="J959" s="12"/>
      <c r="K959" s="30"/>
      <c r="Q959">
        <f>Source!X675</f>
        <v>42.98</v>
      </c>
      <c r="R959">
        <f>Source!X676</f>
        <v>864.6</v>
      </c>
      <c r="S959">
        <f>Source!Y675</f>
        <v>25.26</v>
      </c>
      <c r="T959">
        <f>Source!Y676</f>
        <v>448.72</v>
      </c>
      <c r="U959">
        <f>ROUND((175/100)*ROUND(Source!R675, 2), 2)</f>
        <v>0.39</v>
      </c>
      <c r="V959">
        <f>ROUND((160/100)*ROUND(Source!R676, 2), 2)</f>
        <v>10.220000000000001</v>
      </c>
      <c r="AC959">
        <v>0</v>
      </c>
    </row>
    <row r="960" spans="1:29" ht="14.25" x14ac:dyDescent="0.2">
      <c r="A960" s="27"/>
      <c r="B960" s="27"/>
      <c r="C960" s="27" t="s">
        <v>1597</v>
      </c>
      <c r="D960" s="28"/>
      <c r="E960" s="12"/>
      <c r="F960" s="30">
        <f>Source!AO675</f>
        <v>37.700000000000003</v>
      </c>
      <c r="G960" s="29" t="str">
        <f>Source!DG675</f>
        <v/>
      </c>
      <c r="H960" s="12">
        <f>Source!AV676</f>
        <v>1</v>
      </c>
      <c r="I960" s="30">
        <f>Source!S675</f>
        <v>37.700000000000003</v>
      </c>
      <c r="J960" s="12">
        <f>IF(Source!BA676&lt;&gt; 0, Source!BA676, 1)</f>
        <v>29.03</v>
      </c>
      <c r="K960" s="30">
        <f>Source!S676</f>
        <v>1094.43</v>
      </c>
    </row>
    <row r="961" spans="1:29" ht="14.25" x14ac:dyDescent="0.2">
      <c r="A961" s="27"/>
      <c r="B961" s="27"/>
      <c r="C961" s="27" t="s">
        <v>1609</v>
      </c>
      <c r="D961" s="28"/>
      <c r="E961" s="12"/>
      <c r="F961" s="30">
        <f>Source!AM675</f>
        <v>1.46</v>
      </c>
      <c r="G961" s="29" t="str">
        <f>Source!DE675</f>
        <v/>
      </c>
      <c r="H961" s="12">
        <f>Source!AV676</f>
        <v>1</v>
      </c>
      <c r="I961" s="30">
        <f>Source!Q675</f>
        <v>1.46</v>
      </c>
      <c r="J961" s="12">
        <f>IF(Source!BB676&lt;&gt; 0, Source!BB676, 1)</f>
        <v>10.11</v>
      </c>
      <c r="K961" s="30">
        <f>Source!Q676</f>
        <v>14.76</v>
      </c>
    </row>
    <row r="962" spans="1:29" ht="14.25" x14ac:dyDescent="0.2">
      <c r="A962" s="27"/>
      <c r="B962" s="27"/>
      <c r="C962" s="27" t="s">
        <v>1610</v>
      </c>
      <c r="D962" s="28"/>
      <c r="E962" s="12"/>
      <c r="F962" s="30">
        <f>Source!AN675</f>
        <v>0.22</v>
      </c>
      <c r="G962" s="29" t="str">
        <f>Source!DF675</f>
        <v/>
      </c>
      <c r="H962" s="12">
        <f>Source!AV676</f>
        <v>1</v>
      </c>
      <c r="I962" s="38">
        <f>Source!R675</f>
        <v>0.22</v>
      </c>
      <c r="J962" s="12">
        <f>IF(Source!BS676&lt;&gt; 0, Source!BS676, 1)</f>
        <v>29.03</v>
      </c>
      <c r="K962" s="38">
        <f>Source!R676</f>
        <v>6.39</v>
      </c>
    </row>
    <row r="963" spans="1:29" ht="14.25" x14ac:dyDescent="0.2">
      <c r="A963" s="27"/>
      <c r="B963" s="27"/>
      <c r="C963" s="27" t="s">
        <v>1611</v>
      </c>
      <c r="D963" s="28"/>
      <c r="E963" s="12"/>
      <c r="F963" s="30">
        <f>Source!AL675</f>
        <v>33.04</v>
      </c>
      <c r="G963" s="29" t="str">
        <f>Source!DD675</f>
        <v/>
      </c>
      <c r="H963" s="12">
        <f>Source!AW676</f>
        <v>1</v>
      </c>
      <c r="I963" s="30">
        <f>Source!P675</f>
        <v>33.04</v>
      </c>
      <c r="J963" s="12">
        <f>IF(Source!BC676&lt;&gt; 0, Source!BC676, 1)</f>
        <v>5.83</v>
      </c>
      <c r="K963" s="30">
        <f>Source!P676</f>
        <v>192.62</v>
      </c>
    </row>
    <row r="964" spans="1:29" ht="71.25" x14ac:dyDescent="0.2">
      <c r="A964" s="27" t="s">
        <v>596</v>
      </c>
      <c r="B964" s="27" t="str">
        <f>Source!F677</f>
        <v>1.21-4-255</v>
      </c>
      <c r="C964" s="27" t="s">
        <v>666</v>
      </c>
      <c r="D964" s="28" t="str">
        <f>Source!H677</f>
        <v>шт.</v>
      </c>
      <c r="E964" s="12">
        <f>Source!I677</f>
        <v>1</v>
      </c>
      <c r="F964" s="30">
        <f>Source!AK677</f>
        <v>56.94</v>
      </c>
      <c r="G964" s="39" t="s">
        <v>3</v>
      </c>
      <c r="H964" s="12">
        <f>Source!AW678</f>
        <v>1</v>
      </c>
      <c r="I964" s="30">
        <f>Source!O677</f>
        <v>56.94</v>
      </c>
      <c r="J964" s="12">
        <f>IF(Source!BC678&lt;&gt; 0, Source!BC678, 1)</f>
        <v>8.9700000000000006</v>
      </c>
      <c r="K964" s="30">
        <f>Source!O678</f>
        <v>510.75</v>
      </c>
      <c r="Q964">
        <f>Source!X677</f>
        <v>0</v>
      </c>
      <c r="R964">
        <f>Source!X678</f>
        <v>0</v>
      </c>
      <c r="S964">
        <f>Source!Y677</f>
        <v>0</v>
      </c>
      <c r="T964">
        <f>Source!Y678</f>
        <v>0</v>
      </c>
      <c r="U964">
        <f>ROUND((175/100)*ROUND(Source!R677, 2), 2)</f>
        <v>0</v>
      </c>
      <c r="V964">
        <f>ROUND((160/100)*ROUND(Source!R678, 2), 2)</f>
        <v>0</v>
      </c>
      <c r="AC964">
        <v>3</v>
      </c>
    </row>
    <row r="965" spans="1:29" ht="14.25" x14ac:dyDescent="0.2">
      <c r="A965" s="27"/>
      <c r="B965" s="27"/>
      <c r="C965" s="27" t="s">
        <v>1598</v>
      </c>
      <c r="D965" s="28" t="s">
        <v>1599</v>
      </c>
      <c r="E965" s="12">
        <f>Source!DN676</f>
        <v>114</v>
      </c>
      <c r="F965" s="30"/>
      <c r="G965" s="29"/>
      <c r="H965" s="12"/>
      <c r="I965" s="30">
        <f>SUM(Q959:Q964)</f>
        <v>42.98</v>
      </c>
      <c r="J965" s="12">
        <f>Source!BZ676</f>
        <v>79</v>
      </c>
      <c r="K965" s="30">
        <f>SUM(R959:R964)</f>
        <v>864.6</v>
      </c>
    </row>
    <row r="966" spans="1:29" ht="14.25" x14ac:dyDescent="0.2">
      <c r="A966" s="27"/>
      <c r="B966" s="27"/>
      <c r="C966" s="27" t="s">
        <v>1600</v>
      </c>
      <c r="D966" s="28" t="s">
        <v>1599</v>
      </c>
      <c r="E966" s="12">
        <f>Source!DO676</f>
        <v>67</v>
      </c>
      <c r="F966" s="30"/>
      <c r="G966" s="29"/>
      <c r="H966" s="12"/>
      <c r="I966" s="30">
        <f>SUM(S959:S965)</f>
        <v>25.26</v>
      </c>
      <c r="J966" s="12">
        <f>Source!CA676</f>
        <v>41</v>
      </c>
      <c r="K966" s="30">
        <f>SUM(T959:T965)</f>
        <v>448.72</v>
      </c>
    </row>
    <row r="967" spans="1:29" ht="14.25" x14ac:dyDescent="0.2">
      <c r="A967" s="27"/>
      <c r="B967" s="27"/>
      <c r="C967" s="27" t="s">
        <v>1612</v>
      </c>
      <c r="D967" s="28" t="s">
        <v>1599</v>
      </c>
      <c r="E967" s="12">
        <f>175</f>
        <v>175</v>
      </c>
      <c r="F967" s="30"/>
      <c r="G967" s="29"/>
      <c r="H967" s="12"/>
      <c r="I967" s="30">
        <f>SUM(U959:U966)</f>
        <v>0.39</v>
      </c>
      <c r="J967" s="12">
        <f>160</f>
        <v>160</v>
      </c>
      <c r="K967" s="30">
        <f>SUM(V959:V966)</f>
        <v>10.220000000000001</v>
      </c>
    </row>
    <row r="968" spans="1:29" ht="14.25" x14ac:dyDescent="0.2">
      <c r="A968" s="31"/>
      <c r="B968" s="31"/>
      <c r="C968" s="31" t="s">
        <v>1601</v>
      </c>
      <c r="D968" s="32" t="s">
        <v>1602</v>
      </c>
      <c r="E968" s="33">
        <f>Source!AQ675</f>
        <v>2.9</v>
      </c>
      <c r="F968" s="34"/>
      <c r="G968" s="35" t="str">
        <f>Source!DI675</f>
        <v/>
      </c>
      <c r="H968" s="33">
        <f>Source!AV676</f>
        <v>1</v>
      </c>
      <c r="I968" s="34">
        <f>Source!U675</f>
        <v>2.9</v>
      </c>
      <c r="J968" s="33"/>
      <c r="K968" s="34"/>
    </row>
    <row r="969" spans="1:29" ht="15" x14ac:dyDescent="0.25">
      <c r="C969" s="22" t="s">
        <v>1603</v>
      </c>
      <c r="H969" s="104">
        <f>I960+I961+I963+I965+I966+I967+SUM(I964:I964)-SUMIF(AC964:AC964, 5, I964:I964)-SUMIF(AC964:AC964, 6, I964:I964)</f>
        <v>197.76999999999998</v>
      </c>
      <c r="I969" s="104"/>
      <c r="J969" s="104">
        <f>K960+K961+K963+K965+K966+K967+SUM(K964:K964)-SUMIF(AC964:AC964, 5, K964:K964)-SUMIF(AC964:AC964, 6, K964:K964)</f>
        <v>3136.1</v>
      </c>
      <c r="K969" s="104"/>
    </row>
    <row r="970" spans="1:29" ht="15" x14ac:dyDescent="0.25">
      <c r="C970" s="22" t="s">
        <v>1604</v>
      </c>
      <c r="H970" s="100">
        <f>SUMIF(AC964:AC964, 5, I964:I964)+SUMIF(AC964:AC964, 6, I964:I964)</f>
        <v>0</v>
      </c>
      <c r="I970" s="100"/>
      <c r="J970" s="100">
        <f>SUMIF(AC964:AC964, 5, K964:K964)+SUMIF(AC964:AC964, 6, K964:K964)</f>
        <v>0</v>
      </c>
      <c r="K970" s="100"/>
    </row>
    <row r="971" spans="1:29" ht="15" x14ac:dyDescent="0.25">
      <c r="C971" s="22" t="s">
        <v>1605</v>
      </c>
      <c r="H971" s="100">
        <f>I960+I961+I963+I965+I966+I967+SUM(I964:I964)</f>
        <v>197.76999999999998</v>
      </c>
      <c r="I971" s="100"/>
      <c r="J971" s="100">
        <f>K960+K961+K963+K965+K966+K967+SUM(K964:K964)</f>
        <v>3136.1</v>
      </c>
      <c r="K971" s="100"/>
      <c r="O971" s="36">
        <f>I960+I961+I963+I965+I966+I967+SUM(I964:I964)</f>
        <v>197.76999999999998</v>
      </c>
      <c r="P971" s="36">
        <f>K960+K961+K963+K965+K966+K967+SUM(K964:K964)</f>
        <v>3136.1</v>
      </c>
    </row>
    <row r="973" spans="1:29" ht="28.5" x14ac:dyDescent="0.2">
      <c r="A973" s="27">
        <v>13</v>
      </c>
      <c r="B973" s="27" t="str">
        <f>Source!F679</f>
        <v>4.8-280-2</v>
      </c>
      <c r="C973" s="27" t="s">
        <v>669</v>
      </c>
      <c r="D973" s="28" t="str">
        <f>Source!H679</f>
        <v>100 м</v>
      </c>
      <c r="E973" s="12">
        <f>Source!I679</f>
        <v>0.5</v>
      </c>
      <c r="F973" s="30"/>
      <c r="G973" s="29"/>
      <c r="H973" s="12"/>
      <c r="I973" s="30"/>
      <c r="J973" s="12"/>
      <c r="K973" s="30"/>
      <c r="Q973">
        <f>Source!X679</f>
        <v>280.08</v>
      </c>
      <c r="R973">
        <f>Source!X680</f>
        <v>5634.35</v>
      </c>
      <c r="S973">
        <f>Source!Y679</f>
        <v>164.61</v>
      </c>
      <c r="T973">
        <f>Source!Y680</f>
        <v>2924.16</v>
      </c>
      <c r="U973">
        <f>ROUND((175/100)*ROUND(Source!R679, 2), 2)</f>
        <v>3.45</v>
      </c>
      <c r="V973">
        <f>ROUND((160/100)*ROUND(Source!R680, 2), 2)</f>
        <v>91.5</v>
      </c>
      <c r="AC973">
        <v>0</v>
      </c>
    </row>
    <row r="974" spans="1:29" ht="14.25" x14ac:dyDescent="0.2">
      <c r="A974" s="27"/>
      <c r="B974" s="27"/>
      <c r="C974" s="27" t="s">
        <v>1597</v>
      </c>
      <c r="D974" s="28"/>
      <c r="E974" s="12"/>
      <c r="F974" s="30">
        <f>Source!AO679</f>
        <v>491.35</v>
      </c>
      <c r="G974" s="29" t="str">
        <f>Source!DG679</f>
        <v/>
      </c>
      <c r="H974" s="12">
        <f>Source!AV680</f>
        <v>1</v>
      </c>
      <c r="I974" s="30">
        <f>Source!S679</f>
        <v>245.68</v>
      </c>
      <c r="J974" s="12">
        <f>IF(Source!BA680&lt;&gt; 0, Source!BA680, 1)</f>
        <v>29.03</v>
      </c>
      <c r="K974" s="30">
        <f>Source!S680</f>
        <v>7132.09</v>
      </c>
    </row>
    <row r="975" spans="1:29" ht="14.25" x14ac:dyDescent="0.2">
      <c r="A975" s="27"/>
      <c r="B975" s="27"/>
      <c r="C975" s="27" t="s">
        <v>1609</v>
      </c>
      <c r="D975" s="28"/>
      <c r="E975" s="12"/>
      <c r="F975" s="30">
        <f>Source!AM679</f>
        <v>29.47</v>
      </c>
      <c r="G975" s="29" t="str">
        <f>Source!DE679</f>
        <v/>
      </c>
      <c r="H975" s="12">
        <f>Source!AV680</f>
        <v>1</v>
      </c>
      <c r="I975" s="30">
        <f>Source!Q679</f>
        <v>14.74</v>
      </c>
      <c r="J975" s="12">
        <f>IF(Source!BB680&lt;&gt; 0, Source!BB680, 1)</f>
        <v>11.35</v>
      </c>
      <c r="K975" s="30">
        <f>Source!Q680</f>
        <v>167.3</v>
      </c>
    </row>
    <row r="976" spans="1:29" ht="14.25" x14ac:dyDescent="0.2">
      <c r="A976" s="27"/>
      <c r="B976" s="27"/>
      <c r="C976" s="27" t="s">
        <v>1610</v>
      </c>
      <c r="D976" s="28"/>
      <c r="E976" s="12"/>
      <c r="F976" s="30">
        <f>Source!AN679</f>
        <v>3.94</v>
      </c>
      <c r="G976" s="29" t="str">
        <f>Source!DF679</f>
        <v/>
      </c>
      <c r="H976" s="12">
        <f>Source!AV680</f>
        <v>1</v>
      </c>
      <c r="I976" s="38">
        <f>Source!R679</f>
        <v>1.97</v>
      </c>
      <c r="J976" s="12">
        <f>IF(Source!BS680&lt;&gt; 0, Source!BS680, 1)</f>
        <v>29.03</v>
      </c>
      <c r="K976" s="38">
        <f>Source!R680</f>
        <v>57.19</v>
      </c>
    </row>
    <row r="977" spans="1:29" ht="14.25" x14ac:dyDescent="0.2">
      <c r="A977" s="27"/>
      <c r="B977" s="27"/>
      <c r="C977" s="27" t="s">
        <v>1611</v>
      </c>
      <c r="D977" s="28"/>
      <c r="E977" s="12"/>
      <c r="F977" s="30">
        <f>Source!AL679</f>
        <v>1844.59</v>
      </c>
      <c r="G977" s="29" t="str">
        <f>Source!DD679</f>
        <v/>
      </c>
      <c r="H977" s="12">
        <f>Source!AW680</f>
        <v>1</v>
      </c>
      <c r="I977" s="30">
        <f>Source!P679</f>
        <v>922.3</v>
      </c>
      <c r="J977" s="12">
        <f>IF(Source!BC680&lt;&gt; 0, Source!BC680, 1)</f>
        <v>8.8699999999999992</v>
      </c>
      <c r="K977" s="30">
        <f>Source!P680</f>
        <v>8180.8</v>
      </c>
    </row>
    <row r="978" spans="1:29" ht="28.5" x14ac:dyDescent="0.2">
      <c r="A978" s="27" t="s">
        <v>225</v>
      </c>
      <c r="B978" s="27" t="str">
        <f>Source!F681</f>
        <v>1.1-1-3169</v>
      </c>
      <c r="C978" s="27" t="s">
        <v>674</v>
      </c>
      <c r="D978" s="28" t="str">
        <f>Source!H681</f>
        <v>м</v>
      </c>
      <c r="E978" s="12">
        <f>Source!I681</f>
        <v>50</v>
      </c>
      <c r="F978" s="30">
        <f>Source!AK681</f>
        <v>9.74</v>
      </c>
      <c r="G978" s="39" t="s">
        <v>3</v>
      </c>
      <c r="H978" s="12">
        <f>Source!AW682</f>
        <v>1</v>
      </c>
      <c r="I978" s="30">
        <f>Source!O681</f>
        <v>487</v>
      </c>
      <c r="J978" s="12">
        <f>IF(Source!BC682&lt;&gt; 0, Source!BC682, 1)</f>
        <v>6.97</v>
      </c>
      <c r="K978" s="30">
        <f>Source!O682</f>
        <v>3394.39</v>
      </c>
      <c r="Q978">
        <f>Source!X681</f>
        <v>0</v>
      </c>
      <c r="R978">
        <f>Source!X682</f>
        <v>0</v>
      </c>
      <c r="S978">
        <f>Source!Y681</f>
        <v>0</v>
      </c>
      <c r="T978">
        <f>Source!Y682</f>
        <v>0</v>
      </c>
      <c r="U978">
        <f>ROUND((175/100)*ROUND(Source!R681, 2), 2)</f>
        <v>0</v>
      </c>
      <c r="V978">
        <f>ROUND((160/100)*ROUND(Source!R682, 2), 2)</f>
        <v>0</v>
      </c>
      <c r="AC978">
        <v>3</v>
      </c>
    </row>
    <row r="979" spans="1:29" ht="14.25" x14ac:dyDescent="0.2">
      <c r="A979" s="27"/>
      <c r="B979" s="27"/>
      <c r="C979" s="27" t="s">
        <v>1598</v>
      </c>
      <c r="D979" s="28" t="s">
        <v>1599</v>
      </c>
      <c r="E979" s="12">
        <f>Source!DN680</f>
        <v>114</v>
      </c>
      <c r="F979" s="30"/>
      <c r="G979" s="29"/>
      <c r="H979" s="12"/>
      <c r="I979" s="30">
        <f>SUM(Q973:Q978)</f>
        <v>280.08</v>
      </c>
      <c r="J979" s="12">
        <f>Source!BZ680</f>
        <v>79</v>
      </c>
      <c r="K979" s="30">
        <f>SUM(R973:R978)</f>
        <v>5634.35</v>
      </c>
    </row>
    <row r="980" spans="1:29" ht="14.25" x14ac:dyDescent="0.2">
      <c r="A980" s="27"/>
      <c r="B980" s="27"/>
      <c r="C980" s="27" t="s">
        <v>1600</v>
      </c>
      <c r="D980" s="28" t="s">
        <v>1599</v>
      </c>
      <c r="E980" s="12">
        <f>Source!DO680</f>
        <v>67</v>
      </c>
      <c r="F980" s="30"/>
      <c r="G980" s="29"/>
      <c r="H980" s="12"/>
      <c r="I980" s="30">
        <f>SUM(S973:S979)</f>
        <v>164.61</v>
      </c>
      <c r="J980" s="12">
        <f>Source!CA680</f>
        <v>41</v>
      </c>
      <c r="K980" s="30">
        <f>SUM(T973:T979)</f>
        <v>2924.16</v>
      </c>
    </row>
    <row r="981" spans="1:29" ht="14.25" x14ac:dyDescent="0.2">
      <c r="A981" s="27"/>
      <c r="B981" s="27"/>
      <c r="C981" s="27" t="s">
        <v>1612</v>
      </c>
      <c r="D981" s="28" t="s">
        <v>1599</v>
      </c>
      <c r="E981" s="12">
        <f>175</f>
        <v>175</v>
      </c>
      <c r="F981" s="30"/>
      <c r="G981" s="29"/>
      <c r="H981" s="12"/>
      <c r="I981" s="30">
        <f>SUM(U973:U980)</f>
        <v>3.45</v>
      </c>
      <c r="J981" s="12">
        <f>160</f>
        <v>160</v>
      </c>
      <c r="K981" s="30">
        <f>SUM(V973:V980)</f>
        <v>91.5</v>
      </c>
    </row>
    <row r="982" spans="1:29" ht="14.25" x14ac:dyDescent="0.2">
      <c r="A982" s="31"/>
      <c r="B982" s="31"/>
      <c r="C982" s="31" t="s">
        <v>1601</v>
      </c>
      <c r="D982" s="32" t="s">
        <v>1602</v>
      </c>
      <c r="E982" s="33">
        <f>Source!AQ679</f>
        <v>40.67</v>
      </c>
      <c r="F982" s="34"/>
      <c r="G982" s="35" t="str">
        <f>Source!DI679</f>
        <v/>
      </c>
      <c r="H982" s="33">
        <f>Source!AV680</f>
        <v>1</v>
      </c>
      <c r="I982" s="34">
        <f>Source!U679</f>
        <v>20.335000000000001</v>
      </c>
      <c r="J982" s="33"/>
      <c r="K982" s="34"/>
    </row>
    <row r="983" spans="1:29" ht="15" x14ac:dyDescent="0.25">
      <c r="C983" s="22" t="s">
        <v>1603</v>
      </c>
      <c r="H983" s="104">
        <f>I974+I975+I977+I979+I980+I981+SUM(I978:I978)-SUMIF(AC978:AC978, 5, I978:I978)-SUMIF(AC978:AC978, 6, I978:I978)</f>
        <v>2117.8599999999997</v>
      </c>
      <c r="I983" s="104"/>
      <c r="J983" s="104">
        <f>K974+K975+K977+K979+K980+K981+SUM(K978:K978)-SUMIF(AC978:AC978, 5, K978:K978)-SUMIF(AC978:AC978, 6, K978:K978)</f>
        <v>27524.59</v>
      </c>
      <c r="K983" s="104"/>
    </row>
    <row r="984" spans="1:29" ht="15" x14ac:dyDescent="0.25">
      <c r="C984" s="22" t="s">
        <v>1604</v>
      </c>
      <c r="H984" s="100">
        <f>SUMIF(AC978:AC978, 5, I978:I978)+SUMIF(AC978:AC978, 6, I978:I978)</f>
        <v>0</v>
      </c>
      <c r="I984" s="100"/>
      <c r="J984" s="100">
        <f>SUMIF(AC978:AC978, 5, K978:K978)+SUMIF(AC978:AC978, 6, K978:K978)</f>
        <v>0</v>
      </c>
      <c r="K984" s="100"/>
    </row>
    <row r="985" spans="1:29" ht="15" x14ac:dyDescent="0.25">
      <c r="C985" s="22" t="s">
        <v>1605</v>
      </c>
      <c r="H985" s="100">
        <f>I974+I975+I977+I979+I980+I981+SUM(I978:I978)</f>
        <v>2117.8599999999997</v>
      </c>
      <c r="I985" s="100"/>
      <c r="J985" s="100">
        <f>K974+K975+K977+K979+K980+K981+SUM(K978:K978)</f>
        <v>27524.59</v>
      </c>
      <c r="K985" s="100"/>
      <c r="O985" s="36">
        <f>I974+I975+I977+I979+I980+I981+SUM(I978:I978)</f>
        <v>2117.8599999999997</v>
      </c>
      <c r="P985" s="36">
        <f>K974+K975+K977+K979+K980+K981+SUM(K978:K978)</f>
        <v>27524.59</v>
      </c>
    </row>
    <row r="987" spans="1:29" ht="57" x14ac:dyDescent="0.2">
      <c r="A987" s="27">
        <v>14</v>
      </c>
      <c r="B987" s="27" t="str">
        <f>Source!F683</f>
        <v>4.8-172-1</v>
      </c>
      <c r="C987" s="27" t="s">
        <v>677</v>
      </c>
      <c r="D987" s="28" t="str">
        <f>Source!H683</f>
        <v>100 м</v>
      </c>
      <c r="E987" s="12">
        <f>Source!I683</f>
        <v>1.0999999999999999E-2</v>
      </c>
      <c r="F987" s="30"/>
      <c r="G987" s="29"/>
      <c r="H987" s="12"/>
      <c r="I987" s="30"/>
      <c r="J987" s="12"/>
      <c r="K987" s="30"/>
      <c r="Q987">
        <f>Source!X683</f>
        <v>3.2</v>
      </c>
      <c r="R987">
        <f>Source!X684</f>
        <v>64.44</v>
      </c>
      <c r="S987">
        <f>Source!Y683</f>
        <v>1.88</v>
      </c>
      <c r="T987">
        <f>Source!Y684</f>
        <v>33.44</v>
      </c>
      <c r="U987">
        <f>ROUND((175/100)*ROUND(Source!R683, 2), 2)</f>
        <v>0.16</v>
      </c>
      <c r="V987">
        <f>ROUND((160/100)*ROUND(Source!R684, 2), 2)</f>
        <v>4.18</v>
      </c>
      <c r="AC987">
        <v>0</v>
      </c>
    </row>
    <row r="988" spans="1:29" ht="14.25" x14ac:dyDescent="0.2">
      <c r="A988" s="27"/>
      <c r="B988" s="27"/>
      <c r="C988" s="27" t="s">
        <v>1597</v>
      </c>
      <c r="D988" s="28"/>
      <c r="E988" s="12"/>
      <c r="F988" s="30">
        <f>Source!AO683</f>
        <v>255.23</v>
      </c>
      <c r="G988" s="29" t="str">
        <f>Source!DG683</f>
        <v/>
      </c>
      <c r="H988" s="12">
        <f>Source!AV684</f>
        <v>1</v>
      </c>
      <c r="I988" s="30">
        <f>Source!S683</f>
        <v>2.81</v>
      </c>
      <c r="J988" s="12">
        <f>IF(Source!BA684&lt;&gt; 0, Source!BA684, 1)</f>
        <v>29.03</v>
      </c>
      <c r="K988" s="30">
        <f>Source!S684</f>
        <v>81.569999999999993</v>
      </c>
    </row>
    <row r="989" spans="1:29" ht="14.25" x14ac:dyDescent="0.2">
      <c r="A989" s="27"/>
      <c r="B989" s="27"/>
      <c r="C989" s="27" t="s">
        <v>1609</v>
      </c>
      <c r="D989" s="28"/>
      <c r="E989" s="12"/>
      <c r="F989" s="30">
        <f>Source!AM683</f>
        <v>116.22</v>
      </c>
      <c r="G989" s="29" t="str">
        <f>Source!DE683</f>
        <v/>
      </c>
      <c r="H989" s="12">
        <f>Source!AV684</f>
        <v>1</v>
      </c>
      <c r="I989" s="30">
        <f>Source!Q683</f>
        <v>1.28</v>
      </c>
      <c r="J989" s="12">
        <f>IF(Source!BB684&lt;&gt; 0, Source!BB684, 1)</f>
        <v>10.32</v>
      </c>
      <c r="K989" s="30">
        <f>Source!Q684</f>
        <v>13.21</v>
      </c>
    </row>
    <row r="990" spans="1:29" ht="14.25" x14ac:dyDescent="0.2">
      <c r="A990" s="27"/>
      <c r="B990" s="27"/>
      <c r="C990" s="27" t="s">
        <v>1610</v>
      </c>
      <c r="D990" s="28"/>
      <c r="E990" s="12"/>
      <c r="F990" s="30">
        <f>Source!AN683</f>
        <v>8.59</v>
      </c>
      <c r="G990" s="29" t="str">
        <f>Source!DF683</f>
        <v/>
      </c>
      <c r="H990" s="12">
        <f>Source!AV684</f>
        <v>1</v>
      </c>
      <c r="I990" s="38">
        <f>Source!R683</f>
        <v>0.09</v>
      </c>
      <c r="J990" s="12">
        <f>IF(Source!BS684&lt;&gt; 0, Source!BS684, 1)</f>
        <v>29.03</v>
      </c>
      <c r="K990" s="38">
        <f>Source!R684</f>
        <v>2.61</v>
      </c>
    </row>
    <row r="991" spans="1:29" ht="14.25" x14ac:dyDescent="0.2">
      <c r="A991" s="27"/>
      <c r="B991" s="27"/>
      <c r="C991" s="27" t="s">
        <v>1611</v>
      </c>
      <c r="D991" s="28"/>
      <c r="E991" s="12"/>
      <c r="F991" s="30">
        <f>Source!AL683</f>
        <v>119</v>
      </c>
      <c r="G991" s="29" t="str">
        <f>Source!DD683</f>
        <v/>
      </c>
      <c r="H991" s="12">
        <f>Source!AW684</f>
        <v>1</v>
      </c>
      <c r="I991" s="30">
        <f>Source!P683</f>
        <v>1.31</v>
      </c>
      <c r="J991" s="12">
        <f>IF(Source!BC684&lt;&gt; 0, Source!BC684, 1)</f>
        <v>2.86</v>
      </c>
      <c r="K991" s="30">
        <f>Source!P684</f>
        <v>3.75</v>
      </c>
    </row>
    <row r="992" spans="1:29" ht="57" x14ac:dyDescent="0.2">
      <c r="A992" s="27" t="s">
        <v>235</v>
      </c>
      <c r="B992" s="27" t="str">
        <f>Source!F685</f>
        <v>1.12-5-41</v>
      </c>
      <c r="C992" s="27" t="s">
        <v>682</v>
      </c>
      <c r="D992" s="28" t="str">
        <f>Source!H685</f>
        <v>м</v>
      </c>
      <c r="E992" s="12">
        <f>Source!I685</f>
        <v>1.1220000000000001</v>
      </c>
      <c r="F992" s="30">
        <f>Source!AK685</f>
        <v>3.35</v>
      </c>
      <c r="G992" s="39" t="s">
        <v>3</v>
      </c>
      <c r="H992" s="12">
        <f>Source!AW686</f>
        <v>1</v>
      </c>
      <c r="I992" s="30">
        <f>Source!O685</f>
        <v>3.76</v>
      </c>
      <c r="J992" s="12">
        <f>IF(Source!BC686&lt;&gt; 0, Source!BC686, 1)</f>
        <v>4.99</v>
      </c>
      <c r="K992" s="30">
        <f>Source!O686</f>
        <v>18.760000000000002</v>
      </c>
      <c r="Q992">
        <f>Source!X685</f>
        <v>0</v>
      </c>
      <c r="R992">
        <f>Source!X686</f>
        <v>0</v>
      </c>
      <c r="S992">
        <f>Source!Y685</f>
        <v>0</v>
      </c>
      <c r="T992">
        <f>Source!Y686</f>
        <v>0</v>
      </c>
      <c r="U992">
        <f>ROUND((175/100)*ROUND(Source!R685, 2), 2)</f>
        <v>0</v>
      </c>
      <c r="V992">
        <f>ROUND((160/100)*ROUND(Source!R686, 2), 2)</f>
        <v>0</v>
      </c>
      <c r="AC992">
        <v>3</v>
      </c>
    </row>
    <row r="993" spans="1:29" ht="14.25" x14ac:dyDescent="0.2">
      <c r="A993" s="27"/>
      <c r="B993" s="27"/>
      <c r="C993" s="27" t="s">
        <v>1598</v>
      </c>
      <c r="D993" s="28" t="s">
        <v>1599</v>
      </c>
      <c r="E993" s="12">
        <f>Source!DN684</f>
        <v>114</v>
      </c>
      <c r="F993" s="30"/>
      <c r="G993" s="29"/>
      <c r="H993" s="12"/>
      <c r="I993" s="30">
        <f>SUM(Q987:Q992)</f>
        <v>3.2</v>
      </c>
      <c r="J993" s="12">
        <f>Source!BZ684</f>
        <v>79</v>
      </c>
      <c r="K993" s="30">
        <f>SUM(R987:R992)</f>
        <v>64.44</v>
      </c>
    </row>
    <row r="994" spans="1:29" ht="14.25" x14ac:dyDescent="0.2">
      <c r="A994" s="27"/>
      <c r="B994" s="27"/>
      <c r="C994" s="27" t="s">
        <v>1600</v>
      </c>
      <c r="D994" s="28" t="s">
        <v>1599</v>
      </c>
      <c r="E994" s="12">
        <f>Source!DO684</f>
        <v>67</v>
      </c>
      <c r="F994" s="30"/>
      <c r="G994" s="29"/>
      <c r="H994" s="12"/>
      <c r="I994" s="30">
        <f>SUM(S987:S993)</f>
        <v>1.88</v>
      </c>
      <c r="J994" s="12">
        <f>Source!CA684</f>
        <v>41</v>
      </c>
      <c r="K994" s="30">
        <f>SUM(T987:T993)</f>
        <v>33.44</v>
      </c>
    </row>
    <row r="995" spans="1:29" ht="14.25" x14ac:dyDescent="0.2">
      <c r="A995" s="27"/>
      <c r="B995" s="27"/>
      <c r="C995" s="27" t="s">
        <v>1612</v>
      </c>
      <c r="D995" s="28" t="s">
        <v>1599</v>
      </c>
      <c r="E995" s="12">
        <f>175</f>
        <v>175</v>
      </c>
      <c r="F995" s="30"/>
      <c r="G995" s="29"/>
      <c r="H995" s="12"/>
      <c r="I995" s="30">
        <f>SUM(U987:U994)</f>
        <v>0.16</v>
      </c>
      <c r="J995" s="12">
        <f>160</f>
        <v>160</v>
      </c>
      <c r="K995" s="30">
        <f>SUM(V987:V994)</f>
        <v>4.18</v>
      </c>
    </row>
    <row r="996" spans="1:29" ht="14.25" x14ac:dyDescent="0.2">
      <c r="A996" s="31"/>
      <c r="B996" s="31"/>
      <c r="C996" s="31" t="s">
        <v>1601</v>
      </c>
      <c r="D996" s="32" t="s">
        <v>1602</v>
      </c>
      <c r="E996" s="33">
        <f>Source!AQ683</f>
        <v>20.7</v>
      </c>
      <c r="F996" s="34"/>
      <c r="G996" s="35" t="str">
        <f>Source!DI683</f>
        <v/>
      </c>
      <c r="H996" s="33">
        <f>Source!AV684</f>
        <v>1</v>
      </c>
      <c r="I996" s="34">
        <f>Source!U683</f>
        <v>0.22769999999999999</v>
      </c>
      <c r="J996" s="33"/>
      <c r="K996" s="34"/>
    </row>
    <row r="997" spans="1:29" ht="15" x14ac:dyDescent="0.25">
      <c r="C997" s="22" t="s">
        <v>1603</v>
      </c>
      <c r="H997" s="104">
        <f>I988+I989+I991+I993+I994+I995+SUM(I992:I992)-SUMIF(AC992:AC992, 5, I992:I992)-SUMIF(AC992:AC992, 6, I992:I992)</f>
        <v>14.4</v>
      </c>
      <c r="I997" s="104"/>
      <c r="J997" s="104">
        <f>K988+K989+K991+K993+K994+K995+SUM(K992:K992)-SUMIF(AC992:AC992, 5, K992:K992)-SUMIF(AC992:AC992, 6, K992:K992)</f>
        <v>219.35</v>
      </c>
      <c r="K997" s="104"/>
    </row>
    <row r="998" spans="1:29" ht="15" x14ac:dyDescent="0.25">
      <c r="C998" s="22" t="s">
        <v>1604</v>
      </c>
      <c r="H998" s="100">
        <f>SUMIF(AC992:AC992, 5, I992:I992)+SUMIF(AC992:AC992, 6, I992:I992)</f>
        <v>0</v>
      </c>
      <c r="I998" s="100"/>
      <c r="J998" s="100">
        <f>SUMIF(AC992:AC992, 5, K992:K992)+SUMIF(AC992:AC992, 6, K992:K992)</f>
        <v>0</v>
      </c>
      <c r="K998" s="100"/>
    </row>
    <row r="999" spans="1:29" ht="15" x14ac:dyDescent="0.25">
      <c r="C999" s="22" t="s">
        <v>1605</v>
      </c>
      <c r="H999" s="100">
        <f>I988+I989+I991+I993+I994+I995+SUM(I992:I992)</f>
        <v>14.4</v>
      </c>
      <c r="I999" s="100"/>
      <c r="J999" s="100">
        <f>K988+K989+K991+K993+K994+K995+SUM(K992:K992)</f>
        <v>219.35</v>
      </c>
      <c r="K999" s="100"/>
      <c r="O999" s="36">
        <f>I988+I989+I991+I993+I994+I995+SUM(I992:I992)</f>
        <v>14.4</v>
      </c>
      <c r="P999" s="36">
        <f>K988+K989+K991+K993+K994+K995+SUM(K992:K992)</f>
        <v>219.35</v>
      </c>
    </row>
    <row r="1001" spans="1:29" ht="28.5" x14ac:dyDescent="0.2">
      <c r="A1001" s="27">
        <v>15</v>
      </c>
      <c r="B1001" s="27" t="str">
        <f>Source!F687</f>
        <v>4.8-174-1</v>
      </c>
      <c r="C1001" s="27" t="s">
        <v>685</v>
      </c>
      <c r="D1001" s="28" t="str">
        <f>Source!H687</f>
        <v>100 м</v>
      </c>
      <c r="E1001" s="12">
        <f>Source!I687</f>
        <v>0.1</v>
      </c>
      <c r="F1001" s="30"/>
      <c r="G1001" s="29"/>
      <c r="H1001" s="12"/>
      <c r="I1001" s="30"/>
      <c r="J1001" s="12"/>
      <c r="K1001" s="30"/>
      <c r="Q1001">
        <f>Source!X687</f>
        <v>42.03</v>
      </c>
      <c r="R1001">
        <f>Source!X688</f>
        <v>845.57</v>
      </c>
      <c r="S1001">
        <f>Source!Y687</f>
        <v>24.7</v>
      </c>
      <c r="T1001">
        <f>Source!Y688</f>
        <v>438.84</v>
      </c>
      <c r="U1001">
        <f>ROUND((175/100)*ROUND(Source!R687, 2), 2)</f>
        <v>7.98</v>
      </c>
      <c r="V1001">
        <f>ROUND((160/100)*ROUND(Source!R688, 2), 2)</f>
        <v>211.81</v>
      </c>
      <c r="AC1001">
        <v>0</v>
      </c>
    </row>
    <row r="1002" spans="1:29" ht="14.25" x14ac:dyDescent="0.2">
      <c r="A1002" s="27"/>
      <c r="B1002" s="27"/>
      <c r="C1002" s="27" t="s">
        <v>1597</v>
      </c>
      <c r="D1002" s="28"/>
      <c r="E1002" s="12"/>
      <c r="F1002" s="30">
        <f>Source!AO687</f>
        <v>368.67</v>
      </c>
      <c r="G1002" s="29" t="str">
        <f>Source!DG687</f>
        <v/>
      </c>
      <c r="H1002" s="12">
        <f>Source!AV688</f>
        <v>1</v>
      </c>
      <c r="I1002" s="30">
        <f>Source!S687</f>
        <v>36.869999999999997</v>
      </c>
      <c r="J1002" s="12">
        <f>IF(Source!BA688&lt;&gt; 0, Source!BA688, 1)</f>
        <v>29.03</v>
      </c>
      <c r="K1002" s="30">
        <f>Source!S688</f>
        <v>1070.3399999999999</v>
      </c>
    </row>
    <row r="1003" spans="1:29" ht="14.25" x14ac:dyDescent="0.2">
      <c r="A1003" s="27"/>
      <c r="B1003" s="27"/>
      <c r="C1003" s="27" t="s">
        <v>1609</v>
      </c>
      <c r="D1003" s="28"/>
      <c r="E1003" s="12"/>
      <c r="F1003" s="30">
        <f>Source!AM687</f>
        <v>691.38</v>
      </c>
      <c r="G1003" s="29" t="str">
        <f>Source!DE687</f>
        <v/>
      </c>
      <c r="H1003" s="12">
        <f>Source!AV688</f>
        <v>1</v>
      </c>
      <c r="I1003" s="30">
        <f>Source!Q687</f>
        <v>69.14</v>
      </c>
      <c r="J1003" s="12">
        <f>IF(Source!BB688&lt;&gt; 0, Source!BB688, 1)</f>
        <v>10.33</v>
      </c>
      <c r="K1003" s="30">
        <f>Source!Q688</f>
        <v>714.22</v>
      </c>
    </row>
    <row r="1004" spans="1:29" ht="14.25" x14ac:dyDescent="0.2">
      <c r="A1004" s="27"/>
      <c r="B1004" s="27"/>
      <c r="C1004" s="27" t="s">
        <v>1610</v>
      </c>
      <c r="D1004" s="28"/>
      <c r="E1004" s="12"/>
      <c r="F1004" s="30">
        <f>Source!AN687</f>
        <v>45.55</v>
      </c>
      <c r="G1004" s="29" t="str">
        <f>Source!DF687</f>
        <v/>
      </c>
      <c r="H1004" s="12">
        <f>Source!AV688</f>
        <v>1</v>
      </c>
      <c r="I1004" s="38">
        <f>Source!R687</f>
        <v>4.5599999999999996</v>
      </c>
      <c r="J1004" s="12">
        <f>IF(Source!BS688&lt;&gt; 0, Source!BS688, 1)</f>
        <v>29.03</v>
      </c>
      <c r="K1004" s="38">
        <f>Source!R688</f>
        <v>132.38</v>
      </c>
    </row>
    <row r="1005" spans="1:29" ht="14.25" x14ac:dyDescent="0.2">
      <c r="A1005" s="27"/>
      <c r="B1005" s="27"/>
      <c r="C1005" s="27" t="s">
        <v>1611</v>
      </c>
      <c r="D1005" s="28"/>
      <c r="E1005" s="12"/>
      <c r="F1005" s="30">
        <f>Source!AL687</f>
        <v>342.3</v>
      </c>
      <c r="G1005" s="29" t="str">
        <f>Source!DD687</f>
        <v/>
      </c>
      <c r="H1005" s="12">
        <f>Source!AW688</f>
        <v>1</v>
      </c>
      <c r="I1005" s="30">
        <f>Source!P687</f>
        <v>34.229999999999997</v>
      </c>
      <c r="J1005" s="12">
        <f>IF(Source!BC688&lt;&gt; 0, Source!BC688, 1)</f>
        <v>4.51</v>
      </c>
      <c r="K1005" s="30">
        <f>Source!P688</f>
        <v>154.38</v>
      </c>
    </row>
    <row r="1006" spans="1:29" ht="42.75" x14ac:dyDescent="0.2">
      <c r="A1006" s="27" t="s">
        <v>247</v>
      </c>
      <c r="B1006" s="27" t="str">
        <f>Source!F689</f>
        <v>Цена поставщика</v>
      </c>
      <c r="C1006" s="27" t="s">
        <v>1657</v>
      </c>
      <c r="D1006" s="28" t="str">
        <f>Source!H689</f>
        <v>м</v>
      </c>
      <c r="E1006" s="12">
        <f>Source!I689</f>
        <v>10.3</v>
      </c>
      <c r="F1006" s="30">
        <f>Source!AK689</f>
        <v>16.02</v>
      </c>
      <c r="G1006" s="39" t="s">
        <v>3</v>
      </c>
      <c r="H1006" s="12">
        <f>Source!AW690</f>
        <v>1</v>
      </c>
      <c r="I1006" s="30">
        <f>Source!O689</f>
        <v>165.01</v>
      </c>
      <c r="J1006" s="12">
        <f>IF(Source!BC690&lt;&gt; 0, Source!BC690, 1)</f>
        <v>8.65</v>
      </c>
      <c r="K1006" s="30">
        <f>Source!O690</f>
        <v>1094.05</v>
      </c>
      <c r="Q1006">
        <f>Source!X689</f>
        <v>0</v>
      </c>
      <c r="R1006">
        <f>Source!X690</f>
        <v>0</v>
      </c>
      <c r="S1006">
        <f>Source!Y689</f>
        <v>0</v>
      </c>
      <c r="T1006">
        <f>Source!Y690</f>
        <v>0</v>
      </c>
      <c r="U1006">
        <f>ROUND((175/100)*ROUND(Source!R689, 2), 2)</f>
        <v>0</v>
      </c>
      <c r="V1006">
        <f>ROUND((160/100)*ROUND(Source!R690, 2), 2)</f>
        <v>0</v>
      </c>
      <c r="AC1006">
        <v>3</v>
      </c>
    </row>
    <row r="1007" spans="1:29" ht="14.25" x14ac:dyDescent="0.2">
      <c r="A1007" s="27"/>
      <c r="B1007" s="27"/>
      <c r="C1007" s="27" t="s">
        <v>1598</v>
      </c>
      <c r="D1007" s="28" t="s">
        <v>1599</v>
      </c>
      <c r="E1007" s="12">
        <f>Source!DN688</f>
        <v>114</v>
      </c>
      <c r="F1007" s="30"/>
      <c r="G1007" s="29"/>
      <c r="H1007" s="12"/>
      <c r="I1007" s="30">
        <f>SUM(Q1001:Q1006)</f>
        <v>42.03</v>
      </c>
      <c r="J1007" s="12">
        <f>Source!BZ688</f>
        <v>79</v>
      </c>
      <c r="K1007" s="30">
        <f>SUM(R1001:R1006)</f>
        <v>845.57</v>
      </c>
    </row>
    <row r="1008" spans="1:29" ht="14.25" x14ac:dyDescent="0.2">
      <c r="A1008" s="27"/>
      <c r="B1008" s="27"/>
      <c r="C1008" s="27" t="s">
        <v>1600</v>
      </c>
      <c r="D1008" s="28" t="s">
        <v>1599</v>
      </c>
      <c r="E1008" s="12">
        <f>Source!DO688</f>
        <v>67</v>
      </c>
      <c r="F1008" s="30"/>
      <c r="G1008" s="29"/>
      <c r="H1008" s="12"/>
      <c r="I1008" s="30">
        <f>SUM(S1001:S1007)</f>
        <v>24.7</v>
      </c>
      <c r="J1008" s="12">
        <f>Source!CA688</f>
        <v>41</v>
      </c>
      <c r="K1008" s="30">
        <f>SUM(T1001:T1007)</f>
        <v>438.84</v>
      </c>
    </row>
    <row r="1009" spans="1:29" ht="14.25" x14ac:dyDescent="0.2">
      <c r="A1009" s="27"/>
      <c r="B1009" s="27"/>
      <c r="C1009" s="27" t="s">
        <v>1612</v>
      </c>
      <c r="D1009" s="28" t="s">
        <v>1599</v>
      </c>
      <c r="E1009" s="12">
        <f>175</f>
        <v>175</v>
      </c>
      <c r="F1009" s="30"/>
      <c r="G1009" s="29"/>
      <c r="H1009" s="12"/>
      <c r="I1009" s="30">
        <f>SUM(U1001:U1008)</f>
        <v>7.98</v>
      </c>
      <c r="J1009" s="12">
        <f>160</f>
        <v>160</v>
      </c>
      <c r="K1009" s="30">
        <f>SUM(V1001:V1008)</f>
        <v>211.81</v>
      </c>
    </row>
    <row r="1010" spans="1:29" ht="14.25" x14ac:dyDescent="0.2">
      <c r="A1010" s="31"/>
      <c r="B1010" s="31"/>
      <c r="C1010" s="31" t="s">
        <v>1601</v>
      </c>
      <c r="D1010" s="32" t="s">
        <v>1602</v>
      </c>
      <c r="E1010" s="33">
        <f>Source!AQ687</f>
        <v>29.9</v>
      </c>
      <c r="F1010" s="34"/>
      <c r="G1010" s="35" t="str">
        <f>Source!DI687</f>
        <v/>
      </c>
      <c r="H1010" s="33">
        <f>Source!AV688</f>
        <v>1</v>
      </c>
      <c r="I1010" s="34">
        <f>Source!U687</f>
        <v>2.99</v>
      </c>
      <c r="J1010" s="33"/>
      <c r="K1010" s="34"/>
    </row>
    <row r="1011" spans="1:29" ht="15" x14ac:dyDescent="0.25">
      <c r="C1011" s="22" t="s">
        <v>1603</v>
      </c>
      <c r="H1011" s="104">
        <f>I1002+I1003+I1005+I1007+I1008+I1009+SUM(I1006:I1006)-SUMIF(AC1006:AC1006, 5, I1006:I1006)-SUMIF(AC1006:AC1006, 6, I1006:I1006)</f>
        <v>379.95999999999992</v>
      </c>
      <c r="I1011" s="104"/>
      <c r="J1011" s="104">
        <f>K1002+K1003+K1005+K1007+K1008+K1009+SUM(K1006:K1006)-SUMIF(AC1006:AC1006, 5, K1006:K1006)-SUMIF(AC1006:AC1006, 6, K1006:K1006)</f>
        <v>4529.21</v>
      </c>
      <c r="K1011" s="104"/>
    </row>
    <row r="1012" spans="1:29" ht="15" x14ac:dyDescent="0.25">
      <c r="C1012" s="22" t="s">
        <v>1604</v>
      </c>
      <c r="H1012" s="100">
        <f>SUMIF(AC1006:AC1006, 5, I1006:I1006)+SUMIF(AC1006:AC1006, 6, I1006:I1006)</f>
        <v>0</v>
      </c>
      <c r="I1012" s="100"/>
      <c r="J1012" s="100">
        <f>SUMIF(AC1006:AC1006, 5, K1006:K1006)+SUMIF(AC1006:AC1006, 6, K1006:K1006)</f>
        <v>0</v>
      </c>
      <c r="K1012" s="100"/>
    </row>
    <row r="1013" spans="1:29" ht="15" x14ac:dyDescent="0.25">
      <c r="C1013" s="22" t="s">
        <v>1605</v>
      </c>
      <c r="H1013" s="100">
        <f>I1002+I1003+I1005+I1007+I1008+I1009+SUM(I1006:I1006)</f>
        <v>379.95999999999992</v>
      </c>
      <c r="I1013" s="100"/>
      <c r="J1013" s="100">
        <f>K1002+K1003+K1005+K1007+K1008+K1009+SUM(K1006:K1006)</f>
        <v>4529.21</v>
      </c>
      <c r="K1013" s="100"/>
      <c r="O1013" s="36">
        <f>I1002+I1003+I1005+I1007+I1008+I1009+SUM(I1006:I1006)</f>
        <v>379.95999999999992</v>
      </c>
      <c r="P1013" s="36">
        <f>K1002+K1003+K1005+K1007+K1008+K1009+SUM(K1006:K1006)</f>
        <v>4529.21</v>
      </c>
    </row>
    <row r="1015" spans="1:29" ht="28.5" x14ac:dyDescent="0.2">
      <c r="A1015" s="27">
        <v>16</v>
      </c>
      <c r="B1015" s="27" t="str">
        <f>Source!F691</f>
        <v>4.8-162-1</v>
      </c>
      <c r="C1015" s="27" t="s">
        <v>690</v>
      </c>
      <c r="D1015" s="28" t="str">
        <f>Source!H691</f>
        <v>100 м</v>
      </c>
      <c r="E1015" s="12">
        <f>Source!I691</f>
        <v>1.1000000000000001</v>
      </c>
      <c r="F1015" s="30"/>
      <c r="G1015" s="29"/>
      <c r="H1015" s="12"/>
      <c r="I1015" s="30"/>
      <c r="J1015" s="12"/>
      <c r="K1015" s="30"/>
      <c r="Q1015">
        <f>Source!X691</f>
        <v>47.78</v>
      </c>
      <c r="R1015">
        <f>Source!X692</f>
        <v>961.15</v>
      </c>
      <c r="S1015">
        <f>Source!Y691</f>
        <v>28.08</v>
      </c>
      <c r="T1015">
        <f>Source!Y692</f>
        <v>498.83</v>
      </c>
      <c r="U1015">
        <f>ROUND((175/100)*ROUND(Source!R691, 2), 2)</f>
        <v>0.39</v>
      </c>
      <c r="V1015">
        <f>ROUND((160/100)*ROUND(Source!R692, 2), 2)</f>
        <v>10.220000000000001</v>
      </c>
      <c r="AC1015">
        <v>0</v>
      </c>
    </row>
    <row r="1016" spans="1:29" ht="14.25" x14ac:dyDescent="0.2">
      <c r="A1016" s="27"/>
      <c r="B1016" s="27"/>
      <c r="C1016" s="27" t="s">
        <v>1597</v>
      </c>
      <c r="D1016" s="28"/>
      <c r="E1016" s="12"/>
      <c r="F1016" s="30">
        <f>Source!AO691</f>
        <v>38.1</v>
      </c>
      <c r="G1016" s="29" t="str">
        <f>Source!DG691</f>
        <v/>
      </c>
      <c r="H1016" s="12">
        <f>Source!AV692</f>
        <v>1</v>
      </c>
      <c r="I1016" s="30">
        <f>Source!S691</f>
        <v>41.91</v>
      </c>
      <c r="J1016" s="12">
        <f>IF(Source!BA692&lt;&gt; 0, Source!BA692, 1)</f>
        <v>29.03</v>
      </c>
      <c r="K1016" s="30">
        <f>Source!S692</f>
        <v>1216.6500000000001</v>
      </c>
    </row>
    <row r="1017" spans="1:29" ht="14.25" x14ac:dyDescent="0.2">
      <c r="A1017" s="27"/>
      <c r="B1017" s="27"/>
      <c r="C1017" s="27" t="s">
        <v>1609</v>
      </c>
      <c r="D1017" s="28"/>
      <c r="E1017" s="12"/>
      <c r="F1017" s="30">
        <f>Source!AM691</f>
        <v>0.85</v>
      </c>
      <c r="G1017" s="29" t="str">
        <f>Source!DE691</f>
        <v/>
      </c>
      <c r="H1017" s="12">
        <f>Source!AV692</f>
        <v>1</v>
      </c>
      <c r="I1017" s="30">
        <f>Source!Q691</f>
        <v>0.94</v>
      </c>
      <c r="J1017" s="12">
        <f>IF(Source!BB692&lt;&gt; 0, Source!BB692, 1)</f>
        <v>11.43</v>
      </c>
      <c r="K1017" s="30">
        <f>Source!Q692</f>
        <v>10.74</v>
      </c>
    </row>
    <row r="1018" spans="1:29" ht="14.25" x14ac:dyDescent="0.2">
      <c r="A1018" s="27"/>
      <c r="B1018" s="27"/>
      <c r="C1018" s="27" t="s">
        <v>1610</v>
      </c>
      <c r="D1018" s="28"/>
      <c r="E1018" s="12"/>
      <c r="F1018" s="30">
        <f>Source!AN691</f>
        <v>0.2</v>
      </c>
      <c r="G1018" s="29" t="str">
        <f>Source!DF691</f>
        <v/>
      </c>
      <c r="H1018" s="12">
        <f>Source!AV692</f>
        <v>1</v>
      </c>
      <c r="I1018" s="38">
        <f>Source!R691</f>
        <v>0.22</v>
      </c>
      <c r="J1018" s="12">
        <f>IF(Source!BS692&lt;&gt; 0, Source!BS692, 1)</f>
        <v>29.03</v>
      </c>
      <c r="K1018" s="38">
        <f>Source!R692</f>
        <v>6.39</v>
      </c>
    </row>
    <row r="1019" spans="1:29" ht="14.25" x14ac:dyDescent="0.2">
      <c r="A1019" s="27"/>
      <c r="B1019" s="27"/>
      <c r="C1019" s="27" t="s">
        <v>1611</v>
      </c>
      <c r="D1019" s="28"/>
      <c r="E1019" s="12"/>
      <c r="F1019" s="30">
        <f>Source!AL691</f>
        <v>3.71</v>
      </c>
      <c r="G1019" s="29" t="str">
        <f>Source!DD691</f>
        <v/>
      </c>
      <c r="H1019" s="12">
        <f>Source!AW692</f>
        <v>1</v>
      </c>
      <c r="I1019" s="30">
        <f>Source!P691</f>
        <v>4.08</v>
      </c>
      <c r="J1019" s="12">
        <f>IF(Source!BC692&lt;&gt; 0, Source!BC692, 1)</f>
        <v>8.09</v>
      </c>
      <c r="K1019" s="30">
        <f>Source!P692</f>
        <v>33.01</v>
      </c>
    </row>
    <row r="1020" spans="1:29" ht="85.5" x14ac:dyDescent="0.2">
      <c r="A1020" s="27" t="s">
        <v>268</v>
      </c>
      <c r="B1020" s="27" t="str">
        <f>Source!F693</f>
        <v>1.23-4-290</v>
      </c>
      <c r="C1020" s="27" t="s">
        <v>693</v>
      </c>
      <c r="D1020" s="28" t="str">
        <f>Source!H693</f>
        <v>км</v>
      </c>
      <c r="E1020" s="12">
        <f>Source!I693</f>
        <v>9.69E-2</v>
      </c>
      <c r="F1020" s="30">
        <f>Source!AK693</f>
        <v>1223.45</v>
      </c>
      <c r="G1020" s="39" t="s">
        <v>3</v>
      </c>
      <c r="H1020" s="12">
        <f>Source!AW694</f>
        <v>1</v>
      </c>
      <c r="I1020" s="30">
        <f>Source!O693</f>
        <v>118.55</v>
      </c>
      <c r="J1020" s="12">
        <f>IF(Source!BC694&lt;&gt; 0, Source!BC694, 1)</f>
        <v>14.43</v>
      </c>
      <c r="K1020" s="30">
        <f>Source!O694</f>
        <v>1710.68</v>
      </c>
      <c r="Q1020">
        <f>Source!X693</f>
        <v>0</v>
      </c>
      <c r="R1020">
        <f>Source!X694</f>
        <v>0</v>
      </c>
      <c r="S1020">
        <f>Source!Y693</f>
        <v>0</v>
      </c>
      <c r="T1020">
        <f>Source!Y694</f>
        <v>0</v>
      </c>
      <c r="U1020">
        <f>ROUND((175/100)*ROUND(Source!R693, 2), 2)</f>
        <v>0</v>
      </c>
      <c r="V1020">
        <f>ROUND((160/100)*ROUND(Source!R694, 2), 2)</f>
        <v>0</v>
      </c>
      <c r="AC1020">
        <v>3</v>
      </c>
    </row>
    <row r="1021" spans="1:29" ht="85.5" x14ac:dyDescent="0.2">
      <c r="A1021" s="27" t="s">
        <v>272</v>
      </c>
      <c r="B1021" s="27" t="str">
        <f>Source!F695</f>
        <v>1.23-4-291</v>
      </c>
      <c r="C1021" s="27" t="s">
        <v>697</v>
      </c>
      <c r="D1021" s="28" t="str">
        <f>Source!H695</f>
        <v>км</v>
      </c>
      <c r="E1021" s="12">
        <f>Source!I695</f>
        <v>1.5299999999999999E-2</v>
      </c>
      <c r="F1021" s="30">
        <f>Source!AK695</f>
        <v>2839.83</v>
      </c>
      <c r="G1021" s="39" t="s">
        <v>3</v>
      </c>
      <c r="H1021" s="12">
        <f>Source!AW696</f>
        <v>1</v>
      </c>
      <c r="I1021" s="30">
        <f>Source!O695</f>
        <v>43.45</v>
      </c>
      <c r="J1021" s="12">
        <f>IF(Source!BC696&lt;&gt; 0, Source!BC696, 1)</f>
        <v>10.99</v>
      </c>
      <c r="K1021" s="30">
        <f>Source!O696</f>
        <v>477.52</v>
      </c>
      <c r="Q1021">
        <f>Source!X695</f>
        <v>0</v>
      </c>
      <c r="R1021">
        <f>Source!X696</f>
        <v>0</v>
      </c>
      <c r="S1021">
        <f>Source!Y695</f>
        <v>0</v>
      </c>
      <c r="T1021">
        <f>Source!Y696</f>
        <v>0</v>
      </c>
      <c r="U1021">
        <f>ROUND((175/100)*ROUND(Source!R695, 2), 2)</f>
        <v>0</v>
      </c>
      <c r="V1021">
        <f>ROUND((160/100)*ROUND(Source!R696, 2), 2)</f>
        <v>0</v>
      </c>
      <c r="AC1021">
        <v>3</v>
      </c>
    </row>
    <row r="1022" spans="1:29" ht="14.25" x14ac:dyDescent="0.2">
      <c r="A1022" s="27"/>
      <c r="B1022" s="27"/>
      <c r="C1022" s="27" t="s">
        <v>1598</v>
      </c>
      <c r="D1022" s="28" t="s">
        <v>1599</v>
      </c>
      <c r="E1022" s="12">
        <f>Source!DN692</f>
        <v>114</v>
      </c>
      <c r="F1022" s="30"/>
      <c r="G1022" s="29"/>
      <c r="H1022" s="12"/>
      <c r="I1022" s="30">
        <f>SUM(Q1015:Q1021)</f>
        <v>47.78</v>
      </c>
      <c r="J1022" s="12">
        <f>Source!BZ692</f>
        <v>79</v>
      </c>
      <c r="K1022" s="30">
        <f>SUM(R1015:R1021)</f>
        <v>961.15</v>
      </c>
    </row>
    <row r="1023" spans="1:29" ht="14.25" x14ac:dyDescent="0.2">
      <c r="A1023" s="27"/>
      <c r="B1023" s="27"/>
      <c r="C1023" s="27" t="s">
        <v>1600</v>
      </c>
      <c r="D1023" s="28" t="s">
        <v>1599</v>
      </c>
      <c r="E1023" s="12">
        <f>Source!DO692</f>
        <v>67</v>
      </c>
      <c r="F1023" s="30"/>
      <c r="G1023" s="29"/>
      <c r="H1023" s="12"/>
      <c r="I1023" s="30">
        <f>SUM(S1015:S1022)</f>
        <v>28.08</v>
      </c>
      <c r="J1023" s="12">
        <f>Source!CA692</f>
        <v>41</v>
      </c>
      <c r="K1023" s="30">
        <f>SUM(T1015:T1022)</f>
        <v>498.83</v>
      </c>
    </row>
    <row r="1024" spans="1:29" ht="14.25" x14ac:dyDescent="0.2">
      <c r="A1024" s="27"/>
      <c r="B1024" s="27"/>
      <c r="C1024" s="27" t="s">
        <v>1612</v>
      </c>
      <c r="D1024" s="28" t="s">
        <v>1599</v>
      </c>
      <c r="E1024" s="12">
        <f>175</f>
        <v>175</v>
      </c>
      <c r="F1024" s="30"/>
      <c r="G1024" s="29"/>
      <c r="H1024" s="12"/>
      <c r="I1024" s="30">
        <f>SUM(U1015:U1023)</f>
        <v>0.39</v>
      </c>
      <c r="J1024" s="12">
        <f>160</f>
        <v>160</v>
      </c>
      <c r="K1024" s="30">
        <f>SUM(V1015:V1023)</f>
        <v>10.220000000000001</v>
      </c>
    </row>
    <row r="1025" spans="1:29" ht="14.25" x14ac:dyDescent="0.2">
      <c r="A1025" s="31"/>
      <c r="B1025" s="31"/>
      <c r="C1025" s="31" t="s">
        <v>1601</v>
      </c>
      <c r="D1025" s="32" t="s">
        <v>1602</v>
      </c>
      <c r="E1025" s="33">
        <f>Source!AQ691</f>
        <v>3.09</v>
      </c>
      <c r="F1025" s="34"/>
      <c r="G1025" s="35" t="str">
        <f>Source!DI691</f>
        <v/>
      </c>
      <c r="H1025" s="33">
        <f>Source!AV692</f>
        <v>1</v>
      </c>
      <c r="I1025" s="34">
        <f>Source!U691</f>
        <v>3.399</v>
      </c>
      <c r="J1025" s="33"/>
      <c r="K1025" s="34"/>
    </row>
    <row r="1026" spans="1:29" ht="15" x14ac:dyDescent="0.25">
      <c r="C1026" s="22" t="s">
        <v>1603</v>
      </c>
      <c r="H1026" s="104">
        <f>I1016+I1017+I1019+I1022+I1023+I1024+SUM(I1020:I1021)-SUMIF(AC1020:AC1021, 5, I1020:I1021)-SUMIF(AC1020:AC1021, 6, I1020:I1021)</f>
        <v>285.18</v>
      </c>
      <c r="I1026" s="104"/>
      <c r="J1026" s="104">
        <f>K1016+K1017+K1019+K1022+K1023+K1024+SUM(K1020:K1021)-SUMIF(AC1020:AC1021, 5, K1020:K1021)-SUMIF(AC1020:AC1021, 6, K1020:K1021)</f>
        <v>4918.7999999999993</v>
      </c>
      <c r="K1026" s="104"/>
    </row>
    <row r="1027" spans="1:29" ht="15" x14ac:dyDescent="0.25">
      <c r="C1027" s="22" t="s">
        <v>1604</v>
      </c>
      <c r="H1027" s="100">
        <f>SUMIF(AC1020:AC1021, 5, I1020:I1021)+SUMIF(AC1020:AC1021, 6, I1020:I1021)</f>
        <v>0</v>
      </c>
      <c r="I1027" s="100"/>
      <c r="J1027" s="100">
        <f>SUMIF(AC1020:AC1021, 5, K1020:K1021)+SUMIF(AC1020:AC1021, 6, K1020:K1021)</f>
        <v>0</v>
      </c>
      <c r="K1027" s="100"/>
    </row>
    <row r="1028" spans="1:29" ht="15" x14ac:dyDescent="0.25">
      <c r="C1028" s="22" t="s">
        <v>1605</v>
      </c>
      <c r="H1028" s="100">
        <f>I1016+I1017+I1019+I1022+I1023+I1024+SUM(I1020:I1021)</f>
        <v>285.18</v>
      </c>
      <c r="I1028" s="100"/>
      <c r="J1028" s="100">
        <f>K1016+K1017+K1019+K1022+K1023+K1024+SUM(K1020:K1021)</f>
        <v>4918.7999999999993</v>
      </c>
      <c r="K1028" s="100"/>
      <c r="O1028" s="36">
        <f>I1016+I1017+I1019+I1022+I1023+I1024+SUM(I1020:I1021)</f>
        <v>285.18</v>
      </c>
      <c r="P1028" s="36">
        <f>K1016+K1017+K1019+K1022+K1023+K1024+SUM(K1020:K1021)</f>
        <v>4918.7999999999993</v>
      </c>
    </row>
    <row r="1030" spans="1:29" ht="71.25" x14ac:dyDescent="0.2">
      <c r="A1030" s="27">
        <v>17</v>
      </c>
      <c r="B1030" s="27" t="str">
        <f>Source!F697</f>
        <v>4.8-175-2</v>
      </c>
      <c r="C1030" s="27" t="s">
        <v>700</v>
      </c>
      <c r="D1030" s="28" t="str">
        <f>Source!H697</f>
        <v>100 м</v>
      </c>
      <c r="E1030" s="12">
        <f>Source!I697</f>
        <v>0.1</v>
      </c>
      <c r="F1030" s="30"/>
      <c r="G1030" s="29"/>
      <c r="H1030" s="12"/>
      <c r="I1030" s="30"/>
      <c r="J1030" s="12"/>
      <c r="K1030" s="30"/>
      <c r="Q1030">
        <f>Source!X697</f>
        <v>8.69</v>
      </c>
      <c r="R1030">
        <f>Source!X698</f>
        <v>174.76</v>
      </c>
      <c r="S1030">
        <f>Source!Y697</f>
        <v>5.1100000000000003</v>
      </c>
      <c r="T1030">
        <f>Source!Y698</f>
        <v>90.7</v>
      </c>
      <c r="U1030">
        <f>ROUND((175/100)*ROUND(Source!R697, 2), 2)</f>
        <v>7.0000000000000007E-2</v>
      </c>
      <c r="V1030">
        <f>ROUND((160/100)*ROUND(Source!R698, 2), 2)</f>
        <v>1.86</v>
      </c>
      <c r="AC1030">
        <v>0</v>
      </c>
    </row>
    <row r="1031" spans="1:29" ht="14.25" x14ac:dyDescent="0.2">
      <c r="A1031" s="27"/>
      <c r="B1031" s="27"/>
      <c r="C1031" s="27" t="s">
        <v>1597</v>
      </c>
      <c r="D1031" s="28"/>
      <c r="E1031" s="12"/>
      <c r="F1031" s="30">
        <f>Source!AO697</f>
        <v>76.2</v>
      </c>
      <c r="G1031" s="29" t="str">
        <f>Source!DG697</f>
        <v/>
      </c>
      <c r="H1031" s="12">
        <f>Source!AV698</f>
        <v>1</v>
      </c>
      <c r="I1031" s="30">
        <f>Source!S697</f>
        <v>7.62</v>
      </c>
      <c r="J1031" s="12">
        <f>IF(Source!BA698&lt;&gt; 0, Source!BA698, 1)</f>
        <v>29.03</v>
      </c>
      <c r="K1031" s="30">
        <f>Source!S698</f>
        <v>221.21</v>
      </c>
    </row>
    <row r="1032" spans="1:29" ht="14.25" x14ac:dyDescent="0.2">
      <c r="A1032" s="27"/>
      <c r="B1032" s="27"/>
      <c r="C1032" s="27" t="s">
        <v>1609</v>
      </c>
      <c r="D1032" s="28"/>
      <c r="E1032" s="12"/>
      <c r="F1032" s="30">
        <f>Source!AM697</f>
        <v>1.69</v>
      </c>
      <c r="G1032" s="29" t="str">
        <f>Source!DE697</f>
        <v/>
      </c>
      <c r="H1032" s="12">
        <f>Source!AV698</f>
        <v>1</v>
      </c>
      <c r="I1032" s="30">
        <f>Source!Q697</f>
        <v>0.17</v>
      </c>
      <c r="J1032" s="12">
        <f>IF(Source!BB698&lt;&gt; 0, Source!BB698, 1)</f>
        <v>11.43</v>
      </c>
      <c r="K1032" s="30">
        <f>Source!Q698</f>
        <v>1.94</v>
      </c>
    </row>
    <row r="1033" spans="1:29" ht="14.25" x14ac:dyDescent="0.2">
      <c r="A1033" s="27"/>
      <c r="B1033" s="27"/>
      <c r="C1033" s="27" t="s">
        <v>1610</v>
      </c>
      <c r="D1033" s="28"/>
      <c r="E1033" s="12"/>
      <c r="F1033" s="30">
        <f>Source!AN697</f>
        <v>0.39</v>
      </c>
      <c r="G1033" s="29" t="str">
        <f>Source!DF697</f>
        <v/>
      </c>
      <c r="H1033" s="12">
        <f>Source!AV698</f>
        <v>1</v>
      </c>
      <c r="I1033" s="38">
        <f>Source!R697</f>
        <v>0.04</v>
      </c>
      <c r="J1033" s="12">
        <f>IF(Source!BS698&lt;&gt; 0, Source!BS698, 1)</f>
        <v>29.03</v>
      </c>
      <c r="K1033" s="38">
        <f>Source!R698</f>
        <v>1.1599999999999999</v>
      </c>
    </row>
    <row r="1034" spans="1:29" ht="14.25" x14ac:dyDescent="0.2">
      <c r="A1034" s="27"/>
      <c r="B1034" s="27"/>
      <c r="C1034" s="27" t="s">
        <v>1611</v>
      </c>
      <c r="D1034" s="28"/>
      <c r="E1034" s="12"/>
      <c r="F1034" s="30">
        <f>Source!AL697</f>
        <v>9.94</v>
      </c>
      <c r="G1034" s="29" t="str">
        <f>Source!DD697</f>
        <v/>
      </c>
      <c r="H1034" s="12">
        <f>Source!AW698</f>
        <v>1</v>
      </c>
      <c r="I1034" s="30">
        <f>Source!P697</f>
        <v>0.99</v>
      </c>
      <c r="J1034" s="12">
        <f>IF(Source!BC698&lt;&gt; 0, Source!BC698, 1)</f>
        <v>3.51</v>
      </c>
      <c r="K1034" s="30">
        <f>Source!P698</f>
        <v>3.47</v>
      </c>
    </row>
    <row r="1035" spans="1:29" ht="85.5" x14ac:dyDescent="0.2">
      <c r="A1035" s="27" t="s">
        <v>286</v>
      </c>
      <c r="B1035" s="27" t="str">
        <f>Source!F699</f>
        <v>1.23-4-290</v>
      </c>
      <c r="C1035" s="27" t="s">
        <v>693</v>
      </c>
      <c r="D1035" s="28" t="str">
        <f>Source!H699</f>
        <v>км</v>
      </c>
      <c r="E1035" s="12">
        <f>Source!I699</f>
        <v>1.0200000000000001E-2</v>
      </c>
      <c r="F1035" s="30">
        <f>Source!AK699</f>
        <v>1223.45</v>
      </c>
      <c r="G1035" s="39" t="s">
        <v>3</v>
      </c>
      <c r="H1035" s="12">
        <f>Source!AW700</f>
        <v>1</v>
      </c>
      <c r="I1035" s="30">
        <f>Source!O699</f>
        <v>12.48</v>
      </c>
      <c r="J1035" s="12">
        <f>IF(Source!BC700&lt;&gt; 0, Source!BC700, 1)</f>
        <v>14.43</v>
      </c>
      <c r="K1035" s="30">
        <f>Source!O700</f>
        <v>180.09</v>
      </c>
      <c r="Q1035">
        <f>Source!X699</f>
        <v>0</v>
      </c>
      <c r="R1035">
        <f>Source!X700</f>
        <v>0</v>
      </c>
      <c r="S1035">
        <f>Source!Y699</f>
        <v>0</v>
      </c>
      <c r="T1035">
        <f>Source!Y700</f>
        <v>0</v>
      </c>
      <c r="U1035">
        <f>ROUND((175/100)*ROUND(Source!R699, 2), 2)</f>
        <v>0</v>
      </c>
      <c r="V1035">
        <f>ROUND((160/100)*ROUND(Source!R700, 2), 2)</f>
        <v>0</v>
      </c>
      <c r="AC1035">
        <v>3</v>
      </c>
    </row>
    <row r="1036" spans="1:29" ht="14.25" x14ac:dyDescent="0.2">
      <c r="A1036" s="27"/>
      <c r="B1036" s="27"/>
      <c r="C1036" s="27" t="s">
        <v>1598</v>
      </c>
      <c r="D1036" s="28" t="s">
        <v>1599</v>
      </c>
      <c r="E1036" s="12">
        <f>Source!DN698</f>
        <v>114</v>
      </c>
      <c r="F1036" s="30"/>
      <c r="G1036" s="29"/>
      <c r="H1036" s="12"/>
      <c r="I1036" s="30">
        <f>SUM(Q1030:Q1035)</f>
        <v>8.69</v>
      </c>
      <c r="J1036" s="12">
        <f>Source!BZ698</f>
        <v>79</v>
      </c>
      <c r="K1036" s="30">
        <f>SUM(R1030:R1035)</f>
        <v>174.76</v>
      </c>
    </row>
    <row r="1037" spans="1:29" ht="14.25" x14ac:dyDescent="0.2">
      <c r="A1037" s="27"/>
      <c r="B1037" s="27"/>
      <c r="C1037" s="27" t="s">
        <v>1600</v>
      </c>
      <c r="D1037" s="28" t="s">
        <v>1599</v>
      </c>
      <c r="E1037" s="12">
        <f>Source!DO698</f>
        <v>67</v>
      </c>
      <c r="F1037" s="30"/>
      <c r="G1037" s="29"/>
      <c r="H1037" s="12"/>
      <c r="I1037" s="30">
        <f>SUM(S1030:S1036)</f>
        <v>5.1100000000000003</v>
      </c>
      <c r="J1037" s="12">
        <f>Source!CA698</f>
        <v>41</v>
      </c>
      <c r="K1037" s="30">
        <f>SUM(T1030:T1036)</f>
        <v>90.7</v>
      </c>
    </row>
    <row r="1038" spans="1:29" ht="14.25" x14ac:dyDescent="0.2">
      <c r="A1038" s="27"/>
      <c r="B1038" s="27"/>
      <c r="C1038" s="27" t="s">
        <v>1612</v>
      </c>
      <c r="D1038" s="28" t="s">
        <v>1599</v>
      </c>
      <c r="E1038" s="12">
        <f>175</f>
        <v>175</v>
      </c>
      <c r="F1038" s="30"/>
      <c r="G1038" s="29"/>
      <c r="H1038" s="12"/>
      <c r="I1038" s="30">
        <f>SUM(U1030:U1037)</f>
        <v>7.0000000000000007E-2</v>
      </c>
      <c r="J1038" s="12">
        <f>160</f>
        <v>160</v>
      </c>
      <c r="K1038" s="30">
        <f>SUM(V1030:V1037)</f>
        <v>1.86</v>
      </c>
    </row>
    <row r="1039" spans="1:29" ht="14.25" x14ac:dyDescent="0.2">
      <c r="A1039" s="31"/>
      <c r="B1039" s="31"/>
      <c r="C1039" s="31" t="s">
        <v>1601</v>
      </c>
      <c r="D1039" s="32" t="s">
        <v>1602</v>
      </c>
      <c r="E1039" s="33">
        <f>Source!AQ697</f>
        <v>6.18</v>
      </c>
      <c r="F1039" s="34"/>
      <c r="G1039" s="35" t="str">
        <f>Source!DI697</f>
        <v/>
      </c>
      <c r="H1039" s="33">
        <f>Source!AV698</f>
        <v>1</v>
      </c>
      <c r="I1039" s="34">
        <f>Source!U697</f>
        <v>0.61799999999999999</v>
      </c>
      <c r="J1039" s="33"/>
      <c r="K1039" s="34"/>
    </row>
    <row r="1040" spans="1:29" ht="15" x14ac:dyDescent="0.25">
      <c r="C1040" s="22" t="s">
        <v>1603</v>
      </c>
      <c r="H1040" s="104">
        <f>I1031+I1032+I1034+I1036+I1037+I1038+SUM(I1035:I1035)-SUMIF(AC1035:AC1035, 5, I1035:I1035)-SUMIF(AC1035:AC1035, 6, I1035:I1035)</f>
        <v>35.129999999999995</v>
      </c>
      <c r="I1040" s="104"/>
      <c r="J1040" s="104">
        <f>K1031+K1032+K1034+K1036+K1037+K1038+SUM(K1035:K1035)-SUMIF(AC1035:AC1035, 5, K1035:K1035)-SUMIF(AC1035:AC1035, 6, K1035:K1035)</f>
        <v>674.03</v>
      </c>
      <c r="K1040" s="104"/>
    </row>
    <row r="1041" spans="1:29" ht="15" x14ac:dyDescent="0.25">
      <c r="C1041" s="22" t="s">
        <v>1604</v>
      </c>
      <c r="H1041" s="100">
        <f>SUMIF(AC1035:AC1035, 5, I1035:I1035)+SUMIF(AC1035:AC1035, 6, I1035:I1035)</f>
        <v>0</v>
      </c>
      <c r="I1041" s="100"/>
      <c r="J1041" s="100">
        <f>SUMIF(AC1035:AC1035, 5, K1035:K1035)+SUMIF(AC1035:AC1035, 6, K1035:K1035)</f>
        <v>0</v>
      </c>
      <c r="K1041" s="100"/>
    </row>
    <row r="1042" spans="1:29" ht="15" x14ac:dyDescent="0.25">
      <c r="C1042" s="22" t="s">
        <v>1605</v>
      </c>
      <c r="H1042" s="100">
        <f>I1031+I1032+I1034+I1036+I1037+I1038+SUM(I1035:I1035)</f>
        <v>35.129999999999995</v>
      </c>
      <c r="I1042" s="100"/>
      <c r="J1042" s="100">
        <f>K1031+K1032+K1034+K1036+K1037+K1038+SUM(K1035:K1035)</f>
        <v>674.03</v>
      </c>
      <c r="K1042" s="100"/>
      <c r="O1042" s="36">
        <f>I1031+I1032+I1034+I1036+I1037+I1038+SUM(I1035:I1035)</f>
        <v>35.129999999999995</v>
      </c>
      <c r="P1042" s="36">
        <f>K1031+K1032+K1034+K1036+K1037+K1038+SUM(K1035:K1035)</f>
        <v>674.03</v>
      </c>
    </row>
    <row r="1045" spans="1:29" ht="15" x14ac:dyDescent="0.25">
      <c r="A1045" s="102" t="str">
        <f>CONCATENATE("Итого по разделу: ",IF(Source!G702&lt;&gt;"Новый раздел", Source!G702, ""))</f>
        <v>Итого по разделу: Монтажные работы</v>
      </c>
      <c r="B1045" s="102"/>
      <c r="C1045" s="102"/>
      <c r="D1045" s="102"/>
      <c r="E1045" s="102"/>
      <c r="F1045" s="102"/>
      <c r="G1045" s="102"/>
      <c r="H1045" s="100">
        <f>SUM(O824:O1044)</f>
        <v>4850.7</v>
      </c>
      <c r="I1045" s="101"/>
      <c r="J1045" s="100">
        <f>SUM(P824:P1044)</f>
        <v>78392.540000000008</v>
      </c>
      <c r="K1045" s="101"/>
    </row>
    <row r="1046" spans="1:29" hidden="1" x14ac:dyDescent="0.2">
      <c r="A1046" t="s">
        <v>1606</v>
      </c>
      <c r="I1046">
        <f>SUM(W824:W1045)</f>
        <v>0</v>
      </c>
      <c r="J1046">
        <f>SUM(X824:X1045)</f>
        <v>0</v>
      </c>
    </row>
    <row r="1047" spans="1:29" hidden="1" x14ac:dyDescent="0.2">
      <c r="A1047" t="s">
        <v>1607</v>
      </c>
      <c r="I1047">
        <f>SUM(Y824:Y1046)</f>
        <v>0</v>
      </c>
      <c r="J1047">
        <f>SUM(Z824:Z1046)</f>
        <v>0</v>
      </c>
    </row>
    <row r="1049" spans="1:29" ht="16.5" x14ac:dyDescent="0.25">
      <c r="A1049" s="103" t="str">
        <f>CONCATENATE("Раздел: ",IF(Source!G732&lt;&gt;"Новый раздел", Source!G732, ""))</f>
        <v>Раздел: Оборудование</v>
      </c>
      <c r="B1049" s="103"/>
      <c r="C1049" s="103"/>
      <c r="D1049" s="103"/>
      <c r="E1049" s="103"/>
      <c r="F1049" s="103"/>
      <c r="G1049" s="103"/>
      <c r="H1049" s="103"/>
      <c r="I1049" s="103"/>
      <c r="J1049" s="103"/>
      <c r="K1049" s="103"/>
    </row>
    <row r="1050" spans="1:29" ht="55.5" x14ac:dyDescent="0.2">
      <c r="A1050" s="31">
        <v>18</v>
      </c>
      <c r="B1050" s="31" t="str">
        <f>Source!F736</f>
        <v>Цена поставщика</v>
      </c>
      <c r="C1050" s="31" t="s">
        <v>1658</v>
      </c>
      <c r="D1050" s="32" t="str">
        <f>Source!H736</f>
        <v>шт.</v>
      </c>
      <c r="E1050" s="33">
        <f>Source!I736</f>
        <v>1</v>
      </c>
      <c r="F1050" s="34">
        <f>Source!AL736</f>
        <v>2261.2000000000003</v>
      </c>
      <c r="G1050" s="35" t="str">
        <f>Source!DD736</f>
        <v/>
      </c>
      <c r="H1050" s="33">
        <f>Source!AW737</f>
        <v>1</v>
      </c>
      <c r="I1050" s="34">
        <f>Source!P736</f>
        <v>2261.1999999999998</v>
      </c>
      <c r="J1050" s="33">
        <f>IF(Source!BC737&lt;&gt; 0, Source!BC737, 1)</f>
        <v>8.65</v>
      </c>
      <c r="K1050" s="34">
        <f>Source!P737</f>
        <v>4114.03</v>
      </c>
      <c r="Q1050">
        <f>Source!X736</f>
        <v>0</v>
      </c>
      <c r="R1050">
        <f>Source!X737</f>
        <v>0</v>
      </c>
      <c r="S1050">
        <f>Source!Y736</f>
        <v>0</v>
      </c>
      <c r="T1050">
        <f>Source!Y737</f>
        <v>0</v>
      </c>
      <c r="U1050">
        <f>ROUND((175/100)*ROUND(Source!R736, 2), 2)</f>
        <v>0</v>
      </c>
      <c r="V1050">
        <f>ROUND((160/100)*ROUND(Source!R737, 2), 2)</f>
        <v>0</v>
      </c>
      <c r="AC1050">
        <v>3</v>
      </c>
    </row>
    <row r="1051" spans="1:29" ht="15" x14ac:dyDescent="0.25">
      <c r="C1051" s="22" t="s">
        <v>1605</v>
      </c>
      <c r="H1051" s="104">
        <f>I1050+0</f>
        <v>2261.1999999999998</v>
      </c>
      <c r="I1051" s="104"/>
      <c r="J1051" s="104">
        <f>K1050+0</f>
        <v>4114.03</v>
      </c>
      <c r="K1051" s="104"/>
      <c r="O1051" s="36">
        <f>I1050+0</f>
        <v>2261.1999999999998</v>
      </c>
      <c r="P1051" s="36">
        <f>K1050+0</f>
        <v>4114.03</v>
      </c>
    </row>
    <row r="1053" spans="1:29" ht="42.75" x14ac:dyDescent="0.2">
      <c r="A1053" s="31">
        <v>19</v>
      </c>
      <c r="B1053" s="31" t="str">
        <f>Source!F738</f>
        <v>Цена поставщика</v>
      </c>
      <c r="C1053" s="31" t="s">
        <v>1659</v>
      </c>
      <c r="D1053" s="32" t="str">
        <f>Source!H738</f>
        <v>шт.</v>
      </c>
      <c r="E1053" s="33">
        <f>Source!I738</f>
        <v>1</v>
      </c>
      <c r="F1053" s="34">
        <f>Source!AL738</f>
        <v>2154.3500000000004</v>
      </c>
      <c r="G1053" s="35" t="str">
        <f>Source!DD738</f>
        <v/>
      </c>
      <c r="H1053" s="33">
        <f>Source!AW739</f>
        <v>1</v>
      </c>
      <c r="I1053" s="34">
        <f>Source!P738</f>
        <v>2154.35</v>
      </c>
      <c r="J1053" s="33">
        <f>IF(Source!BC739&lt;&gt; 0, Source!BC739, 1)</f>
        <v>8.65</v>
      </c>
      <c r="K1053" s="34">
        <f>Source!P739</f>
        <v>7947.53</v>
      </c>
      <c r="Q1053">
        <f>Source!X738</f>
        <v>0</v>
      </c>
      <c r="R1053">
        <f>Source!X739</f>
        <v>0</v>
      </c>
      <c r="S1053">
        <f>Source!Y738</f>
        <v>0</v>
      </c>
      <c r="T1053">
        <f>Source!Y739</f>
        <v>0</v>
      </c>
      <c r="U1053">
        <f>ROUND((175/100)*ROUND(Source!R738, 2), 2)</f>
        <v>0</v>
      </c>
      <c r="V1053">
        <f>ROUND((160/100)*ROUND(Source!R739, 2), 2)</f>
        <v>0</v>
      </c>
      <c r="AC1053">
        <v>3</v>
      </c>
    </row>
    <row r="1054" spans="1:29" ht="15" x14ac:dyDescent="0.25">
      <c r="C1054" s="22" t="s">
        <v>1605</v>
      </c>
      <c r="H1054" s="104">
        <f>I1053+0</f>
        <v>2154.35</v>
      </c>
      <c r="I1054" s="104"/>
      <c r="J1054" s="104">
        <f>K1053+0</f>
        <v>7947.53</v>
      </c>
      <c r="K1054" s="104"/>
      <c r="O1054" s="36">
        <f>I1053+0</f>
        <v>2154.35</v>
      </c>
      <c r="P1054" s="36">
        <f>K1053+0</f>
        <v>7947.53</v>
      </c>
    </row>
    <row r="1056" spans="1:29" ht="114" x14ac:dyDescent="0.2">
      <c r="A1056" s="41">
        <v>20</v>
      </c>
      <c r="B1056" s="41" t="str">
        <f>Source!F740</f>
        <v>13.1-1-60</v>
      </c>
      <c r="C1056" s="41" t="s">
        <v>1660</v>
      </c>
      <c r="D1056" s="42" t="str">
        <f>Source!H740</f>
        <v>шт.</v>
      </c>
      <c r="E1056" s="43">
        <f>Source!I740</f>
        <v>1</v>
      </c>
      <c r="F1056" s="44">
        <f>Source!AL740</f>
        <v>876.18</v>
      </c>
      <c r="G1056" s="45" t="str">
        <f>Source!DD740</f>
        <v/>
      </c>
      <c r="H1056" s="43">
        <f>Source!AW741</f>
        <v>1</v>
      </c>
      <c r="I1056" s="44">
        <f>Source!P740</f>
        <v>876.18</v>
      </c>
      <c r="J1056" s="43">
        <f>IF(Source!BC741&lt;&gt; 0, Source!BC741, 1)</f>
        <v>8.11</v>
      </c>
      <c r="K1056" s="44">
        <f>Source!P741</f>
        <v>7105.82</v>
      </c>
      <c r="Q1056">
        <f>Source!X740</f>
        <v>0</v>
      </c>
      <c r="R1056">
        <f>Source!X741</f>
        <v>0</v>
      </c>
      <c r="S1056">
        <f>Source!Y740</f>
        <v>0</v>
      </c>
      <c r="T1056">
        <f>Source!Y741</f>
        <v>0</v>
      </c>
      <c r="U1056">
        <f>ROUND((175/100)*ROUND(Source!R740, 2), 2)</f>
        <v>0</v>
      </c>
      <c r="V1056">
        <f>ROUND((160/100)*ROUND(Source!R741, 2), 2)</f>
        <v>0</v>
      </c>
      <c r="AC1056">
        <v>5</v>
      </c>
    </row>
    <row r="1057" spans="1:29" ht="15" x14ac:dyDescent="0.25">
      <c r="A1057" s="46"/>
      <c r="B1057" s="46"/>
      <c r="C1057" s="47" t="s">
        <v>1605</v>
      </c>
      <c r="D1057" s="46"/>
      <c r="E1057" s="46"/>
      <c r="F1057" s="46"/>
      <c r="G1057" s="46"/>
      <c r="H1057" s="105">
        <f>I1056+0</f>
        <v>876.18</v>
      </c>
      <c r="I1057" s="105"/>
      <c r="J1057" s="105">
        <f>K1056+0</f>
        <v>7105.82</v>
      </c>
      <c r="K1057" s="105"/>
      <c r="O1057" s="36">
        <f>I1056+0</f>
        <v>876.18</v>
      </c>
      <c r="P1057" s="36">
        <f>K1056+0</f>
        <v>7105.82</v>
      </c>
    </row>
    <row r="1059" spans="1:29" ht="54" x14ac:dyDescent="0.2">
      <c r="A1059" s="31">
        <v>21</v>
      </c>
      <c r="B1059" s="31" t="str">
        <f>Source!F742</f>
        <v>Цена поставщика</v>
      </c>
      <c r="C1059" s="31" t="s">
        <v>1661</v>
      </c>
      <c r="D1059" s="32" t="str">
        <f>Source!H742</f>
        <v>шт.</v>
      </c>
      <c r="E1059" s="33">
        <f>Source!I742</f>
        <v>1</v>
      </c>
      <c r="F1059" s="34">
        <f>Source!AL742</f>
        <v>1180.5899999999999</v>
      </c>
      <c r="G1059" s="35" t="str">
        <f>Source!DD742</f>
        <v/>
      </c>
      <c r="H1059" s="33">
        <f>Source!AW743</f>
        <v>1</v>
      </c>
      <c r="I1059" s="34">
        <f>Source!P742</f>
        <v>1180.5899999999999</v>
      </c>
      <c r="J1059" s="33">
        <f>IF(Source!BC743&lt;&gt; 0, Source!BC743, 1)</f>
        <v>8.65</v>
      </c>
      <c r="K1059" s="34">
        <f>Source!P743</f>
        <v>13996.13</v>
      </c>
      <c r="Q1059">
        <f>Source!X742</f>
        <v>0</v>
      </c>
      <c r="R1059">
        <f>Source!X743</f>
        <v>0</v>
      </c>
      <c r="S1059">
        <f>Source!Y742</f>
        <v>0</v>
      </c>
      <c r="T1059">
        <f>Source!Y743</f>
        <v>0</v>
      </c>
      <c r="U1059">
        <f>ROUND((175/100)*ROUND(Source!R742, 2), 2)</f>
        <v>0</v>
      </c>
      <c r="V1059">
        <f>ROUND((160/100)*ROUND(Source!R743, 2), 2)</f>
        <v>0</v>
      </c>
      <c r="AC1059">
        <v>3</v>
      </c>
    </row>
    <row r="1060" spans="1:29" ht="15" x14ac:dyDescent="0.25">
      <c r="C1060" s="22" t="s">
        <v>1605</v>
      </c>
      <c r="H1060" s="104">
        <f>I1059+0</f>
        <v>1180.5899999999999</v>
      </c>
      <c r="I1060" s="104"/>
      <c r="J1060" s="104">
        <f>K1059+0</f>
        <v>13996.13</v>
      </c>
      <c r="K1060" s="104"/>
      <c r="O1060" s="36">
        <f>I1059+0</f>
        <v>1180.5899999999999</v>
      </c>
      <c r="P1060" s="36">
        <f>K1059+0</f>
        <v>13996.13</v>
      </c>
    </row>
    <row r="1062" spans="1:29" ht="54" x14ac:dyDescent="0.2">
      <c r="A1062" s="31">
        <v>22</v>
      </c>
      <c r="B1062" s="31" t="str">
        <f>Source!F744</f>
        <v>Цена поставщика</v>
      </c>
      <c r="C1062" s="31" t="s">
        <v>1662</v>
      </c>
      <c r="D1062" s="32" t="str">
        <f>Source!H744</f>
        <v>шт.</v>
      </c>
      <c r="E1062" s="33">
        <f>Source!I744</f>
        <v>1</v>
      </c>
      <c r="F1062" s="34">
        <f>Source!AL744</f>
        <v>1723.48</v>
      </c>
      <c r="G1062" s="35" t="str">
        <f>Source!DD744</f>
        <v/>
      </c>
      <c r="H1062" s="33">
        <f>Source!AW745</f>
        <v>1</v>
      </c>
      <c r="I1062" s="34">
        <f>Source!P744</f>
        <v>1723.48</v>
      </c>
      <c r="J1062" s="33">
        <f>IF(Source!BC745&lt;&gt; 0, Source!BC745, 1)</f>
        <v>8.65</v>
      </c>
      <c r="K1062" s="34">
        <f>Source!P745</f>
        <v>14416</v>
      </c>
      <c r="Q1062">
        <f>Source!X744</f>
        <v>0</v>
      </c>
      <c r="R1062">
        <f>Source!X745</f>
        <v>0</v>
      </c>
      <c r="S1062">
        <f>Source!Y744</f>
        <v>0</v>
      </c>
      <c r="T1062">
        <f>Source!Y745</f>
        <v>0</v>
      </c>
      <c r="U1062">
        <f>ROUND((175/100)*ROUND(Source!R744, 2), 2)</f>
        <v>0</v>
      </c>
      <c r="V1062">
        <f>ROUND((160/100)*ROUND(Source!R745, 2), 2)</f>
        <v>0</v>
      </c>
      <c r="AC1062">
        <v>3</v>
      </c>
    </row>
    <row r="1063" spans="1:29" ht="15" x14ac:dyDescent="0.25">
      <c r="C1063" s="22" t="s">
        <v>1605</v>
      </c>
      <c r="H1063" s="104">
        <f>I1062+0</f>
        <v>1723.48</v>
      </c>
      <c r="I1063" s="104"/>
      <c r="J1063" s="104">
        <f>K1062+0</f>
        <v>14416</v>
      </c>
      <c r="K1063" s="104"/>
      <c r="O1063" s="36">
        <f>I1062+0</f>
        <v>1723.48</v>
      </c>
      <c r="P1063" s="36">
        <f>K1062+0</f>
        <v>14416</v>
      </c>
    </row>
    <row r="1065" spans="1:29" ht="42.75" x14ac:dyDescent="0.2">
      <c r="A1065" s="31">
        <v>23</v>
      </c>
      <c r="B1065" s="31" t="str">
        <f>Source!F746</f>
        <v>Цена поставщика</v>
      </c>
      <c r="C1065" s="31" t="s">
        <v>1663</v>
      </c>
      <c r="D1065" s="32" t="str">
        <f>Source!H746</f>
        <v>шт.</v>
      </c>
      <c r="E1065" s="33">
        <f>Source!I746</f>
        <v>1</v>
      </c>
      <c r="F1065" s="34">
        <f>Source!AL746</f>
        <v>716.28</v>
      </c>
      <c r="G1065" s="35" t="str">
        <f>Source!DD746</f>
        <v/>
      </c>
      <c r="H1065" s="33">
        <f>Source!AW747</f>
        <v>1</v>
      </c>
      <c r="I1065" s="34">
        <f>Source!P746</f>
        <v>716.28</v>
      </c>
      <c r="J1065" s="33">
        <f>IF(Source!BC747&lt;&gt; 0, Source!BC747, 1)</f>
        <v>8.65</v>
      </c>
      <c r="K1065" s="34">
        <f>Source!P747</f>
        <v>8389.5499999999993</v>
      </c>
      <c r="Q1065">
        <f>Source!X746</f>
        <v>0</v>
      </c>
      <c r="R1065">
        <f>Source!X747</f>
        <v>0</v>
      </c>
      <c r="S1065">
        <f>Source!Y746</f>
        <v>0</v>
      </c>
      <c r="T1065">
        <f>Source!Y747</f>
        <v>0</v>
      </c>
      <c r="U1065">
        <f>ROUND((175/100)*ROUND(Source!R746, 2), 2)</f>
        <v>0</v>
      </c>
      <c r="V1065">
        <f>ROUND((160/100)*ROUND(Source!R747, 2), 2)</f>
        <v>0</v>
      </c>
      <c r="AC1065">
        <v>3</v>
      </c>
    </row>
    <row r="1066" spans="1:29" ht="15" x14ac:dyDescent="0.25">
      <c r="C1066" s="22" t="s">
        <v>1605</v>
      </c>
      <c r="H1066" s="104">
        <f>I1065+0</f>
        <v>716.28</v>
      </c>
      <c r="I1066" s="104"/>
      <c r="J1066" s="104">
        <f>K1065+0</f>
        <v>8389.5499999999993</v>
      </c>
      <c r="K1066" s="104"/>
      <c r="O1066" s="36">
        <f>I1065+0</f>
        <v>716.28</v>
      </c>
      <c r="P1066" s="36">
        <f>K1065+0</f>
        <v>8389.5499999999993</v>
      </c>
    </row>
    <row r="1068" spans="1:29" ht="42.75" x14ac:dyDescent="0.2">
      <c r="A1068" s="31">
        <v>24</v>
      </c>
      <c r="B1068" s="31" t="str">
        <f>Source!F748</f>
        <v>Цена поставщика</v>
      </c>
      <c r="C1068" s="31" t="s">
        <v>1664</v>
      </c>
      <c r="D1068" s="32" t="str">
        <f>Source!H748</f>
        <v>шт.</v>
      </c>
      <c r="E1068" s="33">
        <f>Source!I748</f>
        <v>1</v>
      </c>
      <c r="F1068" s="34">
        <f>Source!AL748</f>
        <v>491.19</v>
      </c>
      <c r="G1068" s="35" t="str">
        <f>Source!DD748</f>
        <v/>
      </c>
      <c r="H1068" s="33">
        <f>Source!AW749</f>
        <v>1</v>
      </c>
      <c r="I1068" s="34">
        <f>Source!P748</f>
        <v>491.19</v>
      </c>
      <c r="J1068" s="33">
        <f>IF(Source!BC749&lt;&gt; 0, Source!BC749, 1)</f>
        <v>8.65</v>
      </c>
      <c r="K1068" s="34">
        <f>Source!P749</f>
        <v>3518.99</v>
      </c>
      <c r="Q1068">
        <f>Source!X748</f>
        <v>0</v>
      </c>
      <c r="R1068">
        <f>Source!X749</f>
        <v>0</v>
      </c>
      <c r="S1068">
        <f>Source!Y748</f>
        <v>0</v>
      </c>
      <c r="T1068">
        <f>Source!Y749</f>
        <v>0</v>
      </c>
      <c r="U1068">
        <f>ROUND((175/100)*ROUND(Source!R748, 2), 2)</f>
        <v>0</v>
      </c>
      <c r="V1068">
        <f>ROUND((160/100)*ROUND(Source!R749, 2), 2)</f>
        <v>0</v>
      </c>
      <c r="AC1068">
        <v>3</v>
      </c>
    </row>
    <row r="1069" spans="1:29" ht="15" x14ac:dyDescent="0.25">
      <c r="C1069" s="22" t="s">
        <v>1605</v>
      </c>
      <c r="H1069" s="104">
        <f>I1068+0</f>
        <v>491.19</v>
      </c>
      <c r="I1069" s="104"/>
      <c r="J1069" s="104">
        <f>K1068+0</f>
        <v>3518.99</v>
      </c>
      <c r="K1069" s="104"/>
      <c r="O1069" s="36">
        <f>I1068+0</f>
        <v>491.19</v>
      </c>
      <c r="P1069" s="36">
        <f>K1068+0</f>
        <v>3518.99</v>
      </c>
    </row>
    <row r="1071" spans="1:29" ht="42.75" x14ac:dyDescent="0.2">
      <c r="A1071" s="31">
        <v>25</v>
      </c>
      <c r="B1071" s="31" t="str">
        <f>Source!F750</f>
        <v>Цена поставщика</v>
      </c>
      <c r="C1071" s="31" t="s">
        <v>1665</v>
      </c>
      <c r="D1071" s="32" t="str">
        <f>Source!H750</f>
        <v>шт.</v>
      </c>
      <c r="E1071" s="33">
        <f>Source!I750</f>
        <v>4</v>
      </c>
      <c r="F1071" s="34">
        <f>Source!AL750</f>
        <v>477.41</v>
      </c>
      <c r="G1071" s="35" t="str">
        <f>Source!DD750</f>
        <v/>
      </c>
      <c r="H1071" s="33">
        <f>Source!AW751</f>
        <v>1</v>
      </c>
      <c r="I1071" s="34">
        <f>Source!P750</f>
        <v>1909.64</v>
      </c>
      <c r="J1071" s="33">
        <f>IF(Source!BC751&lt;&gt; 0, Source!BC751, 1)</f>
        <v>8.65</v>
      </c>
      <c r="K1071" s="34">
        <f>Source!P751</f>
        <v>13668.04</v>
      </c>
      <c r="Q1071">
        <f>Source!X750</f>
        <v>0</v>
      </c>
      <c r="R1071">
        <f>Source!X751</f>
        <v>0</v>
      </c>
      <c r="S1071">
        <f>Source!Y750</f>
        <v>0</v>
      </c>
      <c r="T1071">
        <f>Source!Y751</f>
        <v>0</v>
      </c>
      <c r="U1071">
        <f>ROUND((175/100)*ROUND(Source!R750, 2), 2)</f>
        <v>0</v>
      </c>
      <c r="V1071">
        <f>ROUND((160/100)*ROUND(Source!R751, 2), 2)</f>
        <v>0</v>
      </c>
      <c r="AC1071">
        <v>3</v>
      </c>
    </row>
    <row r="1072" spans="1:29" ht="15" x14ac:dyDescent="0.25">
      <c r="C1072" s="22" t="s">
        <v>1605</v>
      </c>
      <c r="H1072" s="104">
        <f>I1071+0</f>
        <v>1909.64</v>
      </c>
      <c r="I1072" s="104"/>
      <c r="J1072" s="104">
        <f>K1071+0</f>
        <v>13668.04</v>
      </c>
      <c r="K1072" s="104"/>
      <c r="O1072" s="36">
        <f>I1071+0</f>
        <v>1909.64</v>
      </c>
      <c r="P1072" s="36">
        <f>K1071+0</f>
        <v>13668.04</v>
      </c>
    </row>
    <row r="1074" spans="1:29" ht="42.75" x14ac:dyDescent="0.2">
      <c r="A1074" s="31">
        <v>26</v>
      </c>
      <c r="B1074" s="31" t="str">
        <f>Source!F752</f>
        <v>Цена поставщика</v>
      </c>
      <c r="C1074" s="31" t="s">
        <v>1666</v>
      </c>
      <c r="D1074" s="32" t="str">
        <f>Source!H752</f>
        <v>шт.</v>
      </c>
      <c r="E1074" s="33">
        <f>Source!I752</f>
        <v>2</v>
      </c>
      <c r="F1074" s="34">
        <f>Source!AL752</f>
        <v>113.58</v>
      </c>
      <c r="G1074" s="35" t="str">
        <f>Source!DD752</f>
        <v/>
      </c>
      <c r="H1074" s="33">
        <f>Source!AW753</f>
        <v>1</v>
      </c>
      <c r="I1074" s="34">
        <f>Source!P752</f>
        <v>227.16</v>
      </c>
      <c r="J1074" s="33">
        <f>IF(Source!BC753&lt;&gt; 0, Source!BC753, 1)</f>
        <v>8.65</v>
      </c>
      <c r="K1074" s="34">
        <f>Source!P753</f>
        <v>2056.9699999999998</v>
      </c>
      <c r="Q1074">
        <f>Source!X752</f>
        <v>0</v>
      </c>
      <c r="R1074">
        <f>Source!X753</f>
        <v>0</v>
      </c>
      <c r="S1074">
        <f>Source!Y752</f>
        <v>0</v>
      </c>
      <c r="T1074">
        <f>Source!Y753</f>
        <v>0</v>
      </c>
      <c r="U1074">
        <f>ROUND((175/100)*ROUND(Source!R752, 2), 2)</f>
        <v>0</v>
      </c>
      <c r="V1074">
        <f>ROUND((160/100)*ROUND(Source!R753, 2), 2)</f>
        <v>0</v>
      </c>
      <c r="AC1074">
        <v>3</v>
      </c>
    </row>
    <row r="1075" spans="1:29" ht="15" x14ac:dyDescent="0.25">
      <c r="C1075" s="22" t="s">
        <v>1605</v>
      </c>
      <c r="H1075" s="104">
        <f>I1074+0</f>
        <v>227.16</v>
      </c>
      <c r="I1075" s="104"/>
      <c r="J1075" s="104">
        <f>K1074+0</f>
        <v>2056.9699999999998</v>
      </c>
      <c r="K1075" s="104"/>
      <c r="O1075" s="36">
        <f>I1074+0</f>
        <v>227.16</v>
      </c>
      <c r="P1075" s="36">
        <f>K1074+0</f>
        <v>2056.9699999999998</v>
      </c>
    </row>
    <row r="1077" spans="1:29" ht="55.5" x14ac:dyDescent="0.2">
      <c r="A1077" s="31">
        <v>27</v>
      </c>
      <c r="B1077" s="31" t="str">
        <f>Source!F754</f>
        <v>Цена поставщика</v>
      </c>
      <c r="C1077" s="31" t="s">
        <v>1667</v>
      </c>
      <c r="D1077" s="32" t="str">
        <f>Source!H754</f>
        <v>шт.</v>
      </c>
      <c r="E1077" s="33">
        <f>Source!I754</f>
        <v>2</v>
      </c>
      <c r="F1077" s="34">
        <f>Source!AL754</f>
        <v>322.28999999999996</v>
      </c>
      <c r="G1077" s="35" t="str">
        <f>Source!DD754</f>
        <v/>
      </c>
      <c r="H1077" s="33">
        <f>Source!AW755</f>
        <v>1</v>
      </c>
      <c r="I1077" s="34">
        <f>Source!P754</f>
        <v>644.58000000000004</v>
      </c>
      <c r="J1077" s="33">
        <f>IF(Source!BC755&lt;&gt; 0, Source!BC755, 1)</f>
        <v>8.65</v>
      </c>
      <c r="K1077" s="34">
        <f>Source!P755</f>
        <v>4623.9399999999996</v>
      </c>
      <c r="Q1077">
        <f>Source!X754</f>
        <v>0</v>
      </c>
      <c r="R1077">
        <f>Source!X755</f>
        <v>0</v>
      </c>
      <c r="S1077">
        <f>Source!Y754</f>
        <v>0</v>
      </c>
      <c r="T1077">
        <f>Source!Y755</f>
        <v>0</v>
      </c>
      <c r="U1077">
        <f>ROUND((175/100)*ROUND(Source!R754, 2), 2)</f>
        <v>0</v>
      </c>
      <c r="V1077">
        <f>ROUND((160/100)*ROUND(Source!R755, 2), 2)</f>
        <v>0</v>
      </c>
      <c r="AC1077">
        <v>3</v>
      </c>
    </row>
    <row r="1078" spans="1:29" ht="15" x14ac:dyDescent="0.25">
      <c r="C1078" s="22" t="s">
        <v>1605</v>
      </c>
      <c r="H1078" s="104">
        <f>I1077+0</f>
        <v>644.58000000000004</v>
      </c>
      <c r="I1078" s="104"/>
      <c r="J1078" s="104">
        <f>K1077+0</f>
        <v>4623.9399999999996</v>
      </c>
      <c r="K1078" s="104"/>
      <c r="O1078" s="36">
        <f>I1077+0</f>
        <v>644.58000000000004</v>
      </c>
      <c r="P1078" s="36">
        <f>K1077+0</f>
        <v>4623.9399999999996</v>
      </c>
    </row>
    <row r="1080" spans="1:29" ht="114" x14ac:dyDescent="0.2">
      <c r="A1080" s="41">
        <v>28</v>
      </c>
      <c r="B1080" s="41" t="str">
        <f>Source!F756</f>
        <v>13.1-1-60</v>
      </c>
      <c r="C1080" s="41" t="s">
        <v>1660</v>
      </c>
      <c r="D1080" s="42" t="str">
        <f>Source!H756</f>
        <v>шт.</v>
      </c>
      <c r="E1080" s="43">
        <f>Source!I756</f>
        <v>1</v>
      </c>
      <c r="F1080" s="44">
        <f>Source!AL756</f>
        <v>876.18</v>
      </c>
      <c r="G1080" s="45" t="str">
        <f>Source!DD756</f>
        <v/>
      </c>
      <c r="H1080" s="43">
        <f>Source!AW757</f>
        <v>1</v>
      </c>
      <c r="I1080" s="44">
        <f>Source!P756</f>
        <v>876.18</v>
      </c>
      <c r="J1080" s="43">
        <f>IF(Source!BC757&lt;&gt; 0, Source!BC757, 1)</f>
        <v>8.11</v>
      </c>
      <c r="K1080" s="44">
        <f>Source!P757</f>
        <v>7105.82</v>
      </c>
      <c r="Q1080">
        <f>Source!X756</f>
        <v>0</v>
      </c>
      <c r="R1080">
        <f>Source!X757</f>
        <v>0</v>
      </c>
      <c r="S1080">
        <f>Source!Y756</f>
        <v>0</v>
      </c>
      <c r="T1080">
        <f>Source!Y757</f>
        <v>0</v>
      </c>
      <c r="U1080">
        <f>ROUND((175/100)*ROUND(Source!R756, 2), 2)</f>
        <v>0</v>
      </c>
      <c r="V1080">
        <f>ROUND((160/100)*ROUND(Source!R757, 2), 2)</f>
        <v>0</v>
      </c>
      <c r="AC1080">
        <v>5</v>
      </c>
    </row>
    <row r="1081" spans="1:29" ht="15" x14ac:dyDescent="0.25">
      <c r="A1081" s="46"/>
      <c r="B1081" s="46"/>
      <c r="C1081" s="47" t="s">
        <v>1605</v>
      </c>
      <c r="D1081" s="46"/>
      <c r="E1081" s="46"/>
      <c r="F1081" s="46"/>
      <c r="G1081" s="46"/>
      <c r="H1081" s="105">
        <f>I1080+0</f>
        <v>876.18</v>
      </c>
      <c r="I1081" s="105"/>
      <c r="J1081" s="105">
        <f>K1080+0</f>
        <v>7105.82</v>
      </c>
      <c r="K1081" s="105"/>
      <c r="O1081" s="36">
        <f>I1080+0</f>
        <v>876.18</v>
      </c>
      <c r="P1081" s="36">
        <f>K1080+0</f>
        <v>7105.82</v>
      </c>
    </row>
    <row r="1084" spans="1:29" ht="15" x14ac:dyDescent="0.25">
      <c r="A1084" s="102" t="str">
        <f>CONCATENATE("Итого по разделу: ",IF(Source!G759&lt;&gt;"Новый раздел", Source!G759, ""))</f>
        <v>Итого по разделу: Оборудование</v>
      </c>
      <c r="B1084" s="102"/>
      <c r="C1084" s="102"/>
      <c r="D1084" s="102"/>
      <c r="E1084" s="102"/>
      <c r="F1084" s="102"/>
      <c r="G1084" s="102"/>
      <c r="H1084" s="100">
        <f>SUM(O1049:O1083)</f>
        <v>13060.83</v>
      </c>
      <c r="I1084" s="101"/>
      <c r="J1084" s="100">
        <f>SUM(P1049:P1083)</f>
        <v>86942.82</v>
      </c>
      <c r="K1084" s="101"/>
    </row>
    <row r="1085" spans="1:29" hidden="1" x14ac:dyDescent="0.2">
      <c r="A1085" t="s">
        <v>1606</v>
      </c>
      <c r="I1085">
        <f>SUM(W1049:W1084)</f>
        <v>0</v>
      </c>
      <c r="J1085">
        <f>SUM(X1049:X1084)</f>
        <v>0</v>
      </c>
    </row>
    <row r="1086" spans="1:29" hidden="1" x14ac:dyDescent="0.2">
      <c r="A1086" t="s">
        <v>1607</v>
      </c>
      <c r="I1086">
        <f>SUM(Y1049:Y1085)</f>
        <v>0</v>
      </c>
      <c r="J1086">
        <f>SUM(Z1049:Z1085)</f>
        <v>0</v>
      </c>
    </row>
    <row r="1088" spans="1:29" ht="15" x14ac:dyDescent="0.25">
      <c r="A1088" s="102" t="str">
        <f>CONCATENATE("Итого по локальной смете: ",IF(Source!G789&lt;&gt;"Новая локальная смета", Source!G789, ""))</f>
        <v>Итого по локальной смете: Система связи</v>
      </c>
      <c r="B1088" s="102"/>
      <c r="C1088" s="102"/>
      <c r="D1088" s="102"/>
      <c r="E1088" s="102"/>
      <c r="F1088" s="102"/>
      <c r="G1088" s="102"/>
      <c r="H1088" s="100">
        <f>SUM(O822:O1087)</f>
        <v>17911.530000000002</v>
      </c>
      <c r="I1088" s="101"/>
      <c r="J1088" s="100">
        <f>SUM(P822:P1087)</f>
        <v>165335.36000000002</v>
      </c>
      <c r="K1088" s="101"/>
    </row>
    <row r="1089" spans="1:29" hidden="1" x14ac:dyDescent="0.2">
      <c r="A1089" t="s">
        <v>1606</v>
      </c>
      <c r="I1089">
        <f>SUM(W822:W1088)</f>
        <v>0</v>
      </c>
      <c r="J1089">
        <f>SUM(X822:X1088)</f>
        <v>0</v>
      </c>
    </row>
    <row r="1090" spans="1:29" hidden="1" x14ac:dyDescent="0.2">
      <c r="A1090" t="s">
        <v>1607</v>
      </c>
      <c r="I1090">
        <f>SUM(Y822:Y1089)</f>
        <v>0</v>
      </c>
      <c r="J1090">
        <f>SUM(Z822:Z1089)</f>
        <v>0</v>
      </c>
    </row>
    <row r="1092" spans="1:29" ht="16.5" x14ac:dyDescent="0.25">
      <c r="A1092" s="103" t="str">
        <f>CONCATENATE("Локальная смета: ",IF(Source!G819&lt;&gt;"Новая локальная смета", Source!G819, ""))</f>
        <v>Локальная смета: Система электроснабжения</v>
      </c>
      <c r="B1092" s="103"/>
      <c r="C1092" s="103"/>
      <c r="D1092" s="103"/>
      <c r="E1092" s="103"/>
      <c r="F1092" s="103"/>
      <c r="G1092" s="103"/>
      <c r="H1092" s="103"/>
      <c r="I1092" s="103"/>
      <c r="J1092" s="103"/>
      <c r="K1092" s="103"/>
    </row>
    <row r="1094" spans="1:29" ht="16.5" x14ac:dyDescent="0.25">
      <c r="A1094" s="103" t="str">
        <f>CONCATENATE("Раздел: ",IF(Source!G823&lt;&gt;"Новый раздел", Source!G823, ""))</f>
        <v>Раздел: Демонтажные работы</v>
      </c>
      <c r="B1094" s="103"/>
      <c r="C1094" s="103"/>
      <c r="D1094" s="103"/>
      <c r="E1094" s="103"/>
      <c r="F1094" s="103"/>
      <c r="G1094" s="103"/>
      <c r="H1094" s="103"/>
      <c r="I1094" s="103"/>
      <c r="J1094" s="103"/>
      <c r="K1094" s="103"/>
    </row>
    <row r="1095" spans="1:29" ht="28.5" x14ac:dyDescent="0.2">
      <c r="A1095" s="27">
        <v>1</v>
      </c>
      <c r="B1095" s="27" t="str">
        <f>Source!F827</f>
        <v>6.67-7-3</v>
      </c>
      <c r="C1095" s="27" t="s">
        <v>732</v>
      </c>
      <c r="D1095" s="28" t="str">
        <f>Source!H827</f>
        <v>100 шт.</v>
      </c>
      <c r="E1095" s="12">
        <f>Source!I827</f>
        <v>0.08</v>
      </c>
      <c r="F1095" s="30"/>
      <c r="G1095" s="29"/>
      <c r="H1095" s="12"/>
      <c r="I1095" s="30"/>
      <c r="J1095" s="12"/>
      <c r="K1095" s="30"/>
      <c r="Q1095">
        <f>Source!X827</f>
        <v>4.1399999999999997</v>
      </c>
      <c r="R1095">
        <f>Source!X828</f>
        <v>105.06</v>
      </c>
      <c r="S1095">
        <f>Source!Y827</f>
        <v>2.84</v>
      </c>
      <c r="T1095">
        <f>Source!Y828</f>
        <v>61.54</v>
      </c>
      <c r="U1095">
        <f>ROUND((175/100)*ROUND(Source!R827, 2), 2)</f>
        <v>0</v>
      </c>
      <c r="V1095">
        <f>ROUND((160/100)*ROUND(Source!R828, 2), 2)</f>
        <v>0</v>
      </c>
      <c r="AC1095">
        <v>0</v>
      </c>
    </row>
    <row r="1096" spans="1:29" ht="14.25" x14ac:dyDescent="0.2">
      <c r="A1096" s="27"/>
      <c r="B1096" s="27"/>
      <c r="C1096" s="27" t="s">
        <v>1597</v>
      </c>
      <c r="D1096" s="28"/>
      <c r="E1096" s="12"/>
      <c r="F1096" s="30">
        <f>Source!AO827</f>
        <v>64.59</v>
      </c>
      <c r="G1096" s="29" t="str">
        <f>Source!DG827</f>
        <v/>
      </c>
      <c r="H1096" s="12">
        <f>Source!AV828</f>
        <v>1</v>
      </c>
      <c r="I1096" s="30">
        <f>Source!S827</f>
        <v>5.17</v>
      </c>
      <c r="J1096" s="12">
        <f>IF(Source!BA828&lt;&gt; 0, Source!BA828, 1)</f>
        <v>29.03</v>
      </c>
      <c r="K1096" s="30">
        <f>Source!S828</f>
        <v>150.09</v>
      </c>
    </row>
    <row r="1097" spans="1:29" ht="14.25" x14ac:dyDescent="0.2">
      <c r="A1097" s="27"/>
      <c r="B1097" s="27"/>
      <c r="C1097" s="27" t="s">
        <v>1598</v>
      </c>
      <c r="D1097" s="28" t="s">
        <v>1599</v>
      </c>
      <c r="E1097" s="12">
        <f>Source!DN828</f>
        <v>80</v>
      </c>
      <c r="F1097" s="30"/>
      <c r="G1097" s="29"/>
      <c r="H1097" s="12"/>
      <c r="I1097" s="30">
        <f>SUM(Q1095:Q1096)</f>
        <v>4.1399999999999997</v>
      </c>
      <c r="J1097" s="12">
        <f>Source!BZ828</f>
        <v>70</v>
      </c>
      <c r="K1097" s="30">
        <f>SUM(R1095:R1096)</f>
        <v>105.06</v>
      </c>
    </row>
    <row r="1098" spans="1:29" ht="14.25" x14ac:dyDescent="0.2">
      <c r="A1098" s="27"/>
      <c r="B1098" s="27"/>
      <c r="C1098" s="27" t="s">
        <v>1600</v>
      </c>
      <c r="D1098" s="28" t="s">
        <v>1599</v>
      </c>
      <c r="E1098" s="12">
        <f>Source!DO828</f>
        <v>55</v>
      </c>
      <c r="F1098" s="30"/>
      <c r="G1098" s="29"/>
      <c r="H1098" s="12"/>
      <c r="I1098" s="30">
        <f>SUM(S1095:S1097)</f>
        <v>2.84</v>
      </c>
      <c r="J1098" s="12">
        <f>Source!CA828</f>
        <v>41</v>
      </c>
      <c r="K1098" s="30">
        <f>SUM(T1095:T1097)</f>
        <v>61.54</v>
      </c>
    </row>
    <row r="1099" spans="1:29" ht="14.25" x14ac:dyDescent="0.2">
      <c r="A1099" s="31"/>
      <c r="B1099" s="31"/>
      <c r="C1099" s="31" t="s">
        <v>1601</v>
      </c>
      <c r="D1099" s="32" t="s">
        <v>1602</v>
      </c>
      <c r="E1099" s="33">
        <f>Source!AQ827</f>
        <v>6.32</v>
      </c>
      <c r="F1099" s="34"/>
      <c r="G1099" s="35" t="str">
        <f>Source!DI827</f>
        <v/>
      </c>
      <c r="H1099" s="33">
        <f>Source!AV828</f>
        <v>1</v>
      </c>
      <c r="I1099" s="34">
        <f>Source!U827</f>
        <v>0.50560000000000005</v>
      </c>
      <c r="J1099" s="33"/>
      <c r="K1099" s="34"/>
    </row>
    <row r="1100" spans="1:29" ht="15" x14ac:dyDescent="0.25">
      <c r="C1100" s="22" t="s">
        <v>1603</v>
      </c>
      <c r="H1100" s="104">
        <f>I1096+I1097+I1098+0-0-0</f>
        <v>12.149999999999999</v>
      </c>
      <c r="I1100" s="104"/>
      <c r="J1100" s="104">
        <f>K1096+K1097+K1098+0-0-0</f>
        <v>316.69</v>
      </c>
      <c r="K1100" s="104"/>
    </row>
    <row r="1101" spans="1:29" ht="15" x14ac:dyDescent="0.25">
      <c r="C1101" s="22" t="s">
        <v>1604</v>
      </c>
      <c r="H1101" s="100">
        <f>0+0</f>
        <v>0</v>
      </c>
      <c r="I1101" s="100"/>
      <c r="J1101" s="100">
        <f>0+0</f>
        <v>0</v>
      </c>
      <c r="K1101" s="100"/>
    </row>
    <row r="1102" spans="1:29" ht="15" x14ac:dyDescent="0.25">
      <c r="C1102" s="22" t="s">
        <v>1605</v>
      </c>
      <c r="H1102" s="100">
        <f>I1096+I1097+I1098+0</f>
        <v>12.149999999999999</v>
      </c>
      <c r="I1102" s="100"/>
      <c r="J1102" s="100">
        <f>K1096+K1097+K1098+0</f>
        <v>316.69</v>
      </c>
      <c r="K1102" s="100"/>
      <c r="O1102" s="36">
        <f>I1096+I1097+I1098+0</f>
        <v>12.149999999999999</v>
      </c>
      <c r="P1102" s="36">
        <f>K1096+K1097+K1098+0</f>
        <v>316.69</v>
      </c>
    </row>
    <row r="1104" spans="1:29" ht="14.25" x14ac:dyDescent="0.2">
      <c r="A1104" s="27">
        <v>2</v>
      </c>
      <c r="B1104" s="27" t="str">
        <f>Source!F829</f>
        <v>6.67-6-1</v>
      </c>
      <c r="C1104" s="27" t="s">
        <v>737</v>
      </c>
      <c r="D1104" s="28" t="str">
        <f>Source!H829</f>
        <v>100 м</v>
      </c>
      <c r="E1104" s="12">
        <f>Source!I829</f>
        <v>0.3</v>
      </c>
      <c r="F1104" s="30"/>
      <c r="G1104" s="29"/>
      <c r="H1104" s="12"/>
      <c r="I1104" s="30"/>
      <c r="J1104" s="12"/>
      <c r="K1104" s="30"/>
      <c r="Q1104">
        <f>Source!X829</f>
        <v>23.65</v>
      </c>
      <c r="R1104">
        <f>Source!X830</f>
        <v>600.69000000000005</v>
      </c>
      <c r="S1104">
        <f>Source!Y829</f>
        <v>16.260000000000002</v>
      </c>
      <c r="T1104">
        <f>Source!Y830</f>
        <v>351.83</v>
      </c>
      <c r="U1104">
        <f>ROUND((175/100)*ROUND(Source!R829, 2), 2)</f>
        <v>0</v>
      </c>
      <c r="V1104">
        <f>ROUND((160/100)*ROUND(Source!R830, 2), 2)</f>
        <v>0</v>
      </c>
      <c r="AC1104">
        <v>0</v>
      </c>
    </row>
    <row r="1105" spans="1:29" ht="14.25" x14ac:dyDescent="0.2">
      <c r="A1105" s="27"/>
      <c r="B1105" s="27"/>
      <c r="C1105" s="27" t="s">
        <v>1597</v>
      </c>
      <c r="D1105" s="28"/>
      <c r="E1105" s="12"/>
      <c r="F1105" s="30">
        <f>Source!AO829</f>
        <v>98.52</v>
      </c>
      <c r="G1105" s="29" t="str">
        <f>Source!DG829</f>
        <v/>
      </c>
      <c r="H1105" s="12">
        <f>Source!AV830</f>
        <v>1</v>
      </c>
      <c r="I1105" s="30">
        <f>Source!S829</f>
        <v>29.56</v>
      </c>
      <c r="J1105" s="12">
        <f>IF(Source!BA830&lt;&gt; 0, Source!BA830, 1)</f>
        <v>29.03</v>
      </c>
      <c r="K1105" s="30">
        <f>Source!S830</f>
        <v>858.13</v>
      </c>
    </row>
    <row r="1106" spans="1:29" ht="14.25" x14ac:dyDescent="0.2">
      <c r="A1106" s="27"/>
      <c r="B1106" s="27"/>
      <c r="C1106" s="27" t="s">
        <v>1598</v>
      </c>
      <c r="D1106" s="28" t="s">
        <v>1599</v>
      </c>
      <c r="E1106" s="12">
        <f>Source!DN830</f>
        <v>80</v>
      </c>
      <c r="F1106" s="30"/>
      <c r="G1106" s="29"/>
      <c r="H1106" s="12"/>
      <c r="I1106" s="30">
        <f>SUM(Q1104:Q1105)</f>
        <v>23.65</v>
      </c>
      <c r="J1106" s="12">
        <f>Source!BZ830</f>
        <v>70</v>
      </c>
      <c r="K1106" s="30">
        <f>SUM(R1104:R1105)</f>
        <v>600.69000000000005</v>
      </c>
    </row>
    <row r="1107" spans="1:29" ht="14.25" x14ac:dyDescent="0.2">
      <c r="A1107" s="27"/>
      <c r="B1107" s="27"/>
      <c r="C1107" s="27" t="s">
        <v>1600</v>
      </c>
      <c r="D1107" s="28" t="s">
        <v>1599</v>
      </c>
      <c r="E1107" s="12">
        <f>Source!DO830</f>
        <v>55</v>
      </c>
      <c r="F1107" s="30"/>
      <c r="G1107" s="29"/>
      <c r="H1107" s="12"/>
      <c r="I1107" s="30">
        <f>SUM(S1104:S1106)</f>
        <v>16.260000000000002</v>
      </c>
      <c r="J1107" s="12">
        <f>Source!CA830</f>
        <v>41</v>
      </c>
      <c r="K1107" s="30">
        <f>SUM(T1104:T1106)</f>
        <v>351.83</v>
      </c>
    </row>
    <row r="1108" spans="1:29" ht="14.25" x14ac:dyDescent="0.2">
      <c r="A1108" s="31"/>
      <c r="B1108" s="31"/>
      <c r="C1108" s="31" t="s">
        <v>1601</v>
      </c>
      <c r="D1108" s="32" t="s">
        <v>1602</v>
      </c>
      <c r="E1108" s="33">
        <f>Source!AQ829</f>
        <v>9.64</v>
      </c>
      <c r="F1108" s="34"/>
      <c r="G1108" s="35" t="str">
        <f>Source!DI829</f>
        <v/>
      </c>
      <c r="H1108" s="33">
        <f>Source!AV830</f>
        <v>1</v>
      </c>
      <c r="I1108" s="34">
        <f>Source!U829</f>
        <v>2.8919999999999999</v>
      </c>
      <c r="J1108" s="33"/>
      <c r="K1108" s="34"/>
    </row>
    <row r="1109" spans="1:29" ht="15" x14ac:dyDescent="0.25">
      <c r="C1109" s="22" t="s">
        <v>1603</v>
      </c>
      <c r="H1109" s="104">
        <f>I1105+I1106+I1107+0-0-0</f>
        <v>69.47</v>
      </c>
      <c r="I1109" s="104"/>
      <c r="J1109" s="104">
        <f>K1105+K1106+K1107+0-0-0</f>
        <v>1810.65</v>
      </c>
      <c r="K1109" s="104"/>
    </row>
    <row r="1110" spans="1:29" ht="15" x14ac:dyDescent="0.25">
      <c r="C1110" s="22" t="s">
        <v>1604</v>
      </c>
      <c r="H1110" s="100">
        <f>0+0</f>
        <v>0</v>
      </c>
      <c r="I1110" s="100"/>
      <c r="J1110" s="100">
        <f>0+0</f>
        <v>0</v>
      </c>
      <c r="K1110" s="100"/>
    </row>
    <row r="1111" spans="1:29" ht="15" x14ac:dyDescent="0.25">
      <c r="C1111" s="22" t="s">
        <v>1605</v>
      </c>
      <c r="H1111" s="100">
        <f>I1105+I1106+I1107+0</f>
        <v>69.47</v>
      </c>
      <c r="I1111" s="100"/>
      <c r="J1111" s="100">
        <f>K1105+K1106+K1107+0</f>
        <v>1810.65</v>
      </c>
      <c r="K1111" s="100"/>
      <c r="O1111" s="36">
        <f>I1105+I1106+I1107+0</f>
        <v>69.47</v>
      </c>
      <c r="P1111" s="36">
        <f>K1105+K1106+K1107+0</f>
        <v>1810.65</v>
      </c>
    </row>
    <row r="1114" spans="1:29" ht="15" x14ac:dyDescent="0.25">
      <c r="A1114" s="102" t="str">
        <f>CONCATENATE("Итого по разделу: ",IF(Source!G832&lt;&gt;"Новый раздел", Source!G832, ""))</f>
        <v>Итого по разделу: Демонтажные работы</v>
      </c>
      <c r="B1114" s="102"/>
      <c r="C1114" s="102"/>
      <c r="D1114" s="102"/>
      <c r="E1114" s="102"/>
      <c r="F1114" s="102"/>
      <c r="G1114" s="102"/>
      <c r="H1114" s="100">
        <f>SUM(O1094:O1113)</f>
        <v>81.62</v>
      </c>
      <c r="I1114" s="101"/>
      <c r="J1114" s="100">
        <f>SUM(P1094:P1113)</f>
        <v>2127.34</v>
      </c>
      <c r="K1114" s="101"/>
    </row>
    <row r="1115" spans="1:29" hidden="1" x14ac:dyDescent="0.2">
      <c r="A1115" t="s">
        <v>1606</v>
      </c>
      <c r="I1115">
        <f>SUM(W1094:W1114)</f>
        <v>0</v>
      </c>
      <c r="J1115">
        <f>SUM(X1094:X1114)</f>
        <v>0</v>
      </c>
    </row>
    <row r="1116" spans="1:29" hidden="1" x14ac:dyDescent="0.2">
      <c r="A1116" t="s">
        <v>1607</v>
      </c>
      <c r="I1116">
        <f>SUM(Y1094:Y1115)</f>
        <v>0</v>
      </c>
      <c r="J1116">
        <f>SUM(Z1094:Z1115)</f>
        <v>0</v>
      </c>
    </row>
    <row r="1118" spans="1:29" ht="16.5" x14ac:dyDescent="0.25">
      <c r="A1118" s="103" t="str">
        <f>CONCATENATE("Раздел: ",IF(Source!G862&lt;&gt;"Новый раздел", Source!G862, ""))</f>
        <v>Раздел: Монтажные работы</v>
      </c>
      <c r="B1118" s="103"/>
      <c r="C1118" s="103"/>
      <c r="D1118" s="103"/>
      <c r="E1118" s="103"/>
      <c r="F1118" s="103"/>
      <c r="G1118" s="103"/>
      <c r="H1118" s="103"/>
      <c r="I1118" s="103"/>
      <c r="J1118" s="103"/>
      <c r="K1118" s="103"/>
    </row>
    <row r="1119" spans="1:29" ht="85.5" x14ac:dyDescent="0.2">
      <c r="A1119" s="27">
        <v>3</v>
      </c>
      <c r="B1119" s="27" t="s">
        <v>1668</v>
      </c>
      <c r="C1119" s="27" t="s">
        <v>740</v>
      </c>
      <c r="D1119" s="28" t="str">
        <f>Source!H866</f>
        <v>1  ШТ.</v>
      </c>
      <c r="E1119" s="12">
        <f>Source!I866</f>
        <v>1</v>
      </c>
      <c r="F1119" s="30"/>
      <c r="G1119" s="29"/>
      <c r="H1119" s="12"/>
      <c r="I1119" s="30"/>
      <c r="J1119" s="12"/>
      <c r="K1119" s="30"/>
      <c r="Q1119">
        <f>Source!X866</f>
        <v>15.26</v>
      </c>
      <c r="R1119">
        <f>Source!X867</f>
        <v>307.08</v>
      </c>
      <c r="S1119">
        <f>Source!Y866</f>
        <v>8.9700000000000006</v>
      </c>
      <c r="T1119">
        <f>Source!Y867</f>
        <v>159.37</v>
      </c>
      <c r="U1119">
        <f>ROUND((175/100)*ROUND(Source!R866, 2), 2)</f>
        <v>0.46</v>
      </c>
      <c r="V1119">
        <f>ROUND((160/100)*ROUND(Source!R867, 2), 2)</f>
        <v>12.08</v>
      </c>
      <c r="AC1119">
        <v>0</v>
      </c>
    </row>
    <row r="1120" spans="1:29" ht="14.25" x14ac:dyDescent="0.2">
      <c r="A1120" s="27"/>
      <c r="B1120" s="27"/>
      <c r="C1120" s="27" t="s">
        <v>1597</v>
      </c>
      <c r="D1120" s="28"/>
      <c r="E1120" s="12"/>
      <c r="F1120" s="30">
        <f>Source!AO866</f>
        <v>16.739999999999998</v>
      </c>
      <c r="G1120" s="29" t="str">
        <f>Source!DG866</f>
        <v>)*0,8</v>
      </c>
      <c r="H1120" s="12">
        <f>Source!AV867</f>
        <v>1</v>
      </c>
      <c r="I1120" s="30">
        <f>Source!S866</f>
        <v>13.39</v>
      </c>
      <c r="J1120" s="12">
        <f>IF(Source!BA867&lt;&gt; 0, Source!BA867, 1)</f>
        <v>29.03</v>
      </c>
      <c r="K1120" s="30">
        <f>Source!S867</f>
        <v>388.71</v>
      </c>
    </row>
    <row r="1121" spans="1:29" ht="14.25" x14ac:dyDescent="0.2">
      <c r="A1121" s="27"/>
      <c r="B1121" s="27"/>
      <c r="C1121" s="27" t="s">
        <v>1609</v>
      </c>
      <c r="D1121" s="28"/>
      <c r="E1121" s="12"/>
      <c r="F1121" s="30">
        <f>Source!AM866</f>
        <v>4.93</v>
      </c>
      <c r="G1121" s="29" t="str">
        <f>Source!DE866</f>
        <v>)*0,8</v>
      </c>
      <c r="H1121" s="12">
        <f>Source!AV867</f>
        <v>1</v>
      </c>
      <c r="I1121" s="30">
        <f>Source!Q866</f>
        <v>3.94</v>
      </c>
      <c r="J1121" s="12">
        <f>IF(Source!BB867&lt;&gt; 0, Source!BB867, 1)</f>
        <v>10.23</v>
      </c>
      <c r="K1121" s="30">
        <f>Source!Q867</f>
        <v>40.31</v>
      </c>
    </row>
    <row r="1122" spans="1:29" ht="14.25" x14ac:dyDescent="0.2">
      <c r="A1122" s="27"/>
      <c r="B1122" s="27"/>
      <c r="C1122" s="27" t="s">
        <v>1610</v>
      </c>
      <c r="D1122" s="28"/>
      <c r="E1122" s="12"/>
      <c r="F1122" s="30">
        <f>Source!AN866</f>
        <v>0.33</v>
      </c>
      <c r="G1122" s="29" t="str">
        <f>Source!DF866</f>
        <v>)*0,8</v>
      </c>
      <c r="H1122" s="12">
        <f>Source!AV867</f>
        <v>1</v>
      </c>
      <c r="I1122" s="38">
        <f>Source!R866</f>
        <v>0.26</v>
      </c>
      <c r="J1122" s="12">
        <f>IF(Source!BS867&lt;&gt; 0, Source!BS867, 1)</f>
        <v>29.03</v>
      </c>
      <c r="K1122" s="38">
        <f>Source!R867</f>
        <v>7.55</v>
      </c>
    </row>
    <row r="1123" spans="1:29" ht="14.25" x14ac:dyDescent="0.2">
      <c r="A1123" s="27"/>
      <c r="B1123" s="27"/>
      <c r="C1123" s="27" t="s">
        <v>1611</v>
      </c>
      <c r="D1123" s="28"/>
      <c r="E1123" s="12"/>
      <c r="F1123" s="30">
        <f>Source!AL866</f>
        <v>15.47</v>
      </c>
      <c r="G1123" s="29" t="str">
        <f>Source!DD866</f>
        <v/>
      </c>
      <c r="H1123" s="12">
        <f>Source!AW867</f>
        <v>1</v>
      </c>
      <c r="I1123" s="30">
        <f>Source!P866</f>
        <v>15.47</v>
      </c>
      <c r="J1123" s="12">
        <f>IF(Source!BC867&lt;&gt; 0, Source!BC867, 1)</f>
        <v>6.15</v>
      </c>
      <c r="K1123" s="30">
        <f>Source!P867</f>
        <v>95.14</v>
      </c>
    </row>
    <row r="1124" spans="1:29" ht="42.75" x14ac:dyDescent="0.2">
      <c r="A1124" s="27" t="s">
        <v>100</v>
      </c>
      <c r="B1124" s="27" t="str">
        <f>Source!F868</f>
        <v>1.21-5-1130</v>
      </c>
      <c r="C1124" s="27" t="s">
        <v>746</v>
      </c>
      <c r="D1124" s="28" t="str">
        <f>Source!H868</f>
        <v>шт.</v>
      </c>
      <c r="E1124" s="12">
        <f>Source!I868</f>
        <v>1</v>
      </c>
      <c r="F1124" s="30">
        <f>Source!AK868</f>
        <v>37.369999999999997</v>
      </c>
      <c r="G1124" s="39" t="s">
        <v>3</v>
      </c>
      <c r="H1124" s="12">
        <f>Source!AW869</f>
        <v>1</v>
      </c>
      <c r="I1124" s="30">
        <f>Source!O868</f>
        <v>37.369999999999997</v>
      </c>
      <c r="J1124" s="12">
        <f>IF(Source!BC869&lt;&gt; 0, Source!BC869, 1)</f>
        <v>13.93</v>
      </c>
      <c r="K1124" s="30">
        <f>Source!O869</f>
        <v>520.55999999999995</v>
      </c>
      <c r="Q1124">
        <f>Source!X868</f>
        <v>0</v>
      </c>
      <c r="R1124">
        <f>Source!X869</f>
        <v>0</v>
      </c>
      <c r="S1124">
        <f>Source!Y868</f>
        <v>0</v>
      </c>
      <c r="T1124">
        <f>Source!Y869</f>
        <v>0</v>
      </c>
      <c r="U1124">
        <f>ROUND((175/100)*ROUND(Source!R868, 2), 2)</f>
        <v>0</v>
      </c>
      <c r="V1124">
        <f>ROUND((160/100)*ROUND(Source!R869, 2), 2)</f>
        <v>0</v>
      </c>
      <c r="AC1124">
        <v>3</v>
      </c>
    </row>
    <row r="1125" spans="1:29" ht="14.25" x14ac:dyDescent="0.2">
      <c r="A1125" s="27"/>
      <c r="B1125" s="27"/>
      <c r="C1125" s="27" t="s">
        <v>1598</v>
      </c>
      <c r="D1125" s="28" t="s">
        <v>1599</v>
      </c>
      <c r="E1125" s="12">
        <f>Source!DN867</f>
        <v>114</v>
      </c>
      <c r="F1125" s="30"/>
      <c r="G1125" s="29"/>
      <c r="H1125" s="12"/>
      <c r="I1125" s="30">
        <f>SUM(Q1119:Q1124)</f>
        <v>15.26</v>
      </c>
      <c r="J1125" s="12">
        <f>Source!BZ867</f>
        <v>79</v>
      </c>
      <c r="K1125" s="30">
        <f>SUM(R1119:R1124)</f>
        <v>307.08</v>
      </c>
    </row>
    <row r="1126" spans="1:29" ht="14.25" x14ac:dyDescent="0.2">
      <c r="A1126" s="27"/>
      <c r="B1126" s="27"/>
      <c r="C1126" s="27" t="s">
        <v>1600</v>
      </c>
      <c r="D1126" s="28" t="s">
        <v>1599</v>
      </c>
      <c r="E1126" s="12">
        <f>Source!DO867</f>
        <v>67</v>
      </c>
      <c r="F1126" s="30"/>
      <c r="G1126" s="29"/>
      <c r="H1126" s="12"/>
      <c r="I1126" s="30">
        <f>SUM(S1119:S1125)</f>
        <v>8.9700000000000006</v>
      </c>
      <c r="J1126" s="12">
        <f>Source!CA867</f>
        <v>41</v>
      </c>
      <c r="K1126" s="30">
        <f>SUM(T1119:T1125)</f>
        <v>159.37</v>
      </c>
    </row>
    <row r="1127" spans="1:29" ht="14.25" x14ac:dyDescent="0.2">
      <c r="A1127" s="27"/>
      <c r="B1127" s="27"/>
      <c r="C1127" s="27" t="s">
        <v>1612</v>
      </c>
      <c r="D1127" s="28" t="s">
        <v>1599</v>
      </c>
      <c r="E1127" s="12">
        <f>175</f>
        <v>175</v>
      </c>
      <c r="F1127" s="30"/>
      <c r="G1127" s="29"/>
      <c r="H1127" s="12"/>
      <c r="I1127" s="30">
        <f>SUM(U1119:U1126)</f>
        <v>0.46</v>
      </c>
      <c r="J1127" s="12">
        <f>160</f>
        <v>160</v>
      </c>
      <c r="K1127" s="30">
        <f>SUM(V1119:V1126)</f>
        <v>12.08</v>
      </c>
    </row>
    <row r="1128" spans="1:29" ht="14.25" x14ac:dyDescent="0.2">
      <c r="A1128" s="31"/>
      <c r="B1128" s="31"/>
      <c r="C1128" s="31" t="s">
        <v>1601</v>
      </c>
      <c r="D1128" s="32" t="s">
        <v>1602</v>
      </c>
      <c r="E1128" s="33">
        <f>Source!AQ866</f>
        <v>1.34</v>
      </c>
      <c r="F1128" s="34"/>
      <c r="G1128" s="35" t="str">
        <f>Source!DI866</f>
        <v>)*0,8</v>
      </c>
      <c r="H1128" s="33">
        <f>Source!AV867</f>
        <v>1</v>
      </c>
      <c r="I1128" s="34">
        <f>Source!U866</f>
        <v>1.0720000000000001</v>
      </c>
      <c r="J1128" s="33"/>
      <c r="K1128" s="34"/>
    </row>
    <row r="1129" spans="1:29" ht="15" x14ac:dyDescent="0.25">
      <c r="C1129" s="22" t="s">
        <v>1603</v>
      </c>
      <c r="H1129" s="104">
        <f>I1120+I1121+I1123+I1125+I1126+I1127+SUM(I1124:I1124)-SUMIF(AC1124:AC1124, 5, I1124:I1124)-SUMIF(AC1124:AC1124, 6, I1124:I1124)</f>
        <v>94.86</v>
      </c>
      <c r="I1129" s="104"/>
      <c r="J1129" s="104">
        <f>K1120+K1121+K1123+K1125+K1126+K1127+SUM(K1124:K1124)-SUMIF(AC1124:AC1124, 5, K1124:K1124)-SUMIF(AC1124:AC1124, 6, K1124:K1124)</f>
        <v>1523.25</v>
      </c>
      <c r="K1129" s="104"/>
    </row>
    <row r="1130" spans="1:29" ht="15" x14ac:dyDescent="0.25">
      <c r="C1130" s="22" t="s">
        <v>1604</v>
      </c>
      <c r="H1130" s="100">
        <f>SUMIF(AC1124:AC1124, 5, I1124:I1124)+SUMIF(AC1124:AC1124, 6, I1124:I1124)</f>
        <v>0</v>
      </c>
      <c r="I1130" s="100"/>
      <c r="J1130" s="100">
        <f>SUMIF(AC1124:AC1124, 5, K1124:K1124)+SUMIF(AC1124:AC1124, 6, K1124:K1124)</f>
        <v>0</v>
      </c>
      <c r="K1130" s="100"/>
    </row>
    <row r="1131" spans="1:29" ht="15" x14ac:dyDescent="0.25">
      <c r="C1131" s="22" t="s">
        <v>1605</v>
      </c>
      <c r="H1131" s="100">
        <f>I1120+I1121+I1123+I1125+I1126+I1127+SUM(I1124:I1124)</f>
        <v>94.86</v>
      </c>
      <c r="I1131" s="100"/>
      <c r="J1131" s="100">
        <f>K1120+K1121+K1123+K1125+K1126+K1127+SUM(K1124:K1124)</f>
        <v>1523.25</v>
      </c>
      <c r="K1131" s="100"/>
      <c r="O1131" s="36">
        <f>I1120+I1121+I1123+I1125+I1126+I1127+SUM(I1124:I1124)</f>
        <v>94.86</v>
      </c>
      <c r="P1131" s="36">
        <f>K1120+K1121+K1123+K1125+K1126+K1127+SUM(K1124:K1124)</f>
        <v>1523.25</v>
      </c>
    </row>
    <row r="1133" spans="1:29" ht="57" x14ac:dyDescent="0.2">
      <c r="A1133" s="27">
        <v>4</v>
      </c>
      <c r="B1133" s="27" t="str">
        <f>Source!F870</f>
        <v>4.8-246-1</v>
      </c>
      <c r="C1133" s="27" t="s">
        <v>749</v>
      </c>
      <c r="D1133" s="28" t="str">
        <f>Source!H870</f>
        <v>100 шт.</v>
      </c>
      <c r="E1133" s="12">
        <f>Source!I870</f>
        <v>0.05</v>
      </c>
      <c r="F1133" s="30"/>
      <c r="G1133" s="29"/>
      <c r="H1133" s="12"/>
      <c r="I1133" s="30"/>
      <c r="J1133" s="12"/>
      <c r="K1133" s="30"/>
      <c r="Q1133">
        <f>Source!X870</f>
        <v>94.11</v>
      </c>
      <c r="R1133">
        <f>Source!X871</f>
        <v>1893.18</v>
      </c>
      <c r="S1133">
        <f>Source!Y870</f>
        <v>55.31</v>
      </c>
      <c r="T1133">
        <f>Source!Y871</f>
        <v>982.54</v>
      </c>
      <c r="U1133">
        <f>ROUND((175/100)*ROUND(Source!R870, 2), 2)</f>
        <v>2.4500000000000002</v>
      </c>
      <c r="V1133">
        <f>ROUND((160/100)*ROUND(Source!R871, 2), 2)</f>
        <v>65.02</v>
      </c>
      <c r="AC1133">
        <v>0</v>
      </c>
    </row>
    <row r="1134" spans="1:29" ht="14.25" x14ac:dyDescent="0.2">
      <c r="A1134" s="27"/>
      <c r="B1134" s="27"/>
      <c r="C1134" s="27" t="s">
        <v>1597</v>
      </c>
      <c r="D1134" s="28"/>
      <c r="E1134" s="12"/>
      <c r="F1134" s="30">
        <f>Source!AO870</f>
        <v>1651</v>
      </c>
      <c r="G1134" s="29" t="str">
        <f>Source!DG870</f>
        <v/>
      </c>
      <c r="H1134" s="12">
        <f>Source!AV871</f>
        <v>1</v>
      </c>
      <c r="I1134" s="30">
        <f>Source!S870</f>
        <v>82.55</v>
      </c>
      <c r="J1134" s="12">
        <f>IF(Source!BA871&lt;&gt; 0, Source!BA871, 1)</f>
        <v>29.03</v>
      </c>
      <c r="K1134" s="30">
        <f>Source!S871</f>
        <v>2396.4299999999998</v>
      </c>
    </row>
    <row r="1135" spans="1:29" ht="14.25" x14ac:dyDescent="0.2">
      <c r="A1135" s="27"/>
      <c r="B1135" s="27"/>
      <c r="C1135" s="27" t="s">
        <v>1609</v>
      </c>
      <c r="D1135" s="28"/>
      <c r="E1135" s="12"/>
      <c r="F1135" s="30">
        <f>Source!AM870</f>
        <v>120.22</v>
      </c>
      <c r="G1135" s="29" t="str">
        <f>Source!DE870</f>
        <v/>
      </c>
      <c r="H1135" s="12">
        <f>Source!AV871</f>
        <v>1</v>
      </c>
      <c r="I1135" s="30">
        <f>Source!Q870</f>
        <v>6.01</v>
      </c>
      <c r="J1135" s="12">
        <f>IF(Source!BB871&lt;&gt; 0, Source!BB871, 1)</f>
        <v>11.42</v>
      </c>
      <c r="K1135" s="30">
        <f>Source!Q871</f>
        <v>68.63</v>
      </c>
    </row>
    <row r="1136" spans="1:29" ht="14.25" x14ac:dyDescent="0.2">
      <c r="A1136" s="27"/>
      <c r="B1136" s="27"/>
      <c r="C1136" s="27" t="s">
        <v>1610</v>
      </c>
      <c r="D1136" s="28"/>
      <c r="E1136" s="12"/>
      <c r="F1136" s="30">
        <f>Source!AN870</f>
        <v>27.92</v>
      </c>
      <c r="G1136" s="29" t="str">
        <f>Source!DF870</f>
        <v/>
      </c>
      <c r="H1136" s="12">
        <f>Source!AV871</f>
        <v>1</v>
      </c>
      <c r="I1136" s="38">
        <f>Source!R870</f>
        <v>1.4</v>
      </c>
      <c r="J1136" s="12">
        <f>IF(Source!BS871&lt;&gt; 0, Source!BS871, 1)</f>
        <v>29.03</v>
      </c>
      <c r="K1136" s="38">
        <f>Source!R871</f>
        <v>40.64</v>
      </c>
    </row>
    <row r="1137" spans="1:29" ht="14.25" x14ac:dyDescent="0.2">
      <c r="A1137" s="27"/>
      <c r="B1137" s="27"/>
      <c r="C1137" s="27" t="s">
        <v>1611</v>
      </c>
      <c r="D1137" s="28"/>
      <c r="E1137" s="12"/>
      <c r="F1137" s="30">
        <f>Source!AL870</f>
        <v>295.39999999999998</v>
      </c>
      <c r="G1137" s="29" t="str">
        <f>Source!DD870</f>
        <v/>
      </c>
      <c r="H1137" s="12">
        <f>Source!AW871</f>
        <v>1</v>
      </c>
      <c r="I1137" s="30">
        <f>Source!P870</f>
        <v>14.77</v>
      </c>
      <c r="J1137" s="12">
        <f>IF(Source!BC871&lt;&gt; 0, Source!BC871, 1)</f>
        <v>6.14</v>
      </c>
      <c r="K1137" s="30">
        <f>Source!P871</f>
        <v>90.69</v>
      </c>
    </row>
    <row r="1138" spans="1:29" ht="69.75" x14ac:dyDescent="0.2">
      <c r="A1138" s="27" t="s">
        <v>111</v>
      </c>
      <c r="B1138" s="27" t="str">
        <f>Source!F872</f>
        <v>Цена поставщика</v>
      </c>
      <c r="C1138" s="27" t="s">
        <v>1669</v>
      </c>
      <c r="D1138" s="28" t="str">
        <f>Source!H872</f>
        <v>шт.</v>
      </c>
      <c r="E1138" s="12">
        <f>Source!I872</f>
        <v>3</v>
      </c>
      <c r="F1138" s="30">
        <f>Source!AK872</f>
        <v>82.05</v>
      </c>
      <c r="G1138" s="39" t="s">
        <v>3</v>
      </c>
      <c r="H1138" s="12">
        <f>Source!AW873</f>
        <v>1</v>
      </c>
      <c r="I1138" s="30">
        <f>Source!O872</f>
        <v>246.15</v>
      </c>
      <c r="J1138" s="12">
        <f>IF(Source!BC873&lt;&gt; 0, Source!BC873, 1)</f>
        <v>8.65</v>
      </c>
      <c r="K1138" s="30">
        <f>Source!O873</f>
        <v>4250.87</v>
      </c>
      <c r="Q1138">
        <f>Source!X872</f>
        <v>0</v>
      </c>
      <c r="R1138">
        <f>Source!X873</f>
        <v>0</v>
      </c>
      <c r="S1138">
        <f>Source!Y872</f>
        <v>0</v>
      </c>
      <c r="T1138">
        <f>Source!Y873</f>
        <v>0</v>
      </c>
      <c r="U1138">
        <f>ROUND((175/100)*ROUND(Source!R872, 2), 2)</f>
        <v>0</v>
      </c>
      <c r="V1138">
        <f>ROUND((160/100)*ROUND(Source!R873, 2), 2)</f>
        <v>0</v>
      </c>
      <c r="AC1138">
        <v>3</v>
      </c>
    </row>
    <row r="1139" spans="1:29" ht="42.75" x14ac:dyDescent="0.2">
      <c r="A1139" s="27" t="s">
        <v>753</v>
      </c>
      <c r="B1139" s="27" t="str">
        <f>Source!F874</f>
        <v>Цена поставщика</v>
      </c>
      <c r="C1139" s="27" t="s">
        <v>1670</v>
      </c>
      <c r="D1139" s="28" t="str">
        <f>Source!H874</f>
        <v>шт.</v>
      </c>
      <c r="E1139" s="12">
        <f>Source!I874</f>
        <v>1</v>
      </c>
      <c r="F1139" s="30">
        <f>Source!AK874</f>
        <v>725.89</v>
      </c>
      <c r="G1139" s="39" t="s">
        <v>3</v>
      </c>
      <c r="H1139" s="12">
        <f>Source!AW875</f>
        <v>1</v>
      </c>
      <c r="I1139" s="30">
        <f>Source!O874</f>
        <v>725.89</v>
      </c>
      <c r="J1139" s="12">
        <f>IF(Source!BC875&lt;&gt; 0, Source!BC875, 1)</f>
        <v>8.65</v>
      </c>
      <c r="K1139" s="30">
        <f>Source!O875</f>
        <v>6806.77</v>
      </c>
      <c r="Q1139">
        <f>Source!X874</f>
        <v>0</v>
      </c>
      <c r="R1139">
        <f>Source!X875</f>
        <v>0</v>
      </c>
      <c r="S1139">
        <f>Source!Y874</f>
        <v>0</v>
      </c>
      <c r="T1139">
        <f>Source!Y875</f>
        <v>0</v>
      </c>
      <c r="U1139">
        <f>ROUND((175/100)*ROUND(Source!R874, 2), 2)</f>
        <v>0</v>
      </c>
      <c r="V1139">
        <f>ROUND((160/100)*ROUND(Source!R875, 2), 2)</f>
        <v>0</v>
      </c>
      <c r="AC1139">
        <v>3</v>
      </c>
    </row>
    <row r="1140" spans="1:29" ht="68.25" x14ac:dyDescent="0.2">
      <c r="A1140" s="27" t="s">
        <v>756</v>
      </c>
      <c r="B1140" s="27" t="str">
        <f>Source!F876</f>
        <v>Цена поставщика</v>
      </c>
      <c r="C1140" s="27" t="s">
        <v>1671</v>
      </c>
      <c r="D1140" s="28" t="str">
        <f>Source!H876</f>
        <v>шт.</v>
      </c>
      <c r="E1140" s="12">
        <f>Source!I876</f>
        <v>1</v>
      </c>
      <c r="F1140" s="30">
        <f>Source!AK876</f>
        <v>1345.7700000000002</v>
      </c>
      <c r="G1140" s="39" t="s">
        <v>3</v>
      </c>
      <c r="H1140" s="12">
        <f>Source!AW877</f>
        <v>1</v>
      </c>
      <c r="I1140" s="30">
        <f>Source!O876</f>
        <v>1345.77</v>
      </c>
      <c r="J1140" s="12">
        <f>IF(Source!BC877&lt;&gt; 0, Source!BC877, 1)</f>
        <v>8.65</v>
      </c>
      <c r="K1140" s="30">
        <f>Source!O877</f>
        <v>9968.8700000000008</v>
      </c>
      <c r="Q1140">
        <f>Source!X876</f>
        <v>0</v>
      </c>
      <c r="R1140">
        <f>Source!X877</f>
        <v>0</v>
      </c>
      <c r="S1140">
        <f>Source!Y876</f>
        <v>0</v>
      </c>
      <c r="T1140">
        <f>Source!Y877</f>
        <v>0</v>
      </c>
      <c r="U1140">
        <f>ROUND((175/100)*ROUND(Source!R876, 2), 2)</f>
        <v>0</v>
      </c>
      <c r="V1140">
        <f>ROUND((160/100)*ROUND(Source!R877, 2), 2)</f>
        <v>0</v>
      </c>
      <c r="AC1140">
        <v>3</v>
      </c>
    </row>
    <row r="1141" spans="1:29" ht="14.25" x14ac:dyDescent="0.2">
      <c r="A1141" s="27"/>
      <c r="B1141" s="27"/>
      <c r="C1141" s="27" t="s">
        <v>1598</v>
      </c>
      <c r="D1141" s="28" t="s">
        <v>1599</v>
      </c>
      <c r="E1141" s="12">
        <f>Source!DN871</f>
        <v>114</v>
      </c>
      <c r="F1141" s="30"/>
      <c r="G1141" s="29"/>
      <c r="H1141" s="12"/>
      <c r="I1141" s="30">
        <f>SUM(Q1133:Q1140)</f>
        <v>94.11</v>
      </c>
      <c r="J1141" s="12">
        <f>Source!BZ871</f>
        <v>79</v>
      </c>
      <c r="K1141" s="30">
        <f>SUM(R1133:R1140)</f>
        <v>1893.18</v>
      </c>
    </row>
    <row r="1142" spans="1:29" ht="14.25" x14ac:dyDescent="0.2">
      <c r="A1142" s="27"/>
      <c r="B1142" s="27"/>
      <c r="C1142" s="27" t="s">
        <v>1600</v>
      </c>
      <c r="D1142" s="28" t="s">
        <v>1599</v>
      </c>
      <c r="E1142" s="12">
        <f>Source!DO871</f>
        <v>67</v>
      </c>
      <c r="F1142" s="30"/>
      <c r="G1142" s="29"/>
      <c r="H1142" s="12"/>
      <c r="I1142" s="30">
        <f>SUM(S1133:S1141)</f>
        <v>55.31</v>
      </c>
      <c r="J1142" s="12">
        <f>Source!CA871</f>
        <v>41</v>
      </c>
      <c r="K1142" s="30">
        <f>SUM(T1133:T1141)</f>
        <v>982.54</v>
      </c>
    </row>
    <row r="1143" spans="1:29" ht="14.25" x14ac:dyDescent="0.2">
      <c r="A1143" s="27"/>
      <c r="B1143" s="27"/>
      <c r="C1143" s="27" t="s">
        <v>1612</v>
      </c>
      <c r="D1143" s="28" t="s">
        <v>1599</v>
      </c>
      <c r="E1143" s="12">
        <f>175</f>
        <v>175</v>
      </c>
      <c r="F1143" s="30"/>
      <c r="G1143" s="29"/>
      <c r="H1143" s="12"/>
      <c r="I1143" s="30">
        <f>SUM(U1133:U1142)</f>
        <v>2.4500000000000002</v>
      </c>
      <c r="J1143" s="12">
        <f>160</f>
        <v>160</v>
      </c>
      <c r="K1143" s="30">
        <f>SUM(V1133:V1142)</f>
        <v>65.02</v>
      </c>
    </row>
    <row r="1144" spans="1:29" ht="14.25" x14ac:dyDescent="0.2">
      <c r="A1144" s="31"/>
      <c r="B1144" s="31"/>
      <c r="C1144" s="31" t="s">
        <v>1601</v>
      </c>
      <c r="D1144" s="32" t="s">
        <v>1602</v>
      </c>
      <c r="E1144" s="33">
        <f>Source!AQ870</f>
        <v>127</v>
      </c>
      <c r="F1144" s="34"/>
      <c r="G1144" s="35" t="str">
        <f>Source!DI870</f>
        <v/>
      </c>
      <c r="H1144" s="33">
        <f>Source!AV871</f>
        <v>1</v>
      </c>
      <c r="I1144" s="34">
        <f>Source!U870</f>
        <v>6.3500000000000005</v>
      </c>
      <c r="J1144" s="33"/>
      <c r="K1144" s="34"/>
    </row>
    <row r="1145" spans="1:29" ht="15" x14ac:dyDescent="0.25">
      <c r="C1145" s="22" t="s">
        <v>1603</v>
      </c>
      <c r="H1145" s="104">
        <f>I1134+I1135+I1137+I1141+I1142+I1143+SUM(I1138:I1140)-SUMIF(AC1138:AC1140, 5, I1138:I1140)-SUMIF(AC1138:AC1140, 6, I1138:I1140)</f>
        <v>2573.0099999999998</v>
      </c>
      <c r="I1145" s="104"/>
      <c r="J1145" s="104">
        <f>K1134+K1135+K1137+K1141+K1142+K1143+SUM(K1138:K1140)-SUMIF(AC1138:AC1140, 5, K1138:K1140)-SUMIF(AC1138:AC1140, 6, K1138:K1140)</f>
        <v>26523.000000000004</v>
      </c>
      <c r="K1145" s="104"/>
    </row>
    <row r="1146" spans="1:29" ht="15" x14ac:dyDescent="0.25">
      <c r="C1146" s="22" t="s">
        <v>1604</v>
      </c>
      <c r="H1146" s="100">
        <f>SUMIF(AC1138:AC1140, 5, I1138:I1140)+SUMIF(AC1138:AC1140, 6, I1138:I1140)</f>
        <v>0</v>
      </c>
      <c r="I1146" s="100"/>
      <c r="J1146" s="100">
        <f>SUMIF(AC1138:AC1140, 5, K1138:K1140)+SUMIF(AC1138:AC1140, 6, K1138:K1140)</f>
        <v>0</v>
      </c>
      <c r="K1146" s="100"/>
    </row>
    <row r="1147" spans="1:29" ht="15" x14ac:dyDescent="0.25">
      <c r="C1147" s="22" t="s">
        <v>1605</v>
      </c>
      <c r="H1147" s="100">
        <f>I1134+I1135+I1137+I1141+I1142+I1143+SUM(I1138:I1140)</f>
        <v>2573.0099999999998</v>
      </c>
      <c r="I1147" s="100"/>
      <c r="J1147" s="100">
        <f>K1134+K1135+K1137+K1141+K1142+K1143+SUM(K1138:K1140)</f>
        <v>26523.000000000004</v>
      </c>
      <c r="K1147" s="100"/>
      <c r="O1147" s="36">
        <f>I1134+I1135+I1137+I1141+I1142+I1143+SUM(I1138:I1140)</f>
        <v>2573.0099999999998</v>
      </c>
      <c r="P1147" s="36">
        <f>K1134+K1135+K1137+K1141+K1142+K1143+SUM(K1138:K1140)</f>
        <v>26523.000000000004</v>
      </c>
    </row>
    <row r="1149" spans="1:29" ht="28.5" x14ac:dyDescent="0.2">
      <c r="A1149" s="27">
        <v>5</v>
      </c>
      <c r="B1149" s="27" t="str">
        <f>Source!F878</f>
        <v>4.8-245-10</v>
      </c>
      <c r="C1149" s="27" t="s">
        <v>654</v>
      </c>
      <c r="D1149" s="28" t="str">
        <f>Source!H878</f>
        <v>100 шт.</v>
      </c>
      <c r="E1149" s="12">
        <f>Source!I878</f>
        <v>0.03</v>
      </c>
      <c r="F1149" s="30"/>
      <c r="G1149" s="29"/>
      <c r="H1149" s="12"/>
      <c r="I1149" s="30"/>
      <c r="J1149" s="12"/>
      <c r="K1149" s="30"/>
      <c r="Q1149">
        <f>Source!X878</f>
        <v>37.64</v>
      </c>
      <c r="R1149">
        <f>Source!X879</f>
        <v>757.27</v>
      </c>
      <c r="S1149">
        <f>Source!Y878</f>
        <v>22.12</v>
      </c>
      <c r="T1149">
        <f>Source!Y879</f>
        <v>393.01</v>
      </c>
      <c r="U1149">
        <f>ROUND((175/100)*ROUND(Source!R878, 2), 2)</f>
        <v>1.17</v>
      </c>
      <c r="V1149">
        <f>ROUND((160/100)*ROUND(Source!R879, 2), 2)</f>
        <v>31.12</v>
      </c>
      <c r="AC1149">
        <v>0</v>
      </c>
    </row>
    <row r="1150" spans="1:29" ht="14.25" x14ac:dyDescent="0.2">
      <c r="A1150" s="27"/>
      <c r="B1150" s="27"/>
      <c r="C1150" s="27" t="s">
        <v>1597</v>
      </c>
      <c r="D1150" s="28"/>
      <c r="E1150" s="12"/>
      <c r="F1150" s="30">
        <f>Source!AO878</f>
        <v>1100.71</v>
      </c>
      <c r="G1150" s="29" t="str">
        <f>Source!DG878</f>
        <v/>
      </c>
      <c r="H1150" s="12">
        <f>Source!AV879</f>
        <v>1</v>
      </c>
      <c r="I1150" s="30">
        <f>Source!S878</f>
        <v>33.020000000000003</v>
      </c>
      <c r="J1150" s="12">
        <f>IF(Source!BA879&lt;&gt; 0, Source!BA879, 1)</f>
        <v>29.03</v>
      </c>
      <c r="K1150" s="30">
        <f>Source!S879</f>
        <v>958.57</v>
      </c>
    </row>
    <row r="1151" spans="1:29" ht="14.25" x14ac:dyDescent="0.2">
      <c r="A1151" s="27"/>
      <c r="B1151" s="27"/>
      <c r="C1151" s="27" t="s">
        <v>1609</v>
      </c>
      <c r="D1151" s="28"/>
      <c r="E1151" s="12"/>
      <c r="F1151" s="30">
        <f>Source!AM878</f>
        <v>139.31</v>
      </c>
      <c r="G1151" s="29" t="str">
        <f>Source!DE878</f>
        <v/>
      </c>
      <c r="H1151" s="12">
        <f>Source!AV879</f>
        <v>1</v>
      </c>
      <c r="I1151" s="30">
        <f>Source!Q878</f>
        <v>4.18</v>
      </c>
      <c r="J1151" s="12">
        <f>IF(Source!BB879&lt;&gt; 0, Source!BB879, 1)</f>
        <v>11.11</v>
      </c>
      <c r="K1151" s="30">
        <f>Source!Q879</f>
        <v>46.44</v>
      </c>
    </row>
    <row r="1152" spans="1:29" ht="14.25" x14ac:dyDescent="0.2">
      <c r="A1152" s="27"/>
      <c r="B1152" s="27"/>
      <c r="C1152" s="27" t="s">
        <v>1610</v>
      </c>
      <c r="D1152" s="28"/>
      <c r="E1152" s="12"/>
      <c r="F1152" s="30">
        <f>Source!AN878</f>
        <v>22.46</v>
      </c>
      <c r="G1152" s="29" t="str">
        <f>Source!DF878</f>
        <v/>
      </c>
      <c r="H1152" s="12">
        <f>Source!AV879</f>
        <v>1</v>
      </c>
      <c r="I1152" s="38">
        <f>Source!R878</f>
        <v>0.67</v>
      </c>
      <c r="J1152" s="12">
        <f>IF(Source!BS879&lt;&gt; 0, Source!BS879, 1)</f>
        <v>29.03</v>
      </c>
      <c r="K1152" s="38">
        <f>Source!R879</f>
        <v>19.45</v>
      </c>
    </row>
    <row r="1153" spans="1:29" ht="14.25" x14ac:dyDescent="0.2">
      <c r="A1153" s="27"/>
      <c r="B1153" s="27"/>
      <c r="C1153" s="27" t="s">
        <v>1611</v>
      </c>
      <c r="D1153" s="28"/>
      <c r="E1153" s="12"/>
      <c r="F1153" s="30">
        <f>Source!AL878</f>
        <v>116.9</v>
      </c>
      <c r="G1153" s="29" t="str">
        <f>Source!DD878</f>
        <v/>
      </c>
      <c r="H1153" s="12">
        <f>Source!AW879</f>
        <v>1</v>
      </c>
      <c r="I1153" s="30">
        <f>Source!P878</f>
        <v>3.51</v>
      </c>
      <c r="J1153" s="12">
        <f>IF(Source!BC879&lt;&gt; 0, Source!BC879, 1)</f>
        <v>8.14</v>
      </c>
      <c r="K1153" s="30">
        <f>Source!P879</f>
        <v>28.57</v>
      </c>
    </row>
    <row r="1154" spans="1:29" ht="42.75" x14ac:dyDescent="0.2">
      <c r="A1154" s="27" t="s">
        <v>123</v>
      </c>
      <c r="B1154" s="27" t="str">
        <f>Source!F880</f>
        <v>1.22-4-15</v>
      </c>
      <c r="C1154" s="27" t="s">
        <v>760</v>
      </c>
      <c r="D1154" s="28" t="str">
        <f>Source!H880</f>
        <v>шт.</v>
      </c>
      <c r="E1154" s="12">
        <f>Source!I880</f>
        <v>3</v>
      </c>
      <c r="F1154" s="30">
        <f>Source!AK880</f>
        <v>347.2</v>
      </c>
      <c r="G1154" s="39" t="s">
        <v>3</v>
      </c>
      <c r="H1154" s="12">
        <f>Source!AW881</f>
        <v>1</v>
      </c>
      <c r="I1154" s="30">
        <f>Source!O880</f>
        <v>1041.5999999999999</v>
      </c>
      <c r="J1154" s="12">
        <f>IF(Source!BC881&lt;&gt; 0, Source!BC881, 1)</f>
        <v>13.15</v>
      </c>
      <c r="K1154" s="30">
        <f>Source!O881</f>
        <v>13697.04</v>
      </c>
      <c r="Q1154">
        <f>Source!X880</f>
        <v>0</v>
      </c>
      <c r="R1154">
        <f>Source!X881</f>
        <v>0</v>
      </c>
      <c r="S1154">
        <f>Source!Y880</f>
        <v>0</v>
      </c>
      <c r="T1154">
        <f>Source!Y881</f>
        <v>0</v>
      </c>
      <c r="U1154">
        <f>ROUND((175/100)*ROUND(Source!R880, 2), 2)</f>
        <v>0</v>
      </c>
      <c r="V1154">
        <f>ROUND((160/100)*ROUND(Source!R881, 2), 2)</f>
        <v>0</v>
      </c>
      <c r="AC1154">
        <v>3</v>
      </c>
    </row>
    <row r="1155" spans="1:29" ht="42.75" x14ac:dyDescent="0.2">
      <c r="A1155" s="27" t="s">
        <v>533</v>
      </c>
      <c r="B1155" s="27" t="str">
        <f>Source!F882</f>
        <v>1.1-1-2614</v>
      </c>
      <c r="C1155" s="27" t="s">
        <v>649</v>
      </c>
      <c r="D1155" s="28" t="str">
        <f>Source!H882</f>
        <v>шт.</v>
      </c>
      <c r="E1155" s="12">
        <f>Source!I882</f>
        <v>3</v>
      </c>
      <c r="F1155" s="30">
        <f>Source!AK882</f>
        <v>15.36</v>
      </c>
      <c r="G1155" s="39" t="s">
        <v>3</v>
      </c>
      <c r="H1155" s="12">
        <f>Source!AW883</f>
        <v>1</v>
      </c>
      <c r="I1155" s="30">
        <f>Source!O882</f>
        <v>46.08</v>
      </c>
      <c r="J1155" s="12">
        <f>IF(Source!BC883&lt;&gt; 0, Source!BC883, 1)</f>
        <v>3.94</v>
      </c>
      <c r="K1155" s="30">
        <f>Source!O883</f>
        <v>181.56</v>
      </c>
      <c r="Q1155">
        <f>Source!X882</f>
        <v>0</v>
      </c>
      <c r="R1155">
        <f>Source!X883</f>
        <v>0</v>
      </c>
      <c r="S1155">
        <f>Source!Y882</f>
        <v>0</v>
      </c>
      <c r="T1155">
        <f>Source!Y883</f>
        <v>0</v>
      </c>
      <c r="U1155">
        <f>ROUND((175/100)*ROUND(Source!R882, 2), 2)</f>
        <v>0</v>
      </c>
      <c r="V1155">
        <f>ROUND((160/100)*ROUND(Source!R883, 2), 2)</f>
        <v>0</v>
      </c>
      <c r="AC1155">
        <v>3</v>
      </c>
    </row>
    <row r="1156" spans="1:29" ht="14.25" x14ac:dyDescent="0.2">
      <c r="A1156" s="27"/>
      <c r="B1156" s="27"/>
      <c r="C1156" s="27" t="s">
        <v>1598</v>
      </c>
      <c r="D1156" s="28" t="s">
        <v>1599</v>
      </c>
      <c r="E1156" s="12">
        <f>Source!DN879</f>
        <v>114</v>
      </c>
      <c r="F1156" s="30"/>
      <c r="G1156" s="29"/>
      <c r="H1156" s="12"/>
      <c r="I1156" s="30">
        <f>SUM(Q1149:Q1155)</f>
        <v>37.64</v>
      </c>
      <c r="J1156" s="12">
        <f>Source!BZ879</f>
        <v>79</v>
      </c>
      <c r="K1156" s="30">
        <f>SUM(R1149:R1155)</f>
        <v>757.27</v>
      </c>
    </row>
    <row r="1157" spans="1:29" ht="14.25" x14ac:dyDescent="0.2">
      <c r="A1157" s="27"/>
      <c r="B1157" s="27"/>
      <c r="C1157" s="27" t="s">
        <v>1600</v>
      </c>
      <c r="D1157" s="28" t="s">
        <v>1599</v>
      </c>
      <c r="E1157" s="12">
        <f>Source!DO879</f>
        <v>67</v>
      </c>
      <c r="F1157" s="30"/>
      <c r="G1157" s="29"/>
      <c r="H1157" s="12"/>
      <c r="I1157" s="30">
        <f>SUM(S1149:S1156)</f>
        <v>22.12</v>
      </c>
      <c r="J1157" s="12">
        <f>Source!CA879</f>
        <v>41</v>
      </c>
      <c r="K1157" s="30">
        <f>SUM(T1149:T1156)</f>
        <v>393.01</v>
      </c>
    </row>
    <row r="1158" spans="1:29" ht="14.25" x14ac:dyDescent="0.2">
      <c r="A1158" s="27"/>
      <c r="B1158" s="27"/>
      <c r="C1158" s="27" t="s">
        <v>1612</v>
      </c>
      <c r="D1158" s="28" t="s">
        <v>1599</v>
      </c>
      <c r="E1158" s="12">
        <f>175</f>
        <v>175</v>
      </c>
      <c r="F1158" s="30"/>
      <c r="G1158" s="29"/>
      <c r="H1158" s="12"/>
      <c r="I1158" s="30">
        <f>SUM(U1149:U1157)</f>
        <v>1.17</v>
      </c>
      <c r="J1158" s="12">
        <f>160</f>
        <v>160</v>
      </c>
      <c r="K1158" s="30">
        <f>SUM(V1149:V1157)</f>
        <v>31.12</v>
      </c>
    </row>
    <row r="1159" spans="1:29" ht="14.25" x14ac:dyDescent="0.2">
      <c r="A1159" s="31"/>
      <c r="B1159" s="31"/>
      <c r="C1159" s="31" t="s">
        <v>1601</v>
      </c>
      <c r="D1159" s="32" t="s">
        <v>1602</v>
      </c>
      <c r="E1159" s="33">
        <f>Source!AQ878</f>
        <v>84.67</v>
      </c>
      <c r="F1159" s="34"/>
      <c r="G1159" s="35" t="str">
        <f>Source!DI878</f>
        <v/>
      </c>
      <c r="H1159" s="33">
        <f>Source!AV879</f>
        <v>1</v>
      </c>
      <c r="I1159" s="34">
        <f>Source!U878</f>
        <v>2.5400999999999998</v>
      </c>
      <c r="J1159" s="33"/>
      <c r="K1159" s="34"/>
    </row>
    <row r="1160" spans="1:29" ht="15" x14ac:dyDescent="0.25">
      <c r="C1160" s="22" t="s">
        <v>1603</v>
      </c>
      <c r="H1160" s="104">
        <f>I1150+I1151+I1153+I1156+I1157+I1158+SUM(I1154:I1155)-SUMIF(AC1154:AC1155, 5, I1154:I1155)-SUMIF(AC1154:AC1155, 6, I1154:I1155)</f>
        <v>1189.32</v>
      </c>
      <c r="I1160" s="104"/>
      <c r="J1160" s="104">
        <f>K1150+K1151+K1153+K1156+K1157+K1158+SUM(K1154:K1155)-SUMIF(AC1154:AC1155, 5, K1154:K1155)-SUMIF(AC1154:AC1155, 6, K1154:K1155)</f>
        <v>16093.58</v>
      </c>
      <c r="K1160" s="104"/>
    </row>
    <row r="1161" spans="1:29" ht="15" x14ac:dyDescent="0.25">
      <c r="C1161" s="22" t="s">
        <v>1604</v>
      </c>
      <c r="H1161" s="100">
        <f>SUMIF(AC1154:AC1155, 5, I1154:I1155)+SUMIF(AC1154:AC1155, 6, I1154:I1155)</f>
        <v>0</v>
      </c>
      <c r="I1161" s="100"/>
      <c r="J1161" s="100">
        <f>SUMIF(AC1154:AC1155, 5, K1154:K1155)+SUMIF(AC1154:AC1155, 6, K1154:K1155)</f>
        <v>0</v>
      </c>
      <c r="K1161" s="100"/>
    </row>
    <row r="1162" spans="1:29" ht="15" x14ac:dyDescent="0.25">
      <c r="C1162" s="22" t="s">
        <v>1605</v>
      </c>
      <c r="H1162" s="100">
        <f>I1150+I1151+I1153+I1156+I1157+I1158+SUM(I1154:I1155)</f>
        <v>1189.32</v>
      </c>
      <c r="I1162" s="100"/>
      <c r="J1162" s="100">
        <f>K1150+K1151+K1153+K1156+K1157+K1158+SUM(K1154:K1155)</f>
        <v>16093.58</v>
      </c>
      <c r="K1162" s="100"/>
      <c r="O1162" s="36">
        <f>I1150+I1151+I1153+I1156+I1157+I1158+SUM(I1154:I1155)</f>
        <v>1189.32</v>
      </c>
      <c r="P1162" s="36">
        <f>K1150+K1151+K1153+K1156+K1157+K1158+SUM(K1154:K1155)</f>
        <v>16093.58</v>
      </c>
    </row>
    <row r="1164" spans="1:29" ht="14.25" x14ac:dyDescent="0.2">
      <c r="A1164" s="27">
        <v>6</v>
      </c>
      <c r="B1164" s="27" t="str">
        <f>Source!F884</f>
        <v>4.10-59-2</v>
      </c>
      <c r="C1164" s="27" t="s">
        <v>763</v>
      </c>
      <c r="D1164" s="28" t="str">
        <f>Source!H884</f>
        <v>1  ШТ.</v>
      </c>
      <c r="E1164" s="12">
        <f>Source!I884</f>
        <v>1</v>
      </c>
      <c r="F1164" s="30"/>
      <c r="G1164" s="29"/>
      <c r="H1164" s="12"/>
      <c r="I1164" s="30"/>
      <c r="J1164" s="12"/>
      <c r="K1164" s="30"/>
      <c r="Q1164">
        <f>Source!X884</f>
        <v>6.78</v>
      </c>
      <c r="R1164">
        <f>Source!X885</f>
        <v>136.46</v>
      </c>
      <c r="S1164">
        <f>Source!Y884</f>
        <v>3.99</v>
      </c>
      <c r="T1164">
        <f>Source!Y885</f>
        <v>70.819999999999993</v>
      </c>
      <c r="U1164">
        <f>ROUND((175/100)*ROUND(Source!R884, 2), 2)</f>
        <v>0</v>
      </c>
      <c r="V1164">
        <f>ROUND((160/100)*ROUND(Source!R885, 2), 2)</f>
        <v>0</v>
      </c>
      <c r="AC1164">
        <v>0</v>
      </c>
    </row>
    <row r="1165" spans="1:29" ht="14.25" x14ac:dyDescent="0.2">
      <c r="A1165" s="27"/>
      <c r="B1165" s="27"/>
      <c r="C1165" s="27" t="s">
        <v>1597</v>
      </c>
      <c r="D1165" s="28"/>
      <c r="E1165" s="12"/>
      <c r="F1165" s="30">
        <f>Source!AO884</f>
        <v>5.95</v>
      </c>
      <c r="G1165" s="29" t="str">
        <f>Source!DG884</f>
        <v/>
      </c>
      <c r="H1165" s="12">
        <f>Source!AV885</f>
        <v>1</v>
      </c>
      <c r="I1165" s="30">
        <f>Source!S884</f>
        <v>5.95</v>
      </c>
      <c r="J1165" s="12">
        <f>IF(Source!BA885&lt;&gt; 0, Source!BA885, 1)</f>
        <v>29.03</v>
      </c>
      <c r="K1165" s="30">
        <f>Source!S885</f>
        <v>172.73</v>
      </c>
    </row>
    <row r="1166" spans="1:29" ht="55.5" x14ac:dyDescent="0.2">
      <c r="A1166" s="27" t="s">
        <v>131</v>
      </c>
      <c r="B1166" s="27" t="str">
        <f>Source!F886</f>
        <v>Цена поставщика</v>
      </c>
      <c r="C1166" s="27" t="s">
        <v>1672</v>
      </c>
      <c r="D1166" s="28" t="str">
        <f>Source!H886</f>
        <v>шт.</v>
      </c>
      <c r="E1166" s="12">
        <f>Source!I886</f>
        <v>1</v>
      </c>
      <c r="F1166" s="30">
        <f>Source!AK886</f>
        <v>30.5</v>
      </c>
      <c r="G1166" s="39" t="s">
        <v>3</v>
      </c>
      <c r="H1166" s="12">
        <f>Source!AW887</f>
        <v>1</v>
      </c>
      <c r="I1166" s="30">
        <f>Source!O886</f>
        <v>30.5</v>
      </c>
      <c r="J1166" s="12">
        <f>IF(Source!BC887&lt;&gt; 0, Source!BC887, 1)</f>
        <v>8.65</v>
      </c>
      <c r="K1166" s="30">
        <f>Source!O887</f>
        <v>202.24</v>
      </c>
      <c r="Q1166">
        <f>Source!X886</f>
        <v>0</v>
      </c>
      <c r="R1166">
        <f>Source!X887</f>
        <v>0</v>
      </c>
      <c r="S1166">
        <f>Source!Y886</f>
        <v>0</v>
      </c>
      <c r="T1166">
        <f>Source!Y887</f>
        <v>0</v>
      </c>
      <c r="U1166">
        <f>ROUND((175/100)*ROUND(Source!R886, 2), 2)</f>
        <v>0</v>
      </c>
      <c r="V1166">
        <f>ROUND((160/100)*ROUND(Source!R887, 2), 2)</f>
        <v>0</v>
      </c>
      <c r="AC1166">
        <v>3</v>
      </c>
    </row>
    <row r="1167" spans="1:29" ht="14.25" x14ac:dyDescent="0.2">
      <c r="A1167" s="27"/>
      <c r="B1167" s="27"/>
      <c r="C1167" s="27" t="s">
        <v>1598</v>
      </c>
      <c r="D1167" s="28" t="s">
        <v>1599</v>
      </c>
      <c r="E1167" s="12">
        <f>Source!DN885</f>
        <v>114</v>
      </c>
      <c r="F1167" s="30"/>
      <c r="G1167" s="29"/>
      <c r="H1167" s="12"/>
      <c r="I1167" s="30">
        <f>SUM(Q1164:Q1166)</f>
        <v>6.78</v>
      </c>
      <c r="J1167" s="12">
        <f>Source!BZ885</f>
        <v>79</v>
      </c>
      <c r="K1167" s="30">
        <f>SUM(R1164:R1166)</f>
        <v>136.46</v>
      </c>
    </row>
    <row r="1168" spans="1:29" ht="14.25" x14ac:dyDescent="0.2">
      <c r="A1168" s="27"/>
      <c r="B1168" s="27"/>
      <c r="C1168" s="27" t="s">
        <v>1600</v>
      </c>
      <c r="D1168" s="28" t="s">
        <v>1599</v>
      </c>
      <c r="E1168" s="12">
        <f>Source!DO885</f>
        <v>67</v>
      </c>
      <c r="F1168" s="30"/>
      <c r="G1168" s="29"/>
      <c r="H1168" s="12"/>
      <c r="I1168" s="30">
        <f>SUM(S1164:S1167)</f>
        <v>3.99</v>
      </c>
      <c r="J1168" s="12">
        <f>Source!CA885</f>
        <v>41</v>
      </c>
      <c r="K1168" s="30">
        <f>SUM(T1164:T1167)</f>
        <v>70.819999999999993</v>
      </c>
    </row>
    <row r="1169" spans="1:29" ht="14.25" x14ac:dyDescent="0.2">
      <c r="A1169" s="31"/>
      <c r="B1169" s="31"/>
      <c r="C1169" s="31" t="s">
        <v>1601</v>
      </c>
      <c r="D1169" s="32" t="s">
        <v>1602</v>
      </c>
      <c r="E1169" s="33">
        <f>Source!AQ884</f>
        <v>0.5</v>
      </c>
      <c r="F1169" s="34"/>
      <c r="G1169" s="35" t="str">
        <f>Source!DI884</f>
        <v/>
      </c>
      <c r="H1169" s="33">
        <f>Source!AV885</f>
        <v>1</v>
      </c>
      <c r="I1169" s="34">
        <f>Source!U884</f>
        <v>0.5</v>
      </c>
      <c r="J1169" s="33"/>
      <c r="K1169" s="34"/>
    </row>
    <row r="1170" spans="1:29" ht="15" x14ac:dyDescent="0.25">
      <c r="C1170" s="22" t="s">
        <v>1603</v>
      </c>
      <c r="H1170" s="104">
        <f>I1165+I1167+I1168+SUM(I1166:I1166)-SUMIF(AC1166:AC1166, 5, I1166:I1166)-SUMIF(AC1166:AC1166, 6, I1166:I1166)</f>
        <v>47.22</v>
      </c>
      <c r="I1170" s="104"/>
      <c r="J1170" s="104">
        <f>K1165+K1167+K1168+SUM(K1166:K1166)-SUMIF(AC1166:AC1166, 5, K1166:K1166)-SUMIF(AC1166:AC1166, 6, K1166:K1166)</f>
        <v>582.25</v>
      </c>
      <c r="K1170" s="104"/>
    </row>
    <row r="1171" spans="1:29" ht="15" x14ac:dyDescent="0.25">
      <c r="C1171" s="22" t="s">
        <v>1604</v>
      </c>
      <c r="H1171" s="100">
        <f>SUMIF(AC1166:AC1166, 5, I1166:I1166)+SUMIF(AC1166:AC1166, 6, I1166:I1166)</f>
        <v>0</v>
      </c>
      <c r="I1171" s="100"/>
      <c r="J1171" s="100">
        <f>SUMIF(AC1166:AC1166, 5, K1166:K1166)+SUMIF(AC1166:AC1166, 6, K1166:K1166)</f>
        <v>0</v>
      </c>
      <c r="K1171" s="100"/>
    </row>
    <row r="1172" spans="1:29" ht="15" x14ac:dyDescent="0.25">
      <c r="C1172" s="22" t="s">
        <v>1605</v>
      </c>
      <c r="H1172" s="100">
        <f>I1165+I1167+I1168+SUM(I1166:I1166)</f>
        <v>47.22</v>
      </c>
      <c r="I1172" s="100"/>
      <c r="J1172" s="100">
        <f>K1165+K1167+K1168+SUM(K1166:K1166)</f>
        <v>582.25</v>
      </c>
      <c r="K1172" s="100"/>
      <c r="O1172" s="36">
        <f>I1165+I1167+I1168+SUM(I1166:I1166)</f>
        <v>47.22</v>
      </c>
      <c r="P1172" s="36">
        <f>K1165+K1167+K1168+SUM(K1166:K1166)</f>
        <v>582.25</v>
      </c>
    </row>
    <row r="1174" spans="1:29" ht="28.5" x14ac:dyDescent="0.2">
      <c r="A1174" s="27">
        <v>7</v>
      </c>
      <c r="B1174" s="27" t="str">
        <f>Source!F888</f>
        <v>4.8-280-2</v>
      </c>
      <c r="C1174" s="27" t="s">
        <v>669</v>
      </c>
      <c r="D1174" s="28" t="str">
        <f>Source!H888</f>
        <v>100 м</v>
      </c>
      <c r="E1174" s="12">
        <f>Source!I888</f>
        <v>0.9</v>
      </c>
      <c r="F1174" s="30"/>
      <c r="G1174" s="29"/>
      <c r="H1174" s="12"/>
      <c r="I1174" s="30"/>
      <c r="J1174" s="12"/>
      <c r="K1174" s="30"/>
      <c r="Q1174">
        <f>Source!X888</f>
        <v>504.13</v>
      </c>
      <c r="R1174">
        <f>Source!X889</f>
        <v>10141.74</v>
      </c>
      <c r="S1174">
        <f>Source!Y888</f>
        <v>296.29000000000002</v>
      </c>
      <c r="T1174">
        <f>Source!Y889</f>
        <v>5263.44</v>
      </c>
      <c r="U1174">
        <f>ROUND((175/100)*ROUND(Source!R888, 2), 2)</f>
        <v>6.21</v>
      </c>
      <c r="V1174">
        <f>ROUND((160/100)*ROUND(Source!R889, 2), 2)</f>
        <v>164.9</v>
      </c>
      <c r="AC1174">
        <v>0</v>
      </c>
    </row>
    <row r="1175" spans="1:29" ht="14.25" x14ac:dyDescent="0.2">
      <c r="A1175" s="27"/>
      <c r="B1175" s="27"/>
      <c r="C1175" s="27" t="s">
        <v>1597</v>
      </c>
      <c r="D1175" s="28"/>
      <c r="E1175" s="12"/>
      <c r="F1175" s="30">
        <f>Source!AO888</f>
        <v>491.35</v>
      </c>
      <c r="G1175" s="29" t="str">
        <f>Source!DG888</f>
        <v/>
      </c>
      <c r="H1175" s="12">
        <f>Source!AV889</f>
        <v>1</v>
      </c>
      <c r="I1175" s="30">
        <f>Source!S888</f>
        <v>442.22</v>
      </c>
      <c r="J1175" s="12">
        <f>IF(Source!BA889&lt;&gt; 0, Source!BA889, 1)</f>
        <v>29.03</v>
      </c>
      <c r="K1175" s="30">
        <f>Source!S889</f>
        <v>12837.65</v>
      </c>
    </row>
    <row r="1176" spans="1:29" ht="14.25" x14ac:dyDescent="0.2">
      <c r="A1176" s="27"/>
      <c r="B1176" s="27"/>
      <c r="C1176" s="27" t="s">
        <v>1609</v>
      </c>
      <c r="D1176" s="28"/>
      <c r="E1176" s="12"/>
      <c r="F1176" s="30">
        <f>Source!AM888</f>
        <v>29.47</v>
      </c>
      <c r="G1176" s="29" t="str">
        <f>Source!DE888</f>
        <v/>
      </c>
      <c r="H1176" s="12">
        <f>Source!AV889</f>
        <v>1</v>
      </c>
      <c r="I1176" s="30">
        <f>Source!Q888</f>
        <v>26.52</v>
      </c>
      <c r="J1176" s="12">
        <f>IF(Source!BB889&lt;&gt; 0, Source!BB889, 1)</f>
        <v>11.35</v>
      </c>
      <c r="K1176" s="30">
        <f>Source!Q889</f>
        <v>301</v>
      </c>
    </row>
    <row r="1177" spans="1:29" ht="14.25" x14ac:dyDescent="0.2">
      <c r="A1177" s="27"/>
      <c r="B1177" s="27"/>
      <c r="C1177" s="27" t="s">
        <v>1610</v>
      </c>
      <c r="D1177" s="28"/>
      <c r="E1177" s="12"/>
      <c r="F1177" s="30">
        <f>Source!AN888</f>
        <v>3.94</v>
      </c>
      <c r="G1177" s="29" t="str">
        <f>Source!DF888</f>
        <v/>
      </c>
      <c r="H1177" s="12">
        <f>Source!AV889</f>
        <v>1</v>
      </c>
      <c r="I1177" s="38">
        <f>Source!R888</f>
        <v>3.55</v>
      </c>
      <c r="J1177" s="12">
        <f>IF(Source!BS889&lt;&gt; 0, Source!BS889, 1)</f>
        <v>29.03</v>
      </c>
      <c r="K1177" s="38">
        <f>Source!R889</f>
        <v>103.06</v>
      </c>
    </row>
    <row r="1178" spans="1:29" ht="14.25" x14ac:dyDescent="0.2">
      <c r="A1178" s="27"/>
      <c r="B1178" s="27"/>
      <c r="C1178" s="27" t="s">
        <v>1611</v>
      </c>
      <c r="D1178" s="28"/>
      <c r="E1178" s="12"/>
      <c r="F1178" s="30">
        <f>Source!AL888</f>
        <v>1844.59</v>
      </c>
      <c r="G1178" s="29" t="str">
        <f>Source!DD888</f>
        <v/>
      </c>
      <c r="H1178" s="12">
        <f>Source!AW889</f>
        <v>1</v>
      </c>
      <c r="I1178" s="30">
        <f>Source!P888</f>
        <v>1660.13</v>
      </c>
      <c r="J1178" s="12">
        <f>IF(Source!BC889&lt;&gt; 0, Source!BC889, 1)</f>
        <v>8.8699999999999992</v>
      </c>
      <c r="K1178" s="30">
        <f>Source!P889</f>
        <v>14725.35</v>
      </c>
    </row>
    <row r="1179" spans="1:29" ht="28.5" x14ac:dyDescent="0.2">
      <c r="A1179" s="27" t="s">
        <v>548</v>
      </c>
      <c r="B1179" s="27" t="str">
        <f>Source!F890</f>
        <v>1.1-1-3169</v>
      </c>
      <c r="C1179" s="27" t="s">
        <v>674</v>
      </c>
      <c r="D1179" s="28" t="str">
        <f>Source!H890</f>
        <v>м</v>
      </c>
      <c r="E1179" s="12">
        <f>Source!I890</f>
        <v>90</v>
      </c>
      <c r="F1179" s="30">
        <f>Source!AK890</f>
        <v>9.74</v>
      </c>
      <c r="G1179" s="39" t="s">
        <v>3</v>
      </c>
      <c r="H1179" s="12">
        <f>Source!AW891</f>
        <v>1</v>
      </c>
      <c r="I1179" s="30">
        <f>Source!O890</f>
        <v>876.6</v>
      </c>
      <c r="J1179" s="12">
        <f>IF(Source!BC891&lt;&gt; 0, Source!BC891, 1)</f>
        <v>6.97</v>
      </c>
      <c r="K1179" s="30">
        <f>Source!O891</f>
        <v>6109.9</v>
      </c>
      <c r="Q1179">
        <f>Source!X890</f>
        <v>0</v>
      </c>
      <c r="R1179">
        <f>Source!X891</f>
        <v>0</v>
      </c>
      <c r="S1179">
        <f>Source!Y890</f>
        <v>0</v>
      </c>
      <c r="T1179">
        <f>Source!Y891</f>
        <v>0</v>
      </c>
      <c r="U1179">
        <f>ROUND((175/100)*ROUND(Source!R890, 2), 2)</f>
        <v>0</v>
      </c>
      <c r="V1179">
        <f>ROUND((160/100)*ROUND(Source!R891, 2), 2)</f>
        <v>0</v>
      </c>
      <c r="AC1179">
        <v>3</v>
      </c>
    </row>
    <row r="1180" spans="1:29" ht="28.5" x14ac:dyDescent="0.2">
      <c r="A1180" s="27" t="s">
        <v>552</v>
      </c>
      <c r="B1180" s="27" t="str">
        <f>Source!F892</f>
        <v>1.21-5-185</v>
      </c>
      <c r="C1180" s="27" t="s">
        <v>768</v>
      </c>
      <c r="D1180" s="28" t="str">
        <f>Source!H892</f>
        <v>шт.</v>
      </c>
      <c r="E1180" s="12">
        <f>Source!I892</f>
        <v>7</v>
      </c>
      <c r="F1180" s="30">
        <f>Source!AK892</f>
        <v>26.19</v>
      </c>
      <c r="G1180" s="39" t="s">
        <v>3</v>
      </c>
      <c r="H1180" s="12">
        <f>Source!AW893</f>
        <v>1</v>
      </c>
      <c r="I1180" s="30">
        <f>Source!O892</f>
        <v>183.33</v>
      </c>
      <c r="J1180" s="12">
        <f>IF(Source!BC893&lt;&gt; 0, Source!BC893, 1)</f>
        <v>10.92</v>
      </c>
      <c r="K1180" s="30">
        <f>Source!O893</f>
        <v>2001.96</v>
      </c>
      <c r="Q1180">
        <f>Source!X892</f>
        <v>0</v>
      </c>
      <c r="R1180">
        <f>Source!X893</f>
        <v>0</v>
      </c>
      <c r="S1180">
        <f>Source!Y892</f>
        <v>0</v>
      </c>
      <c r="T1180">
        <f>Source!Y893</f>
        <v>0</v>
      </c>
      <c r="U1180">
        <f>ROUND((175/100)*ROUND(Source!R892, 2), 2)</f>
        <v>0</v>
      </c>
      <c r="V1180">
        <f>ROUND((160/100)*ROUND(Source!R893, 2), 2)</f>
        <v>0</v>
      </c>
      <c r="AC1180">
        <v>3</v>
      </c>
    </row>
    <row r="1181" spans="1:29" ht="42.75" x14ac:dyDescent="0.2">
      <c r="A1181" s="27" t="s">
        <v>555</v>
      </c>
      <c r="B1181" s="27" t="str">
        <f>Source!F894</f>
        <v>Цена поставщика</v>
      </c>
      <c r="C1181" s="27" t="s">
        <v>1673</v>
      </c>
      <c r="D1181" s="28" t="str">
        <f>Source!H894</f>
        <v>шт.</v>
      </c>
      <c r="E1181" s="12">
        <f>Source!I894</f>
        <v>21</v>
      </c>
      <c r="F1181" s="30">
        <f>Source!AK894</f>
        <v>4.0999999999999996</v>
      </c>
      <c r="G1181" s="39" t="s">
        <v>3</v>
      </c>
      <c r="H1181" s="12">
        <f>Source!AW895</f>
        <v>1</v>
      </c>
      <c r="I1181" s="30">
        <f>Source!O894</f>
        <v>86.1</v>
      </c>
      <c r="J1181" s="12">
        <f>IF(Source!BC895&lt;&gt; 0, Source!BC895, 1)</f>
        <v>8.65</v>
      </c>
      <c r="K1181" s="30">
        <f>Source!O895</f>
        <v>570.38</v>
      </c>
      <c r="Q1181">
        <f>Source!X894</f>
        <v>0</v>
      </c>
      <c r="R1181">
        <f>Source!X895</f>
        <v>0</v>
      </c>
      <c r="S1181">
        <f>Source!Y894</f>
        <v>0</v>
      </c>
      <c r="T1181">
        <f>Source!Y895</f>
        <v>0</v>
      </c>
      <c r="U1181">
        <f>ROUND((175/100)*ROUND(Source!R894, 2), 2)</f>
        <v>0</v>
      </c>
      <c r="V1181">
        <f>ROUND((160/100)*ROUND(Source!R895, 2), 2)</f>
        <v>0</v>
      </c>
      <c r="AC1181">
        <v>3</v>
      </c>
    </row>
    <row r="1182" spans="1:29" ht="14.25" x14ac:dyDescent="0.2">
      <c r="A1182" s="27"/>
      <c r="B1182" s="27"/>
      <c r="C1182" s="27" t="s">
        <v>1598</v>
      </c>
      <c r="D1182" s="28" t="s">
        <v>1599</v>
      </c>
      <c r="E1182" s="12">
        <f>Source!DN889</f>
        <v>114</v>
      </c>
      <c r="F1182" s="30"/>
      <c r="G1182" s="29"/>
      <c r="H1182" s="12"/>
      <c r="I1182" s="30">
        <f>SUM(Q1174:Q1181)</f>
        <v>504.13</v>
      </c>
      <c r="J1182" s="12">
        <f>Source!BZ889</f>
        <v>79</v>
      </c>
      <c r="K1182" s="30">
        <f>SUM(R1174:R1181)</f>
        <v>10141.74</v>
      </c>
    </row>
    <row r="1183" spans="1:29" ht="14.25" x14ac:dyDescent="0.2">
      <c r="A1183" s="27"/>
      <c r="B1183" s="27"/>
      <c r="C1183" s="27" t="s">
        <v>1600</v>
      </c>
      <c r="D1183" s="28" t="s">
        <v>1599</v>
      </c>
      <c r="E1183" s="12">
        <f>Source!DO889</f>
        <v>67</v>
      </c>
      <c r="F1183" s="30"/>
      <c r="G1183" s="29"/>
      <c r="H1183" s="12"/>
      <c r="I1183" s="30">
        <f>SUM(S1174:S1182)</f>
        <v>296.29000000000002</v>
      </c>
      <c r="J1183" s="12">
        <f>Source!CA889</f>
        <v>41</v>
      </c>
      <c r="K1183" s="30">
        <f>SUM(T1174:T1182)</f>
        <v>5263.44</v>
      </c>
    </row>
    <row r="1184" spans="1:29" ht="14.25" x14ac:dyDescent="0.2">
      <c r="A1184" s="27"/>
      <c r="B1184" s="27"/>
      <c r="C1184" s="27" t="s">
        <v>1612</v>
      </c>
      <c r="D1184" s="28" t="s">
        <v>1599</v>
      </c>
      <c r="E1184" s="12">
        <f>175</f>
        <v>175</v>
      </c>
      <c r="F1184" s="30"/>
      <c r="G1184" s="29"/>
      <c r="H1184" s="12"/>
      <c r="I1184" s="30">
        <f>SUM(U1174:U1183)</f>
        <v>6.21</v>
      </c>
      <c r="J1184" s="12">
        <f>160</f>
        <v>160</v>
      </c>
      <c r="K1184" s="30">
        <f>SUM(V1174:V1183)</f>
        <v>164.9</v>
      </c>
    </row>
    <row r="1185" spans="1:29" ht="14.25" x14ac:dyDescent="0.2">
      <c r="A1185" s="31"/>
      <c r="B1185" s="31"/>
      <c r="C1185" s="31" t="s">
        <v>1601</v>
      </c>
      <c r="D1185" s="32" t="s">
        <v>1602</v>
      </c>
      <c r="E1185" s="33">
        <f>Source!AQ888</f>
        <v>40.67</v>
      </c>
      <c r="F1185" s="34"/>
      <c r="G1185" s="35" t="str">
        <f>Source!DI888</f>
        <v/>
      </c>
      <c r="H1185" s="33">
        <f>Source!AV889</f>
        <v>1</v>
      </c>
      <c r="I1185" s="34">
        <f>Source!U888</f>
        <v>36.603000000000002</v>
      </c>
      <c r="J1185" s="33"/>
      <c r="K1185" s="34"/>
    </row>
    <row r="1186" spans="1:29" ht="15" x14ac:dyDescent="0.25">
      <c r="C1186" s="22" t="s">
        <v>1603</v>
      </c>
      <c r="H1186" s="104">
        <f>I1175+I1176+I1178+I1182+I1183+I1184+SUM(I1179:I1181)-SUMIF(AC1179:AC1181, 5, I1179:I1181)-SUMIF(AC1179:AC1181, 6, I1179:I1181)</f>
        <v>4081.5299999999997</v>
      </c>
      <c r="I1186" s="104"/>
      <c r="J1186" s="104">
        <f>K1175+K1176+K1178+K1182+K1183+K1184+SUM(K1179:K1181)-SUMIF(AC1179:AC1181, 5, K1179:K1181)-SUMIF(AC1179:AC1181, 6, K1179:K1181)</f>
        <v>52116.32</v>
      </c>
      <c r="K1186" s="104"/>
    </row>
    <row r="1187" spans="1:29" ht="15" x14ac:dyDescent="0.25">
      <c r="C1187" s="22" t="s">
        <v>1604</v>
      </c>
      <c r="H1187" s="100">
        <f>SUMIF(AC1179:AC1181, 5, I1179:I1181)+SUMIF(AC1179:AC1181, 6, I1179:I1181)</f>
        <v>0</v>
      </c>
      <c r="I1187" s="100"/>
      <c r="J1187" s="100">
        <f>SUMIF(AC1179:AC1181, 5, K1179:K1181)+SUMIF(AC1179:AC1181, 6, K1179:K1181)</f>
        <v>0</v>
      </c>
      <c r="K1187" s="100"/>
    </row>
    <row r="1188" spans="1:29" ht="15" x14ac:dyDescent="0.25">
      <c r="C1188" s="22" t="s">
        <v>1605</v>
      </c>
      <c r="H1188" s="100">
        <f>I1175+I1176+I1178+I1182+I1183+I1184+SUM(I1179:I1181)</f>
        <v>4081.5299999999997</v>
      </c>
      <c r="I1188" s="100"/>
      <c r="J1188" s="100">
        <f>K1175+K1176+K1178+K1182+K1183+K1184+SUM(K1179:K1181)</f>
        <v>52116.32</v>
      </c>
      <c r="K1188" s="100"/>
      <c r="O1188" s="36">
        <f>I1175+I1176+I1178+I1182+I1183+I1184+SUM(I1179:I1181)</f>
        <v>4081.5299999999997</v>
      </c>
      <c r="P1188" s="36">
        <f>K1175+K1176+K1178+K1182+K1183+K1184+SUM(K1179:K1181)</f>
        <v>52116.32</v>
      </c>
    </row>
    <row r="1190" spans="1:29" ht="57" x14ac:dyDescent="0.2">
      <c r="A1190" s="27">
        <v>8</v>
      </c>
      <c r="B1190" s="27" t="str">
        <f>Source!F896</f>
        <v>4.8-172-1</v>
      </c>
      <c r="C1190" s="27" t="s">
        <v>677</v>
      </c>
      <c r="D1190" s="28" t="str">
        <f>Source!H896</f>
        <v>100 м</v>
      </c>
      <c r="E1190" s="12">
        <f>Source!I896</f>
        <v>2.8000000000000001E-2</v>
      </c>
      <c r="F1190" s="30"/>
      <c r="G1190" s="29"/>
      <c r="H1190" s="12"/>
      <c r="I1190" s="30"/>
      <c r="J1190" s="12"/>
      <c r="K1190" s="30"/>
      <c r="Q1190">
        <f>Source!X896</f>
        <v>8.15</v>
      </c>
      <c r="R1190">
        <f>Source!X897</f>
        <v>163.97</v>
      </c>
      <c r="S1190">
        <f>Source!Y896</f>
        <v>4.79</v>
      </c>
      <c r="T1190">
        <f>Source!Y897</f>
        <v>85.1</v>
      </c>
      <c r="U1190">
        <f>ROUND((175/100)*ROUND(Source!R896, 2), 2)</f>
        <v>0.42</v>
      </c>
      <c r="V1190">
        <f>ROUND((160/100)*ROUND(Source!R897, 2), 2)</f>
        <v>11.15</v>
      </c>
      <c r="AC1190">
        <v>0</v>
      </c>
    </row>
    <row r="1191" spans="1:29" ht="14.25" x14ac:dyDescent="0.2">
      <c r="A1191" s="27"/>
      <c r="B1191" s="27"/>
      <c r="C1191" s="27" t="s">
        <v>1597</v>
      </c>
      <c r="D1191" s="28"/>
      <c r="E1191" s="12"/>
      <c r="F1191" s="30">
        <f>Source!AO896</f>
        <v>255.23</v>
      </c>
      <c r="G1191" s="29" t="str">
        <f>Source!DG896</f>
        <v/>
      </c>
      <c r="H1191" s="12">
        <f>Source!AV897</f>
        <v>1</v>
      </c>
      <c r="I1191" s="30">
        <f>Source!S896</f>
        <v>7.15</v>
      </c>
      <c r="J1191" s="12">
        <f>IF(Source!BA897&lt;&gt; 0, Source!BA897, 1)</f>
        <v>29.03</v>
      </c>
      <c r="K1191" s="30">
        <f>Source!S897</f>
        <v>207.56</v>
      </c>
    </row>
    <row r="1192" spans="1:29" ht="14.25" x14ac:dyDescent="0.2">
      <c r="A1192" s="27"/>
      <c r="B1192" s="27"/>
      <c r="C1192" s="27" t="s">
        <v>1609</v>
      </c>
      <c r="D1192" s="28"/>
      <c r="E1192" s="12"/>
      <c r="F1192" s="30">
        <f>Source!AM896</f>
        <v>116.22</v>
      </c>
      <c r="G1192" s="29" t="str">
        <f>Source!DE896</f>
        <v/>
      </c>
      <c r="H1192" s="12">
        <f>Source!AV897</f>
        <v>1</v>
      </c>
      <c r="I1192" s="30">
        <f>Source!Q896</f>
        <v>3.25</v>
      </c>
      <c r="J1192" s="12">
        <f>IF(Source!BB897&lt;&gt; 0, Source!BB897, 1)</f>
        <v>10.32</v>
      </c>
      <c r="K1192" s="30">
        <f>Source!Q897</f>
        <v>33.54</v>
      </c>
    </row>
    <row r="1193" spans="1:29" ht="14.25" x14ac:dyDescent="0.2">
      <c r="A1193" s="27"/>
      <c r="B1193" s="27"/>
      <c r="C1193" s="27" t="s">
        <v>1610</v>
      </c>
      <c r="D1193" s="28"/>
      <c r="E1193" s="12"/>
      <c r="F1193" s="30">
        <f>Source!AN896</f>
        <v>8.59</v>
      </c>
      <c r="G1193" s="29" t="str">
        <f>Source!DF896</f>
        <v/>
      </c>
      <c r="H1193" s="12">
        <f>Source!AV897</f>
        <v>1</v>
      </c>
      <c r="I1193" s="38">
        <f>Source!R896</f>
        <v>0.24</v>
      </c>
      <c r="J1193" s="12">
        <f>IF(Source!BS897&lt;&gt; 0, Source!BS897, 1)</f>
        <v>29.03</v>
      </c>
      <c r="K1193" s="38">
        <f>Source!R897</f>
        <v>6.97</v>
      </c>
    </row>
    <row r="1194" spans="1:29" ht="14.25" x14ac:dyDescent="0.2">
      <c r="A1194" s="27"/>
      <c r="B1194" s="27"/>
      <c r="C1194" s="27" t="s">
        <v>1611</v>
      </c>
      <c r="D1194" s="28"/>
      <c r="E1194" s="12"/>
      <c r="F1194" s="30">
        <f>Source!AL896</f>
        <v>119</v>
      </c>
      <c r="G1194" s="29" t="str">
        <f>Source!DD896</f>
        <v/>
      </c>
      <c r="H1194" s="12">
        <f>Source!AW897</f>
        <v>1</v>
      </c>
      <c r="I1194" s="30">
        <f>Source!P896</f>
        <v>3.33</v>
      </c>
      <c r="J1194" s="12">
        <f>IF(Source!BC897&lt;&gt; 0, Source!BC897, 1)</f>
        <v>2.86</v>
      </c>
      <c r="K1194" s="30">
        <f>Source!P897</f>
        <v>9.52</v>
      </c>
    </row>
    <row r="1195" spans="1:29" ht="57" x14ac:dyDescent="0.2">
      <c r="A1195" s="27" t="s">
        <v>190</v>
      </c>
      <c r="B1195" s="27" t="str">
        <f>Source!F898</f>
        <v>1.12-5-42</v>
      </c>
      <c r="C1195" s="27" t="s">
        <v>773</v>
      </c>
      <c r="D1195" s="28" t="str">
        <f>Source!H898</f>
        <v>м</v>
      </c>
      <c r="E1195" s="12">
        <f>Source!I898</f>
        <v>2.8559999999999999</v>
      </c>
      <c r="F1195" s="30">
        <f>Source!AK898</f>
        <v>4.59</v>
      </c>
      <c r="G1195" s="39" t="s">
        <v>3</v>
      </c>
      <c r="H1195" s="12">
        <f>Source!AW899</f>
        <v>1</v>
      </c>
      <c r="I1195" s="30">
        <f>Source!O898</f>
        <v>13.11</v>
      </c>
      <c r="J1195" s="12">
        <f>IF(Source!BC899&lt;&gt; 0, Source!BC899, 1)</f>
        <v>4.93</v>
      </c>
      <c r="K1195" s="30">
        <f>Source!O899</f>
        <v>64.63</v>
      </c>
      <c r="Q1195">
        <f>Source!X898</f>
        <v>0</v>
      </c>
      <c r="R1195">
        <f>Source!X899</f>
        <v>0</v>
      </c>
      <c r="S1195">
        <f>Source!Y898</f>
        <v>0</v>
      </c>
      <c r="T1195">
        <f>Source!Y899</f>
        <v>0</v>
      </c>
      <c r="U1195">
        <f>ROUND((175/100)*ROUND(Source!R898, 2), 2)</f>
        <v>0</v>
      </c>
      <c r="V1195">
        <f>ROUND((160/100)*ROUND(Source!R899, 2), 2)</f>
        <v>0</v>
      </c>
      <c r="AC1195">
        <v>3</v>
      </c>
    </row>
    <row r="1196" spans="1:29" ht="14.25" x14ac:dyDescent="0.2">
      <c r="A1196" s="27"/>
      <c r="B1196" s="27"/>
      <c r="C1196" s="27" t="s">
        <v>1598</v>
      </c>
      <c r="D1196" s="28" t="s">
        <v>1599</v>
      </c>
      <c r="E1196" s="12">
        <f>Source!DN897</f>
        <v>114</v>
      </c>
      <c r="F1196" s="30"/>
      <c r="G1196" s="29"/>
      <c r="H1196" s="12"/>
      <c r="I1196" s="30">
        <f>SUM(Q1190:Q1195)</f>
        <v>8.15</v>
      </c>
      <c r="J1196" s="12">
        <f>Source!BZ897</f>
        <v>79</v>
      </c>
      <c r="K1196" s="30">
        <f>SUM(R1190:R1195)</f>
        <v>163.97</v>
      </c>
    </row>
    <row r="1197" spans="1:29" ht="14.25" x14ac:dyDescent="0.2">
      <c r="A1197" s="27"/>
      <c r="B1197" s="27"/>
      <c r="C1197" s="27" t="s">
        <v>1600</v>
      </c>
      <c r="D1197" s="28" t="s">
        <v>1599</v>
      </c>
      <c r="E1197" s="12">
        <f>Source!DO897</f>
        <v>67</v>
      </c>
      <c r="F1197" s="30"/>
      <c r="G1197" s="29"/>
      <c r="H1197" s="12"/>
      <c r="I1197" s="30">
        <f>SUM(S1190:S1196)</f>
        <v>4.79</v>
      </c>
      <c r="J1197" s="12">
        <f>Source!CA897</f>
        <v>41</v>
      </c>
      <c r="K1197" s="30">
        <f>SUM(T1190:T1196)</f>
        <v>85.1</v>
      </c>
    </row>
    <row r="1198" spans="1:29" ht="14.25" x14ac:dyDescent="0.2">
      <c r="A1198" s="27"/>
      <c r="B1198" s="27"/>
      <c r="C1198" s="27" t="s">
        <v>1612</v>
      </c>
      <c r="D1198" s="28" t="s">
        <v>1599</v>
      </c>
      <c r="E1198" s="12">
        <f>175</f>
        <v>175</v>
      </c>
      <c r="F1198" s="30"/>
      <c r="G1198" s="29"/>
      <c r="H1198" s="12"/>
      <c r="I1198" s="30">
        <f>SUM(U1190:U1197)</f>
        <v>0.42</v>
      </c>
      <c r="J1198" s="12">
        <f>160</f>
        <v>160</v>
      </c>
      <c r="K1198" s="30">
        <f>SUM(V1190:V1197)</f>
        <v>11.15</v>
      </c>
    </row>
    <row r="1199" spans="1:29" ht="14.25" x14ac:dyDescent="0.2">
      <c r="A1199" s="31"/>
      <c r="B1199" s="31"/>
      <c r="C1199" s="31" t="s">
        <v>1601</v>
      </c>
      <c r="D1199" s="32" t="s">
        <v>1602</v>
      </c>
      <c r="E1199" s="33">
        <f>Source!AQ896</f>
        <v>20.7</v>
      </c>
      <c r="F1199" s="34"/>
      <c r="G1199" s="35" t="str">
        <f>Source!DI896</f>
        <v/>
      </c>
      <c r="H1199" s="33">
        <f>Source!AV897</f>
        <v>1</v>
      </c>
      <c r="I1199" s="34">
        <f>Source!U896</f>
        <v>0.5796</v>
      </c>
      <c r="J1199" s="33"/>
      <c r="K1199" s="34"/>
    </row>
    <row r="1200" spans="1:29" ht="15" x14ac:dyDescent="0.25">
      <c r="C1200" s="22" t="s">
        <v>1603</v>
      </c>
      <c r="H1200" s="104">
        <f>I1191+I1192+I1194+I1196+I1197+I1198+SUM(I1195:I1195)-SUMIF(AC1195:AC1195, 5, I1195:I1195)-SUMIF(AC1195:AC1195, 6, I1195:I1195)</f>
        <v>40.200000000000003</v>
      </c>
      <c r="I1200" s="104"/>
      <c r="J1200" s="104">
        <f>K1191+K1192+K1194+K1196+K1197+K1198+SUM(K1195:K1195)-SUMIF(AC1195:AC1195, 5, K1195:K1195)-SUMIF(AC1195:AC1195, 6, K1195:K1195)</f>
        <v>575.47</v>
      </c>
      <c r="K1200" s="104"/>
    </row>
    <row r="1201" spans="1:29" ht="15" x14ac:dyDescent="0.25">
      <c r="C1201" s="22" t="s">
        <v>1604</v>
      </c>
      <c r="H1201" s="100">
        <f>SUMIF(AC1195:AC1195, 5, I1195:I1195)+SUMIF(AC1195:AC1195, 6, I1195:I1195)</f>
        <v>0</v>
      </c>
      <c r="I1201" s="100"/>
      <c r="J1201" s="100">
        <f>SUMIF(AC1195:AC1195, 5, K1195:K1195)+SUMIF(AC1195:AC1195, 6, K1195:K1195)</f>
        <v>0</v>
      </c>
      <c r="K1201" s="100"/>
    </row>
    <row r="1202" spans="1:29" ht="15" x14ac:dyDescent="0.25">
      <c r="C1202" s="22" t="s">
        <v>1605</v>
      </c>
      <c r="H1202" s="100">
        <f>I1191+I1192+I1194+I1196+I1197+I1198+SUM(I1195:I1195)</f>
        <v>40.200000000000003</v>
      </c>
      <c r="I1202" s="100"/>
      <c r="J1202" s="100">
        <f>K1191+K1192+K1194+K1196+K1197+K1198+SUM(K1195:K1195)</f>
        <v>575.47</v>
      </c>
      <c r="K1202" s="100"/>
      <c r="O1202" s="36">
        <f>I1191+I1192+I1194+I1196+I1197+I1198+SUM(I1195:I1195)</f>
        <v>40.200000000000003</v>
      </c>
      <c r="P1202" s="36">
        <f>K1191+K1192+K1194+K1196+K1197+K1198+SUM(K1195:K1195)</f>
        <v>575.47</v>
      </c>
    </row>
    <row r="1204" spans="1:29" ht="28.5" x14ac:dyDescent="0.2">
      <c r="A1204" s="27">
        <v>9</v>
      </c>
      <c r="B1204" s="27" t="str">
        <f>Source!F900</f>
        <v>4.8-174-1</v>
      </c>
      <c r="C1204" s="27" t="s">
        <v>685</v>
      </c>
      <c r="D1204" s="28" t="str">
        <f>Source!H900</f>
        <v>100 м</v>
      </c>
      <c r="E1204" s="12">
        <f>Source!I900</f>
        <v>0.05</v>
      </c>
      <c r="F1204" s="30"/>
      <c r="G1204" s="29"/>
      <c r="H1204" s="12"/>
      <c r="I1204" s="30"/>
      <c r="J1204" s="12"/>
      <c r="K1204" s="30"/>
      <c r="Q1204">
        <f>Source!X900</f>
        <v>21.01</v>
      </c>
      <c r="R1204">
        <f>Source!X901</f>
        <v>422.67</v>
      </c>
      <c r="S1204">
        <f>Source!Y900</f>
        <v>12.35</v>
      </c>
      <c r="T1204">
        <f>Source!Y901</f>
        <v>219.36</v>
      </c>
      <c r="U1204">
        <f>ROUND((175/100)*ROUND(Source!R900, 2), 2)</f>
        <v>3.99</v>
      </c>
      <c r="V1204">
        <f>ROUND((160/100)*ROUND(Source!R901, 2), 2)</f>
        <v>105.9</v>
      </c>
      <c r="AC1204">
        <v>0</v>
      </c>
    </row>
    <row r="1205" spans="1:29" ht="14.25" x14ac:dyDescent="0.2">
      <c r="A1205" s="27"/>
      <c r="B1205" s="27"/>
      <c r="C1205" s="27" t="s">
        <v>1597</v>
      </c>
      <c r="D1205" s="28"/>
      <c r="E1205" s="12"/>
      <c r="F1205" s="30">
        <f>Source!AO900</f>
        <v>368.67</v>
      </c>
      <c r="G1205" s="29" t="str">
        <f>Source!DG900</f>
        <v/>
      </c>
      <c r="H1205" s="12">
        <f>Source!AV901</f>
        <v>1</v>
      </c>
      <c r="I1205" s="30">
        <f>Source!S900</f>
        <v>18.43</v>
      </c>
      <c r="J1205" s="12">
        <f>IF(Source!BA901&lt;&gt; 0, Source!BA901, 1)</f>
        <v>29.03</v>
      </c>
      <c r="K1205" s="30">
        <f>Source!S901</f>
        <v>535.02</v>
      </c>
    </row>
    <row r="1206" spans="1:29" ht="14.25" x14ac:dyDescent="0.2">
      <c r="A1206" s="27"/>
      <c r="B1206" s="27"/>
      <c r="C1206" s="27" t="s">
        <v>1609</v>
      </c>
      <c r="D1206" s="28"/>
      <c r="E1206" s="12"/>
      <c r="F1206" s="30">
        <f>Source!AM900</f>
        <v>691.38</v>
      </c>
      <c r="G1206" s="29" t="str">
        <f>Source!DE900</f>
        <v/>
      </c>
      <c r="H1206" s="12">
        <f>Source!AV901</f>
        <v>1</v>
      </c>
      <c r="I1206" s="30">
        <f>Source!Q900</f>
        <v>34.57</v>
      </c>
      <c r="J1206" s="12">
        <f>IF(Source!BB901&lt;&gt; 0, Source!BB901, 1)</f>
        <v>10.33</v>
      </c>
      <c r="K1206" s="30">
        <f>Source!Q901</f>
        <v>357.11</v>
      </c>
    </row>
    <row r="1207" spans="1:29" ht="14.25" x14ac:dyDescent="0.2">
      <c r="A1207" s="27"/>
      <c r="B1207" s="27"/>
      <c r="C1207" s="27" t="s">
        <v>1610</v>
      </c>
      <c r="D1207" s="28"/>
      <c r="E1207" s="12"/>
      <c r="F1207" s="30">
        <f>Source!AN900</f>
        <v>45.55</v>
      </c>
      <c r="G1207" s="29" t="str">
        <f>Source!DF900</f>
        <v/>
      </c>
      <c r="H1207" s="12">
        <f>Source!AV901</f>
        <v>1</v>
      </c>
      <c r="I1207" s="38">
        <f>Source!R900</f>
        <v>2.2799999999999998</v>
      </c>
      <c r="J1207" s="12">
        <f>IF(Source!BS901&lt;&gt; 0, Source!BS901, 1)</f>
        <v>29.03</v>
      </c>
      <c r="K1207" s="38">
        <f>Source!R901</f>
        <v>66.19</v>
      </c>
    </row>
    <row r="1208" spans="1:29" ht="14.25" x14ac:dyDescent="0.2">
      <c r="A1208" s="27"/>
      <c r="B1208" s="27"/>
      <c r="C1208" s="27" t="s">
        <v>1611</v>
      </c>
      <c r="D1208" s="28"/>
      <c r="E1208" s="12"/>
      <c r="F1208" s="30">
        <f>Source!AL900</f>
        <v>342.3</v>
      </c>
      <c r="G1208" s="29" t="str">
        <f>Source!DD900</f>
        <v/>
      </c>
      <c r="H1208" s="12">
        <f>Source!AW901</f>
        <v>1</v>
      </c>
      <c r="I1208" s="30">
        <f>Source!P900</f>
        <v>17.12</v>
      </c>
      <c r="J1208" s="12">
        <f>IF(Source!BC901&lt;&gt; 0, Source!BC901, 1)</f>
        <v>4.51</v>
      </c>
      <c r="K1208" s="30">
        <f>Source!P901</f>
        <v>77.209999999999994</v>
      </c>
    </row>
    <row r="1209" spans="1:29" ht="42.75" x14ac:dyDescent="0.2">
      <c r="A1209" s="27" t="s">
        <v>195</v>
      </c>
      <c r="B1209" s="27" t="str">
        <f>Source!F902</f>
        <v>Цена поставщика</v>
      </c>
      <c r="C1209" s="27" t="s">
        <v>1674</v>
      </c>
      <c r="D1209" s="28" t="str">
        <f>Source!H902</f>
        <v>м</v>
      </c>
      <c r="E1209" s="12">
        <f>Source!I902</f>
        <v>5.15</v>
      </c>
      <c r="F1209" s="30">
        <f>Source!AK902</f>
        <v>19.100000000000001</v>
      </c>
      <c r="G1209" s="39" t="s">
        <v>3</v>
      </c>
      <c r="H1209" s="12">
        <f>Source!AW903</f>
        <v>1</v>
      </c>
      <c r="I1209" s="30">
        <f>Source!O902</f>
        <v>98.37</v>
      </c>
      <c r="J1209" s="12">
        <f>IF(Source!BC903&lt;&gt; 0, Source!BC903, 1)</f>
        <v>8.65</v>
      </c>
      <c r="K1209" s="30">
        <f>Source!O903</f>
        <v>652.21</v>
      </c>
      <c r="Q1209">
        <f>Source!X902</f>
        <v>0</v>
      </c>
      <c r="R1209">
        <f>Source!X903</f>
        <v>0</v>
      </c>
      <c r="S1209">
        <f>Source!Y902</f>
        <v>0</v>
      </c>
      <c r="T1209">
        <f>Source!Y903</f>
        <v>0</v>
      </c>
      <c r="U1209">
        <f>ROUND((175/100)*ROUND(Source!R902, 2), 2)</f>
        <v>0</v>
      </c>
      <c r="V1209">
        <f>ROUND((160/100)*ROUND(Source!R903, 2), 2)</f>
        <v>0</v>
      </c>
      <c r="AC1209">
        <v>3</v>
      </c>
    </row>
    <row r="1210" spans="1:29" ht="14.25" x14ac:dyDescent="0.2">
      <c r="A1210" s="27"/>
      <c r="B1210" s="27"/>
      <c r="C1210" s="27" t="s">
        <v>1598</v>
      </c>
      <c r="D1210" s="28" t="s">
        <v>1599</v>
      </c>
      <c r="E1210" s="12">
        <f>Source!DN901</f>
        <v>114</v>
      </c>
      <c r="F1210" s="30"/>
      <c r="G1210" s="29"/>
      <c r="H1210" s="12"/>
      <c r="I1210" s="30">
        <f>SUM(Q1204:Q1209)</f>
        <v>21.01</v>
      </c>
      <c r="J1210" s="12">
        <f>Source!BZ901</f>
        <v>79</v>
      </c>
      <c r="K1210" s="30">
        <f>SUM(R1204:R1209)</f>
        <v>422.67</v>
      </c>
    </row>
    <row r="1211" spans="1:29" ht="14.25" x14ac:dyDescent="0.2">
      <c r="A1211" s="27"/>
      <c r="B1211" s="27"/>
      <c r="C1211" s="27" t="s">
        <v>1600</v>
      </c>
      <c r="D1211" s="28" t="s">
        <v>1599</v>
      </c>
      <c r="E1211" s="12">
        <f>Source!DO901</f>
        <v>67</v>
      </c>
      <c r="F1211" s="30"/>
      <c r="G1211" s="29"/>
      <c r="H1211" s="12"/>
      <c r="I1211" s="30">
        <f>SUM(S1204:S1210)</f>
        <v>12.35</v>
      </c>
      <c r="J1211" s="12">
        <f>Source!CA901</f>
        <v>41</v>
      </c>
      <c r="K1211" s="30">
        <f>SUM(T1204:T1210)</f>
        <v>219.36</v>
      </c>
    </row>
    <row r="1212" spans="1:29" ht="14.25" x14ac:dyDescent="0.2">
      <c r="A1212" s="27"/>
      <c r="B1212" s="27"/>
      <c r="C1212" s="27" t="s">
        <v>1612</v>
      </c>
      <c r="D1212" s="28" t="s">
        <v>1599</v>
      </c>
      <c r="E1212" s="12">
        <f>175</f>
        <v>175</v>
      </c>
      <c r="F1212" s="30"/>
      <c r="G1212" s="29"/>
      <c r="H1212" s="12"/>
      <c r="I1212" s="30">
        <f>SUM(U1204:U1211)</f>
        <v>3.99</v>
      </c>
      <c r="J1212" s="12">
        <f>160</f>
        <v>160</v>
      </c>
      <c r="K1212" s="30">
        <f>SUM(V1204:V1211)</f>
        <v>105.9</v>
      </c>
    </row>
    <row r="1213" spans="1:29" ht="14.25" x14ac:dyDescent="0.2">
      <c r="A1213" s="31"/>
      <c r="B1213" s="31"/>
      <c r="C1213" s="31" t="s">
        <v>1601</v>
      </c>
      <c r="D1213" s="32" t="s">
        <v>1602</v>
      </c>
      <c r="E1213" s="33">
        <f>Source!AQ900</f>
        <v>29.9</v>
      </c>
      <c r="F1213" s="34"/>
      <c r="G1213" s="35" t="str">
        <f>Source!DI900</f>
        <v/>
      </c>
      <c r="H1213" s="33">
        <f>Source!AV901</f>
        <v>1</v>
      </c>
      <c r="I1213" s="34">
        <f>Source!U900</f>
        <v>1.4950000000000001</v>
      </c>
      <c r="J1213" s="33"/>
      <c r="K1213" s="34"/>
    </row>
    <row r="1214" spans="1:29" ht="15" x14ac:dyDescent="0.25">
      <c r="C1214" s="22" t="s">
        <v>1603</v>
      </c>
      <c r="H1214" s="104">
        <f>I1205+I1206+I1208+I1210+I1211+I1212+SUM(I1209:I1209)-SUMIF(AC1209:AC1209, 5, I1209:I1209)-SUMIF(AC1209:AC1209, 6, I1209:I1209)</f>
        <v>205.84</v>
      </c>
      <c r="I1214" s="104"/>
      <c r="J1214" s="104">
        <f>K1205+K1206+K1208+K1210+K1211+K1212+SUM(K1209:K1209)-SUMIF(AC1209:AC1209, 5, K1209:K1209)-SUMIF(AC1209:AC1209, 6, K1209:K1209)</f>
        <v>2369.48</v>
      </c>
      <c r="K1214" s="104"/>
    </row>
    <row r="1215" spans="1:29" ht="15" x14ac:dyDescent="0.25">
      <c r="C1215" s="22" t="s">
        <v>1604</v>
      </c>
      <c r="H1215" s="100">
        <f>SUMIF(AC1209:AC1209, 5, I1209:I1209)+SUMIF(AC1209:AC1209, 6, I1209:I1209)</f>
        <v>0</v>
      </c>
      <c r="I1215" s="100"/>
      <c r="J1215" s="100">
        <f>SUMIF(AC1209:AC1209, 5, K1209:K1209)+SUMIF(AC1209:AC1209, 6, K1209:K1209)</f>
        <v>0</v>
      </c>
      <c r="K1215" s="100"/>
    </row>
    <row r="1216" spans="1:29" ht="15" x14ac:dyDescent="0.25">
      <c r="C1216" s="22" t="s">
        <v>1605</v>
      </c>
      <c r="H1216" s="100">
        <f>I1205+I1206+I1208+I1210+I1211+I1212+SUM(I1209:I1209)</f>
        <v>205.84</v>
      </c>
      <c r="I1216" s="100"/>
      <c r="J1216" s="100">
        <f>K1205+K1206+K1208+K1210+K1211+K1212+SUM(K1209:K1209)</f>
        <v>2369.48</v>
      </c>
      <c r="K1216" s="100"/>
      <c r="O1216" s="36">
        <f>I1205+I1206+I1208+I1210+I1211+I1212+SUM(I1209:I1209)</f>
        <v>205.84</v>
      </c>
      <c r="P1216" s="36">
        <f>K1205+K1206+K1208+K1210+K1211+K1212+SUM(K1209:K1209)</f>
        <v>2369.48</v>
      </c>
    </row>
    <row r="1218" spans="1:29" ht="71.25" x14ac:dyDescent="0.2">
      <c r="A1218" s="27">
        <v>10</v>
      </c>
      <c r="B1218" s="27" t="str">
        <f>Source!F904</f>
        <v>4.8-175-2</v>
      </c>
      <c r="C1218" s="27" t="s">
        <v>700</v>
      </c>
      <c r="D1218" s="28" t="str">
        <f>Source!H904</f>
        <v>100 м</v>
      </c>
      <c r="E1218" s="12">
        <f>Source!I904</f>
        <v>0.05</v>
      </c>
      <c r="F1218" s="30"/>
      <c r="G1218" s="29"/>
      <c r="H1218" s="12"/>
      <c r="I1218" s="30"/>
      <c r="J1218" s="12"/>
      <c r="K1218" s="30"/>
      <c r="Q1218">
        <f>Source!X904</f>
        <v>4.34</v>
      </c>
      <c r="R1218">
        <f>Source!X905</f>
        <v>87.37</v>
      </c>
      <c r="S1218">
        <f>Source!Y904</f>
        <v>2.5499999999999998</v>
      </c>
      <c r="T1218">
        <f>Source!Y905</f>
        <v>45.35</v>
      </c>
      <c r="U1218">
        <f>ROUND((175/100)*ROUND(Source!R904, 2), 2)</f>
        <v>0.04</v>
      </c>
      <c r="V1218">
        <f>ROUND((160/100)*ROUND(Source!R905, 2), 2)</f>
        <v>0.93</v>
      </c>
      <c r="AC1218">
        <v>0</v>
      </c>
    </row>
    <row r="1219" spans="1:29" ht="14.25" x14ac:dyDescent="0.2">
      <c r="A1219" s="27"/>
      <c r="B1219" s="27"/>
      <c r="C1219" s="27" t="s">
        <v>1597</v>
      </c>
      <c r="D1219" s="28"/>
      <c r="E1219" s="12"/>
      <c r="F1219" s="30">
        <f>Source!AO904</f>
        <v>76.2</v>
      </c>
      <c r="G1219" s="29" t="str">
        <f>Source!DG904</f>
        <v/>
      </c>
      <c r="H1219" s="12">
        <f>Source!AV905</f>
        <v>1</v>
      </c>
      <c r="I1219" s="30">
        <f>Source!S904</f>
        <v>3.81</v>
      </c>
      <c r="J1219" s="12">
        <f>IF(Source!BA905&lt;&gt; 0, Source!BA905, 1)</f>
        <v>29.03</v>
      </c>
      <c r="K1219" s="30">
        <f>Source!S905</f>
        <v>110.6</v>
      </c>
    </row>
    <row r="1220" spans="1:29" ht="14.25" x14ac:dyDescent="0.2">
      <c r="A1220" s="27"/>
      <c r="B1220" s="27"/>
      <c r="C1220" s="27" t="s">
        <v>1609</v>
      </c>
      <c r="D1220" s="28"/>
      <c r="E1220" s="12"/>
      <c r="F1220" s="30">
        <f>Source!AM904</f>
        <v>1.69</v>
      </c>
      <c r="G1220" s="29" t="str">
        <f>Source!DE904</f>
        <v/>
      </c>
      <c r="H1220" s="12">
        <f>Source!AV905</f>
        <v>1</v>
      </c>
      <c r="I1220" s="30">
        <f>Source!Q904</f>
        <v>0.08</v>
      </c>
      <c r="J1220" s="12">
        <f>IF(Source!BB905&lt;&gt; 0, Source!BB905, 1)</f>
        <v>11.43</v>
      </c>
      <c r="K1220" s="30">
        <f>Source!Q905</f>
        <v>0.91</v>
      </c>
    </row>
    <row r="1221" spans="1:29" ht="14.25" x14ac:dyDescent="0.2">
      <c r="A1221" s="27"/>
      <c r="B1221" s="27"/>
      <c r="C1221" s="27" t="s">
        <v>1610</v>
      </c>
      <c r="D1221" s="28"/>
      <c r="E1221" s="12"/>
      <c r="F1221" s="30">
        <f>Source!AN904</f>
        <v>0.39</v>
      </c>
      <c r="G1221" s="29" t="str">
        <f>Source!DF904</f>
        <v/>
      </c>
      <c r="H1221" s="12">
        <f>Source!AV905</f>
        <v>1</v>
      </c>
      <c r="I1221" s="38">
        <f>Source!R904</f>
        <v>0.02</v>
      </c>
      <c r="J1221" s="12">
        <f>IF(Source!BS905&lt;&gt; 0, Source!BS905, 1)</f>
        <v>29.03</v>
      </c>
      <c r="K1221" s="38">
        <f>Source!R905</f>
        <v>0.57999999999999996</v>
      </c>
    </row>
    <row r="1222" spans="1:29" ht="14.25" x14ac:dyDescent="0.2">
      <c r="A1222" s="27"/>
      <c r="B1222" s="27"/>
      <c r="C1222" s="27" t="s">
        <v>1611</v>
      </c>
      <c r="D1222" s="28"/>
      <c r="E1222" s="12"/>
      <c r="F1222" s="30">
        <f>Source!AL904</f>
        <v>9.94</v>
      </c>
      <c r="G1222" s="29" t="str">
        <f>Source!DD904</f>
        <v/>
      </c>
      <c r="H1222" s="12">
        <f>Source!AW905</f>
        <v>1</v>
      </c>
      <c r="I1222" s="30">
        <f>Source!P904</f>
        <v>0.5</v>
      </c>
      <c r="J1222" s="12">
        <f>IF(Source!BC905&lt;&gt; 0, Source!BC905, 1)</f>
        <v>3.51</v>
      </c>
      <c r="K1222" s="30">
        <f>Source!P905</f>
        <v>1.76</v>
      </c>
    </row>
    <row r="1223" spans="1:29" ht="142.5" x14ac:dyDescent="0.2">
      <c r="A1223" s="27" t="s">
        <v>201</v>
      </c>
      <c r="B1223" s="27" t="str">
        <f>Source!F906</f>
        <v>1.23-8-755</v>
      </c>
      <c r="C1223" s="27" t="s">
        <v>1565</v>
      </c>
      <c r="D1223" s="28" t="str">
        <f>Source!H906</f>
        <v>км</v>
      </c>
      <c r="E1223" s="12">
        <f>Source!I906</f>
        <v>5.1000000000000004E-3</v>
      </c>
      <c r="F1223" s="30">
        <f>Source!AK906</f>
        <v>9707.41</v>
      </c>
      <c r="G1223" s="39" t="s">
        <v>3</v>
      </c>
      <c r="H1223" s="12">
        <f>Source!AW907</f>
        <v>1</v>
      </c>
      <c r="I1223" s="30">
        <f>Source!O906</f>
        <v>49.51</v>
      </c>
      <c r="J1223" s="12">
        <f>IF(Source!BC907&lt;&gt; 0, Source!BC907, 1)</f>
        <v>5.19</v>
      </c>
      <c r="K1223" s="30">
        <f>Source!O907</f>
        <v>256.95999999999998</v>
      </c>
      <c r="Q1223">
        <f>Source!X906</f>
        <v>0</v>
      </c>
      <c r="R1223">
        <f>Source!X907</f>
        <v>0</v>
      </c>
      <c r="S1223">
        <f>Source!Y906</f>
        <v>0</v>
      </c>
      <c r="T1223">
        <f>Source!Y907</f>
        <v>0</v>
      </c>
      <c r="U1223">
        <f>ROUND((175/100)*ROUND(Source!R906, 2), 2)</f>
        <v>0</v>
      </c>
      <c r="V1223">
        <f>ROUND((160/100)*ROUND(Source!R907, 2), 2)</f>
        <v>0</v>
      </c>
      <c r="AC1223">
        <v>3</v>
      </c>
    </row>
    <row r="1224" spans="1:29" ht="14.25" x14ac:dyDescent="0.2">
      <c r="A1224" s="27"/>
      <c r="B1224" s="27"/>
      <c r="C1224" s="27" t="s">
        <v>1598</v>
      </c>
      <c r="D1224" s="28" t="s">
        <v>1599</v>
      </c>
      <c r="E1224" s="12">
        <f>Source!DN905</f>
        <v>114</v>
      </c>
      <c r="F1224" s="30"/>
      <c r="G1224" s="29"/>
      <c r="H1224" s="12"/>
      <c r="I1224" s="30">
        <f>SUM(Q1218:Q1223)</f>
        <v>4.34</v>
      </c>
      <c r="J1224" s="12">
        <f>Source!BZ905</f>
        <v>79</v>
      </c>
      <c r="K1224" s="30">
        <f>SUM(R1218:R1223)</f>
        <v>87.37</v>
      </c>
    </row>
    <row r="1225" spans="1:29" ht="14.25" x14ac:dyDescent="0.2">
      <c r="A1225" s="27"/>
      <c r="B1225" s="27"/>
      <c r="C1225" s="27" t="s">
        <v>1600</v>
      </c>
      <c r="D1225" s="28" t="s">
        <v>1599</v>
      </c>
      <c r="E1225" s="12">
        <f>Source!DO905</f>
        <v>67</v>
      </c>
      <c r="F1225" s="30"/>
      <c r="G1225" s="29"/>
      <c r="H1225" s="12"/>
      <c r="I1225" s="30">
        <f>SUM(S1218:S1224)</f>
        <v>2.5499999999999998</v>
      </c>
      <c r="J1225" s="12">
        <f>Source!CA905</f>
        <v>41</v>
      </c>
      <c r="K1225" s="30">
        <f>SUM(T1218:T1224)</f>
        <v>45.35</v>
      </c>
    </row>
    <row r="1226" spans="1:29" ht="14.25" x14ac:dyDescent="0.2">
      <c r="A1226" s="27"/>
      <c r="B1226" s="27"/>
      <c r="C1226" s="27" t="s">
        <v>1612</v>
      </c>
      <c r="D1226" s="28" t="s">
        <v>1599</v>
      </c>
      <c r="E1226" s="12">
        <f>175</f>
        <v>175</v>
      </c>
      <c r="F1226" s="30"/>
      <c r="G1226" s="29"/>
      <c r="H1226" s="12"/>
      <c r="I1226" s="30">
        <f>SUM(U1218:U1225)</f>
        <v>0.04</v>
      </c>
      <c r="J1226" s="12">
        <f>160</f>
        <v>160</v>
      </c>
      <c r="K1226" s="30">
        <f>SUM(V1218:V1225)</f>
        <v>0.93</v>
      </c>
    </row>
    <row r="1227" spans="1:29" ht="14.25" x14ac:dyDescent="0.2">
      <c r="A1227" s="31"/>
      <c r="B1227" s="31"/>
      <c r="C1227" s="31" t="s">
        <v>1601</v>
      </c>
      <c r="D1227" s="32" t="s">
        <v>1602</v>
      </c>
      <c r="E1227" s="33">
        <f>Source!AQ904</f>
        <v>6.18</v>
      </c>
      <c r="F1227" s="34"/>
      <c r="G1227" s="35" t="str">
        <f>Source!DI904</f>
        <v/>
      </c>
      <c r="H1227" s="33">
        <f>Source!AV905</f>
        <v>1</v>
      </c>
      <c r="I1227" s="34">
        <f>Source!U904</f>
        <v>0.309</v>
      </c>
      <c r="J1227" s="33"/>
      <c r="K1227" s="34"/>
    </row>
    <row r="1228" spans="1:29" ht="15" x14ac:dyDescent="0.25">
      <c r="C1228" s="22" t="s">
        <v>1603</v>
      </c>
      <c r="H1228" s="104">
        <f>I1219+I1220+I1222+I1224+I1225+I1226+SUM(I1223:I1223)-SUMIF(AC1223:AC1223, 5, I1223:I1223)-SUMIF(AC1223:AC1223, 6, I1223:I1223)</f>
        <v>60.83</v>
      </c>
      <c r="I1228" s="104"/>
      <c r="J1228" s="104">
        <f>K1219+K1220+K1222+K1224+K1225+K1226+SUM(K1223:K1223)-SUMIF(AC1223:AC1223, 5, K1223:K1223)-SUMIF(AC1223:AC1223, 6, K1223:K1223)</f>
        <v>503.88</v>
      </c>
      <c r="K1228" s="104"/>
    </row>
    <row r="1229" spans="1:29" ht="15" x14ac:dyDescent="0.25">
      <c r="C1229" s="22" t="s">
        <v>1604</v>
      </c>
      <c r="H1229" s="100">
        <f>SUMIF(AC1223:AC1223, 5, I1223:I1223)+SUMIF(AC1223:AC1223, 6, I1223:I1223)</f>
        <v>0</v>
      </c>
      <c r="I1229" s="100"/>
      <c r="J1229" s="100">
        <f>SUMIF(AC1223:AC1223, 5, K1223:K1223)+SUMIF(AC1223:AC1223, 6, K1223:K1223)</f>
        <v>0</v>
      </c>
      <c r="K1229" s="100"/>
    </row>
    <row r="1230" spans="1:29" ht="15" x14ac:dyDescent="0.25">
      <c r="C1230" s="22" t="s">
        <v>1605</v>
      </c>
      <c r="H1230" s="100">
        <f>I1219+I1220+I1222+I1224+I1225+I1226+SUM(I1223:I1223)</f>
        <v>60.83</v>
      </c>
      <c r="I1230" s="100"/>
      <c r="J1230" s="100">
        <f>K1219+K1220+K1222+K1224+K1225+K1226+SUM(K1223:K1223)</f>
        <v>503.88</v>
      </c>
      <c r="K1230" s="100"/>
      <c r="O1230" s="36">
        <f>I1219+I1220+I1222+I1224+I1225+I1226+SUM(I1223:I1223)</f>
        <v>60.83</v>
      </c>
      <c r="P1230" s="36">
        <f>K1219+K1220+K1222+K1224+K1225+K1226+SUM(K1223:K1223)</f>
        <v>503.88</v>
      </c>
    </row>
    <row r="1232" spans="1:29" ht="28.5" x14ac:dyDescent="0.2">
      <c r="A1232" s="27">
        <v>11</v>
      </c>
      <c r="B1232" s="27" t="str">
        <f>Source!F908</f>
        <v>4.8-162-1</v>
      </c>
      <c r="C1232" s="27" t="s">
        <v>690</v>
      </c>
      <c r="D1232" s="28" t="str">
        <f>Source!H908</f>
        <v>100 м</v>
      </c>
      <c r="E1232" s="12">
        <f>Source!I908</f>
        <v>0.46</v>
      </c>
      <c r="F1232" s="30"/>
      <c r="G1232" s="29"/>
      <c r="H1232" s="12"/>
      <c r="I1232" s="30"/>
      <c r="J1232" s="12"/>
      <c r="K1232" s="30"/>
      <c r="Q1232">
        <f>Source!X908</f>
        <v>19.98</v>
      </c>
      <c r="R1232">
        <f>Source!X909</f>
        <v>402.03</v>
      </c>
      <c r="S1232">
        <f>Source!Y908</f>
        <v>11.75</v>
      </c>
      <c r="T1232">
        <f>Source!Y909</f>
        <v>208.65</v>
      </c>
      <c r="U1232">
        <f>ROUND((175/100)*ROUND(Source!R908, 2), 2)</f>
        <v>0.16</v>
      </c>
      <c r="V1232">
        <f>ROUND((160/100)*ROUND(Source!R909, 2), 2)</f>
        <v>4.18</v>
      </c>
      <c r="AC1232">
        <v>0</v>
      </c>
    </row>
    <row r="1233" spans="1:29" ht="14.25" x14ac:dyDescent="0.2">
      <c r="A1233" s="27"/>
      <c r="B1233" s="27"/>
      <c r="C1233" s="27" t="s">
        <v>1597</v>
      </c>
      <c r="D1233" s="28"/>
      <c r="E1233" s="12"/>
      <c r="F1233" s="30">
        <f>Source!AO908</f>
        <v>38.1</v>
      </c>
      <c r="G1233" s="29" t="str">
        <f>Source!DG908</f>
        <v/>
      </c>
      <c r="H1233" s="12">
        <f>Source!AV909</f>
        <v>1</v>
      </c>
      <c r="I1233" s="30">
        <f>Source!S908</f>
        <v>17.53</v>
      </c>
      <c r="J1233" s="12">
        <f>IF(Source!BA909&lt;&gt; 0, Source!BA909, 1)</f>
        <v>29.03</v>
      </c>
      <c r="K1233" s="30">
        <f>Source!S909</f>
        <v>508.9</v>
      </c>
    </row>
    <row r="1234" spans="1:29" ht="14.25" x14ac:dyDescent="0.2">
      <c r="A1234" s="27"/>
      <c r="B1234" s="27"/>
      <c r="C1234" s="27" t="s">
        <v>1609</v>
      </c>
      <c r="D1234" s="28"/>
      <c r="E1234" s="12"/>
      <c r="F1234" s="30">
        <f>Source!AM908</f>
        <v>0.85</v>
      </c>
      <c r="G1234" s="29" t="str">
        <f>Source!DE908</f>
        <v/>
      </c>
      <c r="H1234" s="12">
        <f>Source!AV909</f>
        <v>1</v>
      </c>
      <c r="I1234" s="30">
        <f>Source!Q908</f>
        <v>0.39</v>
      </c>
      <c r="J1234" s="12">
        <f>IF(Source!BB909&lt;&gt; 0, Source!BB909, 1)</f>
        <v>11.43</v>
      </c>
      <c r="K1234" s="30">
        <f>Source!Q909</f>
        <v>4.46</v>
      </c>
    </row>
    <row r="1235" spans="1:29" ht="14.25" x14ac:dyDescent="0.2">
      <c r="A1235" s="27"/>
      <c r="B1235" s="27"/>
      <c r="C1235" s="27" t="s">
        <v>1610</v>
      </c>
      <c r="D1235" s="28"/>
      <c r="E1235" s="12"/>
      <c r="F1235" s="30">
        <f>Source!AN908</f>
        <v>0.2</v>
      </c>
      <c r="G1235" s="29" t="str">
        <f>Source!DF908</f>
        <v/>
      </c>
      <c r="H1235" s="12">
        <f>Source!AV909</f>
        <v>1</v>
      </c>
      <c r="I1235" s="38">
        <f>Source!R908</f>
        <v>0.09</v>
      </c>
      <c r="J1235" s="12">
        <f>IF(Source!BS909&lt;&gt; 0, Source!BS909, 1)</f>
        <v>29.03</v>
      </c>
      <c r="K1235" s="38">
        <f>Source!R909</f>
        <v>2.61</v>
      </c>
    </row>
    <row r="1236" spans="1:29" ht="14.25" x14ac:dyDescent="0.2">
      <c r="A1236" s="27"/>
      <c r="B1236" s="27"/>
      <c r="C1236" s="27" t="s">
        <v>1611</v>
      </c>
      <c r="D1236" s="28"/>
      <c r="E1236" s="12"/>
      <c r="F1236" s="30">
        <f>Source!AL908</f>
        <v>3.71</v>
      </c>
      <c r="G1236" s="29" t="str">
        <f>Source!DD908</f>
        <v/>
      </c>
      <c r="H1236" s="12">
        <f>Source!AW909</f>
        <v>1</v>
      </c>
      <c r="I1236" s="30">
        <f>Source!P908</f>
        <v>1.71</v>
      </c>
      <c r="J1236" s="12">
        <f>IF(Source!BC909&lt;&gt; 0, Source!BC909, 1)</f>
        <v>8.09</v>
      </c>
      <c r="K1236" s="30">
        <f>Source!P909</f>
        <v>13.83</v>
      </c>
    </row>
    <row r="1237" spans="1:29" ht="42.75" x14ac:dyDescent="0.2">
      <c r="A1237" s="27" t="s">
        <v>209</v>
      </c>
      <c r="B1237" s="27" t="str">
        <f>Source!F910</f>
        <v>Цена поставщика</v>
      </c>
      <c r="C1237" s="27" t="s">
        <v>1675</v>
      </c>
      <c r="D1237" s="28" t="str">
        <f>Source!H910</f>
        <v>м</v>
      </c>
      <c r="E1237" s="12">
        <f>Source!I910</f>
        <v>3.06</v>
      </c>
      <c r="F1237" s="30">
        <f>Source!AK910</f>
        <v>7.05</v>
      </c>
      <c r="G1237" s="39" t="s">
        <v>3</v>
      </c>
      <c r="H1237" s="12">
        <f>Source!AW911</f>
        <v>1</v>
      </c>
      <c r="I1237" s="30">
        <f>Source!O910</f>
        <v>21.57</v>
      </c>
      <c r="J1237" s="12">
        <f>IF(Source!BC911&lt;&gt; 0, Source!BC911, 1)</f>
        <v>8.65</v>
      </c>
      <c r="K1237" s="30">
        <f>Source!O911</f>
        <v>143.16</v>
      </c>
      <c r="Q1237">
        <f>Source!X910</f>
        <v>0</v>
      </c>
      <c r="R1237">
        <f>Source!X911</f>
        <v>0</v>
      </c>
      <c r="S1237">
        <f>Source!Y910</f>
        <v>0</v>
      </c>
      <c r="T1237">
        <f>Source!Y911</f>
        <v>0</v>
      </c>
      <c r="U1237">
        <f>ROUND((175/100)*ROUND(Source!R910, 2), 2)</f>
        <v>0</v>
      </c>
      <c r="V1237">
        <f>ROUND((160/100)*ROUND(Source!R911, 2), 2)</f>
        <v>0</v>
      </c>
      <c r="AC1237">
        <v>3</v>
      </c>
    </row>
    <row r="1238" spans="1:29" ht="142.5" x14ac:dyDescent="0.2">
      <c r="A1238" s="27" t="s">
        <v>781</v>
      </c>
      <c r="B1238" s="27" t="str">
        <f>Source!F912</f>
        <v>1.23-8-770</v>
      </c>
      <c r="C1238" s="27" t="s">
        <v>1567</v>
      </c>
      <c r="D1238" s="28" t="str">
        <f>Source!H912</f>
        <v>км</v>
      </c>
      <c r="E1238" s="12">
        <f>Source!I912</f>
        <v>3.5700000000000003E-2</v>
      </c>
      <c r="F1238" s="30">
        <f>Source!AK912</f>
        <v>19722.349999999999</v>
      </c>
      <c r="G1238" s="39" t="s">
        <v>3</v>
      </c>
      <c r="H1238" s="12">
        <f>Source!AW913</f>
        <v>1</v>
      </c>
      <c r="I1238" s="30">
        <f>Source!O912</f>
        <v>704.09</v>
      </c>
      <c r="J1238" s="12">
        <f>IF(Source!BC913&lt;&gt; 0, Source!BC913, 1)</f>
        <v>2.94</v>
      </c>
      <c r="K1238" s="30">
        <f>Source!O913</f>
        <v>2070.02</v>
      </c>
      <c r="Q1238">
        <f>Source!X912</f>
        <v>0</v>
      </c>
      <c r="R1238">
        <f>Source!X913</f>
        <v>0</v>
      </c>
      <c r="S1238">
        <f>Source!Y912</f>
        <v>0</v>
      </c>
      <c r="T1238">
        <f>Source!Y913</f>
        <v>0</v>
      </c>
      <c r="U1238">
        <f>ROUND((175/100)*ROUND(Source!R912, 2), 2)</f>
        <v>0</v>
      </c>
      <c r="V1238">
        <f>ROUND((160/100)*ROUND(Source!R913, 2), 2)</f>
        <v>0</v>
      </c>
      <c r="AC1238">
        <v>3</v>
      </c>
    </row>
    <row r="1239" spans="1:29" ht="142.5" x14ac:dyDescent="0.2">
      <c r="A1239" s="27" t="s">
        <v>784</v>
      </c>
      <c r="B1239" s="27" t="str">
        <f>Source!F914</f>
        <v>1.23-8-769</v>
      </c>
      <c r="C1239" s="27" t="s">
        <v>1566</v>
      </c>
      <c r="D1239" s="28" t="str">
        <f>Source!H914</f>
        <v>км</v>
      </c>
      <c r="E1239" s="12">
        <f>Source!I914</f>
        <v>3.0599999999999998E-3</v>
      </c>
      <c r="F1239" s="30">
        <f>Source!AK914</f>
        <v>12919.08</v>
      </c>
      <c r="G1239" s="39" t="s">
        <v>3</v>
      </c>
      <c r="H1239" s="12">
        <f>Source!AW915</f>
        <v>1</v>
      </c>
      <c r="I1239" s="30">
        <f>Source!O914</f>
        <v>39.53</v>
      </c>
      <c r="J1239" s="12">
        <f>IF(Source!BC915&lt;&gt; 0, Source!BC915, 1)</f>
        <v>3.39</v>
      </c>
      <c r="K1239" s="30">
        <f>Source!O915</f>
        <v>134.01</v>
      </c>
      <c r="Q1239">
        <f>Source!X914</f>
        <v>0</v>
      </c>
      <c r="R1239">
        <f>Source!X915</f>
        <v>0</v>
      </c>
      <c r="S1239">
        <f>Source!Y914</f>
        <v>0</v>
      </c>
      <c r="T1239">
        <f>Source!Y915</f>
        <v>0</v>
      </c>
      <c r="U1239">
        <f>ROUND((175/100)*ROUND(Source!R914, 2), 2)</f>
        <v>0</v>
      </c>
      <c r="V1239">
        <f>ROUND((160/100)*ROUND(Source!R915, 2), 2)</f>
        <v>0</v>
      </c>
      <c r="AC1239">
        <v>3</v>
      </c>
    </row>
    <row r="1240" spans="1:29" ht="42.75" x14ac:dyDescent="0.2">
      <c r="A1240" s="27" t="s">
        <v>787</v>
      </c>
      <c r="B1240" s="27" t="str">
        <f>Source!F916</f>
        <v>Цена поставщика</v>
      </c>
      <c r="C1240" s="27" t="s">
        <v>1676</v>
      </c>
      <c r="D1240" s="28" t="str">
        <f>Source!H916</f>
        <v>м</v>
      </c>
      <c r="E1240" s="12">
        <f>Source!I916</f>
        <v>5.0999999999999996</v>
      </c>
      <c r="F1240" s="30">
        <f>Source!AK916</f>
        <v>11.41</v>
      </c>
      <c r="G1240" s="39" t="s">
        <v>3</v>
      </c>
      <c r="H1240" s="12">
        <f>Source!AW917</f>
        <v>1</v>
      </c>
      <c r="I1240" s="30">
        <f>Source!O916</f>
        <v>58.19</v>
      </c>
      <c r="J1240" s="12">
        <f>IF(Source!BC917&lt;&gt; 0, Source!BC917, 1)</f>
        <v>8.65</v>
      </c>
      <c r="K1240" s="30">
        <f>Source!O917</f>
        <v>385.53</v>
      </c>
      <c r="Q1240">
        <f>Source!X916</f>
        <v>0</v>
      </c>
      <c r="R1240">
        <f>Source!X917</f>
        <v>0</v>
      </c>
      <c r="S1240">
        <f>Source!Y916</f>
        <v>0</v>
      </c>
      <c r="T1240">
        <f>Source!Y917</f>
        <v>0</v>
      </c>
      <c r="U1240">
        <f>ROUND((175/100)*ROUND(Source!R916, 2), 2)</f>
        <v>0</v>
      </c>
      <c r="V1240">
        <f>ROUND((160/100)*ROUND(Source!R917, 2), 2)</f>
        <v>0</v>
      </c>
      <c r="AC1240">
        <v>3</v>
      </c>
    </row>
    <row r="1241" spans="1:29" ht="14.25" x14ac:dyDescent="0.2">
      <c r="A1241" s="27"/>
      <c r="B1241" s="27"/>
      <c r="C1241" s="27" t="s">
        <v>1598</v>
      </c>
      <c r="D1241" s="28" t="s">
        <v>1599</v>
      </c>
      <c r="E1241" s="12">
        <f>Source!DN909</f>
        <v>114</v>
      </c>
      <c r="F1241" s="30"/>
      <c r="G1241" s="29"/>
      <c r="H1241" s="12"/>
      <c r="I1241" s="30">
        <f>SUM(Q1232:Q1240)</f>
        <v>19.98</v>
      </c>
      <c r="J1241" s="12">
        <f>Source!BZ909</f>
        <v>79</v>
      </c>
      <c r="K1241" s="30">
        <f>SUM(R1232:R1240)</f>
        <v>402.03</v>
      </c>
    </row>
    <row r="1242" spans="1:29" ht="14.25" x14ac:dyDescent="0.2">
      <c r="A1242" s="27"/>
      <c r="B1242" s="27"/>
      <c r="C1242" s="27" t="s">
        <v>1600</v>
      </c>
      <c r="D1242" s="28" t="s">
        <v>1599</v>
      </c>
      <c r="E1242" s="12">
        <f>Source!DO909</f>
        <v>67</v>
      </c>
      <c r="F1242" s="30"/>
      <c r="G1242" s="29"/>
      <c r="H1242" s="12"/>
      <c r="I1242" s="30">
        <f>SUM(S1232:S1241)</f>
        <v>11.75</v>
      </c>
      <c r="J1242" s="12">
        <f>Source!CA909</f>
        <v>41</v>
      </c>
      <c r="K1242" s="30">
        <f>SUM(T1232:T1241)</f>
        <v>208.65</v>
      </c>
    </row>
    <row r="1243" spans="1:29" ht="14.25" x14ac:dyDescent="0.2">
      <c r="A1243" s="27"/>
      <c r="B1243" s="27"/>
      <c r="C1243" s="27" t="s">
        <v>1612</v>
      </c>
      <c r="D1243" s="28" t="s">
        <v>1599</v>
      </c>
      <c r="E1243" s="12">
        <f>175</f>
        <v>175</v>
      </c>
      <c r="F1243" s="30"/>
      <c r="G1243" s="29"/>
      <c r="H1243" s="12"/>
      <c r="I1243" s="30">
        <f>SUM(U1232:U1242)</f>
        <v>0.16</v>
      </c>
      <c r="J1243" s="12">
        <f>160</f>
        <v>160</v>
      </c>
      <c r="K1243" s="30">
        <f>SUM(V1232:V1242)</f>
        <v>4.18</v>
      </c>
    </row>
    <row r="1244" spans="1:29" ht="14.25" x14ac:dyDescent="0.2">
      <c r="A1244" s="31"/>
      <c r="B1244" s="31"/>
      <c r="C1244" s="31" t="s">
        <v>1601</v>
      </c>
      <c r="D1244" s="32" t="s">
        <v>1602</v>
      </c>
      <c r="E1244" s="33">
        <f>Source!AQ908</f>
        <v>3.09</v>
      </c>
      <c r="F1244" s="34"/>
      <c r="G1244" s="35" t="str">
        <f>Source!DI908</f>
        <v/>
      </c>
      <c r="H1244" s="33">
        <f>Source!AV909</f>
        <v>1</v>
      </c>
      <c r="I1244" s="34">
        <f>Source!U908</f>
        <v>1.4214</v>
      </c>
      <c r="J1244" s="33"/>
      <c r="K1244" s="34"/>
    </row>
    <row r="1245" spans="1:29" ht="15" x14ac:dyDescent="0.25">
      <c r="C1245" s="22" t="s">
        <v>1603</v>
      </c>
      <c r="H1245" s="104">
        <f>I1233+I1234+I1236+I1241+I1242+I1243+SUM(I1237:I1240)-SUMIF(AC1237:AC1240, 5, I1237:I1240)-SUMIF(AC1237:AC1240, 6, I1237:I1240)</f>
        <v>874.90000000000009</v>
      </c>
      <c r="I1245" s="104"/>
      <c r="J1245" s="104">
        <f>K1233+K1234+K1236+K1241+K1242+K1243+SUM(K1237:K1240)-SUMIF(AC1237:AC1240, 5, K1237:K1240)-SUMIF(AC1237:AC1240, 6, K1237:K1240)</f>
        <v>3874.7699999999995</v>
      </c>
      <c r="K1245" s="104"/>
    </row>
    <row r="1246" spans="1:29" ht="15" x14ac:dyDescent="0.25">
      <c r="C1246" s="22" t="s">
        <v>1604</v>
      </c>
      <c r="H1246" s="100">
        <f>SUMIF(AC1237:AC1240, 5, I1237:I1240)+SUMIF(AC1237:AC1240, 6, I1237:I1240)</f>
        <v>0</v>
      </c>
      <c r="I1246" s="100"/>
      <c r="J1246" s="100">
        <f>SUMIF(AC1237:AC1240, 5, K1237:K1240)+SUMIF(AC1237:AC1240, 6, K1237:K1240)</f>
        <v>0</v>
      </c>
      <c r="K1246" s="100"/>
    </row>
    <row r="1247" spans="1:29" ht="15" x14ac:dyDescent="0.25">
      <c r="C1247" s="22" t="s">
        <v>1605</v>
      </c>
      <c r="H1247" s="100">
        <f>I1233+I1234+I1236+I1241+I1242+I1243+SUM(I1237:I1240)</f>
        <v>874.90000000000009</v>
      </c>
      <c r="I1247" s="100"/>
      <c r="J1247" s="100">
        <f>K1233+K1234+K1236+K1241+K1242+K1243+SUM(K1237:K1240)</f>
        <v>3874.7699999999995</v>
      </c>
      <c r="K1247" s="100"/>
      <c r="O1247" s="36">
        <f>I1233+I1234+I1236+I1241+I1242+I1243+SUM(I1237:I1240)</f>
        <v>874.90000000000009</v>
      </c>
      <c r="P1247" s="36">
        <f>K1233+K1234+K1236+K1241+K1242+K1243+SUM(K1237:K1240)</f>
        <v>3874.7699999999995</v>
      </c>
    </row>
    <row r="1249" spans="1:29" ht="28.5" x14ac:dyDescent="0.2">
      <c r="A1249" s="27">
        <v>12</v>
      </c>
      <c r="B1249" s="27" t="str">
        <f>Source!F918</f>
        <v>4.8-162-2</v>
      </c>
      <c r="C1249" s="27" t="s">
        <v>791</v>
      </c>
      <c r="D1249" s="28" t="str">
        <f>Source!H918</f>
        <v>100 м</v>
      </c>
      <c r="E1249" s="12">
        <f>Source!I918</f>
        <v>0.8</v>
      </c>
      <c r="F1249" s="30"/>
      <c r="G1249" s="29"/>
      <c r="H1249" s="12"/>
      <c r="I1249" s="30"/>
      <c r="J1249" s="12"/>
      <c r="K1249" s="30"/>
      <c r="Q1249">
        <f>Source!X918</f>
        <v>46.33</v>
      </c>
      <c r="R1249">
        <f>Source!X919</f>
        <v>932.03</v>
      </c>
      <c r="S1249">
        <f>Source!Y918</f>
        <v>27.23</v>
      </c>
      <c r="T1249">
        <f>Source!Y919</f>
        <v>483.71</v>
      </c>
      <c r="U1249">
        <f>ROUND((175/100)*ROUND(Source!R918, 2), 2)</f>
        <v>0.82</v>
      </c>
      <c r="V1249">
        <f>ROUND((160/100)*ROUND(Source!R919, 2), 2)</f>
        <v>21.82</v>
      </c>
      <c r="AC1249">
        <v>0</v>
      </c>
    </row>
    <row r="1250" spans="1:29" ht="14.25" x14ac:dyDescent="0.2">
      <c r="A1250" s="27"/>
      <c r="B1250" s="27"/>
      <c r="C1250" s="27" t="s">
        <v>1597</v>
      </c>
      <c r="D1250" s="28"/>
      <c r="E1250" s="12"/>
      <c r="F1250" s="30">
        <f>Source!AO918</f>
        <v>50.8</v>
      </c>
      <c r="G1250" s="29" t="str">
        <f>Source!DG918</f>
        <v/>
      </c>
      <c r="H1250" s="12">
        <f>Source!AV919</f>
        <v>1</v>
      </c>
      <c r="I1250" s="30">
        <f>Source!S918</f>
        <v>40.64</v>
      </c>
      <c r="J1250" s="12">
        <f>IF(Source!BA919&lt;&gt; 0, Source!BA919, 1)</f>
        <v>29.03</v>
      </c>
      <c r="K1250" s="30">
        <f>Source!S919</f>
        <v>1179.78</v>
      </c>
    </row>
    <row r="1251" spans="1:29" ht="14.25" x14ac:dyDescent="0.2">
      <c r="A1251" s="27"/>
      <c r="B1251" s="27"/>
      <c r="C1251" s="27" t="s">
        <v>1609</v>
      </c>
      <c r="D1251" s="28"/>
      <c r="E1251" s="12"/>
      <c r="F1251" s="30">
        <f>Source!AM918</f>
        <v>2.54</v>
      </c>
      <c r="G1251" s="29" t="str">
        <f>Source!DE918</f>
        <v/>
      </c>
      <c r="H1251" s="12">
        <f>Source!AV919</f>
        <v>1</v>
      </c>
      <c r="I1251" s="30">
        <f>Source!Q918</f>
        <v>2.0299999999999998</v>
      </c>
      <c r="J1251" s="12">
        <f>IF(Source!BB919&lt;&gt; 0, Source!BB919, 1)</f>
        <v>11.43</v>
      </c>
      <c r="K1251" s="30">
        <f>Source!Q919</f>
        <v>23.2</v>
      </c>
    </row>
    <row r="1252" spans="1:29" ht="14.25" x14ac:dyDescent="0.2">
      <c r="A1252" s="27"/>
      <c r="B1252" s="27"/>
      <c r="C1252" s="27" t="s">
        <v>1610</v>
      </c>
      <c r="D1252" s="28"/>
      <c r="E1252" s="12"/>
      <c r="F1252" s="30">
        <f>Source!AN918</f>
        <v>0.59</v>
      </c>
      <c r="G1252" s="29" t="str">
        <f>Source!DF918</f>
        <v/>
      </c>
      <c r="H1252" s="12">
        <f>Source!AV919</f>
        <v>1</v>
      </c>
      <c r="I1252" s="38">
        <f>Source!R918</f>
        <v>0.47</v>
      </c>
      <c r="J1252" s="12">
        <f>IF(Source!BS919&lt;&gt; 0, Source!BS919, 1)</f>
        <v>29.03</v>
      </c>
      <c r="K1252" s="38">
        <f>Source!R919</f>
        <v>13.64</v>
      </c>
    </row>
    <row r="1253" spans="1:29" ht="14.25" x14ac:dyDescent="0.2">
      <c r="A1253" s="27"/>
      <c r="B1253" s="27"/>
      <c r="C1253" s="27" t="s">
        <v>1611</v>
      </c>
      <c r="D1253" s="28"/>
      <c r="E1253" s="12"/>
      <c r="F1253" s="30">
        <f>Source!AL918</f>
        <v>4.2</v>
      </c>
      <c r="G1253" s="29" t="str">
        <f>Source!DD918</f>
        <v/>
      </c>
      <c r="H1253" s="12">
        <f>Source!AW919</f>
        <v>1</v>
      </c>
      <c r="I1253" s="30">
        <f>Source!P918</f>
        <v>3.36</v>
      </c>
      <c r="J1253" s="12">
        <f>IF(Source!BC919&lt;&gt; 0, Source!BC919, 1)</f>
        <v>8.09</v>
      </c>
      <c r="K1253" s="30">
        <f>Source!P919</f>
        <v>27.18</v>
      </c>
    </row>
    <row r="1254" spans="1:29" ht="142.5" x14ac:dyDescent="0.2">
      <c r="A1254" s="27" t="s">
        <v>596</v>
      </c>
      <c r="B1254" s="27" t="str">
        <f>Source!F920</f>
        <v>1.23-8-756</v>
      </c>
      <c r="C1254" s="27" t="s">
        <v>1568</v>
      </c>
      <c r="D1254" s="28" t="str">
        <f>Source!H920</f>
        <v>км</v>
      </c>
      <c r="E1254" s="12">
        <f>Source!I920</f>
        <v>8.1600000000000006E-2</v>
      </c>
      <c r="F1254" s="30">
        <f>Source!AK920</f>
        <v>14788.24</v>
      </c>
      <c r="G1254" s="39" t="s">
        <v>3</v>
      </c>
      <c r="H1254" s="12">
        <f>Source!AW921</f>
        <v>1</v>
      </c>
      <c r="I1254" s="30">
        <f>Source!O920</f>
        <v>1206.72</v>
      </c>
      <c r="J1254" s="12">
        <f>IF(Source!BC921&lt;&gt; 0, Source!BC921, 1)</f>
        <v>4.99</v>
      </c>
      <c r="K1254" s="30">
        <f>Source!O921</f>
        <v>6021.53</v>
      </c>
      <c r="Q1254">
        <f>Source!X920</f>
        <v>0</v>
      </c>
      <c r="R1254">
        <f>Source!X921</f>
        <v>0</v>
      </c>
      <c r="S1254">
        <f>Source!Y920</f>
        <v>0</v>
      </c>
      <c r="T1254">
        <f>Source!Y921</f>
        <v>0</v>
      </c>
      <c r="U1254">
        <f>ROUND((175/100)*ROUND(Source!R920, 2), 2)</f>
        <v>0</v>
      </c>
      <c r="V1254">
        <f>ROUND((160/100)*ROUND(Source!R921, 2), 2)</f>
        <v>0</v>
      </c>
      <c r="AC1254">
        <v>3</v>
      </c>
    </row>
    <row r="1255" spans="1:29" ht="14.25" x14ac:dyDescent="0.2">
      <c r="A1255" s="27"/>
      <c r="B1255" s="27"/>
      <c r="C1255" s="27" t="s">
        <v>1598</v>
      </c>
      <c r="D1255" s="28" t="s">
        <v>1599</v>
      </c>
      <c r="E1255" s="12">
        <f>Source!DN919</f>
        <v>114</v>
      </c>
      <c r="F1255" s="30"/>
      <c r="G1255" s="29"/>
      <c r="H1255" s="12"/>
      <c r="I1255" s="30">
        <f>SUM(Q1249:Q1254)</f>
        <v>46.33</v>
      </c>
      <c r="J1255" s="12">
        <f>Source!BZ919</f>
        <v>79</v>
      </c>
      <c r="K1255" s="30">
        <f>SUM(R1249:R1254)</f>
        <v>932.03</v>
      </c>
    </row>
    <row r="1256" spans="1:29" ht="14.25" x14ac:dyDescent="0.2">
      <c r="A1256" s="27"/>
      <c r="B1256" s="27"/>
      <c r="C1256" s="27" t="s">
        <v>1600</v>
      </c>
      <c r="D1256" s="28" t="s">
        <v>1599</v>
      </c>
      <c r="E1256" s="12">
        <f>Source!DO919</f>
        <v>67</v>
      </c>
      <c r="F1256" s="30"/>
      <c r="G1256" s="29"/>
      <c r="H1256" s="12"/>
      <c r="I1256" s="30">
        <f>SUM(S1249:S1255)</f>
        <v>27.23</v>
      </c>
      <c r="J1256" s="12">
        <f>Source!CA919</f>
        <v>41</v>
      </c>
      <c r="K1256" s="30">
        <f>SUM(T1249:T1255)</f>
        <v>483.71</v>
      </c>
    </row>
    <row r="1257" spans="1:29" ht="14.25" x14ac:dyDescent="0.2">
      <c r="A1257" s="27"/>
      <c r="B1257" s="27"/>
      <c r="C1257" s="27" t="s">
        <v>1612</v>
      </c>
      <c r="D1257" s="28" t="s">
        <v>1599</v>
      </c>
      <c r="E1257" s="12">
        <f>175</f>
        <v>175</v>
      </c>
      <c r="F1257" s="30"/>
      <c r="G1257" s="29"/>
      <c r="H1257" s="12"/>
      <c r="I1257" s="30">
        <f>SUM(U1249:U1256)</f>
        <v>0.82</v>
      </c>
      <c r="J1257" s="12">
        <f>160</f>
        <v>160</v>
      </c>
      <c r="K1257" s="30">
        <f>SUM(V1249:V1256)</f>
        <v>21.82</v>
      </c>
    </row>
    <row r="1258" spans="1:29" ht="14.25" x14ac:dyDescent="0.2">
      <c r="A1258" s="31"/>
      <c r="B1258" s="31"/>
      <c r="C1258" s="31" t="s">
        <v>1601</v>
      </c>
      <c r="D1258" s="32" t="s">
        <v>1602</v>
      </c>
      <c r="E1258" s="33">
        <f>Source!AQ918</f>
        <v>4.12</v>
      </c>
      <c r="F1258" s="34"/>
      <c r="G1258" s="35" t="str">
        <f>Source!DI918</f>
        <v/>
      </c>
      <c r="H1258" s="33">
        <f>Source!AV919</f>
        <v>1</v>
      </c>
      <c r="I1258" s="34">
        <f>Source!U918</f>
        <v>3.2960000000000003</v>
      </c>
      <c r="J1258" s="33"/>
      <c r="K1258" s="34"/>
    </row>
    <row r="1259" spans="1:29" ht="15" x14ac:dyDescent="0.25">
      <c r="C1259" s="22" t="s">
        <v>1603</v>
      </c>
      <c r="H1259" s="104">
        <f>I1250+I1251+I1253+I1255+I1256+I1257+SUM(I1254:I1254)-SUMIF(AC1254:AC1254, 5, I1254:I1254)-SUMIF(AC1254:AC1254, 6, I1254:I1254)</f>
        <v>1327.13</v>
      </c>
      <c r="I1259" s="104"/>
      <c r="J1259" s="104">
        <f>K1250+K1251+K1253+K1255+K1256+K1257+SUM(K1254:K1254)-SUMIF(AC1254:AC1254, 5, K1254:K1254)-SUMIF(AC1254:AC1254, 6, K1254:K1254)</f>
        <v>8689.25</v>
      </c>
      <c r="K1259" s="104"/>
    </row>
    <row r="1260" spans="1:29" ht="15" x14ac:dyDescent="0.25">
      <c r="C1260" s="22" t="s">
        <v>1604</v>
      </c>
      <c r="H1260" s="100">
        <f>SUMIF(AC1254:AC1254, 5, I1254:I1254)+SUMIF(AC1254:AC1254, 6, I1254:I1254)</f>
        <v>0</v>
      </c>
      <c r="I1260" s="100"/>
      <c r="J1260" s="100">
        <f>SUMIF(AC1254:AC1254, 5, K1254:K1254)+SUMIF(AC1254:AC1254, 6, K1254:K1254)</f>
        <v>0</v>
      </c>
      <c r="K1260" s="100"/>
    </row>
    <row r="1261" spans="1:29" ht="15" x14ac:dyDescent="0.25">
      <c r="C1261" s="22" t="s">
        <v>1605</v>
      </c>
      <c r="H1261" s="100">
        <f>I1250+I1251+I1253+I1255+I1256+I1257+SUM(I1254:I1254)</f>
        <v>1327.13</v>
      </c>
      <c r="I1261" s="100"/>
      <c r="J1261" s="100">
        <f>K1250+K1251+K1253+K1255+K1256+K1257+SUM(K1254:K1254)</f>
        <v>8689.25</v>
      </c>
      <c r="K1261" s="100"/>
      <c r="O1261" s="36">
        <f>I1250+I1251+I1253+I1255+I1256+I1257+SUM(I1254:I1254)</f>
        <v>1327.13</v>
      </c>
      <c r="P1261" s="36">
        <f>K1250+K1251+K1253+K1255+K1256+K1257+SUM(K1254:K1254)</f>
        <v>8689.25</v>
      </c>
    </row>
    <row r="1263" spans="1:29" ht="28.5" x14ac:dyDescent="0.2">
      <c r="A1263" s="27">
        <v>13</v>
      </c>
      <c r="B1263" s="27" t="str">
        <f>Source!F922</f>
        <v>4.8-243-8</v>
      </c>
      <c r="C1263" s="27" t="s">
        <v>796</v>
      </c>
      <c r="D1263" s="28" t="str">
        <f>Source!H922</f>
        <v>100 шт.</v>
      </c>
      <c r="E1263" s="12">
        <f>Source!I922</f>
        <v>0.02</v>
      </c>
      <c r="F1263" s="30"/>
      <c r="G1263" s="29"/>
      <c r="H1263" s="12"/>
      <c r="I1263" s="30"/>
      <c r="J1263" s="12"/>
      <c r="K1263" s="30"/>
      <c r="Q1263">
        <f>Source!X922</f>
        <v>11.04</v>
      </c>
      <c r="R1263">
        <f>Source!X923</f>
        <v>222</v>
      </c>
      <c r="S1263">
        <f>Source!Y922</f>
        <v>6.49</v>
      </c>
      <c r="T1263">
        <f>Source!Y923</f>
        <v>115.21</v>
      </c>
      <c r="U1263">
        <f>ROUND((175/100)*ROUND(Source!R922, 2), 2)</f>
        <v>0.04</v>
      </c>
      <c r="V1263">
        <f>ROUND((160/100)*ROUND(Source!R923, 2), 2)</f>
        <v>0.93</v>
      </c>
      <c r="AC1263">
        <v>0</v>
      </c>
    </row>
    <row r="1264" spans="1:29" ht="14.25" x14ac:dyDescent="0.2">
      <c r="A1264" s="27"/>
      <c r="B1264" s="27"/>
      <c r="C1264" s="27" t="s">
        <v>1597</v>
      </c>
      <c r="D1264" s="28"/>
      <c r="E1264" s="12"/>
      <c r="F1264" s="30">
        <f>Source!AO922</f>
        <v>483.99</v>
      </c>
      <c r="G1264" s="29" t="str">
        <f>Source!DG922</f>
        <v/>
      </c>
      <c r="H1264" s="12">
        <f>Source!AV923</f>
        <v>1</v>
      </c>
      <c r="I1264" s="30">
        <f>Source!S922</f>
        <v>9.68</v>
      </c>
      <c r="J1264" s="12">
        <f>IF(Source!BA923&lt;&gt; 0, Source!BA923, 1)</f>
        <v>29.03</v>
      </c>
      <c r="K1264" s="30">
        <f>Source!S923</f>
        <v>281.01</v>
      </c>
    </row>
    <row r="1265" spans="1:29" ht="14.25" x14ac:dyDescent="0.2">
      <c r="A1265" s="27"/>
      <c r="B1265" s="27"/>
      <c r="C1265" s="27" t="s">
        <v>1609</v>
      </c>
      <c r="D1265" s="28"/>
      <c r="E1265" s="12"/>
      <c r="F1265" s="30">
        <f>Source!AM922</f>
        <v>15.74</v>
      </c>
      <c r="G1265" s="29" t="str">
        <f>Source!DE922</f>
        <v/>
      </c>
      <c r="H1265" s="12">
        <f>Source!AV923</f>
        <v>1</v>
      </c>
      <c r="I1265" s="30">
        <f>Source!Q922</f>
        <v>0.31</v>
      </c>
      <c r="J1265" s="12">
        <f>IF(Source!BB923&lt;&gt; 0, Source!BB923, 1)</f>
        <v>9.7799999999999994</v>
      </c>
      <c r="K1265" s="30">
        <f>Source!Q923</f>
        <v>3.03</v>
      </c>
    </row>
    <row r="1266" spans="1:29" ht="14.25" x14ac:dyDescent="0.2">
      <c r="A1266" s="27"/>
      <c r="B1266" s="27"/>
      <c r="C1266" s="27" t="s">
        <v>1610</v>
      </c>
      <c r="D1266" s="28"/>
      <c r="E1266" s="12"/>
      <c r="F1266" s="30">
        <f>Source!AN922</f>
        <v>1.18</v>
      </c>
      <c r="G1266" s="29" t="str">
        <f>Source!DF922</f>
        <v/>
      </c>
      <c r="H1266" s="12">
        <f>Source!AV923</f>
        <v>1</v>
      </c>
      <c r="I1266" s="38">
        <f>Source!R922</f>
        <v>0.02</v>
      </c>
      <c r="J1266" s="12">
        <f>IF(Source!BS923&lt;&gt; 0, Source!BS923, 1)</f>
        <v>29.03</v>
      </c>
      <c r="K1266" s="38">
        <f>Source!R923</f>
        <v>0.57999999999999996</v>
      </c>
    </row>
    <row r="1267" spans="1:29" ht="14.25" x14ac:dyDescent="0.2">
      <c r="A1267" s="27"/>
      <c r="B1267" s="27"/>
      <c r="C1267" s="27" t="s">
        <v>1611</v>
      </c>
      <c r="D1267" s="28"/>
      <c r="E1267" s="12"/>
      <c r="F1267" s="30">
        <f>Source!AL922</f>
        <v>26.88</v>
      </c>
      <c r="G1267" s="29" t="str">
        <f>Source!DD922</f>
        <v/>
      </c>
      <c r="H1267" s="12">
        <f>Source!AW923</f>
        <v>1</v>
      </c>
      <c r="I1267" s="30">
        <f>Source!P922</f>
        <v>0.54</v>
      </c>
      <c r="J1267" s="12">
        <f>IF(Source!BC923&lt;&gt; 0, Source!BC923, 1)</f>
        <v>1.66</v>
      </c>
      <c r="K1267" s="30">
        <f>Source!P923</f>
        <v>0.9</v>
      </c>
    </row>
    <row r="1268" spans="1:29" ht="42.75" x14ac:dyDescent="0.2">
      <c r="A1268" s="27" t="s">
        <v>225</v>
      </c>
      <c r="B1268" s="27" t="str">
        <f>Source!F924</f>
        <v>1.21-5-382</v>
      </c>
      <c r="C1268" s="27" t="s">
        <v>799</v>
      </c>
      <c r="D1268" s="28" t="str">
        <f>Source!H924</f>
        <v>шт.</v>
      </c>
      <c r="E1268" s="12">
        <f>Source!I924</f>
        <v>2</v>
      </c>
      <c r="F1268" s="30">
        <f>Source!AK924</f>
        <v>6.96</v>
      </c>
      <c r="G1268" s="39" t="s">
        <v>3</v>
      </c>
      <c r="H1268" s="12">
        <f>Source!AW925</f>
        <v>1</v>
      </c>
      <c r="I1268" s="30">
        <f>Source!O924</f>
        <v>13.92</v>
      </c>
      <c r="J1268" s="12">
        <f>IF(Source!BC925&lt;&gt; 0, Source!BC925, 1)</f>
        <v>11.47</v>
      </c>
      <c r="K1268" s="30">
        <f>Source!O925</f>
        <v>159.66</v>
      </c>
      <c r="Q1268">
        <f>Source!X924</f>
        <v>0</v>
      </c>
      <c r="R1268">
        <f>Source!X925</f>
        <v>0</v>
      </c>
      <c r="S1268">
        <f>Source!Y924</f>
        <v>0</v>
      </c>
      <c r="T1268">
        <f>Source!Y925</f>
        <v>0</v>
      </c>
      <c r="U1268">
        <f>ROUND((175/100)*ROUND(Source!R924, 2), 2)</f>
        <v>0</v>
      </c>
      <c r="V1268">
        <f>ROUND((160/100)*ROUND(Source!R925, 2), 2)</f>
        <v>0</v>
      </c>
      <c r="AC1268">
        <v>3</v>
      </c>
    </row>
    <row r="1269" spans="1:29" ht="14.25" x14ac:dyDescent="0.2">
      <c r="A1269" s="27"/>
      <c r="B1269" s="27"/>
      <c r="C1269" s="27" t="s">
        <v>1598</v>
      </c>
      <c r="D1269" s="28" t="s">
        <v>1599</v>
      </c>
      <c r="E1269" s="12">
        <f>Source!DN923</f>
        <v>114</v>
      </c>
      <c r="F1269" s="30"/>
      <c r="G1269" s="29"/>
      <c r="H1269" s="12"/>
      <c r="I1269" s="30">
        <f>SUM(Q1263:Q1268)</f>
        <v>11.04</v>
      </c>
      <c r="J1269" s="12">
        <f>Source!BZ923</f>
        <v>79</v>
      </c>
      <c r="K1269" s="30">
        <f>SUM(R1263:R1268)</f>
        <v>222</v>
      </c>
    </row>
    <row r="1270" spans="1:29" ht="14.25" x14ac:dyDescent="0.2">
      <c r="A1270" s="27"/>
      <c r="B1270" s="27"/>
      <c r="C1270" s="27" t="s">
        <v>1600</v>
      </c>
      <c r="D1270" s="28" t="s">
        <v>1599</v>
      </c>
      <c r="E1270" s="12">
        <f>Source!DO923</f>
        <v>67</v>
      </c>
      <c r="F1270" s="30"/>
      <c r="G1270" s="29"/>
      <c r="H1270" s="12"/>
      <c r="I1270" s="30">
        <f>SUM(S1263:S1269)</f>
        <v>6.49</v>
      </c>
      <c r="J1270" s="12">
        <f>Source!CA923</f>
        <v>41</v>
      </c>
      <c r="K1270" s="30">
        <f>SUM(T1263:T1269)</f>
        <v>115.21</v>
      </c>
    </row>
    <row r="1271" spans="1:29" ht="14.25" x14ac:dyDescent="0.2">
      <c r="A1271" s="27"/>
      <c r="B1271" s="27"/>
      <c r="C1271" s="27" t="s">
        <v>1612</v>
      </c>
      <c r="D1271" s="28" t="s">
        <v>1599</v>
      </c>
      <c r="E1271" s="12">
        <f>175</f>
        <v>175</v>
      </c>
      <c r="F1271" s="30"/>
      <c r="G1271" s="29"/>
      <c r="H1271" s="12"/>
      <c r="I1271" s="30">
        <f>SUM(U1263:U1270)</f>
        <v>0.04</v>
      </c>
      <c r="J1271" s="12">
        <f>160</f>
        <v>160</v>
      </c>
      <c r="K1271" s="30">
        <f>SUM(V1263:V1270)</f>
        <v>0.93</v>
      </c>
    </row>
    <row r="1272" spans="1:29" ht="14.25" x14ac:dyDescent="0.2">
      <c r="A1272" s="31"/>
      <c r="B1272" s="31"/>
      <c r="C1272" s="31" t="s">
        <v>1601</v>
      </c>
      <c r="D1272" s="32" t="s">
        <v>1602</v>
      </c>
      <c r="E1272" s="33">
        <f>Source!AQ922</f>
        <v>37.229999999999997</v>
      </c>
      <c r="F1272" s="34"/>
      <c r="G1272" s="35" t="str">
        <f>Source!DI922</f>
        <v/>
      </c>
      <c r="H1272" s="33">
        <f>Source!AV923</f>
        <v>1</v>
      </c>
      <c r="I1272" s="34">
        <f>Source!U922</f>
        <v>0.74459999999999993</v>
      </c>
      <c r="J1272" s="33"/>
      <c r="K1272" s="34"/>
    </row>
    <row r="1273" spans="1:29" ht="15" x14ac:dyDescent="0.25">
      <c r="C1273" s="22" t="s">
        <v>1603</v>
      </c>
      <c r="H1273" s="104">
        <f>I1264+I1265+I1267+I1269+I1270+I1271+SUM(I1268:I1268)-SUMIF(AC1268:AC1268, 5, I1268:I1268)-SUMIF(AC1268:AC1268, 6, I1268:I1268)</f>
        <v>42.02</v>
      </c>
      <c r="I1273" s="104"/>
      <c r="J1273" s="104">
        <f>K1264+K1265+K1267+K1269+K1270+K1271+SUM(K1268:K1268)-SUMIF(AC1268:AC1268, 5, K1268:K1268)-SUMIF(AC1268:AC1268, 6, K1268:K1268)</f>
        <v>782.7399999999999</v>
      </c>
      <c r="K1273" s="104"/>
    </row>
    <row r="1274" spans="1:29" ht="15" x14ac:dyDescent="0.25">
      <c r="C1274" s="22" t="s">
        <v>1604</v>
      </c>
      <c r="H1274" s="100">
        <f>SUMIF(AC1268:AC1268, 5, I1268:I1268)+SUMIF(AC1268:AC1268, 6, I1268:I1268)</f>
        <v>0</v>
      </c>
      <c r="I1274" s="100"/>
      <c r="J1274" s="100">
        <f>SUMIF(AC1268:AC1268, 5, K1268:K1268)+SUMIF(AC1268:AC1268, 6, K1268:K1268)</f>
        <v>0</v>
      </c>
      <c r="K1274" s="100"/>
    </row>
    <row r="1275" spans="1:29" ht="15" x14ac:dyDescent="0.25">
      <c r="C1275" s="22" t="s">
        <v>1605</v>
      </c>
      <c r="H1275" s="100">
        <f>I1264+I1265+I1267+I1269+I1270+I1271+SUM(I1268:I1268)</f>
        <v>42.02</v>
      </c>
      <c r="I1275" s="100"/>
      <c r="J1275" s="100">
        <f>K1264+K1265+K1267+K1269+K1270+K1271+SUM(K1268:K1268)</f>
        <v>782.7399999999999</v>
      </c>
      <c r="K1275" s="100"/>
      <c r="O1275" s="36">
        <f>I1264+I1265+I1267+I1269+I1270+I1271+SUM(I1268:I1268)</f>
        <v>42.02</v>
      </c>
      <c r="P1275" s="36">
        <f>K1264+K1265+K1267+K1269+K1270+K1271+SUM(K1268:K1268)</f>
        <v>782.7399999999999</v>
      </c>
    </row>
    <row r="1277" spans="1:29" ht="42.75" x14ac:dyDescent="0.2">
      <c r="A1277" s="27">
        <v>14</v>
      </c>
      <c r="B1277" s="27" t="str">
        <f>Source!F926</f>
        <v>4.8-243-1</v>
      </c>
      <c r="C1277" s="27" t="s">
        <v>802</v>
      </c>
      <c r="D1277" s="28" t="str">
        <f>Source!H926</f>
        <v>100 шт.</v>
      </c>
      <c r="E1277" s="12">
        <f>Source!I926</f>
        <v>0.02</v>
      </c>
      <c r="F1277" s="30"/>
      <c r="G1277" s="29"/>
      <c r="H1277" s="12"/>
      <c r="I1277" s="30"/>
      <c r="J1277" s="12"/>
      <c r="K1277" s="30"/>
      <c r="Q1277">
        <f>Source!X926</f>
        <v>10.11</v>
      </c>
      <c r="R1277">
        <f>Source!X927</f>
        <v>203.43</v>
      </c>
      <c r="S1277">
        <f>Source!Y926</f>
        <v>5.94</v>
      </c>
      <c r="T1277">
        <f>Source!Y927</f>
        <v>105.58</v>
      </c>
      <c r="U1277">
        <f>ROUND((175/100)*ROUND(Source!R926, 2), 2)</f>
        <v>0.04</v>
      </c>
      <c r="V1277">
        <f>ROUND((160/100)*ROUND(Source!R927, 2), 2)</f>
        <v>0.93</v>
      </c>
      <c r="AC1277">
        <v>0</v>
      </c>
    </row>
    <row r="1278" spans="1:29" ht="14.25" x14ac:dyDescent="0.2">
      <c r="A1278" s="27"/>
      <c r="B1278" s="27"/>
      <c r="C1278" s="27" t="s">
        <v>1597</v>
      </c>
      <c r="D1278" s="28"/>
      <c r="E1278" s="12"/>
      <c r="F1278" s="30">
        <f>Source!AO926</f>
        <v>443.3</v>
      </c>
      <c r="G1278" s="29" t="str">
        <f>Source!DG926</f>
        <v/>
      </c>
      <c r="H1278" s="12">
        <f>Source!AV927</f>
        <v>1</v>
      </c>
      <c r="I1278" s="30">
        <f>Source!S926</f>
        <v>8.8699999999999992</v>
      </c>
      <c r="J1278" s="12">
        <f>IF(Source!BA927&lt;&gt; 0, Source!BA927, 1)</f>
        <v>29.03</v>
      </c>
      <c r="K1278" s="30">
        <f>Source!S927</f>
        <v>257.5</v>
      </c>
    </row>
    <row r="1279" spans="1:29" ht="14.25" x14ac:dyDescent="0.2">
      <c r="A1279" s="27"/>
      <c r="B1279" s="27"/>
      <c r="C1279" s="27" t="s">
        <v>1609</v>
      </c>
      <c r="D1279" s="28"/>
      <c r="E1279" s="12"/>
      <c r="F1279" s="30">
        <f>Source!AM926</f>
        <v>15.57</v>
      </c>
      <c r="G1279" s="29" t="str">
        <f>Source!DE926</f>
        <v/>
      </c>
      <c r="H1279" s="12">
        <f>Source!AV927</f>
        <v>1</v>
      </c>
      <c r="I1279" s="30">
        <f>Source!Q926</f>
        <v>0.31</v>
      </c>
      <c r="J1279" s="12">
        <f>IF(Source!BB927&lt;&gt; 0, Source!BB927, 1)</f>
        <v>10.050000000000001</v>
      </c>
      <c r="K1279" s="30">
        <f>Source!Q927</f>
        <v>3.12</v>
      </c>
    </row>
    <row r="1280" spans="1:29" ht="14.25" x14ac:dyDescent="0.2">
      <c r="A1280" s="27"/>
      <c r="B1280" s="27"/>
      <c r="C1280" s="27" t="s">
        <v>1610</v>
      </c>
      <c r="D1280" s="28"/>
      <c r="E1280" s="12"/>
      <c r="F1280" s="30">
        <f>Source!AN926</f>
        <v>1.1399999999999999</v>
      </c>
      <c r="G1280" s="29" t="str">
        <f>Source!DF926</f>
        <v/>
      </c>
      <c r="H1280" s="12">
        <f>Source!AV927</f>
        <v>1</v>
      </c>
      <c r="I1280" s="38">
        <f>Source!R926</f>
        <v>0.02</v>
      </c>
      <c r="J1280" s="12">
        <f>IF(Source!BS927&lt;&gt; 0, Source!BS927, 1)</f>
        <v>29.03</v>
      </c>
      <c r="K1280" s="38">
        <f>Source!R927</f>
        <v>0.57999999999999996</v>
      </c>
    </row>
    <row r="1281" spans="1:29" ht="14.25" x14ac:dyDescent="0.2">
      <c r="A1281" s="27"/>
      <c r="B1281" s="27"/>
      <c r="C1281" s="27" t="s">
        <v>1611</v>
      </c>
      <c r="D1281" s="28"/>
      <c r="E1281" s="12"/>
      <c r="F1281" s="30">
        <f>Source!AL926</f>
        <v>26.25</v>
      </c>
      <c r="G1281" s="29" t="str">
        <f>Source!DD926</f>
        <v/>
      </c>
      <c r="H1281" s="12">
        <f>Source!AW927</f>
        <v>1</v>
      </c>
      <c r="I1281" s="30">
        <f>Source!P926</f>
        <v>0.53</v>
      </c>
      <c r="J1281" s="12">
        <f>IF(Source!BC927&lt;&gt; 0, Source!BC927, 1)</f>
        <v>3.38</v>
      </c>
      <c r="K1281" s="30">
        <f>Source!P927</f>
        <v>1.79</v>
      </c>
    </row>
    <row r="1282" spans="1:29" ht="57" x14ac:dyDescent="0.2">
      <c r="A1282" s="27" t="s">
        <v>235</v>
      </c>
      <c r="B1282" s="27" t="str">
        <f>Source!F928</f>
        <v>1.21-5-1060</v>
      </c>
      <c r="C1282" s="27" t="s">
        <v>805</v>
      </c>
      <c r="D1282" s="28" t="str">
        <f>Source!H928</f>
        <v>шт.</v>
      </c>
      <c r="E1282" s="12">
        <f>Source!I928</f>
        <v>2</v>
      </c>
      <c r="F1282" s="30">
        <f>Source!AK928</f>
        <v>31.42</v>
      </c>
      <c r="G1282" s="39" t="s">
        <v>3</v>
      </c>
      <c r="H1282" s="12">
        <f>Source!AW929</f>
        <v>1</v>
      </c>
      <c r="I1282" s="30">
        <f>Source!O928</f>
        <v>62.84</v>
      </c>
      <c r="J1282" s="12">
        <f>IF(Source!BC929&lt;&gt; 0, Source!BC929, 1)</f>
        <v>5.58</v>
      </c>
      <c r="K1282" s="30">
        <f>Source!O929</f>
        <v>350.65</v>
      </c>
      <c r="Q1282">
        <f>Source!X928</f>
        <v>0</v>
      </c>
      <c r="R1282">
        <f>Source!X929</f>
        <v>0</v>
      </c>
      <c r="S1282">
        <f>Source!Y928</f>
        <v>0</v>
      </c>
      <c r="T1282">
        <f>Source!Y929</f>
        <v>0</v>
      </c>
      <c r="U1282">
        <f>ROUND((175/100)*ROUND(Source!R928, 2), 2)</f>
        <v>0</v>
      </c>
      <c r="V1282">
        <f>ROUND((160/100)*ROUND(Source!R929, 2), 2)</f>
        <v>0</v>
      </c>
      <c r="AC1282">
        <v>3</v>
      </c>
    </row>
    <row r="1283" spans="1:29" ht="14.25" x14ac:dyDescent="0.2">
      <c r="A1283" s="27"/>
      <c r="B1283" s="27"/>
      <c r="C1283" s="27" t="s">
        <v>1598</v>
      </c>
      <c r="D1283" s="28" t="s">
        <v>1599</v>
      </c>
      <c r="E1283" s="12">
        <f>Source!DN927</f>
        <v>114</v>
      </c>
      <c r="F1283" s="30"/>
      <c r="G1283" s="29"/>
      <c r="H1283" s="12"/>
      <c r="I1283" s="30">
        <f>SUM(Q1277:Q1282)</f>
        <v>10.11</v>
      </c>
      <c r="J1283" s="12">
        <f>Source!BZ927</f>
        <v>79</v>
      </c>
      <c r="K1283" s="30">
        <f>SUM(R1277:R1282)</f>
        <v>203.43</v>
      </c>
    </row>
    <row r="1284" spans="1:29" ht="14.25" x14ac:dyDescent="0.2">
      <c r="A1284" s="27"/>
      <c r="B1284" s="27"/>
      <c r="C1284" s="27" t="s">
        <v>1600</v>
      </c>
      <c r="D1284" s="28" t="s">
        <v>1599</v>
      </c>
      <c r="E1284" s="12">
        <f>Source!DO927</f>
        <v>67</v>
      </c>
      <c r="F1284" s="30"/>
      <c r="G1284" s="29"/>
      <c r="H1284" s="12"/>
      <c r="I1284" s="30">
        <f>SUM(S1277:S1283)</f>
        <v>5.94</v>
      </c>
      <c r="J1284" s="12">
        <f>Source!CA927</f>
        <v>41</v>
      </c>
      <c r="K1284" s="30">
        <f>SUM(T1277:T1283)</f>
        <v>105.58</v>
      </c>
    </row>
    <row r="1285" spans="1:29" ht="14.25" x14ac:dyDescent="0.2">
      <c r="A1285" s="27"/>
      <c r="B1285" s="27"/>
      <c r="C1285" s="27" t="s">
        <v>1612</v>
      </c>
      <c r="D1285" s="28" t="s">
        <v>1599</v>
      </c>
      <c r="E1285" s="12">
        <f>175</f>
        <v>175</v>
      </c>
      <c r="F1285" s="30"/>
      <c r="G1285" s="29"/>
      <c r="H1285" s="12"/>
      <c r="I1285" s="30">
        <f>SUM(U1277:U1284)</f>
        <v>0.04</v>
      </c>
      <c r="J1285" s="12">
        <f>160</f>
        <v>160</v>
      </c>
      <c r="K1285" s="30">
        <f>SUM(V1277:V1284)</f>
        <v>0.93</v>
      </c>
    </row>
    <row r="1286" spans="1:29" ht="14.25" x14ac:dyDescent="0.2">
      <c r="A1286" s="31"/>
      <c r="B1286" s="31"/>
      <c r="C1286" s="31" t="s">
        <v>1601</v>
      </c>
      <c r="D1286" s="32" t="s">
        <v>1602</v>
      </c>
      <c r="E1286" s="33">
        <f>Source!AQ926</f>
        <v>34.1</v>
      </c>
      <c r="F1286" s="34"/>
      <c r="G1286" s="35" t="str">
        <f>Source!DI926</f>
        <v/>
      </c>
      <c r="H1286" s="33">
        <f>Source!AV927</f>
        <v>1</v>
      </c>
      <c r="I1286" s="34">
        <f>Source!U926</f>
        <v>0.68200000000000005</v>
      </c>
      <c r="J1286" s="33"/>
      <c r="K1286" s="34"/>
    </row>
    <row r="1287" spans="1:29" ht="15" x14ac:dyDescent="0.25">
      <c r="C1287" s="22" t="s">
        <v>1603</v>
      </c>
      <c r="H1287" s="104">
        <f>I1278+I1279+I1281+I1283+I1284+I1285+SUM(I1282:I1282)-SUMIF(AC1282:AC1282, 5, I1282:I1282)-SUMIF(AC1282:AC1282, 6, I1282:I1282)</f>
        <v>88.64</v>
      </c>
      <c r="I1287" s="104"/>
      <c r="J1287" s="104">
        <f>K1278+K1279+K1281+K1283+K1284+K1285+SUM(K1282:K1282)-SUMIF(AC1282:AC1282, 5, K1282:K1282)-SUMIF(AC1282:AC1282, 6, K1282:K1282)</f>
        <v>923</v>
      </c>
      <c r="K1287" s="104"/>
    </row>
    <row r="1288" spans="1:29" ht="15" x14ac:dyDescent="0.25">
      <c r="C1288" s="22" t="s">
        <v>1604</v>
      </c>
      <c r="H1288" s="100">
        <f>SUMIF(AC1282:AC1282, 5, I1282:I1282)+SUMIF(AC1282:AC1282, 6, I1282:I1282)</f>
        <v>0</v>
      </c>
      <c r="I1288" s="100"/>
      <c r="J1288" s="100">
        <f>SUMIF(AC1282:AC1282, 5, K1282:K1282)+SUMIF(AC1282:AC1282, 6, K1282:K1282)</f>
        <v>0</v>
      </c>
      <c r="K1288" s="100"/>
    </row>
    <row r="1289" spans="1:29" ht="15" x14ac:dyDescent="0.25">
      <c r="C1289" s="22" t="s">
        <v>1605</v>
      </c>
      <c r="H1289" s="100">
        <f>I1278+I1279+I1281+I1283+I1284+I1285+SUM(I1282:I1282)</f>
        <v>88.64</v>
      </c>
      <c r="I1289" s="100"/>
      <c r="J1289" s="100">
        <f>K1278+K1279+K1281+K1283+K1284+K1285+SUM(K1282:K1282)</f>
        <v>923</v>
      </c>
      <c r="K1289" s="100"/>
      <c r="O1289" s="36">
        <f>I1278+I1279+I1281+I1283+I1284+I1285+SUM(I1282:I1282)</f>
        <v>88.64</v>
      </c>
      <c r="P1289" s="36">
        <f>K1278+K1279+K1281+K1283+K1284+K1285+SUM(K1282:K1282)</f>
        <v>923</v>
      </c>
    </row>
    <row r="1292" spans="1:29" ht="15" x14ac:dyDescent="0.25">
      <c r="A1292" s="102" t="str">
        <f>CONCATENATE("Итого по разделу: ",IF(Source!G931&lt;&gt;"Новый раздел", Source!G931, ""))</f>
        <v>Итого по разделу: Монтажные работы</v>
      </c>
      <c r="B1292" s="102"/>
      <c r="C1292" s="102"/>
      <c r="D1292" s="102"/>
      <c r="E1292" s="102"/>
      <c r="F1292" s="102"/>
      <c r="G1292" s="102"/>
      <c r="H1292" s="100">
        <f>SUM(O1118:O1291)</f>
        <v>10625.499999999996</v>
      </c>
      <c r="I1292" s="101"/>
      <c r="J1292" s="100">
        <f>SUM(P1118:P1291)</f>
        <v>114556.99</v>
      </c>
      <c r="K1292" s="101"/>
    </row>
    <row r="1293" spans="1:29" hidden="1" x14ac:dyDescent="0.2">
      <c r="A1293" t="s">
        <v>1606</v>
      </c>
      <c r="I1293">
        <f>SUM(W1118:W1292)</f>
        <v>0</v>
      </c>
      <c r="J1293">
        <f>SUM(X1118:X1292)</f>
        <v>0</v>
      </c>
    </row>
    <row r="1294" spans="1:29" hidden="1" x14ac:dyDescent="0.2">
      <c r="A1294" t="s">
        <v>1607</v>
      </c>
      <c r="I1294">
        <f>SUM(Y1118:Y1293)</f>
        <v>0</v>
      </c>
      <c r="J1294">
        <f>SUM(Z1118:Z1293)</f>
        <v>0</v>
      </c>
    </row>
    <row r="1296" spans="1:29" ht="15" x14ac:dyDescent="0.25">
      <c r="A1296" s="102" t="str">
        <f>CONCATENATE("Итого по локальной смете: ",IF(Source!G961&lt;&gt;"Новая локальная смета", Source!G961, ""))</f>
        <v>Итого по локальной смете: Система электроснабжения</v>
      </c>
      <c r="B1296" s="102"/>
      <c r="C1296" s="102"/>
      <c r="D1296" s="102"/>
      <c r="E1296" s="102"/>
      <c r="F1296" s="102"/>
      <c r="G1296" s="102"/>
      <c r="H1296" s="100">
        <f>SUM(O1092:O1295)</f>
        <v>10707.119999999999</v>
      </c>
      <c r="I1296" s="101"/>
      <c r="J1296" s="100">
        <f>SUM(P1092:P1295)</f>
        <v>116684.33000000002</v>
      </c>
      <c r="K1296" s="101"/>
    </row>
    <row r="1297" spans="1:29" hidden="1" x14ac:dyDescent="0.2">
      <c r="A1297" t="s">
        <v>1606</v>
      </c>
      <c r="I1297">
        <f>SUM(W1092:W1296)</f>
        <v>0</v>
      </c>
      <c r="J1297">
        <f>SUM(X1092:X1296)</f>
        <v>0</v>
      </c>
    </row>
    <row r="1298" spans="1:29" hidden="1" x14ac:dyDescent="0.2">
      <c r="A1298" t="s">
        <v>1607</v>
      </c>
      <c r="I1298">
        <f>SUM(Y1092:Y1297)</f>
        <v>0</v>
      </c>
      <c r="J1298">
        <f>SUM(Z1092:Z1297)</f>
        <v>0</v>
      </c>
    </row>
    <row r="1300" spans="1:29" ht="16.5" x14ac:dyDescent="0.25">
      <c r="A1300" s="103" t="str">
        <f>CONCATENATE("Локальная смета: ",IF(Source!G991&lt;&gt;"Новая локальная смета", Source!G991, ""))</f>
        <v>Локальная смета: Система водоснабжения и водоотведения</v>
      </c>
      <c r="B1300" s="103"/>
      <c r="C1300" s="103"/>
      <c r="D1300" s="103"/>
      <c r="E1300" s="103"/>
      <c r="F1300" s="103"/>
      <c r="G1300" s="103"/>
      <c r="H1300" s="103"/>
      <c r="I1300" s="103"/>
      <c r="J1300" s="103"/>
      <c r="K1300" s="103"/>
    </row>
    <row r="1302" spans="1:29" ht="16.5" x14ac:dyDescent="0.25">
      <c r="A1302" s="103" t="str">
        <f>CONCATENATE("Раздел: ",IF(Source!G995&lt;&gt;"Новый раздел", Source!G995, ""))</f>
        <v>Раздел: Демонтажные работы</v>
      </c>
      <c r="B1302" s="103"/>
      <c r="C1302" s="103"/>
      <c r="D1302" s="103"/>
      <c r="E1302" s="103"/>
      <c r="F1302" s="103"/>
      <c r="G1302" s="103"/>
      <c r="H1302" s="103"/>
      <c r="I1302" s="103"/>
      <c r="J1302" s="103"/>
      <c r="K1302" s="103"/>
    </row>
    <row r="1303" spans="1:29" ht="28.5" x14ac:dyDescent="0.2">
      <c r="A1303" s="27">
        <v>1</v>
      </c>
      <c r="B1303" s="27" t="str">
        <f>Source!F999</f>
        <v>6.65-4-1</v>
      </c>
      <c r="C1303" s="27" t="s">
        <v>810</v>
      </c>
      <c r="D1303" s="28" t="str">
        <f>Source!H999</f>
        <v>100 компл.</v>
      </c>
      <c r="E1303" s="12">
        <f>Source!I999</f>
        <v>0.01</v>
      </c>
      <c r="F1303" s="30"/>
      <c r="G1303" s="29"/>
      <c r="H1303" s="12"/>
      <c r="I1303" s="30"/>
      <c r="J1303" s="12"/>
      <c r="K1303" s="30"/>
      <c r="Q1303">
        <f>Source!X999</f>
        <v>5.58</v>
      </c>
      <c r="R1303">
        <f>Source!X1000</f>
        <v>141.63999999999999</v>
      </c>
      <c r="S1303">
        <f>Source!Y999</f>
        <v>3.83</v>
      </c>
      <c r="T1303">
        <f>Source!Y1000</f>
        <v>82.96</v>
      </c>
      <c r="U1303">
        <f>ROUND((175/100)*ROUND(Source!R999, 2), 2)</f>
        <v>0</v>
      </c>
      <c r="V1303">
        <f>ROUND((160/100)*ROUND(Source!R1000, 2), 2)</f>
        <v>0</v>
      </c>
      <c r="AC1303">
        <v>0</v>
      </c>
    </row>
    <row r="1304" spans="1:29" ht="14.25" x14ac:dyDescent="0.2">
      <c r="A1304" s="27"/>
      <c r="B1304" s="27"/>
      <c r="C1304" s="27" t="s">
        <v>1597</v>
      </c>
      <c r="D1304" s="28"/>
      <c r="E1304" s="12"/>
      <c r="F1304" s="30">
        <f>Source!AO999</f>
        <v>697.38</v>
      </c>
      <c r="G1304" s="29" t="str">
        <f>Source!DG999</f>
        <v/>
      </c>
      <c r="H1304" s="12">
        <f>Source!AV1000</f>
        <v>1</v>
      </c>
      <c r="I1304" s="30">
        <f>Source!S999</f>
        <v>6.97</v>
      </c>
      <c r="J1304" s="12">
        <f>IF(Source!BA1000&lt;&gt; 0, Source!BA1000, 1)</f>
        <v>29.03</v>
      </c>
      <c r="K1304" s="30">
        <f>Source!S1000</f>
        <v>202.34</v>
      </c>
    </row>
    <row r="1305" spans="1:29" ht="14.25" x14ac:dyDescent="0.2">
      <c r="A1305" s="27"/>
      <c r="B1305" s="27"/>
      <c r="C1305" s="27" t="s">
        <v>1598</v>
      </c>
      <c r="D1305" s="28" t="s">
        <v>1599</v>
      </c>
      <c r="E1305" s="12">
        <f>Source!DN1000</f>
        <v>80</v>
      </c>
      <c r="F1305" s="30"/>
      <c r="G1305" s="29"/>
      <c r="H1305" s="12"/>
      <c r="I1305" s="30">
        <f>SUM(Q1303:Q1304)</f>
        <v>5.58</v>
      </c>
      <c r="J1305" s="12">
        <f>Source!BZ1000</f>
        <v>70</v>
      </c>
      <c r="K1305" s="30">
        <f>SUM(R1303:R1304)</f>
        <v>141.63999999999999</v>
      </c>
    </row>
    <row r="1306" spans="1:29" ht="14.25" x14ac:dyDescent="0.2">
      <c r="A1306" s="27"/>
      <c r="B1306" s="27"/>
      <c r="C1306" s="27" t="s">
        <v>1600</v>
      </c>
      <c r="D1306" s="28" t="s">
        <v>1599</v>
      </c>
      <c r="E1306" s="12">
        <f>Source!DO1000</f>
        <v>55</v>
      </c>
      <c r="F1306" s="30"/>
      <c r="G1306" s="29"/>
      <c r="H1306" s="12"/>
      <c r="I1306" s="30">
        <f>SUM(S1303:S1305)</f>
        <v>3.83</v>
      </c>
      <c r="J1306" s="12">
        <f>Source!CA1000</f>
        <v>41</v>
      </c>
      <c r="K1306" s="30">
        <f>SUM(T1303:T1305)</f>
        <v>82.96</v>
      </c>
    </row>
    <row r="1307" spans="1:29" ht="14.25" x14ac:dyDescent="0.2">
      <c r="A1307" s="31"/>
      <c r="B1307" s="31"/>
      <c r="C1307" s="31" t="s">
        <v>1601</v>
      </c>
      <c r="D1307" s="32" t="s">
        <v>1602</v>
      </c>
      <c r="E1307" s="33">
        <f>Source!AQ999</f>
        <v>60.8</v>
      </c>
      <c r="F1307" s="34"/>
      <c r="G1307" s="35" t="str">
        <f>Source!DI999</f>
        <v/>
      </c>
      <c r="H1307" s="33">
        <f>Source!AV1000</f>
        <v>1</v>
      </c>
      <c r="I1307" s="34">
        <f>Source!U999</f>
        <v>0.60799999999999998</v>
      </c>
      <c r="J1307" s="33"/>
      <c r="K1307" s="34"/>
    </row>
    <row r="1308" spans="1:29" ht="15" x14ac:dyDescent="0.25">
      <c r="C1308" s="22" t="s">
        <v>1603</v>
      </c>
      <c r="H1308" s="104">
        <f>I1304+I1305+I1306+0-0-0</f>
        <v>16.380000000000003</v>
      </c>
      <c r="I1308" s="104"/>
      <c r="J1308" s="104">
        <f>K1304+K1305+K1306+0-0-0</f>
        <v>426.94</v>
      </c>
      <c r="K1308" s="104"/>
    </row>
    <row r="1309" spans="1:29" ht="15" x14ac:dyDescent="0.25">
      <c r="C1309" s="22" t="s">
        <v>1604</v>
      </c>
      <c r="H1309" s="100">
        <f>0+0</f>
        <v>0</v>
      </c>
      <c r="I1309" s="100"/>
      <c r="J1309" s="100">
        <f>0+0</f>
        <v>0</v>
      </c>
      <c r="K1309" s="100"/>
    </row>
    <row r="1310" spans="1:29" ht="15" x14ac:dyDescent="0.25">
      <c r="C1310" s="22" t="s">
        <v>1605</v>
      </c>
      <c r="H1310" s="100">
        <f>I1304+I1305+I1306+0</f>
        <v>16.380000000000003</v>
      </c>
      <c r="I1310" s="100"/>
      <c r="J1310" s="100">
        <f>K1304+K1305+K1306+0</f>
        <v>426.94</v>
      </c>
      <c r="K1310" s="100"/>
      <c r="O1310" s="36">
        <f>I1304+I1305+I1306+0</f>
        <v>16.380000000000003</v>
      </c>
      <c r="P1310" s="36">
        <f>K1304+K1305+K1306+0</f>
        <v>426.94</v>
      </c>
    </row>
    <row r="1312" spans="1:29" ht="42.75" x14ac:dyDescent="0.2">
      <c r="A1312" s="27">
        <v>2</v>
      </c>
      <c r="B1312" s="27" t="str">
        <f>Source!F1001</f>
        <v>6.65-4-3</v>
      </c>
      <c r="C1312" s="27" t="s">
        <v>816</v>
      </c>
      <c r="D1312" s="28" t="str">
        <f>Source!H1001</f>
        <v>100 компл.</v>
      </c>
      <c r="E1312" s="12">
        <f>Source!I1001</f>
        <v>0.01</v>
      </c>
      <c r="F1312" s="30"/>
      <c r="G1312" s="29"/>
      <c r="H1312" s="12"/>
      <c r="I1312" s="30"/>
      <c r="J1312" s="12"/>
      <c r="K1312" s="30"/>
      <c r="Q1312">
        <f>Source!X1001</f>
        <v>13.46</v>
      </c>
      <c r="R1312">
        <f>Source!X1002</f>
        <v>341.8</v>
      </c>
      <c r="S1312">
        <f>Source!Y1001</f>
        <v>9.25</v>
      </c>
      <c r="T1312">
        <f>Source!Y1002</f>
        <v>200.19</v>
      </c>
      <c r="U1312">
        <f>ROUND((175/100)*ROUND(Source!R1001, 2), 2)</f>
        <v>0</v>
      </c>
      <c r="V1312">
        <f>ROUND((160/100)*ROUND(Source!R1002, 2), 2)</f>
        <v>0</v>
      </c>
      <c r="AC1312">
        <v>0</v>
      </c>
    </row>
    <row r="1313" spans="1:29" ht="14.25" x14ac:dyDescent="0.2">
      <c r="A1313" s="27"/>
      <c r="B1313" s="27"/>
      <c r="C1313" s="27" t="s">
        <v>1597</v>
      </c>
      <c r="D1313" s="28"/>
      <c r="E1313" s="12"/>
      <c r="F1313" s="30">
        <f>Source!AO1001</f>
        <v>1681.68</v>
      </c>
      <c r="G1313" s="29" t="str">
        <f>Source!DG1001</f>
        <v/>
      </c>
      <c r="H1313" s="12">
        <f>Source!AV1002</f>
        <v>1</v>
      </c>
      <c r="I1313" s="30">
        <f>Source!S1001</f>
        <v>16.82</v>
      </c>
      <c r="J1313" s="12">
        <f>IF(Source!BA1002&lt;&gt; 0, Source!BA1002, 1)</f>
        <v>29.03</v>
      </c>
      <c r="K1313" s="30">
        <f>Source!S1002</f>
        <v>488.28</v>
      </c>
    </row>
    <row r="1314" spans="1:29" ht="14.25" x14ac:dyDescent="0.2">
      <c r="A1314" s="27"/>
      <c r="B1314" s="27"/>
      <c r="C1314" s="27" t="s">
        <v>1598</v>
      </c>
      <c r="D1314" s="28" t="s">
        <v>1599</v>
      </c>
      <c r="E1314" s="12">
        <f>Source!DN1002</f>
        <v>80</v>
      </c>
      <c r="F1314" s="30"/>
      <c r="G1314" s="29"/>
      <c r="H1314" s="12"/>
      <c r="I1314" s="30">
        <f>SUM(Q1312:Q1313)</f>
        <v>13.46</v>
      </c>
      <c r="J1314" s="12">
        <f>Source!BZ1002</f>
        <v>70</v>
      </c>
      <c r="K1314" s="30">
        <f>SUM(R1312:R1313)</f>
        <v>341.8</v>
      </c>
    </row>
    <row r="1315" spans="1:29" ht="14.25" x14ac:dyDescent="0.2">
      <c r="A1315" s="27"/>
      <c r="B1315" s="27"/>
      <c r="C1315" s="27" t="s">
        <v>1600</v>
      </c>
      <c r="D1315" s="28" t="s">
        <v>1599</v>
      </c>
      <c r="E1315" s="12">
        <f>Source!DO1002</f>
        <v>55</v>
      </c>
      <c r="F1315" s="30"/>
      <c r="G1315" s="29"/>
      <c r="H1315" s="12"/>
      <c r="I1315" s="30">
        <f>SUM(S1312:S1314)</f>
        <v>9.25</v>
      </c>
      <c r="J1315" s="12">
        <f>Source!CA1002</f>
        <v>41</v>
      </c>
      <c r="K1315" s="30">
        <f>SUM(T1312:T1314)</f>
        <v>200.19</v>
      </c>
    </row>
    <row r="1316" spans="1:29" ht="14.25" x14ac:dyDescent="0.2">
      <c r="A1316" s="31"/>
      <c r="B1316" s="31"/>
      <c r="C1316" s="31" t="s">
        <v>1601</v>
      </c>
      <c r="D1316" s="32" t="s">
        <v>1602</v>
      </c>
      <c r="E1316" s="33">
        <f>Source!AQ1001</f>
        <v>143</v>
      </c>
      <c r="F1316" s="34"/>
      <c r="G1316" s="35" t="str">
        <f>Source!DI1001</f>
        <v/>
      </c>
      <c r="H1316" s="33">
        <f>Source!AV1002</f>
        <v>1</v>
      </c>
      <c r="I1316" s="34">
        <f>Source!U1001</f>
        <v>1.43</v>
      </c>
      <c r="J1316" s="33"/>
      <c r="K1316" s="34"/>
    </row>
    <row r="1317" spans="1:29" ht="15" x14ac:dyDescent="0.25">
      <c r="C1317" s="22" t="s">
        <v>1603</v>
      </c>
      <c r="H1317" s="104">
        <f>I1313+I1314+I1315+0-0-0</f>
        <v>39.53</v>
      </c>
      <c r="I1317" s="104"/>
      <c r="J1317" s="104">
        <f>K1313+K1314+K1315+0-0-0</f>
        <v>1030.27</v>
      </c>
      <c r="K1317" s="104"/>
    </row>
    <row r="1318" spans="1:29" ht="15" x14ac:dyDescent="0.25">
      <c r="C1318" s="22" t="s">
        <v>1604</v>
      </c>
      <c r="H1318" s="100">
        <f>0+0</f>
        <v>0</v>
      </c>
      <c r="I1318" s="100"/>
      <c r="J1318" s="100">
        <f>0+0</f>
        <v>0</v>
      </c>
      <c r="K1318" s="100"/>
    </row>
    <row r="1319" spans="1:29" ht="15" x14ac:dyDescent="0.25">
      <c r="C1319" s="22" t="s">
        <v>1605</v>
      </c>
      <c r="H1319" s="100">
        <f>I1313+I1314+I1315+0</f>
        <v>39.53</v>
      </c>
      <c r="I1319" s="100"/>
      <c r="J1319" s="100">
        <f>K1313+K1314+K1315+0</f>
        <v>1030.27</v>
      </c>
      <c r="K1319" s="100"/>
      <c r="O1319" s="36">
        <f>I1313+I1314+I1315+0</f>
        <v>39.53</v>
      </c>
      <c r="P1319" s="36">
        <f>K1313+K1314+K1315+0</f>
        <v>1030.27</v>
      </c>
    </row>
    <row r="1321" spans="1:29" ht="52.5" x14ac:dyDescent="0.2">
      <c r="A1321" s="27">
        <v>3</v>
      </c>
      <c r="B1321" s="27" t="s">
        <v>1677</v>
      </c>
      <c r="C1321" s="27" t="s">
        <v>819</v>
      </c>
      <c r="D1321" s="28" t="str">
        <f>Source!H1003</f>
        <v>100 м трубопроводов</v>
      </c>
      <c r="E1321" s="12">
        <f>Source!I1003</f>
        <v>0.1</v>
      </c>
      <c r="F1321" s="30"/>
      <c r="G1321" s="29"/>
      <c r="H1321" s="12"/>
      <c r="I1321" s="30"/>
      <c r="J1321" s="12"/>
      <c r="K1321" s="30"/>
      <c r="Q1321">
        <f>Source!X1003</f>
        <v>136.6</v>
      </c>
      <c r="R1321">
        <f>Source!X1004</f>
        <v>3244.46</v>
      </c>
      <c r="S1321">
        <f>Source!Y1003</f>
        <v>91.89</v>
      </c>
      <c r="T1321">
        <f>Source!Y1004</f>
        <v>1478.03</v>
      </c>
      <c r="U1321">
        <f>ROUND((175/100)*ROUND(Source!R1003, 2), 2)</f>
        <v>0.37</v>
      </c>
      <c r="V1321">
        <f>ROUND((160/100)*ROUND(Source!R1004, 2), 2)</f>
        <v>9.76</v>
      </c>
      <c r="AC1321">
        <v>0</v>
      </c>
    </row>
    <row r="1322" spans="1:29" ht="14.25" x14ac:dyDescent="0.2">
      <c r="A1322" s="27"/>
      <c r="B1322" s="27"/>
      <c r="C1322" s="27" t="s">
        <v>1597</v>
      </c>
      <c r="D1322" s="28"/>
      <c r="E1322" s="12"/>
      <c r="F1322" s="30">
        <f>Source!AO1003</f>
        <v>2069.6799999999998</v>
      </c>
      <c r="G1322" s="29" t="str">
        <f>Source!DG1003</f>
        <v>)*0,6</v>
      </c>
      <c r="H1322" s="12">
        <f>Source!AV1004</f>
        <v>1</v>
      </c>
      <c r="I1322" s="30">
        <f>Source!S1003</f>
        <v>124.18</v>
      </c>
      <c r="J1322" s="12">
        <f>IF(Source!BA1004&lt;&gt; 0, Source!BA1004, 1)</f>
        <v>29.03</v>
      </c>
      <c r="K1322" s="30">
        <f>Source!S1004</f>
        <v>3604.95</v>
      </c>
    </row>
    <row r="1323" spans="1:29" ht="14.25" x14ac:dyDescent="0.2">
      <c r="A1323" s="27"/>
      <c r="B1323" s="27"/>
      <c r="C1323" s="27" t="s">
        <v>1609</v>
      </c>
      <c r="D1323" s="28"/>
      <c r="E1323" s="12"/>
      <c r="F1323" s="30">
        <f>Source!AM1003</f>
        <v>37.32</v>
      </c>
      <c r="G1323" s="29" t="str">
        <f>Source!DE1003</f>
        <v>)*0,6</v>
      </c>
      <c r="H1323" s="12">
        <f>Source!AV1004</f>
        <v>1</v>
      </c>
      <c r="I1323" s="30">
        <f>Source!Q1003</f>
        <v>2.2400000000000002</v>
      </c>
      <c r="J1323" s="12">
        <f>IF(Source!BB1004&lt;&gt; 0, Source!BB1004, 1)</f>
        <v>10.48</v>
      </c>
      <c r="K1323" s="30">
        <f>Source!Q1004</f>
        <v>23.48</v>
      </c>
    </row>
    <row r="1324" spans="1:29" ht="14.25" x14ac:dyDescent="0.2">
      <c r="A1324" s="27"/>
      <c r="B1324" s="27"/>
      <c r="C1324" s="27" t="s">
        <v>1610</v>
      </c>
      <c r="D1324" s="28"/>
      <c r="E1324" s="12"/>
      <c r="F1324" s="30">
        <f>Source!AN1003</f>
        <v>3.52</v>
      </c>
      <c r="G1324" s="29" t="str">
        <f>Source!DF1003</f>
        <v>)*0,6</v>
      </c>
      <c r="H1324" s="12">
        <f>Source!AV1004</f>
        <v>1</v>
      </c>
      <c r="I1324" s="38">
        <f>Source!R1003</f>
        <v>0.21</v>
      </c>
      <c r="J1324" s="12">
        <f>IF(Source!BS1004&lt;&gt; 0, Source!BS1004, 1)</f>
        <v>29.03</v>
      </c>
      <c r="K1324" s="38">
        <f>Source!R1004</f>
        <v>6.1</v>
      </c>
    </row>
    <row r="1325" spans="1:29" ht="14.25" x14ac:dyDescent="0.2">
      <c r="A1325" s="27"/>
      <c r="B1325" s="27"/>
      <c r="C1325" s="27" t="s">
        <v>1598</v>
      </c>
      <c r="D1325" s="28" t="s">
        <v>1599</v>
      </c>
      <c r="E1325" s="12">
        <f>Source!DN1004</f>
        <v>110</v>
      </c>
      <c r="F1325" s="30"/>
      <c r="G1325" s="29"/>
      <c r="H1325" s="12"/>
      <c r="I1325" s="30">
        <f>SUM(Q1321:Q1324)</f>
        <v>136.6</v>
      </c>
      <c r="J1325" s="12">
        <f>Source!BZ1004</f>
        <v>90</v>
      </c>
      <c r="K1325" s="30">
        <f>SUM(R1321:R1324)</f>
        <v>3244.46</v>
      </c>
    </row>
    <row r="1326" spans="1:29" ht="14.25" x14ac:dyDescent="0.2">
      <c r="A1326" s="27"/>
      <c r="B1326" s="27"/>
      <c r="C1326" s="27" t="s">
        <v>1600</v>
      </c>
      <c r="D1326" s="28" t="s">
        <v>1599</v>
      </c>
      <c r="E1326" s="12">
        <f>Source!DO1004</f>
        <v>74</v>
      </c>
      <c r="F1326" s="30"/>
      <c r="G1326" s="29"/>
      <c r="H1326" s="12"/>
      <c r="I1326" s="30">
        <f>SUM(S1321:S1325)</f>
        <v>91.89</v>
      </c>
      <c r="J1326" s="12">
        <f>Source!CA1004</f>
        <v>41</v>
      </c>
      <c r="K1326" s="30">
        <f>SUM(T1321:T1325)</f>
        <v>1478.03</v>
      </c>
    </row>
    <row r="1327" spans="1:29" ht="14.25" x14ac:dyDescent="0.2">
      <c r="A1327" s="27"/>
      <c r="B1327" s="27"/>
      <c r="C1327" s="27" t="s">
        <v>1612</v>
      </c>
      <c r="D1327" s="28" t="s">
        <v>1599</v>
      </c>
      <c r="E1327" s="12">
        <f>175</f>
        <v>175</v>
      </c>
      <c r="F1327" s="30"/>
      <c r="G1327" s="29"/>
      <c r="H1327" s="12"/>
      <c r="I1327" s="30">
        <f>SUM(U1321:U1326)</f>
        <v>0.37</v>
      </c>
      <c r="J1327" s="12">
        <f>160</f>
        <v>160</v>
      </c>
      <c r="K1327" s="30">
        <f>SUM(V1321:V1326)</f>
        <v>9.76</v>
      </c>
    </row>
    <row r="1328" spans="1:29" ht="14.25" x14ac:dyDescent="0.2">
      <c r="A1328" s="31"/>
      <c r="B1328" s="31"/>
      <c r="C1328" s="31" t="s">
        <v>1601</v>
      </c>
      <c r="D1328" s="32" t="s">
        <v>1602</v>
      </c>
      <c r="E1328" s="33">
        <f>Source!AQ1003</f>
        <v>164</v>
      </c>
      <c r="F1328" s="34"/>
      <c r="G1328" s="35" t="str">
        <f>Source!DI1003</f>
        <v>)*0,6</v>
      </c>
      <c r="H1328" s="33">
        <f>Source!AV1004</f>
        <v>1</v>
      </c>
      <c r="I1328" s="34">
        <f>Source!U1003</f>
        <v>9.84</v>
      </c>
      <c r="J1328" s="33"/>
      <c r="K1328" s="34"/>
    </row>
    <row r="1329" spans="1:29" ht="15" x14ac:dyDescent="0.25">
      <c r="C1329" s="22" t="s">
        <v>1603</v>
      </c>
      <c r="H1329" s="104">
        <f>I1322+I1323+I1325+I1326+I1327+0-0-0</f>
        <v>355.28</v>
      </c>
      <c r="I1329" s="104"/>
      <c r="J1329" s="104">
        <f>K1322+K1323+K1325+K1326+K1327+0-0-0</f>
        <v>8360.68</v>
      </c>
      <c r="K1329" s="104"/>
    </row>
    <row r="1330" spans="1:29" ht="15" x14ac:dyDescent="0.25">
      <c r="C1330" s="22" t="s">
        <v>1604</v>
      </c>
      <c r="H1330" s="100">
        <f>0+0</f>
        <v>0</v>
      </c>
      <c r="I1330" s="100"/>
      <c r="J1330" s="100">
        <f>0+0</f>
        <v>0</v>
      </c>
      <c r="K1330" s="100"/>
    </row>
    <row r="1331" spans="1:29" ht="15" x14ac:dyDescent="0.25">
      <c r="C1331" s="22" t="s">
        <v>1605</v>
      </c>
      <c r="H1331" s="100">
        <f>I1322+I1323+I1325+I1326+I1327+0</f>
        <v>355.28</v>
      </c>
      <c r="I1331" s="100"/>
      <c r="J1331" s="100">
        <f>K1322+K1323+K1325+K1326+K1327+0</f>
        <v>8360.68</v>
      </c>
      <c r="K1331" s="100"/>
      <c r="O1331" s="36">
        <f>I1322+I1323+I1325+I1326+I1327+0</f>
        <v>355.28</v>
      </c>
      <c r="P1331" s="36">
        <f>K1322+K1323+K1325+K1326+K1327+0</f>
        <v>8360.68</v>
      </c>
    </row>
    <row r="1333" spans="1:29" ht="52.5" x14ac:dyDescent="0.2">
      <c r="A1333" s="27">
        <v>4</v>
      </c>
      <c r="B1333" s="27" t="s">
        <v>1678</v>
      </c>
      <c r="C1333" s="27" t="s">
        <v>828</v>
      </c>
      <c r="D1333" s="28" t="str">
        <f>Source!H1005</f>
        <v>100 м</v>
      </c>
      <c r="E1333" s="12">
        <f>Source!I1005</f>
        <v>0.08</v>
      </c>
      <c r="F1333" s="30"/>
      <c r="G1333" s="29"/>
      <c r="H1333" s="12"/>
      <c r="I1333" s="30"/>
      <c r="J1333" s="12"/>
      <c r="K1333" s="30"/>
      <c r="Q1333">
        <f>Source!X1005</f>
        <v>37.85</v>
      </c>
      <c r="R1333">
        <f>Source!X1006</f>
        <v>899.03</v>
      </c>
      <c r="S1333">
        <f>Source!Y1005</f>
        <v>25.46</v>
      </c>
      <c r="T1333">
        <f>Source!Y1006</f>
        <v>409.56</v>
      </c>
      <c r="U1333">
        <f>ROUND((175/100)*ROUND(Source!R1005, 2), 2)</f>
        <v>0.35</v>
      </c>
      <c r="V1333">
        <f>ROUND((160/100)*ROUND(Source!R1006, 2), 2)</f>
        <v>9.3000000000000007</v>
      </c>
      <c r="AC1333">
        <v>0</v>
      </c>
    </row>
    <row r="1334" spans="1:29" ht="14.25" x14ac:dyDescent="0.2">
      <c r="A1334" s="27"/>
      <c r="B1334" s="27"/>
      <c r="C1334" s="27" t="s">
        <v>1597</v>
      </c>
      <c r="D1334" s="28"/>
      <c r="E1334" s="12"/>
      <c r="F1334" s="30">
        <f>Source!AO1005</f>
        <v>716.8</v>
      </c>
      <c r="G1334" s="29" t="str">
        <f>Source!DG1005</f>
        <v>)*0,6</v>
      </c>
      <c r="H1334" s="12">
        <f>Source!AV1006</f>
        <v>1</v>
      </c>
      <c r="I1334" s="30">
        <f>Source!S1005</f>
        <v>34.409999999999997</v>
      </c>
      <c r="J1334" s="12">
        <f>IF(Source!BA1006&lt;&gt; 0, Source!BA1006, 1)</f>
        <v>29.03</v>
      </c>
      <c r="K1334" s="30">
        <f>Source!S1006</f>
        <v>998.92</v>
      </c>
    </row>
    <row r="1335" spans="1:29" ht="14.25" x14ac:dyDescent="0.2">
      <c r="A1335" s="27"/>
      <c r="B1335" s="27"/>
      <c r="C1335" s="27" t="s">
        <v>1609</v>
      </c>
      <c r="D1335" s="28"/>
      <c r="E1335" s="12"/>
      <c r="F1335" s="30">
        <f>Source!AM1005</f>
        <v>16.93</v>
      </c>
      <c r="G1335" s="29" t="str">
        <f>Source!DE1005</f>
        <v>)*0,6</v>
      </c>
      <c r="H1335" s="12">
        <f>Source!AV1006</f>
        <v>1</v>
      </c>
      <c r="I1335" s="30">
        <f>Source!Q1005</f>
        <v>0.81</v>
      </c>
      <c r="J1335" s="12">
        <f>IF(Source!BB1006&lt;&gt; 0, Source!BB1006, 1)</f>
        <v>13.59</v>
      </c>
      <c r="K1335" s="30">
        <f>Source!Q1006</f>
        <v>11.01</v>
      </c>
    </row>
    <row r="1336" spans="1:29" ht="14.25" x14ac:dyDescent="0.2">
      <c r="A1336" s="27"/>
      <c r="B1336" s="27"/>
      <c r="C1336" s="27" t="s">
        <v>1610</v>
      </c>
      <c r="D1336" s="28"/>
      <c r="E1336" s="12"/>
      <c r="F1336" s="30">
        <f>Source!AN1005</f>
        <v>4.12</v>
      </c>
      <c r="G1336" s="29" t="str">
        <f>Source!DF1005</f>
        <v>)*0,6</v>
      </c>
      <c r="H1336" s="12">
        <f>Source!AV1006</f>
        <v>1</v>
      </c>
      <c r="I1336" s="38">
        <f>Source!R1005</f>
        <v>0.2</v>
      </c>
      <c r="J1336" s="12">
        <f>IF(Source!BS1006&lt;&gt; 0, Source!BS1006, 1)</f>
        <v>29.03</v>
      </c>
      <c r="K1336" s="38">
        <f>Source!R1006</f>
        <v>5.81</v>
      </c>
    </row>
    <row r="1337" spans="1:29" ht="14.25" x14ac:dyDescent="0.2">
      <c r="A1337" s="27"/>
      <c r="B1337" s="27"/>
      <c r="C1337" s="27" t="s">
        <v>1598</v>
      </c>
      <c r="D1337" s="28" t="s">
        <v>1599</v>
      </c>
      <c r="E1337" s="12">
        <f>Source!DN1006</f>
        <v>110</v>
      </c>
      <c r="F1337" s="30"/>
      <c r="G1337" s="29"/>
      <c r="H1337" s="12"/>
      <c r="I1337" s="30">
        <f>SUM(Q1333:Q1336)</f>
        <v>37.85</v>
      </c>
      <c r="J1337" s="12">
        <f>Source!BZ1006</f>
        <v>90</v>
      </c>
      <c r="K1337" s="30">
        <f>SUM(R1333:R1336)</f>
        <v>899.03</v>
      </c>
    </row>
    <row r="1338" spans="1:29" ht="14.25" x14ac:dyDescent="0.2">
      <c r="A1338" s="27"/>
      <c r="B1338" s="27"/>
      <c r="C1338" s="27" t="s">
        <v>1600</v>
      </c>
      <c r="D1338" s="28" t="s">
        <v>1599</v>
      </c>
      <c r="E1338" s="12">
        <f>Source!DO1006</f>
        <v>74</v>
      </c>
      <c r="F1338" s="30"/>
      <c r="G1338" s="29"/>
      <c r="H1338" s="12"/>
      <c r="I1338" s="30">
        <f>SUM(S1333:S1337)</f>
        <v>25.46</v>
      </c>
      <c r="J1338" s="12">
        <f>Source!CA1006</f>
        <v>41</v>
      </c>
      <c r="K1338" s="30">
        <f>SUM(T1333:T1337)</f>
        <v>409.56</v>
      </c>
    </row>
    <row r="1339" spans="1:29" ht="14.25" x14ac:dyDescent="0.2">
      <c r="A1339" s="27"/>
      <c r="B1339" s="27"/>
      <c r="C1339" s="27" t="s">
        <v>1612</v>
      </c>
      <c r="D1339" s="28" t="s">
        <v>1599</v>
      </c>
      <c r="E1339" s="12">
        <f>175</f>
        <v>175</v>
      </c>
      <c r="F1339" s="30"/>
      <c r="G1339" s="29"/>
      <c r="H1339" s="12"/>
      <c r="I1339" s="30">
        <f>SUM(U1333:U1338)</f>
        <v>0.35</v>
      </c>
      <c r="J1339" s="12">
        <f>160</f>
        <v>160</v>
      </c>
      <c r="K1339" s="30">
        <f>SUM(V1333:V1338)</f>
        <v>9.3000000000000007</v>
      </c>
    </row>
    <row r="1340" spans="1:29" ht="14.25" x14ac:dyDescent="0.2">
      <c r="A1340" s="31"/>
      <c r="B1340" s="31"/>
      <c r="C1340" s="31" t="s">
        <v>1601</v>
      </c>
      <c r="D1340" s="32" t="s">
        <v>1602</v>
      </c>
      <c r="E1340" s="33">
        <f>Source!AQ1005</f>
        <v>56</v>
      </c>
      <c r="F1340" s="34"/>
      <c r="G1340" s="35" t="str">
        <f>Source!DI1005</f>
        <v>)*0,6</v>
      </c>
      <c r="H1340" s="33">
        <f>Source!AV1006</f>
        <v>1</v>
      </c>
      <c r="I1340" s="34">
        <f>Source!U1005</f>
        <v>2.6880000000000002</v>
      </c>
      <c r="J1340" s="33"/>
      <c r="K1340" s="34"/>
    </row>
    <row r="1341" spans="1:29" ht="15" x14ac:dyDescent="0.25">
      <c r="C1341" s="22" t="s">
        <v>1603</v>
      </c>
      <c r="H1341" s="104">
        <f>I1334+I1335+I1337+I1338+I1339+0-0-0</f>
        <v>98.88</v>
      </c>
      <c r="I1341" s="104"/>
      <c r="J1341" s="104">
        <f>K1334+K1335+K1337+K1338+K1339+0-0-0</f>
        <v>2327.8200000000002</v>
      </c>
      <c r="K1341" s="104"/>
    </row>
    <row r="1342" spans="1:29" ht="15" x14ac:dyDescent="0.25">
      <c r="C1342" s="22" t="s">
        <v>1604</v>
      </c>
      <c r="H1342" s="100">
        <f>0+0</f>
        <v>0</v>
      </c>
      <c r="I1342" s="100"/>
      <c r="J1342" s="100">
        <f>0+0</f>
        <v>0</v>
      </c>
      <c r="K1342" s="100"/>
    </row>
    <row r="1343" spans="1:29" ht="15" x14ac:dyDescent="0.25">
      <c r="C1343" s="22" t="s">
        <v>1605</v>
      </c>
      <c r="H1343" s="100">
        <f>I1334+I1335+I1337+I1338+I1339+0</f>
        <v>98.88</v>
      </c>
      <c r="I1343" s="100"/>
      <c r="J1343" s="100">
        <f>K1334+K1335+K1337+K1338+K1339+0</f>
        <v>2327.8200000000002</v>
      </c>
      <c r="K1343" s="100"/>
      <c r="O1343" s="36">
        <f>I1334+I1335+I1337+I1338+I1339+0</f>
        <v>98.88</v>
      </c>
      <c r="P1343" s="36">
        <f>K1334+K1335+K1337+K1338+K1339+0</f>
        <v>2327.8200000000002</v>
      </c>
    </row>
    <row r="1346" spans="1:29" ht="15" x14ac:dyDescent="0.25">
      <c r="A1346" s="102" t="str">
        <f>CONCATENATE("Итого по разделу: ",IF(Source!G1008&lt;&gt;"Новый раздел", Source!G1008, ""))</f>
        <v>Итого по разделу: Демонтажные работы</v>
      </c>
      <c r="B1346" s="102"/>
      <c r="C1346" s="102"/>
      <c r="D1346" s="102"/>
      <c r="E1346" s="102"/>
      <c r="F1346" s="102"/>
      <c r="G1346" s="102"/>
      <c r="H1346" s="100">
        <f>SUM(O1302:O1345)</f>
        <v>510.07</v>
      </c>
      <c r="I1346" s="101"/>
      <c r="J1346" s="100">
        <f>SUM(P1302:P1345)</f>
        <v>12145.71</v>
      </c>
      <c r="K1346" s="101"/>
    </row>
    <row r="1347" spans="1:29" hidden="1" x14ac:dyDescent="0.2">
      <c r="A1347" t="s">
        <v>1606</v>
      </c>
      <c r="I1347">
        <f>SUM(W1302:W1346)</f>
        <v>0</v>
      </c>
      <c r="J1347">
        <f>SUM(X1302:X1346)</f>
        <v>0</v>
      </c>
    </row>
    <row r="1348" spans="1:29" hidden="1" x14ac:dyDescent="0.2">
      <c r="A1348" t="s">
        <v>1607</v>
      </c>
      <c r="I1348">
        <f>SUM(Y1302:Y1347)</f>
        <v>0</v>
      </c>
      <c r="J1348">
        <f>SUM(Z1302:Z1347)</f>
        <v>0</v>
      </c>
    </row>
    <row r="1350" spans="1:29" ht="16.5" x14ac:dyDescent="0.25">
      <c r="A1350" s="103" t="str">
        <f>CONCATENATE("Раздел: ",IF(Source!G1038&lt;&gt;"Новый раздел", Source!G1038, ""))</f>
        <v>Раздел: Внутренние сети В1, Т3, В2</v>
      </c>
      <c r="B1350" s="103"/>
      <c r="C1350" s="103"/>
      <c r="D1350" s="103"/>
      <c r="E1350" s="103"/>
      <c r="F1350" s="103"/>
      <c r="G1350" s="103"/>
      <c r="H1350" s="103"/>
      <c r="I1350" s="103"/>
      <c r="J1350" s="103"/>
      <c r="K1350" s="103"/>
    </row>
    <row r="1351" spans="1:29" ht="52.5" x14ac:dyDescent="0.2">
      <c r="A1351" s="27">
        <v>5</v>
      </c>
      <c r="B1351" s="27" t="s">
        <v>1679</v>
      </c>
      <c r="C1351" s="27" t="s">
        <v>819</v>
      </c>
      <c r="D1351" s="28" t="str">
        <f>Source!H1042</f>
        <v>100 м трубопроводов</v>
      </c>
      <c r="E1351" s="12">
        <f>Source!I1042</f>
        <v>0.2</v>
      </c>
      <c r="F1351" s="30"/>
      <c r="G1351" s="29"/>
      <c r="H1351" s="12"/>
      <c r="I1351" s="30"/>
      <c r="J1351" s="12"/>
      <c r="K1351" s="30"/>
      <c r="Q1351">
        <f>Source!X1042</f>
        <v>523.63</v>
      </c>
      <c r="R1351">
        <f>Source!X1043</f>
        <v>12437.24</v>
      </c>
      <c r="S1351">
        <f>Source!Y1042</f>
        <v>352.26</v>
      </c>
      <c r="T1351">
        <f>Source!Y1043</f>
        <v>5665.85</v>
      </c>
      <c r="U1351">
        <f>ROUND((175/100)*ROUND(Source!R1042, 2), 2)</f>
        <v>1.54</v>
      </c>
      <c r="V1351">
        <f>ROUND((160/100)*ROUND(Source!R1043, 2), 2)</f>
        <v>40.880000000000003</v>
      </c>
      <c r="AC1351">
        <v>0</v>
      </c>
    </row>
    <row r="1352" spans="1:29" ht="14.25" x14ac:dyDescent="0.2">
      <c r="A1352" s="27"/>
      <c r="B1352" s="27"/>
      <c r="C1352" s="27" t="s">
        <v>1597</v>
      </c>
      <c r="D1352" s="28"/>
      <c r="E1352" s="12"/>
      <c r="F1352" s="30">
        <f>Source!AO1042</f>
        <v>2069.6799999999998</v>
      </c>
      <c r="G1352" s="29" t="str">
        <f>Source!DG1042</f>
        <v>)*1,15</v>
      </c>
      <c r="H1352" s="12">
        <f>Source!AV1043</f>
        <v>1</v>
      </c>
      <c r="I1352" s="30">
        <f>Source!S1042</f>
        <v>476.03</v>
      </c>
      <c r="J1352" s="12">
        <f>IF(Source!BA1043&lt;&gt; 0, Source!BA1043, 1)</f>
        <v>29.03</v>
      </c>
      <c r="K1352" s="30">
        <f>Source!S1043</f>
        <v>13819.15</v>
      </c>
    </row>
    <row r="1353" spans="1:29" ht="14.25" x14ac:dyDescent="0.2">
      <c r="A1353" s="27"/>
      <c r="B1353" s="27"/>
      <c r="C1353" s="27" t="s">
        <v>1609</v>
      </c>
      <c r="D1353" s="28"/>
      <c r="E1353" s="12"/>
      <c r="F1353" s="30">
        <f>Source!AM1042</f>
        <v>37.32</v>
      </c>
      <c r="G1353" s="29" t="str">
        <f>Source!DE1042</f>
        <v>)*1,25</v>
      </c>
      <c r="H1353" s="12">
        <f>Source!AV1043</f>
        <v>1</v>
      </c>
      <c r="I1353" s="30">
        <f>Source!Q1042</f>
        <v>9.33</v>
      </c>
      <c r="J1353" s="12">
        <f>IF(Source!BB1043&lt;&gt; 0, Source!BB1043, 1)</f>
        <v>10.48</v>
      </c>
      <c r="K1353" s="30">
        <f>Source!Q1043</f>
        <v>97.78</v>
      </c>
    </row>
    <row r="1354" spans="1:29" ht="14.25" x14ac:dyDescent="0.2">
      <c r="A1354" s="27"/>
      <c r="B1354" s="27"/>
      <c r="C1354" s="27" t="s">
        <v>1610</v>
      </c>
      <c r="D1354" s="28"/>
      <c r="E1354" s="12"/>
      <c r="F1354" s="30">
        <f>Source!AN1042</f>
        <v>3.52</v>
      </c>
      <c r="G1354" s="29" t="str">
        <f>Source!DF1042</f>
        <v>)*1,25</v>
      </c>
      <c r="H1354" s="12">
        <f>Source!AV1043</f>
        <v>1</v>
      </c>
      <c r="I1354" s="38">
        <f>Source!R1042</f>
        <v>0.88</v>
      </c>
      <c r="J1354" s="12">
        <f>IF(Source!BS1043&lt;&gt; 0, Source!BS1043, 1)</f>
        <v>29.03</v>
      </c>
      <c r="K1354" s="38">
        <f>Source!R1043</f>
        <v>25.55</v>
      </c>
    </row>
    <row r="1355" spans="1:29" ht="14.25" x14ac:dyDescent="0.2">
      <c r="A1355" s="27"/>
      <c r="B1355" s="27"/>
      <c r="C1355" s="27" t="s">
        <v>1611</v>
      </c>
      <c r="D1355" s="28"/>
      <c r="E1355" s="12"/>
      <c r="F1355" s="30">
        <f>Source!AL1042</f>
        <v>237.81</v>
      </c>
      <c r="G1355" s="29" t="str">
        <f>Source!DD1042</f>
        <v/>
      </c>
      <c r="H1355" s="12">
        <f>Source!AW1043</f>
        <v>1</v>
      </c>
      <c r="I1355" s="30">
        <f>Source!P1042</f>
        <v>47.56</v>
      </c>
      <c r="J1355" s="12">
        <f>IF(Source!BC1043&lt;&gt; 0, Source!BC1043, 1)</f>
        <v>10.76</v>
      </c>
      <c r="K1355" s="30">
        <f>Source!P1043</f>
        <v>511.75</v>
      </c>
    </row>
    <row r="1356" spans="1:29" ht="42.75" x14ac:dyDescent="0.2">
      <c r="A1356" s="27" t="s">
        <v>123</v>
      </c>
      <c r="B1356" s="27" t="str">
        <f>Source!F1044</f>
        <v>1.12-5-159</v>
      </c>
      <c r="C1356" s="27" t="s">
        <v>832</v>
      </c>
      <c r="D1356" s="28" t="str">
        <f>Source!H1044</f>
        <v>м</v>
      </c>
      <c r="E1356" s="12">
        <f>Source!I1044</f>
        <v>17.98</v>
      </c>
      <c r="F1356" s="30">
        <f>Source!AK1044</f>
        <v>0</v>
      </c>
      <c r="G1356" s="39" t="s">
        <v>3</v>
      </c>
      <c r="H1356" s="12">
        <f>Source!AW1045</f>
        <v>1</v>
      </c>
      <c r="I1356" s="30">
        <f>Source!O1044</f>
        <v>0</v>
      </c>
      <c r="J1356" s="12">
        <f>IF(Source!BC1045&lt;&gt; 0, Source!BC1045, 1)</f>
        <v>3.61</v>
      </c>
      <c r="K1356" s="30">
        <f>Source!O1045</f>
        <v>0</v>
      </c>
      <c r="Q1356">
        <f>Source!X1044</f>
        <v>0</v>
      </c>
      <c r="R1356">
        <f>Source!X1045</f>
        <v>0</v>
      </c>
      <c r="S1356">
        <f>Source!Y1044</f>
        <v>0</v>
      </c>
      <c r="T1356">
        <f>Source!Y1045</f>
        <v>0</v>
      </c>
      <c r="U1356">
        <f>ROUND((175/100)*ROUND(Source!R1044, 2), 2)</f>
        <v>0</v>
      </c>
      <c r="V1356">
        <f>ROUND((160/100)*ROUND(Source!R1045, 2), 2)</f>
        <v>0</v>
      </c>
      <c r="AC1356">
        <v>3</v>
      </c>
    </row>
    <row r="1357" spans="1:29" ht="57" x14ac:dyDescent="0.2">
      <c r="A1357" s="27" t="s">
        <v>533</v>
      </c>
      <c r="B1357" s="27" t="str">
        <f>Source!F1046</f>
        <v>1.12-5-204</v>
      </c>
      <c r="C1357" s="27" t="s">
        <v>834</v>
      </c>
      <c r="D1357" s="28" t="str">
        <f>Source!H1046</f>
        <v>шт.</v>
      </c>
      <c r="E1357" s="12">
        <f>Source!I1046</f>
        <v>5</v>
      </c>
      <c r="F1357" s="30">
        <f>Source!AK1046</f>
        <v>0</v>
      </c>
      <c r="G1357" s="39" t="s">
        <v>3</v>
      </c>
      <c r="H1357" s="12">
        <f>Source!AW1047</f>
        <v>1</v>
      </c>
      <c r="I1357" s="30">
        <f>Source!O1046</f>
        <v>0</v>
      </c>
      <c r="J1357" s="12">
        <f>IF(Source!BC1047&lt;&gt; 0, Source!BC1047, 1)</f>
        <v>6.23</v>
      </c>
      <c r="K1357" s="30">
        <f>Source!O1047</f>
        <v>0</v>
      </c>
      <c r="Q1357">
        <f>Source!X1046</f>
        <v>0</v>
      </c>
      <c r="R1357">
        <f>Source!X1047</f>
        <v>0</v>
      </c>
      <c r="S1357">
        <f>Source!Y1046</f>
        <v>0</v>
      </c>
      <c r="T1357">
        <f>Source!Y1047</f>
        <v>0</v>
      </c>
      <c r="U1357">
        <f>ROUND((175/100)*ROUND(Source!R1046, 2), 2)</f>
        <v>0</v>
      </c>
      <c r="V1357">
        <f>ROUND((160/100)*ROUND(Source!R1047, 2), 2)</f>
        <v>0</v>
      </c>
      <c r="AC1357">
        <v>3</v>
      </c>
    </row>
    <row r="1358" spans="1:29" ht="57" x14ac:dyDescent="0.2">
      <c r="A1358" s="27" t="s">
        <v>536</v>
      </c>
      <c r="B1358" s="27" t="str">
        <f>Source!F1048</f>
        <v>1.12-5-178</v>
      </c>
      <c r="C1358" s="27" t="s">
        <v>836</v>
      </c>
      <c r="D1358" s="28" t="str">
        <f>Source!H1048</f>
        <v>шт.</v>
      </c>
      <c r="E1358" s="12">
        <f>Source!I1048</f>
        <v>12</v>
      </c>
      <c r="F1358" s="30">
        <f>Source!AK1048</f>
        <v>0</v>
      </c>
      <c r="G1358" s="39" t="s">
        <v>3</v>
      </c>
      <c r="H1358" s="12">
        <f>Source!AW1049</f>
        <v>1</v>
      </c>
      <c r="I1358" s="30">
        <f>Source!O1048</f>
        <v>0</v>
      </c>
      <c r="J1358" s="12">
        <f>IF(Source!BC1049&lt;&gt; 0, Source!BC1049, 1)</f>
        <v>2.6</v>
      </c>
      <c r="K1358" s="30">
        <f>Source!O1049</f>
        <v>0</v>
      </c>
      <c r="Q1358">
        <f>Source!X1048</f>
        <v>0</v>
      </c>
      <c r="R1358">
        <f>Source!X1049</f>
        <v>0</v>
      </c>
      <c r="S1358">
        <f>Source!Y1048</f>
        <v>0</v>
      </c>
      <c r="T1358">
        <f>Source!Y1049</f>
        <v>0</v>
      </c>
      <c r="U1358">
        <f>ROUND((175/100)*ROUND(Source!R1048, 2), 2)</f>
        <v>0</v>
      </c>
      <c r="V1358">
        <f>ROUND((160/100)*ROUND(Source!R1049, 2), 2)</f>
        <v>0</v>
      </c>
      <c r="AC1358">
        <v>3</v>
      </c>
    </row>
    <row r="1359" spans="1:29" ht="57" x14ac:dyDescent="0.2">
      <c r="A1359" s="27" t="s">
        <v>837</v>
      </c>
      <c r="B1359" s="27" t="str">
        <f>Source!F1050</f>
        <v>1.12-5-169</v>
      </c>
      <c r="C1359" s="27" t="s">
        <v>839</v>
      </c>
      <c r="D1359" s="28" t="str">
        <f>Source!H1050</f>
        <v>шт.</v>
      </c>
      <c r="E1359" s="12">
        <f>Source!I1050</f>
        <v>4</v>
      </c>
      <c r="F1359" s="30">
        <f>Source!AK1050</f>
        <v>0</v>
      </c>
      <c r="G1359" s="39" t="s">
        <v>3</v>
      </c>
      <c r="H1359" s="12">
        <f>Source!AW1051</f>
        <v>1</v>
      </c>
      <c r="I1359" s="30">
        <f>Source!O1050</f>
        <v>0</v>
      </c>
      <c r="J1359" s="12">
        <f>IF(Source!BC1051&lt;&gt; 0, Source!BC1051, 1)</f>
        <v>1.59</v>
      </c>
      <c r="K1359" s="30">
        <f>Source!O1051</f>
        <v>0</v>
      </c>
      <c r="Q1359">
        <f>Source!X1050</f>
        <v>0</v>
      </c>
      <c r="R1359">
        <f>Source!X1051</f>
        <v>0</v>
      </c>
      <c r="S1359">
        <f>Source!Y1050</f>
        <v>0</v>
      </c>
      <c r="T1359">
        <f>Source!Y1051</f>
        <v>0</v>
      </c>
      <c r="U1359">
        <f>ROUND((175/100)*ROUND(Source!R1050, 2), 2)</f>
        <v>0</v>
      </c>
      <c r="V1359">
        <f>ROUND((160/100)*ROUND(Source!R1051, 2), 2)</f>
        <v>0</v>
      </c>
      <c r="AC1359">
        <v>3</v>
      </c>
    </row>
    <row r="1360" spans="1:29" ht="57" x14ac:dyDescent="0.2">
      <c r="A1360" s="27" t="s">
        <v>840</v>
      </c>
      <c r="B1360" s="27" t="str">
        <f>Source!F1052</f>
        <v>1.12-5-194</v>
      </c>
      <c r="C1360" s="27" t="s">
        <v>842</v>
      </c>
      <c r="D1360" s="28" t="str">
        <f>Source!H1052</f>
        <v>шт.</v>
      </c>
      <c r="E1360" s="12">
        <f>Source!I1052</f>
        <v>7</v>
      </c>
      <c r="F1360" s="30">
        <f>Source!AK1052</f>
        <v>0</v>
      </c>
      <c r="G1360" s="39" t="s">
        <v>3</v>
      </c>
      <c r="H1360" s="12">
        <f>Source!AW1053</f>
        <v>1</v>
      </c>
      <c r="I1360" s="30">
        <f>Source!O1052</f>
        <v>0</v>
      </c>
      <c r="J1360" s="12">
        <f>IF(Source!BC1053&lt;&gt; 0, Source!BC1053, 1)</f>
        <v>5.64</v>
      </c>
      <c r="K1360" s="30">
        <f>Source!O1053</f>
        <v>0</v>
      </c>
      <c r="Q1360">
        <f>Source!X1052</f>
        <v>0</v>
      </c>
      <c r="R1360">
        <f>Source!X1053</f>
        <v>0</v>
      </c>
      <c r="S1360">
        <f>Source!Y1052</f>
        <v>0</v>
      </c>
      <c r="T1360">
        <f>Source!Y1053</f>
        <v>0</v>
      </c>
      <c r="U1360">
        <f>ROUND((175/100)*ROUND(Source!R1052, 2), 2)</f>
        <v>0</v>
      </c>
      <c r="V1360">
        <f>ROUND((160/100)*ROUND(Source!R1053, 2), 2)</f>
        <v>0</v>
      </c>
      <c r="AC1360">
        <v>3</v>
      </c>
    </row>
    <row r="1361" spans="1:29" ht="57" x14ac:dyDescent="0.2">
      <c r="A1361" s="27" t="s">
        <v>843</v>
      </c>
      <c r="B1361" s="27" t="str">
        <f>Source!F1054</f>
        <v>1.12-5-200</v>
      </c>
      <c r="C1361" s="27" t="s">
        <v>845</v>
      </c>
      <c r="D1361" s="28" t="str">
        <f>Source!H1054</f>
        <v>шт.</v>
      </c>
      <c r="E1361" s="12">
        <f>Source!I1054</f>
        <v>2</v>
      </c>
      <c r="F1361" s="30">
        <f>Source!AK1054</f>
        <v>0</v>
      </c>
      <c r="G1361" s="39" t="s">
        <v>3</v>
      </c>
      <c r="H1361" s="12">
        <f>Source!AW1055</f>
        <v>1</v>
      </c>
      <c r="I1361" s="30">
        <f>Source!O1054</f>
        <v>0</v>
      </c>
      <c r="J1361" s="12">
        <f>IF(Source!BC1055&lt;&gt; 0, Source!BC1055, 1)</f>
        <v>2.0099999999999998</v>
      </c>
      <c r="K1361" s="30">
        <f>Source!O1055</f>
        <v>0</v>
      </c>
      <c r="Q1361">
        <f>Source!X1054</f>
        <v>0</v>
      </c>
      <c r="R1361">
        <f>Source!X1055</f>
        <v>0</v>
      </c>
      <c r="S1361">
        <f>Source!Y1054</f>
        <v>0</v>
      </c>
      <c r="T1361">
        <f>Source!Y1055</f>
        <v>0</v>
      </c>
      <c r="U1361">
        <f>ROUND((175/100)*ROUND(Source!R1054, 2), 2)</f>
        <v>0</v>
      </c>
      <c r="V1361">
        <f>ROUND((160/100)*ROUND(Source!R1055, 2), 2)</f>
        <v>0</v>
      </c>
      <c r="AC1361">
        <v>3</v>
      </c>
    </row>
    <row r="1362" spans="1:29" ht="71.25" x14ac:dyDescent="0.2">
      <c r="A1362" s="27" t="s">
        <v>846</v>
      </c>
      <c r="B1362" s="27" t="str">
        <f>Source!F1056</f>
        <v>1.12-5-939</v>
      </c>
      <c r="C1362" s="27" t="s">
        <v>848</v>
      </c>
      <c r="D1362" s="28" t="str">
        <f>Source!H1056</f>
        <v>шт.</v>
      </c>
      <c r="E1362" s="12">
        <f>Source!I1056</f>
        <v>2</v>
      </c>
      <c r="F1362" s="30">
        <f>Source!AK1056</f>
        <v>0</v>
      </c>
      <c r="G1362" s="39" t="s">
        <v>3</v>
      </c>
      <c r="H1362" s="12">
        <f>Source!AW1057</f>
        <v>1</v>
      </c>
      <c r="I1362" s="30">
        <f>Source!O1056</f>
        <v>0</v>
      </c>
      <c r="J1362" s="12">
        <f>IF(Source!BC1057&lt;&gt; 0, Source!BC1057, 1)</f>
        <v>8.89</v>
      </c>
      <c r="K1362" s="30">
        <f>Source!O1057</f>
        <v>0</v>
      </c>
      <c r="Q1362">
        <f>Source!X1056</f>
        <v>0</v>
      </c>
      <c r="R1362">
        <f>Source!X1057</f>
        <v>0</v>
      </c>
      <c r="S1362">
        <f>Source!Y1056</f>
        <v>0</v>
      </c>
      <c r="T1362">
        <f>Source!Y1057</f>
        <v>0</v>
      </c>
      <c r="U1362">
        <f>ROUND((175/100)*ROUND(Source!R1056, 2), 2)</f>
        <v>0</v>
      </c>
      <c r="V1362">
        <f>ROUND((160/100)*ROUND(Source!R1057, 2), 2)</f>
        <v>0</v>
      </c>
      <c r="AC1362">
        <v>3</v>
      </c>
    </row>
    <row r="1363" spans="1:29" ht="57" x14ac:dyDescent="0.2">
      <c r="A1363" s="27" t="s">
        <v>849</v>
      </c>
      <c r="B1363" s="27" t="str">
        <f>Source!F1058</f>
        <v>1.12-5-351</v>
      </c>
      <c r="C1363" s="27" t="s">
        <v>851</v>
      </c>
      <c r="D1363" s="28" t="str">
        <f>Source!H1058</f>
        <v>шт.</v>
      </c>
      <c r="E1363" s="12">
        <f>Source!I1058</f>
        <v>4</v>
      </c>
      <c r="F1363" s="30">
        <f>Source!AK1058</f>
        <v>0</v>
      </c>
      <c r="G1363" s="39" t="s">
        <v>3</v>
      </c>
      <c r="H1363" s="12">
        <f>Source!AW1059</f>
        <v>1</v>
      </c>
      <c r="I1363" s="30">
        <f>Source!O1058</f>
        <v>0</v>
      </c>
      <c r="J1363" s="12">
        <f>IF(Source!BC1059&lt;&gt; 0, Source!BC1059, 1)</f>
        <v>8.94</v>
      </c>
      <c r="K1363" s="30">
        <f>Source!O1059</f>
        <v>0</v>
      </c>
      <c r="Q1363">
        <f>Source!X1058</f>
        <v>0</v>
      </c>
      <c r="R1363">
        <f>Source!X1059</f>
        <v>0</v>
      </c>
      <c r="S1363">
        <f>Source!Y1058</f>
        <v>0</v>
      </c>
      <c r="T1363">
        <f>Source!Y1059</f>
        <v>0</v>
      </c>
      <c r="U1363">
        <f>ROUND((175/100)*ROUND(Source!R1058, 2), 2)</f>
        <v>0</v>
      </c>
      <c r="V1363">
        <f>ROUND((160/100)*ROUND(Source!R1059, 2), 2)</f>
        <v>0</v>
      </c>
      <c r="AC1363">
        <v>3</v>
      </c>
    </row>
    <row r="1364" spans="1:29" ht="57" x14ac:dyDescent="0.2">
      <c r="A1364" s="27" t="s">
        <v>852</v>
      </c>
      <c r="B1364" s="27" t="str">
        <f>Source!F1060</f>
        <v>1.12-5-970</v>
      </c>
      <c r="C1364" s="27" t="s">
        <v>854</v>
      </c>
      <c r="D1364" s="28" t="str">
        <f>Source!H1060</f>
        <v>шт.</v>
      </c>
      <c r="E1364" s="12">
        <f>Source!I1060</f>
        <v>20</v>
      </c>
      <c r="F1364" s="30">
        <f>Source!AK1060</f>
        <v>0</v>
      </c>
      <c r="G1364" s="39" t="s">
        <v>3</v>
      </c>
      <c r="H1364" s="12">
        <f>Source!AW1061</f>
        <v>1</v>
      </c>
      <c r="I1364" s="30">
        <f>Source!O1060</f>
        <v>0</v>
      </c>
      <c r="J1364" s="12">
        <f>IF(Source!BC1061&lt;&gt; 0, Source!BC1061, 1)</f>
        <v>4.5599999999999996</v>
      </c>
      <c r="K1364" s="30">
        <f>Source!O1061</f>
        <v>0</v>
      </c>
      <c r="Q1364">
        <f>Source!X1060</f>
        <v>0</v>
      </c>
      <c r="R1364">
        <f>Source!X1061</f>
        <v>0</v>
      </c>
      <c r="S1364">
        <f>Source!Y1060</f>
        <v>0</v>
      </c>
      <c r="T1364">
        <f>Source!Y1061</f>
        <v>0</v>
      </c>
      <c r="U1364">
        <f>ROUND((175/100)*ROUND(Source!R1060, 2), 2)</f>
        <v>0</v>
      </c>
      <c r="V1364">
        <f>ROUND((160/100)*ROUND(Source!R1061, 2), 2)</f>
        <v>0</v>
      </c>
      <c r="AC1364">
        <v>3</v>
      </c>
    </row>
    <row r="1365" spans="1:29" ht="14.25" x14ac:dyDescent="0.2">
      <c r="A1365" s="27"/>
      <c r="B1365" s="27"/>
      <c r="C1365" s="27" t="s">
        <v>1598</v>
      </c>
      <c r="D1365" s="28" t="s">
        <v>1599</v>
      </c>
      <c r="E1365" s="12">
        <f>Source!DN1043</f>
        <v>110</v>
      </c>
      <c r="F1365" s="30"/>
      <c r="G1365" s="29"/>
      <c r="H1365" s="12"/>
      <c r="I1365" s="30">
        <f>SUM(Q1351:Q1364)</f>
        <v>523.63</v>
      </c>
      <c r="J1365" s="12">
        <f>Source!BZ1043</f>
        <v>90</v>
      </c>
      <c r="K1365" s="30">
        <f>SUM(R1351:R1364)</f>
        <v>12437.24</v>
      </c>
    </row>
    <row r="1366" spans="1:29" ht="14.25" x14ac:dyDescent="0.2">
      <c r="A1366" s="27"/>
      <c r="B1366" s="27"/>
      <c r="C1366" s="27" t="s">
        <v>1600</v>
      </c>
      <c r="D1366" s="28" t="s">
        <v>1599</v>
      </c>
      <c r="E1366" s="12">
        <f>Source!DO1043</f>
        <v>74</v>
      </c>
      <c r="F1366" s="30"/>
      <c r="G1366" s="29"/>
      <c r="H1366" s="12"/>
      <c r="I1366" s="30">
        <f>SUM(S1351:S1365)</f>
        <v>352.26</v>
      </c>
      <c r="J1366" s="12">
        <f>Source!CA1043</f>
        <v>41</v>
      </c>
      <c r="K1366" s="30">
        <f>SUM(T1351:T1365)</f>
        <v>5665.85</v>
      </c>
    </row>
    <row r="1367" spans="1:29" ht="14.25" x14ac:dyDescent="0.2">
      <c r="A1367" s="27"/>
      <c r="B1367" s="27"/>
      <c r="C1367" s="27" t="s">
        <v>1612</v>
      </c>
      <c r="D1367" s="28" t="s">
        <v>1599</v>
      </c>
      <c r="E1367" s="12">
        <f>175</f>
        <v>175</v>
      </c>
      <c r="F1367" s="30"/>
      <c r="G1367" s="29"/>
      <c r="H1367" s="12"/>
      <c r="I1367" s="30">
        <f>SUM(U1351:U1366)</f>
        <v>1.54</v>
      </c>
      <c r="J1367" s="12">
        <f>160</f>
        <v>160</v>
      </c>
      <c r="K1367" s="30">
        <f>SUM(V1351:V1366)</f>
        <v>40.880000000000003</v>
      </c>
    </row>
    <row r="1368" spans="1:29" ht="14.25" x14ac:dyDescent="0.2">
      <c r="A1368" s="31"/>
      <c r="B1368" s="31"/>
      <c r="C1368" s="31" t="s">
        <v>1601</v>
      </c>
      <c r="D1368" s="32" t="s">
        <v>1602</v>
      </c>
      <c r="E1368" s="33">
        <f>Source!AQ1042</f>
        <v>164</v>
      </c>
      <c r="F1368" s="34"/>
      <c r="G1368" s="35" t="str">
        <f>Source!DI1042</f>
        <v>)*1,15</v>
      </c>
      <c r="H1368" s="33">
        <f>Source!AV1043</f>
        <v>1</v>
      </c>
      <c r="I1368" s="34">
        <f>Source!U1042</f>
        <v>37.72</v>
      </c>
      <c r="J1368" s="33"/>
      <c r="K1368" s="34"/>
    </row>
    <row r="1369" spans="1:29" ht="15" x14ac:dyDescent="0.25">
      <c r="C1369" s="22" t="s">
        <v>1603</v>
      </c>
      <c r="H1369" s="104">
        <f>I1352+I1353+I1355+I1365+I1366+I1367+SUM(I1356:I1364)-SUMIF(AC1356:AC1364, 5, I1356:I1364)-SUMIF(AC1356:AC1364, 6, I1356:I1364)</f>
        <v>1410.35</v>
      </c>
      <c r="I1369" s="104"/>
      <c r="J1369" s="104">
        <f>K1352+K1353+K1355+K1365+K1366+K1367+SUM(K1356:K1364)-SUMIF(AC1356:AC1364, 5, K1356:K1364)-SUMIF(AC1356:AC1364, 6, K1356:K1364)</f>
        <v>32572.649999999998</v>
      </c>
      <c r="K1369" s="104"/>
    </row>
    <row r="1370" spans="1:29" ht="15" x14ac:dyDescent="0.25">
      <c r="C1370" s="22" t="s">
        <v>1604</v>
      </c>
      <c r="H1370" s="100">
        <f>SUMIF(AC1356:AC1364, 5, I1356:I1364)+SUMIF(AC1356:AC1364, 6, I1356:I1364)</f>
        <v>0</v>
      </c>
      <c r="I1370" s="100"/>
      <c r="J1370" s="100">
        <f>SUMIF(AC1356:AC1364, 5, K1356:K1364)+SUMIF(AC1356:AC1364, 6, K1356:K1364)</f>
        <v>0</v>
      </c>
      <c r="K1370" s="100"/>
    </row>
    <row r="1371" spans="1:29" ht="15" x14ac:dyDescent="0.25">
      <c r="C1371" s="22" t="s">
        <v>1605</v>
      </c>
      <c r="H1371" s="100">
        <f>I1352+I1353+I1355+I1365+I1366+I1367+SUM(I1356:I1364)</f>
        <v>1410.35</v>
      </c>
      <c r="I1371" s="100"/>
      <c r="J1371" s="100">
        <f>K1352+K1353+K1355+K1365+K1366+K1367+SUM(K1356:K1364)</f>
        <v>32572.649999999998</v>
      </c>
      <c r="K1371" s="100"/>
      <c r="O1371" s="36">
        <f>I1352+I1353+I1355+I1365+I1366+I1367+SUM(I1356:I1364)</f>
        <v>1410.35</v>
      </c>
      <c r="P1371" s="36">
        <f>K1352+K1353+K1355+K1365+K1366+K1367+SUM(K1356:K1364)</f>
        <v>32572.649999999998</v>
      </c>
    </row>
    <row r="1373" spans="1:29" ht="52.5" x14ac:dyDescent="0.2">
      <c r="A1373" s="27">
        <v>6</v>
      </c>
      <c r="B1373" s="27" t="s">
        <v>1680</v>
      </c>
      <c r="C1373" s="27" t="s">
        <v>856</v>
      </c>
      <c r="D1373" s="28" t="str">
        <f>Source!H1062</f>
        <v>10 м изоляции</v>
      </c>
      <c r="E1373" s="12">
        <f>Source!I1062</f>
        <v>1.6</v>
      </c>
      <c r="F1373" s="30"/>
      <c r="G1373" s="29"/>
      <c r="H1373" s="12"/>
      <c r="I1373" s="30"/>
      <c r="J1373" s="12"/>
      <c r="K1373" s="30"/>
      <c r="Q1373">
        <f>Source!X1062</f>
        <v>47.88</v>
      </c>
      <c r="R1373">
        <f>Source!X1063</f>
        <v>1145.67</v>
      </c>
      <c r="S1373">
        <f>Source!Y1062</f>
        <v>36.83</v>
      </c>
      <c r="T1373">
        <f>Source!Y1063</f>
        <v>626.29999999999995</v>
      </c>
      <c r="U1373">
        <f>ROUND((175/100)*ROUND(Source!R1062, 2), 2)</f>
        <v>9.24</v>
      </c>
      <c r="V1373">
        <f>ROUND((160/100)*ROUND(Source!R1063, 2), 2)</f>
        <v>245.25</v>
      </c>
      <c r="AC1373">
        <v>0</v>
      </c>
    </row>
    <row r="1374" spans="1:29" ht="14.25" x14ac:dyDescent="0.2">
      <c r="A1374" s="27"/>
      <c r="B1374" s="27"/>
      <c r="C1374" s="27" t="s">
        <v>1597</v>
      </c>
      <c r="D1374" s="28"/>
      <c r="E1374" s="12"/>
      <c r="F1374" s="30">
        <f>Source!AO1062</f>
        <v>28.6</v>
      </c>
      <c r="G1374" s="29" t="str">
        <f>Source!DG1062</f>
        <v>)*1,15</v>
      </c>
      <c r="H1374" s="12">
        <f>Source!AV1063</f>
        <v>1</v>
      </c>
      <c r="I1374" s="30">
        <f>Source!S1062</f>
        <v>52.62</v>
      </c>
      <c r="J1374" s="12">
        <f>IF(Source!BA1063&lt;&gt; 0, Source!BA1063, 1)</f>
        <v>29.03</v>
      </c>
      <c r="K1374" s="30">
        <f>Source!S1063</f>
        <v>1527.56</v>
      </c>
    </row>
    <row r="1375" spans="1:29" ht="14.25" x14ac:dyDescent="0.2">
      <c r="A1375" s="27"/>
      <c r="B1375" s="27"/>
      <c r="C1375" s="27" t="s">
        <v>1609</v>
      </c>
      <c r="D1375" s="28"/>
      <c r="E1375" s="12"/>
      <c r="F1375" s="30">
        <f>Source!AM1062</f>
        <v>13.2</v>
      </c>
      <c r="G1375" s="29" t="str">
        <f>Source!DE1062</f>
        <v>)*1,25</v>
      </c>
      <c r="H1375" s="12">
        <f>Source!AV1063</f>
        <v>1</v>
      </c>
      <c r="I1375" s="30">
        <f>Source!Q1062</f>
        <v>26.4</v>
      </c>
      <c r="J1375" s="12">
        <f>IF(Source!BB1063&lt;&gt; 0, Source!BB1063, 1)</f>
        <v>12.7</v>
      </c>
      <c r="K1375" s="30">
        <f>Source!Q1063</f>
        <v>335.28</v>
      </c>
    </row>
    <row r="1376" spans="1:29" ht="14.25" x14ac:dyDescent="0.2">
      <c r="A1376" s="27"/>
      <c r="B1376" s="27"/>
      <c r="C1376" s="27" t="s">
        <v>1610</v>
      </c>
      <c r="D1376" s="28"/>
      <c r="E1376" s="12"/>
      <c r="F1376" s="30">
        <f>Source!AN1062</f>
        <v>2.64</v>
      </c>
      <c r="G1376" s="29" t="str">
        <f>Source!DF1062</f>
        <v>)*1,25</v>
      </c>
      <c r="H1376" s="12">
        <f>Source!AV1063</f>
        <v>1</v>
      </c>
      <c r="I1376" s="38">
        <f>Source!R1062</f>
        <v>5.28</v>
      </c>
      <c r="J1376" s="12">
        <f>IF(Source!BS1063&lt;&gt; 0, Source!BS1063, 1)</f>
        <v>29.03</v>
      </c>
      <c r="K1376" s="38">
        <f>Source!R1063</f>
        <v>153.28</v>
      </c>
    </row>
    <row r="1377" spans="1:29" ht="14.25" x14ac:dyDescent="0.2">
      <c r="A1377" s="27"/>
      <c r="B1377" s="27"/>
      <c r="C1377" s="27" t="s">
        <v>1611</v>
      </c>
      <c r="D1377" s="28"/>
      <c r="E1377" s="12"/>
      <c r="F1377" s="30">
        <f>Source!AL1062</f>
        <v>59.82</v>
      </c>
      <c r="G1377" s="29" t="str">
        <f>Source!DD1062</f>
        <v/>
      </c>
      <c r="H1377" s="12">
        <f>Source!AW1063</f>
        <v>1</v>
      </c>
      <c r="I1377" s="30">
        <f>Source!P1062</f>
        <v>95.71</v>
      </c>
      <c r="J1377" s="12">
        <f>IF(Source!BC1063&lt;&gt; 0, Source!BC1063, 1)</f>
        <v>18.329999999999998</v>
      </c>
      <c r="K1377" s="30">
        <f>Source!P1063</f>
        <v>1754.36</v>
      </c>
    </row>
    <row r="1378" spans="1:29" ht="71.25" x14ac:dyDescent="0.2">
      <c r="A1378" s="27" t="s">
        <v>131</v>
      </c>
      <c r="B1378" s="27" t="str">
        <f>Source!F1064</f>
        <v>1.1-1-516</v>
      </c>
      <c r="C1378" s="27" t="s">
        <v>862</v>
      </c>
      <c r="D1378" s="28" t="str">
        <f>Source!H1064</f>
        <v>м</v>
      </c>
      <c r="E1378" s="12">
        <f>Source!I1064</f>
        <v>24</v>
      </c>
      <c r="F1378" s="30">
        <f>Source!AK1064</f>
        <v>6.29</v>
      </c>
      <c r="G1378" s="39" t="s">
        <v>3</v>
      </c>
      <c r="H1378" s="12">
        <f>Source!AW1065</f>
        <v>1</v>
      </c>
      <c r="I1378" s="30">
        <f>Source!O1064</f>
        <v>150.96</v>
      </c>
      <c r="J1378" s="12">
        <f>IF(Source!BC1065&lt;&gt; 0, Source!BC1065, 1)</f>
        <v>8.3800000000000008</v>
      </c>
      <c r="K1378" s="30">
        <f>Source!O1065</f>
        <v>1265.04</v>
      </c>
      <c r="Q1378">
        <f>Source!X1064</f>
        <v>0</v>
      </c>
      <c r="R1378">
        <f>Source!X1065</f>
        <v>0</v>
      </c>
      <c r="S1378">
        <f>Source!Y1064</f>
        <v>0</v>
      </c>
      <c r="T1378">
        <f>Source!Y1065</f>
        <v>0</v>
      </c>
      <c r="U1378">
        <f>ROUND((175/100)*ROUND(Source!R1064, 2), 2)</f>
        <v>0</v>
      </c>
      <c r="V1378">
        <f>ROUND((160/100)*ROUND(Source!R1065, 2), 2)</f>
        <v>0</v>
      </c>
      <c r="AC1378">
        <v>3</v>
      </c>
    </row>
    <row r="1379" spans="1:29" ht="142.5" x14ac:dyDescent="0.2">
      <c r="A1379" s="27" t="s">
        <v>864</v>
      </c>
      <c r="B1379" s="27" t="str">
        <f>Source!F1066</f>
        <v>1.1-1-3132</v>
      </c>
      <c r="C1379" s="27" t="s">
        <v>1569</v>
      </c>
      <c r="D1379" s="28" t="str">
        <f>Source!H1066</f>
        <v>м</v>
      </c>
      <c r="E1379" s="12">
        <f>Source!I1066</f>
        <v>16.8</v>
      </c>
      <c r="F1379" s="30">
        <f>Source!AK1066</f>
        <v>4.9000000000000004</v>
      </c>
      <c r="G1379" s="39" t="s">
        <v>3</v>
      </c>
      <c r="H1379" s="12">
        <f>Source!AW1067</f>
        <v>1</v>
      </c>
      <c r="I1379" s="30">
        <f>Source!O1066</f>
        <v>82.32</v>
      </c>
      <c r="J1379" s="12">
        <f>IF(Source!BC1067&lt;&gt; 0, Source!BC1067, 1)</f>
        <v>4.9800000000000004</v>
      </c>
      <c r="K1379" s="30">
        <f>Source!O1067</f>
        <v>409.95</v>
      </c>
      <c r="Q1379">
        <f>Source!X1066</f>
        <v>0</v>
      </c>
      <c r="R1379">
        <f>Source!X1067</f>
        <v>0</v>
      </c>
      <c r="S1379">
        <f>Source!Y1066</f>
        <v>0</v>
      </c>
      <c r="T1379">
        <f>Source!Y1067</f>
        <v>0</v>
      </c>
      <c r="U1379">
        <f>ROUND((175/100)*ROUND(Source!R1066, 2), 2)</f>
        <v>0</v>
      </c>
      <c r="V1379">
        <f>ROUND((160/100)*ROUND(Source!R1067, 2), 2)</f>
        <v>0</v>
      </c>
      <c r="AC1379">
        <v>3</v>
      </c>
    </row>
    <row r="1380" spans="1:29" ht="85.5" x14ac:dyDescent="0.2">
      <c r="A1380" s="27" t="s">
        <v>867</v>
      </c>
      <c r="B1380" s="27" t="str">
        <f>Source!F1068</f>
        <v>1.1-1-386</v>
      </c>
      <c r="C1380" s="27" t="s">
        <v>869</v>
      </c>
      <c r="D1380" s="28" t="str">
        <f>Source!H1068</f>
        <v>л</v>
      </c>
      <c r="E1380" s="12">
        <f>Source!I1068</f>
        <v>0.2</v>
      </c>
      <c r="F1380" s="30">
        <f>Source!AK1068</f>
        <v>144.94</v>
      </c>
      <c r="G1380" s="39" t="s">
        <v>3</v>
      </c>
      <c r="H1380" s="12">
        <f>Source!AW1069</f>
        <v>1</v>
      </c>
      <c r="I1380" s="30">
        <f>Source!O1068</f>
        <v>28.99</v>
      </c>
      <c r="J1380" s="12">
        <f>IF(Source!BC1069&lt;&gt; 0, Source!BC1069, 1)</f>
        <v>6.56</v>
      </c>
      <c r="K1380" s="30">
        <f>Source!O1069</f>
        <v>190.17</v>
      </c>
      <c r="Q1380">
        <f>Source!X1068</f>
        <v>0</v>
      </c>
      <c r="R1380">
        <f>Source!X1069</f>
        <v>0</v>
      </c>
      <c r="S1380">
        <f>Source!Y1068</f>
        <v>0</v>
      </c>
      <c r="T1380">
        <f>Source!Y1069</f>
        <v>0</v>
      </c>
      <c r="U1380">
        <f>ROUND((175/100)*ROUND(Source!R1068, 2), 2)</f>
        <v>0</v>
      </c>
      <c r="V1380">
        <f>ROUND((160/100)*ROUND(Source!R1069, 2), 2)</f>
        <v>0</v>
      </c>
      <c r="AC1380">
        <v>3</v>
      </c>
    </row>
    <row r="1381" spans="1:29" ht="14.25" x14ac:dyDescent="0.2">
      <c r="A1381" s="27"/>
      <c r="B1381" s="27"/>
      <c r="C1381" s="27" t="s">
        <v>1598</v>
      </c>
      <c r="D1381" s="28" t="s">
        <v>1599</v>
      </c>
      <c r="E1381" s="12">
        <f>Source!DN1063</f>
        <v>91</v>
      </c>
      <c r="F1381" s="30"/>
      <c r="G1381" s="29"/>
      <c r="H1381" s="12"/>
      <c r="I1381" s="30">
        <f>SUM(Q1373:Q1380)</f>
        <v>47.88</v>
      </c>
      <c r="J1381" s="12">
        <f>Source!BZ1063</f>
        <v>75</v>
      </c>
      <c r="K1381" s="30">
        <f>SUM(R1373:R1380)</f>
        <v>1145.67</v>
      </c>
    </row>
    <row r="1382" spans="1:29" ht="14.25" x14ac:dyDescent="0.2">
      <c r="A1382" s="27"/>
      <c r="B1382" s="27"/>
      <c r="C1382" s="27" t="s">
        <v>1600</v>
      </c>
      <c r="D1382" s="28" t="s">
        <v>1599</v>
      </c>
      <c r="E1382" s="12">
        <f>Source!DO1063</f>
        <v>70</v>
      </c>
      <c r="F1382" s="30"/>
      <c r="G1382" s="29"/>
      <c r="H1382" s="12"/>
      <c r="I1382" s="30">
        <f>SUM(S1373:S1381)</f>
        <v>36.83</v>
      </c>
      <c r="J1382" s="12">
        <f>Source!CA1063</f>
        <v>41</v>
      </c>
      <c r="K1382" s="30">
        <f>SUM(T1373:T1381)</f>
        <v>626.29999999999995</v>
      </c>
    </row>
    <row r="1383" spans="1:29" ht="14.25" x14ac:dyDescent="0.2">
      <c r="A1383" s="27"/>
      <c r="B1383" s="27"/>
      <c r="C1383" s="27" t="s">
        <v>1612</v>
      </c>
      <c r="D1383" s="28" t="s">
        <v>1599</v>
      </c>
      <c r="E1383" s="12">
        <f>175</f>
        <v>175</v>
      </c>
      <c r="F1383" s="30"/>
      <c r="G1383" s="29"/>
      <c r="H1383" s="12"/>
      <c r="I1383" s="30">
        <f>SUM(U1373:U1382)</f>
        <v>9.24</v>
      </c>
      <c r="J1383" s="12">
        <f>160</f>
        <v>160</v>
      </c>
      <c r="K1383" s="30">
        <f>SUM(V1373:V1382)</f>
        <v>245.25</v>
      </c>
    </row>
    <row r="1384" spans="1:29" ht="14.25" x14ac:dyDescent="0.2">
      <c r="A1384" s="31"/>
      <c r="B1384" s="31"/>
      <c r="C1384" s="31" t="s">
        <v>1601</v>
      </c>
      <c r="D1384" s="32" t="s">
        <v>1602</v>
      </c>
      <c r="E1384" s="33">
        <f>Source!AQ1062</f>
        <v>2.2000000000000002</v>
      </c>
      <c r="F1384" s="34"/>
      <c r="G1384" s="35" t="str">
        <f>Source!DI1062</f>
        <v>)*1,15</v>
      </c>
      <c r="H1384" s="33">
        <f>Source!AV1063</f>
        <v>1</v>
      </c>
      <c r="I1384" s="34">
        <f>Source!U1062</f>
        <v>4.048</v>
      </c>
      <c r="J1384" s="33"/>
      <c r="K1384" s="34"/>
    </row>
    <row r="1385" spans="1:29" ht="15" x14ac:dyDescent="0.25">
      <c r="C1385" s="22" t="s">
        <v>1603</v>
      </c>
      <c r="H1385" s="104">
        <f>I1374+I1375+I1377+I1381+I1382+I1383+SUM(I1378:I1380)-SUMIF(AC1378:AC1380, 5, I1378:I1380)-SUMIF(AC1378:AC1380, 6, I1378:I1380)</f>
        <v>530.95000000000005</v>
      </c>
      <c r="I1385" s="104"/>
      <c r="J1385" s="104">
        <f>K1374+K1375+K1377+K1381+K1382+K1383+SUM(K1378:K1380)-SUMIF(AC1378:AC1380, 5, K1378:K1380)-SUMIF(AC1378:AC1380, 6, K1378:K1380)</f>
        <v>7499.58</v>
      </c>
      <c r="K1385" s="104"/>
    </row>
    <row r="1386" spans="1:29" ht="15" x14ac:dyDescent="0.25">
      <c r="C1386" s="22" t="s">
        <v>1604</v>
      </c>
      <c r="H1386" s="100">
        <f>SUMIF(AC1378:AC1380, 5, I1378:I1380)+SUMIF(AC1378:AC1380, 6, I1378:I1380)</f>
        <v>0</v>
      </c>
      <c r="I1386" s="100"/>
      <c r="J1386" s="100">
        <f>SUMIF(AC1378:AC1380, 5, K1378:K1380)+SUMIF(AC1378:AC1380, 6, K1378:K1380)</f>
        <v>0</v>
      </c>
      <c r="K1386" s="100"/>
    </row>
    <row r="1387" spans="1:29" ht="15" x14ac:dyDescent="0.25">
      <c r="C1387" s="22" t="s">
        <v>1605</v>
      </c>
      <c r="H1387" s="100">
        <f>I1374+I1375+I1377+I1381+I1382+I1383+SUM(I1378:I1380)</f>
        <v>530.95000000000005</v>
      </c>
      <c r="I1387" s="100"/>
      <c r="J1387" s="100">
        <f>K1374+K1375+K1377+K1381+K1382+K1383+SUM(K1378:K1380)</f>
        <v>7499.58</v>
      </c>
      <c r="K1387" s="100"/>
      <c r="O1387" s="36">
        <f>I1374+I1375+I1377+I1381+I1382+I1383+SUM(I1378:I1380)</f>
        <v>530.95000000000005</v>
      </c>
      <c r="P1387" s="36">
        <f>K1374+K1375+K1377+K1381+K1382+K1383+SUM(K1378:K1380)</f>
        <v>7499.58</v>
      </c>
    </row>
    <row r="1389" spans="1:29" ht="52.5" x14ac:dyDescent="0.2">
      <c r="A1389" s="27">
        <v>7</v>
      </c>
      <c r="B1389" s="27" t="s">
        <v>1681</v>
      </c>
      <c r="C1389" s="27" t="s">
        <v>873</v>
      </c>
      <c r="D1389" s="28" t="str">
        <f>Source!H1070</f>
        <v>100 м подводок</v>
      </c>
      <c r="E1389" s="12">
        <f>Source!I1070</f>
        <v>5.0000000000000001E-3</v>
      </c>
      <c r="F1389" s="30"/>
      <c r="G1389" s="29"/>
      <c r="H1389" s="12"/>
      <c r="I1389" s="30"/>
      <c r="J1389" s="12"/>
      <c r="K1389" s="30"/>
      <c r="Q1389">
        <f>Source!X1070</f>
        <v>2.7</v>
      </c>
      <c r="R1389">
        <f>Source!X1071</f>
        <v>64.010000000000005</v>
      </c>
      <c r="S1389">
        <f>Source!Y1070</f>
        <v>1.81</v>
      </c>
      <c r="T1389">
        <f>Source!Y1071</f>
        <v>29.16</v>
      </c>
      <c r="U1389">
        <f>ROUND((175/100)*ROUND(Source!R1070, 2), 2)</f>
        <v>0</v>
      </c>
      <c r="V1389">
        <f>ROUND((160/100)*ROUND(Source!R1071, 2), 2)</f>
        <v>0</v>
      </c>
      <c r="AC1389">
        <v>0</v>
      </c>
    </row>
    <row r="1390" spans="1:29" ht="14.25" x14ac:dyDescent="0.2">
      <c r="A1390" s="27"/>
      <c r="B1390" s="27"/>
      <c r="C1390" s="27" t="s">
        <v>1597</v>
      </c>
      <c r="D1390" s="28"/>
      <c r="E1390" s="12"/>
      <c r="F1390" s="30">
        <f>Source!AO1070</f>
        <v>425.29</v>
      </c>
      <c r="G1390" s="29" t="str">
        <f>Source!DG1070</f>
        <v>)*1,15</v>
      </c>
      <c r="H1390" s="12">
        <f>Source!AV1071</f>
        <v>1</v>
      </c>
      <c r="I1390" s="30">
        <f>Source!S1070</f>
        <v>2.4500000000000002</v>
      </c>
      <c r="J1390" s="12">
        <f>IF(Source!BA1071&lt;&gt; 0, Source!BA1071, 1)</f>
        <v>29.03</v>
      </c>
      <c r="K1390" s="30">
        <f>Source!S1071</f>
        <v>71.12</v>
      </c>
    </row>
    <row r="1391" spans="1:29" ht="42.75" x14ac:dyDescent="0.2">
      <c r="A1391" s="27" t="s">
        <v>548</v>
      </c>
      <c r="B1391" s="27" t="str">
        <f>Source!F1072</f>
        <v>1.12-5-1</v>
      </c>
      <c r="C1391" s="27" t="s">
        <v>877</v>
      </c>
      <c r="D1391" s="28" t="str">
        <f>Source!H1072</f>
        <v>КОМПЛЕКТ</v>
      </c>
      <c r="E1391" s="12">
        <f>Source!I1072</f>
        <v>1</v>
      </c>
      <c r="F1391" s="30">
        <f>Source!AK1072</f>
        <v>15.74</v>
      </c>
      <c r="G1391" s="39" t="s">
        <v>3</v>
      </c>
      <c r="H1391" s="12">
        <f>Source!AW1073</f>
        <v>1</v>
      </c>
      <c r="I1391" s="30">
        <f>Source!O1072</f>
        <v>15.74</v>
      </c>
      <c r="J1391" s="12">
        <f>IF(Source!BC1073&lt;&gt; 0, Source!BC1073, 1)</f>
        <v>5.16</v>
      </c>
      <c r="K1391" s="30">
        <f>Source!O1073</f>
        <v>81.22</v>
      </c>
      <c r="Q1391">
        <f>Source!X1072</f>
        <v>0</v>
      </c>
      <c r="R1391">
        <f>Source!X1073</f>
        <v>0</v>
      </c>
      <c r="S1391">
        <f>Source!Y1072</f>
        <v>0</v>
      </c>
      <c r="T1391">
        <f>Source!Y1073</f>
        <v>0</v>
      </c>
      <c r="U1391">
        <f>ROUND((175/100)*ROUND(Source!R1072, 2), 2)</f>
        <v>0</v>
      </c>
      <c r="V1391">
        <f>ROUND((160/100)*ROUND(Source!R1073, 2), 2)</f>
        <v>0</v>
      </c>
      <c r="AC1391">
        <v>3</v>
      </c>
    </row>
    <row r="1392" spans="1:29" ht="57" x14ac:dyDescent="0.2">
      <c r="A1392" s="27" t="s">
        <v>552</v>
      </c>
      <c r="B1392" s="27" t="str">
        <f>Source!F1074</f>
        <v>1.13-4-125</v>
      </c>
      <c r="C1392" s="27" t="s">
        <v>880</v>
      </c>
      <c r="D1392" s="28" t="str">
        <f>Source!H1074</f>
        <v>шт.</v>
      </c>
      <c r="E1392" s="12">
        <f>Source!I1074</f>
        <v>3</v>
      </c>
      <c r="F1392" s="30">
        <f>Source!AK1074</f>
        <v>17.59</v>
      </c>
      <c r="G1392" s="39" t="s">
        <v>3</v>
      </c>
      <c r="H1392" s="12">
        <f>Source!AW1075</f>
        <v>1</v>
      </c>
      <c r="I1392" s="30">
        <f>Source!O1074</f>
        <v>52.77</v>
      </c>
      <c r="J1392" s="12">
        <f>IF(Source!BC1075&lt;&gt; 0, Source!BC1075, 1)</f>
        <v>4.58</v>
      </c>
      <c r="K1392" s="30">
        <f>Source!O1075</f>
        <v>241.69</v>
      </c>
      <c r="Q1392">
        <f>Source!X1074</f>
        <v>0</v>
      </c>
      <c r="R1392">
        <f>Source!X1075</f>
        <v>0</v>
      </c>
      <c r="S1392">
        <f>Source!Y1074</f>
        <v>0</v>
      </c>
      <c r="T1392">
        <f>Source!Y1075</f>
        <v>0</v>
      </c>
      <c r="U1392">
        <f>ROUND((175/100)*ROUND(Source!R1074, 2), 2)</f>
        <v>0</v>
      </c>
      <c r="V1392">
        <f>ROUND((160/100)*ROUND(Source!R1075, 2), 2)</f>
        <v>0</v>
      </c>
      <c r="AC1392">
        <v>3</v>
      </c>
    </row>
    <row r="1393" spans="1:29" ht="14.25" x14ac:dyDescent="0.2">
      <c r="A1393" s="27"/>
      <c r="B1393" s="27"/>
      <c r="C1393" s="27" t="s">
        <v>1598</v>
      </c>
      <c r="D1393" s="28" t="s">
        <v>1599</v>
      </c>
      <c r="E1393" s="12">
        <f>Source!DN1071</f>
        <v>110</v>
      </c>
      <c r="F1393" s="30"/>
      <c r="G1393" s="29"/>
      <c r="H1393" s="12"/>
      <c r="I1393" s="30">
        <f>SUM(Q1389:Q1392)</f>
        <v>2.7</v>
      </c>
      <c r="J1393" s="12">
        <f>Source!BZ1071</f>
        <v>90</v>
      </c>
      <c r="K1393" s="30">
        <f>SUM(R1389:R1392)</f>
        <v>64.010000000000005</v>
      </c>
    </row>
    <row r="1394" spans="1:29" ht="14.25" x14ac:dyDescent="0.2">
      <c r="A1394" s="27"/>
      <c r="B1394" s="27"/>
      <c r="C1394" s="27" t="s">
        <v>1600</v>
      </c>
      <c r="D1394" s="28" t="s">
        <v>1599</v>
      </c>
      <c r="E1394" s="12">
        <f>Source!DO1071</f>
        <v>74</v>
      </c>
      <c r="F1394" s="30"/>
      <c r="G1394" s="29"/>
      <c r="H1394" s="12"/>
      <c r="I1394" s="30">
        <f>SUM(S1389:S1393)</f>
        <v>1.81</v>
      </c>
      <c r="J1394" s="12">
        <f>Source!CA1071</f>
        <v>41</v>
      </c>
      <c r="K1394" s="30">
        <f>SUM(T1389:T1393)</f>
        <v>29.16</v>
      </c>
    </row>
    <row r="1395" spans="1:29" ht="14.25" x14ac:dyDescent="0.2">
      <c r="A1395" s="31"/>
      <c r="B1395" s="31"/>
      <c r="C1395" s="31" t="s">
        <v>1601</v>
      </c>
      <c r="D1395" s="32" t="s">
        <v>1602</v>
      </c>
      <c r="E1395" s="33">
        <f>Source!AQ1070</f>
        <v>33.700000000000003</v>
      </c>
      <c r="F1395" s="34"/>
      <c r="G1395" s="35" t="str">
        <f>Source!DI1070</f>
        <v>)*1,15</v>
      </c>
      <c r="H1395" s="33">
        <f>Source!AV1071</f>
        <v>1</v>
      </c>
      <c r="I1395" s="34">
        <f>Source!U1070</f>
        <v>0.19377500000000003</v>
      </c>
      <c r="J1395" s="33"/>
      <c r="K1395" s="34"/>
    </row>
    <row r="1396" spans="1:29" ht="15" x14ac:dyDescent="0.25">
      <c r="C1396" s="22" t="s">
        <v>1603</v>
      </c>
      <c r="H1396" s="104">
        <f>I1390+I1393+I1394+SUM(I1391:I1392)-SUMIF(AC1391:AC1392, 5, I1391:I1392)-SUMIF(AC1391:AC1392, 6, I1391:I1392)</f>
        <v>75.47</v>
      </c>
      <c r="I1396" s="104"/>
      <c r="J1396" s="104">
        <f>K1390+K1393+K1394+SUM(K1391:K1392)-SUMIF(AC1391:AC1392, 5, K1391:K1392)-SUMIF(AC1391:AC1392, 6, K1391:K1392)</f>
        <v>487.19999999999993</v>
      </c>
      <c r="K1396" s="104"/>
    </row>
    <row r="1397" spans="1:29" ht="15" x14ac:dyDescent="0.25">
      <c r="C1397" s="22" t="s">
        <v>1604</v>
      </c>
      <c r="H1397" s="100">
        <f>SUMIF(AC1391:AC1392, 5, I1391:I1392)+SUMIF(AC1391:AC1392, 6, I1391:I1392)</f>
        <v>0</v>
      </c>
      <c r="I1397" s="100"/>
      <c r="J1397" s="100">
        <f>SUMIF(AC1391:AC1392, 5, K1391:K1392)+SUMIF(AC1391:AC1392, 6, K1391:K1392)</f>
        <v>0</v>
      </c>
      <c r="K1397" s="100"/>
    </row>
    <row r="1398" spans="1:29" ht="15" x14ac:dyDescent="0.25">
      <c r="C1398" s="22" t="s">
        <v>1605</v>
      </c>
      <c r="H1398" s="100">
        <f>I1390+I1393+I1394+SUM(I1391:I1392)</f>
        <v>75.47</v>
      </c>
      <c r="I1398" s="100"/>
      <c r="J1398" s="100">
        <f>K1390+K1393+K1394+SUM(K1391:K1392)</f>
        <v>487.19999999999993</v>
      </c>
      <c r="K1398" s="100"/>
      <c r="O1398" s="36">
        <f>I1390+I1393+I1394+SUM(I1391:I1392)</f>
        <v>75.47</v>
      </c>
      <c r="P1398" s="36">
        <f>K1390+K1393+K1394+SUM(K1391:K1392)</f>
        <v>487.19999999999993</v>
      </c>
    </row>
    <row r="1400" spans="1:29" ht="57" x14ac:dyDescent="0.2">
      <c r="A1400" s="27">
        <v>8</v>
      </c>
      <c r="B1400" s="27" t="s">
        <v>1682</v>
      </c>
      <c r="C1400" s="27" t="s">
        <v>883</v>
      </c>
      <c r="D1400" s="28" t="str">
        <f>Source!H1076</f>
        <v>100 м трубопровода</v>
      </c>
      <c r="E1400" s="12">
        <f>Source!I1076</f>
        <v>0.01</v>
      </c>
      <c r="F1400" s="30"/>
      <c r="G1400" s="29"/>
      <c r="H1400" s="12"/>
      <c r="I1400" s="30"/>
      <c r="J1400" s="12"/>
      <c r="K1400" s="30"/>
      <c r="Q1400">
        <f>Source!X1076</f>
        <v>6.91</v>
      </c>
      <c r="R1400">
        <f>Source!X1077</f>
        <v>164.08</v>
      </c>
      <c r="S1400">
        <f>Source!Y1076</f>
        <v>4.6500000000000004</v>
      </c>
      <c r="T1400">
        <f>Source!Y1077</f>
        <v>74.75</v>
      </c>
      <c r="U1400">
        <f>ROUND((175/100)*ROUND(Source!R1076, 2), 2)</f>
        <v>0.28000000000000003</v>
      </c>
      <c r="V1400">
        <f>ROUND((160/100)*ROUND(Source!R1077, 2), 2)</f>
        <v>7.42</v>
      </c>
      <c r="AC1400">
        <v>0</v>
      </c>
    </row>
    <row r="1401" spans="1:29" ht="14.25" x14ac:dyDescent="0.2">
      <c r="A1401" s="27"/>
      <c r="B1401" s="27"/>
      <c r="C1401" s="27" t="s">
        <v>1597</v>
      </c>
      <c r="D1401" s="28"/>
      <c r="E1401" s="12"/>
      <c r="F1401" s="30">
        <f>Source!AO1076</f>
        <v>546.45000000000005</v>
      </c>
      <c r="G1401" s="29" t="str">
        <f>Source!DG1076</f>
        <v>)*1,15</v>
      </c>
      <c r="H1401" s="12">
        <f>Source!AV1077</f>
        <v>1</v>
      </c>
      <c r="I1401" s="30">
        <f>Source!S1076</f>
        <v>6.28</v>
      </c>
      <c r="J1401" s="12">
        <f>IF(Source!BA1077&lt;&gt; 0, Source!BA1077, 1)</f>
        <v>29.03</v>
      </c>
      <c r="K1401" s="30">
        <f>Source!S1077</f>
        <v>182.31</v>
      </c>
    </row>
    <row r="1402" spans="1:29" ht="14.25" x14ac:dyDescent="0.2">
      <c r="A1402" s="27"/>
      <c r="B1402" s="27"/>
      <c r="C1402" s="27" t="s">
        <v>1609</v>
      </c>
      <c r="D1402" s="28"/>
      <c r="E1402" s="12"/>
      <c r="F1402" s="30">
        <f>Source!AM1076</f>
        <v>80.349999999999994</v>
      </c>
      <c r="G1402" s="29" t="str">
        <f>Source!DE1076</f>
        <v>)*1,25</v>
      </c>
      <c r="H1402" s="12">
        <f>Source!AV1077</f>
        <v>1</v>
      </c>
      <c r="I1402" s="30">
        <f>Source!Q1076</f>
        <v>1</v>
      </c>
      <c r="J1402" s="12">
        <f>IF(Source!BB1077&lt;&gt; 0, Source!BB1077, 1)</f>
        <v>11.21</v>
      </c>
      <c r="K1402" s="30">
        <f>Source!Q1077</f>
        <v>11.21</v>
      </c>
    </row>
    <row r="1403" spans="1:29" ht="14.25" x14ac:dyDescent="0.2">
      <c r="A1403" s="27"/>
      <c r="B1403" s="27"/>
      <c r="C1403" s="27" t="s">
        <v>1610</v>
      </c>
      <c r="D1403" s="28"/>
      <c r="E1403" s="12"/>
      <c r="F1403" s="30">
        <f>Source!AN1076</f>
        <v>12.43</v>
      </c>
      <c r="G1403" s="29" t="str">
        <f>Source!DF1076</f>
        <v>)*1,25</v>
      </c>
      <c r="H1403" s="12">
        <f>Source!AV1077</f>
        <v>1</v>
      </c>
      <c r="I1403" s="38">
        <f>Source!R1076</f>
        <v>0.16</v>
      </c>
      <c r="J1403" s="12">
        <f>IF(Source!BS1077&lt;&gt; 0, Source!BS1077, 1)</f>
        <v>29.03</v>
      </c>
      <c r="K1403" s="38">
        <f>Source!R1077</f>
        <v>4.6399999999999997</v>
      </c>
    </row>
    <row r="1404" spans="1:29" ht="14.25" x14ac:dyDescent="0.2">
      <c r="A1404" s="27"/>
      <c r="B1404" s="27"/>
      <c r="C1404" s="27" t="s">
        <v>1611</v>
      </c>
      <c r="D1404" s="28"/>
      <c r="E1404" s="12"/>
      <c r="F1404" s="30">
        <f>Source!AL1076</f>
        <v>61.03</v>
      </c>
      <c r="G1404" s="29" t="str">
        <f>Source!DD1076</f>
        <v/>
      </c>
      <c r="H1404" s="12">
        <f>Source!AW1077</f>
        <v>1</v>
      </c>
      <c r="I1404" s="30">
        <f>Source!P1076</f>
        <v>0.61</v>
      </c>
      <c r="J1404" s="12">
        <f>IF(Source!BC1077&lt;&gt; 0, Source!BC1077, 1)</f>
        <v>5.45</v>
      </c>
      <c r="K1404" s="30">
        <f>Source!P1077</f>
        <v>3.32</v>
      </c>
    </row>
    <row r="1405" spans="1:29" ht="57" x14ac:dyDescent="0.2">
      <c r="A1405" s="27" t="s">
        <v>190</v>
      </c>
      <c r="B1405" s="27" t="str">
        <f>Source!F1078</f>
        <v>1.12-1-53</v>
      </c>
      <c r="C1405" s="27" t="s">
        <v>887</v>
      </c>
      <c r="D1405" s="28" t="str">
        <f>Source!H1078</f>
        <v>м</v>
      </c>
      <c r="E1405" s="12">
        <f>Source!I1078</f>
        <v>1</v>
      </c>
      <c r="F1405" s="30">
        <f>Source!AK1078</f>
        <v>31.42</v>
      </c>
      <c r="G1405" s="39" t="s">
        <v>3</v>
      </c>
      <c r="H1405" s="12">
        <f>Source!AW1079</f>
        <v>1</v>
      </c>
      <c r="I1405" s="30">
        <f>Source!O1078</f>
        <v>31.42</v>
      </c>
      <c r="J1405" s="12">
        <f>IF(Source!BC1079&lt;&gt; 0, Source!BC1079, 1)</f>
        <v>18.489999999999998</v>
      </c>
      <c r="K1405" s="30">
        <f>Source!O1079</f>
        <v>580.96</v>
      </c>
      <c r="Q1405">
        <f>Source!X1078</f>
        <v>0</v>
      </c>
      <c r="R1405">
        <f>Source!X1079</f>
        <v>0</v>
      </c>
      <c r="S1405">
        <f>Source!Y1078</f>
        <v>0</v>
      </c>
      <c r="T1405">
        <f>Source!Y1079</f>
        <v>0</v>
      </c>
      <c r="U1405">
        <f>ROUND((175/100)*ROUND(Source!R1078, 2), 2)</f>
        <v>0</v>
      </c>
      <c r="V1405">
        <f>ROUND((160/100)*ROUND(Source!R1079, 2), 2)</f>
        <v>0</v>
      </c>
      <c r="AC1405">
        <v>3</v>
      </c>
    </row>
    <row r="1406" spans="1:29" ht="14.25" x14ac:dyDescent="0.2">
      <c r="A1406" s="27"/>
      <c r="B1406" s="27"/>
      <c r="C1406" s="27" t="s">
        <v>1598</v>
      </c>
      <c r="D1406" s="28" t="s">
        <v>1599</v>
      </c>
      <c r="E1406" s="12">
        <f>Source!DN1077</f>
        <v>110</v>
      </c>
      <c r="F1406" s="30"/>
      <c r="G1406" s="29"/>
      <c r="H1406" s="12"/>
      <c r="I1406" s="30">
        <f>SUM(Q1400:Q1405)</f>
        <v>6.91</v>
      </c>
      <c r="J1406" s="12">
        <f>Source!BZ1077</f>
        <v>90</v>
      </c>
      <c r="K1406" s="30">
        <f>SUM(R1400:R1405)</f>
        <v>164.08</v>
      </c>
    </row>
    <row r="1407" spans="1:29" ht="14.25" x14ac:dyDescent="0.2">
      <c r="A1407" s="27"/>
      <c r="B1407" s="27"/>
      <c r="C1407" s="27" t="s">
        <v>1600</v>
      </c>
      <c r="D1407" s="28" t="s">
        <v>1599</v>
      </c>
      <c r="E1407" s="12">
        <f>Source!DO1077</f>
        <v>74</v>
      </c>
      <c r="F1407" s="30"/>
      <c r="G1407" s="29"/>
      <c r="H1407" s="12"/>
      <c r="I1407" s="30">
        <f>SUM(S1400:S1406)</f>
        <v>4.6500000000000004</v>
      </c>
      <c r="J1407" s="12">
        <f>Source!CA1077</f>
        <v>41</v>
      </c>
      <c r="K1407" s="30">
        <f>SUM(T1400:T1406)</f>
        <v>74.75</v>
      </c>
    </row>
    <row r="1408" spans="1:29" ht="14.25" x14ac:dyDescent="0.2">
      <c r="A1408" s="27"/>
      <c r="B1408" s="27"/>
      <c r="C1408" s="27" t="s">
        <v>1612</v>
      </c>
      <c r="D1408" s="28" t="s">
        <v>1599</v>
      </c>
      <c r="E1408" s="12">
        <f>175</f>
        <v>175</v>
      </c>
      <c r="F1408" s="30"/>
      <c r="G1408" s="29"/>
      <c r="H1408" s="12"/>
      <c r="I1408" s="30">
        <f>SUM(U1400:U1407)</f>
        <v>0.28000000000000003</v>
      </c>
      <c r="J1408" s="12">
        <f>160</f>
        <v>160</v>
      </c>
      <c r="K1408" s="30">
        <f>SUM(V1400:V1407)</f>
        <v>7.42</v>
      </c>
    </row>
    <row r="1409" spans="1:29" ht="14.25" x14ac:dyDescent="0.2">
      <c r="A1409" s="31"/>
      <c r="B1409" s="31"/>
      <c r="C1409" s="31" t="s">
        <v>1601</v>
      </c>
      <c r="D1409" s="32" t="s">
        <v>1602</v>
      </c>
      <c r="E1409" s="33">
        <f>Source!AQ1076</f>
        <v>43.3</v>
      </c>
      <c r="F1409" s="34"/>
      <c r="G1409" s="35" t="str">
        <f>Source!DI1076</f>
        <v>)*1,15</v>
      </c>
      <c r="H1409" s="33">
        <f>Source!AV1077</f>
        <v>1</v>
      </c>
      <c r="I1409" s="34">
        <f>Source!U1076</f>
        <v>0.49794999999999995</v>
      </c>
      <c r="J1409" s="33"/>
      <c r="K1409" s="34"/>
    </row>
    <row r="1410" spans="1:29" ht="15" x14ac:dyDescent="0.25">
      <c r="C1410" s="22" t="s">
        <v>1603</v>
      </c>
      <c r="H1410" s="104">
        <f>I1401+I1402+I1404+I1406+I1407+I1408+SUM(I1405:I1405)-SUMIF(AC1405:AC1405, 5, I1405:I1405)-SUMIF(AC1405:AC1405, 6, I1405:I1405)</f>
        <v>51.150000000000006</v>
      </c>
      <c r="I1410" s="104"/>
      <c r="J1410" s="104">
        <f>K1401+K1402+K1404+K1406+K1407+K1408+SUM(K1405:K1405)-SUMIF(AC1405:AC1405, 5, K1405:K1405)-SUMIF(AC1405:AC1405, 6, K1405:K1405)</f>
        <v>1024.0500000000002</v>
      </c>
      <c r="K1410" s="104"/>
    </row>
    <row r="1411" spans="1:29" ht="15" x14ac:dyDescent="0.25">
      <c r="C1411" s="22" t="s">
        <v>1604</v>
      </c>
      <c r="H1411" s="100">
        <f>SUMIF(AC1405:AC1405, 5, I1405:I1405)+SUMIF(AC1405:AC1405, 6, I1405:I1405)</f>
        <v>0</v>
      </c>
      <c r="I1411" s="100"/>
      <c r="J1411" s="100">
        <f>SUMIF(AC1405:AC1405, 5, K1405:K1405)+SUMIF(AC1405:AC1405, 6, K1405:K1405)</f>
        <v>0</v>
      </c>
      <c r="K1411" s="100"/>
    </row>
    <row r="1412" spans="1:29" ht="15" x14ac:dyDescent="0.25">
      <c r="C1412" s="22" t="s">
        <v>1605</v>
      </c>
      <c r="H1412" s="100">
        <f>I1401+I1402+I1404+I1406+I1407+I1408+SUM(I1405:I1405)</f>
        <v>51.150000000000006</v>
      </c>
      <c r="I1412" s="100"/>
      <c r="J1412" s="100">
        <f>K1401+K1402+K1404+K1406+K1407+K1408+SUM(K1405:K1405)</f>
        <v>1024.0500000000002</v>
      </c>
      <c r="K1412" s="100"/>
      <c r="O1412" s="36">
        <f>I1401+I1402+I1404+I1406+I1407+I1408+SUM(I1405:I1405)</f>
        <v>51.150000000000006</v>
      </c>
      <c r="P1412" s="36">
        <f>K1401+K1402+K1404+K1406+K1407+K1408+SUM(K1405:K1405)</f>
        <v>1024.0500000000002</v>
      </c>
    </row>
    <row r="1414" spans="1:29" ht="57" x14ac:dyDescent="0.2">
      <c r="A1414" s="27">
        <v>9</v>
      </c>
      <c r="B1414" s="27" t="s">
        <v>1683</v>
      </c>
      <c r="C1414" s="27" t="s">
        <v>890</v>
      </c>
      <c r="D1414" s="28" t="str">
        <f>Source!H1080</f>
        <v>100 м трубопровода</v>
      </c>
      <c r="E1414" s="12">
        <f>Source!I1080</f>
        <v>0.08</v>
      </c>
      <c r="F1414" s="30"/>
      <c r="G1414" s="29"/>
      <c r="H1414" s="12"/>
      <c r="I1414" s="30"/>
      <c r="J1414" s="12"/>
      <c r="K1414" s="30"/>
      <c r="Q1414">
        <f>Source!X1080</f>
        <v>67.56</v>
      </c>
      <c r="R1414">
        <f>Source!X1081</f>
        <v>1604.72</v>
      </c>
      <c r="S1414">
        <f>Source!Y1080</f>
        <v>45.45</v>
      </c>
      <c r="T1414">
        <f>Source!Y1081</f>
        <v>731.04</v>
      </c>
      <c r="U1414">
        <f>ROUND((175/100)*ROUND(Source!R1080, 2), 2)</f>
        <v>2.91</v>
      </c>
      <c r="V1414">
        <f>ROUND((160/100)*ROUND(Source!R1081, 2), 2)</f>
        <v>77.099999999999994</v>
      </c>
      <c r="AC1414">
        <v>0</v>
      </c>
    </row>
    <row r="1415" spans="1:29" ht="14.25" x14ac:dyDescent="0.2">
      <c r="A1415" s="27"/>
      <c r="B1415" s="27"/>
      <c r="C1415" s="27" t="s">
        <v>1597</v>
      </c>
      <c r="D1415" s="28"/>
      <c r="E1415" s="12"/>
      <c r="F1415" s="30">
        <f>Source!AO1080</f>
        <v>667.66</v>
      </c>
      <c r="G1415" s="29" t="str">
        <f>Source!DG1080</f>
        <v>)*1,15</v>
      </c>
      <c r="H1415" s="12">
        <f>Source!AV1081</f>
        <v>1</v>
      </c>
      <c r="I1415" s="30">
        <f>Source!S1080</f>
        <v>61.42</v>
      </c>
      <c r="J1415" s="12">
        <f>IF(Source!BA1081&lt;&gt; 0, Source!BA1081, 1)</f>
        <v>29.03</v>
      </c>
      <c r="K1415" s="30">
        <f>Source!S1081</f>
        <v>1783.02</v>
      </c>
    </row>
    <row r="1416" spans="1:29" ht="14.25" x14ac:dyDescent="0.2">
      <c r="A1416" s="27"/>
      <c r="B1416" s="27"/>
      <c r="C1416" s="27" t="s">
        <v>1609</v>
      </c>
      <c r="D1416" s="28"/>
      <c r="E1416" s="12"/>
      <c r="F1416" s="30">
        <f>Source!AM1080</f>
        <v>114.08</v>
      </c>
      <c r="G1416" s="29" t="str">
        <f>Source!DE1080</f>
        <v>)*1,25</v>
      </c>
      <c r="H1416" s="12">
        <f>Source!AV1081</f>
        <v>1</v>
      </c>
      <c r="I1416" s="30">
        <f>Source!Q1080</f>
        <v>11.41</v>
      </c>
      <c r="J1416" s="12">
        <f>IF(Source!BB1081&lt;&gt; 0, Source!BB1081, 1)</f>
        <v>11.16</v>
      </c>
      <c r="K1416" s="30">
        <f>Source!Q1081</f>
        <v>127.34</v>
      </c>
    </row>
    <row r="1417" spans="1:29" ht="14.25" x14ac:dyDescent="0.2">
      <c r="A1417" s="27"/>
      <c r="B1417" s="27"/>
      <c r="C1417" s="27" t="s">
        <v>1610</v>
      </c>
      <c r="D1417" s="28"/>
      <c r="E1417" s="12"/>
      <c r="F1417" s="30">
        <f>Source!AN1080</f>
        <v>16.559999999999999</v>
      </c>
      <c r="G1417" s="29" t="str">
        <f>Source!DF1080</f>
        <v>)*1,25</v>
      </c>
      <c r="H1417" s="12">
        <f>Source!AV1081</f>
        <v>1</v>
      </c>
      <c r="I1417" s="38">
        <f>Source!R1080</f>
        <v>1.66</v>
      </c>
      <c r="J1417" s="12">
        <f>IF(Source!BS1081&lt;&gt; 0, Source!BS1081, 1)</f>
        <v>29.03</v>
      </c>
      <c r="K1417" s="38">
        <f>Source!R1081</f>
        <v>48.19</v>
      </c>
    </row>
    <row r="1418" spans="1:29" ht="14.25" x14ac:dyDescent="0.2">
      <c r="A1418" s="27"/>
      <c r="B1418" s="27"/>
      <c r="C1418" s="27" t="s">
        <v>1611</v>
      </c>
      <c r="D1418" s="28"/>
      <c r="E1418" s="12"/>
      <c r="F1418" s="30">
        <f>Source!AL1080</f>
        <v>146.32</v>
      </c>
      <c r="G1418" s="29" t="str">
        <f>Source!DD1080</f>
        <v/>
      </c>
      <c r="H1418" s="12">
        <f>Source!AW1081</f>
        <v>1</v>
      </c>
      <c r="I1418" s="30">
        <f>Source!P1080</f>
        <v>11.71</v>
      </c>
      <c r="J1418" s="12">
        <f>IF(Source!BC1081&lt;&gt; 0, Source!BC1081, 1)</f>
        <v>7.25</v>
      </c>
      <c r="K1418" s="30">
        <f>Source!P1081</f>
        <v>84.9</v>
      </c>
    </row>
    <row r="1419" spans="1:29" ht="57" x14ac:dyDescent="0.2">
      <c r="A1419" s="27" t="s">
        <v>195</v>
      </c>
      <c r="B1419" s="27" t="str">
        <f>Source!F1082</f>
        <v>1.12-1-59</v>
      </c>
      <c r="C1419" s="27" t="s">
        <v>893</v>
      </c>
      <c r="D1419" s="28" t="str">
        <f>Source!H1082</f>
        <v>м</v>
      </c>
      <c r="E1419" s="12">
        <f>Source!I1082</f>
        <v>8</v>
      </c>
      <c r="F1419" s="30">
        <f>Source!AK1082</f>
        <v>111.92</v>
      </c>
      <c r="G1419" s="39" t="s">
        <v>3</v>
      </c>
      <c r="H1419" s="12">
        <f>Source!AW1083</f>
        <v>1</v>
      </c>
      <c r="I1419" s="30">
        <f>Source!O1082</f>
        <v>895.36</v>
      </c>
      <c r="J1419" s="12">
        <f>IF(Source!BC1083&lt;&gt; 0, Source!BC1083, 1)</f>
        <v>13.48</v>
      </c>
      <c r="K1419" s="30">
        <f>Source!O1083</f>
        <v>12069.45</v>
      </c>
      <c r="Q1419">
        <f>Source!X1082</f>
        <v>0</v>
      </c>
      <c r="R1419">
        <f>Source!X1083</f>
        <v>0</v>
      </c>
      <c r="S1419">
        <f>Source!Y1082</f>
        <v>0</v>
      </c>
      <c r="T1419">
        <f>Source!Y1083</f>
        <v>0</v>
      </c>
      <c r="U1419">
        <f>ROUND((175/100)*ROUND(Source!R1082, 2), 2)</f>
        <v>0</v>
      </c>
      <c r="V1419">
        <f>ROUND((160/100)*ROUND(Source!R1083, 2), 2)</f>
        <v>0</v>
      </c>
      <c r="AC1419">
        <v>3</v>
      </c>
    </row>
    <row r="1420" spans="1:29" ht="14.25" x14ac:dyDescent="0.2">
      <c r="A1420" s="27"/>
      <c r="B1420" s="27"/>
      <c r="C1420" s="27" t="s">
        <v>1598</v>
      </c>
      <c r="D1420" s="28" t="s">
        <v>1599</v>
      </c>
      <c r="E1420" s="12">
        <f>Source!DN1081</f>
        <v>110</v>
      </c>
      <c r="F1420" s="30"/>
      <c r="G1420" s="29"/>
      <c r="H1420" s="12"/>
      <c r="I1420" s="30">
        <f>SUM(Q1414:Q1419)</f>
        <v>67.56</v>
      </c>
      <c r="J1420" s="12">
        <f>Source!BZ1081</f>
        <v>90</v>
      </c>
      <c r="K1420" s="30">
        <f>SUM(R1414:R1419)</f>
        <v>1604.72</v>
      </c>
    </row>
    <row r="1421" spans="1:29" ht="14.25" x14ac:dyDescent="0.2">
      <c r="A1421" s="27"/>
      <c r="B1421" s="27"/>
      <c r="C1421" s="27" t="s">
        <v>1600</v>
      </c>
      <c r="D1421" s="28" t="s">
        <v>1599</v>
      </c>
      <c r="E1421" s="12">
        <f>Source!DO1081</f>
        <v>74</v>
      </c>
      <c r="F1421" s="30"/>
      <c r="G1421" s="29"/>
      <c r="H1421" s="12"/>
      <c r="I1421" s="30">
        <f>SUM(S1414:S1420)</f>
        <v>45.45</v>
      </c>
      <c r="J1421" s="12">
        <f>Source!CA1081</f>
        <v>41</v>
      </c>
      <c r="K1421" s="30">
        <f>SUM(T1414:T1420)</f>
        <v>731.04</v>
      </c>
    </row>
    <row r="1422" spans="1:29" ht="14.25" x14ac:dyDescent="0.2">
      <c r="A1422" s="27"/>
      <c r="B1422" s="27"/>
      <c r="C1422" s="27" t="s">
        <v>1612</v>
      </c>
      <c r="D1422" s="28" t="s">
        <v>1599</v>
      </c>
      <c r="E1422" s="12">
        <f>175</f>
        <v>175</v>
      </c>
      <c r="F1422" s="30"/>
      <c r="G1422" s="29"/>
      <c r="H1422" s="12"/>
      <c r="I1422" s="30">
        <f>SUM(U1414:U1421)</f>
        <v>2.91</v>
      </c>
      <c r="J1422" s="12">
        <f>160</f>
        <v>160</v>
      </c>
      <c r="K1422" s="30">
        <f>SUM(V1414:V1421)</f>
        <v>77.099999999999994</v>
      </c>
    </row>
    <row r="1423" spans="1:29" ht="14.25" x14ac:dyDescent="0.2">
      <c r="A1423" s="31"/>
      <c r="B1423" s="31"/>
      <c r="C1423" s="31" t="s">
        <v>1601</v>
      </c>
      <c r="D1423" s="32" t="s">
        <v>1602</v>
      </c>
      <c r="E1423" s="33">
        <f>Source!AQ1080</f>
        <v>55.5</v>
      </c>
      <c r="F1423" s="34"/>
      <c r="G1423" s="35" t="str">
        <f>Source!DI1080</f>
        <v>)*1,15</v>
      </c>
      <c r="H1423" s="33">
        <f>Source!AV1081</f>
        <v>1</v>
      </c>
      <c r="I1423" s="34">
        <f>Source!U1080</f>
        <v>5.1059999999999999</v>
      </c>
      <c r="J1423" s="33"/>
      <c r="K1423" s="34"/>
    </row>
    <row r="1424" spans="1:29" ht="15" x14ac:dyDescent="0.25">
      <c r="C1424" s="22" t="s">
        <v>1603</v>
      </c>
      <c r="H1424" s="104">
        <f>I1415+I1416+I1418+I1420+I1421+I1422+SUM(I1419:I1419)-SUMIF(AC1419:AC1419, 5, I1419:I1419)-SUMIF(AC1419:AC1419, 6, I1419:I1419)</f>
        <v>1095.82</v>
      </c>
      <c r="I1424" s="104"/>
      <c r="J1424" s="104">
        <f>K1415+K1416+K1418+K1420+K1421+K1422+SUM(K1419:K1419)-SUMIF(AC1419:AC1419, 5, K1419:K1419)-SUMIF(AC1419:AC1419, 6, K1419:K1419)</f>
        <v>16477.57</v>
      </c>
      <c r="K1424" s="104"/>
    </row>
    <row r="1425" spans="1:29" ht="15" x14ac:dyDescent="0.25">
      <c r="C1425" s="22" t="s">
        <v>1604</v>
      </c>
      <c r="H1425" s="100">
        <f>SUMIF(AC1419:AC1419, 5, I1419:I1419)+SUMIF(AC1419:AC1419, 6, I1419:I1419)</f>
        <v>0</v>
      </c>
      <c r="I1425" s="100"/>
      <c r="J1425" s="100">
        <f>SUMIF(AC1419:AC1419, 5, K1419:K1419)+SUMIF(AC1419:AC1419, 6, K1419:K1419)</f>
        <v>0</v>
      </c>
      <c r="K1425" s="100"/>
    </row>
    <row r="1426" spans="1:29" ht="15" x14ac:dyDescent="0.25">
      <c r="C1426" s="22" t="s">
        <v>1605</v>
      </c>
      <c r="H1426" s="100">
        <f>I1415+I1416+I1418+I1420+I1421+I1422+SUM(I1419:I1419)</f>
        <v>1095.82</v>
      </c>
      <c r="I1426" s="100"/>
      <c r="J1426" s="100">
        <f>K1415+K1416+K1418+K1420+K1421+K1422+SUM(K1419:K1419)</f>
        <v>16477.57</v>
      </c>
      <c r="K1426" s="100"/>
      <c r="O1426" s="36">
        <f>I1415+I1416+I1418+I1420+I1421+I1422+SUM(I1419:I1419)</f>
        <v>1095.82</v>
      </c>
      <c r="P1426" s="36">
        <f>K1415+K1416+K1418+K1420+K1421+K1422+SUM(K1419:K1419)</f>
        <v>16477.57</v>
      </c>
    </row>
    <row r="1428" spans="1:29" ht="52.5" x14ac:dyDescent="0.2">
      <c r="A1428" s="27">
        <v>10</v>
      </c>
      <c r="B1428" s="27" t="s">
        <v>1684</v>
      </c>
      <c r="C1428" s="27" t="s">
        <v>896</v>
      </c>
      <c r="D1428" s="28" t="str">
        <f>Source!H1084</f>
        <v>1 кран</v>
      </c>
      <c r="E1428" s="12">
        <f>Source!I1084</f>
        <v>2</v>
      </c>
      <c r="F1428" s="30"/>
      <c r="G1428" s="29"/>
      <c r="H1428" s="12"/>
      <c r="I1428" s="30"/>
      <c r="J1428" s="12"/>
      <c r="K1428" s="30"/>
      <c r="Q1428">
        <f>Source!X1084</f>
        <v>28.44</v>
      </c>
      <c r="R1428">
        <f>Source!X1085</f>
        <v>675.39</v>
      </c>
      <c r="S1428">
        <f>Source!Y1084</f>
        <v>19.13</v>
      </c>
      <c r="T1428">
        <f>Source!Y1085</f>
        <v>307.68</v>
      </c>
      <c r="U1428">
        <f>ROUND((175/100)*ROUND(Source!R1084, 2), 2)</f>
        <v>2.33</v>
      </c>
      <c r="V1428">
        <f>ROUND((160/100)*ROUND(Source!R1085, 2), 2)</f>
        <v>61.78</v>
      </c>
      <c r="AC1428">
        <v>0</v>
      </c>
    </row>
    <row r="1429" spans="1:29" ht="14.25" x14ac:dyDescent="0.2">
      <c r="A1429" s="27"/>
      <c r="B1429" s="27"/>
      <c r="C1429" s="27" t="s">
        <v>1597</v>
      </c>
      <c r="D1429" s="28"/>
      <c r="E1429" s="12"/>
      <c r="F1429" s="30">
        <f>Source!AO1084</f>
        <v>11.24</v>
      </c>
      <c r="G1429" s="29" t="str">
        <f>Source!DG1084</f>
        <v>)*1,15</v>
      </c>
      <c r="H1429" s="12">
        <f>Source!AV1085</f>
        <v>1</v>
      </c>
      <c r="I1429" s="30">
        <f>Source!S1084</f>
        <v>25.85</v>
      </c>
      <c r="J1429" s="12">
        <f>IF(Source!BA1085&lt;&gt; 0, Source!BA1085, 1)</f>
        <v>29.03</v>
      </c>
      <c r="K1429" s="30">
        <f>Source!S1085</f>
        <v>750.43</v>
      </c>
    </row>
    <row r="1430" spans="1:29" ht="14.25" x14ac:dyDescent="0.2">
      <c r="A1430" s="27"/>
      <c r="B1430" s="27"/>
      <c r="C1430" s="27" t="s">
        <v>1609</v>
      </c>
      <c r="D1430" s="28"/>
      <c r="E1430" s="12"/>
      <c r="F1430" s="30">
        <f>Source!AM1084</f>
        <v>2.23</v>
      </c>
      <c r="G1430" s="29" t="str">
        <f>Source!DE1084</f>
        <v>)*1,25</v>
      </c>
      <c r="H1430" s="12">
        <f>Source!AV1085</f>
        <v>1</v>
      </c>
      <c r="I1430" s="30">
        <f>Source!Q1084</f>
        <v>5.58</v>
      </c>
      <c r="J1430" s="12">
        <f>IF(Source!BB1085&lt;&gt; 0, Source!BB1085, 1)</f>
        <v>13.47</v>
      </c>
      <c r="K1430" s="30">
        <f>Source!Q1085</f>
        <v>75.16</v>
      </c>
    </row>
    <row r="1431" spans="1:29" ht="14.25" x14ac:dyDescent="0.2">
      <c r="A1431" s="27"/>
      <c r="B1431" s="27"/>
      <c r="C1431" s="27" t="s">
        <v>1610</v>
      </c>
      <c r="D1431" s="28"/>
      <c r="E1431" s="12"/>
      <c r="F1431" s="30">
        <f>Source!AN1084</f>
        <v>0.53</v>
      </c>
      <c r="G1431" s="29" t="str">
        <f>Source!DF1084</f>
        <v>)*1,25</v>
      </c>
      <c r="H1431" s="12">
        <f>Source!AV1085</f>
        <v>1</v>
      </c>
      <c r="I1431" s="38">
        <f>Source!R1084</f>
        <v>1.33</v>
      </c>
      <c r="J1431" s="12">
        <f>IF(Source!BS1085&lt;&gt; 0, Source!BS1085, 1)</f>
        <v>29.03</v>
      </c>
      <c r="K1431" s="38">
        <f>Source!R1085</f>
        <v>38.61</v>
      </c>
    </row>
    <row r="1432" spans="1:29" ht="14.25" x14ac:dyDescent="0.2">
      <c r="A1432" s="27"/>
      <c r="B1432" s="27"/>
      <c r="C1432" s="27" t="s">
        <v>1611</v>
      </c>
      <c r="D1432" s="28"/>
      <c r="E1432" s="12"/>
      <c r="F1432" s="30">
        <f>Source!AL1084</f>
        <v>211.41</v>
      </c>
      <c r="G1432" s="29" t="str">
        <f>Source!DD1084</f>
        <v/>
      </c>
      <c r="H1432" s="12">
        <f>Source!AW1085</f>
        <v>1</v>
      </c>
      <c r="I1432" s="30">
        <f>Source!P1084</f>
        <v>422.82</v>
      </c>
      <c r="J1432" s="12">
        <f>IF(Source!BC1085&lt;&gt; 0, Source!BC1085, 1)</f>
        <v>2.21</v>
      </c>
      <c r="K1432" s="30">
        <f>Source!P1085</f>
        <v>934.43</v>
      </c>
    </row>
    <row r="1433" spans="1:29" ht="71.25" x14ac:dyDescent="0.2">
      <c r="A1433" s="27" t="s">
        <v>201</v>
      </c>
      <c r="B1433" s="27" t="str">
        <f>Source!F1086</f>
        <v>1.13-1-19</v>
      </c>
      <c r="C1433" s="27" t="s">
        <v>902</v>
      </c>
      <c r="D1433" s="28" t="str">
        <f>Source!H1086</f>
        <v>шт.</v>
      </c>
      <c r="E1433" s="12">
        <f>Source!I1086</f>
        <v>2</v>
      </c>
      <c r="F1433" s="30">
        <f>Source!AK1086</f>
        <v>0</v>
      </c>
      <c r="G1433" s="39" t="s">
        <v>3</v>
      </c>
      <c r="H1433" s="12">
        <f>Source!AW1087</f>
        <v>1</v>
      </c>
      <c r="I1433" s="30">
        <f>Source!O1086</f>
        <v>0</v>
      </c>
      <c r="J1433" s="12">
        <f>IF(Source!BC1087&lt;&gt; 0, Source!BC1087, 1)</f>
        <v>4.82</v>
      </c>
      <c r="K1433" s="30">
        <f>Source!O1087</f>
        <v>0</v>
      </c>
      <c r="Q1433">
        <f>Source!X1086</f>
        <v>0</v>
      </c>
      <c r="R1433">
        <f>Source!X1087</f>
        <v>0</v>
      </c>
      <c r="S1433">
        <f>Source!Y1086</f>
        <v>0</v>
      </c>
      <c r="T1433">
        <f>Source!Y1087</f>
        <v>0</v>
      </c>
      <c r="U1433">
        <f>ROUND((175/100)*ROUND(Source!R1086, 2), 2)</f>
        <v>0</v>
      </c>
      <c r="V1433">
        <f>ROUND((160/100)*ROUND(Source!R1087, 2), 2)</f>
        <v>0</v>
      </c>
      <c r="AC1433">
        <v>3</v>
      </c>
    </row>
    <row r="1434" spans="1:29" ht="28.5" x14ac:dyDescent="0.2">
      <c r="A1434" s="27" t="s">
        <v>903</v>
      </c>
      <c r="B1434" s="27" t="str">
        <f>Source!F1088</f>
        <v>1.17-7-30</v>
      </c>
      <c r="C1434" s="27" t="s">
        <v>905</v>
      </c>
      <c r="D1434" s="28" t="str">
        <f>Source!H1088</f>
        <v>м</v>
      </c>
      <c r="E1434" s="12">
        <f>Source!I1088</f>
        <v>40</v>
      </c>
      <c r="F1434" s="30">
        <f>Source!AK1088</f>
        <v>0</v>
      </c>
      <c r="G1434" s="39" t="s">
        <v>3</v>
      </c>
      <c r="H1434" s="12">
        <f>Source!AW1089</f>
        <v>1</v>
      </c>
      <c r="I1434" s="30">
        <f>Source!O1088</f>
        <v>0</v>
      </c>
      <c r="J1434" s="12">
        <f>IF(Source!BC1089&lt;&gt; 0, Source!BC1089, 1)</f>
        <v>8.65</v>
      </c>
      <c r="K1434" s="30">
        <f>Source!O1089</f>
        <v>0</v>
      </c>
      <c r="Q1434">
        <f>Source!X1088</f>
        <v>0</v>
      </c>
      <c r="R1434">
        <f>Source!X1089</f>
        <v>0</v>
      </c>
      <c r="S1434">
        <f>Source!Y1088</f>
        <v>0</v>
      </c>
      <c r="T1434">
        <f>Source!Y1089</f>
        <v>0</v>
      </c>
      <c r="U1434">
        <f>ROUND((175/100)*ROUND(Source!R1088, 2), 2)</f>
        <v>0</v>
      </c>
      <c r="V1434">
        <f>ROUND((160/100)*ROUND(Source!R1089, 2), 2)</f>
        <v>0</v>
      </c>
      <c r="AC1434">
        <v>3</v>
      </c>
    </row>
    <row r="1435" spans="1:29" ht="28.5" x14ac:dyDescent="0.2">
      <c r="A1435" s="27" t="s">
        <v>906</v>
      </c>
      <c r="B1435" s="27" t="str">
        <f>Source!F1090</f>
        <v>1.7-8-5</v>
      </c>
      <c r="C1435" s="27" t="s">
        <v>908</v>
      </c>
      <c r="D1435" s="28" t="str">
        <f>Source!H1090</f>
        <v>шт.</v>
      </c>
      <c r="E1435" s="12">
        <f>Source!I1090</f>
        <v>2</v>
      </c>
      <c r="F1435" s="30">
        <f>Source!AK1090</f>
        <v>0</v>
      </c>
      <c r="G1435" s="39" t="s">
        <v>3</v>
      </c>
      <c r="H1435" s="12">
        <f>Source!AW1091</f>
        <v>1</v>
      </c>
      <c r="I1435" s="30">
        <f>Source!O1090</f>
        <v>0</v>
      </c>
      <c r="J1435" s="12">
        <f>IF(Source!BC1091&lt;&gt; 0, Source!BC1091, 1)</f>
        <v>2.5499999999999998</v>
      </c>
      <c r="K1435" s="30">
        <f>Source!O1091</f>
        <v>0</v>
      </c>
      <c r="Q1435">
        <f>Source!X1090</f>
        <v>0</v>
      </c>
      <c r="R1435">
        <f>Source!X1091</f>
        <v>0</v>
      </c>
      <c r="S1435">
        <f>Source!Y1090</f>
        <v>0</v>
      </c>
      <c r="T1435">
        <f>Source!Y1091</f>
        <v>0</v>
      </c>
      <c r="U1435">
        <f>ROUND((175/100)*ROUND(Source!R1090, 2), 2)</f>
        <v>0</v>
      </c>
      <c r="V1435">
        <f>ROUND((160/100)*ROUND(Source!R1091, 2), 2)</f>
        <v>0</v>
      </c>
      <c r="AC1435">
        <v>3</v>
      </c>
    </row>
    <row r="1436" spans="1:29" ht="14.25" x14ac:dyDescent="0.2">
      <c r="A1436" s="27"/>
      <c r="B1436" s="27"/>
      <c r="C1436" s="27" t="s">
        <v>1598</v>
      </c>
      <c r="D1436" s="28" t="s">
        <v>1599</v>
      </c>
      <c r="E1436" s="12">
        <f>Source!DN1085</f>
        <v>110</v>
      </c>
      <c r="F1436" s="30"/>
      <c r="G1436" s="29"/>
      <c r="H1436" s="12"/>
      <c r="I1436" s="30">
        <f>SUM(Q1428:Q1435)</f>
        <v>28.44</v>
      </c>
      <c r="J1436" s="12">
        <f>Source!BZ1085</f>
        <v>90</v>
      </c>
      <c r="K1436" s="30">
        <f>SUM(R1428:R1435)</f>
        <v>675.39</v>
      </c>
    </row>
    <row r="1437" spans="1:29" ht="14.25" x14ac:dyDescent="0.2">
      <c r="A1437" s="27"/>
      <c r="B1437" s="27"/>
      <c r="C1437" s="27" t="s">
        <v>1600</v>
      </c>
      <c r="D1437" s="28" t="s">
        <v>1599</v>
      </c>
      <c r="E1437" s="12">
        <f>Source!DO1085</f>
        <v>74</v>
      </c>
      <c r="F1437" s="30"/>
      <c r="G1437" s="29"/>
      <c r="H1437" s="12"/>
      <c r="I1437" s="30">
        <f>SUM(S1428:S1436)</f>
        <v>19.13</v>
      </c>
      <c r="J1437" s="12">
        <f>Source!CA1085</f>
        <v>41</v>
      </c>
      <c r="K1437" s="30">
        <f>SUM(T1428:T1436)</f>
        <v>307.68</v>
      </c>
    </row>
    <row r="1438" spans="1:29" ht="14.25" x14ac:dyDescent="0.2">
      <c r="A1438" s="27"/>
      <c r="B1438" s="27"/>
      <c r="C1438" s="27" t="s">
        <v>1612</v>
      </c>
      <c r="D1438" s="28" t="s">
        <v>1599</v>
      </c>
      <c r="E1438" s="12">
        <f>175</f>
        <v>175</v>
      </c>
      <c r="F1438" s="30"/>
      <c r="G1438" s="29"/>
      <c r="H1438" s="12"/>
      <c r="I1438" s="30">
        <f>SUM(U1428:U1437)</f>
        <v>2.33</v>
      </c>
      <c r="J1438" s="12">
        <f>160</f>
        <v>160</v>
      </c>
      <c r="K1438" s="30">
        <f>SUM(V1428:V1437)</f>
        <v>61.78</v>
      </c>
    </row>
    <row r="1439" spans="1:29" ht="14.25" x14ac:dyDescent="0.2">
      <c r="A1439" s="31"/>
      <c r="B1439" s="31"/>
      <c r="C1439" s="31" t="s">
        <v>1601</v>
      </c>
      <c r="D1439" s="32" t="s">
        <v>1602</v>
      </c>
      <c r="E1439" s="33">
        <f>Source!AQ1084</f>
        <v>0.9</v>
      </c>
      <c r="F1439" s="34"/>
      <c r="G1439" s="35" t="str">
        <f>Source!DI1084</f>
        <v>)*1,15</v>
      </c>
      <c r="H1439" s="33">
        <f>Source!AV1085</f>
        <v>1</v>
      </c>
      <c r="I1439" s="34">
        <f>Source!U1084</f>
        <v>2.0699999999999998</v>
      </c>
      <c r="J1439" s="33"/>
      <c r="K1439" s="34"/>
    </row>
    <row r="1440" spans="1:29" ht="15" x14ac:dyDescent="0.25">
      <c r="C1440" s="22" t="s">
        <v>1603</v>
      </c>
      <c r="H1440" s="104">
        <f>I1429+I1430+I1432+I1436+I1437+I1438+SUM(I1433:I1435)-SUMIF(AC1433:AC1435, 5, I1433:I1435)-SUMIF(AC1433:AC1435, 6, I1433:I1435)</f>
        <v>504.15</v>
      </c>
      <c r="I1440" s="104"/>
      <c r="J1440" s="104">
        <f>K1429+K1430+K1432+K1436+K1437+K1438+SUM(K1433:K1435)-SUMIF(AC1433:AC1435, 5, K1433:K1435)-SUMIF(AC1433:AC1435, 6, K1433:K1435)</f>
        <v>2804.87</v>
      </c>
      <c r="K1440" s="104"/>
    </row>
    <row r="1441" spans="1:29" ht="15" x14ac:dyDescent="0.25">
      <c r="C1441" s="22" t="s">
        <v>1604</v>
      </c>
      <c r="H1441" s="100">
        <f>SUMIF(AC1433:AC1435, 5, I1433:I1435)+SUMIF(AC1433:AC1435, 6, I1433:I1435)</f>
        <v>0</v>
      </c>
      <c r="I1441" s="100"/>
      <c r="J1441" s="100">
        <f>SUMIF(AC1433:AC1435, 5, K1433:K1435)+SUMIF(AC1433:AC1435, 6, K1433:K1435)</f>
        <v>0</v>
      </c>
      <c r="K1441" s="100"/>
    </row>
    <row r="1442" spans="1:29" ht="15" x14ac:dyDescent="0.25">
      <c r="C1442" s="22" t="s">
        <v>1605</v>
      </c>
      <c r="H1442" s="100">
        <f>I1429+I1430+I1432+I1436+I1437+I1438+SUM(I1433:I1435)</f>
        <v>504.15</v>
      </c>
      <c r="I1442" s="100"/>
      <c r="J1442" s="100">
        <f>K1429+K1430+K1432+K1436+K1437+K1438+SUM(K1433:K1435)</f>
        <v>2804.87</v>
      </c>
      <c r="K1442" s="100"/>
      <c r="O1442" s="36">
        <f>I1429+I1430+I1432+I1436+I1437+I1438+SUM(I1433:I1435)</f>
        <v>504.15</v>
      </c>
      <c r="P1442" s="36">
        <f>K1429+K1430+K1432+K1436+K1437+K1438+SUM(K1433:K1435)</f>
        <v>2804.87</v>
      </c>
    </row>
    <row r="1445" spans="1:29" ht="15" x14ac:dyDescent="0.25">
      <c r="A1445" s="102" t="str">
        <f>CONCATENATE("Итого по разделу: ",IF(Source!G1093&lt;&gt;"Новый раздел", Source!G1093, ""))</f>
        <v>Итого по разделу: Внутренние сети В1, Т3, В2</v>
      </c>
      <c r="B1445" s="102"/>
      <c r="C1445" s="102"/>
      <c r="D1445" s="102"/>
      <c r="E1445" s="102"/>
      <c r="F1445" s="102"/>
      <c r="G1445" s="102"/>
      <c r="H1445" s="100">
        <f>SUM(O1350:O1444)</f>
        <v>3667.89</v>
      </c>
      <c r="I1445" s="101"/>
      <c r="J1445" s="100">
        <f>SUM(P1350:P1444)</f>
        <v>60865.919999999998</v>
      </c>
      <c r="K1445" s="101"/>
    </row>
    <row r="1446" spans="1:29" hidden="1" x14ac:dyDescent="0.2">
      <c r="A1446" t="s">
        <v>1606</v>
      </c>
      <c r="I1446">
        <f>SUM(W1350:W1445)</f>
        <v>0</v>
      </c>
      <c r="J1446">
        <f>SUM(X1350:X1445)</f>
        <v>0</v>
      </c>
    </row>
    <row r="1447" spans="1:29" hidden="1" x14ac:dyDescent="0.2">
      <c r="A1447" t="s">
        <v>1607</v>
      </c>
      <c r="I1447">
        <f>SUM(Y1350:Y1446)</f>
        <v>0</v>
      </c>
      <c r="J1447">
        <f>SUM(Z1350:Z1446)</f>
        <v>0</v>
      </c>
    </row>
    <row r="1449" spans="1:29" ht="16.5" x14ac:dyDescent="0.25">
      <c r="A1449" s="103" t="str">
        <f>CONCATENATE("Раздел: ",IF(Source!G1123&lt;&gt;"Новый раздел", Source!G1123, ""))</f>
        <v>Раздел: Внутренние сети  К1</v>
      </c>
      <c r="B1449" s="103"/>
      <c r="C1449" s="103"/>
      <c r="D1449" s="103"/>
      <c r="E1449" s="103"/>
      <c r="F1449" s="103"/>
      <c r="G1449" s="103"/>
      <c r="H1449" s="103"/>
      <c r="I1449" s="103"/>
      <c r="J1449" s="103"/>
      <c r="K1449" s="103"/>
    </row>
    <row r="1450" spans="1:29" ht="52.5" x14ac:dyDescent="0.2">
      <c r="A1450" s="27">
        <v>11</v>
      </c>
      <c r="B1450" s="27" t="s">
        <v>1685</v>
      </c>
      <c r="C1450" s="27" t="s">
        <v>911</v>
      </c>
      <c r="D1450" s="28" t="str">
        <f>Source!H1127</f>
        <v>100 м</v>
      </c>
      <c r="E1450" s="12">
        <f>Source!I1127</f>
        <v>0.03</v>
      </c>
      <c r="F1450" s="30"/>
      <c r="G1450" s="29"/>
      <c r="H1450" s="12"/>
      <c r="I1450" s="30"/>
      <c r="J1450" s="12"/>
      <c r="K1450" s="30"/>
      <c r="Q1450">
        <f>Source!X1127</f>
        <v>28.37</v>
      </c>
      <c r="R1450">
        <f>Source!X1128</f>
        <v>673.81</v>
      </c>
      <c r="S1450">
        <f>Source!Y1127</f>
        <v>19.079999999999998</v>
      </c>
      <c r="T1450">
        <f>Source!Y1128</f>
        <v>306.95999999999998</v>
      </c>
      <c r="U1450">
        <f>ROUND((175/100)*ROUND(Source!R1127, 2), 2)</f>
        <v>0.14000000000000001</v>
      </c>
      <c r="V1450">
        <f>ROUND((160/100)*ROUND(Source!R1128, 2), 2)</f>
        <v>3.71</v>
      </c>
      <c r="AC1450">
        <v>0</v>
      </c>
    </row>
    <row r="1451" spans="1:29" ht="14.25" x14ac:dyDescent="0.2">
      <c r="A1451" s="27"/>
      <c r="B1451" s="27"/>
      <c r="C1451" s="27" t="s">
        <v>1597</v>
      </c>
      <c r="D1451" s="28"/>
      <c r="E1451" s="12"/>
      <c r="F1451" s="30">
        <f>Source!AO1127</f>
        <v>747.52</v>
      </c>
      <c r="G1451" s="29" t="str">
        <f>Source!DG1127</f>
        <v>)*1,15</v>
      </c>
      <c r="H1451" s="12">
        <f>Source!AV1128</f>
        <v>1</v>
      </c>
      <c r="I1451" s="30">
        <f>Source!S1127</f>
        <v>25.79</v>
      </c>
      <c r="J1451" s="12">
        <f>IF(Source!BA1128&lt;&gt; 0, Source!BA1128, 1)</f>
        <v>29.03</v>
      </c>
      <c r="K1451" s="30">
        <f>Source!S1128</f>
        <v>748.68</v>
      </c>
    </row>
    <row r="1452" spans="1:29" ht="14.25" x14ac:dyDescent="0.2">
      <c r="A1452" s="27"/>
      <c r="B1452" s="27"/>
      <c r="C1452" s="27" t="s">
        <v>1609</v>
      </c>
      <c r="D1452" s="28"/>
      <c r="E1452" s="12"/>
      <c r="F1452" s="30">
        <f>Source!AM1127</f>
        <v>8.4700000000000006</v>
      </c>
      <c r="G1452" s="29" t="str">
        <f>Source!DE1127</f>
        <v>)*1,25</v>
      </c>
      <c r="H1452" s="12">
        <f>Source!AV1128</f>
        <v>1</v>
      </c>
      <c r="I1452" s="30">
        <f>Source!Q1127</f>
        <v>0.32</v>
      </c>
      <c r="J1452" s="12">
        <f>IF(Source!BB1128&lt;&gt; 0, Source!BB1128, 1)</f>
        <v>13.58</v>
      </c>
      <c r="K1452" s="30">
        <f>Source!Q1128</f>
        <v>4.3499999999999996</v>
      </c>
    </row>
    <row r="1453" spans="1:29" ht="14.25" x14ac:dyDescent="0.2">
      <c r="A1453" s="27"/>
      <c r="B1453" s="27"/>
      <c r="C1453" s="27" t="s">
        <v>1610</v>
      </c>
      <c r="D1453" s="28"/>
      <c r="E1453" s="12"/>
      <c r="F1453" s="30">
        <f>Source!AN1127</f>
        <v>2.06</v>
      </c>
      <c r="G1453" s="29" t="str">
        <f>Source!DF1127</f>
        <v>)*1,25</v>
      </c>
      <c r="H1453" s="12">
        <f>Source!AV1128</f>
        <v>1</v>
      </c>
      <c r="I1453" s="38">
        <f>Source!R1127</f>
        <v>0.08</v>
      </c>
      <c r="J1453" s="12">
        <f>IF(Source!BS1128&lt;&gt; 0, Source!BS1128, 1)</f>
        <v>29.03</v>
      </c>
      <c r="K1453" s="38">
        <f>Source!R1128</f>
        <v>2.3199999999999998</v>
      </c>
    </row>
    <row r="1454" spans="1:29" ht="14.25" x14ac:dyDescent="0.2">
      <c r="A1454" s="27"/>
      <c r="B1454" s="27"/>
      <c r="C1454" s="27" t="s">
        <v>1611</v>
      </c>
      <c r="D1454" s="28"/>
      <c r="E1454" s="12"/>
      <c r="F1454" s="30">
        <f>Source!AL1127</f>
        <v>189.21</v>
      </c>
      <c r="G1454" s="29" t="str">
        <f>Source!DD1127</f>
        <v/>
      </c>
      <c r="H1454" s="12">
        <f>Source!AW1128</f>
        <v>1</v>
      </c>
      <c r="I1454" s="30">
        <f>Source!P1127</f>
        <v>5.68</v>
      </c>
      <c r="J1454" s="12">
        <f>IF(Source!BC1128&lt;&gt; 0, Source!BC1128, 1)</f>
        <v>8.8699999999999992</v>
      </c>
      <c r="K1454" s="30">
        <f>Source!P1128</f>
        <v>50.38</v>
      </c>
    </row>
    <row r="1455" spans="1:29" ht="57" x14ac:dyDescent="0.2">
      <c r="A1455" s="27" t="s">
        <v>209</v>
      </c>
      <c r="B1455" s="27" t="str">
        <f>Source!F1129</f>
        <v>1.12-5-33</v>
      </c>
      <c r="C1455" s="27" t="s">
        <v>914</v>
      </c>
      <c r="D1455" s="28" t="str">
        <f>Source!H1129</f>
        <v>м</v>
      </c>
      <c r="E1455" s="12">
        <f>Source!I1129</f>
        <v>2.9940000000000002</v>
      </c>
      <c r="F1455" s="30">
        <f>Source!AK1129</f>
        <v>16.45</v>
      </c>
      <c r="G1455" s="39" t="s">
        <v>3</v>
      </c>
      <c r="H1455" s="12">
        <f>Source!AW1130</f>
        <v>1</v>
      </c>
      <c r="I1455" s="30">
        <f>Source!O1129</f>
        <v>49.25</v>
      </c>
      <c r="J1455" s="12">
        <f>IF(Source!BC1130&lt;&gt; 0, Source!BC1130, 1)</f>
        <v>7.93</v>
      </c>
      <c r="K1455" s="30">
        <f>Source!O1130</f>
        <v>390.55</v>
      </c>
      <c r="Q1455">
        <f>Source!X1129</f>
        <v>0</v>
      </c>
      <c r="R1455">
        <f>Source!X1130</f>
        <v>0</v>
      </c>
      <c r="S1455">
        <f>Source!Y1129</f>
        <v>0</v>
      </c>
      <c r="T1455">
        <f>Source!Y1130</f>
        <v>0</v>
      </c>
      <c r="U1455">
        <f>ROUND((175/100)*ROUND(Source!R1129, 2), 2)</f>
        <v>0</v>
      </c>
      <c r="V1455">
        <f>ROUND((160/100)*ROUND(Source!R1130, 2), 2)</f>
        <v>0</v>
      </c>
      <c r="AC1455">
        <v>3</v>
      </c>
    </row>
    <row r="1456" spans="1:29" ht="42.75" x14ac:dyDescent="0.2">
      <c r="A1456" s="27" t="s">
        <v>781</v>
      </c>
      <c r="B1456" s="27" t="str">
        <f>Source!F1131</f>
        <v>1.12-5-76</v>
      </c>
      <c r="C1456" s="27" t="s">
        <v>917</v>
      </c>
      <c r="D1456" s="28" t="str">
        <f>Source!H1131</f>
        <v>шт.</v>
      </c>
      <c r="E1456" s="12">
        <f>Source!I1131</f>
        <v>3</v>
      </c>
      <c r="F1456" s="30">
        <f>Source!AK1131</f>
        <v>0</v>
      </c>
      <c r="G1456" s="39" t="s">
        <v>3</v>
      </c>
      <c r="H1456" s="12">
        <f>Source!AW1132</f>
        <v>1</v>
      </c>
      <c r="I1456" s="30">
        <f>Source!O1131</f>
        <v>0</v>
      </c>
      <c r="J1456" s="12">
        <f>IF(Source!BC1132&lt;&gt; 0, Source!BC1132, 1)</f>
        <v>3.64</v>
      </c>
      <c r="K1456" s="30">
        <f>Source!O1132</f>
        <v>0</v>
      </c>
      <c r="Q1456">
        <f>Source!X1131</f>
        <v>0</v>
      </c>
      <c r="R1456">
        <f>Source!X1132</f>
        <v>0</v>
      </c>
      <c r="S1456">
        <f>Source!Y1131</f>
        <v>0</v>
      </c>
      <c r="T1456">
        <f>Source!Y1132</f>
        <v>0</v>
      </c>
      <c r="U1456">
        <f>ROUND((175/100)*ROUND(Source!R1131, 2), 2)</f>
        <v>0</v>
      </c>
      <c r="V1456">
        <f>ROUND((160/100)*ROUND(Source!R1132, 2), 2)</f>
        <v>0</v>
      </c>
      <c r="AC1456">
        <v>3</v>
      </c>
    </row>
    <row r="1457" spans="1:29" ht="42.75" x14ac:dyDescent="0.2">
      <c r="A1457" s="27" t="s">
        <v>784</v>
      </c>
      <c r="B1457" s="27" t="str">
        <f>Source!F1133</f>
        <v>1.12-5-77</v>
      </c>
      <c r="C1457" s="27" t="s">
        <v>919</v>
      </c>
      <c r="D1457" s="28" t="str">
        <f>Source!H1133</f>
        <v>шт.</v>
      </c>
      <c r="E1457" s="12">
        <f>Source!I1133</f>
        <v>1</v>
      </c>
      <c r="F1457" s="30">
        <f>Source!AK1133</f>
        <v>0</v>
      </c>
      <c r="G1457" s="39" t="s">
        <v>3</v>
      </c>
      <c r="H1457" s="12">
        <f>Source!AW1134</f>
        <v>1</v>
      </c>
      <c r="I1457" s="30">
        <f>Source!O1133</f>
        <v>0</v>
      </c>
      <c r="J1457" s="12">
        <f>IF(Source!BC1134&lt;&gt; 0, Source!BC1134, 1)</f>
        <v>4.09</v>
      </c>
      <c r="K1457" s="30">
        <f>Source!O1134</f>
        <v>0</v>
      </c>
      <c r="Q1457">
        <f>Source!X1133</f>
        <v>0</v>
      </c>
      <c r="R1457">
        <f>Source!X1134</f>
        <v>0</v>
      </c>
      <c r="S1457">
        <f>Source!Y1133</f>
        <v>0</v>
      </c>
      <c r="T1457">
        <f>Source!Y1134</f>
        <v>0</v>
      </c>
      <c r="U1457">
        <f>ROUND((175/100)*ROUND(Source!R1133, 2), 2)</f>
        <v>0</v>
      </c>
      <c r="V1457">
        <f>ROUND((160/100)*ROUND(Source!R1134, 2), 2)</f>
        <v>0</v>
      </c>
      <c r="AC1457">
        <v>3</v>
      </c>
    </row>
    <row r="1458" spans="1:29" ht="42.75" x14ac:dyDescent="0.2">
      <c r="A1458" s="27" t="s">
        <v>787</v>
      </c>
      <c r="B1458" s="27" t="str">
        <f>Source!F1135</f>
        <v>Цена поставщика</v>
      </c>
      <c r="C1458" s="27" t="s">
        <v>1686</v>
      </c>
      <c r="D1458" s="28" t="str">
        <f>Source!H1135</f>
        <v>шт.</v>
      </c>
      <c r="E1458" s="12">
        <f>Source!I1135</f>
        <v>6</v>
      </c>
      <c r="F1458" s="30">
        <f>Source!AK1135</f>
        <v>4.72</v>
      </c>
      <c r="G1458" s="39" t="s">
        <v>3</v>
      </c>
      <c r="H1458" s="12">
        <f>Source!AW1136</f>
        <v>1</v>
      </c>
      <c r="I1458" s="30">
        <f>Source!O1135</f>
        <v>28.32</v>
      </c>
      <c r="J1458" s="12">
        <f>IF(Source!BC1136&lt;&gt; 0, Source!BC1136, 1)</f>
        <v>8.65</v>
      </c>
      <c r="K1458" s="30">
        <f>Source!O1136</f>
        <v>187.88</v>
      </c>
      <c r="Q1458">
        <f>Source!X1135</f>
        <v>0</v>
      </c>
      <c r="R1458">
        <f>Source!X1136</f>
        <v>0</v>
      </c>
      <c r="S1458">
        <f>Source!Y1135</f>
        <v>0</v>
      </c>
      <c r="T1458">
        <f>Source!Y1136</f>
        <v>0</v>
      </c>
      <c r="U1458">
        <f>ROUND((175/100)*ROUND(Source!R1135, 2), 2)</f>
        <v>0</v>
      </c>
      <c r="V1458">
        <f>ROUND((160/100)*ROUND(Source!R1136, 2), 2)</f>
        <v>0</v>
      </c>
      <c r="AC1458">
        <v>3</v>
      </c>
    </row>
    <row r="1459" spans="1:29" ht="14.25" x14ac:dyDescent="0.2">
      <c r="A1459" s="27"/>
      <c r="B1459" s="27"/>
      <c r="C1459" s="27" t="s">
        <v>1598</v>
      </c>
      <c r="D1459" s="28" t="s">
        <v>1599</v>
      </c>
      <c r="E1459" s="12">
        <f>Source!DN1128</f>
        <v>110</v>
      </c>
      <c r="F1459" s="30"/>
      <c r="G1459" s="29"/>
      <c r="H1459" s="12"/>
      <c r="I1459" s="30">
        <f>SUM(Q1450:Q1458)</f>
        <v>28.37</v>
      </c>
      <c r="J1459" s="12">
        <f>Source!BZ1128</f>
        <v>90</v>
      </c>
      <c r="K1459" s="30">
        <f>SUM(R1450:R1458)</f>
        <v>673.81</v>
      </c>
    </row>
    <row r="1460" spans="1:29" ht="14.25" x14ac:dyDescent="0.2">
      <c r="A1460" s="27"/>
      <c r="B1460" s="27"/>
      <c r="C1460" s="27" t="s">
        <v>1600</v>
      </c>
      <c r="D1460" s="28" t="s">
        <v>1599</v>
      </c>
      <c r="E1460" s="12">
        <f>Source!DO1128</f>
        <v>74</v>
      </c>
      <c r="F1460" s="30"/>
      <c r="G1460" s="29"/>
      <c r="H1460" s="12"/>
      <c r="I1460" s="30">
        <f>SUM(S1450:S1459)</f>
        <v>19.079999999999998</v>
      </c>
      <c r="J1460" s="12">
        <f>Source!CA1128</f>
        <v>41</v>
      </c>
      <c r="K1460" s="30">
        <f>SUM(T1450:T1459)</f>
        <v>306.95999999999998</v>
      </c>
    </row>
    <row r="1461" spans="1:29" ht="14.25" x14ac:dyDescent="0.2">
      <c r="A1461" s="27"/>
      <c r="B1461" s="27"/>
      <c r="C1461" s="27" t="s">
        <v>1612</v>
      </c>
      <c r="D1461" s="28" t="s">
        <v>1599</v>
      </c>
      <c r="E1461" s="12">
        <f>175</f>
        <v>175</v>
      </c>
      <c r="F1461" s="30"/>
      <c r="G1461" s="29"/>
      <c r="H1461" s="12"/>
      <c r="I1461" s="30">
        <f>SUM(U1450:U1460)</f>
        <v>0.14000000000000001</v>
      </c>
      <c r="J1461" s="12">
        <f>160</f>
        <v>160</v>
      </c>
      <c r="K1461" s="30">
        <f>SUM(V1450:V1460)</f>
        <v>3.71</v>
      </c>
    </row>
    <row r="1462" spans="1:29" ht="14.25" x14ac:dyDescent="0.2">
      <c r="A1462" s="31"/>
      <c r="B1462" s="31"/>
      <c r="C1462" s="31" t="s">
        <v>1601</v>
      </c>
      <c r="D1462" s="32" t="s">
        <v>1602</v>
      </c>
      <c r="E1462" s="33">
        <f>Source!AQ1127</f>
        <v>58.4</v>
      </c>
      <c r="F1462" s="34"/>
      <c r="G1462" s="35" t="str">
        <f>Source!DI1127</f>
        <v>)*1,15</v>
      </c>
      <c r="H1462" s="33">
        <f>Source!AV1128</f>
        <v>1</v>
      </c>
      <c r="I1462" s="34">
        <f>Source!U1127</f>
        <v>2.0147999999999997</v>
      </c>
      <c r="J1462" s="33"/>
      <c r="K1462" s="34"/>
    </row>
    <row r="1463" spans="1:29" ht="15" x14ac:dyDescent="0.25">
      <c r="C1463" s="22" t="s">
        <v>1603</v>
      </c>
      <c r="H1463" s="104">
        <f>I1451+I1452+I1454+I1459+I1460+I1461+SUM(I1455:I1458)-SUMIF(AC1455:AC1458, 5, I1455:I1458)-SUMIF(AC1455:AC1458, 6, I1455:I1458)</f>
        <v>156.94999999999999</v>
      </c>
      <c r="I1463" s="104"/>
      <c r="J1463" s="104">
        <f>K1451+K1452+K1454+K1459+K1460+K1461+SUM(K1455:K1458)-SUMIF(AC1455:AC1458, 5, K1455:K1458)-SUMIF(AC1455:AC1458, 6, K1455:K1458)</f>
        <v>2366.3199999999997</v>
      </c>
      <c r="K1463" s="104"/>
    </row>
    <row r="1464" spans="1:29" ht="15" x14ac:dyDescent="0.25">
      <c r="C1464" s="22" t="s">
        <v>1604</v>
      </c>
      <c r="H1464" s="100">
        <f>SUMIF(AC1455:AC1458, 5, I1455:I1458)+SUMIF(AC1455:AC1458, 6, I1455:I1458)</f>
        <v>0</v>
      </c>
      <c r="I1464" s="100"/>
      <c r="J1464" s="100">
        <f>SUMIF(AC1455:AC1458, 5, K1455:K1458)+SUMIF(AC1455:AC1458, 6, K1455:K1458)</f>
        <v>0</v>
      </c>
      <c r="K1464" s="100"/>
    </row>
    <row r="1465" spans="1:29" ht="15" x14ac:dyDescent="0.25">
      <c r="C1465" s="22" t="s">
        <v>1605</v>
      </c>
      <c r="H1465" s="100">
        <f>I1451+I1452+I1454+I1459+I1460+I1461+SUM(I1455:I1458)</f>
        <v>156.94999999999999</v>
      </c>
      <c r="I1465" s="100"/>
      <c r="J1465" s="100">
        <f>K1451+K1452+K1454+K1459+K1460+K1461+SUM(K1455:K1458)</f>
        <v>2366.3199999999997</v>
      </c>
      <c r="K1465" s="100"/>
      <c r="O1465" s="36">
        <f>I1451+I1452+I1454+I1459+I1460+I1461+SUM(I1455:I1458)</f>
        <v>156.94999999999999</v>
      </c>
      <c r="P1465" s="36">
        <f>K1451+K1452+K1454+K1459+K1460+K1461+SUM(K1455:K1458)</f>
        <v>2366.3199999999997</v>
      </c>
    </row>
    <row r="1467" spans="1:29" ht="52.5" x14ac:dyDescent="0.2">
      <c r="A1467" s="27">
        <v>12</v>
      </c>
      <c r="B1467" s="27" t="s">
        <v>1687</v>
      </c>
      <c r="C1467" s="27" t="s">
        <v>828</v>
      </c>
      <c r="D1467" s="28" t="str">
        <f>Source!H1137</f>
        <v>100 м</v>
      </c>
      <c r="E1467" s="12">
        <f>Source!I1137</f>
        <v>2.5000000000000001E-2</v>
      </c>
      <c r="F1467" s="30"/>
      <c r="G1467" s="29"/>
      <c r="H1467" s="12"/>
      <c r="I1467" s="30"/>
      <c r="J1467" s="12"/>
      <c r="K1467" s="30"/>
      <c r="Q1467">
        <f>Source!X1137</f>
        <v>22.67</v>
      </c>
      <c r="R1467">
        <f>Source!X1138</f>
        <v>538.48</v>
      </c>
      <c r="S1467">
        <f>Source!Y1137</f>
        <v>15.25</v>
      </c>
      <c r="T1467">
        <f>Source!Y1138</f>
        <v>245.31</v>
      </c>
      <c r="U1467">
        <f>ROUND((175/100)*ROUND(Source!R1137, 2), 2)</f>
        <v>0.23</v>
      </c>
      <c r="V1467">
        <f>ROUND((160/100)*ROUND(Source!R1138, 2), 2)</f>
        <v>6.03</v>
      </c>
      <c r="AC1467">
        <v>0</v>
      </c>
    </row>
    <row r="1468" spans="1:29" ht="14.25" x14ac:dyDescent="0.2">
      <c r="A1468" s="27"/>
      <c r="B1468" s="27"/>
      <c r="C1468" s="27" t="s">
        <v>1597</v>
      </c>
      <c r="D1468" s="28"/>
      <c r="E1468" s="12"/>
      <c r="F1468" s="30">
        <f>Source!AO1137</f>
        <v>716.8</v>
      </c>
      <c r="G1468" s="29" t="str">
        <f>Source!DG1137</f>
        <v>)*1,15</v>
      </c>
      <c r="H1468" s="12">
        <f>Source!AV1138</f>
        <v>1</v>
      </c>
      <c r="I1468" s="30">
        <f>Source!S1137</f>
        <v>20.61</v>
      </c>
      <c r="J1468" s="12">
        <f>IF(Source!BA1138&lt;&gt; 0, Source!BA1138, 1)</f>
        <v>29.03</v>
      </c>
      <c r="K1468" s="30">
        <f>Source!S1138</f>
        <v>598.30999999999995</v>
      </c>
    </row>
    <row r="1469" spans="1:29" ht="14.25" x14ac:dyDescent="0.2">
      <c r="A1469" s="27"/>
      <c r="B1469" s="27"/>
      <c r="C1469" s="27" t="s">
        <v>1609</v>
      </c>
      <c r="D1469" s="28"/>
      <c r="E1469" s="12"/>
      <c r="F1469" s="30">
        <f>Source!AM1137</f>
        <v>16.93</v>
      </c>
      <c r="G1469" s="29" t="str">
        <f>Source!DE1137</f>
        <v>)*1,25</v>
      </c>
      <c r="H1469" s="12">
        <f>Source!AV1138</f>
        <v>1</v>
      </c>
      <c r="I1469" s="30">
        <f>Source!Q1137</f>
        <v>0.53</v>
      </c>
      <c r="J1469" s="12">
        <f>IF(Source!BB1138&lt;&gt; 0, Source!BB1138, 1)</f>
        <v>13.59</v>
      </c>
      <c r="K1469" s="30">
        <f>Source!Q1138</f>
        <v>7.2</v>
      </c>
    </row>
    <row r="1470" spans="1:29" ht="14.25" x14ac:dyDescent="0.2">
      <c r="A1470" s="27"/>
      <c r="B1470" s="27"/>
      <c r="C1470" s="27" t="s">
        <v>1610</v>
      </c>
      <c r="D1470" s="28"/>
      <c r="E1470" s="12"/>
      <c r="F1470" s="30">
        <f>Source!AN1137</f>
        <v>4.12</v>
      </c>
      <c r="G1470" s="29" t="str">
        <f>Source!DF1137</f>
        <v>)*1,25</v>
      </c>
      <c r="H1470" s="12">
        <f>Source!AV1138</f>
        <v>1</v>
      </c>
      <c r="I1470" s="38">
        <f>Source!R1137</f>
        <v>0.13</v>
      </c>
      <c r="J1470" s="12">
        <f>IF(Source!BS1138&lt;&gt; 0, Source!BS1138, 1)</f>
        <v>29.03</v>
      </c>
      <c r="K1470" s="38">
        <f>Source!R1138</f>
        <v>3.77</v>
      </c>
    </row>
    <row r="1471" spans="1:29" ht="14.25" x14ac:dyDescent="0.2">
      <c r="A1471" s="27"/>
      <c r="B1471" s="27"/>
      <c r="C1471" s="27" t="s">
        <v>1611</v>
      </c>
      <c r="D1471" s="28"/>
      <c r="E1471" s="12"/>
      <c r="F1471" s="30">
        <f>Source!AL1137</f>
        <v>252.56</v>
      </c>
      <c r="G1471" s="29" t="str">
        <f>Source!DD1137</f>
        <v/>
      </c>
      <c r="H1471" s="12">
        <f>Source!AW1138</f>
        <v>1</v>
      </c>
      <c r="I1471" s="30">
        <f>Source!P1137</f>
        <v>6.31</v>
      </c>
      <c r="J1471" s="12">
        <f>IF(Source!BC1138&lt;&gt; 0, Source!BC1138, 1)</f>
        <v>8.8699999999999992</v>
      </c>
      <c r="K1471" s="30">
        <f>Source!P1138</f>
        <v>55.97</v>
      </c>
    </row>
    <row r="1472" spans="1:29" ht="42.75" x14ac:dyDescent="0.2">
      <c r="A1472" s="27" t="s">
        <v>596</v>
      </c>
      <c r="B1472" s="27" t="str">
        <f>Source!F1139</f>
        <v>1.12-5-37</v>
      </c>
      <c r="C1472" s="27" t="s">
        <v>923</v>
      </c>
      <c r="D1472" s="28" t="str">
        <f>Source!H1139</f>
        <v>м</v>
      </c>
      <c r="E1472" s="12">
        <f>Source!I1139</f>
        <v>2.4950000000000001</v>
      </c>
      <c r="F1472" s="30">
        <f>Source!AK1139</f>
        <v>64.3</v>
      </c>
      <c r="G1472" s="39" t="s">
        <v>3</v>
      </c>
      <c r="H1472" s="12">
        <f>Source!AW1140</f>
        <v>1</v>
      </c>
      <c r="I1472" s="30">
        <f>Source!O1139</f>
        <v>160.43</v>
      </c>
      <c r="J1472" s="12">
        <f>IF(Source!BC1140&lt;&gt; 0, Source!BC1140, 1)</f>
        <v>4.25</v>
      </c>
      <c r="K1472" s="30">
        <f>Source!O1140</f>
        <v>681.83</v>
      </c>
      <c r="Q1472">
        <f>Source!X1139</f>
        <v>0</v>
      </c>
      <c r="R1472">
        <f>Source!X1140</f>
        <v>0</v>
      </c>
      <c r="S1472">
        <f>Source!Y1139</f>
        <v>0</v>
      </c>
      <c r="T1472">
        <f>Source!Y1140</f>
        <v>0</v>
      </c>
      <c r="U1472">
        <f>ROUND((175/100)*ROUND(Source!R1139, 2), 2)</f>
        <v>0</v>
      </c>
      <c r="V1472">
        <f>ROUND((160/100)*ROUND(Source!R1140, 2), 2)</f>
        <v>0</v>
      </c>
      <c r="AC1472">
        <v>3</v>
      </c>
    </row>
    <row r="1473" spans="1:29" ht="42.75" x14ac:dyDescent="0.2">
      <c r="A1473" s="27" t="s">
        <v>600</v>
      </c>
      <c r="B1473" s="27" t="str">
        <f>Source!F1141</f>
        <v>1.12-5-83</v>
      </c>
      <c r="C1473" s="27" t="s">
        <v>926</v>
      </c>
      <c r="D1473" s="28" t="str">
        <f>Source!H1141</f>
        <v>шт.</v>
      </c>
      <c r="E1473" s="12">
        <f>Source!I1141</f>
        <v>1</v>
      </c>
      <c r="F1473" s="30">
        <f>Source!AK1141</f>
        <v>28.21</v>
      </c>
      <c r="G1473" s="39" t="s">
        <v>3</v>
      </c>
      <c r="H1473" s="12">
        <f>Source!AW1142</f>
        <v>1</v>
      </c>
      <c r="I1473" s="30">
        <f>Source!O1141</f>
        <v>28.21</v>
      </c>
      <c r="J1473" s="12">
        <f>IF(Source!BC1142&lt;&gt; 0, Source!BC1142, 1)</f>
        <v>6.43</v>
      </c>
      <c r="K1473" s="30">
        <f>Source!O1142</f>
        <v>181.39</v>
      </c>
      <c r="Q1473">
        <f>Source!X1141</f>
        <v>0</v>
      </c>
      <c r="R1473">
        <f>Source!X1142</f>
        <v>0</v>
      </c>
      <c r="S1473">
        <f>Source!Y1141</f>
        <v>0</v>
      </c>
      <c r="T1473">
        <f>Source!Y1142</f>
        <v>0</v>
      </c>
      <c r="U1473">
        <f>ROUND((175/100)*ROUND(Source!R1141, 2), 2)</f>
        <v>0</v>
      </c>
      <c r="V1473">
        <f>ROUND((160/100)*ROUND(Source!R1142, 2), 2)</f>
        <v>0</v>
      </c>
      <c r="AC1473">
        <v>3</v>
      </c>
    </row>
    <row r="1474" spans="1:29" ht="42.75" x14ac:dyDescent="0.2">
      <c r="A1474" s="27" t="s">
        <v>928</v>
      </c>
      <c r="B1474" s="27" t="str">
        <f>Source!F1143</f>
        <v>1.12-5-90</v>
      </c>
      <c r="C1474" s="27" t="s">
        <v>930</v>
      </c>
      <c r="D1474" s="28" t="str">
        <f>Source!H1143</f>
        <v>шт.</v>
      </c>
      <c r="E1474" s="12">
        <f>Source!I1143</f>
        <v>2</v>
      </c>
      <c r="F1474" s="30">
        <f>Source!AK1143</f>
        <v>18.399999999999999</v>
      </c>
      <c r="G1474" s="39" t="s">
        <v>3</v>
      </c>
      <c r="H1474" s="12">
        <f>Source!AW1144</f>
        <v>1</v>
      </c>
      <c r="I1474" s="30">
        <f>Source!O1143</f>
        <v>36.799999999999997</v>
      </c>
      <c r="J1474" s="12">
        <f>IF(Source!BC1144&lt;&gt; 0, Source!BC1144, 1)</f>
        <v>8.5500000000000007</v>
      </c>
      <c r="K1474" s="30">
        <f>Source!O1144</f>
        <v>314.64</v>
      </c>
      <c r="Q1474">
        <f>Source!X1143</f>
        <v>0</v>
      </c>
      <c r="R1474">
        <f>Source!X1144</f>
        <v>0</v>
      </c>
      <c r="S1474">
        <f>Source!Y1143</f>
        <v>0</v>
      </c>
      <c r="T1474">
        <f>Source!Y1144</f>
        <v>0</v>
      </c>
      <c r="U1474">
        <f>ROUND((175/100)*ROUND(Source!R1143, 2), 2)</f>
        <v>0</v>
      </c>
      <c r="V1474">
        <f>ROUND((160/100)*ROUND(Source!R1144, 2), 2)</f>
        <v>0</v>
      </c>
      <c r="AC1474">
        <v>3</v>
      </c>
    </row>
    <row r="1475" spans="1:29" ht="42.75" x14ac:dyDescent="0.2">
      <c r="A1475" s="27" t="s">
        <v>932</v>
      </c>
      <c r="B1475" s="27" t="str">
        <f>Source!F1145</f>
        <v>1.12-5-121</v>
      </c>
      <c r="C1475" s="27" t="s">
        <v>934</v>
      </c>
      <c r="D1475" s="28" t="str">
        <f>Source!H1145</f>
        <v>шт.</v>
      </c>
      <c r="E1475" s="12">
        <f>Source!I1145</f>
        <v>1</v>
      </c>
      <c r="F1475" s="30">
        <f>Source!AK1145</f>
        <v>45.47</v>
      </c>
      <c r="G1475" s="39" t="s">
        <v>3</v>
      </c>
      <c r="H1475" s="12">
        <f>Source!AW1146</f>
        <v>1</v>
      </c>
      <c r="I1475" s="30">
        <f>Source!O1145</f>
        <v>45.47</v>
      </c>
      <c r="J1475" s="12">
        <f>IF(Source!BC1146&lt;&gt; 0, Source!BC1146, 1)</f>
        <v>2.97</v>
      </c>
      <c r="K1475" s="30">
        <f>Source!O1146</f>
        <v>135.05000000000001</v>
      </c>
      <c r="Q1475">
        <f>Source!X1145</f>
        <v>0</v>
      </c>
      <c r="R1475">
        <f>Source!X1146</f>
        <v>0</v>
      </c>
      <c r="S1475">
        <f>Source!Y1145</f>
        <v>0</v>
      </c>
      <c r="T1475">
        <f>Source!Y1146</f>
        <v>0</v>
      </c>
      <c r="U1475">
        <f>ROUND((175/100)*ROUND(Source!R1145, 2), 2)</f>
        <v>0</v>
      </c>
      <c r="V1475">
        <f>ROUND((160/100)*ROUND(Source!R1146, 2), 2)</f>
        <v>0</v>
      </c>
      <c r="AC1475">
        <v>3</v>
      </c>
    </row>
    <row r="1476" spans="1:29" ht="28.5" x14ac:dyDescent="0.2">
      <c r="A1476" s="27" t="s">
        <v>936</v>
      </c>
      <c r="B1476" s="27" t="str">
        <f>Source!F1147</f>
        <v>1.12-5-132</v>
      </c>
      <c r="C1476" s="27" t="s">
        <v>938</v>
      </c>
      <c r="D1476" s="28" t="str">
        <f>Source!H1147</f>
        <v>шт.</v>
      </c>
      <c r="E1476" s="12">
        <f>Source!I1147</f>
        <v>1</v>
      </c>
      <c r="F1476" s="30">
        <f>Source!AK1147</f>
        <v>26.59</v>
      </c>
      <c r="G1476" s="39" t="s">
        <v>3</v>
      </c>
      <c r="H1476" s="12">
        <f>Source!AW1148</f>
        <v>1</v>
      </c>
      <c r="I1476" s="30">
        <f>Source!O1147</f>
        <v>26.59</v>
      </c>
      <c r="J1476" s="12">
        <f>IF(Source!BC1148&lt;&gt; 0, Source!BC1148, 1)</f>
        <v>2.95</v>
      </c>
      <c r="K1476" s="30">
        <f>Source!O1148</f>
        <v>78.44</v>
      </c>
      <c r="Q1476">
        <f>Source!X1147</f>
        <v>0</v>
      </c>
      <c r="R1476">
        <f>Source!X1148</f>
        <v>0</v>
      </c>
      <c r="S1476">
        <f>Source!Y1147</f>
        <v>0</v>
      </c>
      <c r="T1476">
        <f>Source!Y1148</f>
        <v>0</v>
      </c>
      <c r="U1476">
        <f>ROUND((175/100)*ROUND(Source!R1147, 2), 2)</f>
        <v>0</v>
      </c>
      <c r="V1476">
        <f>ROUND((160/100)*ROUND(Source!R1148, 2), 2)</f>
        <v>0</v>
      </c>
      <c r="AC1476">
        <v>3</v>
      </c>
    </row>
    <row r="1477" spans="1:29" ht="42.75" x14ac:dyDescent="0.2">
      <c r="A1477" s="27" t="s">
        <v>940</v>
      </c>
      <c r="B1477" s="27" t="str">
        <f>Source!F1149</f>
        <v>Цена поставщика</v>
      </c>
      <c r="C1477" s="27" t="s">
        <v>1688</v>
      </c>
      <c r="D1477" s="28" t="str">
        <f>Source!H1149</f>
        <v>шт.</v>
      </c>
      <c r="E1477" s="12">
        <f>Source!I1149</f>
        <v>1</v>
      </c>
      <c r="F1477" s="30">
        <f>Source!AK1149</f>
        <v>21.919999999999998</v>
      </c>
      <c r="G1477" s="39" t="s">
        <v>3</v>
      </c>
      <c r="H1477" s="12">
        <f>Source!AW1150</f>
        <v>1</v>
      </c>
      <c r="I1477" s="30">
        <f>Source!O1149</f>
        <v>21.92</v>
      </c>
      <c r="J1477" s="12">
        <f>IF(Source!BC1150&lt;&gt; 0, Source!BC1150, 1)</f>
        <v>8.65</v>
      </c>
      <c r="K1477" s="30">
        <f>Source!O1150</f>
        <v>145.32</v>
      </c>
      <c r="Q1477">
        <f>Source!X1149</f>
        <v>0</v>
      </c>
      <c r="R1477">
        <f>Source!X1150</f>
        <v>0</v>
      </c>
      <c r="S1477">
        <f>Source!Y1149</f>
        <v>0</v>
      </c>
      <c r="T1477">
        <f>Source!Y1150</f>
        <v>0</v>
      </c>
      <c r="U1477">
        <f>ROUND((175/100)*ROUND(Source!R1149, 2), 2)</f>
        <v>0</v>
      </c>
      <c r="V1477">
        <f>ROUND((160/100)*ROUND(Source!R1150, 2), 2)</f>
        <v>0</v>
      </c>
      <c r="AC1477">
        <v>3</v>
      </c>
    </row>
    <row r="1478" spans="1:29" ht="28.5" x14ac:dyDescent="0.2">
      <c r="A1478" s="27" t="s">
        <v>943</v>
      </c>
      <c r="B1478" s="27" t="str">
        <f>Source!F1151</f>
        <v>1.12-8-50</v>
      </c>
      <c r="C1478" s="27" t="s">
        <v>945</v>
      </c>
      <c r="D1478" s="28" t="str">
        <f>Source!H1151</f>
        <v>шт.</v>
      </c>
      <c r="E1478" s="12">
        <f>Source!I1151</f>
        <v>1</v>
      </c>
      <c r="F1478" s="30">
        <f>Source!AK1151</f>
        <v>3.35</v>
      </c>
      <c r="G1478" s="39" t="s">
        <v>3</v>
      </c>
      <c r="H1478" s="12">
        <f>Source!AW1152</f>
        <v>1</v>
      </c>
      <c r="I1478" s="30">
        <f>Source!O1151</f>
        <v>3.35</v>
      </c>
      <c r="J1478" s="12">
        <f>IF(Source!BC1152&lt;&gt; 0, Source!BC1152, 1)</f>
        <v>4.2300000000000004</v>
      </c>
      <c r="K1478" s="30">
        <f>Source!O1152</f>
        <v>14.17</v>
      </c>
      <c r="Q1478">
        <f>Source!X1151</f>
        <v>0</v>
      </c>
      <c r="R1478">
        <f>Source!X1152</f>
        <v>0</v>
      </c>
      <c r="S1478">
        <f>Source!Y1151</f>
        <v>0</v>
      </c>
      <c r="T1478">
        <f>Source!Y1152</f>
        <v>0</v>
      </c>
      <c r="U1478">
        <f>ROUND((175/100)*ROUND(Source!R1151, 2), 2)</f>
        <v>0</v>
      </c>
      <c r="V1478">
        <f>ROUND((160/100)*ROUND(Source!R1152, 2), 2)</f>
        <v>0</v>
      </c>
      <c r="AC1478">
        <v>3</v>
      </c>
    </row>
    <row r="1479" spans="1:29" ht="42.75" x14ac:dyDescent="0.2">
      <c r="A1479" s="27" t="s">
        <v>947</v>
      </c>
      <c r="B1479" s="27" t="str">
        <f>Source!F1153</f>
        <v>Цена поставщика</v>
      </c>
      <c r="C1479" s="27" t="s">
        <v>1689</v>
      </c>
      <c r="D1479" s="28" t="str">
        <f>Source!H1153</f>
        <v>шт.</v>
      </c>
      <c r="E1479" s="12">
        <f>Source!I1153</f>
        <v>8</v>
      </c>
      <c r="F1479" s="30">
        <f>Source!AK1153</f>
        <v>14.11</v>
      </c>
      <c r="G1479" s="39" t="s">
        <v>3</v>
      </c>
      <c r="H1479" s="12">
        <f>Source!AW1154</f>
        <v>1</v>
      </c>
      <c r="I1479" s="30">
        <f>Source!O1153</f>
        <v>112.88</v>
      </c>
      <c r="J1479" s="12">
        <f>IF(Source!BC1154&lt;&gt; 0, Source!BC1154, 1)</f>
        <v>8.65</v>
      </c>
      <c r="K1479" s="30">
        <f>Source!O1154</f>
        <v>748.05</v>
      </c>
      <c r="Q1479">
        <f>Source!X1153</f>
        <v>0</v>
      </c>
      <c r="R1479">
        <f>Source!X1154</f>
        <v>0</v>
      </c>
      <c r="S1479">
        <f>Source!Y1153</f>
        <v>0</v>
      </c>
      <c r="T1479">
        <f>Source!Y1154</f>
        <v>0</v>
      </c>
      <c r="U1479">
        <f>ROUND((175/100)*ROUND(Source!R1153, 2), 2)</f>
        <v>0</v>
      </c>
      <c r="V1479">
        <f>ROUND((160/100)*ROUND(Source!R1154, 2), 2)</f>
        <v>0</v>
      </c>
      <c r="AC1479">
        <v>3</v>
      </c>
    </row>
    <row r="1480" spans="1:29" ht="14.25" x14ac:dyDescent="0.2">
      <c r="A1480" s="27"/>
      <c r="B1480" s="27"/>
      <c r="C1480" s="27" t="s">
        <v>1598</v>
      </c>
      <c r="D1480" s="28" t="s">
        <v>1599</v>
      </c>
      <c r="E1480" s="12">
        <f>Source!DN1138</f>
        <v>110</v>
      </c>
      <c r="F1480" s="30"/>
      <c r="G1480" s="29"/>
      <c r="H1480" s="12"/>
      <c r="I1480" s="30">
        <f>SUM(Q1467:Q1479)</f>
        <v>22.67</v>
      </c>
      <c r="J1480" s="12">
        <f>Source!BZ1138</f>
        <v>90</v>
      </c>
      <c r="K1480" s="30">
        <f>SUM(R1467:R1479)</f>
        <v>538.48</v>
      </c>
    </row>
    <row r="1481" spans="1:29" ht="14.25" x14ac:dyDescent="0.2">
      <c r="A1481" s="27"/>
      <c r="B1481" s="27"/>
      <c r="C1481" s="27" t="s">
        <v>1600</v>
      </c>
      <c r="D1481" s="28" t="s">
        <v>1599</v>
      </c>
      <c r="E1481" s="12">
        <f>Source!DO1138</f>
        <v>74</v>
      </c>
      <c r="F1481" s="30"/>
      <c r="G1481" s="29"/>
      <c r="H1481" s="12"/>
      <c r="I1481" s="30">
        <f>SUM(S1467:S1480)</f>
        <v>15.25</v>
      </c>
      <c r="J1481" s="12">
        <f>Source!CA1138</f>
        <v>41</v>
      </c>
      <c r="K1481" s="30">
        <f>SUM(T1467:T1480)</f>
        <v>245.31</v>
      </c>
    </row>
    <row r="1482" spans="1:29" ht="14.25" x14ac:dyDescent="0.2">
      <c r="A1482" s="27"/>
      <c r="B1482" s="27"/>
      <c r="C1482" s="27" t="s">
        <v>1612</v>
      </c>
      <c r="D1482" s="28" t="s">
        <v>1599</v>
      </c>
      <c r="E1482" s="12">
        <f>175</f>
        <v>175</v>
      </c>
      <c r="F1482" s="30"/>
      <c r="G1482" s="29"/>
      <c r="H1482" s="12"/>
      <c r="I1482" s="30">
        <f>SUM(U1467:U1481)</f>
        <v>0.23</v>
      </c>
      <c r="J1482" s="12">
        <f>160</f>
        <v>160</v>
      </c>
      <c r="K1482" s="30">
        <f>SUM(V1467:V1481)</f>
        <v>6.03</v>
      </c>
    </row>
    <row r="1483" spans="1:29" ht="14.25" x14ac:dyDescent="0.2">
      <c r="A1483" s="31"/>
      <c r="B1483" s="31"/>
      <c r="C1483" s="31" t="s">
        <v>1601</v>
      </c>
      <c r="D1483" s="32" t="s">
        <v>1602</v>
      </c>
      <c r="E1483" s="33">
        <f>Source!AQ1137</f>
        <v>56</v>
      </c>
      <c r="F1483" s="34"/>
      <c r="G1483" s="35" t="str">
        <f>Source!DI1137</f>
        <v>)*1,15</v>
      </c>
      <c r="H1483" s="33">
        <f>Source!AV1138</f>
        <v>1</v>
      </c>
      <c r="I1483" s="34">
        <f>Source!U1137</f>
        <v>1.6099999999999999</v>
      </c>
      <c r="J1483" s="33"/>
      <c r="K1483" s="34"/>
    </row>
    <row r="1484" spans="1:29" ht="15" x14ac:dyDescent="0.25">
      <c r="C1484" s="22" t="s">
        <v>1603</v>
      </c>
      <c r="H1484" s="104">
        <f>I1468+I1469+I1471+I1480+I1481+I1482+SUM(I1472:I1479)-SUMIF(AC1472:AC1479, 5, I1472:I1479)-SUMIF(AC1472:AC1479, 6, I1472:I1479)</f>
        <v>501.25</v>
      </c>
      <c r="I1484" s="104"/>
      <c r="J1484" s="104">
        <f>K1468+K1469+K1471+K1480+K1481+K1482+SUM(K1472:K1479)-SUMIF(AC1472:AC1479, 5, K1472:K1479)-SUMIF(AC1472:AC1479, 6, K1472:K1479)</f>
        <v>3750.1900000000005</v>
      </c>
      <c r="K1484" s="104"/>
    </row>
    <row r="1485" spans="1:29" ht="15" x14ac:dyDescent="0.25">
      <c r="C1485" s="22" t="s">
        <v>1604</v>
      </c>
      <c r="H1485" s="100">
        <f>SUMIF(AC1472:AC1479, 5, I1472:I1479)+SUMIF(AC1472:AC1479, 6, I1472:I1479)</f>
        <v>0</v>
      </c>
      <c r="I1485" s="100"/>
      <c r="J1485" s="100">
        <f>SUMIF(AC1472:AC1479, 5, K1472:K1479)+SUMIF(AC1472:AC1479, 6, K1472:K1479)</f>
        <v>0</v>
      </c>
      <c r="K1485" s="100"/>
    </row>
    <row r="1486" spans="1:29" ht="15" x14ac:dyDescent="0.25">
      <c r="C1486" s="22" t="s">
        <v>1605</v>
      </c>
      <c r="H1486" s="100">
        <f>I1468+I1469+I1471+I1480+I1481+I1482+SUM(I1472:I1479)</f>
        <v>501.25</v>
      </c>
      <c r="I1486" s="100"/>
      <c r="J1486" s="100">
        <f>K1468+K1469+K1471+K1480+K1481+K1482+SUM(K1472:K1479)</f>
        <v>3750.1900000000005</v>
      </c>
      <c r="K1486" s="100"/>
      <c r="O1486" s="36">
        <f>I1468+I1469+I1471+I1480+I1481+I1482+SUM(I1472:I1479)</f>
        <v>501.25</v>
      </c>
      <c r="P1486" s="36">
        <f>K1468+K1469+K1471+K1480+K1481+K1482+SUM(K1472:K1479)</f>
        <v>3750.1900000000005</v>
      </c>
    </row>
    <row r="1489" spans="1:29" ht="15" x14ac:dyDescent="0.25">
      <c r="A1489" s="102" t="str">
        <f>CONCATENATE("Итого по разделу: ",IF(Source!G1156&lt;&gt;"Новый раздел", Source!G1156, ""))</f>
        <v>Итого по разделу: Внутренние сети  К1</v>
      </c>
      <c r="B1489" s="102"/>
      <c r="C1489" s="102"/>
      <c r="D1489" s="102"/>
      <c r="E1489" s="102"/>
      <c r="F1489" s="102"/>
      <c r="G1489" s="102"/>
      <c r="H1489" s="100">
        <f>SUM(O1449:O1488)</f>
        <v>658.2</v>
      </c>
      <c r="I1489" s="101"/>
      <c r="J1489" s="100">
        <f>SUM(P1449:P1488)</f>
        <v>6116.51</v>
      </c>
      <c r="K1489" s="101"/>
    </row>
    <row r="1490" spans="1:29" hidden="1" x14ac:dyDescent="0.2">
      <c r="A1490" t="s">
        <v>1606</v>
      </c>
      <c r="I1490">
        <f>SUM(W1449:W1489)</f>
        <v>0</v>
      </c>
      <c r="J1490">
        <f>SUM(X1449:X1489)</f>
        <v>0</v>
      </c>
    </row>
    <row r="1491" spans="1:29" hidden="1" x14ac:dyDescent="0.2">
      <c r="A1491" t="s">
        <v>1607</v>
      </c>
      <c r="I1491">
        <f>SUM(Y1449:Y1490)</f>
        <v>0</v>
      </c>
      <c r="J1491">
        <f>SUM(Z1449:Z1490)</f>
        <v>0</v>
      </c>
    </row>
    <row r="1493" spans="1:29" ht="16.5" x14ac:dyDescent="0.25">
      <c r="A1493" s="103" t="str">
        <f>CONCATENATE("Раздел: ",IF(Source!G1186&lt;&gt;"Новый раздел", Source!G1186, ""))</f>
        <v>Раздел: Приборы и оборудование</v>
      </c>
      <c r="B1493" s="103"/>
      <c r="C1493" s="103"/>
      <c r="D1493" s="103"/>
      <c r="E1493" s="103"/>
      <c r="F1493" s="103"/>
      <c r="G1493" s="103"/>
      <c r="H1493" s="103"/>
      <c r="I1493" s="103"/>
      <c r="J1493" s="103"/>
      <c r="K1493" s="103"/>
    </row>
    <row r="1494" spans="1:29" ht="52.5" x14ac:dyDescent="0.2">
      <c r="A1494" s="27">
        <v>13</v>
      </c>
      <c r="B1494" s="27" t="s">
        <v>1690</v>
      </c>
      <c r="C1494" s="27" t="s">
        <v>952</v>
      </c>
      <c r="D1494" s="28" t="str">
        <f>Source!H1190</f>
        <v>1 комплект</v>
      </c>
      <c r="E1494" s="12">
        <f>Source!I1190</f>
        <v>2</v>
      </c>
      <c r="F1494" s="30"/>
      <c r="G1494" s="29"/>
      <c r="H1494" s="12"/>
      <c r="I1494" s="30"/>
      <c r="J1494" s="12"/>
      <c r="K1494" s="30"/>
      <c r="Q1494">
        <f>Source!X1190</f>
        <v>62.26</v>
      </c>
      <c r="R1494">
        <f>Source!X1191</f>
        <v>1478.79</v>
      </c>
      <c r="S1494">
        <f>Source!Y1190</f>
        <v>41.88</v>
      </c>
      <c r="T1494">
        <f>Source!Y1191</f>
        <v>673.67</v>
      </c>
      <c r="U1494">
        <f>ROUND((175/100)*ROUND(Source!R1190, 2), 2)</f>
        <v>1.28</v>
      </c>
      <c r="V1494">
        <f>ROUND((160/100)*ROUND(Source!R1191, 2), 2)</f>
        <v>33.9</v>
      </c>
      <c r="AC1494">
        <v>0</v>
      </c>
    </row>
    <row r="1495" spans="1:29" ht="14.25" x14ac:dyDescent="0.2">
      <c r="A1495" s="27"/>
      <c r="B1495" s="27"/>
      <c r="C1495" s="27" t="s">
        <v>1597</v>
      </c>
      <c r="D1495" s="28"/>
      <c r="E1495" s="12"/>
      <c r="F1495" s="30">
        <f>Source!AO1190</f>
        <v>24.61</v>
      </c>
      <c r="G1495" s="29" t="str">
        <f>Source!DG1190</f>
        <v>)*1,15</v>
      </c>
      <c r="H1495" s="12">
        <f>Source!AV1191</f>
        <v>1</v>
      </c>
      <c r="I1495" s="30">
        <f>Source!S1190</f>
        <v>56.6</v>
      </c>
      <c r="J1495" s="12">
        <f>IF(Source!BA1191&lt;&gt; 0, Source!BA1191, 1)</f>
        <v>29.03</v>
      </c>
      <c r="K1495" s="30">
        <f>Source!S1191</f>
        <v>1643.1</v>
      </c>
    </row>
    <row r="1496" spans="1:29" ht="14.25" x14ac:dyDescent="0.2">
      <c r="A1496" s="27"/>
      <c r="B1496" s="27"/>
      <c r="C1496" s="27" t="s">
        <v>1609</v>
      </c>
      <c r="D1496" s="28"/>
      <c r="E1496" s="12"/>
      <c r="F1496" s="30">
        <f>Source!AM1190</f>
        <v>1.59</v>
      </c>
      <c r="G1496" s="29" t="str">
        <f>Source!DE1190</f>
        <v>)*1,25</v>
      </c>
      <c r="H1496" s="12">
        <f>Source!AV1191</f>
        <v>1</v>
      </c>
      <c r="I1496" s="30">
        <f>Source!Q1190</f>
        <v>3.98</v>
      </c>
      <c r="J1496" s="12">
        <f>IF(Source!BB1191&lt;&gt; 0, Source!BB1191, 1)</f>
        <v>11.33</v>
      </c>
      <c r="K1496" s="30">
        <f>Source!Q1191</f>
        <v>45.09</v>
      </c>
    </row>
    <row r="1497" spans="1:29" ht="14.25" x14ac:dyDescent="0.2">
      <c r="A1497" s="27"/>
      <c r="B1497" s="27"/>
      <c r="C1497" s="27" t="s">
        <v>1610</v>
      </c>
      <c r="D1497" s="28"/>
      <c r="E1497" s="12"/>
      <c r="F1497" s="30">
        <f>Source!AN1190</f>
        <v>0.28999999999999998</v>
      </c>
      <c r="G1497" s="29" t="str">
        <f>Source!DF1190</f>
        <v>)*1,25</v>
      </c>
      <c r="H1497" s="12">
        <f>Source!AV1191</f>
        <v>1</v>
      </c>
      <c r="I1497" s="38">
        <f>Source!R1190</f>
        <v>0.73</v>
      </c>
      <c r="J1497" s="12">
        <f>IF(Source!BS1191&lt;&gt; 0, Source!BS1191, 1)</f>
        <v>29.03</v>
      </c>
      <c r="K1497" s="38">
        <f>Source!R1191</f>
        <v>21.19</v>
      </c>
    </row>
    <row r="1498" spans="1:29" ht="14.25" x14ac:dyDescent="0.2">
      <c r="A1498" s="27"/>
      <c r="B1498" s="27"/>
      <c r="C1498" s="27" t="s">
        <v>1611</v>
      </c>
      <c r="D1498" s="28"/>
      <c r="E1498" s="12"/>
      <c r="F1498" s="30">
        <f>Source!AL1190</f>
        <v>14.03</v>
      </c>
      <c r="G1498" s="29" t="str">
        <f>Source!DD1190</f>
        <v/>
      </c>
      <c r="H1498" s="12">
        <f>Source!AW1191</f>
        <v>1</v>
      </c>
      <c r="I1498" s="30">
        <f>Source!P1190</f>
        <v>28.06</v>
      </c>
      <c r="J1498" s="12">
        <f>IF(Source!BC1191&lt;&gt; 0, Source!BC1191, 1)</f>
        <v>6.96</v>
      </c>
      <c r="K1498" s="30">
        <f>Source!P1191</f>
        <v>195.3</v>
      </c>
    </row>
    <row r="1499" spans="1:29" ht="55.5" x14ac:dyDescent="0.2">
      <c r="A1499" s="27" t="s">
        <v>225</v>
      </c>
      <c r="B1499" s="27" t="str">
        <f>Source!F1192</f>
        <v>Цена поставщика</v>
      </c>
      <c r="C1499" s="27" t="s">
        <v>1691</v>
      </c>
      <c r="D1499" s="28" t="str">
        <f>Source!H1192</f>
        <v>шт.</v>
      </c>
      <c r="E1499" s="12">
        <f>Source!I1192</f>
        <v>2</v>
      </c>
      <c r="F1499" s="30">
        <f>Source!AK1192</f>
        <v>0</v>
      </c>
      <c r="G1499" s="39" t="s">
        <v>3</v>
      </c>
      <c r="H1499" s="12">
        <f>Source!AW1193</f>
        <v>1</v>
      </c>
      <c r="I1499" s="30">
        <f>Source!O1192</f>
        <v>0</v>
      </c>
      <c r="J1499" s="12">
        <f>IF(Source!BC1193&lt;&gt; 0, Source!BC1193, 1)</f>
        <v>8.65</v>
      </c>
      <c r="K1499" s="30">
        <f>Source!O1193</f>
        <v>14812.09</v>
      </c>
      <c r="Q1499">
        <f>Source!X1192</f>
        <v>0</v>
      </c>
      <c r="R1499">
        <f>Source!X1193</f>
        <v>0</v>
      </c>
      <c r="S1499">
        <f>Source!Y1192</f>
        <v>0</v>
      </c>
      <c r="T1499">
        <f>Source!Y1193</f>
        <v>0</v>
      </c>
      <c r="U1499">
        <f>ROUND((175/100)*ROUND(Source!R1192, 2), 2)</f>
        <v>0</v>
      </c>
      <c r="V1499">
        <f>ROUND((160/100)*ROUND(Source!R1193, 2), 2)</f>
        <v>0</v>
      </c>
      <c r="AC1499">
        <v>3</v>
      </c>
    </row>
    <row r="1500" spans="1:29" ht="55.5" x14ac:dyDescent="0.2">
      <c r="A1500" s="27" t="s">
        <v>959</v>
      </c>
      <c r="B1500" s="27" t="str">
        <f>Source!F1194</f>
        <v>Цена поставщика</v>
      </c>
      <c r="C1500" s="27" t="s">
        <v>1692</v>
      </c>
      <c r="D1500" s="28" t="str">
        <f>Source!H1194</f>
        <v>шт.</v>
      </c>
      <c r="E1500" s="12">
        <f>Source!I1194</f>
        <v>2</v>
      </c>
      <c r="F1500" s="30">
        <f>Source!AK1194</f>
        <v>0</v>
      </c>
      <c r="G1500" s="39" t="s">
        <v>3</v>
      </c>
      <c r="H1500" s="12">
        <f>Source!AW1195</f>
        <v>1</v>
      </c>
      <c r="I1500" s="30">
        <f>Source!O1194</f>
        <v>0</v>
      </c>
      <c r="J1500" s="12">
        <f>IF(Source!BC1195&lt;&gt; 0, Source!BC1195, 1)</f>
        <v>8.65</v>
      </c>
      <c r="K1500" s="30">
        <f>Source!O1195</f>
        <v>9358.61</v>
      </c>
      <c r="Q1500">
        <f>Source!X1194</f>
        <v>0</v>
      </c>
      <c r="R1500">
        <f>Source!X1195</f>
        <v>0</v>
      </c>
      <c r="S1500">
        <f>Source!Y1194</f>
        <v>0</v>
      </c>
      <c r="T1500">
        <f>Source!Y1195</f>
        <v>0</v>
      </c>
      <c r="U1500">
        <f>ROUND((175/100)*ROUND(Source!R1194, 2), 2)</f>
        <v>0</v>
      </c>
      <c r="V1500">
        <f>ROUND((160/100)*ROUND(Source!R1195, 2), 2)</f>
        <v>0</v>
      </c>
      <c r="AC1500">
        <v>3</v>
      </c>
    </row>
    <row r="1501" spans="1:29" ht="14.25" x14ac:dyDescent="0.2">
      <c r="A1501" s="27"/>
      <c r="B1501" s="27"/>
      <c r="C1501" s="27" t="s">
        <v>1598</v>
      </c>
      <c r="D1501" s="28" t="s">
        <v>1599</v>
      </c>
      <c r="E1501" s="12">
        <f>Source!DN1191</f>
        <v>110</v>
      </c>
      <c r="F1501" s="30"/>
      <c r="G1501" s="29"/>
      <c r="H1501" s="12"/>
      <c r="I1501" s="30">
        <f>SUM(Q1494:Q1500)</f>
        <v>62.26</v>
      </c>
      <c r="J1501" s="12">
        <f>Source!BZ1191</f>
        <v>90</v>
      </c>
      <c r="K1501" s="30">
        <f>SUM(R1494:R1500)</f>
        <v>1478.79</v>
      </c>
    </row>
    <row r="1502" spans="1:29" ht="14.25" x14ac:dyDescent="0.2">
      <c r="A1502" s="27"/>
      <c r="B1502" s="27"/>
      <c r="C1502" s="27" t="s">
        <v>1600</v>
      </c>
      <c r="D1502" s="28" t="s">
        <v>1599</v>
      </c>
      <c r="E1502" s="12">
        <f>Source!DO1191</f>
        <v>74</v>
      </c>
      <c r="F1502" s="30"/>
      <c r="G1502" s="29"/>
      <c r="H1502" s="12"/>
      <c r="I1502" s="30">
        <f>SUM(S1494:S1501)</f>
        <v>41.88</v>
      </c>
      <c r="J1502" s="12">
        <f>Source!CA1191</f>
        <v>41</v>
      </c>
      <c r="K1502" s="30">
        <f>SUM(T1494:T1501)</f>
        <v>673.67</v>
      </c>
    </row>
    <row r="1503" spans="1:29" ht="14.25" x14ac:dyDescent="0.2">
      <c r="A1503" s="27"/>
      <c r="B1503" s="27"/>
      <c r="C1503" s="27" t="s">
        <v>1612</v>
      </c>
      <c r="D1503" s="28" t="s">
        <v>1599</v>
      </c>
      <c r="E1503" s="12">
        <f>175</f>
        <v>175</v>
      </c>
      <c r="F1503" s="30"/>
      <c r="G1503" s="29"/>
      <c r="H1503" s="12"/>
      <c r="I1503" s="30">
        <f>SUM(U1494:U1502)</f>
        <v>1.28</v>
      </c>
      <c r="J1503" s="12">
        <f>160</f>
        <v>160</v>
      </c>
      <c r="K1503" s="30">
        <f>SUM(V1494:V1502)</f>
        <v>33.9</v>
      </c>
    </row>
    <row r="1504" spans="1:29" ht="14.25" x14ac:dyDescent="0.2">
      <c r="A1504" s="31"/>
      <c r="B1504" s="31"/>
      <c r="C1504" s="31" t="s">
        <v>1601</v>
      </c>
      <c r="D1504" s="32" t="s">
        <v>1602</v>
      </c>
      <c r="E1504" s="33">
        <f>Source!AQ1190</f>
        <v>1.95</v>
      </c>
      <c r="F1504" s="34"/>
      <c r="G1504" s="35" t="str">
        <f>Source!DI1190</f>
        <v>)*1,15</v>
      </c>
      <c r="H1504" s="33">
        <f>Source!AV1191</f>
        <v>1</v>
      </c>
      <c r="I1504" s="34">
        <f>Source!U1190</f>
        <v>4.4849999999999994</v>
      </c>
      <c r="J1504" s="33"/>
      <c r="K1504" s="34"/>
    </row>
    <row r="1505" spans="1:29" ht="15" x14ac:dyDescent="0.25">
      <c r="C1505" s="22" t="s">
        <v>1603</v>
      </c>
      <c r="H1505" s="104">
        <f>I1495+I1496+I1498+I1501+I1502+I1503+SUM(I1499:I1500)-SUMIF(AC1499:AC1500, 5, I1499:I1500)-SUMIF(AC1499:AC1500, 6, I1499:I1500)</f>
        <v>194.06</v>
      </c>
      <c r="I1505" s="104"/>
      <c r="J1505" s="104">
        <f>K1495+K1496+K1498+K1501+K1502+K1503+SUM(K1499:K1500)-SUMIF(AC1499:AC1500, 5, K1499:K1500)-SUMIF(AC1499:AC1500, 6, K1499:K1500)</f>
        <v>28240.55</v>
      </c>
      <c r="K1505" s="104"/>
    </row>
    <row r="1506" spans="1:29" ht="15" x14ac:dyDescent="0.25">
      <c r="C1506" s="22" t="s">
        <v>1604</v>
      </c>
      <c r="H1506" s="100">
        <f>SUMIF(AC1499:AC1500, 5, I1499:I1500)+SUMIF(AC1499:AC1500, 6, I1499:I1500)</f>
        <v>0</v>
      </c>
      <c r="I1506" s="100"/>
      <c r="J1506" s="100">
        <f>SUMIF(AC1499:AC1500, 5, K1499:K1500)+SUMIF(AC1499:AC1500, 6, K1499:K1500)</f>
        <v>0</v>
      </c>
      <c r="K1506" s="100"/>
    </row>
    <row r="1507" spans="1:29" ht="15" x14ac:dyDescent="0.25">
      <c r="C1507" s="22" t="s">
        <v>1605</v>
      </c>
      <c r="H1507" s="100">
        <f>I1495+I1496+I1498+I1501+I1502+I1503+SUM(I1499:I1500)</f>
        <v>194.06</v>
      </c>
      <c r="I1507" s="100"/>
      <c r="J1507" s="100">
        <f>K1495+K1496+K1498+K1501+K1502+K1503+SUM(K1499:K1500)</f>
        <v>28240.55</v>
      </c>
      <c r="K1507" s="100"/>
      <c r="O1507" s="36">
        <f>I1495+I1496+I1498+I1501+I1502+I1503+SUM(I1499:I1500)</f>
        <v>194.06</v>
      </c>
      <c r="P1507" s="36">
        <f>K1495+K1496+K1498+K1501+K1502+K1503+SUM(K1499:K1500)</f>
        <v>28240.55</v>
      </c>
    </row>
    <row r="1509" spans="1:29" ht="52.5" x14ac:dyDescent="0.2">
      <c r="A1509" s="27">
        <v>14</v>
      </c>
      <c r="B1509" s="27" t="s">
        <v>1693</v>
      </c>
      <c r="C1509" s="27" t="s">
        <v>967</v>
      </c>
      <c r="D1509" s="28" t="str">
        <f>Source!H1198</f>
        <v>1 комплект</v>
      </c>
      <c r="E1509" s="12">
        <f>Source!I1198</f>
        <v>1</v>
      </c>
      <c r="F1509" s="30"/>
      <c r="G1509" s="29"/>
      <c r="H1509" s="12"/>
      <c r="I1509" s="30"/>
      <c r="J1509" s="12"/>
      <c r="K1509" s="30"/>
      <c r="Q1509">
        <f>Source!X1198</f>
        <v>35.08</v>
      </c>
      <c r="R1509">
        <f>Source!X1199</f>
        <v>833.19</v>
      </c>
      <c r="S1509">
        <f>Source!Y1198</f>
        <v>23.6</v>
      </c>
      <c r="T1509">
        <f>Source!Y1199</f>
        <v>379.57</v>
      </c>
      <c r="U1509">
        <f>ROUND((175/100)*ROUND(Source!R1198, 2), 2)</f>
        <v>1.93</v>
      </c>
      <c r="V1509">
        <f>ROUND((160/100)*ROUND(Source!R1199, 2), 2)</f>
        <v>51.09</v>
      </c>
      <c r="AC1509">
        <v>0</v>
      </c>
    </row>
    <row r="1510" spans="1:29" ht="14.25" x14ac:dyDescent="0.2">
      <c r="A1510" s="27"/>
      <c r="B1510" s="27"/>
      <c r="C1510" s="27" t="s">
        <v>1597</v>
      </c>
      <c r="D1510" s="28"/>
      <c r="E1510" s="12"/>
      <c r="F1510" s="30">
        <f>Source!AO1198</f>
        <v>27.73</v>
      </c>
      <c r="G1510" s="29" t="str">
        <f>Source!DG1198</f>
        <v>)*1,15</v>
      </c>
      <c r="H1510" s="12">
        <f>Source!AV1199</f>
        <v>1</v>
      </c>
      <c r="I1510" s="30">
        <f>Source!S1198</f>
        <v>31.89</v>
      </c>
      <c r="J1510" s="12">
        <f>IF(Source!BA1199&lt;&gt; 0, Source!BA1199, 1)</f>
        <v>29.03</v>
      </c>
      <c r="K1510" s="30">
        <f>Source!S1199</f>
        <v>925.77</v>
      </c>
    </row>
    <row r="1511" spans="1:29" ht="14.25" x14ac:dyDescent="0.2">
      <c r="A1511" s="27"/>
      <c r="B1511" s="27"/>
      <c r="C1511" s="27" t="s">
        <v>1609</v>
      </c>
      <c r="D1511" s="28"/>
      <c r="E1511" s="12"/>
      <c r="F1511" s="30">
        <f>Source!AM1198</f>
        <v>3.72</v>
      </c>
      <c r="G1511" s="29" t="str">
        <f>Source!DE1198</f>
        <v>)*1,25</v>
      </c>
      <c r="H1511" s="12">
        <f>Source!AV1199</f>
        <v>1</v>
      </c>
      <c r="I1511" s="30">
        <f>Source!Q1198</f>
        <v>4.6500000000000004</v>
      </c>
      <c r="J1511" s="12">
        <f>IF(Source!BB1199&lt;&gt; 0, Source!BB1199, 1)</f>
        <v>13.45</v>
      </c>
      <c r="K1511" s="30">
        <f>Source!Q1199</f>
        <v>62.54</v>
      </c>
    </row>
    <row r="1512" spans="1:29" ht="14.25" x14ac:dyDescent="0.2">
      <c r="A1512" s="27"/>
      <c r="B1512" s="27"/>
      <c r="C1512" s="27" t="s">
        <v>1610</v>
      </c>
      <c r="D1512" s="28"/>
      <c r="E1512" s="12"/>
      <c r="F1512" s="30">
        <f>Source!AN1198</f>
        <v>0.88</v>
      </c>
      <c r="G1512" s="29" t="str">
        <f>Source!DF1198</f>
        <v>)*1,25</v>
      </c>
      <c r="H1512" s="12">
        <f>Source!AV1199</f>
        <v>1</v>
      </c>
      <c r="I1512" s="38">
        <f>Source!R1198</f>
        <v>1.1000000000000001</v>
      </c>
      <c r="J1512" s="12">
        <f>IF(Source!BS1199&lt;&gt; 0, Source!BS1199, 1)</f>
        <v>29.03</v>
      </c>
      <c r="K1512" s="38">
        <f>Source!R1199</f>
        <v>31.93</v>
      </c>
    </row>
    <row r="1513" spans="1:29" ht="14.25" x14ac:dyDescent="0.2">
      <c r="A1513" s="27"/>
      <c r="B1513" s="27"/>
      <c r="C1513" s="27" t="s">
        <v>1611</v>
      </c>
      <c r="D1513" s="28"/>
      <c r="E1513" s="12"/>
      <c r="F1513" s="30">
        <f>Source!AL1198</f>
        <v>11.48</v>
      </c>
      <c r="G1513" s="29" t="str">
        <f>Source!DD1198</f>
        <v/>
      </c>
      <c r="H1513" s="12">
        <f>Source!AW1199</f>
        <v>1</v>
      </c>
      <c r="I1513" s="30">
        <f>Source!P1198</f>
        <v>11.48</v>
      </c>
      <c r="J1513" s="12">
        <f>IF(Source!BC1199&lt;&gt; 0, Source!BC1199, 1)</f>
        <v>8.8699999999999992</v>
      </c>
      <c r="K1513" s="30">
        <f>Source!P1199</f>
        <v>101.83</v>
      </c>
    </row>
    <row r="1514" spans="1:29" ht="68.25" x14ac:dyDescent="0.2">
      <c r="A1514" s="27" t="s">
        <v>235</v>
      </c>
      <c r="B1514" s="27" t="str">
        <f>Source!F1200</f>
        <v>Цена поставщика</v>
      </c>
      <c r="C1514" s="27" t="s">
        <v>1694</v>
      </c>
      <c r="D1514" s="28" t="str">
        <f>Source!H1200</f>
        <v>компл.</v>
      </c>
      <c r="E1514" s="12">
        <f>Source!I1200</f>
        <v>1</v>
      </c>
      <c r="F1514" s="30">
        <f>Source!AK1200</f>
        <v>0</v>
      </c>
      <c r="G1514" s="39" t="s">
        <v>3</v>
      </c>
      <c r="H1514" s="12">
        <f>Source!AW1201</f>
        <v>1</v>
      </c>
      <c r="I1514" s="30">
        <f>Source!O1200</f>
        <v>0</v>
      </c>
      <c r="J1514" s="12">
        <f>IF(Source!BC1201&lt;&gt; 0, Source!BC1201, 1)</f>
        <v>8.65</v>
      </c>
      <c r="K1514" s="30">
        <f>Source!O1201</f>
        <v>41811.51</v>
      </c>
      <c r="Q1514">
        <f>Source!X1200</f>
        <v>0</v>
      </c>
      <c r="R1514">
        <f>Source!X1201</f>
        <v>0</v>
      </c>
      <c r="S1514">
        <f>Source!Y1200</f>
        <v>0</v>
      </c>
      <c r="T1514">
        <f>Source!Y1201</f>
        <v>0</v>
      </c>
      <c r="U1514">
        <f>ROUND((175/100)*ROUND(Source!R1200, 2), 2)</f>
        <v>0</v>
      </c>
      <c r="V1514">
        <f>ROUND((160/100)*ROUND(Source!R1201, 2), 2)</f>
        <v>0</v>
      </c>
      <c r="AC1514">
        <v>3</v>
      </c>
    </row>
    <row r="1515" spans="1:29" ht="85.5" x14ac:dyDescent="0.2">
      <c r="A1515" s="27" t="s">
        <v>984</v>
      </c>
      <c r="B1515" s="27" t="str">
        <f>Source!F1208</f>
        <v>1.17-2-46</v>
      </c>
      <c r="C1515" s="27" t="s">
        <v>986</v>
      </c>
      <c r="D1515" s="28" t="str">
        <f>Source!H1208</f>
        <v>шт.</v>
      </c>
      <c r="E1515" s="12">
        <f>Source!I1208</f>
        <v>1</v>
      </c>
      <c r="F1515" s="30">
        <f>Source!AK1208</f>
        <v>218.12</v>
      </c>
      <c r="G1515" s="39" t="s">
        <v>3</v>
      </c>
      <c r="H1515" s="12">
        <f>Source!AW1209</f>
        <v>1</v>
      </c>
      <c r="I1515" s="30">
        <f>Source!O1208</f>
        <v>218.12</v>
      </c>
      <c r="J1515" s="12">
        <f>IF(Source!BC1209&lt;&gt; 0, Source!BC1209, 1)</f>
        <v>8.75</v>
      </c>
      <c r="K1515" s="30">
        <f>Source!O1209</f>
        <v>1908.55</v>
      </c>
      <c r="Q1515">
        <f>Source!X1208</f>
        <v>0</v>
      </c>
      <c r="R1515">
        <f>Source!X1209</f>
        <v>0</v>
      </c>
      <c r="S1515">
        <f>Source!Y1208</f>
        <v>0</v>
      </c>
      <c r="T1515">
        <f>Source!Y1209</f>
        <v>0</v>
      </c>
      <c r="U1515">
        <f>ROUND((175/100)*ROUND(Source!R1208, 2), 2)</f>
        <v>0</v>
      </c>
      <c r="V1515">
        <f>ROUND((160/100)*ROUND(Source!R1209, 2), 2)</f>
        <v>0</v>
      </c>
      <c r="AC1515">
        <v>3</v>
      </c>
    </row>
    <row r="1516" spans="1:29" ht="14.25" x14ac:dyDescent="0.2">
      <c r="A1516" s="27"/>
      <c r="B1516" s="27"/>
      <c r="C1516" s="27" t="s">
        <v>1598</v>
      </c>
      <c r="D1516" s="28" t="s">
        <v>1599</v>
      </c>
      <c r="E1516" s="12">
        <f>Source!DN1199</f>
        <v>110</v>
      </c>
      <c r="F1516" s="30"/>
      <c r="G1516" s="29"/>
      <c r="H1516" s="12"/>
      <c r="I1516" s="30">
        <f>SUM(Q1509:Q1515)</f>
        <v>35.08</v>
      </c>
      <c r="J1516" s="12">
        <f>Source!BZ1199</f>
        <v>90</v>
      </c>
      <c r="K1516" s="30">
        <f>SUM(R1509:R1515)</f>
        <v>833.19</v>
      </c>
    </row>
    <row r="1517" spans="1:29" ht="14.25" x14ac:dyDescent="0.2">
      <c r="A1517" s="27"/>
      <c r="B1517" s="27"/>
      <c r="C1517" s="27" t="s">
        <v>1600</v>
      </c>
      <c r="D1517" s="28" t="s">
        <v>1599</v>
      </c>
      <c r="E1517" s="12">
        <f>Source!DO1199</f>
        <v>74</v>
      </c>
      <c r="F1517" s="30"/>
      <c r="G1517" s="29"/>
      <c r="H1517" s="12"/>
      <c r="I1517" s="30">
        <f>SUM(S1509:S1516)</f>
        <v>23.6</v>
      </c>
      <c r="J1517" s="12">
        <f>Source!CA1199</f>
        <v>41</v>
      </c>
      <c r="K1517" s="30">
        <f>SUM(T1509:T1516)</f>
        <v>379.57</v>
      </c>
    </row>
    <row r="1518" spans="1:29" ht="14.25" x14ac:dyDescent="0.2">
      <c r="A1518" s="27"/>
      <c r="B1518" s="27"/>
      <c r="C1518" s="27" t="s">
        <v>1612</v>
      </c>
      <c r="D1518" s="28" t="s">
        <v>1599</v>
      </c>
      <c r="E1518" s="12">
        <f>175</f>
        <v>175</v>
      </c>
      <c r="F1518" s="30"/>
      <c r="G1518" s="29"/>
      <c r="H1518" s="12"/>
      <c r="I1518" s="30">
        <f>SUM(U1509:U1517)</f>
        <v>1.93</v>
      </c>
      <c r="J1518" s="12">
        <f>160</f>
        <v>160</v>
      </c>
      <c r="K1518" s="30">
        <f>SUM(V1509:V1517)</f>
        <v>51.09</v>
      </c>
    </row>
    <row r="1519" spans="1:29" ht="14.25" x14ac:dyDescent="0.2">
      <c r="A1519" s="31"/>
      <c r="B1519" s="31"/>
      <c r="C1519" s="31" t="s">
        <v>1601</v>
      </c>
      <c r="D1519" s="32" t="s">
        <v>1602</v>
      </c>
      <c r="E1519" s="33">
        <f>Source!AQ1198</f>
        <v>2.2200000000000002</v>
      </c>
      <c r="F1519" s="34"/>
      <c r="G1519" s="35" t="str">
        <f>Source!DI1198</f>
        <v>)*1,15</v>
      </c>
      <c r="H1519" s="33">
        <f>Source!AV1199</f>
        <v>1</v>
      </c>
      <c r="I1519" s="34">
        <f>Source!U1198</f>
        <v>2.5529999999999999</v>
      </c>
      <c r="J1519" s="33"/>
      <c r="K1519" s="34"/>
    </row>
    <row r="1520" spans="1:29" ht="15" x14ac:dyDescent="0.25">
      <c r="C1520" s="22" t="s">
        <v>1603</v>
      </c>
      <c r="H1520" s="104">
        <f>I1510+I1511+I1513+I1516+I1517+I1518+SUM(I1514:I1515)-SUMIF(AC1514:AC1515, 5, I1514:I1515)-SUMIF(AC1514:AC1515, 6, I1514:I1515)</f>
        <v>326.75</v>
      </c>
      <c r="I1520" s="104"/>
      <c r="J1520" s="104">
        <f>K1510+K1511+K1513+K1516+K1517+K1518+SUM(K1514:K1515)-SUMIF(AC1514:AC1515, 5, K1514:K1515)-SUMIF(AC1514:AC1515, 6, K1514:K1515)</f>
        <v>46074.05</v>
      </c>
      <c r="K1520" s="104"/>
    </row>
    <row r="1521" spans="1:29" ht="15" x14ac:dyDescent="0.25">
      <c r="C1521" s="22" t="s">
        <v>1604</v>
      </c>
      <c r="H1521" s="100">
        <f>SUMIF(AC1514:AC1515, 5, I1514:I1515)+SUMIF(AC1514:AC1515, 6, I1514:I1515)</f>
        <v>0</v>
      </c>
      <c r="I1521" s="100"/>
      <c r="J1521" s="100">
        <f>SUMIF(AC1514:AC1515, 5, K1514:K1515)+SUMIF(AC1514:AC1515, 6, K1514:K1515)</f>
        <v>0</v>
      </c>
      <c r="K1521" s="100"/>
    </row>
    <row r="1522" spans="1:29" ht="15" x14ac:dyDescent="0.25">
      <c r="C1522" s="22" t="s">
        <v>1605</v>
      </c>
      <c r="H1522" s="100">
        <f>I1510+I1511+I1513+I1516+I1517+I1518+SUM(I1514:I1515)</f>
        <v>326.75</v>
      </c>
      <c r="I1522" s="100"/>
      <c r="J1522" s="100">
        <f>K1510+K1511+K1513+K1516+K1517+K1518+SUM(K1514:K1515)</f>
        <v>46074.05</v>
      </c>
      <c r="K1522" s="100"/>
      <c r="O1522" s="36">
        <f>I1510+I1511+I1513+I1516+I1517+I1518+SUM(I1514:I1515)</f>
        <v>326.75</v>
      </c>
      <c r="P1522" s="36">
        <f>K1510+K1511+K1513+K1516+K1517+K1518+SUM(K1514:K1515)</f>
        <v>46074.05</v>
      </c>
    </row>
    <row r="1524" spans="1:29" ht="52.5" x14ac:dyDescent="0.2">
      <c r="A1524" s="27">
        <v>15</v>
      </c>
      <c r="B1524" s="27" t="s">
        <v>1695</v>
      </c>
      <c r="C1524" s="27" t="s">
        <v>989</v>
      </c>
      <c r="D1524" s="28" t="str">
        <f>Source!H1210</f>
        <v>1 комплект</v>
      </c>
      <c r="E1524" s="12">
        <f>Source!I1210</f>
        <v>1</v>
      </c>
      <c r="F1524" s="30"/>
      <c r="G1524" s="29"/>
      <c r="H1524" s="12"/>
      <c r="I1524" s="30"/>
      <c r="J1524" s="12"/>
      <c r="K1524" s="30"/>
      <c r="Q1524">
        <f>Source!X1210</f>
        <v>14.91</v>
      </c>
      <c r="R1524">
        <f>Source!X1211</f>
        <v>354.02</v>
      </c>
      <c r="S1524">
        <f>Source!Y1210</f>
        <v>10.029999999999999</v>
      </c>
      <c r="T1524">
        <f>Source!Y1211</f>
        <v>161.28</v>
      </c>
      <c r="U1524">
        <f>ROUND((175/100)*ROUND(Source!R1210, 2), 2)</f>
        <v>1.89</v>
      </c>
      <c r="V1524">
        <f>ROUND((160/100)*ROUND(Source!R1211, 2), 2)</f>
        <v>50.16</v>
      </c>
      <c r="AC1524">
        <v>0</v>
      </c>
    </row>
    <row r="1525" spans="1:29" ht="14.25" x14ac:dyDescent="0.2">
      <c r="A1525" s="27"/>
      <c r="B1525" s="27"/>
      <c r="C1525" s="27" t="s">
        <v>1597</v>
      </c>
      <c r="D1525" s="28"/>
      <c r="E1525" s="12"/>
      <c r="F1525" s="30">
        <f>Source!AO1210</f>
        <v>11.78</v>
      </c>
      <c r="G1525" s="29" t="str">
        <f>Source!DG1210</f>
        <v>)*1,15</v>
      </c>
      <c r="H1525" s="12">
        <f>Source!AV1211</f>
        <v>1</v>
      </c>
      <c r="I1525" s="30">
        <f>Source!S1210</f>
        <v>13.55</v>
      </c>
      <c r="J1525" s="12">
        <f>IF(Source!BA1211&lt;&gt; 0, Source!BA1211, 1)</f>
        <v>29.03</v>
      </c>
      <c r="K1525" s="30">
        <f>Source!S1211</f>
        <v>393.36</v>
      </c>
    </row>
    <row r="1526" spans="1:29" ht="14.25" x14ac:dyDescent="0.2">
      <c r="A1526" s="27"/>
      <c r="B1526" s="27"/>
      <c r="C1526" s="27" t="s">
        <v>1609</v>
      </c>
      <c r="D1526" s="28"/>
      <c r="E1526" s="12"/>
      <c r="F1526" s="30">
        <f>Source!AM1210</f>
        <v>4.6100000000000003</v>
      </c>
      <c r="G1526" s="29" t="str">
        <f>Source!DE1210</f>
        <v>)*1,25</v>
      </c>
      <c r="H1526" s="12">
        <f>Source!AV1211</f>
        <v>1</v>
      </c>
      <c r="I1526" s="30">
        <f>Source!Q1210</f>
        <v>5.76</v>
      </c>
      <c r="J1526" s="12">
        <f>IF(Source!BB1211&lt;&gt; 0, Source!BB1211, 1)</f>
        <v>11.41</v>
      </c>
      <c r="K1526" s="30">
        <f>Source!Q1211</f>
        <v>65.72</v>
      </c>
    </row>
    <row r="1527" spans="1:29" ht="14.25" x14ac:dyDescent="0.2">
      <c r="A1527" s="27"/>
      <c r="B1527" s="27"/>
      <c r="C1527" s="27" t="s">
        <v>1610</v>
      </c>
      <c r="D1527" s="28"/>
      <c r="E1527" s="12"/>
      <c r="F1527" s="30">
        <f>Source!AN1210</f>
        <v>0.86</v>
      </c>
      <c r="G1527" s="29" t="str">
        <f>Source!DF1210</f>
        <v>)*1,25</v>
      </c>
      <c r="H1527" s="12">
        <f>Source!AV1211</f>
        <v>1</v>
      </c>
      <c r="I1527" s="38">
        <f>Source!R1210</f>
        <v>1.08</v>
      </c>
      <c r="J1527" s="12">
        <f>IF(Source!BS1211&lt;&gt; 0, Source!BS1211, 1)</f>
        <v>29.03</v>
      </c>
      <c r="K1527" s="38">
        <f>Source!R1211</f>
        <v>31.35</v>
      </c>
    </row>
    <row r="1528" spans="1:29" ht="14.25" x14ac:dyDescent="0.2">
      <c r="A1528" s="27"/>
      <c r="B1528" s="27"/>
      <c r="C1528" s="27" t="s">
        <v>1611</v>
      </c>
      <c r="D1528" s="28"/>
      <c r="E1528" s="12"/>
      <c r="F1528" s="30">
        <f>Source!AL1210</f>
        <v>8.1</v>
      </c>
      <c r="G1528" s="29" t="str">
        <f>Source!DD1210</f>
        <v/>
      </c>
      <c r="H1528" s="12">
        <f>Source!AW1211</f>
        <v>1</v>
      </c>
      <c r="I1528" s="30">
        <f>Source!P1210</f>
        <v>8.1</v>
      </c>
      <c r="J1528" s="12">
        <f>IF(Source!BC1211&lt;&gt; 0, Source!BC1211, 1)</f>
        <v>6</v>
      </c>
      <c r="K1528" s="30">
        <f>Source!P1211</f>
        <v>48.6</v>
      </c>
    </row>
    <row r="1529" spans="1:29" ht="71.25" x14ac:dyDescent="0.2">
      <c r="A1529" s="27" t="s">
        <v>253</v>
      </c>
      <c r="B1529" s="27" t="str">
        <f>Source!F1214</f>
        <v>1.17-1-22</v>
      </c>
      <c r="C1529" s="27" t="s">
        <v>994</v>
      </c>
      <c r="D1529" s="28" t="str">
        <f>Source!H1214</f>
        <v>КОМПЛЕКТ</v>
      </c>
      <c r="E1529" s="12">
        <f>Source!I1214</f>
        <v>1</v>
      </c>
      <c r="F1529" s="30">
        <f>Source!AK1214</f>
        <v>674</v>
      </c>
      <c r="G1529" s="39" t="s">
        <v>3</v>
      </c>
      <c r="H1529" s="12">
        <f>Source!AW1215</f>
        <v>1</v>
      </c>
      <c r="I1529" s="30">
        <f>Source!O1214</f>
        <v>674</v>
      </c>
      <c r="J1529" s="12">
        <f>IF(Source!BC1215&lt;&gt; 0, Source!BC1215, 1)</f>
        <v>17.510000000000002</v>
      </c>
      <c r="K1529" s="30">
        <f>Source!O1215</f>
        <v>11801.74</v>
      </c>
      <c r="Q1529">
        <f>Source!X1214</f>
        <v>0</v>
      </c>
      <c r="R1529">
        <f>Source!X1215</f>
        <v>0</v>
      </c>
      <c r="S1529">
        <f>Source!Y1214</f>
        <v>0</v>
      </c>
      <c r="T1529">
        <f>Source!Y1215</f>
        <v>0</v>
      </c>
      <c r="U1529">
        <f>ROUND((175/100)*ROUND(Source!R1214, 2), 2)</f>
        <v>0</v>
      </c>
      <c r="V1529">
        <f>ROUND((160/100)*ROUND(Source!R1215, 2), 2)</f>
        <v>0</v>
      </c>
      <c r="AC1529">
        <v>3</v>
      </c>
    </row>
    <row r="1530" spans="1:29" ht="14.25" x14ac:dyDescent="0.2">
      <c r="A1530" s="27"/>
      <c r="B1530" s="27"/>
      <c r="C1530" s="27" t="s">
        <v>1598</v>
      </c>
      <c r="D1530" s="28" t="s">
        <v>1599</v>
      </c>
      <c r="E1530" s="12">
        <f>Source!DN1211</f>
        <v>110</v>
      </c>
      <c r="F1530" s="30"/>
      <c r="G1530" s="29"/>
      <c r="H1530" s="12"/>
      <c r="I1530" s="30">
        <f>SUM(Q1524:Q1529)</f>
        <v>14.91</v>
      </c>
      <c r="J1530" s="12">
        <f>Source!BZ1211</f>
        <v>90</v>
      </c>
      <c r="K1530" s="30">
        <f>SUM(R1524:R1529)</f>
        <v>354.02</v>
      </c>
    </row>
    <row r="1531" spans="1:29" ht="14.25" x14ac:dyDescent="0.2">
      <c r="A1531" s="27"/>
      <c r="B1531" s="27"/>
      <c r="C1531" s="27" t="s">
        <v>1600</v>
      </c>
      <c r="D1531" s="28" t="s">
        <v>1599</v>
      </c>
      <c r="E1531" s="12">
        <f>Source!DO1211</f>
        <v>74</v>
      </c>
      <c r="F1531" s="30"/>
      <c r="G1531" s="29"/>
      <c r="H1531" s="12"/>
      <c r="I1531" s="30">
        <f>SUM(S1524:S1530)</f>
        <v>10.029999999999999</v>
      </c>
      <c r="J1531" s="12">
        <f>Source!CA1211</f>
        <v>41</v>
      </c>
      <c r="K1531" s="30">
        <f>SUM(T1524:T1530)</f>
        <v>161.28</v>
      </c>
    </row>
    <row r="1532" spans="1:29" ht="14.25" x14ac:dyDescent="0.2">
      <c r="A1532" s="27"/>
      <c r="B1532" s="27"/>
      <c r="C1532" s="27" t="s">
        <v>1612</v>
      </c>
      <c r="D1532" s="28" t="s">
        <v>1599</v>
      </c>
      <c r="E1532" s="12">
        <f>175</f>
        <v>175</v>
      </c>
      <c r="F1532" s="30"/>
      <c r="G1532" s="29"/>
      <c r="H1532" s="12"/>
      <c r="I1532" s="30">
        <f>SUM(U1524:U1531)</f>
        <v>1.89</v>
      </c>
      <c r="J1532" s="12">
        <f>160</f>
        <v>160</v>
      </c>
      <c r="K1532" s="30">
        <f>SUM(V1524:V1531)</f>
        <v>50.16</v>
      </c>
    </row>
    <row r="1533" spans="1:29" ht="14.25" x14ac:dyDescent="0.2">
      <c r="A1533" s="31"/>
      <c r="B1533" s="31"/>
      <c r="C1533" s="31" t="s">
        <v>1601</v>
      </c>
      <c r="D1533" s="32" t="s">
        <v>1602</v>
      </c>
      <c r="E1533" s="33">
        <f>Source!AQ1210</f>
        <v>0.99</v>
      </c>
      <c r="F1533" s="34"/>
      <c r="G1533" s="35" t="str">
        <f>Source!DI1210</f>
        <v>)*1,15</v>
      </c>
      <c r="H1533" s="33">
        <f>Source!AV1211</f>
        <v>1</v>
      </c>
      <c r="I1533" s="34">
        <f>Source!U1210</f>
        <v>1.1384999999999998</v>
      </c>
      <c r="J1533" s="33"/>
      <c r="K1533" s="34"/>
    </row>
    <row r="1534" spans="1:29" ht="15" x14ac:dyDescent="0.25">
      <c r="C1534" s="22" t="s">
        <v>1603</v>
      </c>
      <c r="H1534" s="104">
        <f>I1525+I1526+I1528+I1530+I1531+I1532+SUM(I1529:I1529)-SUMIF(AC1529:AC1529, 5, I1529:I1529)-SUMIF(AC1529:AC1529, 6, I1529:I1529)</f>
        <v>728.24</v>
      </c>
      <c r="I1534" s="104"/>
      <c r="J1534" s="104">
        <f>K1525+K1526+K1528+K1530+K1531+K1532+SUM(K1529:K1529)-SUMIF(AC1529:AC1529, 5, K1529:K1529)-SUMIF(AC1529:AC1529, 6, K1529:K1529)</f>
        <v>12874.88</v>
      </c>
      <c r="K1534" s="104"/>
    </row>
    <row r="1535" spans="1:29" ht="15" x14ac:dyDescent="0.25">
      <c r="C1535" s="22" t="s">
        <v>1604</v>
      </c>
      <c r="H1535" s="100">
        <f>SUMIF(AC1529:AC1529, 5, I1529:I1529)+SUMIF(AC1529:AC1529, 6, I1529:I1529)</f>
        <v>0</v>
      </c>
      <c r="I1535" s="100"/>
      <c r="J1535" s="100">
        <f>SUMIF(AC1529:AC1529, 5, K1529:K1529)+SUMIF(AC1529:AC1529, 6, K1529:K1529)</f>
        <v>0</v>
      </c>
      <c r="K1535" s="100"/>
    </row>
    <row r="1536" spans="1:29" ht="15" x14ac:dyDescent="0.25">
      <c r="C1536" s="22" t="s">
        <v>1605</v>
      </c>
      <c r="H1536" s="100">
        <f>I1525+I1526+I1528+I1530+I1531+I1532+SUM(I1529:I1529)</f>
        <v>728.24</v>
      </c>
      <c r="I1536" s="100"/>
      <c r="J1536" s="100">
        <f>K1525+K1526+K1528+K1530+K1531+K1532+SUM(K1529:K1529)</f>
        <v>12874.88</v>
      </c>
      <c r="K1536" s="100"/>
      <c r="O1536" s="36">
        <f>I1525+I1526+I1528+I1530+I1531+I1532+SUM(I1529:I1529)</f>
        <v>728.24</v>
      </c>
      <c r="P1536" s="36">
        <f>K1525+K1526+K1528+K1530+K1531+K1532+SUM(K1529:K1529)</f>
        <v>12874.88</v>
      </c>
    </row>
    <row r="1538" spans="1:29" ht="52.5" x14ac:dyDescent="0.2">
      <c r="A1538" s="27">
        <v>16</v>
      </c>
      <c r="B1538" s="27" t="s">
        <v>1696</v>
      </c>
      <c r="C1538" s="27" t="s">
        <v>997</v>
      </c>
      <c r="D1538" s="28" t="str">
        <f>Source!H1216</f>
        <v>1  ШТ.</v>
      </c>
      <c r="E1538" s="12">
        <f>Source!I1216</f>
        <v>1</v>
      </c>
      <c r="F1538" s="30"/>
      <c r="G1538" s="29"/>
      <c r="H1538" s="12"/>
      <c r="I1538" s="30"/>
      <c r="J1538" s="12"/>
      <c r="K1538" s="30"/>
      <c r="Q1538">
        <f>Source!X1216</f>
        <v>11.33</v>
      </c>
      <c r="R1538">
        <f>Source!X1217</f>
        <v>269.11</v>
      </c>
      <c r="S1538">
        <f>Source!Y1216</f>
        <v>7.62</v>
      </c>
      <c r="T1538">
        <f>Source!Y1217</f>
        <v>122.59</v>
      </c>
      <c r="U1538">
        <f>ROUND((175/100)*ROUND(Source!R1216, 2), 2)</f>
        <v>0</v>
      </c>
      <c r="V1538">
        <f>ROUND((160/100)*ROUND(Source!R1217, 2), 2)</f>
        <v>0</v>
      </c>
      <c r="AC1538">
        <v>0</v>
      </c>
    </row>
    <row r="1539" spans="1:29" ht="14.25" x14ac:dyDescent="0.2">
      <c r="A1539" s="27"/>
      <c r="B1539" s="27"/>
      <c r="C1539" s="27" t="s">
        <v>1597</v>
      </c>
      <c r="D1539" s="28"/>
      <c r="E1539" s="12"/>
      <c r="F1539" s="30">
        <f>Source!AO1216</f>
        <v>8.9600000000000009</v>
      </c>
      <c r="G1539" s="29" t="str">
        <f>Source!DG1216</f>
        <v>)*1,15</v>
      </c>
      <c r="H1539" s="12">
        <f>Source!AV1217</f>
        <v>1</v>
      </c>
      <c r="I1539" s="30">
        <f>Source!S1216</f>
        <v>10.3</v>
      </c>
      <c r="J1539" s="12">
        <f>IF(Source!BA1217&lt;&gt; 0, Source!BA1217, 1)</f>
        <v>29.03</v>
      </c>
      <c r="K1539" s="30">
        <f>Source!S1217</f>
        <v>299.01</v>
      </c>
    </row>
    <row r="1540" spans="1:29" ht="14.25" x14ac:dyDescent="0.2">
      <c r="A1540" s="27"/>
      <c r="B1540" s="27"/>
      <c r="C1540" s="27" t="s">
        <v>1611</v>
      </c>
      <c r="D1540" s="28"/>
      <c r="E1540" s="12"/>
      <c r="F1540" s="30">
        <f>Source!AL1216</f>
        <v>0.84</v>
      </c>
      <c r="G1540" s="29" t="str">
        <f>Source!DD1216</f>
        <v/>
      </c>
      <c r="H1540" s="12">
        <f>Source!AW1217</f>
        <v>1</v>
      </c>
      <c r="I1540" s="30">
        <f>Source!P1216</f>
        <v>0.84</v>
      </c>
      <c r="J1540" s="12">
        <f>IF(Source!BC1217&lt;&gt; 0, Source!BC1217, 1)</f>
        <v>8.8699999999999992</v>
      </c>
      <c r="K1540" s="30">
        <f>Source!P1217</f>
        <v>7.45</v>
      </c>
    </row>
    <row r="1541" spans="1:29" ht="42.75" x14ac:dyDescent="0.2">
      <c r="A1541" s="27" t="s">
        <v>268</v>
      </c>
      <c r="B1541" s="27" t="str">
        <f>Source!F1218</f>
        <v>Цена поставщика</v>
      </c>
      <c r="C1541" s="27" t="s">
        <v>1697</v>
      </c>
      <c r="D1541" s="28" t="str">
        <f>Source!H1218</f>
        <v>шт.</v>
      </c>
      <c r="E1541" s="12">
        <f>Source!I1218</f>
        <v>1</v>
      </c>
      <c r="F1541" s="30">
        <f>Source!AK1218</f>
        <v>0</v>
      </c>
      <c r="G1541" s="39" t="s">
        <v>3</v>
      </c>
      <c r="H1541" s="12">
        <f>Source!AW1219</f>
        <v>1</v>
      </c>
      <c r="I1541" s="30">
        <f>Source!O1218</f>
        <v>0</v>
      </c>
      <c r="J1541" s="12">
        <f>IF(Source!BC1219&lt;&gt; 0, Source!BC1219, 1)</f>
        <v>8.65</v>
      </c>
      <c r="K1541" s="30">
        <f>Source!O1219</f>
        <v>10260.200000000001</v>
      </c>
      <c r="Q1541">
        <f>Source!X1218</f>
        <v>0</v>
      </c>
      <c r="R1541">
        <f>Source!X1219</f>
        <v>0</v>
      </c>
      <c r="S1541">
        <f>Source!Y1218</f>
        <v>0</v>
      </c>
      <c r="T1541">
        <f>Source!Y1219</f>
        <v>0</v>
      </c>
      <c r="U1541">
        <f>ROUND((175/100)*ROUND(Source!R1218, 2), 2)</f>
        <v>0</v>
      </c>
      <c r="V1541">
        <f>ROUND((160/100)*ROUND(Source!R1219, 2), 2)</f>
        <v>0</v>
      </c>
      <c r="AC1541">
        <v>3</v>
      </c>
    </row>
    <row r="1542" spans="1:29" ht="14.25" x14ac:dyDescent="0.2">
      <c r="A1542" s="27"/>
      <c r="B1542" s="27"/>
      <c r="C1542" s="27" t="s">
        <v>1598</v>
      </c>
      <c r="D1542" s="28" t="s">
        <v>1599</v>
      </c>
      <c r="E1542" s="12">
        <f>Source!DN1217</f>
        <v>110</v>
      </c>
      <c r="F1542" s="30"/>
      <c r="G1542" s="29"/>
      <c r="H1542" s="12"/>
      <c r="I1542" s="30">
        <f>SUM(Q1538:Q1541)</f>
        <v>11.33</v>
      </c>
      <c r="J1542" s="12">
        <f>Source!BZ1217</f>
        <v>90</v>
      </c>
      <c r="K1542" s="30">
        <f>SUM(R1538:R1541)</f>
        <v>269.11</v>
      </c>
    </row>
    <row r="1543" spans="1:29" ht="14.25" x14ac:dyDescent="0.2">
      <c r="A1543" s="27"/>
      <c r="B1543" s="27"/>
      <c r="C1543" s="27" t="s">
        <v>1600</v>
      </c>
      <c r="D1543" s="28" t="s">
        <v>1599</v>
      </c>
      <c r="E1543" s="12">
        <f>Source!DO1217</f>
        <v>74</v>
      </c>
      <c r="F1543" s="30"/>
      <c r="G1543" s="29"/>
      <c r="H1543" s="12"/>
      <c r="I1543" s="30">
        <f>SUM(S1538:S1542)</f>
        <v>7.62</v>
      </c>
      <c r="J1543" s="12">
        <f>Source!CA1217</f>
        <v>41</v>
      </c>
      <c r="K1543" s="30">
        <f>SUM(T1538:T1542)</f>
        <v>122.59</v>
      </c>
    </row>
    <row r="1544" spans="1:29" ht="14.25" x14ac:dyDescent="0.2">
      <c r="A1544" s="31"/>
      <c r="B1544" s="31"/>
      <c r="C1544" s="31" t="s">
        <v>1601</v>
      </c>
      <c r="D1544" s="32" t="s">
        <v>1602</v>
      </c>
      <c r="E1544" s="33">
        <f>Source!AQ1216</f>
        <v>0.7</v>
      </c>
      <c r="F1544" s="34"/>
      <c r="G1544" s="35" t="str">
        <f>Source!DI1216</f>
        <v>)*1,15</v>
      </c>
      <c r="H1544" s="33">
        <f>Source!AV1217</f>
        <v>1</v>
      </c>
      <c r="I1544" s="34">
        <f>Source!U1216</f>
        <v>0.80499999999999994</v>
      </c>
      <c r="J1544" s="33"/>
      <c r="K1544" s="34"/>
    </row>
    <row r="1545" spans="1:29" ht="15" x14ac:dyDescent="0.25">
      <c r="C1545" s="22" t="s">
        <v>1603</v>
      </c>
      <c r="H1545" s="104">
        <f>I1539+I1540+I1542+I1543+SUM(I1541:I1541)-SUMIF(AC1541:AC1541, 5, I1541:I1541)-SUMIF(AC1541:AC1541, 6, I1541:I1541)</f>
        <v>30.09</v>
      </c>
      <c r="I1545" s="104"/>
      <c r="J1545" s="104">
        <f>K1539+K1540+K1542+K1543+SUM(K1541:K1541)-SUMIF(AC1541:AC1541, 5, K1541:K1541)-SUMIF(AC1541:AC1541, 6, K1541:K1541)</f>
        <v>10958.36</v>
      </c>
      <c r="K1545" s="104"/>
    </row>
    <row r="1546" spans="1:29" ht="15" x14ac:dyDescent="0.25">
      <c r="C1546" s="22" t="s">
        <v>1604</v>
      </c>
      <c r="H1546" s="100">
        <f>SUMIF(AC1541:AC1541, 5, I1541:I1541)+SUMIF(AC1541:AC1541, 6, I1541:I1541)</f>
        <v>0</v>
      </c>
      <c r="I1546" s="100"/>
      <c r="J1546" s="100">
        <f>SUMIF(AC1541:AC1541, 5, K1541:K1541)+SUMIF(AC1541:AC1541, 6, K1541:K1541)</f>
        <v>0</v>
      </c>
      <c r="K1546" s="100"/>
    </row>
    <row r="1547" spans="1:29" ht="15" x14ac:dyDescent="0.25">
      <c r="C1547" s="22" t="s">
        <v>1605</v>
      </c>
      <c r="H1547" s="100">
        <f>I1539+I1540+I1542+I1543+SUM(I1541:I1541)</f>
        <v>30.09</v>
      </c>
      <c r="I1547" s="100"/>
      <c r="J1547" s="100">
        <f>K1539+K1540+K1542+K1543+SUM(K1541:K1541)</f>
        <v>10958.36</v>
      </c>
      <c r="K1547" s="100"/>
      <c r="O1547" s="36">
        <f>I1539+I1540+I1542+I1543+SUM(I1541:I1541)</f>
        <v>30.09</v>
      </c>
      <c r="P1547" s="36">
        <f>K1539+K1540+K1542+K1543+SUM(K1541:K1541)</f>
        <v>10958.36</v>
      </c>
    </row>
    <row r="1550" spans="1:29" ht="15" x14ac:dyDescent="0.25">
      <c r="A1550" s="102" t="str">
        <f>CONCATENATE("Итого по разделу: ",IF(Source!G1223&lt;&gt;"Новый раздел", Source!G1223, ""))</f>
        <v>Итого по разделу: Приборы и оборудование</v>
      </c>
      <c r="B1550" s="102"/>
      <c r="C1550" s="102"/>
      <c r="D1550" s="102"/>
      <c r="E1550" s="102"/>
      <c r="F1550" s="102"/>
      <c r="G1550" s="102"/>
      <c r="H1550" s="100">
        <f>SUM(O1493:O1549)</f>
        <v>1279.1399999999999</v>
      </c>
      <c r="I1550" s="101"/>
      <c r="J1550" s="100">
        <f>SUM(P1493:P1549)</f>
        <v>98147.840000000011</v>
      </c>
      <c r="K1550" s="101"/>
    </row>
    <row r="1551" spans="1:29" hidden="1" x14ac:dyDescent="0.2">
      <c r="A1551" t="s">
        <v>1606</v>
      </c>
      <c r="I1551">
        <f>SUM(W1493:W1550)</f>
        <v>0</v>
      </c>
      <c r="J1551">
        <f>SUM(X1493:X1550)</f>
        <v>0</v>
      </c>
    </row>
    <row r="1552" spans="1:29" hidden="1" x14ac:dyDescent="0.2">
      <c r="A1552" t="s">
        <v>1607</v>
      </c>
      <c r="I1552">
        <f>SUM(Y1493:Y1551)</f>
        <v>0</v>
      </c>
      <c r="J1552">
        <f>SUM(Z1493:Z1551)</f>
        <v>0</v>
      </c>
    </row>
    <row r="1554" spans="1:29" ht="16.5" x14ac:dyDescent="0.25">
      <c r="A1554" s="103" t="str">
        <f>CONCATENATE("Раздел: ",IF(Source!G1253&lt;&gt;"Новый раздел", Source!G1253, ""))</f>
        <v>Раздел: Прочие работы</v>
      </c>
      <c r="B1554" s="103"/>
      <c r="C1554" s="103"/>
      <c r="D1554" s="103"/>
      <c r="E1554" s="103"/>
      <c r="F1554" s="103"/>
      <c r="G1554" s="103"/>
      <c r="H1554" s="103"/>
      <c r="I1554" s="103"/>
      <c r="J1554" s="103"/>
      <c r="K1554" s="103"/>
    </row>
    <row r="1555" spans="1:29" ht="42.75" x14ac:dyDescent="0.2">
      <c r="A1555" s="27">
        <v>17</v>
      </c>
      <c r="B1555" s="27" t="str">
        <f>Source!F1257</f>
        <v>6.68-13-1</v>
      </c>
      <c r="C1555" s="27" t="s">
        <v>479</v>
      </c>
      <c r="D1555" s="28" t="str">
        <f>Source!H1257</f>
        <v>1 Т</v>
      </c>
      <c r="E1555" s="12">
        <f>Source!I1257</f>
        <v>4.8899999999999999E-2</v>
      </c>
      <c r="F1555" s="30"/>
      <c r="G1555" s="29"/>
      <c r="H1555" s="12"/>
      <c r="I1555" s="30"/>
      <c r="J1555" s="12"/>
      <c r="K1555" s="30"/>
      <c r="Q1555">
        <f>Source!X1257</f>
        <v>0</v>
      </c>
      <c r="R1555">
        <f>Source!X1258</f>
        <v>0</v>
      </c>
      <c r="S1555">
        <f>Source!Y1257</f>
        <v>0</v>
      </c>
      <c r="T1555">
        <f>Source!Y1258</f>
        <v>0</v>
      </c>
      <c r="U1555">
        <f>ROUND((175/100)*ROUND(Source!R1257, 2), 2)</f>
        <v>0.12</v>
      </c>
      <c r="V1555">
        <f>ROUND((160/100)*ROUND(Source!R1258, 2), 2)</f>
        <v>3.25</v>
      </c>
      <c r="AC1555">
        <v>0</v>
      </c>
    </row>
    <row r="1556" spans="1:29" ht="14.25" x14ac:dyDescent="0.2">
      <c r="A1556" s="27"/>
      <c r="B1556" s="27"/>
      <c r="C1556" s="27" t="s">
        <v>1609</v>
      </c>
      <c r="D1556" s="28"/>
      <c r="E1556" s="12"/>
      <c r="F1556" s="30">
        <f>Source!AM1257</f>
        <v>8.86</v>
      </c>
      <c r="G1556" s="29" t="str">
        <f>Source!DE1257</f>
        <v/>
      </c>
      <c r="H1556" s="12">
        <f>Source!AV1258</f>
        <v>1</v>
      </c>
      <c r="I1556" s="30">
        <f>Source!Q1257</f>
        <v>0.43</v>
      </c>
      <c r="J1556" s="12">
        <f>IF(Source!BB1258&lt;&gt; 0, Source!BB1258, 1)</f>
        <v>12.03</v>
      </c>
      <c r="K1556" s="30">
        <f>Source!Q1258</f>
        <v>5.17</v>
      </c>
    </row>
    <row r="1557" spans="1:29" ht="14.25" x14ac:dyDescent="0.2">
      <c r="A1557" s="27"/>
      <c r="B1557" s="27"/>
      <c r="C1557" s="27" t="s">
        <v>1610</v>
      </c>
      <c r="D1557" s="28"/>
      <c r="E1557" s="12"/>
      <c r="F1557" s="30">
        <f>Source!AN1257</f>
        <v>1.48</v>
      </c>
      <c r="G1557" s="29" t="str">
        <f>Source!DF1257</f>
        <v/>
      </c>
      <c r="H1557" s="12">
        <f>Source!AV1258</f>
        <v>1</v>
      </c>
      <c r="I1557" s="38">
        <f>Source!R1257</f>
        <v>7.0000000000000007E-2</v>
      </c>
      <c r="J1557" s="12">
        <f>IF(Source!BS1258&lt;&gt; 0, Source!BS1258, 1)</f>
        <v>29.03</v>
      </c>
      <c r="K1557" s="38">
        <f>Source!R1258</f>
        <v>2.0299999999999998</v>
      </c>
    </row>
    <row r="1558" spans="1:29" ht="14.25" x14ac:dyDescent="0.2">
      <c r="A1558" s="31"/>
      <c r="B1558" s="31"/>
      <c r="C1558" s="31" t="s">
        <v>1612</v>
      </c>
      <c r="D1558" s="32" t="s">
        <v>1599</v>
      </c>
      <c r="E1558" s="33">
        <f>175</f>
        <v>175</v>
      </c>
      <c r="F1558" s="34"/>
      <c r="G1558" s="35"/>
      <c r="H1558" s="33"/>
      <c r="I1558" s="34">
        <f>SUM(U1555:U1557)</f>
        <v>0.12</v>
      </c>
      <c r="J1558" s="33">
        <f>160</f>
        <v>160</v>
      </c>
      <c r="K1558" s="34">
        <f>SUM(V1555:V1557)</f>
        <v>3.25</v>
      </c>
    </row>
    <row r="1559" spans="1:29" ht="15" x14ac:dyDescent="0.25">
      <c r="C1559" s="22" t="s">
        <v>1603</v>
      </c>
      <c r="H1559" s="104">
        <f>I1556+I1558+0-0-0</f>
        <v>0.55000000000000004</v>
      </c>
      <c r="I1559" s="104"/>
      <c r="J1559" s="104">
        <f>K1556+K1558+0-0-0</f>
        <v>8.42</v>
      </c>
      <c r="K1559" s="104"/>
    </row>
    <row r="1560" spans="1:29" ht="15" x14ac:dyDescent="0.25">
      <c r="C1560" s="22" t="s">
        <v>1604</v>
      </c>
      <c r="H1560" s="100">
        <f>0+0</f>
        <v>0</v>
      </c>
      <c r="I1560" s="100"/>
      <c r="J1560" s="100">
        <f>0+0</f>
        <v>0</v>
      </c>
      <c r="K1560" s="100"/>
    </row>
    <row r="1561" spans="1:29" ht="15" x14ac:dyDescent="0.25">
      <c r="C1561" s="22" t="s">
        <v>1605</v>
      </c>
      <c r="H1561" s="100">
        <f>I1556+I1558+0</f>
        <v>0.55000000000000004</v>
      </c>
      <c r="I1561" s="100"/>
      <c r="J1561" s="100">
        <f>K1556+K1558+0</f>
        <v>8.42</v>
      </c>
      <c r="K1561" s="100"/>
      <c r="O1561" s="36">
        <f>I1556+I1558+0</f>
        <v>0.55000000000000004</v>
      </c>
      <c r="P1561" s="36">
        <f>K1556+K1558+0</f>
        <v>8.42</v>
      </c>
    </row>
    <row r="1563" spans="1:29" ht="42.75" x14ac:dyDescent="0.2">
      <c r="A1563" s="27">
        <v>18</v>
      </c>
      <c r="B1563" s="27" t="str">
        <f>Source!F1259</f>
        <v>15.2-42-10</v>
      </c>
      <c r="C1563" s="27" t="s">
        <v>485</v>
      </c>
      <c r="D1563" s="28" t="str">
        <f>Source!H1259</f>
        <v>т</v>
      </c>
      <c r="E1563" s="12">
        <f>Source!I1259</f>
        <v>4.8899999999999999E-2</v>
      </c>
      <c r="F1563" s="30"/>
      <c r="G1563" s="29"/>
      <c r="H1563" s="12"/>
      <c r="I1563" s="30"/>
      <c r="J1563" s="12"/>
      <c r="K1563" s="30"/>
      <c r="Q1563">
        <f>Source!X1259</f>
        <v>0</v>
      </c>
      <c r="R1563">
        <f>Source!X1260</f>
        <v>0</v>
      </c>
      <c r="S1563">
        <f>Source!Y1259</f>
        <v>0</v>
      </c>
      <c r="T1563">
        <f>Source!Y1260</f>
        <v>0</v>
      </c>
      <c r="U1563">
        <f>ROUND((175/100)*ROUND(Source!R1259, 2), 2)</f>
        <v>0</v>
      </c>
      <c r="V1563">
        <f>ROUND((160/100)*ROUND(Source!R1260, 2), 2)</f>
        <v>0</v>
      </c>
      <c r="AC1563">
        <v>0</v>
      </c>
    </row>
    <row r="1564" spans="1:29" ht="14.25" x14ac:dyDescent="0.2">
      <c r="A1564" s="31"/>
      <c r="B1564" s="31"/>
      <c r="C1564" s="31" t="s">
        <v>1609</v>
      </c>
      <c r="D1564" s="32"/>
      <c r="E1564" s="33"/>
      <c r="F1564" s="34">
        <f>Source!AM1259</f>
        <v>38.17</v>
      </c>
      <c r="G1564" s="35" t="str">
        <f>Source!DE1259</f>
        <v/>
      </c>
      <c r="H1564" s="33">
        <f>Source!AV1260</f>
        <v>1</v>
      </c>
      <c r="I1564" s="34">
        <f>Source!Q1259</f>
        <v>1.87</v>
      </c>
      <c r="J1564" s="33">
        <f>IF(Source!BB1260&lt;&gt; 0, Source!BB1260, 1)</f>
        <v>13.76</v>
      </c>
      <c r="K1564" s="34">
        <f>Source!Q1260</f>
        <v>25.73</v>
      </c>
    </row>
    <row r="1565" spans="1:29" ht="15" x14ac:dyDescent="0.25">
      <c r="C1565" s="22" t="s">
        <v>1603</v>
      </c>
      <c r="H1565" s="104">
        <f>I1564+0-0-0</f>
        <v>1.87</v>
      </c>
      <c r="I1565" s="104"/>
      <c r="J1565" s="104">
        <f>K1564+0-0-0</f>
        <v>25.73</v>
      </c>
      <c r="K1565" s="104"/>
    </row>
    <row r="1566" spans="1:29" ht="15" x14ac:dyDescent="0.25">
      <c r="C1566" s="22" t="s">
        <v>1604</v>
      </c>
      <c r="H1566" s="100">
        <f>0+0</f>
        <v>0</v>
      </c>
      <c r="I1566" s="100"/>
      <c r="J1566" s="100">
        <f>0+0</f>
        <v>0</v>
      </c>
      <c r="K1566" s="100"/>
    </row>
    <row r="1567" spans="1:29" ht="15" x14ac:dyDescent="0.25">
      <c r="C1567" s="22" t="s">
        <v>1605</v>
      </c>
      <c r="H1567" s="100">
        <f>I1564+0</f>
        <v>1.87</v>
      </c>
      <c r="I1567" s="100"/>
      <c r="J1567" s="100">
        <f>K1564+0</f>
        <v>25.73</v>
      </c>
      <c r="K1567" s="100"/>
      <c r="O1567" s="36">
        <f>I1564+0</f>
        <v>1.87</v>
      </c>
      <c r="P1567" s="36">
        <f>K1564+0</f>
        <v>25.73</v>
      </c>
    </row>
    <row r="1569" spans="1:29" ht="28.5" x14ac:dyDescent="0.2">
      <c r="A1569" s="27">
        <v>19</v>
      </c>
      <c r="B1569" s="27" t="str">
        <f>Source!F1261</f>
        <v>15.1-1500-01</v>
      </c>
      <c r="C1569" s="27" t="s">
        <v>492</v>
      </c>
      <c r="D1569" s="28" t="str">
        <f>Source!H1261</f>
        <v>1 Т</v>
      </c>
      <c r="E1569" s="12">
        <f>Source!I1261</f>
        <v>4.8899999999999999E-2</v>
      </c>
      <c r="F1569" s="30"/>
      <c r="G1569" s="29"/>
      <c r="H1569" s="12"/>
      <c r="I1569" s="30"/>
      <c r="J1569" s="12"/>
      <c r="K1569" s="30"/>
      <c r="Q1569">
        <f>Source!X1261</f>
        <v>0</v>
      </c>
      <c r="R1569">
        <f>Source!X1262</f>
        <v>0</v>
      </c>
      <c r="S1569">
        <f>Source!Y1261</f>
        <v>0</v>
      </c>
      <c r="T1569">
        <f>Source!Y1262</f>
        <v>0</v>
      </c>
      <c r="U1569">
        <f>ROUND((175/100)*ROUND(Source!R1261, 2), 2)</f>
        <v>0</v>
      </c>
      <c r="V1569">
        <f>ROUND((160/100)*ROUND(Source!R1262, 2), 2)</f>
        <v>0</v>
      </c>
      <c r="AC1569">
        <v>0</v>
      </c>
    </row>
    <row r="1570" spans="1:29" ht="14.25" x14ac:dyDescent="0.2">
      <c r="A1570" s="31"/>
      <c r="B1570" s="31"/>
      <c r="C1570" s="31" t="s">
        <v>1609</v>
      </c>
      <c r="D1570" s="32"/>
      <c r="E1570" s="33"/>
      <c r="F1570" s="34">
        <f>Source!AM1261</f>
        <v>31.67</v>
      </c>
      <c r="G1570" s="35" t="str">
        <f>Source!DE1261</f>
        <v/>
      </c>
      <c r="H1570" s="33">
        <f>Source!AV1262</f>
        <v>1</v>
      </c>
      <c r="I1570" s="34">
        <f>Source!Q1261</f>
        <v>1.55</v>
      </c>
      <c r="J1570" s="33">
        <f>IF(Source!BB1262&lt;&gt; 0, Source!BB1262, 1)</f>
        <v>43.37</v>
      </c>
      <c r="K1570" s="34">
        <f>Source!Q1262</f>
        <v>67.22</v>
      </c>
    </row>
    <row r="1571" spans="1:29" ht="15" x14ac:dyDescent="0.25">
      <c r="C1571" s="22" t="s">
        <v>1603</v>
      </c>
      <c r="H1571" s="104">
        <f>I1570+0-0-0</f>
        <v>1.55</v>
      </c>
      <c r="I1571" s="104"/>
      <c r="J1571" s="104">
        <f>K1570+0-0-0</f>
        <v>67.22</v>
      </c>
      <c r="K1571" s="104"/>
    </row>
    <row r="1572" spans="1:29" ht="15" x14ac:dyDescent="0.25">
      <c r="C1572" s="22" t="s">
        <v>1604</v>
      </c>
      <c r="H1572" s="100">
        <f>0+0</f>
        <v>0</v>
      </c>
      <c r="I1572" s="100"/>
      <c r="J1572" s="100">
        <f>0+0</f>
        <v>0</v>
      </c>
      <c r="K1572" s="100"/>
    </row>
    <row r="1573" spans="1:29" ht="15" x14ac:dyDescent="0.25">
      <c r="C1573" s="22" t="s">
        <v>1605</v>
      </c>
      <c r="H1573" s="100">
        <f>I1570+0</f>
        <v>1.55</v>
      </c>
      <c r="I1573" s="100"/>
      <c r="J1573" s="100">
        <f>K1570+0</f>
        <v>67.22</v>
      </c>
      <c r="K1573" s="100"/>
      <c r="O1573" s="36">
        <f>I1570+0</f>
        <v>1.55</v>
      </c>
      <c r="P1573" s="36">
        <f>K1570+0</f>
        <v>67.22</v>
      </c>
    </row>
    <row r="1576" spans="1:29" ht="15" x14ac:dyDescent="0.25">
      <c r="A1576" s="102" t="str">
        <f>CONCATENATE("Итого по разделу: ",IF(Source!G1264&lt;&gt;"Новый раздел", Source!G1264, ""))</f>
        <v>Итого по разделу: Прочие работы</v>
      </c>
      <c r="B1576" s="102"/>
      <c r="C1576" s="102"/>
      <c r="D1576" s="102"/>
      <c r="E1576" s="102"/>
      <c r="F1576" s="102"/>
      <c r="G1576" s="102"/>
      <c r="H1576" s="100">
        <f>SUM(O1554:O1575)</f>
        <v>3.9699999999999998</v>
      </c>
      <c r="I1576" s="101"/>
      <c r="J1576" s="100">
        <f>SUM(P1554:P1575)</f>
        <v>101.37</v>
      </c>
      <c r="K1576" s="101"/>
    </row>
    <row r="1577" spans="1:29" hidden="1" x14ac:dyDescent="0.2">
      <c r="A1577" t="s">
        <v>1606</v>
      </c>
      <c r="I1577">
        <f>SUM(W1554:W1576)</f>
        <v>0</v>
      </c>
      <c r="J1577">
        <f>SUM(X1554:X1576)</f>
        <v>0</v>
      </c>
    </row>
    <row r="1578" spans="1:29" hidden="1" x14ac:dyDescent="0.2">
      <c r="A1578" t="s">
        <v>1607</v>
      </c>
      <c r="I1578">
        <f>SUM(Y1554:Y1577)</f>
        <v>0</v>
      </c>
      <c r="J1578">
        <f>SUM(Z1554:Z1577)</f>
        <v>0</v>
      </c>
    </row>
    <row r="1580" spans="1:29" ht="15" x14ac:dyDescent="0.25">
      <c r="A1580" s="102" t="str">
        <f>CONCATENATE("Итого по локальной смете: ",IF(Source!G1294&lt;&gt;"Новая локальная смета", Source!G1294, ""))</f>
        <v>Итого по локальной смете: Система водоснабжения и водоотведения</v>
      </c>
      <c r="B1580" s="102"/>
      <c r="C1580" s="102"/>
      <c r="D1580" s="102"/>
      <c r="E1580" s="102"/>
      <c r="F1580" s="102"/>
      <c r="G1580" s="102"/>
      <c r="H1580" s="100">
        <f>SUM(O1300:O1579)</f>
        <v>6119.2699999999995</v>
      </c>
      <c r="I1580" s="101"/>
      <c r="J1580" s="100">
        <f>SUM(P1300:P1579)</f>
        <v>177377.35000000006</v>
      </c>
      <c r="K1580" s="101"/>
    </row>
    <row r="1581" spans="1:29" hidden="1" x14ac:dyDescent="0.2">
      <c r="A1581" t="s">
        <v>1606</v>
      </c>
      <c r="I1581">
        <f>SUM(W1300:W1580)</f>
        <v>0</v>
      </c>
      <c r="J1581">
        <f>SUM(X1300:X1580)</f>
        <v>0</v>
      </c>
    </row>
    <row r="1582" spans="1:29" hidden="1" x14ac:dyDescent="0.2">
      <c r="A1582" t="s">
        <v>1607</v>
      </c>
      <c r="I1582">
        <f>SUM(Y1300:Y1581)</f>
        <v>0</v>
      </c>
      <c r="J1582">
        <f>SUM(Z1300:Z1581)</f>
        <v>0</v>
      </c>
    </row>
    <row r="1584" spans="1:29" ht="16.5" x14ac:dyDescent="0.25">
      <c r="A1584" s="103" t="str">
        <f>CONCATENATE("Локальная смета: ",IF(Source!G1324&lt;&gt;"Новая локальная смета", Source!G1324, ""))</f>
        <v>Локальная смета: Мероприятия по обеспечению доступа инвалидов</v>
      </c>
      <c r="B1584" s="103"/>
      <c r="C1584" s="103"/>
      <c r="D1584" s="103"/>
      <c r="E1584" s="103"/>
      <c r="F1584" s="103"/>
      <c r="G1584" s="103"/>
      <c r="H1584" s="103"/>
      <c r="I1584" s="103"/>
      <c r="J1584" s="103"/>
      <c r="K1584" s="103"/>
    </row>
    <row r="1586" spans="1:29" ht="16.5" x14ac:dyDescent="0.25">
      <c r="A1586" s="103" t="str">
        <f>CONCATENATE("Раздел: ",IF(Source!G1328&lt;&gt;"Новый раздел", Source!G1328, ""))</f>
        <v>Раздел: Монтажные работы</v>
      </c>
      <c r="B1586" s="103"/>
      <c r="C1586" s="103"/>
      <c r="D1586" s="103"/>
      <c r="E1586" s="103"/>
      <c r="F1586" s="103"/>
      <c r="G1586" s="103"/>
      <c r="H1586" s="103"/>
      <c r="I1586" s="103"/>
      <c r="J1586" s="103"/>
      <c r="K1586" s="103"/>
    </row>
    <row r="1587" spans="1:29" ht="52.5" x14ac:dyDescent="0.2">
      <c r="A1587" s="27">
        <v>1</v>
      </c>
      <c r="B1587" s="27" t="s">
        <v>1698</v>
      </c>
      <c r="C1587" s="27" t="s">
        <v>1007</v>
      </c>
      <c r="D1587" s="28" t="str">
        <f>Source!H1332</f>
        <v>100 м2 покрытия</v>
      </c>
      <c r="E1587" s="12">
        <f>Source!I1332</f>
        <v>8.9999999999999998E-4</v>
      </c>
      <c r="F1587" s="30"/>
      <c r="G1587" s="29"/>
      <c r="H1587" s="12"/>
      <c r="I1587" s="30"/>
      <c r="J1587" s="12"/>
      <c r="K1587" s="30"/>
      <c r="Q1587">
        <f>Source!X1332</f>
        <v>0.49</v>
      </c>
      <c r="R1587">
        <f>Source!X1333</f>
        <v>11.87</v>
      </c>
      <c r="S1587">
        <f>Source!Y1332</f>
        <v>0.33</v>
      </c>
      <c r="T1587">
        <f>Source!Y1333</f>
        <v>5.59</v>
      </c>
      <c r="U1587">
        <f>ROUND((175/100)*ROUND(Source!R1332, 2), 2)</f>
        <v>0.04</v>
      </c>
      <c r="V1587">
        <f>ROUND((160/100)*ROUND(Source!R1333, 2), 2)</f>
        <v>0.93</v>
      </c>
      <c r="AC1587">
        <v>0</v>
      </c>
    </row>
    <row r="1588" spans="1:29" ht="14.25" x14ac:dyDescent="0.2">
      <c r="A1588" s="27"/>
      <c r="B1588" s="27"/>
      <c r="C1588" s="27" t="s">
        <v>1597</v>
      </c>
      <c r="D1588" s="28"/>
      <c r="E1588" s="12"/>
      <c r="F1588" s="30">
        <f>Source!AO1332</f>
        <v>454.58</v>
      </c>
      <c r="G1588" s="29" t="str">
        <f>Source!DG1332</f>
        <v>)*1,15</v>
      </c>
      <c r="H1588" s="12">
        <f>Source!AV1333</f>
        <v>1</v>
      </c>
      <c r="I1588" s="30">
        <f>Source!S1332</f>
        <v>0.47</v>
      </c>
      <c r="J1588" s="12">
        <f>IF(Source!BA1333&lt;&gt; 0, Source!BA1333, 1)</f>
        <v>29.03</v>
      </c>
      <c r="K1588" s="30">
        <f>Source!S1333</f>
        <v>13.64</v>
      </c>
    </row>
    <row r="1589" spans="1:29" ht="14.25" x14ac:dyDescent="0.2">
      <c r="A1589" s="27"/>
      <c r="B1589" s="27"/>
      <c r="C1589" s="27" t="s">
        <v>1609</v>
      </c>
      <c r="D1589" s="28"/>
      <c r="E1589" s="12"/>
      <c r="F1589" s="30">
        <f>Source!AM1332</f>
        <v>64.02</v>
      </c>
      <c r="G1589" s="29" t="str">
        <f>Source!DE1332</f>
        <v>)*1,25</v>
      </c>
      <c r="H1589" s="12">
        <f>Source!AV1333</f>
        <v>1</v>
      </c>
      <c r="I1589" s="30">
        <f>Source!Q1332</f>
        <v>7.0000000000000007E-2</v>
      </c>
      <c r="J1589" s="12">
        <f>IF(Source!BB1333&lt;&gt; 0, Source!BB1333, 1)</f>
        <v>13.44</v>
      </c>
      <c r="K1589" s="30">
        <f>Source!Q1333</f>
        <v>0.94</v>
      </c>
    </row>
    <row r="1590" spans="1:29" ht="14.25" x14ac:dyDescent="0.2">
      <c r="A1590" s="27"/>
      <c r="B1590" s="27"/>
      <c r="C1590" s="27" t="s">
        <v>1610</v>
      </c>
      <c r="D1590" s="28"/>
      <c r="E1590" s="12"/>
      <c r="F1590" s="30">
        <f>Source!AN1332</f>
        <v>15.13</v>
      </c>
      <c r="G1590" s="29" t="str">
        <f>Source!DF1332</f>
        <v>)*1,25</v>
      </c>
      <c r="H1590" s="12">
        <f>Source!AV1333</f>
        <v>1</v>
      </c>
      <c r="I1590" s="38">
        <f>Source!R1332</f>
        <v>0.02</v>
      </c>
      <c r="J1590" s="12">
        <f>IF(Source!BS1333&lt;&gt; 0, Source!BS1333, 1)</f>
        <v>29.03</v>
      </c>
      <c r="K1590" s="38">
        <f>Source!R1333</f>
        <v>0.57999999999999996</v>
      </c>
    </row>
    <row r="1591" spans="1:29" ht="28.5" x14ac:dyDescent="0.2">
      <c r="A1591" s="27" t="s">
        <v>509</v>
      </c>
      <c r="B1591" s="27" t="str">
        <f>Source!F1334</f>
        <v>1.1-1-389</v>
      </c>
      <c r="C1591" s="27" t="s">
        <v>1012</v>
      </c>
      <c r="D1591" s="28" t="str">
        <f>Source!H1334</f>
        <v>т</v>
      </c>
      <c r="E1591" s="12">
        <f>Source!I1334</f>
        <v>4.1999999999999998E-5</v>
      </c>
      <c r="F1591" s="30">
        <f>Source!AK1334</f>
        <v>43326.77</v>
      </c>
      <c r="G1591" s="39" t="s">
        <v>3</v>
      </c>
      <c r="H1591" s="12">
        <f>Source!AW1335</f>
        <v>1</v>
      </c>
      <c r="I1591" s="30">
        <f>Source!O1334</f>
        <v>1.82</v>
      </c>
      <c r="J1591" s="12">
        <f>IF(Source!BC1335&lt;&gt; 0, Source!BC1335, 1)</f>
        <v>1.5</v>
      </c>
      <c r="K1591" s="30">
        <f>Source!O1335</f>
        <v>2.73</v>
      </c>
      <c r="Q1591">
        <f>Source!X1334</f>
        <v>0</v>
      </c>
      <c r="R1591">
        <f>Source!X1335</f>
        <v>0</v>
      </c>
      <c r="S1591">
        <f>Source!Y1334</f>
        <v>0</v>
      </c>
      <c r="T1591">
        <f>Source!Y1335</f>
        <v>0</v>
      </c>
      <c r="U1591">
        <f>ROUND((175/100)*ROUND(Source!R1334, 2), 2)</f>
        <v>0</v>
      </c>
      <c r="V1591">
        <f>ROUND((160/100)*ROUND(Source!R1335, 2), 2)</f>
        <v>0</v>
      </c>
      <c r="AC1591">
        <v>3</v>
      </c>
    </row>
    <row r="1592" spans="1:29" ht="42.75" x14ac:dyDescent="0.2">
      <c r="A1592" s="27" t="s">
        <v>1014</v>
      </c>
      <c r="B1592" s="27" t="str">
        <f>Source!F1336</f>
        <v>Цена поставщика</v>
      </c>
      <c r="C1592" s="27" t="s">
        <v>1699</v>
      </c>
      <c r="D1592" s="28" t="str">
        <f>Source!H1336</f>
        <v>м</v>
      </c>
      <c r="E1592" s="12">
        <f>Source!I1336</f>
        <v>3.6</v>
      </c>
      <c r="F1592" s="30">
        <f>Source!AK1336</f>
        <v>12.82</v>
      </c>
      <c r="G1592" s="39" t="s">
        <v>3</v>
      </c>
      <c r="H1592" s="12">
        <f>Source!AW1337</f>
        <v>1</v>
      </c>
      <c r="I1592" s="30">
        <f>Source!O1336</f>
        <v>46.15</v>
      </c>
      <c r="J1592" s="12">
        <f>IF(Source!BC1337&lt;&gt; 0, Source!BC1337, 1)</f>
        <v>8.65</v>
      </c>
      <c r="K1592" s="30">
        <f>Source!O1337</f>
        <v>305.77999999999997</v>
      </c>
      <c r="Q1592">
        <f>Source!X1336</f>
        <v>0</v>
      </c>
      <c r="R1592">
        <f>Source!X1337</f>
        <v>0</v>
      </c>
      <c r="S1592">
        <f>Source!Y1336</f>
        <v>0</v>
      </c>
      <c r="T1592">
        <f>Source!Y1337</f>
        <v>0</v>
      </c>
      <c r="U1592">
        <f>ROUND((175/100)*ROUND(Source!R1336, 2), 2)</f>
        <v>0</v>
      </c>
      <c r="V1592">
        <f>ROUND((160/100)*ROUND(Source!R1337, 2), 2)</f>
        <v>0</v>
      </c>
      <c r="AC1592">
        <v>3</v>
      </c>
    </row>
    <row r="1593" spans="1:29" ht="14.25" x14ac:dyDescent="0.2">
      <c r="A1593" s="27"/>
      <c r="B1593" s="27"/>
      <c r="C1593" s="27" t="s">
        <v>1598</v>
      </c>
      <c r="D1593" s="28" t="s">
        <v>1599</v>
      </c>
      <c r="E1593" s="12">
        <f>Source!DN1333</f>
        <v>104</v>
      </c>
      <c r="F1593" s="30"/>
      <c r="G1593" s="29"/>
      <c r="H1593" s="12"/>
      <c r="I1593" s="30">
        <f>SUM(Q1587:Q1592)</f>
        <v>0.49</v>
      </c>
      <c r="J1593" s="12">
        <f>Source!BZ1333</f>
        <v>87</v>
      </c>
      <c r="K1593" s="30">
        <f>SUM(R1587:R1592)</f>
        <v>11.87</v>
      </c>
    </row>
    <row r="1594" spans="1:29" ht="14.25" x14ac:dyDescent="0.2">
      <c r="A1594" s="27"/>
      <c r="B1594" s="27"/>
      <c r="C1594" s="27" t="s">
        <v>1600</v>
      </c>
      <c r="D1594" s="28" t="s">
        <v>1599</v>
      </c>
      <c r="E1594" s="12">
        <f>Source!DO1333</f>
        <v>70</v>
      </c>
      <c r="F1594" s="30"/>
      <c r="G1594" s="29"/>
      <c r="H1594" s="12"/>
      <c r="I1594" s="30">
        <f>SUM(S1587:S1593)</f>
        <v>0.33</v>
      </c>
      <c r="J1594" s="12">
        <f>Source!CA1333</f>
        <v>41</v>
      </c>
      <c r="K1594" s="30">
        <f>SUM(T1587:T1593)</f>
        <v>5.59</v>
      </c>
    </row>
    <row r="1595" spans="1:29" ht="14.25" x14ac:dyDescent="0.2">
      <c r="A1595" s="27"/>
      <c r="B1595" s="27"/>
      <c r="C1595" s="27" t="s">
        <v>1612</v>
      </c>
      <c r="D1595" s="28" t="s">
        <v>1599</v>
      </c>
      <c r="E1595" s="12">
        <f>175</f>
        <v>175</v>
      </c>
      <c r="F1595" s="30"/>
      <c r="G1595" s="29"/>
      <c r="H1595" s="12"/>
      <c r="I1595" s="30">
        <f>SUM(U1587:U1594)</f>
        <v>0.04</v>
      </c>
      <c r="J1595" s="12">
        <f>160</f>
        <v>160</v>
      </c>
      <c r="K1595" s="30">
        <f>SUM(V1587:V1594)</f>
        <v>0.93</v>
      </c>
    </row>
    <row r="1596" spans="1:29" ht="14.25" x14ac:dyDescent="0.2">
      <c r="A1596" s="31"/>
      <c r="B1596" s="31"/>
      <c r="C1596" s="31" t="s">
        <v>1601</v>
      </c>
      <c r="D1596" s="32" t="s">
        <v>1602</v>
      </c>
      <c r="E1596" s="33">
        <f>Source!AQ1332</f>
        <v>38.200000000000003</v>
      </c>
      <c r="F1596" s="34"/>
      <c r="G1596" s="35" t="str">
        <f>Source!DI1332</f>
        <v>)*1,15</v>
      </c>
      <c r="H1596" s="33">
        <f>Source!AV1333</f>
        <v>1</v>
      </c>
      <c r="I1596" s="34">
        <f>Source!U1332</f>
        <v>3.9536999999999996E-2</v>
      </c>
      <c r="J1596" s="33"/>
      <c r="K1596" s="34"/>
    </row>
    <row r="1597" spans="1:29" ht="15" x14ac:dyDescent="0.25">
      <c r="C1597" s="22" t="s">
        <v>1603</v>
      </c>
      <c r="H1597" s="104">
        <f>I1588+I1589+I1593+I1594+I1595+SUM(I1591:I1592)-SUMIF(AC1591:AC1592, 5, I1591:I1592)-SUMIF(AC1591:AC1592, 6, I1591:I1592)</f>
        <v>49.37</v>
      </c>
      <c r="I1597" s="104"/>
      <c r="J1597" s="104">
        <f>K1588+K1589+K1593+K1594+K1595+SUM(K1591:K1592)-SUMIF(AC1591:AC1592, 5, K1591:K1592)-SUMIF(AC1591:AC1592, 6, K1591:K1592)</f>
        <v>341.48</v>
      </c>
      <c r="K1597" s="104"/>
    </row>
    <row r="1598" spans="1:29" ht="15" x14ac:dyDescent="0.25">
      <c r="C1598" s="22" t="s">
        <v>1604</v>
      </c>
      <c r="H1598" s="100">
        <f>SUMIF(AC1591:AC1592, 5, I1591:I1592)+SUMIF(AC1591:AC1592, 6, I1591:I1592)</f>
        <v>0</v>
      </c>
      <c r="I1598" s="100"/>
      <c r="J1598" s="100">
        <f>SUMIF(AC1591:AC1592, 5, K1591:K1592)+SUMIF(AC1591:AC1592, 6, K1591:K1592)</f>
        <v>0</v>
      </c>
      <c r="K1598" s="100"/>
    </row>
    <row r="1599" spans="1:29" ht="15" x14ac:dyDescent="0.25">
      <c r="C1599" s="22" t="s">
        <v>1605</v>
      </c>
      <c r="H1599" s="100">
        <f>I1588+I1589+I1593+I1594+I1595+SUM(I1591:I1592)</f>
        <v>49.37</v>
      </c>
      <c r="I1599" s="100"/>
      <c r="J1599" s="100">
        <f>K1588+K1589+K1593+K1594+K1595+SUM(K1591:K1592)</f>
        <v>341.48</v>
      </c>
      <c r="K1599" s="100"/>
      <c r="O1599" s="36">
        <f>I1588+I1589+I1593+I1594+I1595+SUM(I1591:I1592)</f>
        <v>49.37</v>
      </c>
      <c r="P1599" s="36">
        <f>K1588+K1589+K1593+K1594+K1595+SUM(K1591:K1592)</f>
        <v>341.48</v>
      </c>
    </row>
    <row r="1601" spans="1:29" ht="57" x14ac:dyDescent="0.2">
      <c r="A1601" s="27">
        <v>2</v>
      </c>
      <c r="B1601" s="27" t="s">
        <v>1700</v>
      </c>
      <c r="C1601" s="27" t="s">
        <v>1018</v>
      </c>
      <c r="D1601" s="28" t="str">
        <f>Source!H1338</f>
        <v>10 шт.</v>
      </c>
      <c r="E1601" s="12">
        <f>Source!I1338</f>
        <v>15.7</v>
      </c>
      <c r="F1601" s="30"/>
      <c r="G1601" s="29"/>
      <c r="H1601" s="12"/>
      <c r="I1601" s="30"/>
      <c r="J1601" s="12"/>
      <c r="K1601" s="30"/>
      <c r="Q1601">
        <f>Source!X1338</f>
        <v>1219.02</v>
      </c>
      <c r="R1601">
        <f>Source!X1339</f>
        <v>20869.849999999999</v>
      </c>
      <c r="S1601">
        <f>Source!Y1338</f>
        <v>656.39</v>
      </c>
      <c r="T1601">
        <f>Source!Y1339</f>
        <v>9300.69</v>
      </c>
      <c r="U1601">
        <f>ROUND((175/100)*ROUND(Source!R1338, 2), 2)</f>
        <v>66.290000000000006</v>
      </c>
      <c r="V1601">
        <f>ROUND((160/100)*ROUND(Source!R1339, 2), 2)</f>
        <v>1759.46</v>
      </c>
      <c r="AC1601">
        <v>0</v>
      </c>
    </row>
    <row r="1602" spans="1:29" ht="14.25" x14ac:dyDescent="0.2">
      <c r="A1602" s="27"/>
      <c r="B1602" s="27"/>
      <c r="C1602" s="27" t="s">
        <v>1597</v>
      </c>
      <c r="D1602" s="28"/>
      <c r="E1602" s="12"/>
      <c r="F1602" s="30">
        <f>Source!AO1338</f>
        <v>43.28</v>
      </c>
      <c r="G1602" s="29" t="str">
        <f>Source!DG1338</f>
        <v>)*1,15</v>
      </c>
      <c r="H1602" s="12">
        <f>Source!AV1339</f>
        <v>1</v>
      </c>
      <c r="I1602" s="30">
        <f>Source!S1338</f>
        <v>781.42</v>
      </c>
      <c r="J1602" s="12">
        <f>IF(Source!BA1339&lt;&gt; 0, Source!BA1339, 1)</f>
        <v>29.03</v>
      </c>
      <c r="K1602" s="30">
        <f>Source!S1339</f>
        <v>22684.62</v>
      </c>
    </row>
    <row r="1603" spans="1:29" ht="14.25" x14ac:dyDescent="0.2">
      <c r="A1603" s="27"/>
      <c r="B1603" s="27"/>
      <c r="C1603" s="27" t="s">
        <v>1609</v>
      </c>
      <c r="D1603" s="28"/>
      <c r="E1603" s="12"/>
      <c r="F1603" s="30">
        <f>Source!AM1338</f>
        <v>7.49</v>
      </c>
      <c r="G1603" s="29" t="str">
        <f>Source!DE1338</f>
        <v>)*1,25</v>
      </c>
      <c r="H1603" s="12">
        <f>Source!AV1339</f>
        <v>1</v>
      </c>
      <c r="I1603" s="30">
        <f>Source!Q1338</f>
        <v>146.99</v>
      </c>
      <c r="J1603" s="12">
        <f>IF(Source!BB1339&lt;&gt; 0, Source!BB1339, 1)</f>
        <v>12.12</v>
      </c>
      <c r="K1603" s="30">
        <f>Source!Q1339</f>
        <v>1781.52</v>
      </c>
    </row>
    <row r="1604" spans="1:29" ht="14.25" x14ac:dyDescent="0.2">
      <c r="A1604" s="27"/>
      <c r="B1604" s="27"/>
      <c r="C1604" s="27" t="s">
        <v>1610</v>
      </c>
      <c r="D1604" s="28"/>
      <c r="E1604" s="12"/>
      <c r="F1604" s="30">
        <f>Source!AN1338</f>
        <v>1.93</v>
      </c>
      <c r="G1604" s="29" t="str">
        <f>Source!DF1338</f>
        <v>)*1,25</v>
      </c>
      <c r="H1604" s="12">
        <f>Source!AV1339</f>
        <v>1</v>
      </c>
      <c r="I1604" s="38">
        <f>Source!R1338</f>
        <v>37.880000000000003</v>
      </c>
      <c r="J1604" s="12">
        <f>IF(Source!BS1339&lt;&gt; 0, Source!BS1339, 1)</f>
        <v>29.03</v>
      </c>
      <c r="K1604" s="38">
        <f>Source!R1339</f>
        <v>1099.6600000000001</v>
      </c>
    </row>
    <row r="1605" spans="1:29" ht="14.25" x14ac:dyDescent="0.2">
      <c r="A1605" s="27"/>
      <c r="B1605" s="27"/>
      <c r="C1605" s="27" t="s">
        <v>1611</v>
      </c>
      <c r="D1605" s="28"/>
      <c r="E1605" s="12"/>
      <c r="F1605" s="30">
        <f>Source!AL1338</f>
        <v>0.18</v>
      </c>
      <c r="G1605" s="29" t="str">
        <f>Source!DD1338</f>
        <v/>
      </c>
      <c r="H1605" s="12">
        <f>Source!AW1339</f>
        <v>1</v>
      </c>
      <c r="I1605" s="30">
        <f>Source!P1338</f>
        <v>2.83</v>
      </c>
      <c r="J1605" s="12">
        <f>IF(Source!BC1339&lt;&gt; 0, Source!BC1339, 1)</f>
        <v>5.89</v>
      </c>
      <c r="K1605" s="30">
        <f>Source!P1339</f>
        <v>16.670000000000002</v>
      </c>
    </row>
    <row r="1606" spans="1:29" ht="57" x14ac:dyDescent="0.2">
      <c r="A1606" s="27" t="s">
        <v>91</v>
      </c>
      <c r="B1606" s="27" t="str">
        <f>Source!F1340</f>
        <v>1.3-2-18</v>
      </c>
      <c r="C1606" s="27" t="s">
        <v>1023</v>
      </c>
      <c r="D1606" s="28" t="str">
        <f>Source!H1340</f>
        <v>т</v>
      </c>
      <c r="E1606" s="12">
        <f>Source!I1340</f>
        <v>2.2529499999999998</v>
      </c>
      <c r="F1606" s="30">
        <f>Source!AK1340</f>
        <v>438.37</v>
      </c>
      <c r="G1606" s="39" t="s">
        <v>3</v>
      </c>
      <c r="H1606" s="12">
        <f>Source!AW1341</f>
        <v>1</v>
      </c>
      <c r="I1606" s="30">
        <f>Source!O1340</f>
        <v>987.63</v>
      </c>
      <c r="J1606" s="12">
        <f>IF(Source!BC1341&lt;&gt; 0, Source!BC1341, 1)</f>
        <v>15.88</v>
      </c>
      <c r="K1606" s="30">
        <f>Source!O1341</f>
        <v>15683.56</v>
      </c>
      <c r="Q1606">
        <f>Source!X1340</f>
        <v>0</v>
      </c>
      <c r="R1606">
        <f>Source!X1341</f>
        <v>0</v>
      </c>
      <c r="S1606">
        <f>Source!Y1340</f>
        <v>0</v>
      </c>
      <c r="T1606">
        <f>Source!Y1341</f>
        <v>0</v>
      </c>
      <c r="U1606">
        <f>ROUND((175/100)*ROUND(Source!R1340, 2), 2)</f>
        <v>0</v>
      </c>
      <c r="V1606">
        <f>ROUND((160/100)*ROUND(Source!R1341, 2), 2)</f>
        <v>0</v>
      </c>
      <c r="AC1606">
        <v>3</v>
      </c>
    </row>
    <row r="1607" spans="1:29" ht="55.5" x14ac:dyDescent="0.2">
      <c r="A1607" s="27" t="s">
        <v>1025</v>
      </c>
      <c r="B1607" s="27" t="str">
        <f>Source!F1342</f>
        <v>Цена поставщика</v>
      </c>
      <c r="C1607" s="27" t="s">
        <v>1701</v>
      </c>
      <c r="D1607" s="28" t="str">
        <f>Source!H1342</f>
        <v>шт.</v>
      </c>
      <c r="E1607" s="12">
        <f>Source!I1342</f>
        <v>157</v>
      </c>
      <c r="F1607" s="30">
        <f>Source!AK1342</f>
        <v>0</v>
      </c>
      <c r="G1607" s="39" t="s">
        <v>3</v>
      </c>
      <c r="H1607" s="12">
        <f>Source!AW1343</f>
        <v>1</v>
      </c>
      <c r="I1607" s="30">
        <f>Source!O1342</f>
        <v>0</v>
      </c>
      <c r="J1607" s="12">
        <f>IF(Source!BC1343&lt;&gt; 0, Source!BC1343, 1)</f>
        <v>8.65</v>
      </c>
      <c r="K1607" s="30">
        <f>Source!O1343</f>
        <v>73402.600000000006</v>
      </c>
      <c r="Q1607">
        <f>Source!X1342</f>
        <v>0</v>
      </c>
      <c r="R1607">
        <f>Source!X1343</f>
        <v>0</v>
      </c>
      <c r="S1607">
        <f>Source!Y1342</f>
        <v>0</v>
      </c>
      <c r="T1607">
        <f>Source!Y1343</f>
        <v>0</v>
      </c>
      <c r="U1607">
        <f>ROUND((175/100)*ROUND(Source!R1342, 2), 2)</f>
        <v>0</v>
      </c>
      <c r="V1607">
        <f>ROUND((160/100)*ROUND(Source!R1343, 2), 2)</f>
        <v>0</v>
      </c>
      <c r="AC1607">
        <v>3</v>
      </c>
    </row>
    <row r="1608" spans="1:29" ht="14.25" x14ac:dyDescent="0.2">
      <c r="A1608" s="27"/>
      <c r="B1608" s="27"/>
      <c r="C1608" s="27" t="s">
        <v>1598</v>
      </c>
      <c r="D1608" s="28" t="s">
        <v>1599</v>
      </c>
      <c r="E1608" s="12">
        <f>Source!DN1339</f>
        <v>156</v>
      </c>
      <c r="F1608" s="30"/>
      <c r="G1608" s="29"/>
      <c r="H1608" s="12"/>
      <c r="I1608" s="30">
        <f>SUM(Q1601:Q1607)</f>
        <v>1219.02</v>
      </c>
      <c r="J1608" s="12">
        <f>Source!BZ1339</f>
        <v>92</v>
      </c>
      <c r="K1608" s="30">
        <f>SUM(R1601:R1607)</f>
        <v>20869.849999999999</v>
      </c>
    </row>
    <row r="1609" spans="1:29" ht="14.25" x14ac:dyDescent="0.2">
      <c r="A1609" s="27"/>
      <c r="B1609" s="27"/>
      <c r="C1609" s="27" t="s">
        <v>1600</v>
      </c>
      <c r="D1609" s="28" t="s">
        <v>1599</v>
      </c>
      <c r="E1609" s="12">
        <f>Source!DO1339</f>
        <v>84</v>
      </c>
      <c r="F1609" s="30"/>
      <c r="G1609" s="29"/>
      <c r="H1609" s="12"/>
      <c r="I1609" s="30">
        <f>SUM(S1601:S1608)</f>
        <v>656.39</v>
      </c>
      <c r="J1609" s="12">
        <f>Source!CA1339</f>
        <v>41</v>
      </c>
      <c r="K1609" s="30">
        <f>SUM(T1601:T1608)</f>
        <v>9300.69</v>
      </c>
    </row>
    <row r="1610" spans="1:29" ht="14.25" x14ac:dyDescent="0.2">
      <c r="A1610" s="27"/>
      <c r="B1610" s="27"/>
      <c r="C1610" s="27" t="s">
        <v>1612</v>
      </c>
      <c r="D1610" s="28" t="s">
        <v>1599</v>
      </c>
      <c r="E1610" s="12">
        <f>175</f>
        <v>175</v>
      </c>
      <c r="F1610" s="30"/>
      <c r="G1610" s="29"/>
      <c r="H1610" s="12"/>
      <c r="I1610" s="30">
        <f>SUM(U1601:U1609)</f>
        <v>66.290000000000006</v>
      </c>
      <c r="J1610" s="12">
        <f>160</f>
        <v>160</v>
      </c>
      <c r="K1610" s="30">
        <f>SUM(V1601:V1609)</f>
        <v>1759.46</v>
      </c>
    </row>
    <row r="1611" spans="1:29" ht="14.25" x14ac:dyDescent="0.2">
      <c r="A1611" s="31"/>
      <c r="B1611" s="31"/>
      <c r="C1611" s="31" t="s">
        <v>1601</v>
      </c>
      <c r="D1611" s="32" t="s">
        <v>1602</v>
      </c>
      <c r="E1611" s="33">
        <f>Source!AQ1338</f>
        <v>3.88</v>
      </c>
      <c r="F1611" s="34"/>
      <c r="G1611" s="35" t="str">
        <f>Source!DI1338</f>
        <v>)*1,15</v>
      </c>
      <c r="H1611" s="33">
        <f>Source!AV1339</f>
        <v>1</v>
      </c>
      <c r="I1611" s="34">
        <f>Source!U1338</f>
        <v>70.053399999999996</v>
      </c>
      <c r="J1611" s="33"/>
      <c r="K1611" s="34"/>
    </row>
    <row r="1612" spans="1:29" ht="15" x14ac:dyDescent="0.25">
      <c r="C1612" s="22" t="s">
        <v>1603</v>
      </c>
      <c r="H1612" s="104">
        <f>I1602+I1603+I1605+I1608+I1609+I1610+SUM(I1606:I1607)-SUMIF(AC1606:AC1607, 5, I1606:I1607)-SUMIF(AC1606:AC1607, 6, I1606:I1607)</f>
        <v>3860.57</v>
      </c>
      <c r="I1612" s="104"/>
      <c r="J1612" s="104">
        <f>K1602+K1603+K1605+K1608+K1609+K1610+SUM(K1606:K1607)-SUMIF(AC1606:AC1607, 5, K1606:K1607)-SUMIF(AC1606:AC1607, 6, K1606:K1607)</f>
        <v>145498.97</v>
      </c>
      <c r="K1612" s="104"/>
    </row>
    <row r="1613" spans="1:29" ht="15" x14ac:dyDescent="0.25">
      <c r="C1613" s="22" t="s">
        <v>1604</v>
      </c>
      <c r="H1613" s="100">
        <f>SUMIF(AC1606:AC1607, 5, I1606:I1607)+SUMIF(AC1606:AC1607, 6, I1606:I1607)</f>
        <v>0</v>
      </c>
      <c r="I1613" s="100"/>
      <c r="J1613" s="100">
        <f>SUMIF(AC1606:AC1607, 5, K1606:K1607)+SUMIF(AC1606:AC1607, 6, K1606:K1607)</f>
        <v>0</v>
      </c>
      <c r="K1613" s="100"/>
    </row>
    <row r="1614" spans="1:29" ht="15" x14ac:dyDescent="0.25">
      <c r="C1614" s="22" t="s">
        <v>1605</v>
      </c>
      <c r="H1614" s="100">
        <f>I1602+I1603+I1605+I1608+I1609+I1610+SUM(I1606:I1607)</f>
        <v>3860.57</v>
      </c>
      <c r="I1614" s="100"/>
      <c r="J1614" s="100">
        <f>K1602+K1603+K1605+K1608+K1609+K1610+SUM(K1606:K1607)</f>
        <v>145498.97</v>
      </c>
      <c r="K1614" s="100"/>
      <c r="O1614" s="36">
        <f>I1602+I1603+I1605+I1608+I1609+I1610+SUM(I1606:I1607)</f>
        <v>3860.57</v>
      </c>
      <c r="P1614" s="36">
        <f>K1602+K1603+K1605+K1608+K1609+K1610+SUM(K1606:K1607)</f>
        <v>145498.97</v>
      </c>
    </row>
    <row r="1616" spans="1:29" ht="57" x14ac:dyDescent="0.2">
      <c r="A1616" s="27">
        <v>3</v>
      </c>
      <c r="B1616" s="27" t="str">
        <f>Source!F1346</f>
        <v>4.3-35-2</v>
      </c>
      <c r="C1616" s="27" t="s">
        <v>1032</v>
      </c>
      <c r="D1616" s="28" t="str">
        <f>Source!H1346</f>
        <v>1 подъемник</v>
      </c>
      <c r="E1616" s="12">
        <f>Source!I1346</f>
        <v>1</v>
      </c>
      <c r="F1616" s="30"/>
      <c r="G1616" s="29"/>
      <c r="H1616" s="12"/>
      <c r="I1616" s="30"/>
      <c r="J1616" s="12"/>
      <c r="K1616" s="30"/>
      <c r="Q1616">
        <f>Source!X1346</f>
        <v>1188.5</v>
      </c>
      <c r="R1616">
        <f>Source!X1347</f>
        <v>36047.019999999997</v>
      </c>
      <c r="S1616">
        <f>Source!Y1346</f>
        <v>1188.5</v>
      </c>
      <c r="T1616">
        <f>Source!Y1347</f>
        <v>21113.25</v>
      </c>
      <c r="U1616">
        <f>ROUND((175/100)*ROUND(Source!R1346, 2), 2)</f>
        <v>79.150000000000006</v>
      </c>
      <c r="V1616">
        <f>ROUND((160/100)*ROUND(Source!R1347, 2), 2)</f>
        <v>2100.85</v>
      </c>
      <c r="AC1616">
        <v>0</v>
      </c>
    </row>
    <row r="1617" spans="1:29" ht="14.25" x14ac:dyDescent="0.2">
      <c r="A1617" s="27"/>
      <c r="B1617" s="27"/>
      <c r="C1617" s="27" t="s">
        <v>1597</v>
      </c>
      <c r="D1617" s="28"/>
      <c r="E1617" s="12"/>
      <c r="F1617" s="30">
        <f>Source!AO1346</f>
        <v>1773.88</v>
      </c>
      <c r="G1617" s="29" t="str">
        <f>Source!DG1346</f>
        <v/>
      </c>
      <c r="H1617" s="12">
        <f>Source!AV1347</f>
        <v>1</v>
      </c>
      <c r="I1617" s="30">
        <f>Source!S1346</f>
        <v>1773.88</v>
      </c>
      <c r="J1617" s="12">
        <f>IF(Source!BA1347&lt;&gt; 0, Source!BA1347, 1)</f>
        <v>29.03</v>
      </c>
      <c r="K1617" s="30">
        <f>Source!S1347</f>
        <v>51495.74</v>
      </c>
    </row>
    <row r="1618" spans="1:29" ht="14.25" x14ac:dyDescent="0.2">
      <c r="A1618" s="27"/>
      <c r="B1618" s="27"/>
      <c r="C1618" s="27" t="s">
        <v>1609</v>
      </c>
      <c r="D1618" s="28"/>
      <c r="E1618" s="12"/>
      <c r="F1618" s="30">
        <f>Source!AM1346</f>
        <v>314.49</v>
      </c>
      <c r="G1618" s="29" t="str">
        <f>Source!DE1346</f>
        <v/>
      </c>
      <c r="H1618" s="12">
        <f>Source!AV1347</f>
        <v>1</v>
      </c>
      <c r="I1618" s="30">
        <f>Source!Q1346</f>
        <v>314.49</v>
      </c>
      <c r="J1618" s="12">
        <f>IF(Source!BB1347&lt;&gt; 0, Source!BB1347, 1)</f>
        <v>11.56</v>
      </c>
      <c r="K1618" s="30">
        <f>Source!Q1347</f>
        <v>3635.5</v>
      </c>
    </row>
    <row r="1619" spans="1:29" ht="14.25" x14ac:dyDescent="0.2">
      <c r="A1619" s="27"/>
      <c r="B1619" s="27"/>
      <c r="C1619" s="27" t="s">
        <v>1610</v>
      </c>
      <c r="D1619" s="28"/>
      <c r="E1619" s="12"/>
      <c r="F1619" s="30">
        <f>Source!AN1346</f>
        <v>45.23</v>
      </c>
      <c r="G1619" s="29" t="str">
        <f>Source!DF1346</f>
        <v/>
      </c>
      <c r="H1619" s="12">
        <f>Source!AV1347</f>
        <v>1</v>
      </c>
      <c r="I1619" s="38">
        <f>Source!R1346</f>
        <v>45.23</v>
      </c>
      <c r="J1619" s="12">
        <f>IF(Source!BS1347&lt;&gt; 0, Source!BS1347, 1)</f>
        <v>29.03</v>
      </c>
      <c r="K1619" s="38">
        <f>Source!R1347</f>
        <v>1313.03</v>
      </c>
    </row>
    <row r="1620" spans="1:29" ht="14.25" x14ac:dyDescent="0.2">
      <c r="A1620" s="27"/>
      <c r="B1620" s="27"/>
      <c r="C1620" s="27" t="s">
        <v>1611</v>
      </c>
      <c r="D1620" s="28"/>
      <c r="E1620" s="12"/>
      <c r="F1620" s="30">
        <f>Source!AL1346</f>
        <v>41.35</v>
      </c>
      <c r="G1620" s="29" t="str">
        <f>Source!DD1346</f>
        <v/>
      </c>
      <c r="H1620" s="12">
        <f>Source!AW1347</f>
        <v>1</v>
      </c>
      <c r="I1620" s="30">
        <f>Source!P1346</f>
        <v>41.35</v>
      </c>
      <c r="J1620" s="12">
        <f>IF(Source!BC1347&lt;&gt; 0, Source!BC1347, 1)</f>
        <v>8.8699999999999992</v>
      </c>
      <c r="K1620" s="30">
        <f>Source!P1347</f>
        <v>366.77</v>
      </c>
    </row>
    <row r="1621" spans="1:29" ht="14.25" x14ac:dyDescent="0.2">
      <c r="A1621" s="27"/>
      <c r="B1621" s="27"/>
      <c r="C1621" s="27" t="s">
        <v>1598</v>
      </c>
      <c r="D1621" s="28" t="s">
        <v>1599</v>
      </c>
      <c r="E1621" s="12">
        <f>Source!DN1347</f>
        <v>67</v>
      </c>
      <c r="F1621" s="30"/>
      <c r="G1621" s="29"/>
      <c r="H1621" s="12"/>
      <c r="I1621" s="30">
        <f>SUM(Q1616:Q1620)</f>
        <v>1188.5</v>
      </c>
      <c r="J1621" s="12">
        <f>Source!BZ1347</f>
        <v>70</v>
      </c>
      <c r="K1621" s="30">
        <f>SUM(R1616:R1620)</f>
        <v>36047.019999999997</v>
      </c>
    </row>
    <row r="1622" spans="1:29" ht="14.25" x14ac:dyDescent="0.2">
      <c r="A1622" s="27"/>
      <c r="B1622" s="27"/>
      <c r="C1622" s="27" t="s">
        <v>1600</v>
      </c>
      <c r="D1622" s="28" t="s">
        <v>1599</v>
      </c>
      <c r="E1622" s="12">
        <f>Source!DO1347</f>
        <v>67</v>
      </c>
      <c r="F1622" s="30"/>
      <c r="G1622" s="29"/>
      <c r="H1622" s="12"/>
      <c r="I1622" s="30">
        <f>SUM(S1616:S1621)</f>
        <v>1188.5</v>
      </c>
      <c r="J1622" s="12">
        <f>Source!CA1347</f>
        <v>41</v>
      </c>
      <c r="K1622" s="30">
        <f>SUM(T1616:T1621)</f>
        <v>21113.25</v>
      </c>
    </row>
    <row r="1623" spans="1:29" ht="14.25" x14ac:dyDescent="0.2">
      <c r="A1623" s="27"/>
      <c r="B1623" s="27"/>
      <c r="C1623" s="27" t="s">
        <v>1612</v>
      </c>
      <c r="D1623" s="28" t="s">
        <v>1599</v>
      </c>
      <c r="E1623" s="12">
        <f>175</f>
        <v>175</v>
      </c>
      <c r="F1623" s="30"/>
      <c r="G1623" s="29"/>
      <c r="H1623" s="12"/>
      <c r="I1623" s="30">
        <f>SUM(U1616:U1622)</f>
        <v>79.150000000000006</v>
      </c>
      <c r="J1623" s="12">
        <f>160</f>
        <v>160</v>
      </c>
      <c r="K1623" s="30">
        <f>SUM(V1616:V1622)</f>
        <v>2100.85</v>
      </c>
    </row>
    <row r="1624" spans="1:29" ht="14.25" x14ac:dyDescent="0.2">
      <c r="A1624" s="31"/>
      <c r="B1624" s="31"/>
      <c r="C1624" s="31" t="s">
        <v>1601</v>
      </c>
      <c r="D1624" s="32" t="s">
        <v>1602</v>
      </c>
      <c r="E1624" s="33">
        <f>Source!AQ1346</f>
        <v>122</v>
      </c>
      <c r="F1624" s="34"/>
      <c r="G1624" s="35" t="str">
        <f>Source!DI1346</f>
        <v/>
      </c>
      <c r="H1624" s="33">
        <f>Source!AV1347</f>
        <v>1</v>
      </c>
      <c r="I1624" s="34">
        <f>Source!U1346</f>
        <v>122</v>
      </c>
      <c r="J1624" s="33"/>
      <c r="K1624" s="34"/>
    </row>
    <row r="1625" spans="1:29" ht="15" x14ac:dyDescent="0.25">
      <c r="C1625" s="22" t="s">
        <v>1603</v>
      </c>
      <c r="H1625" s="104">
        <f>I1617+I1618+I1620+I1621+I1622+I1623+0-0-0</f>
        <v>4585.869999999999</v>
      </c>
      <c r="I1625" s="104"/>
      <c r="J1625" s="104">
        <f>K1617+K1618+K1620+K1621+K1622+K1623+0-0-0</f>
        <v>114759.13</v>
      </c>
      <c r="K1625" s="104"/>
    </row>
    <row r="1626" spans="1:29" ht="15" x14ac:dyDescent="0.25">
      <c r="C1626" s="22" t="s">
        <v>1604</v>
      </c>
      <c r="H1626" s="100">
        <f>0+0</f>
        <v>0</v>
      </c>
      <c r="I1626" s="100"/>
      <c r="J1626" s="100">
        <f>0+0</f>
        <v>0</v>
      </c>
      <c r="K1626" s="100"/>
    </row>
    <row r="1627" spans="1:29" ht="15" x14ac:dyDescent="0.25">
      <c r="C1627" s="22" t="s">
        <v>1605</v>
      </c>
      <c r="H1627" s="100">
        <f>I1617+I1618+I1620+I1621+I1622+I1623+0</f>
        <v>4585.869999999999</v>
      </c>
      <c r="I1627" s="100"/>
      <c r="J1627" s="100">
        <f>K1617+K1618+K1620+K1621+K1622+K1623+0</f>
        <v>114759.13</v>
      </c>
      <c r="K1627" s="100"/>
      <c r="O1627" s="36">
        <f>I1617+I1618+I1620+I1621+I1622+I1623+0</f>
        <v>4585.869999999999</v>
      </c>
      <c r="P1627" s="36">
        <f>K1617+K1618+K1620+K1621+K1622+K1623+0</f>
        <v>114759.13</v>
      </c>
    </row>
    <row r="1629" spans="1:29" ht="52.5" x14ac:dyDescent="0.2">
      <c r="A1629" s="27">
        <v>4</v>
      </c>
      <c r="B1629" s="27" t="s">
        <v>1654</v>
      </c>
      <c r="C1629" s="27" t="s">
        <v>646</v>
      </c>
      <c r="D1629" s="28" t="str">
        <f>Source!H1348</f>
        <v>1  ШТ.</v>
      </c>
      <c r="E1629" s="12">
        <f>Source!I1348</f>
        <v>17</v>
      </c>
      <c r="F1629" s="30"/>
      <c r="G1629" s="29"/>
      <c r="H1629" s="12"/>
      <c r="I1629" s="30"/>
      <c r="J1629" s="12"/>
      <c r="K1629" s="30"/>
      <c r="Q1629">
        <f>Source!X1348</f>
        <v>16.79</v>
      </c>
      <c r="R1629">
        <f>Source!X1349</f>
        <v>401.34</v>
      </c>
      <c r="S1629">
        <f>Source!Y1348</f>
        <v>13.83</v>
      </c>
      <c r="T1629">
        <f>Source!Y1349</f>
        <v>235.07</v>
      </c>
      <c r="U1629">
        <f>ROUND((175/100)*ROUND(Source!R1348, 2), 2)</f>
        <v>0</v>
      </c>
      <c r="V1629">
        <f>ROUND((160/100)*ROUND(Source!R1349, 2), 2)</f>
        <v>0</v>
      </c>
      <c r="AC1629">
        <v>0</v>
      </c>
    </row>
    <row r="1630" spans="1:29" ht="14.25" x14ac:dyDescent="0.2">
      <c r="A1630" s="27"/>
      <c r="B1630" s="27"/>
      <c r="C1630" s="27" t="s">
        <v>1597</v>
      </c>
      <c r="D1630" s="28"/>
      <c r="E1630" s="12"/>
      <c r="F1630" s="30">
        <f>Source!AO1348</f>
        <v>1.01</v>
      </c>
      <c r="G1630" s="29" t="str">
        <f>Source!DG1348</f>
        <v>)*1,15</v>
      </c>
      <c r="H1630" s="12">
        <f>Source!AV1349</f>
        <v>1</v>
      </c>
      <c r="I1630" s="30">
        <f>Source!S1348</f>
        <v>19.75</v>
      </c>
      <c r="J1630" s="12">
        <f>IF(Source!BA1349&lt;&gt; 0, Source!BA1349, 1)</f>
        <v>29.03</v>
      </c>
      <c r="K1630" s="30">
        <f>Source!S1349</f>
        <v>573.34</v>
      </c>
    </row>
    <row r="1631" spans="1:29" ht="14.25" x14ac:dyDescent="0.2">
      <c r="A1631" s="27"/>
      <c r="B1631" s="27"/>
      <c r="C1631" s="27" t="s">
        <v>1611</v>
      </c>
      <c r="D1631" s="28"/>
      <c r="E1631" s="12"/>
      <c r="F1631" s="30">
        <f>Source!AL1348</f>
        <v>0.17</v>
      </c>
      <c r="G1631" s="29" t="str">
        <f>Source!DD1348</f>
        <v/>
      </c>
      <c r="H1631" s="12">
        <f>Source!AW1349</f>
        <v>1</v>
      </c>
      <c r="I1631" s="30">
        <f>Source!P1348</f>
        <v>2.89</v>
      </c>
      <c r="J1631" s="12">
        <f>IF(Source!BC1349&lt;&gt; 0, Source!BC1349, 1)</f>
        <v>11.76</v>
      </c>
      <c r="K1631" s="30">
        <f>Source!P1349</f>
        <v>33.99</v>
      </c>
    </row>
    <row r="1632" spans="1:29" ht="42.75" x14ac:dyDescent="0.2">
      <c r="A1632" s="27" t="s">
        <v>111</v>
      </c>
      <c r="B1632" s="27" t="str">
        <f>Source!F1350</f>
        <v>Цена поставщика</v>
      </c>
      <c r="C1632" s="27" t="s">
        <v>1702</v>
      </c>
      <c r="D1632" s="28" t="str">
        <f>Source!H1350</f>
        <v>шт.</v>
      </c>
      <c r="E1632" s="12">
        <f>Source!I1350</f>
        <v>14</v>
      </c>
      <c r="F1632" s="30">
        <f>Source!AK1350</f>
        <v>38.46</v>
      </c>
      <c r="G1632" s="39" t="s">
        <v>3</v>
      </c>
      <c r="H1632" s="12">
        <f>Source!AW1351</f>
        <v>1</v>
      </c>
      <c r="I1632" s="30">
        <f>Source!O1350</f>
        <v>538.44000000000005</v>
      </c>
      <c r="J1632" s="12">
        <f>IF(Source!BC1351&lt;&gt; 0, Source!BC1351, 1)</f>
        <v>8.65</v>
      </c>
      <c r="K1632" s="30">
        <f>Source!O1351</f>
        <v>3570.03</v>
      </c>
      <c r="Q1632">
        <f>Source!X1350</f>
        <v>0</v>
      </c>
      <c r="R1632">
        <f>Source!X1351</f>
        <v>0</v>
      </c>
      <c r="S1632">
        <f>Source!Y1350</f>
        <v>0</v>
      </c>
      <c r="T1632">
        <f>Source!Y1351</f>
        <v>0</v>
      </c>
      <c r="U1632">
        <f>ROUND((175/100)*ROUND(Source!R1350, 2), 2)</f>
        <v>0</v>
      </c>
      <c r="V1632">
        <f>ROUND((160/100)*ROUND(Source!R1351, 2), 2)</f>
        <v>0</v>
      </c>
      <c r="AC1632">
        <v>3</v>
      </c>
    </row>
    <row r="1633" spans="1:29" ht="42.75" x14ac:dyDescent="0.2">
      <c r="A1633" s="27" t="s">
        <v>753</v>
      </c>
      <c r="B1633" s="27" t="str">
        <f>Source!F1352</f>
        <v>Цена поставщика</v>
      </c>
      <c r="C1633" s="27" t="s">
        <v>1703</v>
      </c>
      <c r="D1633" s="28" t="str">
        <f>Source!H1352</f>
        <v>шт.</v>
      </c>
      <c r="E1633" s="12">
        <f>Source!I1352</f>
        <v>3</v>
      </c>
      <c r="F1633" s="30">
        <f>Source!AK1352</f>
        <v>62.82</v>
      </c>
      <c r="G1633" s="39" t="s">
        <v>3</v>
      </c>
      <c r="H1633" s="12">
        <f>Source!AW1353</f>
        <v>1</v>
      </c>
      <c r="I1633" s="30">
        <f>Source!O1352</f>
        <v>188.46</v>
      </c>
      <c r="J1633" s="12">
        <f>IF(Source!BC1353&lt;&gt; 0, Source!BC1353, 1)</f>
        <v>8.65</v>
      </c>
      <c r="K1633" s="30">
        <f>Source!O1353</f>
        <v>1249.49</v>
      </c>
      <c r="Q1633">
        <f>Source!X1352</f>
        <v>0</v>
      </c>
      <c r="R1633">
        <f>Source!X1353</f>
        <v>0</v>
      </c>
      <c r="S1633">
        <f>Source!Y1352</f>
        <v>0</v>
      </c>
      <c r="T1633">
        <f>Source!Y1353</f>
        <v>0</v>
      </c>
      <c r="U1633">
        <f>ROUND((175/100)*ROUND(Source!R1352, 2), 2)</f>
        <v>0</v>
      </c>
      <c r="V1633">
        <f>ROUND((160/100)*ROUND(Source!R1353, 2), 2)</f>
        <v>0</v>
      </c>
      <c r="AC1633">
        <v>3</v>
      </c>
    </row>
    <row r="1634" spans="1:29" ht="14.25" x14ac:dyDescent="0.2">
      <c r="A1634" s="27"/>
      <c r="B1634" s="27"/>
      <c r="C1634" s="27" t="s">
        <v>1598</v>
      </c>
      <c r="D1634" s="28" t="s">
        <v>1599</v>
      </c>
      <c r="E1634" s="12">
        <f>Source!DN1349</f>
        <v>85</v>
      </c>
      <c r="F1634" s="30"/>
      <c r="G1634" s="29"/>
      <c r="H1634" s="12"/>
      <c r="I1634" s="30">
        <f>SUM(Q1629:Q1633)</f>
        <v>16.79</v>
      </c>
      <c r="J1634" s="12">
        <f>Source!BZ1349</f>
        <v>70</v>
      </c>
      <c r="K1634" s="30">
        <f>SUM(R1629:R1633)</f>
        <v>401.34</v>
      </c>
    </row>
    <row r="1635" spans="1:29" ht="14.25" x14ac:dyDescent="0.2">
      <c r="A1635" s="27"/>
      <c r="B1635" s="27"/>
      <c r="C1635" s="27" t="s">
        <v>1600</v>
      </c>
      <c r="D1635" s="28" t="s">
        <v>1599</v>
      </c>
      <c r="E1635" s="12">
        <f>Source!DO1349</f>
        <v>70</v>
      </c>
      <c r="F1635" s="30"/>
      <c r="G1635" s="29"/>
      <c r="H1635" s="12"/>
      <c r="I1635" s="30">
        <f>SUM(S1629:S1634)</f>
        <v>13.83</v>
      </c>
      <c r="J1635" s="12">
        <f>Source!CA1349</f>
        <v>41</v>
      </c>
      <c r="K1635" s="30">
        <f>SUM(T1629:T1634)</f>
        <v>235.07</v>
      </c>
    </row>
    <row r="1636" spans="1:29" ht="14.25" x14ac:dyDescent="0.2">
      <c r="A1636" s="31"/>
      <c r="B1636" s="31"/>
      <c r="C1636" s="31" t="s">
        <v>1601</v>
      </c>
      <c r="D1636" s="32" t="s">
        <v>1602</v>
      </c>
      <c r="E1636" s="33">
        <f>Source!AQ1348</f>
        <v>0.09</v>
      </c>
      <c r="F1636" s="34"/>
      <c r="G1636" s="35" t="str">
        <f>Source!DI1348</f>
        <v>)*1,15</v>
      </c>
      <c r="H1636" s="33">
        <f>Source!AV1349</f>
        <v>1</v>
      </c>
      <c r="I1636" s="34">
        <f>Source!U1348</f>
        <v>1.7594999999999998</v>
      </c>
      <c r="J1636" s="33"/>
      <c r="K1636" s="34"/>
    </row>
    <row r="1637" spans="1:29" ht="15" x14ac:dyDescent="0.25">
      <c r="C1637" s="22" t="s">
        <v>1603</v>
      </c>
      <c r="H1637" s="104">
        <f>I1630+I1631+I1634+I1635+SUM(I1632:I1633)-SUMIF(AC1632:AC1633, 5, I1632:I1633)-SUMIF(AC1632:AC1633, 6, I1632:I1633)</f>
        <v>780.16000000000008</v>
      </c>
      <c r="I1637" s="104"/>
      <c r="J1637" s="104">
        <f>K1630+K1631+K1634+K1635+SUM(K1632:K1633)-SUMIF(AC1632:AC1633, 5, K1632:K1633)-SUMIF(AC1632:AC1633, 6, K1632:K1633)</f>
        <v>6063.26</v>
      </c>
      <c r="K1637" s="104"/>
    </row>
    <row r="1638" spans="1:29" ht="15" x14ac:dyDescent="0.25">
      <c r="C1638" s="22" t="s">
        <v>1604</v>
      </c>
      <c r="H1638" s="100">
        <f>SUMIF(AC1632:AC1633, 5, I1632:I1633)+SUMIF(AC1632:AC1633, 6, I1632:I1633)</f>
        <v>0</v>
      </c>
      <c r="I1638" s="100"/>
      <c r="J1638" s="100">
        <f>SUMIF(AC1632:AC1633, 5, K1632:K1633)+SUMIF(AC1632:AC1633, 6, K1632:K1633)</f>
        <v>0</v>
      </c>
      <c r="K1638" s="100"/>
    </row>
    <row r="1639" spans="1:29" ht="15" x14ac:dyDescent="0.25">
      <c r="C1639" s="22" t="s">
        <v>1605</v>
      </c>
      <c r="H1639" s="100">
        <f>I1630+I1631+I1634+I1635+SUM(I1632:I1633)</f>
        <v>780.16000000000008</v>
      </c>
      <c r="I1639" s="100"/>
      <c r="J1639" s="100">
        <f>K1630+K1631+K1634+K1635+SUM(K1632:K1633)</f>
        <v>6063.26</v>
      </c>
      <c r="K1639" s="100"/>
      <c r="O1639" s="36">
        <f>I1630+I1631+I1634+I1635+SUM(I1632:I1633)</f>
        <v>780.16000000000008</v>
      </c>
      <c r="P1639" s="36">
        <f>K1630+K1631+K1634+K1635+SUM(K1632:K1633)</f>
        <v>6063.26</v>
      </c>
    </row>
    <row r="1641" spans="1:29" ht="52.5" x14ac:dyDescent="0.2">
      <c r="A1641" s="27">
        <v>5</v>
      </c>
      <c r="B1641" s="27" t="s">
        <v>1704</v>
      </c>
      <c r="C1641" s="27" t="s">
        <v>1042</v>
      </c>
      <c r="D1641" s="28" t="str">
        <f>Source!H1354</f>
        <v>1  ШТ.</v>
      </c>
      <c r="E1641" s="12">
        <f>Source!I1354</f>
        <v>10</v>
      </c>
      <c r="F1641" s="30"/>
      <c r="G1641" s="29"/>
      <c r="H1641" s="12"/>
      <c r="I1641" s="30"/>
      <c r="J1641" s="12"/>
      <c r="K1641" s="30"/>
      <c r="Q1641">
        <f>Source!X1354</f>
        <v>44.66</v>
      </c>
      <c r="R1641">
        <f>Source!X1355</f>
        <v>1060.76</v>
      </c>
      <c r="S1641">
        <f>Source!Y1354</f>
        <v>30.04</v>
      </c>
      <c r="T1641">
        <f>Source!Y1355</f>
        <v>483.23</v>
      </c>
      <c r="U1641">
        <f>ROUND((175/100)*ROUND(Source!R1354, 2), 2)</f>
        <v>0</v>
      </c>
      <c r="V1641">
        <f>ROUND((160/100)*ROUND(Source!R1355, 2), 2)</f>
        <v>0</v>
      </c>
      <c r="AC1641">
        <v>0</v>
      </c>
    </row>
    <row r="1642" spans="1:29" ht="14.25" x14ac:dyDescent="0.2">
      <c r="A1642" s="27"/>
      <c r="B1642" s="27"/>
      <c r="C1642" s="27" t="s">
        <v>1597</v>
      </c>
      <c r="D1642" s="28"/>
      <c r="E1642" s="12"/>
      <c r="F1642" s="30">
        <f>Source!AO1354</f>
        <v>3.53</v>
      </c>
      <c r="G1642" s="29" t="str">
        <f>Source!DG1354</f>
        <v>)*1,15</v>
      </c>
      <c r="H1642" s="12">
        <f>Source!AV1355</f>
        <v>1</v>
      </c>
      <c r="I1642" s="30">
        <f>Source!S1354</f>
        <v>40.6</v>
      </c>
      <c r="J1642" s="12">
        <f>IF(Source!BA1355&lt;&gt; 0, Source!BA1355, 1)</f>
        <v>29.03</v>
      </c>
      <c r="K1642" s="30">
        <f>Source!S1355</f>
        <v>1178.6199999999999</v>
      </c>
    </row>
    <row r="1643" spans="1:29" ht="14.25" x14ac:dyDescent="0.2">
      <c r="A1643" s="27"/>
      <c r="B1643" s="27"/>
      <c r="C1643" s="27" t="s">
        <v>1611</v>
      </c>
      <c r="D1643" s="28"/>
      <c r="E1643" s="12"/>
      <c r="F1643" s="30">
        <f>Source!AL1354</f>
        <v>0.28000000000000003</v>
      </c>
      <c r="G1643" s="29" t="str">
        <f>Source!DD1354</f>
        <v/>
      </c>
      <c r="H1643" s="12">
        <f>Source!AW1355</f>
        <v>1</v>
      </c>
      <c r="I1643" s="30">
        <f>Source!P1354</f>
        <v>2.8</v>
      </c>
      <c r="J1643" s="12">
        <f>IF(Source!BC1355&lt;&gt; 0, Source!BC1355, 1)</f>
        <v>8.86</v>
      </c>
      <c r="K1643" s="30">
        <f>Source!P1355</f>
        <v>24.81</v>
      </c>
    </row>
    <row r="1644" spans="1:29" ht="14.25" x14ac:dyDescent="0.2">
      <c r="A1644" s="27"/>
      <c r="B1644" s="27"/>
      <c r="C1644" s="27" t="s">
        <v>1598</v>
      </c>
      <c r="D1644" s="28" t="s">
        <v>1599</v>
      </c>
      <c r="E1644" s="12">
        <f>Source!DN1355</f>
        <v>110</v>
      </c>
      <c r="F1644" s="30"/>
      <c r="G1644" s="29"/>
      <c r="H1644" s="12"/>
      <c r="I1644" s="30">
        <f>SUM(Q1641:Q1643)</f>
        <v>44.66</v>
      </c>
      <c r="J1644" s="12">
        <f>Source!BZ1355</f>
        <v>90</v>
      </c>
      <c r="K1644" s="30">
        <f>SUM(R1641:R1643)</f>
        <v>1060.76</v>
      </c>
    </row>
    <row r="1645" spans="1:29" ht="14.25" x14ac:dyDescent="0.2">
      <c r="A1645" s="27"/>
      <c r="B1645" s="27"/>
      <c r="C1645" s="27" t="s">
        <v>1600</v>
      </c>
      <c r="D1645" s="28" t="s">
        <v>1599</v>
      </c>
      <c r="E1645" s="12">
        <f>Source!DO1355</f>
        <v>74</v>
      </c>
      <c r="F1645" s="30"/>
      <c r="G1645" s="29"/>
      <c r="H1645" s="12"/>
      <c r="I1645" s="30">
        <f>SUM(S1641:S1644)</f>
        <v>30.04</v>
      </c>
      <c r="J1645" s="12">
        <f>Source!CA1355</f>
        <v>41</v>
      </c>
      <c r="K1645" s="30">
        <f>SUM(T1641:T1644)</f>
        <v>483.23</v>
      </c>
    </row>
    <row r="1646" spans="1:29" ht="14.25" x14ac:dyDescent="0.2">
      <c r="A1646" s="31"/>
      <c r="B1646" s="31"/>
      <c r="C1646" s="31" t="s">
        <v>1601</v>
      </c>
      <c r="D1646" s="32" t="s">
        <v>1602</v>
      </c>
      <c r="E1646" s="33">
        <f>Source!AQ1354</f>
        <v>0.28000000000000003</v>
      </c>
      <c r="F1646" s="34"/>
      <c r="G1646" s="35" t="str">
        <f>Source!DI1354</f>
        <v>)*1,15</v>
      </c>
      <c r="H1646" s="33">
        <f>Source!AV1355</f>
        <v>1</v>
      </c>
      <c r="I1646" s="34">
        <f>Source!U1354</f>
        <v>3.22</v>
      </c>
      <c r="J1646" s="33"/>
      <c r="K1646" s="34"/>
    </row>
    <row r="1647" spans="1:29" ht="15" x14ac:dyDescent="0.25">
      <c r="C1647" s="22" t="s">
        <v>1603</v>
      </c>
      <c r="H1647" s="104">
        <f>I1642+I1643+I1644+I1645+0-0-0</f>
        <v>118.1</v>
      </c>
      <c r="I1647" s="104"/>
      <c r="J1647" s="104">
        <f>K1642+K1643+K1644+K1645+0-0-0</f>
        <v>2747.4199999999996</v>
      </c>
      <c r="K1647" s="104"/>
    </row>
    <row r="1648" spans="1:29" ht="15" x14ac:dyDescent="0.25">
      <c r="C1648" s="22" t="s">
        <v>1604</v>
      </c>
      <c r="H1648" s="100">
        <f>0+0</f>
        <v>0</v>
      </c>
      <c r="I1648" s="100"/>
      <c r="J1648" s="100">
        <f>0+0</f>
        <v>0</v>
      </c>
      <c r="K1648" s="100"/>
    </row>
    <row r="1649" spans="1:29" ht="15" x14ac:dyDescent="0.25">
      <c r="C1649" s="22" t="s">
        <v>1605</v>
      </c>
      <c r="H1649" s="100">
        <f>I1642+I1643+I1644+I1645+0</f>
        <v>118.1</v>
      </c>
      <c r="I1649" s="100"/>
      <c r="J1649" s="100">
        <f>K1642+K1643+K1644+K1645+0</f>
        <v>2747.4199999999996</v>
      </c>
      <c r="K1649" s="100"/>
      <c r="O1649" s="36">
        <f>I1642+I1643+I1644+I1645+0</f>
        <v>118.1</v>
      </c>
      <c r="P1649" s="36">
        <f>K1642+K1643+K1644+K1645+0</f>
        <v>2747.4199999999996</v>
      </c>
    </row>
    <row r="1652" spans="1:29" ht="15" x14ac:dyDescent="0.25">
      <c r="A1652" s="102" t="str">
        <f>CONCATENATE("Итого по разделу: ",IF(Source!G1357&lt;&gt;"Новый раздел", Source!G1357, ""))</f>
        <v>Итого по разделу: Монтажные работы</v>
      </c>
      <c r="B1652" s="102"/>
      <c r="C1652" s="102"/>
      <c r="D1652" s="102"/>
      <c r="E1652" s="102"/>
      <c r="F1652" s="102"/>
      <c r="G1652" s="102"/>
      <c r="H1652" s="100">
        <f>SUM(O1586:O1651)</f>
        <v>9394.07</v>
      </c>
      <c r="I1652" s="101"/>
      <c r="J1652" s="100">
        <f>SUM(P1586:P1651)</f>
        <v>269410.26</v>
      </c>
      <c r="K1652" s="101"/>
    </row>
    <row r="1653" spans="1:29" hidden="1" x14ac:dyDescent="0.2">
      <c r="A1653" t="s">
        <v>1606</v>
      </c>
      <c r="I1653">
        <f>SUM(W1586:W1652)</f>
        <v>0</v>
      </c>
      <c r="J1653">
        <f>SUM(X1586:X1652)</f>
        <v>0</v>
      </c>
    </row>
    <row r="1654" spans="1:29" hidden="1" x14ac:dyDescent="0.2">
      <c r="A1654" t="s">
        <v>1607</v>
      </c>
      <c r="I1654">
        <f>SUM(Y1586:Y1653)</f>
        <v>0</v>
      </c>
      <c r="J1654">
        <f>SUM(Z1586:Z1653)</f>
        <v>0</v>
      </c>
    </row>
    <row r="1656" spans="1:29" ht="16.5" x14ac:dyDescent="0.25">
      <c r="A1656" s="103" t="str">
        <f>CONCATENATE("Раздел: ",IF(Source!G1387&lt;&gt;"Новый раздел", Source!G1387, ""))</f>
        <v>Раздел: Оборудование</v>
      </c>
      <c r="B1656" s="103"/>
      <c r="C1656" s="103"/>
      <c r="D1656" s="103"/>
      <c r="E1656" s="103"/>
      <c r="F1656" s="103"/>
      <c r="G1656" s="103"/>
      <c r="H1656" s="103"/>
      <c r="I1656" s="103"/>
      <c r="J1656" s="103"/>
      <c r="K1656" s="103"/>
    </row>
    <row r="1657" spans="1:29" ht="99.75" x14ac:dyDescent="0.2">
      <c r="A1657" s="41">
        <v>6</v>
      </c>
      <c r="B1657" s="41" t="str">
        <f>Source!F1393</f>
        <v>13.3-11-67</v>
      </c>
      <c r="C1657" s="41" t="s">
        <v>1705</v>
      </c>
      <c r="D1657" s="42" t="str">
        <f>Source!H1393</f>
        <v>КОМПЛЕКТ</v>
      </c>
      <c r="E1657" s="43">
        <f>Source!I1393</f>
        <v>1</v>
      </c>
      <c r="F1657" s="44">
        <f>Source!AL1393</f>
        <v>573.29999999999995</v>
      </c>
      <c r="G1657" s="45" t="str">
        <f>Source!DD1393</f>
        <v/>
      </c>
      <c r="H1657" s="43">
        <f>Source!AW1394</f>
        <v>1</v>
      </c>
      <c r="I1657" s="44">
        <f>Source!P1393</f>
        <v>573.29999999999995</v>
      </c>
      <c r="J1657" s="43">
        <f>IF(Source!BC1394&lt;&gt; 0, Source!BC1394, 1)</f>
        <v>3.36</v>
      </c>
      <c r="K1657" s="44">
        <f>Source!P1394</f>
        <v>1926.29</v>
      </c>
      <c r="Q1657">
        <f>Source!X1393</f>
        <v>0</v>
      </c>
      <c r="R1657">
        <f>Source!X1394</f>
        <v>0</v>
      </c>
      <c r="S1657">
        <f>Source!Y1393</f>
        <v>0</v>
      </c>
      <c r="T1657">
        <f>Source!Y1394</f>
        <v>0</v>
      </c>
      <c r="U1657">
        <f>ROUND((175/100)*ROUND(Source!R1393, 2), 2)</f>
        <v>0</v>
      </c>
      <c r="V1657">
        <f>ROUND((160/100)*ROUND(Source!R1394, 2), 2)</f>
        <v>0</v>
      </c>
      <c r="AC1657">
        <v>5</v>
      </c>
    </row>
    <row r="1658" spans="1:29" ht="15" x14ac:dyDescent="0.25">
      <c r="A1658" s="46"/>
      <c r="B1658" s="46"/>
      <c r="C1658" s="47" t="s">
        <v>1605</v>
      </c>
      <c r="D1658" s="46"/>
      <c r="E1658" s="46"/>
      <c r="F1658" s="46"/>
      <c r="G1658" s="46"/>
      <c r="H1658" s="105">
        <f>I1657+0</f>
        <v>573.29999999999995</v>
      </c>
      <c r="I1658" s="105"/>
      <c r="J1658" s="105">
        <f>K1657+0</f>
        <v>1926.29</v>
      </c>
      <c r="K1658" s="105"/>
      <c r="O1658" s="36">
        <f>I1657+0</f>
        <v>573.29999999999995</v>
      </c>
      <c r="P1658" s="36">
        <f>K1657+0</f>
        <v>1926.29</v>
      </c>
    </row>
    <row r="1660" spans="1:29" ht="54" x14ac:dyDescent="0.2">
      <c r="A1660" s="41">
        <v>7</v>
      </c>
      <c r="B1660" s="41" t="str">
        <f>Source!F1405</f>
        <v>Цена поставщика</v>
      </c>
      <c r="C1660" s="41" t="s">
        <v>1706</v>
      </c>
      <c r="D1660" s="42" t="str">
        <f>Source!H1405</f>
        <v>шт.</v>
      </c>
      <c r="E1660" s="43">
        <f>Source!I1405</f>
        <v>1</v>
      </c>
      <c r="F1660" s="145">
        <f>Source!AL1405</f>
        <v>0</v>
      </c>
      <c r="G1660" s="45" t="str">
        <f>Source!DD1405</f>
        <v/>
      </c>
      <c r="H1660" s="43">
        <f>Source!AW1406</f>
        <v>1</v>
      </c>
      <c r="I1660" s="145">
        <f>Source!P1405</f>
        <v>0</v>
      </c>
      <c r="J1660" s="43">
        <f>IF(Source!BC1406&lt;&gt; 0, Source!BC1406, 1)</f>
        <v>6.4</v>
      </c>
      <c r="K1660" s="44">
        <f>Source!P1406</f>
        <v>115576.9</v>
      </c>
      <c r="Q1660">
        <f>Source!X1405</f>
        <v>0</v>
      </c>
      <c r="R1660">
        <f>Source!X1406</f>
        <v>0</v>
      </c>
      <c r="S1660">
        <f>Source!Y1405</f>
        <v>0</v>
      </c>
      <c r="T1660">
        <f>Source!Y1406</f>
        <v>0</v>
      </c>
      <c r="U1660">
        <f>ROUND((175/100)*ROUND(Source!R1405, 2), 2)</f>
        <v>0</v>
      </c>
      <c r="V1660">
        <f>ROUND((160/100)*ROUND(Source!R1406, 2), 2)</f>
        <v>0</v>
      </c>
      <c r="AC1660">
        <v>5</v>
      </c>
    </row>
    <row r="1661" spans="1:29" ht="15" x14ac:dyDescent="0.25">
      <c r="A1661" s="46"/>
      <c r="B1661" s="46"/>
      <c r="C1661" s="47" t="s">
        <v>1605</v>
      </c>
      <c r="D1661" s="46"/>
      <c r="E1661" s="46"/>
      <c r="F1661" s="46"/>
      <c r="G1661" s="46"/>
      <c r="H1661" s="105">
        <f>I1660+0</f>
        <v>0</v>
      </c>
      <c r="I1661" s="105"/>
      <c r="J1661" s="105">
        <f>K1660+0</f>
        <v>115576.9</v>
      </c>
      <c r="K1661" s="105"/>
      <c r="O1661" s="36">
        <f>I1660+0</f>
        <v>0</v>
      </c>
      <c r="P1661" s="36">
        <f>K1660+0</f>
        <v>115576.9</v>
      </c>
    </row>
    <row r="1663" spans="1:29" ht="42.75" x14ac:dyDescent="0.2">
      <c r="A1663" s="31">
        <v>8</v>
      </c>
      <c r="B1663" s="31" t="str">
        <f>Source!F1407</f>
        <v>Цена поставщика</v>
      </c>
      <c r="C1663" s="31" t="s">
        <v>1707</v>
      </c>
      <c r="D1663" s="32" t="str">
        <f>Source!H1407</f>
        <v>шт.</v>
      </c>
      <c r="E1663" s="33">
        <f>Source!I1407</f>
        <v>4</v>
      </c>
      <c r="F1663" s="146">
        <f>Source!AL1407</f>
        <v>0</v>
      </c>
      <c r="G1663" s="35" t="str">
        <f>Source!DD1407</f>
        <v/>
      </c>
      <c r="H1663" s="33">
        <f>Source!AW1408</f>
        <v>1</v>
      </c>
      <c r="I1663" s="146">
        <f>Source!P1407</f>
        <v>0</v>
      </c>
      <c r="J1663" s="33">
        <f>IF(Source!BC1408&lt;&gt; 0, Source!BC1408, 1)</f>
        <v>8.65</v>
      </c>
      <c r="K1663" s="34">
        <f>Source!P1408</f>
        <v>67659.95</v>
      </c>
      <c r="Q1663">
        <f>Source!X1407</f>
        <v>0</v>
      </c>
      <c r="R1663">
        <f>Source!X1408</f>
        <v>0</v>
      </c>
      <c r="S1663">
        <f>Source!Y1407</f>
        <v>0</v>
      </c>
      <c r="T1663">
        <f>Source!Y1408</f>
        <v>0</v>
      </c>
      <c r="U1663">
        <f>ROUND((175/100)*ROUND(Source!R1407, 2), 2)</f>
        <v>0</v>
      </c>
      <c r="V1663">
        <f>ROUND((160/100)*ROUND(Source!R1408, 2), 2)</f>
        <v>0</v>
      </c>
      <c r="AC1663">
        <v>3</v>
      </c>
    </row>
    <row r="1664" spans="1:29" ht="15" x14ac:dyDescent="0.25">
      <c r="C1664" s="22" t="s">
        <v>1605</v>
      </c>
      <c r="H1664" s="104">
        <f>I1663+0</f>
        <v>0</v>
      </c>
      <c r="I1664" s="104"/>
      <c r="J1664" s="104">
        <f>K1663+0</f>
        <v>67659.95</v>
      </c>
      <c r="K1664" s="104"/>
      <c r="O1664" s="36">
        <f>I1663+0</f>
        <v>0</v>
      </c>
      <c r="P1664" s="36">
        <f>K1663+0</f>
        <v>67659.95</v>
      </c>
    </row>
    <row r="1666" spans="1:29" ht="42.75" x14ac:dyDescent="0.2">
      <c r="A1666" s="31">
        <v>9</v>
      </c>
      <c r="B1666" s="31" t="str">
        <f>Source!F1409</f>
        <v>Цена поставщика</v>
      </c>
      <c r="C1666" s="31" t="s">
        <v>1708</v>
      </c>
      <c r="D1666" s="32" t="str">
        <f>Source!H1409</f>
        <v>шт.</v>
      </c>
      <c r="E1666" s="33">
        <f>Source!I1409</f>
        <v>2</v>
      </c>
      <c r="F1666" s="146">
        <f>Source!AL1409</f>
        <v>0</v>
      </c>
      <c r="G1666" s="35" t="str">
        <f>Source!DD1409</f>
        <v/>
      </c>
      <c r="H1666" s="33">
        <f>Source!AW1410</f>
        <v>1</v>
      </c>
      <c r="I1666" s="146">
        <f>Source!P1409</f>
        <v>0</v>
      </c>
      <c r="J1666" s="33">
        <f>IF(Source!BC1410&lt;&gt; 0, Source!BC1410, 1)</f>
        <v>8.65</v>
      </c>
      <c r="K1666" s="34">
        <f>Source!P1410</f>
        <v>20991.65</v>
      </c>
      <c r="Q1666">
        <f>Source!X1409</f>
        <v>0</v>
      </c>
      <c r="R1666">
        <f>Source!X1410</f>
        <v>0</v>
      </c>
      <c r="S1666">
        <f>Source!Y1409</f>
        <v>0</v>
      </c>
      <c r="T1666">
        <f>Source!Y1410</f>
        <v>0</v>
      </c>
      <c r="U1666">
        <f>ROUND((175/100)*ROUND(Source!R1409, 2), 2)</f>
        <v>0</v>
      </c>
      <c r="V1666">
        <f>ROUND((160/100)*ROUND(Source!R1410, 2), 2)</f>
        <v>0</v>
      </c>
      <c r="AC1666">
        <v>3</v>
      </c>
    </row>
    <row r="1667" spans="1:29" ht="15" x14ac:dyDescent="0.25">
      <c r="C1667" s="22" t="s">
        <v>1605</v>
      </c>
      <c r="H1667" s="104">
        <f>I1666+0</f>
        <v>0</v>
      </c>
      <c r="I1667" s="104"/>
      <c r="J1667" s="104">
        <f>K1666+0</f>
        <v>20991.65</v>
      </c>
      <c r="K1667" s="104"/>
      <c r="O1667" s="36">
        <f>I1666+0</f>
        <v>0</v>
      </c>
      <c r="P1667" s="36">
        <f>K1666+0</f>
        <v>20991.65</v>
      </c>
    </row>
    <row r="1669" spans="1:29" ht="42.75" x14ac:dyDescent="0.2">
      <c r="A1669" s="31">
        <v>10</v>
      </c>
      <c r="B1669" s="31" t="str">
        <f>Source!F1411</f>
        <v>Цена поставщика</v>
      </c>
      <c r="C1669" s="31" t="s">
        <v>1709</v>
      </c>
      <c r="D1669" s="32" t="str">
        <f>Source!H1411</f>
        <v>шт.</v>
      </c>
      <c r="E1669" s="33">
        <f>Source!I1411</f>
        <v>1</v>
      </c>
      <c r="F1669" s="146">
        <f>Source!AL1411</f>
        <v>0</v>
      </c>
      <c r="G1669" s="35" t="str">
        <f>Source!DD1411</f>
        <v/>
      </c>
      <c r="H1669" s="33">
        <f>Source!AW1412</f>
        <v>1</v>
      </c>
      <c r="I1669" s="146">
        <f>Source!P1411</f>
        <v>0</v>
      </c>
      <c r="J1669" s="33">
        <f>IF(Source!BC1412&lt;&gt; 0, Source!BC1412, 1)</f>
        <v>8.65</v>
      </c>
      <c r="K1669" s="34">
        <f>Source!P1412</f>
        <v>3070.23</v>
      </c>
      <c r="Q1669">
        <f>Source!X1411</f>
        <v>0</v>
      </c>
      <c r="R1669">
        <f>Source!X1412</f>
        <v>0</v>
      </c>
      <c r="S1669">
        <f>Source!Y1411</f>
        <v>0</v>
      </c>
      <c r="T1669">
        <f>Source!Y1412</f>
        <v>0</v>
      </c>
      <c r="U1669">
        <f>ROUND((175/100)*ROUND(Source!R1411, 2), 2)</f>
        <v>0</v>
      </c>
      <c r="V1669">
        <f>ROUND((160/100)*ROUND(Source!R1412, 2), 2)</f>
        <v>0</v>
      </c>
      <c r="AC1669">
        <v>3</v>
      </c>
    </row>
    <row r="1670" spans="1:29" ht="15" x14ac:dyDescent="0.25">
      <c r="C1670" s="22" t="s">
        <v>1605</v>
      </c>
      <c r="H1670" s="104">
        <f>I1669+0</f>
        <v>0</v>
      </c>
      <c r="I1670" s="104"/>
      <c r="J1670" s="104">
        <f>K1669+0</f>
        <v>3070.23</v>
      </c>
      <c r="K1670" s="104"/>
      <c r="O1670" s="36">
        <f>I1669+0</f>
        <v>0</v>
      </c>
      <c r="P1670" s="36">
        <f>K1669+0</f>
        <v>3070.23</v>
      </c>
    </row>
    <row r="1672" spans="1:29" ht="55.5" x14ac:dyDescent="0.2">
      <c r="A1672" s="31">
        <v>11</v>
      </c>
      <c r="B1672" s="31" t="str">
        <f>Source!F1413</f>
        <v>Цена поставщика</v>
      </c>
      <c r="C1672" s="31" t="s">
        <v>1710</v>
      </c>
      <c r="D1672" s="32" t="str">
        <f>Source!H1413</f>
        <v>шт.</v>
      </c>
      <c r="E1672" s="33">
        <f>Source!I1413</f>
        <v>1</v>
      </c>
      <c r="F1672" s="146">
        <f>Source!AL1413</f>
        <v>0</v>
      </c>
      <c r="G1672" s="35" t="str">
        <f>Source!DD1413</f>
        <v/>
      </c>
      <c r="H1672" s="33">
        <f>Source!AW1414</f>
        <v>1</v>
      </c>
      <c r="I1672" s="146">
        <f>Source!P1413</f>
        <v>0</v>
      </c>
      <c r="J1672" s="33">
        <f>IF(Source!BC1414&lt;&gt; 0, Source!BC1414, 1)</f>
        <v>8.65</v>
      </c>
      <c r="K1672" s="34">
        <f>Source!P1414</f>
        <v>5202.0200000000004</v>
      </c>
      <c r="Q1672">
        <f>Source!X1413</f>
        <v>0</v>
      </c>
      <c r="R1672">
        <f>Source!X1414</f>
        <v>0</v>
      </c>
      <c r="S1672">
        <f>Source!Y1413</f>
        <v>0</v>
      </c>
      <c r="T1672">
        <f>Source!Y1414</f>
        <v>0</v>
      </c>
      <c r="U1672">
        <f>ROUND((175/100)*ROUND(Source!R1413, 2), 2)</f>
        <v>0</v>
      </c>
      <c r="V1672">
        <f>ROUND((160/100)*ROUND(Source!R1414, 2), 2)</f>
        <v>0</v>
      </c>
      <c r="AC1672">
        <v>3</v>
      </c>
    </row>
    <row r="1673" spans="1:29" ht="15" x14ac:dyDescent="0.25">
      <c r="C1673" s="22" t="s">
        <v>1605</v>
      </c>
      <c r="H1673" s="104">
        <f>I1672+0</f>
        <v>0</v>
      </c>
      <c r="I1673" s="104"/>
      <c r="J1673" s="104">
        <f>K1672+0</f>
        <v>5202.0200000000004</v>
      </c>
      <c r="K1673" s="104"/>
      <c r="O1673" s="36">
        <f>I1672+0</f>
        <v>0</v>
      </c>
      <c r="P1673" s="36">
        <f>K1672+0</f>
        <v>5202.0200000000004</v>
      </c>
    </row>
    <row r="1675" spans="1:29" ht="42.75" x14ac:dyDescent="0.2">
      <c r="A1675" s="31">
        <v>12</v>
      </c>
      <c r="B1675" s="31" t="str">
        <f>Source!F1415</f>
        <v>Цена поставщика</v>
      </c>
      <c r="C1675" s="31" t="s">
        <v>1711</v>
      </c>
      <c r="D1675" s="32" t="str">
        <f>Source!H1415</f>
        <v>шт.</v>
      </c>
      <c r="E1675" s="33">
        <f>Source!I1415</f>
        <v>1</v>
      </c>
      <c r="F1675" s="146">
        <f>Source!AL1415</f>
        <v>0</v>
      </c>
      <c r="G1675" s="35" t="str">
        <f>Source!DD1415</f>
        <v/>
      </c>
      <c r="H1675" s="33">
        <f>Source!AW1416</f>
        <v>1</v>
      </c>
      <c r="I1675" s="146">
        <f>Source!P1415</f>
        <v>0</v>
      </c>
      <c r="J1675" s="33">
        <f>IF(Source!BC1416&lt;&gt; 0, Source!BC1416, 1)</f>
        <v>8.65</v>
      </c>
      <c r="K1675" s="34">
        <f>Source!P1416</f>
        <v>7386.49</v>
      </c>
      <c r="Q1675">
        <f>Source!X1415</f>
        <v>0</v>
      </c>
      <c r="R1675">
        <f>Source!X1416</f>
        <v>0</v>
      </c>
      <c r="S1675">
        <f>Source!Y1415</f>
        <v>0</v>
      </c>
      <c r="T1675">
        <f>Source!Y1416</f>
        <v>0</v>
      </c>
      <c r="U1675">
        <f>ROUND((175/100)*ROUND(Source!R1415, 2), 2)</f>
        <v>0</v>
      </c>
      <c r="V1675">
        <f>ROUND((160/100)*ROUND(Source!R1416, 2), 2)</f>
        <v>0</v>
      </c>
      <c r="AC1675">
        <v>3</v>
      </c>
    </row>
    <row r="1676" spans="1:29" ht="15" x14ac:dyDescent="0.25">
      <c r="C1676" s="22" t="s">
        <v>1605</v>
      </c>
      <c r="H1676" s="104">
        <f>I1675+0</f>
        <v>0</v>
      </c>
      <c r="I1676" s="104"/>
      <c r="J1676" s="104">
        <f>K1675+0</f>
        <v>7386.49</v>
      </c>
      <c r="K1676" s="104"/>
      <c r="O1676" s="36">
        <f>I1675+0</f>
        <v>0</v>
      </c>
      <c r="P1676" s="36">
        <f>K1675+0</f>
        <v>7386.49</v>
      </c>
    </row>
    <row r="1679" spans="1:29" ht="15" x14ac:dyDescent="0.25">
      <c r="A1679" s="102" t="str">
        <f>CONCATENATE("Итого по разделу: ",IF(Source!G1418&lt;&gt;"Новый раздел", Source!G1418, ""))</f>
        <v>Итого по разделу: Оборудование</v>
      </c>
      <c r="B1679" s="102"/>
      <c r="C1679" s="102"/>
      <c r="D1679" s="102"/>
      <c r="E1679" s="102"/>
      <c r="F1679" s="102"/>
      <c r="G1679" s="102"/>
      <c r="H1679" s="100">
        <f>SUM(O1656:O1678)</f>
        <v>573.29999999999995</v>
      </c>
      <c r="I1679" s="101"/>
      <c r="J1679" s="100">
        <f>SUM(P1656:P1678)</f>
        <v>221813.52999999997</v>
      </c>
      <c r="K1679" s="101"/>
    </row>
    <row r="1680" spans="1:29" hidden="1" x14ac:dyDescent="0.2">
      <c r="A1680" t="s">
        <v>1606</v>
      </c>
      <c r="I1680">
        <f>SUM(W1656:W1679)</f>
        <v>0</v>
      </c>
      <c r="J1680">
        <f>SUM(X1656:X1679)</f>
        <v>0</v>
      </c>
    </row>
    <row r="1681" spans="1:43" hidden="1" x14ac:dyDescent="0.2">
      <c r="A1681" t="s">
        <v>1607</v>
      </c>
      <c r="I1681">
        <f>SUM(Y1656:Y1680)</f>
        <v>0</v>
      </c>
      <c r="J1681">
        <f>SUM(Z1656:Z1680)</f>
        <v>0</v>
      </c>
    </row>
    <row r="1683" spans="1:43" ht="15" x14ac:dyDescent="0.25">
      <c r="A1683" s="102" t="str">
        <f>CONCATENATE("Итого по локальной смете: ",IF(Source!G1448&lt;&gt;"Новая локальная смета", Source!G1448, ""))</f>
        <v>Итого по локальной смете: Мероприятия по обеспечению доступа инвалидов</v>
      </c>
      <c r="B1683" s="102"/>
      <c r="C1683" s="102"/>
      <c r="D1683" s="102"/>
      <c r="E1683" s="102"/>
      <c r="F1683" s="102"/>
      <c r="G1683" s="102"/>
      <c r="H1683" s="100">
        <f>SUM(O1584:O1682)</f>
        <v>9967.369999999999</v>
      </c>
      <c r="I1683" s="101"/>
      <c r="J1683" s="100">
        <f>SUM(P1584:P1682)</f>
        <v>491223.79</v>
      </c>
      <c r="K1683" s="101"/>
      <c r="AQ1683" s="48" t="str">
        <f>CONCATENATE("Итого по локальной смете: ",IF(Source!G1448&lt;&gt;"Новая локальная смета", Source!G1448, ""))</f>
        <v>Итого по локальной смете: Мероприятия по обеспечению доступа инвалидов</v>
      </c>
    </row>
    <row r="1684" spans="1:43" hidden="1" x14ac:dyDescent="0.2">
      <c r="A1684" t="s">
        <v>1606</v>
      </c>
      <c r="I1684">
        <f>SUM(W1584:W1683)</f>
        <v>0</v>
      </c>
      <c r="J1684">
        <f>SUM(X1584:X1683)</f>
        <v>0</v>
      </c>
    </row>
    <row r="1685" spans="1:43" hidden="1" x14ac:dyDescent="0.2">
      <c r="A1685" t="s">
        <v>1607</v>
      </c>
      <c r="I1685">
        <f>SUM(Y1584:Y1684)</f>
        <v>0</v>
      </c>
      <c r="J1685">
        <f>SUM(Z1584:Z1684)</f>
        <v>0</v>
      </c>
    </row>
    <row r="1687" spans="1:43" ht="16.5" x14ac:dyDescent="0.25">
      <c r="A1687" s="103" t="str">
        <f>CONCATENATE("Локальная смета: ",IF(Source!G1478&lt;&gt;"Новая локальная смета", Source!G1478, ""))</f>
        <v>Локальная смета: Возврат материалов</v>
      </c>
      <c r="B1687" s="103"/>
      <c r="C1687" s="103"/>
      <c r="D1687" s="103"/>
      <c r="E1687" s="103"/>
      <c r="F1687" s="103"/>
      <c r="G1687" s="103"/>
      <c r="H1687" s="103"/>
      <c r="I1687" s="103"/>
      <c r="J1687" s="103"/>
      <c r="K1687" s="103"/>
    </row>
    <row r="1688" spans="1:43" ht="57" x14ac:dyDescent="0.2">
      <c r="A1688" s="31">
        <v>1</v>
      </c>
      <c r="B1688" s="31" t="str">
        <f>Source!F1482</f>
        <v>1.7-11-61</v>
      </c>
      <c r="C1688" s="31" t="s">
        <v>1712</v>
      </c>
      <c r="D1688" s="32" t="str">
        <f>Source!H1482</f>
        <v>т</v>
      </c>
      <c r="E1688" s="33">
        <f>Source!I1482</f>
        <v>1.05</v>
      </c>
      <c r="F1688" s="34">
        <f>Source!AL1482</f>
        <v>1853.64</v>
      </c>
      <c r="G1688" s="35" t="str">
        <f>Source!DD1482</f>
        <v/>
      </c>
      <c r="H1688" s="33">
        <f>Source!AW1483</f>
        <v>1</v>
      </c>
      <c r="I1688" s="34">
        <f>Source!T1482</f>
        <v>1946.32</v>
      </c>
      <c r="J1688" s="33">
        <f>IF(Source!BC1483&lt;&gt; 0, Source!BC1483, 1)</f>
        <v>12.36</v>
      </c>
      <c r="K1688" s="34">
        <f>Source!T1483</f>
        <v>24056.52</v>
      </c>
      <c r="Q1688">
        <f>Source!X1482</f>
        <v>0</v>
      </c>
      <c r="R1688">
        <f>Source!X1483</f>
        <v>0</v>
      </c>
      <c r="S1688">
        <f>Source!Y1482</f>
        <v>0</v>
      </c>
      <c r="T1688">
        <f>Source!Y1483</f>
        <v>0</v>
      </c>
      <c r="U1688">
        <f>ROUND((175/100)*ROUND(Source!R1482, 2), 2)</f>
        <v>0</v>
      </c>
      <c r="V1688">
        <f>ROUND((160/100)*ROUND(Source!R1483, 2), 2)</f>
        <v>0</v>
      </c>
      <c r="Y1688" s="36">
        <f>I1688</f>
        <v>1946.32</v>
      </c>
      <c r="Z1688" s="36">
        <f>K1688</f>
        <v>24056.52</v>
      </c>
      <c r="AC1688">
        <v>3</v>
      </c>
    </row>
    <row r="1689" spans="1:43" ht="15" x14ac:dyDescent="0.25">
      <c r="C1689" s="22" t="s">
        <v>1605</v>
      </c>
      <c r="H1689" s="104">
        <f>I1688+0</f>
        <v>1946.32</v>
      </c>
      <c r="I1689" s="104"/>
      <c r="J1689" s="104">
        <f>K1688+0</f>
        <v>24056.52</v>
      </c>
      <c r="K1689" s="104"/>
    </row>
    <row r="1692" spans="1:43" ht="15" x14ac:dyDescent="0.25">
      <c r="A1692" s="102" t="str">
        <f>CONCATENATE("Итого по локальной смете: ",IF(Source!G1485&lt;&gt;"Новая локальная смета", Source!G1485, ""))</f>
        <v>Итого по локальной смете: Возврат материалов</v>
      </c>
      <c r="B1692" s="102"/>
      <c r="C1692" s="102"/>
      <c r="D1692" s="102"/>
      <c r="E1692" s="102"/>
      <c r="F1692" s="102"/>
      <c r="G1692" s="102"/>
      <c r="H1692" s="100">
        <f>SUM(O1687:O1691)</f>
        <v>0</v>
      </c>
      <c r="I1692" s="101"/>
      <c r="J1692" s="100">
        <f>SUM(P1687:P1691)</f>
        <v>0</v>
      </c>
      <c r="K1692" s="101"/>
    </row>
    <row r="1693" spans="1:43" hidden="1" x14ac:dyDescent="0.2">
      <c r="A1693" t="s">
        <v>1606</v>
      </c>
      <c r="I1693">
        <f>SUM(W1687:W1692)</f>
        <v>0</v>
      </c>
      <c r="J1693">
        <f>SUM(X1687:X1692)</f>
        <v>0</v>
      </c>
    </row>
    <row r="1694" spans="1:43" ht="15" x14ac:dyDescent="0.25">
      <c r="A1694" s="102" t="s">
        <v>1607</v>
      </c>
      <c r="B1694" s="102"/>
      <c r="C1694" s="102"/>
      <c r="D1694" s="102"/>
      <c r="E1694" s="102"/>
      <c r="F1694" s="102"/>
      <c r="G1694" s="102"/>
      <c r="H1694" s="100">
        <f>SUM(Y1687:Y1693)</f>
        <v>1946.32</v>
      </c>
      <c r="I1694" s="101"/>
      <c r="J1694" s="100">
        <f>SUM(Z1687:Z1693)</f>
        <v>24056.52</v>
      </c>
      <c r="K1694" s="101"/>
    </row>
    <row r="1696" spans="1:43" ht="15" x14ac:dyDescent="0.25">
      <c r="A1696" s="102" t="str">
        <f>CONCATENATE("Итого по смете: ",IF(Source!G1515&lt;&gt;"Новый объект", Source!G1515, ""))</f>
        <v>Итого по смете: Ерамешанцева_(Копия)</v>
      </c>
      <c r="B1696" s="102"/>
      <c r="C1696" s="102"/>
      <c r="D1696" s="102"/>
      <c r="E1696" s="102"/>
      <c r="F1696" s="102"/>
      <c r="G1696" s="102"/>
      <c r="H1696" s="100">
        <f>SUM(O1:O1695)</f>
        <v>112871.21000000004</v>
      </c>
      <c r="I1696" s="101"/>
      <c r="J1696" s="100">
        <f>SUM(P1:P1695)</f>
        <v>2313124.6500000008</v>
      </c>
      <c r="K1696" s="101"/>
    </row>
    <row r="1697" spans="1:11" hidden="1" x14ac:dyDescent="0.2">
      <c r="A1697" t="s">
        <v>1606</v>
      </c>
      <c r="I1697">
        <f>SUM(W1:W1696)</f>
        <v>0</v>
      </c>
      <c r="J1697">
        <f>SUM(X1:X1696)</f>
        <v>0</v>
      </c>
    </row>
    <row r="1698" spans="1:11" ht="15" x14ac:dyDescent="0.25">
      <c r="A1698" s="102" t="s">
        <v>1607</v>
      </c>
      <c r="B1698" s="102"/>
      <c r="C1698" s="102"/>
      <c r="D1698" s="102"/>
      <c r="E1698" s="102"/>
      <c r="F1698" s="102"/>
      <c r="G1698" s="102"/>
      <c r="H1698" s="100">
        <f>SUM(Y1:Y1697)</f>
        <v>1946.32</v>
      </c>
      <c r="I1698" s="101"/>
      <c r="J1698" s="100">
        <f>SUM(Z1:Z1697)</f>
        <v>24056.52</v>
      </c>
      <c r="K1698" s="101"/>
    </row>
    <row r="1701" spans="1:11" ht="14.25" x14ac:dyDescent="0.2">
      <c r="A1701" s="97" t="s">
        <v>1714</v>
      </c>
      <c r="B1701" s="97"/>
      <c r="C1701" s="49" t="str">
        <f>IF(Source!AC12&lt;&gt;"", Source!AC12," ")</f>
        <v xml:space="preserve"> </v>
      </c>
      <c r="D1701" s="49"/>
      <c r="E1701" s="49"/>
      <c r="F1701" s="49"/>
      <c r="G1701" s="49"/>
      <c r="H1701" s="98" t="str">
        <f>IF(Source!AB12&lt;&gt;"", Source!AB12," ")</f>
        <v xml:space="preserve"> </v>
      </c>
      <c r="I1701" s="98"/>
      <c r="J1701" s="98"/>
      <c r="K1701" s="98"/>
    </row>
    <row r="1702" spans="1:11" ht="14.25" x14ac:dyDescent="0.2">
      <c r="A1702" s="13"/>
      <c r="B1702" s="13"/>
      <c r="C1702" s="99" t="s">
        <v>1715</v>
      </c>
      <c r="D1702" s="99"/>
      <c r="E1702" s="99"/>
      <c r="F1702" s="99"/>
      <c r="G1702" s="99"/>
      <c r="H1702" s="13"/>
      <c r="I1702" s="13"/>
      <c r="J1702" s="13"/>
      <c r="K1702" s="13"/>
    </row>
    <row r="1703" spans="1:11" ht="14.25" x14ac:dyDescent="0.2">
      <c r="A1703" s="13"/>
      <c r="B1703" s="13"/>
      <c r="C1703" s="13"/>
      <c r="D1703" s="13"/>
      <c r="E1703" s="13"/>
      <c r="F1703" s="13"/>
      <c r="G1703" s="13"/>
      <c r="H1703" s="13"/>
      <c r="I1703" s="13"/>
      <c r="J1703" s="13"/>
      <c r="K1703" s="13"/>
    </row>
    <row r="1704" spans="1:11" ht="14.25" x14ac:dyDescent="0.2">
      <c r="A1704" s="97" t="s">
        <v>1716</v>
      </c>
      <c r="B1704" s="97"/>
      <c r="C1704" s="49" t="str">
        <f>IF(Source!AE12&lt;&gt;"", Source!AE12," ")</f>
        <v xml:space="preserve"> </v>
      </c>
      <c r="D1704" s="49"/>
      <c r="E1704" s="49"/>
      <c r="F1704" s="49"/>
      <c r="G1704" s="49"/>
      <c r="H1704" s="98" t="str">
        <f>IF(Source!AD12&lt;&gt;"", Source!AD12," ")</f>
        <v xml:space="preserve"> </v>
      </c>
      <c r="I1704" s="98"/>
      <c r="J1704" s="98"/>
      <c r="K1704" s="98"/>
    </row>
    <row r="1705" spans="1:11" ht="14.25" x14ac:dyDescent="0.2">
      <c r="A1705" s="13"/>
      <c r="B1705" s="13"/>
      <c r="C1705" s="99" t="s">
        <v>1715</v>
      </c>
      <c r="D1705" s="99"/>
      <c r="E1705" s="99"/>
      <c r="F1705" s="99"/>
      <c r="G1705" s="99"/>
      <c r="H1705" s="13"/>
      <c r="I1705" s="13"/>
      <c r="J1705" s="13"/>
      <c r="K1705" s="13"/>
    </row>
  </sheetData>
  <mergeCells count="848">
    <mergeCell ref="B7:E7"/>
    <mergeCell ref="G7:K7"/>
    <mergeCell ref="J2:K2"/>
    <mergeCell ref="A10:K10"/>
    <mergeCell ref="A11:K11"/>
    <mergeCell ref="A13:K13"/>
    <mergeCell ref="B3:E3"/>
    <mergeCell ref="G3:K3"/>
    <mergeCell ref="B4:E4"/>
    <mergeCell ref="G4:K4"/>
    <mergeCell ref="B6:E6"/>
    <mergeCell ref="G6:K6"/>
    <mergeCell ref="E24:H24"/>
    <mergeCell ref="E25:H25"/>
    <mergeCell ref="E26:H26"/>
    <mergeCell ref="E27:H27"/>
    <mergeCell ref="E28:H28"/>
    <mergeCell ref="E29:H29"/>
    <mergeCell ref="A15:K15"/>
    <mergeCell ref="A16:K16"/>
    <mergeCell ref="A18:K18"/>
    <mergeCell ref="E21:H21"/>
    <mergeCell ref="E22:H22"/>
    <mergeCell ref="E23:H23"/>
    <mergeCell ref="A49:G49"/>
    <mergeCell ref="A53:K53"/>
    <mergeCell ref="A32:K32"/>
    <mergeCell ref="A36:K36"/>
    <mergeCell ref="A38:K38"/>
    <mergeCell ref="H44:I44"/>
    <mergeCell ref="J44:K44"/>
    <mergeCell ref="H45:I45"/>
    <mergeCell ref="J45:K45"/>
    <mergeCell ref="H64:I64"/>
    <mergeCell ref="J64:K64"/>
    <mergeCell ref="H65:I65"/>
    <mergeCell ref="J65:K65"/>
    <mergeCell ref="H66:I66"/>
    <mergeCell ref="J66:K66"/>
    <mergeCell ref="H46:I46"/>
    <mergeCell ref="J46:K46"/>
    <mergeCell ref="J49:K49"/>
    <mergeCell ref="H49:I49"/>
    <mergeCell ref="H89:I89"/>
    <mergeCell ref="J89:K89"/>
    <mergeCell ref="H90:I90"/>
    <mergeCell ref="J90:K90"/>
    <mergeCell ref="H91:I91"/>
    <mergeCell ref="J91:K91"/>
    <mergeCell ref="H78:I78"/>
    <mergeCell ref="J78:K78"/>
    <mergeCell ref="H79:I79"/>
    <mergeCell ref="J79:K79"/>
    <mergeCell ref="H80:I80"/>
    <mergeCell ref="J80:K80"/>
    <mergeCell ref="H114:I114"/>
    <mergeCell ref="J114:K114"/>
    <mergeCell ref="H115:I115"/>
    <mergeCell ref="J115:K115"/>
    <mergeCell ref="H116:I116"/>
    <mergeCell ref="J116:K116"/>
    <mergeCell ref="H99:I99"/>
    <mergeCell ref="J99:K99"/>
    <mergeCell ref="H100:I100"/>
    <mergeCell ref="J100:K100"/>
    <mergeCell ref="H101:I101"/>
    <mergeCell ref="J101:K101"/>
    <mergeCell ref="A127:K127"/>
    <mergeCell ref="A129:K129"/>
    <mergeCell ref="H139:I139"/>
    <mergeCell ref="J139:K139"/>
    <mergeCell ref="H140:I140"/>
    <mergeCell ref="J140:K140"/>
    <mergeCell ref="J119:K119"/>
    <mergeCell ref="H119:I119"/>
    <mergeCell ref="A119:G119"/>
    <mergeCell ref="J123:K123"/>
    <mergeCell ref="H123:I123"/>
    <mergeCell ref="A123:G123"/>
    <mergeCell ref="H150:I150"/>
    <mergeCell ref="J150:K150"/>
    <mergeCell ref="H157:I157"/>
    <mergeCell ref="J157:K157"/>
    <mergeCell ref="H158:I158"/>
    <mergeCell ref="J158:K158"/>
    <mergeCell ref="H141:I141"/>
    <mergeCell ref="J141:K141"/>
    <mergeCell ref="H148:I148"/>
    <mergeCell ref="J148:K148"/>
    <mergeCell ref="H149:I149"/>
    <mergeCell ref="J149:K149"/>
    <mergeCell ref="H169:I169"/>
    <mergeCell ref="J169:K169"/>
    <mergeCell ref="H180:I180"/>
    <mergeCell ref="J180:K180"/>
    <mergeCell ref="H181:I181"/>
    <mergeCell ref="J181:K181"/>
    <mergeCell ref="H159:I159"/>
    <mergeCell ref="J159:K159"/>
    <mergeCell ref="H167:I167"/>
    <mergeCell ref="J167:K167"/>
    <mergeCell ref="H168:I168"/>
    <mergeCell ref="J168:K168"/>
    <mergeCell ref="H195:I195"/>
    <mergeCell ref="J195:K195"/>
    <mergeCell ref="H206:I206"/>
    <mergeCell ref="J206:K206"/>
    <mergeCell ref="H207:I207"/>
    <mergeCell ref="J207:K207"/>
    <mergeCell ref="H182:I182"/>
    <mergeCell ref="J182:K182"/>
    <mergeCell ref="H193:I193"/>
    <mergeCell ref="J193:K193"/>
    <mergeCell ref="H194:I194"/>
    <mergeCell ref="J194:K194"/>
    <mergeCell ref="H221:I221"/>
    <mergeCell ref="J221:K221"/>
    <mergeCell ref="H232:I232"/>
    <mergeCell ref="J232:K232"/>
    <mergeCell ref="H233:I233"/>
    <mergeCell ref="J233:K233"/>
    <mergeCell ref="H208:I208"/>
    <mergeCell ref="J208:K208"/>
    <mergeCell ref="H219:I219"/>
    <mergeCell ref="J219:K219"/>
    <mergeCell ref="H220:I220"/>
    <mergeCell ref="J220:K220"/>
    <mergeCell ref="H244:I244"/>
    <mergeCell ref="J244:K244"/>
    <mergeCell ref="H252:I252"/>
    <mergeCell ref="J252:K252"/>
    <mergeCell ref="H253:I253"/>
    <mergeCell ref="J253:K253"/>
    <mergeCell ref="H234:I234"/>
    <mergeCell ref="J234:K234"/>
    <mergeCell ref="H242:I242"/>
    <mergeCell ref="J242:K242"/>
    <mergeCell ref="H243:I243"/>
    <mergeCell ref="J243:K243"/>
    <mergeCell ref="H266:I266"/>
    <mergeCell ref="J266:K266"/>
    <mergeCell ref="J269:K269"/>
    <mergeCell ref="H269:I269"/>
    <mergeCell ref="A269:G269"/>
    <mergeCell ref="A273:K273"/>
    <mergeCell ref="H254:I254"/>
    <mergeCell ref="J254:K254"/>
    <mergeCell ref="H264:I264"/>
    <mergeCell ref="J264:K264"/>
    <mergeCell ref="H265:I265"/>
    <mergeCell ref="J265:K265"/>
    <mergeCell ref="H298:I298"/>
    <mergeCell ref="J298:K298"/>
    <mergeCell ref="H299:I299"/>
    <mergeCell ref="J299:K299"/>
    <mergeCell ref="H300:I300"/>
    <mergeCell ref="J300:K300"/>
    <mergeCell ref="H284:I284"/>
    <mergeCell ref="J284:K284"/>
    <mergeCell ref="H285:I285"/>
    <mergeCell ref="J285:K285"/>
    <mergeCell ref="H286:I286"/>
    <mergeCell ref="J286:K286"/>
    <mergeCell ref="H329:I329"/>
    <mergeCell ref="J329:K329"/>
    <mergeCell ref="H330:I330"/>
    <mergeCell ref="J330:K330"/>
    <mergeCell ref="H331:I331"/>
    <mergeCell ref="J331:K331"/>
    <mergeCell ref="H313:I313"/>
    <mergeCell ref="J313:K313"/>
    <mergeCell ref="H314:I314"/>
    <mergeCell ref="J314:K314"/>
    <mergeCell ref="H315:I315"/>
    <mergeCell ref="J315:K315"/>
    <mergeCell ref="H356:I356"/>
    <mergeCell ref="J356:K356"/>
    <mergeCell ref="H357:I357"/>
    <mergeCell ref="J357:K357"/>
    <mergeCell ref="H358:I358"/>
    <mergeCell ref="J358:K358"/>
    <mergeCell ref="H342:I342"/>
    <mergeCell ref="J342:K342"/>
    <mergeCell ref="H343:I343"/>
    <mergeCell ref="J343:K343"/>
    <mergeCell ref="H344:I344"/>
    <mergeCell ref="J344:K344"/>
    <mergeCell ref="H382:I382"/>
    <mergeCell ref="J382:K382"/>
    <mergeCell ref="H383:I383"/>
    <mergeCell ref="J383:K383"/>
    <mergeCell ref="H384:I384"/>
    <mergeCell ref="J384:K384"/>
    <mergeCell ref="H370:I370"/>
    <mergeCell ref="J370:K370"/>
    <mergeCell ref="H371:I371"/>
    <mergeCell ref="J371:K371"/>
    <mergeCell ref="H372:I372"/>
    <mergeCell ref="J372:K372"/>
    <mergeCell ref="H406:I406"/>
    <mergeCell ref="J406:K406"/>
    <mergeCell ref="H407:I407"/>
    <mergeCell ref="J407:K407"/>
    <mergeCell ref="H408:I408"/>
    <mergeCell ref="J408:K408"/>
    <mergeCell ref="H392:I392"/>
    <mergeCell ref="J392:K392"/>
    <mergeCell ref="H393:I393"/>
    <mergeCell ref="J393:K393"/>
    <mergeCell ref="H394:I394"/>
    <mergeCell ref="J394:K394"/>
    <mergeCell ref="H438:I438"/>
    <mergeCell ref="J438:K438"/>
    <mergeCell ref="H439:I439"/>
    <mergeCell ref="J439:K439"/>
    <mergeCell ref="H440:I440"/>
    <mergeCell ref="J440:K440"/>
    <mergeCell ref="H422:I422"/>
    <mergeCell ref="J422:K422"/>
    <mergeCell ref="H423:I423"/>
    <mergeCell ref="J423:K423"/>
    <mergeCell ref="H424:I424"/>
    <mergeCell ref="J424:K424"/>
    <mergeCell ref="H467:I467"/>
    <mergeCell ref="J467:K467"/>
    <mergeCell ref="H468:I468"/>
    <mergeCell ref="J468:K468"/>
    <mergeCell ref="H469:I469"/>
    <mergeCell ref="J469:K469"/>
    <mergeCell ref="H453:I453"/>
    <mergeCell ref="J453:K453"/>
    <mergeCell ref="H454:I454"/>
    <mergeCell ref="J454:K454"/>
    <mergeCell ref="H455:I455"/>
    <mergeCell ref="J455:K455"/>
    <mergeCell ref="H497:I497"/>
    <mergeCell ref="J497:K497"/>
    <mergeCell ref="H498:I498"/>
    <mergeCell ref="J498:K498"/>
    <mergeCell ref="H499:I499"/>
    <mergeCell ref="J499:K499"/>
    <mergeCell ref="H483:I483"/>
    <mergeCell ref="J483:K483"/>
    <mergeCell ref="H484:I484"/>
    <mergeCell ref="J484:K484"/>
    <mergeCell ref="H485:I485"/>
    <mergeCell ref="J485:K485"/>
    <mergeCell ref="H528:I528"/>
    <mergeCell ref="J528:K528"/>
    <mergeCell ref="H529:I529"/>
    <mergeCell ref="J529:K529"/>
    <mergeCell ref="H530:I530"/>
    <mergeCell ref="J530:K530"/>
    <mergeCell ref="H512:I512"/>
    <mergeCell ref="J512:K512"/>
    <mergeCell ref="H513:I513"/>
    <mergeCell ref="J513:K513"/>
    <mergeCell ref="H514:I514"/>
    <mergeCell ref="J514:K514"/>
    <mergeCell ref="H554:I554"/>
    <mergeCell ref="J554:K554"/>
    <mergeCell ref="H555:I555"/>
    <mergeCell ref="J555:K555"/>
    <mergeCell ref="H556:I556"/>
    <mergeCell ref="J556:K556"/>
    <mergeCell ref="H540:I540"/>
    <mergeCell ref="J540:K540"/>
    <mergeCell ref="H541:I541"/>
    <mergeCell ref="J541:K541"/>
    <mergeCell ref="H542:I542"/>
    <mergeCell ref="J542:K542"/>
    <mergeCell ref="H569:I569"/>
    <mergeCell ref="J569:K569"/>
    <mergeCell ref="H570:I570"/>
    <mergeCell ref="J570:K570"/>
    <mergeCell ref="H574:I574"/>
    <mergeCell ref="J574:K574"/>
    <mergeCell ref="J559:K559"/>
    <mergeCell ref="H559:I559"/>
    <mergeCell ref="A559:G559"/>
    <mergeCell ref="A563:K563"/>
    <mergeCell ref="H568:I568"/>
    <mergeCell ref="J568:K568"/>
    <mergeCell ref="H581:I581"/>
    <mergeCell ref="J581:K581"/>
    <mergeCell ref="H582:I582"/>
    <mergeCell ref="J582:K582"/>
    <mergeCell ref="H586:I586"/>
    <mergeCell ref="J586:K586"/>
    <mergeCell ref="H575:I575"/>
    <mergeCell ref="J575:K575"/>
    <mergeCell ref="H576:I576"/>
    <mergeCell ref="J576:K576"/>
    <mergeCell ref="H580:I580"/>
    <mergeCell ref="J580:K580"/>
    <mergeCell ref="A591:G591"/>
    <mergeCell ref="J595:K595"/>
    <mergeCell ref="H595:I595"/>
    <mergeCell ref="A595:G595"/>
    <mergeCell ref="A599:K599"/>
    <mergeCell ref="A601:K601"/>
    <mergeCell ref="H587:I587"/>
    <mergeCell ref="J587:K587"/>
    <mergeCell ref="H588:I588"/>
    <mergeCell ref="J588:K588"/>
    <mergeCell ref="J591:K591"/>
    <mergeCell ref="H591:I591"/>
    <mergeCell ref="H625:I625"/>
    <mergeCell ref="J625:K625"/>
    <mergeCell ref="H626:I626"/>
    <mergeCell ref="J626:K626"/>
    <mergeCell ref="H627:I627"/>
    <mergeCell ref="J627:K627"/>
    <mergeCell ref="H611:I611"/>
    <mergeCell ref="J611:K611"/>
    <mergeCell ref="H612:I612"/>
    <mergeCell ref="J612:K612"/>
    <mergeCell ref="H613:I613"/>
    <mergeCell ref="J613:K613"/>
    <mergeCell ref="H646:I646"/>
    <mergeCell ref="J646:K646"/>
    <mergeCell ref="H647:I647"/>
    <mergeCell ref="J647:K647"/>
    <mergeCell ref="H659:I659"/>
    <mergeCell ref="J659:K659"/>
    <mergeCell ref="J630:K630"/>
    <mergeCell ref="H630:I630"/>
    <mergeCell ref="A630:G630"/>
    <mergeCell ref="A634:K634"/>
    <mergeCell ref="H645:I645"/>
    <mergeCell ref="J645:K645"/>
    <mergeCell ref="H676:I676"/>
    <mergeCell ref="J676:K676"/>
    <mergeCell ref="H677:I677"/>
    <mergeCell ref="J677:K677"/>
    <mergeCell ref="H689:I689"/>
    <mergeCell ref="J689:K689"/>
    <mergeCell ref="H660:I660"/>
    <mergeCell ref="J660:K660"/>
    <mergeCell ref="H661:I661"/>
    <mergeCell ref="J661:K661"/>
    <mergeCell ref="H675:I675"/>
    <mergeCell ref="J675:K675"/>
    <mergeCell ref="H710:I710"/>
    <mergeCell ref="J710:K710"/>
    <mergeCell ref="H711:I711"/>
    <mergeCell ref="J711:K711"/>
    <mergeCell ref="H725:I725"/>
    <mergeCell ref="J725:K725"/>
    <mergeCell ref="H690:I690"/>
    <mergeCell ref="J690:K690"/>
    <mergeCell ref="H691:I691"/>
    <mergeCell ref="J691:K691"/>
    <mergeCell ref="H709:I709"/>
    <mergeCell ref="J709:K709"/>
    <mergeCell ref="H740:I740"/>
    <mergeCell ref="J740:K740"/>
    <mergeCell ref="H741:I741"/>
    <mergeCell ref="J741:K741"/>
    <mergeCell ref="H753:I753"/>
    <mergeCell ref="J753:K753"/>
    <mergeCell ref="H726:I726"/>
    <mergeCell ref="J726:K726"/>
    <mergeCell ref="H727:I727"/>
    <mergeCell ref="J727:K727"/>
    <mergeCell ref="H739:I739"/>
    <mergeCell ref="J739:K739"/>
    <mergeCell ref="H768:I768"/>
    <mergeCell ref="J768:K768"/>
    <mergeCell ref="H769:I769"/>
    <mergeCell ref="J769:K769"/>
    <mergeCell ref="H782:I782"/>
    <mergeCell ref="J782:K782"/>
    <mergeCell ref="H754:I754"/>
    <mergeCell ref="J754:K754"/>
    <mergeCell ref="H755:I755"/>
    <mergeCell ref="J755:K755"/>
    <mergeCell ref="H767:I767"/>
    <mergeCell ref="J767:K767"/>
    <mergeCell ref="H797:I797"/>
    <mergeCell ref="J797:K797"/>
    <mergeCell ref="H798:I798"/>
    <mergeCell ref="J798:K798"/>
    <mergeCell ref="H809:I809"/>
    <mergeCell ref="J809:K809"/>
    <mergeCell ref="H783:I783"/>
    <mergeCell ref="J783:K783"/>
    <mergeCell ref="H784:I784"/>
    <mergeCell ref="J784:K784"/>
    <mergeCell ref="H796:I796"/>
    <mergeCell ref="J796:K796"/>
    <mergeCell ref="A814:G814"/>
    <mergeCell ref="J818:K818"/>
    <mergeCell ref="H818:I818"/>
    <mergeCell ref="A818:G818"/>
    <mergeCell ref="A822:K822"/>
    <mergeCell ref="A824:K824"/>
    <mergeCell ref="H810:I810"/>
    <mergeCell ref="J810:K810"/>
    <mergeCell ref="H811:I811"/>
    <mergeCell ref="J811:K811"/>
    <mergeCell ref="J814:K814"/>
    <mergeCell ref="H814:I814"/>
    <mergeCell ref="H847:I847"/>
    <mergeCell ref="J847:K847"/>
    <mergeCell ref="H848:I848"/>
    <mergeCell ref="J848:K848"/>
    <mergeCell ref="H849:I849"/>
    <mergeCell ref="J849:K849"/>
    <mergeCell ref="H834:I834"/>
    <mergeCell ref="J834:K834"/>
    <mergeCell ref="H835:I835"/>
    <mergeCell ref="J835:K835"/>
    <mergeCell ref="H836:I836"/>
    <mergeCell ref="J836:K836"/>
    <mergeCell ref="H873:I873"/>
    <mergeCell ref="J873:K873"/>
    <mergeCell ref="H874:I874"/>
    <mergeCell ref="J874:K874"/>
    <mergeCell ref="H875:I875"/>
    <mergeCell ref="J875:K875"/>
    <mergeCell ref="H860:I860"/>
    <mergeCell ref="J860:K860"/>
    <mergeCell ref="H861:I861"/>
    <mergeCell ref="J861:K861"/>
    <mergeCell ref="H862:I862"/>
    <mergeCell ref="J862:K862"/>
    <mergeCell ref="H896:I896"/>
    <mergeCell ref="J896:K896"/>
    <mergeCell ref="H897:I897"/>
    <mergeCell ref="J897:K897"/>
    <mergeCell ref="H898:I898"/>
    <mergeCell ref="J898:K898"/>
    <mergeCell ref="H886:I886"/>
    <mergeCell ref="J886:K886"/>
    <mergeCell ref="H887:I887"/>
    <mergeCell ref="J887:K887"/>
    <mergeCell ref="H888:I888"/>
    <mergeCell ref="J888:K888"/>
    <mergeCell ref="H921:I921"/>
    <mergeCell ref="J921:K921"/>
    <mergeCell ref="H922:I922"/>
    <mergeCell ref="J922:K922"/>
    <mergeCell ref="H923:I923"/>
    <mergeCell ref="J923:K923"/>
    <mergeCell ref="H908:I908"/>
    <mergeCell ref="J908:K908"/>
    <mergeCell ref="H909:I909"/>
    <mergeCell ref="J909:K909"/>
    <mergeCell ref="H910:I910"/>
    <mergeCell ref="J910:K910"/>
    <mergeCell ref="H942:I942"/>
    <mergeCell ref="J942:K942"/>
    <mergeCell ref="H943:I943"/>
    <mergeCell ref="J943:K943"/>
    <mergeCell ref="H944:I944"/>
    <mergeCell ref="J944:K944"/>
    <mergeCell ref="H931:I931"/>
    <mergeCell ref="J931:K931"/>
    <mergeCell ref="H932:I932"/>
    <mergeCell ref="J932:K932"/>
    <mergeCell ref="H933:I933"/>
    <mergeCell ref="J933:K933"/>
    <mergeCell ref="H969:I969"/>
    <mergeCell ref="J969:K969"/>
    <mergeCell ref="H970:I970"/>
    <mergeCell ref="J970:K970"/>
    <mergeCell ref="H971:I971"/>
    <mergeCell ref="J971:K971"/>
    <mergeCell ref="H955:I955"/>
    <mergeCell ref="J955:K955"/>
    <mergeCell ref="H956:I956"/>
    <mergeCell ref="J956:K956"/>
    <mergeCell ref="H957:I957"/>
    <mergeCell ref="J957:K957"/>
    <mergeCell ref="H997:I997"/>
    <mergeCell ref="J997:K997"/>
    <mergeCell ref="H998:I998"/>
    <mergeCell ref="J998:K998"/>
    <mergeCell ref="H999:I999"/>
    <mergeCell ref="J999:K999"/>
    <mergeCell ref="H983:I983"/>
    <mergeCell ref="J983:K983"/>
    <mergeCell ref="H984:I984"/>
    <mergeCell ref="J984:K984"/>
    <mergeCell ref="H985:I985"/>
    <mergeCell ref="J985:K985"/>
    <mergeCell ref="H1026:I1026"/>
    <mergeCell ref="J1026:K1026"/>
    <mergeCell ref="H1027:I1027"/>
    <mergeCell ref="J1027:K1027"/>
    <mergeCell ref="H1028:I1028"/>
    <mergeCell ref="J1028:K1028"/>
    <mergeCell ref="H1011:I1011"/>
    <mergeCell ref="J1011:K1011"/>
    <mergeCell ref="H1012:I1012"/>
    <mergeCell ref="J1012:K1012"/>
    <mergeCell ref="H1013:I1013"/>
    <mergeCell ref="J1013:K1013"/>
    <mergeCell ref="J1045:K1045"/>
    <mergeCell ref="H1045:I1045"/>
    <mergeCell ref="A1045:G1045"/>
    <mergeCell ref="A1049:K1049"/>
    <mergeCell ref="H1051:I1051"/>
    <mergeCell ref="J1051:K1051"/>
    <mergeCell ref="H1040:I1040"/>
    <mergeCell ref="J1040:K1040"/>
    <mergeCell ref="H1041:I1041"/>
    <mergeCell ref="J1041:K1041"/>
    <mergeCell ref="H1042:I1042"/>
    <mergeCell ref="J1042:K1042"/>
    <mergeCell ref="H1063:I1063"/>
    <mergeCell ref="J1063:K1063"/>
    <mergeCell ref="H1066:I1066"/>
    <mergeCell ref="J1066:K1066"/>
    <mergeCell ref="H1069:I1069"/>
    <mergeCell ref="J1069:K1069"/>
    <mergeCell ref="H1054:I1054"/>
    <mergeCell ref="J1054:K1054"/>
    <mergeCell ref="H1057:I1057"/>
    <mergeCell ref="J1057:K1057"/>
    <mergeCell ref="H1060:I1060"/>
    <mergeCell ref="J1060:K1060"/>
    <mergeCell ref="H1081:I1081"/>
    <mergeCell ref="J1081:K1081"/>
    <mergeCell ref="J1084:K1084"/>
    <mergeCell ref="H1084:I1084"/>
    <mergeCell ref="A1084:G1084"/>
    <mergeCell ref="J1088:K1088"/>
    <mergeCell ref="H1088:I1088"/>
    <mergeCell ref="A1088:G1088"/>
    <mergeCell ref="H1072:I1072"/>
    <mergeCell ref="J1072:K1072"/>
    <mergeCell ref="H1075:I1075"/>
    <mergeCell ref="J1075:K1075"/>
    <mergeCell ref="H1078:I1078"/>
    <mergeCell ref="J1078:K1078"/>
    <mergeCell ref="A1114:G1114"/>
    <mergeCell ref="A1118:K1118"/>
    <mergeCell ref="H1102:I1102"/>
    <mergeCell ref="J1102:K1102"/>
    <mergeCell ref="H1109:I1109"/>
    <mergeCell ref="J1109:K1109"/>
    <mergeCell ref="H1110:I1110"/>
    <mergeCell ref="J1110:K1110"/>
    <mergeCell ref="A1092:K1092"/>
    <mergeCell ref="A1094:K1094"/>
    <mergeCell ref="H1100:I1100"/>
    <mergeCell ref="J1100:K1100"/>
    <mergeCell ref="H1101:I1101"/>
    <mergeCell ref="J1101:K1101"/>
    <mergeCell ref="H1129:I1129"/>
    <mergeCell ref="J1129:K1129"/>
    <mergeCell ref="H1130:I1130"/>
    <mergeCell ref="J1130:K1130"/>
    <mergeCell ref="H1131:I1131"/>
    <mergeCell ref="J1131:K1131"/>
    <mergeCell ref="H1111:I1111"/>
    <mergeCell ref="J1111:K1111"/>
    <mergeCell ref="J1114:K1114"/>
    <mergeCell ref="H1114:I1114"/>
    <mergeCell ref="H1160:I1160"/>
    <mergeCell ref="J1160:K1160"/>
    <mergeCell ref="H1161:I1161"/>
    <mergeCell ref="J1161:K1161"/>
    <mergeCell ref="H1162:I1162"/>
    <mergeCell ref="J1162:K1162"/>
    <mergeCell ref="H1145:I1145"/>
    <mergeCell ref="J1145:K1145"/>
    <mergeCell ref="H1146:I1146"/>
    <mergeCell ref="J1146:K1146"/>
    <mergeCell ref="H1147:I1147"/>
    <mergeCell ref="J1147:K1147"/>
    <mergeCell ref="H1186:I1186"/>
    <mergeCell ref="J1186:K1186"/>
    <mergeCell ref="H1187:I1187"/>
    <mergeCell ref="J1187:K1187"/>
    <mergeCell ref="H1188:I1188"/>
    <mergeCell ref="J1188:K1188"/>
    <mergeCell ref="H1170:I1170"/>
    <mergeCell ref="J1170:K1170"/>
    <mergeCell ref="H1171:I1171"/>
    <mergeCell ref="J1171:K1171"/>
    <mergeCell ref="H1172:I1172"/>
    <mergeCell ref="J1172:K1172"/>
    <mergeCell ref="H1214:I1214"/>
    <mergeCell ref="J1214:K1214"/>
    <mergeCell ref="H1215:I1215"/>
    <mergeCell ref="J1215:K1215"/>
    <mergeCell ref="H1216:I1216"/>
    <mergeCell ref="J1216:K1216"/>
    <mergeCell ref="H1200:I1200"/>
    <mergeCell ref="J1200:K1200"/>
    <mergeCell ref="H1201:I1201"/>
    <mergeCell ref="J1201:K1201"/>
    <mergeCell ref="H1202:I1202"/>
    <mergeCell ref="J1202:K1202"/>
    <mergeCell ref="H1245:I1245"/>
    <mergeCell ref="J1245:K1245"/>
    <mergeCell ref="H1246:I1246"/>
    <mergeCell ref="J1246:K1246"/>
    <mergeCell ref="H1247:I1247"/>
    <mergeCell ref="J1247:K1247"/>
    <mergeCell ref="H1228:I1228"/>
    <mergeCell ref="J1228:K1228"/>
    <mergeCell ref="H1229:I1229"/>
    <mergeCell ref="J1229:K1229"/>
    <mergeCell ref="H1230:I1230"/>
    <mergeCell ref="J1230:K1230"/>
    <mergeCell ref="H1273:I1273"/>
    <mergeCell ref="J1273:K1273"/>
    <mergeCell ref="H1274:I1274"/>
    <mergeCell ref="J1274:K1274"/>
    <mergeCell ref="H1275:I1275"/>
    <mergeCell ref="J1275:K1275"/>
    <mergeCell ref="H1259:I1259"/>
    <mergeCell ref="J1259:K1259"/>
    <mergeCell ref="H1260:I1260"/>
    <mergeCell ref="J1260:K1260"/>
    <mergeCell ref="H1261:I1261"/>
    <mergeCell ref="J1261:K1261"/>
    <mergeCell ref="J1292:K1292"/>
    <mergeCell ref="H1292:I1292"/>
    <mergeCell ref="A1292:G1292"/>
    <mergeCell ref="J1296:K1296"/>
    <mergeCell ref="H1296:I1296"/>
    <mergeCell ref="A1296:G1296"/>
    <mergeCell ref="H1287:I1287"/>
    <mergeCell ref="J1287:K1287"/>
    <mergeCell ref="H1288:I1288"/>
    <mergeCell ref="J1288:K1288"/>
    <mergeCell ref="H1289:I1289"/>
    <mergeCell ref="J1289:K1289"/>
    <mergeCell ref="H1310:I1310"/>
    <mergeCell ref="J1310:K1310"/>
    <mergeCell ref="H1317:I1317"/>
    <mergeCell ref="J1317:K1317"/>
    <mergeCell ref="H1318:I1318"/>
    <mergeCell ref="J1318:K1318"/>
    <mergeCell ref="A1300:K1300"/>
    <mergeCell ref="A1302:K1302"/>
    <mergeCell ref="H1308:I1308"/>
    <mergeCell ref="J1308:K1308"/>
    <mergeCell ref="H1309:I1309"/>
    <mergeCell ref="J1309:K1309"/>
    <mergeCell ref="A1346:G1346"/>
    <mergeCell ref="A1350:K1350"/>
    <mergeCell ref="H1331:I1331"/>
    <mergeCell ref="J1331:K1331"/>
    <mergeCell ref="H1341:I1341"/>
    <mergeCell ref="J1341:K1341"/>
    <mergeCell ref="H1342:I1342"/>
    <mergeCell ref="J1342:K1342"/>
    <mergeCell ref="H1319:I1319"/>
    <mergeCell ref="J1319:K1319"/>
    <mergeCell ref="H1329:I1329"/>
    <mergeCell ref="J1329:K1329"/>
    <mergeCell ref="H1330:I1330"/>
    <mergeCell ref="J1330:K1330"/>
    <mergeCell ref="H1369:I1369"/>
    <mergeCell ref="J1369:K1369"/>
    <mergeCell ref="H1370:I1370"/>
    <mergeCell ref="J1370:K1370"/>
    <mergeCell ref="H1371:I1371"/>
    <mergeCell ref="J1371:K1371"/>
    <mergeCell ref="H1343:I1343"/>
    <mergeCell ref="J1343:K1343"/>
    <mergeCell ref="J1346:K1346"/>
    <mergeCell ref="H1346:I1346"/>
    <mergeCell ref="H1396:I1396"/>
    <mergeCell ref="J1396:K1396"/>
    <mergeCell ref="H1397:I1397"/>
    <mergeCell ref="J1397:K1397"/>
    <mergeCell ref="H1398:I1398"/>
    <mergeCell ref="J1398:K1398"/>
    <mergeCell ref="H1385:I1385"/>
    <mergeCell ref="J1385:K1385"/>
    <mergeCell ref="H1386:I1386"/>
    <mergeCell ref="J1386:K1386"/>
    <mergeCell ref="H1387:I1387"/>
    <mergeCell ref="J1387:K1387"/>
    <mergeCell ref="H1424:I1424"/>
    <mergeCell ref="J1424:K1424"/>
    <mergeCell ref="H1425:I1425"/>
    <mergeCell ref="J1425:K1425"/>
    <mergeCell ref="H1426:I1426"/>
    <mergeCell ref="J1426:K1426"/>
    <mergeCell ref="H1410:I1410"/>
    <mergeCell ref="J1410:K1410"/>
    <mergeCell ref="H1411:I1411"/>
    <mergeCell ref="J1411:K1411"/>
    <mergeCell ref="H1412:I1412"/>
    <mergeCell ref="J1412:K1412"/>
    <mergeCell ref="J1445:K1445"/>
    <mergeCell ref="H1445:I1445"/>
    <mergeCell ref="A1445:G1445"/>
    <mergeCell ref="A1449:K1449"/>
    <mergeCell ref="H1463:I1463"/>
    <mergeCell ref="J1463:K1463"/>
    <mergeCell ref="H1440:I1440"/>
    <mergeCell ref="J1440:K1440"/>
    <mergeCell ref="H1441:I1441"/>
    <mergeCell ref="J1441:K1441"/>
    <mergeCell ref="H1442:I1442"/>
    <mergeCell ref="J1442:K1442"/>
    <mergeCell ref="H1485:I1485"/>
    <mergeCell ref="J1485:K1485"/>
    <mergeCell ref="H1486:I1486"/>
    <mergeCell ref="J1486:K1486"/>
    <mergeCell ref="J1489:K1489"/>
    <mergeCell ref="H1489:I1489"/>
    <mergeCell ref="H1464:I1464"/>
    <mergeCell ref="J1464:K1464"/>
    <mergeCell ref="H1465:I1465"/>
    <mergeCell ref="J1465:K1465"/>
    <mergeCell ref="H1484:I1484"/>
    <mergeCell ref="J1484:K1484"/>
    <mergeCell ref="H1507:I1507"/>
    <mergeCell ref="J1507:K1507"/>
    <mergeCell ref="H1520:I1520"/>
    <mergeCell ref="J1520:K1520"/>
    <mergeCell ref="H1521:I1521"/>
    <mergeCell ref="J1521:K1521"/>
    <mergeCell ref="A1489:G1489"/>
    <mergeCell ref="A1493:K1493"/>
    <mergeCell ref="H1505:I1505"/>
    <mergeCell ref="J1505:K1505"/>
    <mergeCell ref="H1506:I1506"/>
    <mergeCell ref="J1506:K1506"/>
    <mergeCell ref="A1550:G1550"/>
    <mergeCell ref="A1554:K1554"/>
    <mergeCell ref="H1536:I1536"/>
    <mergeCell ref="J1536:K1536"/>
    <mergeCell ref="H1545:I1545"/>
    <mergeCell ref="J1545:K1545"/>
    <mergeCell ref="H1546:I1546"/>
    <mergeCell ref="J1546:K1546"/>
    <mergeCell ref="H1522:I1522"/>
    <mergeCell ref="J1522:K1522"/>
    <mergeCell ref="H1534:I1534"/>
    <mergeCell ref="J1534:K1534"/>
    <mergeCell ref="H1535:I1535"/>
    <mergeCell ref="J1535:K1535"/>
    <mergeCell ref="H1559:I1559"/>
    <mergeCell ref="J1559:K1559"/>
    <mergeCell ref="H1560:I1560"/>
    <mergeCell ref="J1560:K1560"/>
    <mergeCell ref="H1561:I1561"/>
    <mergeCell ref="J1561:K1561"/>
    <mergeCell ref="H1547:I1547"/>
    <mergeCell ref="J1547:K1547"/>
    <mergeCell ref="J1550:K1550"/>
    <mergeCell ref="H1550:I1550"/>
    <mergeCell ref="H1571:I1571"/>
    <mergeCell ref="J1571:K1571"/>
    <mergeCell ref="H1572:I1572"/>
    <mergeCell ref="J1572:K1572"/>
    <mergeCell ref="H1573:I1573"/>
    <mergeCell ref="J1573:K1573"/>
    <mergeCell ref="H1565:I1565"/>
    <mergeCell ref="J1565:K1565"/>
    <mergeCell ref="H1566:I1566"/>
    <mergeCell ref="J1566:K1566"/>
    <mergeCell ref="H1567:I1567"/>
    <mergeCell ref="J1567:K1567"/>
    <mergeCell ref="A1584:K1584"/>
    <mergeCell ref="A1586:K1586"/>
    <mergeCell ref="H1597:I1597"/>
    <mergeCell ref="J1597:K1597"/>
    <mergeCell ref="H1598:I1598"/>
    <mergeCell ref="J1598:K1598"/>
    <mergeCell ref="J1576:K1576"/>
    <mergeCell ref="H1576:I1576"/>
    <mergeCell ref="A1576:G1576"/>
    <mergeCell ref="J1580:K1580"/>
    <mergeCell ref="H1580:I1580"/>
    <mergeCell ref="A1580:G1580"/>
    <mergeCell ref="H1614:I1614"/>
    <mergeCell ref="J1614:K1614"/>
    <mergeCell ref="H1625:I1625"/>
    <mergeCell ref="J1625:K1625"/>
    <mergeCell ref="H1626:I1626"/>
    <mergeCell ref="J1626:K1626"/>
    <mergeCell ref="H1599:I1599"/>
    <mergeCell ref="J1599:K1599"/>
    <mergeCell ref="H1612:I1612"/>
    <mergeCell ref="J1612:K1612"/>
    <mergeCell ref="H1613:I1613"/>
    <mergeCell ref="J1613:K1613"/>
    <mergeCell ref="A1652:G1652"/>
    <mergeCell ref="A1656:K1656"/>
    <mergeCell ref="H1639:I1639"/>
    <mergeCell ref="J1639:K1639"/>
    <mergeCell ref="H1647:I1647"/>
    <mergeCell ref="J1647:K1647"/>
    <mergeCell ref="H1648:I1648"/>
    <mergeCell ref="J1648:K1648"/>
    <mergeCell ref="H1627:I1627"/>
    <mergeCell ref="J1627:K1627"/>
    <mergeCell ref="H1637:I1637"/>
    <mergeCell ref="J1637:K1637"/>
    <mergeCell ref="H1638:I1638"/>
    <mergeCell ref="J1638:K1638"/>
    <mergeCell ref="H1658:I1658"/>
    <mergeCell ref="J1658:K1658"/>
    <mergeCell ref="H1661:I1661"/>
    <mergeCell ref="J1661:K1661"/>
    <mergeCell ref="H1664:I1664"/>
    <mergeCell ref="J1664:K1664"/>
    <mergeCell ref="H1649:I1649"/>
    <mergeCell ref="J1649:K1649"/>
    <mergeCell ref="J1652:K1652"/>
    <mergeCell ref="H1652:I1652"/>
    <mergeCell ref="H1676:I1676"/>
    <mergeCell ref="J1676:K1676"/>
    <mergeCell ref="J1679:K1679"/>
    <mergeCell ref="H1679:I1679"/>
    <mergeCell ref="A1679:G1679"/>
    <mergeCell ref="J1683:K1683"/>
    <mergeCell ref="H1683:I1683"/>
    <mergeCell ref="A1683:G1683"/>
    <mergeCell ref="H1667:I1667"/>
    <mergeCell ref="J1667:K1667"/>
    <mergeCell ref="H1670:I1670"/>
    <mergeCell ref="J1670:K1670"/>
    <mergeCell ref="H1673:I1673"/>
    <mergeCell ref="J1673:K1673"/>
    <mergeCell ref="J1694:K1694"/>
    <mergeCell ref="H1694:I1694"/>
    <mergeCell ref="A1694:G1694"/>
    <mergeCell ref="J1696:K1696"/>
    <mergeCell ref="H1696:I1696"/>
    <mergeCell ref="A1696:G1696"/>
    <mergeCell ref="A1687:K1687"/>
    <mergeCell ref="H1689:I1689"/>
    <mergeCell ref="J1689:K1689"/>
    <mergeCell ref="J1692:K1692"/>
    <mergeCell ref="H1692:I1692"/>
    <mergeCell ref="A1692:G1692"/>
    <mergeCell ref="A1704:B1704"/>
    <mergeCell ref="H1704:K1704"/>
    <mergeCell ref="C1705:G1705"/>
    <mergeCell ref="J1698:K1698"/>
    <mergeCell ref="H1698:I1698"/>
    <mergeCell ref="A1698:G1698"/>
    <mergeCell ref="A1701:B1701"/>
    <mergeCell ref="H1701:K1701"/>
    <mergeCell ref="C1702:G1702"/>
  </mergeCells>
  <pageMargins left="0.4" right="0.2" top="0.2" bottom="0.4" header="0.2" footer="0.2"/>
  <pageSetup paperSize="9" scale="72" fitToHeight="0" orientation="portrait" horizontalDpi="4294967295" verticalDpi="4294967295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21"/>
  <sheetViews>
    <sheetView zoomScaleNormal="100" workbookViewId="0"/>
  </sheetViews>
  <sheetFormatPr defaultRowHeight="12.75" x14ac:dyDescent="0.2"/>
  <cols>
    <col min="1" max="1" width="6.7109375" customWidth="1"/>
    <col min="2" max="2" width="75.7109375" customWidth="1"/>
    <col min="3" max="5" width="15.7109375" customWidth="1"/>
    <col min="30" max="32" width="0" hidden="1" customWidth="1"/>
  </cols>
  <sheetData>
    <row r="1" spans="1:5" x14ac:dyDescent="0.2">
      <c r="A1" s="11" t="str">
        <f>Source!B1</f>
        <v>Smeta.RU  (495) 974-1589</v>
      </c>
    </row>
    <row r="2" spans="1:5" ht="14.25" x14ac:dyDescent="0.2">
      <c r="C2" s="13"/>
      <c r="D2" s="13"/>
    </row>
    <row r="3" spans="1:5" ht="15" x14ac:dyDescent="0.25">
      <c r="C3" s="13"/>
      <c r="D3" s="37" t="s">
        <v>1571</v>
      </c>
    </row>
    <row r="4" spans="1:5" ht="15" x14ac:dyDescent="0.25">
      <c r="C4" s="37"/>
      <c r="D4" s="37"/>
    </row>
    <row r="5" spans="1:5" ht="15" x14ac:dyDescent="0.25">
      <c r="C5" s="119" t="s">
        <v>1717</v>
      </c>
      <c r="D5" s="119"/>
    </row>
    <row r="6" spans="1:5" ht="15" x14ac:dyDescent="0.25">
      <c r="C6" s="50"/>
      <c r="D6" s="50"/>
    </row>
    <row r="7" spans="1:5" ht="15" x14ac:dyDescent="0.25">
      <c r="C7" s="119" t="s">
        <v>1717</v>
      </c>
      <c r="D7" s="119"/>
    </row>
    <row r="8" spans="1:5" ht="15" x14ac:dyDescent="0.25">
      <c r="C8" s="50"/>
      <c r="D8" s="50"/>
    </row>
    <row r="9" spans="1:5" ht="15" x14ac:dyDescent="0.25">
      <c r="C9" s="37" t="s">
        <v>1718</v>
      </c>
      <c r="D9" s="13"/>
    </row>
    <row r="10" spans="1:5" ht="14.25" x14ac:dyDescent="0.2">
      <c r="A10" s="13"/>
      <c r="B10" s="13"/>
      <c r="C10" s="13"/>
      <c r="D10" s="13"/>
      <c r="E10" s="13"/>
    </row>
    <row r="11" spans="1:5" ht="15.75" x14ac:dyDescent="0.25">
      <c r="A11" s="120" t="str">
        <f>CONCATENATE("Дефектный акт ", IF(Source!AN15&lt;&gt;"", Source!AN15," "))</f>
        <v xml:space="preserve">Дефектный акт  </v>
      </c>
      <c r="B11" s="120"/>
      <c r="C11" s="120"/>
      <c r="D11" s="120"/>
      <c r="E11" s="13"/>
    </row>
    <row r="12" spans="1:5" ht="15" x14ac:dyDescent="0.25">
      <c r="A12" s="121" t="str">
        <f>CONCATENATE("На капитальный ремонт ", Source!F12, " ", Source!G12)</f>
        <v>На капитальный ремонт Новый объект_(Копия) Ерамешанцева_(Копия)</v>
      </c>
      <c r="B12" s="121"/>
      <c r="C12" s="121"/>
      <c r="D12" s="121"/>
      <c r="E12" s="13"/>
    </row>
    <row r="13" spans="1:5" ht="14.25" x14ac:dyDescent="0.2">
      <c r="A13" s="13"/>
      <c r="B13" s="13"/>
      <c r="C13" s="13"/>
      <c r="D13" s="13"/>
      <c r="E13" s="13"/>
    </row>
    <row r="14" spans="1:5" ht="15" x14ac:dyDescent="0.2">
      <c r="A14" s="13"/>
      <c r="B14" s="51" t="s">
        <v>1719</v>
      </c>
      <c r="C14" s="13"/>
      <c r="D14" s="13"/>
      <c r="E14" s="13"/>
    </row>
    <row r="15" spans="1:5" ht="15" x14ac:dyDescent="0.2">
      <c r="A15" s="13"/>
      <c r="B15" s="51" t="s">
        <v>1720</v>
      </c>
      <c r="C15" s="13"/>
      <c r="D15" s="13"/>
      <c r="E15" s="13"/>
    </row>
    <row r="16" spans="1:5" ht="15" x14ac:dyDescent="0.2">
      <c r="A16" s="13"/>
      <c r="B16" s="51" t="s">
        <v>1721</v>
      </c>
      <c r="C16" s="13"/>
      <c r="D16" s="13"/>
      <c r="E16" s="13"/>
    </row>
    <row r="17" spans="1:5" ht="28.5" x14ac:dyDescent="0.2">
      <c r="A17" s="24" t="s">
        <v>1584</v>
      </c>
      <c r="B17" s="24" t="s">
        <v>1586</v>
      </c>
      <c r="C17" s="24" t="s">
        <v>1722</v>
      </c>
      <c r="D17" s="24" t="s">
        <v>1723</v>
      </c>
      <c r="E17" s="25" t="s">
        <v>1724</v>
      </c>
    </row>
    <row r="18" spans="1:5" ht="14.25" x14ac:dyDescent="0.2">
      <c r="A18" s="52">
        <v>1</v>
      </c>
      <c r="B18" s="52">
        <v>2</v>
      </c>
      <c r="C18" s="52">
        <v>3</v>
      </c>
      <c r="D18" s="52">
        <v>4</v>
      </c>
      <c r="E18" s="53">
        <v>5</v>
      </c>
    </row>
    <row r="19" spans="1:5" ht="16.5" x14ac:dyDescent="0.25">
      <c r="A19" s="118" t="str">
        <f>CONCATENATE("Локальная смета: ", Source!G20)</f>
        <v>Локальная смета: ПЗУ</v>
      </c>
      <c r="B19" s="118"/>
      <c r="C19" s="118"/>
      <c r="D19" s="118"/>
      <c r="E19" s="118"/>
    </row>
    <row r="20" spans="1:5" ht="16.5" x14ac:dyDescent="0.25">
      <c r="A20" s="118" t="str">
        <f>CONCATENATE("Раздел: ", Source!G24)</f>
        <v>Раздел: Демонтажные работы</v>
      </c>
      <c r="B20" s="118"/>
      <c r="C20" s="118"/>
      <c r="D20" s="118"/>
      <c r="E20" s="118"/>
    </row>
    <row r="21" spans="1:5" ht="28.5" x14ac:dyDescent="0.2">
      <c r="A21" s="58">
        <v>1</v>
      </c>
      <c r="B21" s="59" t="str">
        <f>Source!G28</f>
        <v>Разработка грунта вручную в траншеях глубиной до 2 м без креплений с откосами группа грунтов 1-3</v>
      </c>
      <c r="C21" s="60" t="str">
        <f>Source!H28</f>
        <v>100 м3 грунта</v>
      </c>
      <c r="D21" s="61">
        <f>Source!I28</f>
        <v>2.5999999999999999E-2</v>
      </c>
      <c r="E21" s="59"/>
    </row>
    <row r="22" spans="1:5" ht="16.5" x14ac:dyDescent="0.25">
      <c r="A22" s="118" t="str">
        <f>CONCATENATE("Раздел: ", Source!G61)</f>
        <v>Раздел: Монтажные работы</v>
      </c>
      <c r="B22" s="118"/>
      <c r="C22" s="118"/>
      <c r="D22" s="118"/>
      <c r="E22" s="118"/>
    </row>
    <row r="23" spans="1:5" ht="57" x14ac:dyDescent="0.2">
      <c r="A23" s="58">
        <v>2</v>
      </c>
      <c r="B23" s="59" t="str">
        <f>Source!G65</f>
        <v>Устройство подстилающих и выравнивающих слоев оснований из песка</v>
      </c>
      <c r="C23" s="60" t="str">
        <f>Source!H65</f>
        <v>100 м3 материала основания (в плотном теле)</v>
      </c>
      <c r="D23" s="61">
        <f>Source!I65</f>
        <v>2.64E-2</v>
      </c>
      <c r="E23" s="59"/>
    </row>
    <row r="24" spans="1:5" ht="14.25" x14ac:dyDescent="0.2">
      <c r="A24" s="58">
        <v>2.1</v>
      </c>
      <c r="B24" s="59" t="str">
        <f>Source!G67</f>
        <v>Песок для строительных работ, рядовой</v>
      </c>
      <c r="C24" s="60" t="str">
        <f>Source!H67</f>
        <v>м3</v>
      </c>
      <c r="D24" s="61">
        <f>Source!I67</f>
        <v>2.9039999999999999</v>
      </c>
      <c r="E24" s="59"/>
    </row>
    <row r="25" spans="1:5" ht="57" x14ac:dyDescent="0.2">
      <c r="A25" s="58">
        <v>3</v>
      </c>
      <c r="B25" s="59" t="str">
        <f>Source!G69</f>
        <v>Устройство подстилающих и выравнивающих слоев оснований из щебня</v>
      </c>
      <c r="C25" s="60" t="str">
        <f>Source!H69</f>
        <v>100 м3 материала основания (в плотном теле)</v>
      </c>
      <c r="D25" s="61">
        <f>Source!I69</f>
        <v>1.9800000000000002E-2</v>
      </c>
      <c r="E25" s="59"/>
    </row>
    <row r="26" spans="1:5" ht="28.5" x14ac:dyDescent="0.2">
      <c r="A26" s="58">
        <v>3.1</v>
      </c>
      <c r="B26" s="59" t="str">
        <f>Source!G71</f>
        <v>Щебень из естественного камня для дорожных работ, марка 1200 - 800, фракция 10 - 20 мм</v>
      </c>
      <c r="C26" s="60" t="str">
        <f>Source!H71</f>
        <v>м3</v>
      </c>
      <c r="D26" s="61">
        <f>Source!I71</f>
        <v>2.4948000000000001</v>
      </c>
      <c r="E26" s="59"/>
    </row>
    <row r="27" spans="1:5" ht="42.75" x14ac:dyDescent="0.2">
      <c r="A27" s="58">
        <v>4</v>
      </c>
      <c r="B27" s="59" t="str">
        <f>Source!G73</f>
        <v>Устройство асфальтобетонных покрытий дорожек и тротуаров однослойных из литой мелкозернистой асфальтобетонной смеси толщиной 3 см</v>
      </c>
      <c r="C27" s="60" t="str">
        <f>Source!H73</f>
        <v>100 м2 покрытия</v>
      </c>
      <c r="D27" s="61">
        <f>Source!I73</f>
        <v>0.13200000000000001</v>
      </c>
      <c r="E27" s="59"/>
    </row>
    <row r="28" spans="1:5" ht="28.5" x14ac:dyDescent="0.2">
      <c r="A28" s="58">
        <v>4.0999999999999996</v>
      </c>
      <c r="B28" s="59" t="str">
        <f>Source!G75</f>
        <v>Смеси асфальтобетонные дорожные горячие мелкозернистые, марка II, тип В</v>
      </c>
      <c r="C28" s="60" t="str">
        <f>Source!H75</f>
        <v>т</v>
      </c>
      <c r="D28" s="61">
        <f>Source!I75</f>
        <v>0.94247999999999998</v>
      </c>
      <c r="E28" s="59"/>
    </row>
    <row r="29" spans="1:5" ht="42.75" x14ac:dyDescent="0.2">
      <c r="A29" s="58">
        <v>5</v>
      </c>
      <c r="B29" s="59" t="str">
        <f>Source!G77</f>
        <v>Устройство асфальтобетонных покрытий дорожек и тротуаров однослойных из литой мелкозернистой асфальтобетонной смеси, добавлять или исключать на каждые 0,5 см изменения толщины слоя</v>
      </c>
      <c r="C29" s="60" t="str">
        <f>Source!H77</f>
        <v>100 м2 покрытия</v>
      </c>
      <c r="D29" s="61">
        <f>Source!I77</f>
        <v>0.13400000000000001</v>
      </c>
      <c r="E29" s="59"/>
    </row>
    <row r="30" spans="1:5" ht="28.5" x14ac:dyDescent="0.2">
      <c r="A30" s="58">
        <v>5.0999999999999996</v>
      </c>
      <c r="B30" s="59" t="str">
        <f>Source!G79</f>
        <v>Смеси асфальтобетонные дорожные горячие мелкозернистые, марка II, тип В</v>
      </c>
      <c r="C30" s="60" t="str">
        <f>Source!H79</f>
        <v>т</v>
      </c>
      <c r="D30" s="61">
        <f>Source!I79</f>
        <v>1.45926</v>
      </c>
      <c r="E30" s="59"/>
    </row>
    <row r="31" spans="1:5" ht="42.75" x14ac:dyDescent="0.2">
      <c r="A31" s="58">
        <v>6</v>
      </c>
      <c r="B31" s="59" t="str">
        <f>Source!G81</f>
        <v>Установка бортовых камней бетонных при других видах покрытий</v>
      </c>
      <c r="C31" s="60" t="str">
        <f>Source!H81</f>
        <v>100 м бортового камня</v>
      </c>
      <c r="D31" s="61">
        <f>Source!I81</f>
        <v>0.10299999999999999</v>
      </c>
      <c r="E31" s="59"/>
    </row>
    <row r="32" spans="1:5" ht="14.25" x14ac:dyDescent="0.2">
      <c r="A32" s="58">
        <v>6.1</v>
      </c>
      <c r="B32" s="59" t="str">
        <f>Source!G83</f>
        <v>Камни бетонные бортовые, марка БР 100.20.8</v>
      </c>
      <c r="C32" s="60" t="str">
        <f>Source!H83</f>
        <v>м3</v>
      </c>
      <c r="D32" s="61">
        <f>Source!I83</f>
        <v>0.44290000000000007</v>
      </c>
      <c r="E32" s="59"/>
    </row>
    <row r="33" spans="1:5" ht="16.5" x14ac:dyDescent="0.25">
      <c r="A33" s="118" t="str">
        <f>CONCATENATE("Локальная смета: ", Source!G146)</f>
        <v>Локальная смета: Архитектурные решения</v>
      </c>
      <c r="B33" s="118"/>
      <c r="C33" s="118"/>
      <c r="D33" s="118"/>
      <c r="E33" s="118"/>
    </row>
    <row r="34" spans="1:5" ht="16.5" x14ac:dyDescent="0.25">
      <c r="A34" s="118" t="str">
        <f>CONCATENATE("Раздел: ", Source!G150)</f>
        <v>Раздел: Демонтажные работы</v>
      </c>
      <c r="B34" s="118"/>
      <c r="C34" s="118"/>
      <c r="D34" s="118"/>
      <c r="E34" s="118"/>
    </row>
    <row r="35" spans="1:5" ht="28.5" x14ac:dyDescent="0.2">
      <c r="A35" s="58">
        <v>1</v>
      </c>
      <c r="B35" s="59" t="str">
        <f>Source!G154</f>
        <v>Монтаж конструкций дверей и люков</v>
      </c>
      <c r="C35" s="60" t="str">
        <f>Source!H154</f>
        <v>1 т конструкций</v>
      </c>
      <c r="D35" s="61">
        <f>Source!I154</f>
        <v>0.1736</v>
      </c>
      <c r="E35" s="59"/>
    </row>
    <row r="36" spans="1:5" ht="14.25" x14ac:dyDescent="0.2">
      <c r="A36" s="58">
        <v>2</v>
      </c>
      <c r="B36" s="59" t="str">
        <f>Source!G156</f>
        <v>Разборка деревянных заполнений проемов дверных, воротных</v>
      </c>
      <c r="C36" s="60" t="str">
        <f>Source!H156</f>
        <v>100 м2</v>
      </c>
      <c r="D36" s="61">
        <f>Source!I156</f>
        <v>8.09E-2</v>
      </c>
      <c r="E36" s="59"/>
    </row>
    <row r="37" spans="1:5" ht="28.5" x14ac:dyDescent="0.2">
      <c r="A37" s="58">
        <v>3</v>
      </c>
      <c r="B37" s="59" t="str">
        <f>Source!G158</f>
        <v>Разборка деревянных заполнений проемов оконных без подоконных досок</v>
      </c>
      <c r="C37" s="60" t="str">
        <f>Source!H158</f>
        <v>100 м2</v>
      </c>
      <c r="D37" s="61">
        <f>Source!I158</f>
        <v>2.18E-2</v>
      </c>
      <c r="E37" s="59"/>
    </row>
    <row r="38" spans="1:5" ht="14.25" x14ac:dyDescent="0.2">
      <c r="A38" s="58">
        <v>4</v>
      </c>
      <c r="B38" s="59" t="str">
        <f>Source!G160</f>
        <v>Разборка кирпичных перегородок</v>
      </c>
      <c r="C38" s="60" t="str">
        <f>Source!H160</f>
        <v>1 м3 кладки</v>
      </c>
      <c r="D38" s="61">
        <f>Source!I160</f>
        <v>6.2</v>
      </c>
      <c r="E38" s="59"/>
    </row>
    <row r="39" spans="1:5" ht="14.25" x14ac:dyDescent="0.2">
      <c r="A39" s="58">
        <v>4.0999999999999996</v>
      </c>
      <c r="B39" s="59" t="str">
        <f>Source!G162</f>
        <v>Масса мусора</v>
      </c>
      <c r="C39" s="60" t="str">
        <f>Source!H162</f>
        <v>т</v>
      </c>
      <c r="D39" s="61">
        <f>Source!I162</f>
        <v>-12.4</v>
      </c>
      <c r="E39" s="59"/>
    </row>
    <row r="40" spans="1:5" ht="14.25" x14ac:dyDescent="0.2">
      <c r="A40" s="58">
        <v>5</v>
      </c>
      <c r="B40" s="59" t="str">
        <f>Source!G164</f>
        <v>Разборка фундаментов железобетонных</v>
      </c>
      <c r="C40" s="60" t="str">
        <f>Source!H164</f>
        <v>1 м3</v>
      </c>
      <c r="D40" s="61">
        <f>Source!I164</f>
        <v>7.5</v>
      </c>
      <c r="E40" s="59"/>
    </row>
    <row r="41" spans="1:5" ht="14.25" x14ac:dyDescent="0.2">
      <c r="A41" s="58">
        <v>5.0999999999999996</v>
      </c>
      <c r="B41" s="59" t="str">
        <f>Source!G166</f>
        <v>Масса мусора</v>
      </c>
      <c r="C41" s="60" t="str">
        <f>Source!H166</f>
        <v>т</v>
      </c>
      <c r="D41" s="61">
        <f>Source!I166</f>
        <v>-18.75</v>
      </c>
      <c r="E41" s="59"/>
    </row>
    <row r="42" spans="1:5" ht="28.5" x14ac:dyDescent="0.2">
      <c r="A42" s="58">
        <v>6</v>
      </c>
      <c r="B42" s="59" t="str">
        <f>Source!G168</f>
        <v>Разборка металлических лестничных решеток, массой 1 м решетки до 60 кг</v>
      </c>
      <c r="C42" s="60" t="str">
        <f>Source!H168</f>
        <v>100 м решетки</v>
      </c>
      <c r="D42" s="61">
        <f>Source!I168</f>
        <v>0.01</v>
      </c>
      <c r="E42" s="59"/>
    </row>
    <row r="43" spans="1:5" ht="14.25" x14ac:dyDescent="0.2">
      <c r="A43" s="58">
        <v>6.1</v>
      </c>
      <c r="B43" s="59" t="str">
        <f>Source!G170</f>
        <v>Масса мусора</v>
      </c>
      <c r="C43" s="60" t="str">
        <f>Source!H170</f>
        <v>т</v>
      </c>
      <c r="D43" s="61">
        <f>Source!I170</f>
        <v>-2.5000000000000001E-2</v>
      </c>
      <c r="E43" s="59"/>
    </row>
    <row r="44" spans="1:5" ht="28.5" x14ac:dyDescent="0.2">
      <c r="A44" s="58">
        <v>7</v>
      </c>
      <c r="B44" s="59" t="str">
        <f>Source!G172</f>
        <v>Монтаж мелких конструкций из стали различного профиля массой до 20 кг</v>
      </c>
      <c r="C44" s="60" t="str">
        <f>Source!H172</f>
        <v>1 Т</v>
      </c>
      <c r="D44" s="61">
        <f>Source!I172</f>
        <v>0.05</v>
      </c>
      <c r="E44" s="59"/>
    </row>
    <row r="45" spans="1:5" ht="28.5" x14ac:dyDescent="0.2">
      <c r="A45" s="58">
        <v>8</v>
      </c>
      <c r="B45" s="59" t="str">
        <f>Source!G174</f>
        <v>Разборка покрытий из керамических плиток</v>
      </c>
      <c r="C45" s="60" t="str">
        <f>Source!H174</f>
        <v>100 м2 покрытия</v>
      </c>
      <c r="D45" s="61">
        <f>Source!I174</f>
        <v>6.0999999999999999E-2</v>
      </c>
      <c r="E45" s="59"/>
    </row>
    <row r="46" spans="1:5" ht="14.25" x14ac:dyDescent="0.2">
      <c r="A46" s="58">
        <v>8.1</v>
      </c>
      <c r="B46" s="59" t="str">
        <f>Source!G176</f>
        <v>Масса мусора</v>
      </c>
      <c r="C46" s="60" t="str">
        <f>Source!H176</f>
        <v>т</v>
      </c>
      <c r="D46" s="61">
        <f>Source!I176</f>
        <v>-0.31719999999999998</v>
      </c>
      <c r="E46" s="59"/>
    </row>
    <row r="47" spans="1:5" ht="28.5" x14ac:dyDescent="0.2">
      <c r="A47" s="58">
        <v>9</v>
      </c>
      <c r="B47" s="59" t="str">
        <f>Source!G178</f>
        <v>Разборка цементных покрытий, толщина 30 мм</v>
      </c>
      <c r="C47" s="60" t="str">
        <f>Source!H178</f>
        <v>100 м2 покрытия</v>
      </c>
      <c r="D47" s="61">
        <f>Source!I178</f>
        <v>6.5000000000000002E-2</v>
      </c>
      <c r="E47" s="59"/>
    </row>
    <row r="48" spans="1:5" ht="14.25" x14ac:dyDescent="0.2">
      <c r="A48" s="58">
        <v>9.1</v>
      </c>
      <c r="B48" s="59" t="str">
        <f>Source!G180</f>
        <v>Масса мусора</v>
      </c>
      <c r="C48" s="60" t="str">
        <f>Source!H180</f>
        <v>т</v>
      </c>
      <c r="D48" s="61">
        <f>Source!I180</f>
        <v>-0.42899999999999999</v>
      </c>
      <c r="E48" s="59"/>
    </row>
    <row r="49" spans="1:5" ht="28.5" x14ac:dyDescent="0.2">
      <c r="A49" s="58">
        <v>10</v>
      </c>
      <c r="B49" s="59" t="str">
        <f>Source!G182</f>
        <v>Добавляется или исключается на каждые 5 мм изменения толщины покрытия к позиции 6.57-2-8</v>
      </c>
      <c r="C49" s="60" t="str">
        <f>Source!H182</f>
        <v>100 м2 покрытия</v>
      </c>
      <c r="D49" s="61">
        <f>Source!I182</f>
        <v>5.7000000000000002E-2</v>
      </c>
      <c r="E49" s="59"/>
    </row>
    <row r="50" spans="1:5" ht="14.25" x14ac:dyDescent="0.2">
      <c r="A50" s="58">
        <v>10.1</v>
      </c>
      <c r="B50" s="59" t="str">
        <f>Source!G184</f>
        <v>Масса мусора</v>
      </c>
      <c r="C50" s="60" t="str">
        <f>Source!H184</f>
        <v>т</v>
      </c>
      <c r="D50" s="61">
        <f>Source!I184</f>
        <v>-0.25080000000000002</v>
      </c>
      <c r="E50" s="59"/>
    </row>
    <row r="51" spans="1:5" ht="28.5" x14ac:dyDescent="0.2">
      <c r="A51" s="58">
        <v>11</v>
      </c>
      <c r="B51" s="59" t="str">
        <f>Source!G186</f>
        <v>Разборка облицовки стен из керамических глазурованных плиток</v>
      </c>
      <c r="C51" s="60" t="str">
        <f>Source!H186</f>
        <v>100 м2 облицовки</v>
      </c>
      <c r="D51" s="61">
        <f>Source!I186</f>
        <v>0.21099999999999999</v>
      </c>
      <c r="E51" s="59"/>
    </row>
    <row r="52" spans="1:5" ht="14.25" x14ac:dyDescent="0.2">
      <c r="A52" s="58">
        <v>11.1</v>
      </c>
      <c r="B52" s="59" t="str">
        <f>Source!G188</f>
        <v>Масса мусора</v>
      </c>
      <c r="C52" s="60" t="str">
        <f>Source!H188</f>
        <v>т</v>
      </c>
      <c r="D52" s="61">
        <f>Source!I188</f>
        <v>-0.93050999999999995</v>
      </c>
      <c r="E52" s="59"/>
    </row>
    <row r="53" spans="1:5" ht="14.25" x14ac:dyDescent="0.2">
      <c r="A53" s="58">
        <v>12</v>
      </c>
      <c r="B53" s="59" t="str">
        <f>Source!G190</f>
        <v>Разборка подвесных потолков из плит акмигран</v>
      </c>
      <c r="C53" s="60" t="str">
        <f>Source!H190</f>
        <v>100 м2</v>
      </c>
      <c r="D53" s="61">
        <f>Source!I190</f>
        <v>0.8</v>
      </c>
      <c r="E53" s="59"/>
    </row>
    <row r="54" spans="1:5" ht="16.5" x14ac:dyDescent="0.25">
      <c r="A54" s="118" t="str">
        <f>CONCATENATE("Раздел: ", Source!G223)</f>
        <v>Раздел: Монтажные работы</v>
      </c>
      <c r="B54" s="118"/>
      <c r="C54" s="118"/>
      <c r="D54" s="118"/>
      <c r="E54" s="118"/>
    </row>
    <row r="55" spans="1:5" ht="14.25" x14ac:dyDescent="0.2">
      <c r="A55" s="58">
        <v>13</v>
      </c>
      <c r="B55" s="59" t="str">
        <f>Source!G227</f>
        <v>Установка металлических дверей для подвалов и подъездов</v>
      </c>
      <c r="C55" s="60" t="str">
        <f>Source!H227</f>
        <v>1 м2</v>
      </c>
      <c r="D55" s="61">
        <f>Source!I227</f>
        <v>3.6539999999999999</v>
      </c>
      <c r="E55" s="59"/>
    </row>
    <row r="56" spans="1:5" ht="71.25" x14ac:dyDescent="0.2">
      <c r="A56" s="58">
        <v>13.1</v>
      </c>
      <c r="B56" s="59" t="str">
        <f>Source!G229</f>
        <v>Блоки дверные металлические противопожарные, дымогазонепроницаемые, теплоизолированные плитами на основе базальтового волокна, остекленные стеклом толщиной 24 мм (0,24 м2), окрашенные порошковыми красками, марка ДПМДО-02/60, двупольные, 1700х2100 мм, масса 182 кг, с замком-защелкой, без доводчика</v>
      </c>
      <c r="C56" s="60" t="str">
        <f>Source!H229</f>
        <v>т</v>
      </c>
      <c r="D56" s="61">
        <f>Source!I229</f>
        <v>0.1353</v>
      </c>
      <c r="E56" s="59"/>
    </row>
    <row r="57" spans="1:5" ht="14.25" x14ac:dyDescent="0.2">
      <c r="A57" s="58">
        <v>14</v>
      </c>
      <c r="B57" s="59" t="str">
        <f>Source!G231</f>
        <v>Установка дверного доводчика к металлическим дверям</v>
      </c>
      <c r="C57" s="60" t="str">
        <f>Source!H231</f>
        <v>1  ШТ.</v>
      </c>
      <c r="D57" s="61">
        <f>Source!I231</f>
        <v>1</v>
      </c>
      <c r="E57" s="59"/>
    </row>
    <row r="58" spans="1:5" ht="28.5" x14ac:dyDescent="0.2">
      <c r="A58" s="58">
        <v>14.1</v>
      </c>
      <c r="B58" s="59" t="str">
        <f>Source!G233</f>
        <v>Доводчик дверной универсальный, с механизмом «шестерня-рейка», регулируемый, масса двери до 160 кг</v>
      </c>
      <c r="C58" s="60" t="str">
        <f>Source!H233</f>
        <v>КОМПЛЕКТ</v>
      </c>
      <c r="D58" s="61">
        <f>Source!I233</f>
        <v>1</v>
      </c>
      <c r="E58" s="59"/>
    </row>
    <row r="59" spans="1:5" ht="28.5" x14ac:dyDescent="0.2">
      <c r="A59" s="58">
        <v>15</v>
      </c>
      <c r="B59" s="59" t="str">
        <f>Source!G235</f>
        <v>Установка блоков в наружных и внутренних дверных проемах в каменных стенах площадь проема до 3 м2</v>
      </c>
      <c r="C59" s="60" t="str">
        <f>Source!H235</f>
        <v>100 м2 проемов</v>
      </c>
      <c r="D59" s="61">
        <f>Source!I235</f>
        <v>3.78E-2</v>
      </c>
      <c r="E59" s="59"/>
    </row>
    <row r="60" spans="1:5" ht="28.5" x14ac:dyDescent="0.2">
      <c r="A60" s="58">
        <v>15.1</v>
      </c>
      <c r="B60" s="59" t="str">
        <f>Source!G237</f>
        <v>Дверь композитная глухая полнозаполненная пенополистиролом из ПВХ 1,5 мм 2000*1000 Капель (ДГ10)</v>
      </c>
      <c r="C60" s="60" t="str">
        <f>Source!H237</f>
        <v>шт.</v>
      </c>
      <c r="D60" s="61">
        <f>Source!I237</f>
        <v>1</v>
      </c>
      <c r="E60" s="59"/>
    </row>
    <row r="61" spans="1:5" ht="28.5" x14ac:dyDescent="0.2">
      <c r="A61" s="58">
        <v>15.2</v>
      </c>
      <c r="B61" s="59" t="str">
        <f>Source!G239</f>
        <v>Дверь композитная глухая полнозаполненная пенополистиролом из ПВХ 1,5 мм 2000*900 Капель (ДГ9)</v>
      </c>
      <c r="C61" s="60" t="str">
        <f>Source!H239</f>
        <v>шт.</v>
      </c>
      <c r="D61" s="61">
        <f>Source!I239</f>
        <v>1</v>
      </c>
      <c r="E61" s="59"/>
    </row>
    <row r="62" spans="1:5" ht="28.5" x14ac:dyDescent="0.2">
      <c r="A62" s="58">
        <v>16</v>
      </c>
      <c r="B62" s="59" t="str">
        <f>Source!G245</f>
        <v>Установка блоков из ПВХ-профилей в наружных и внутренних дверных проемах в каменных стенах площадью проема более 3 м2</v>
      </c>
      <c r="C62" s="60" t="str">
        <f>Source!H245</f>
        <v>100 м2</v>
      </c>
      <c r="D62" s="61">
        <f>Source!I245</f>
        <v>3.9899999999999998E-2</v>
      </c>
      <c r="E62" s="59"/>
    </row>
    <row r="63" spans="1:5" ht="99.75" x14ac:dyDescent="0.2">
      <c r="A63" s="58">
        <v>16.100000000000001</v>
      </c>
      <c r="B63" s="59" t="str">
        <f>Source!G247</f>
        <v>Лента пароизоляционная, самоклеящаяся, уплотнительная, бутилкаучуковая, дублированная нетканым полотном с двух сторон, прочность сцепления не менее 0,03 МПа, диапазон температур эксплуатации от -60 до +90°, ширина 70 мм, для защиты монтажной пены от увлажнения внутри помещения, препятствует образованию конденсата на поверхности внутренних откосов при монтаже оконных и дверных блоков, светопрозрачных конструкций</v>
      </c>
      <c r="C63" s="60" t="str">
        <f>Source!H247</f>
        <v>м</v>
      </c>
      <c r="D63" s="61">
        <f>Source!I247</f>
        <v>8.6981999999999999</v>
      </c>
      <c r="E63" s="59"/>
    </row>
    <row r="64" spans="1:5" ht="99.75" x14ac:dyDescent="0.2">
      <c r="A64" s="58">
        <v>16.2</v>
      </c>
      <c r="B64" s="59" t="str">
        <f>Source!G249</f>
        <v>Лента гидроизоляционная, паропроницаемая, самоклеящаяся, мембранного типа, с бутилкаучуковыми клеящими неотверждаемыми слоями герметика с двух краев защищенных антиадгезионной бумагой, прочность сцепления не менее 0,03 МПа, диапазон температур эксплуатации от -60 до +90°С, ширина 70 мм, для изоляции наружных стыков, защиты от проникновения наружной влаги, выхода водяных паров из монтажного шва, защиты монтажной пены от переувлажнения</v>
      </c>
      <c r="C64" s="60" t="str">
        <f>Source!H249</f>
        <v>м</v>
      </c>
      <c r="D64" s="61">
        <f>Source!I249</f>
        <v>1.5960000000000003</v>
      </c>
      <c r="E64" s="59"/>
    </row>
    <row r="65" spans="1:5" ht="42.75" x14ac:dyDescent="0.2">
      <c r="A65" s="58">
        <v>16.3</v>
      </c>
      <c r="B65" s="59" t="str">
        <f>Source!G251</f>
        <v>Блоки дверные балконные из ПВХ профилей, с вентиляционным клапаном, одностворчатые, с двухкамерными стеклопакетами, с комплектом фурнитуры, площадь 1,6 м2, БП 22-7,5, для жилых домов</v>
      </c>
      <c r="C65" s="60" t="str">
        <f>Source!H251</f>
        <v>м2</v>
      </c>
      <c r="D65" s="61">
        <f>Source!I251</f>
        <v>3.99</v>
      </c>
      <c r="E65" s="59"/>
    </row>
    <row r="66" spans="1:5" ht="14.25" x14ac:dyDescent="0.2">
      <c r="A66" s="58">
        <v>17</v>
      </c>
      <c r="B66" s="59" t="str">
        <f>Source!G253</f>
        <v>Установка дверного доводчика к дверям из древесины</v>
      </c>
      <c r="C66" s="60" t="str">
        <f>Source!H253</f>
        <v>1 ПРИБОР</v>
      </c>
      <c r="D66" s="61">
        <f>Source!I253</f>
        <v>6</v>
      </c>
      <c r="E66" s="59"/>
    </row>
    <row r="67" spans="1:5" ht="14.25" x14ac:dyDescent="0.2">
      <c r="A67" s="58">
        <v>17.100000000000001</v>
      </c>
      <c r="B67" s="59" t="str">
        <f>Source!G255</f>
        <v>Доводчик дверной, гидравлический, масса двери до 80 кг</v>
      </c>
      <c r="C67" s="60" t="str">
        <f>Source!H255</f>
        <v>шт.</v>
      </c>
      <c r="D67" s="61">
        <f>Source!I255</f>
        <v>6</v>
      </c>
      <c r="E67" s="59"/>
    </row>
    <row r="68" spans="1:5" ht="14.25" x14ac:dyDescent="0.2">
      <c r="A68" s="58">
        <v>18</v>
      </c>
      <c r="B68" s="59" t="str">
        <f>Source!G257</f>
        <v>Установка алюминиевых оконных блоков</v>
      </c>
      <c r="C68" s="60" t="str">
        <f>Source!H257</f>
        <v>100 м2</v>
      </c>
      <c r="D68" s="61">
        <f>Source!I257</f>
        <v>0.01</v>
      </c>
      <c r="E68" s="59"/>
    </row>
    <row r="69" spans="1:5" ht="14.25" x14ac:dyDescent="0.2">
      <c r="A69" s="58">
        <v>18.100000000000001</v>
      </c>
      <c r="B69" s="59" t="str">
        <f>Source!G259</f>
        <v>Алюминиевое противопожарное окно ОП 1 (E 60)</v>
      </c>
      <c r="C69" s="60" t="str">
        <f>Source!H259</f>
        <v>м2</v>
      </c>
      <c r="D69" s="61">
        <f>Source!I259</f>
        <v>2.1842000000000001</v>
      </c>
      <c r="E69" s="59"/>
    </row>
    <row r="70" spans="1:5" ht="14.25" x14ac:dyDescent="0.2">
      <c r="A70" s="58">
        <v>19</v>
      </c>
      <c r="B70" s="59" t="str">
        <f>Source!G261</f>
        <v>Установка дверей герметических штампованных размером 900 х 400 мм</v>
      </c>
      <c r="C70" s="60" t="str">
        <f>Source!H261</f>
        <v>1  ШТ.</v>
      </c>
      <c r="D70" s="61">
        <f>Source!I261</f>
        <v>1</v>
      </c>
      <c r="E70" s="59"/>
    </row>
    <row r="71" spans="1:5" ht="14.25" x14ac:dyDescent="0.2">
      <c r="A71" s="58">
        <v>19.100000000000001</v>
      </c>
      <c r="B71" s="59" t="str">
        <f>Source!G263</f>
        <v>Дверь для пожарной ниши ДПН 600x700</v>
      </c>
      <c r="C71" s="60" t="str">
        <f>Source!H263</f>
        <v>шт.</v>
      </c>
      <c r="D71" s="61">
        <f>Source!I263</f>
        <v>1</v>
      </c>
      <c r="E71" s="59"/>
    </row>
    <row r="72" spans="1:5" ht="57" x14ac:dyDescent="0.2">
      <c r="A72" s="58">
        <v>20</v>
      </c>
      <c r="B72" s="59" t="str">
        <f>Source!G265</f>
        <v>Кладка перегородок неармированных толщиной в 1/2 кирпича при высоте этажа до 4 м</v>
      </c>
      <c r="C72" s="60" t="str">
        <f>Source!H265</f>
        <v>100 м2 перегородок (за вычетом проемов)</v>
      </c>
      <c r="D72" s="61">
        <f>Source!I265</f>
        <v>0.03</v>
      </c>
      <c r="E72" s="59"/>
    </row>
    <row r="73" spans="1:5" ht="14.25" x14ac:dyDescent="0.2">
      <c r="A73" s="58">
        <v>20.100000000000001</v>
      </c>
      <c r="B73" s="59" t="str">
        <f>Source!G267</f>
        <v>Кирпич керамический обыкновенный, размер 250х120х65 мм, марка 125</v>
      </c>
      <c r="C73" s="60" t="str">
        <f>Source!H267</f>
        <v>1000 шт.</v>
      </c>
      <c r="D73" s="61">
        <f>Source!I267</f>
        <v>0.15</v>
      </c>
      <c r="E73" s="59"/>
    </row>
    <row r="74" spans="1:5" ht="14.25" x14ac:dyDescent="0.2">
      <c r="A74" s="58">
        <v>20.2</v>
      </c>
      <c r="B74" s="59" t="str">
        <f>Source!G269</f>
        <v>Растворы цементно-известковые, марка 75</v>
      </c>
      <c r="C74" s="60" t="str">
        <f>Source!H269</f>
        <v>м3</v>
      </c>
      <c r="D74" s="61">
        <f>Source!I269</f>
        <v>6.9000000000000006E-2</v>
      </c>
      <c r="E74" s="59"/>
    </row>
    <row r="75" spans="1:5" ht="28.5" x14ac:dyDescent="0.2">
      <c r="A75" s="58">
        <v>21</v>
      </c>
      <c r="B75" s="59" t="str">
        <f>Source!G271</f>
        <v>Сплошное выравнивание штукатурки стен, внутри здания цементно-известковым раствором при толщине намета до 5 мм</v>
      </c>
      <c r="C75" s="60" t="str">
        <f>Source!H271</f>
        <v>100 м2</v>
      </c>
      <c r="D75" s="61">
        <f>Source!I271</f>
        <v>0.42199999999999999</v>
      </c>
      <c r="E75" s="59"/>
    </row>
    <row r="76" spans="1:5" ht="14.25" x14ac:dyDescent="0.2">
      <c r="A76" s="58">
        <v>21.1</v>
      </c>
      <c r="B76" s="59" t="str">
        <f>Source!G273</f>
        <v>Растворы цементно-известковые, марка 75</v>
      </c>
      <c r="C76" s="60" t="str">
        <f>Source!H273</f>
        <v>м3</v>
      </c>
      <c r="D76" s="61">
        <f>Source!I273</f>
        <v>0.22366</v>
      </c>
      <c r="E76" s="59"/>
    </row>
    <row r="77" spans="1:5" ht="42.75" x14ac:dyDescent="0.2">
      <c r="A77" s="58">
        <v>22</v>
      </c>
      <c r="B77" s="59" t="str">
        <f>Source!G275</f>
        <v>Гладкая облицовка стен, столбов, пилястр и откосов (без карнизных, плинтусных и угловых плиток) без установки плиток туалетного гарнитура по кирпичу и бетону</v>
      </c>
      <c r="C77" s="60" t="str">
        <f>Source!H275</f>
        <v>100 м2 поверхности облицовки</v>
      </c>
      <c r="D77" s="61">
        <f>Source!I275</f>
        <v>0.42199999999999999</v>
      </c>
      <c r="E77" s="59"/>
    </row>
    <row r="78" spans="1:5" ht="28.5" x14ac:dyDescent="0.2">
      <c r="A78" s="58">
        <v>22.1</v>
      </c>
      <c r="B78" s="59" t="str">
        <f>Source!G277</f>
        <v>Плитки керамические глазурованные гладкие одноцветные, универсальные</v>
      </c>
      <c r="C78" s="60" t="str">
        <f>Source!H277</f>
        <v>м2</v>
      </c>
      <c r="D78" s="61">
        <f>Source!I277</f>
        <v>42.2</v>
      </c>
      <c r="E78" s="59"/>
    </row>
    <row r="79" spans="1:5" ht="57" x14ac:dyDescent="0.2">
      <c r="A79" s="58">
        <v>23</v>
      </c>
      <c r="B79" s="59" t="str">
        <f>Source!G279</f>
        <v>Простое оштукатуривание стен цементно-известковым раствором по камню и бетону внутри зданий</v>
      </c>
      <c r="C79" s="60" t="str">
        <f>Source!H279</f>
        <v>100 м2 оштукатуриваемой поверхности</v>
      </c>
      <c r="D79" s="61">
        <f>Source!I279</f>
        <v>0.123</v>
      </c>
      <c r="E79" s="59"/>
    </row>
    <row r="80" spans="1:5" ht="14.25" x14ac:dyDescent="0.2">
      <c r="A80" s="58">
        <v>23.1</v>
      </c>
      <c r="B80" s="59" t="str">
        <f>Source!G281</f>
        <v>Вода</v>
      </c>
      <c r="C80" s="60" t="str">
        <f>Source!H281</f>
        <v>м3</v>
      </c>
      <c r="D80" s="61">
        <f>Source!I281</f>
        <v>1.0331999999999999E-2</v>
      </c>
      <c r="E80" s="59"/>
    </row>
    <row r="81" spans="1:5" ht="128.25" x14ac:dyDescent="0.2">
      <c r="A81" s="58">
        <v>23.2</v>
      </c>
      <c r="B81" s="59" t="str">
        <f>Source!G283</f>
        <v>Смесь сухая, мелкозернистая, цементная, с добавлением фракционированного песка, химических и минеральных добавок, штукатурная, для наружных и внутренних работ, ручного нанесения, плотность раствора 2000 кг/м3, прочность на сжатие не менее 15 МПа, прочность сцепления не менее 0,4 МПа, не менее F50, для оштукатуривания фасадов, цоколей, стен в помещениях с повышенной влажностью, выравнивания оснований под облицовку плиткой, природным камнем, шпаклевку, декоративную штукатурку, заполнения небольших раковин, каверн, трещин</v>
      </c>
      <c r="C81" s="60" t="str">
        <f>Source!H283</f>
        <v>т</v>
      </c>
      <c r="D81" s="61">
        <f>Source!I283</f>
        <v>5.9040000000000002E-2</v>
      </c>
      <c r="E81" s="59"/>
    </row>
    <row r="82" spans="1:5" ht="14.25" x14ac:dyDescent="0.2">
      <c r="A82" s="58">
        <v>23.3</v>
      </c>
      <c r="B82" s="59" t="str">
        <f>Source!G285</f>
        <v>Растворы цементно-известковые, марка 75</v>
      </c>
      <c r="C82" s="60" t="str">
        <f>Source!H285</f>
        <v>м3</v>
      </c>
      <c r="D82" s="61">
        <f>Source!I285</f>
        <v>0.14858399999999999</v>
      </c>
      <c r="E82" s="59"/>
    </row>
    <row r="83" spans="1:5" ht="42.75" x14ac:dyDescent="0.2">
      <c r="A83" s="58">
        <v>24</v>
      </c>
      <c r="B83" s="59" t="str">
        <f>Source!G287</f>
        <v>Улучшенная окраска поливинилацетатными водоэмульсионными составами по штукатурке стен</v>
      </c>
      <c r="C83" s="60" t="str">
        <f>Source!H287</f>
        <v>100 м2 окрашиваемой поверхности</v>
      </c>
      <c r="D83" s="61">
        <f>Source!I287</f>
        <v>0.161</v>
      </c>
      <c r="E83" s="59"/>
    </row>
    <row r="84" spans="1:5" ht="14.25" x14ac:dyDescent="0.2">
      <c r="A84" s="58">
        <v>24.1</v>
      </c>
      <c r="B84" s="59" t="str">
        <f>Source!G289</f>
        <v>Шпатлевка масляно-клеевая универсальная</v>
      </c>
      <c r="C84" s="60" t="str">
        <f>Source!H289</f>
        <v>т</v>
      </c>
      <c r="D84" s="61">
        <f>Source!I289</f>
        <v>8.2109999999999995E-3</v>
      </c>
      <c r="E84" s="59"/>
    </row>
    <row r="85" spans="1:5" ht="28.5" x14ac:dyDescent="0.2">
      <c r="A85" s="58">
        <v>24.2</v>
      </c>
      <c r="B85" s="59" t="str">
        <f>Source!G291</f>
        <v>Грунтовка акриловая типа «Бетоконтакт», адгезионная для обработки бетонных оснований перед оштукатуриванием</v>
      </c>
      <c r="C85" s="60" t="str">
        <f>Source!H291</f>
        <v>кг</v>
      </c>
      <c r="D85" s="61">
        <f>Source!I291</f>
        <v>8.2000519999999995</v>
      </c>
      <c r="E85" s="59"/>
    </row>
    <row r="86" spans="1:5" ht="85.5" x14ac:dyDescent="0.2">
      <c r="A86" s="58">
        <v>24.3</v>
      </c>
      <c r="B86" s="59" t="str">
        <f>Source!G293</f>
        <v>Краска водно-дисперсионная, акриловая, с коллоидным раствором серебра, биологически активная, для внутренних работ, ручного и механизированного нанесения, сухой остаток от 56 до 62%, водородный показатель не менее рН 8,5, для окраски помещений медицинских учреждений, детских садов, школ, предприятий общественного питания и прочих мест массового посещения людей</v>
      </c>
      <c r="C86" s="60" t="str">
        <f>Source!H293</f>
        <v>т</v>
      </c>
      <c r="D86" s="61">
        <f>Source!I293</f>
        <v>1.0143000000000001E-2</v>
      </c>
      <c r="E86" s="59"/>
    </row>
    <row r="87" spans="1:5" ht="42.75" x14ac:dyDescent="0.2">
      <c r="A87" s="58">
        <v>25</v>
      </c>
      <c r="B87" s="59" t="str">
        <f>Source!G295</f>
        <v>Окрашивание ранее окрашенных поверхностей потолков водоэмульсионными составами, ранее окрашенных водоэмульсионной краской с расчисткой старой краски до 35 %</v>
      </c>
      <c r="C87" s="60" t="str">
        <f>Source!H295</f>
        <v>100 м2 окрашиваемой поверхности</v>
      </c>
      <c r="D87" s="61">
        <f>Source!I295</f>
        <v>6.7000000000000004E-2</v>
      </c>
      <c r="E87" s="59"/>
    </row>
    <row r="88" spans="1:5" ht="14.25" x14ac:dyDescent="0.2">
      <c r="A88" s="58">
        <v>25.1</v>
      </c>
      <c r="B88" s="59" t="str">
        <f>Source!G297</f>
        <v>Шпатлевка масляно-клеевая универсальная</v>
      </c>
      <c r="C88" s="60" t="str">
        <f>Source!H297</f>
        <v>т</v>
      </c>
      <c r="D88" s="61">
        <f>Source!I297</f>
        <v>4.5600000000000003E-4</v>
      </c>
      <c r="E88" s="59"/>
    </row>
    <row r="89" spans="1:5" ht="28.5" x14ac:dyDescent="0.2">
      <c r="A89" s="58">
        <v>25.2</v>
      </c>
      <c r="B89" s="59" t="str">
        <f>Source!G299</f>
        <v>Краски водно-дисперсионные поливинилацетатные, белые, марка ВД-ВА-17</v>
      </c>
      <c r="C89" s="60" t="str">
        <f>Source!H299</f>
        <v>т</v>
      </c>
      <c r="D89" s="61">
        <f>Source!I299</f>
        <v>4.4889999999999999E-3</v>
      </c>
      <c r="E89" s="59"/>
    </row>
    <row r="90" spans="1:5" ht="42.75" x14ac:dyDescent="0.2">
      <c r="A90" s="58">
        <v>26</v>
      </c>
      <c r="B90" s="59" t="str">
        <f>Source!G301</f>
        <v>Устройство подвесных потолков из декоративно-акустических плит по готовому каркасу с установкой направляющих из алюминиевого профиля и деталей крепления</v>
      </c>
      <c r="C90" s="60" t="str">
        <f>Source!H301</f>
        <v>100 м2</v>
      </c>
      <c r="D90" s="61">
        <f>Source!I301</f>
        <v>0.8</v>
      </c>
      <c r="E90" s="59"/>
    </row>
    <row r="91" spans="1:5" ht="14.25" x14ac:dyDescent="0.2">
      <c r="A91" s="58">
        <v>26.1</v>
      </c>
      <c r="B91" s="59" t="str">
        <f>Source!G303</f>
        <v>Комплектующие к подвесных потолкам типа "армстронг"</v>
      </c>
      <c r="C91" s="60" t="str">
        <f>Source!H303</f>
        <v>КОМПЛЕКТ</v>
      </c>
      <c r="D91" s="61">
        <f>Source!I303</f>
        <v>80</v>
      </c>
      <c r="E91" s="59"/>
    </row>
    <row r="92" spans="1:5" ht="42.75" x14ac:dyDescent="0.2">
      <c r="A92" s="58">
        <v>27</v>
      </c>
      <c r="B92" s="59" t="str">
        <f>Source!G307</f>
        <v>Устройство полов из керамических крупноразмерных плиток типа керамогранит на клее из сухих смесей толщиной слоя 4 мм с затиркой швов</v>
      </c>
      <c r="C92" s="60" t="str">
        <f>Source!H307</f>
        <v>100 м2 пола</v>
      </c>
      <c r="D92" s="61">
        <f>Source!I307</f>
        <v>6.0999999999999999E-2</v>
      </c>
      <c r="E92" s="59"/>
    </row>
    <row r="93" spans="1:5" ht="14.25" x14ac:dyDescent="0.2">
      <c r="A93" s="58">
        <v>27.1</v>
      </c>
      <c r="B93" s="59" t="str">
        <f>Source!G309</f>
        <v>Смеси сухие для заполнения швов между плитками, цветные</v>
      </c>
      <c r="C93" s="60" t="str">
        <f>Source!H309</f>
        <v>т</v>
      </c>
      <c r="D93" s="61">
        <f>Source!I309</f>
        <v>6.1000000000000004E-3</v>
      </c>
      <c r="E93" s="59"/>
    </row>
    <row r="94" spans="1:5" ht="28.5" x14ac:dyDescent="0.2">
      <c r="A94" s="58">
        <v>27.2</v>
      </c>
      <c r="B94" s="59" t="str">
        <f>Source!G311</f>
        <v>Смеси сухие (клеи) для облицовки стен и полов керамическими плитками и плитками из природного камня</v>
      </c>
      <c r="C94" s="60" t="str">
        <f>Source!H311</f>
        <v>т</v>
      </c>
      <c r="D94" s="61">
        <f>Source!I311</f>
        <v>2.8670000000000001E-2</v>
      </c>
      <c r="E94" s="59"/>
    </row>
    <row r="95" spans="1:5" ht="14.25" x14ac:dyDescent="0.2">
      <c r="A95" s="58">
        <v>27.3</v>
      </c>
      <c r="B95" s="59" t="str">
        <f>Source!G313</f>
        <v>Плитки керамические, типа керамогранит, неполированные  300х300х8</v>
      </c>
      <c r="C95" s="60" t="str">
        <f>Source!H313</f>
        <v>м2</v>
      </c>
      <c r="D95" s="61">
        <f>Source!I313</f>
        <v>6.2220000000000004</v>
      </c>
      <c r="E95" s="59"/>
    </row>
    <row r="96" spans="1:5" ht="42.75" x14ac:dyDescent="0.2">
      <c r="A96" s="58">
        <v>28</v>
      </c>
      <c r="B96" s="59" t="str">
        <f>Source!G317</f>
        <v>Устройство первого слоя оклеечной гидроизоляции рулонными материалами на битумной мастике</v>
      </c>
      <c r="C96" s="60" t="str">
        <f>Source!H317</f>
        <v>100 м2 изолируемой поверхности</v>
      </c>
      <c r="D96" s="61">
        <f>Source!I317</f>
        <v>7.0000000000000007E-2</v>
      </c>
      <c r="E96" s="59"/>
    </row>
    <row r="97" spans="1:5" ht="28.5" x14ac:dyDescent="0.2">
      <c r="A97" s="58">
        <v>28.1</v>
      </c>
      <c r="B97" s="59" t="str">
        <f>Source!G319</f>
        <v>Материал рулонный кровельный, рубероид, марка РК-350, с крупнозернистой посыпкой</v>
      </c>
      <c r="C97" s="60" t="str">
        <f>Source!H319</f>
        <v>м2</v>
      </c>
      <c r="D97" s="61">
        <f>Source!I319</f>
        <v>7.84</v>
      </c>
      <c r="E97" s="59"/>
    </row>
    <row r="98" spans="1:5" ht="28.5" x14ac:dyDescent="0.2">
      <c r="A98" s="58">
        <v>29</v>
      </c>
      <c r="B98" s="59" t="str">
        <f>Source!G321</f>
        <v>Устройство самовыравнивающихся стяжек из специализированных сухих смесей толщиной 5 мм</v>
      </c>
      <c r="C98" s="60" t="str">
        <f>Source!H321</f>
        <v>100 м2 стяжки</v>
      </c>
      <c r="D98" s="61">
        <f>Source!I321</f>
        <v>7.0000000000000007E-2</v>
      </c>
      <c r="E98" s="59"/>
    </row>
    <row r="99" spans="1:5" ht="28.5" x14ac:dyDescent="0.2">
      <c r="A99" s="58">
        <v>29.1</v>
      </c>
      <c r="B99" s="59" t="str">
        <f>Source!G323</f>
        <v>Грунтовка водно-дисперсионная на акриловых сополимерах с токопроводящими добавками</v>
      </c>
      <c r="C99" s="60" t="str">
        <f>Source!H323</f>
        <v>кг</v>
      </c>
      <c r="D99" s="61">
        <f>Source!I323</f>
        <v>1.4</v>
      </c>
      <c r="E99" s="59"/>
    </row>
    <row r="100" spans="1:5" ht="28.5" x14ac:dyDescent="0.2">
      <c r="A100" s="58">
        <v>29.2</v>
      </c>
      <c r="B100" s="59" t="str">
        <f>Source!G325</f>
        <v>Смеси сухие цементно-песчаные для устройства стяжки, самовыравнивающиеся, В15 (М200), F50</v>
      </c>
      <c r="C100" s="60" t="str">
        <f>Source!H325</f>
        <v>т</v>
      </c>
      <c r="D100" s="61">
        <f>Source!I325</f>
        <v>5.8939999999999992E-2</v>
      </c>
      <c r="E100" s="59"/>
    </row>
    <row r="101" spans="1:5" ht="42.75" x14ac:dyDescent="0.2">
      <c r="A101" s="58">
        <v>30</v>
      </c>
      <c r="B101" s="59" t="str">
        <f>Source!G327</f>
        <v>Устройство полов из керамических крупноразмерных плиток типа керамогранит на клее из сухих смесей толщиной слоя 4 мм с затиркой швов</v>
      </c>
      <c r="C101" s="60" t="str">
        <f>Source!H327</f>
        <v>100 м2 пола</v>
      </c>
      <c r="D101" s="61">
        <f>Source!I327</f>
        <v>7.0000000000000007E-2</v>
      </c>
      <c r="E101" s="59"/>
    </row>
    <row r="102" spans="1:5" ht="14.25" x14ac:dyDescent="0.2">
      <c r="A102" s="58">
        <v>30.1</v>
      </c>
      <c r="B102" s="59" t="str">
        <f>Source!G329</f>
        <v>Смеси сухие для заполнения швов между плитками, цветные</v>
      </c>
      <c r="C102" s="60" t="str">
        <f>Source!H329</f>
        <v>т</v>
      </c>
      <c r="D102" s="61">
        <f>Source!I329</f>
        <v>7.0000000000000001E-3</v>
      </c>
      <c r="E102" s="59"/>
    </row>
    <row r="103" spans="1:5" ht="28.5" x14ac:dyDescent="0.2">
      <c r="A103" s="58">
        <v>30.2</v>
      </c>
      <c r="B103" s="59" t="str">
        <f>Source!G331</f>
        <v>Смеси сухие (клеи) для облицовки стен и полов керамическими плитками и плитками из природного камня</v>
      </c>
      <c r="C103" s="60" t="str">
        <f>Source!H331</f>
        <v>т</v>
      </c>
      <c r="D103" s="61">
        <f>Source!I331</f>
        <v>3.2899999999999999E-2</v>
      </c>
      <c r="E103" s="59"/>
    </row>
    <row r="104" spans="1:5" ht="14.25" x14ac:dyDescent="0.2">
      <c r="A104" s="58">
        <v>30.3</v>
      </c>
      <c r="B104" s="59" t="str">
        <f>Source!G333</f>
        <v>Плитки керамические, типа керамогранит, неполированные  300х300х8</v>
      </c>
      <c r="C104" s="60" t="str">
        <f>Source!H333</f>
        <v>м2</v>
      </c>
      <c r="D104" s="61">
        <f>Source!I333</f>
        <v>7.14</v>
      </c>
      <c r="E104" s="59"/>
    </row>
    <row r="105" spans="1:5" ht="14.25" x14ac:dyDescent="0.2">
      <c r="A105" s="58">
        <v>31</v>
      </c>
      <c r="B105" s="59" t="str">
        <f>Source!G337</f>
        <v>Устройство настенных желобов из листовой стали</v>
      </c>
      <c r="C105" s="60" t="str">
        <f>Source!H337</f>
        <v>100 м</v>
      </c>
      <c r="D105" s="61">
        <f>Source!I337</f>
        <v>5.2999999999999999E-2</v>
      </c>
      <c r="E105" s="59"/>
    </row>
    <row r="106" spans="1:5" ht="28.5" x14ac:dyDescent="0.2">
      <c r="A106" s="58">
        <v>31.1</v>
      </c>
      <c r="B106" s="59" t="str">
        <f>Source!G339</f>
        <v>Поковки строительные (скобы, закрепы, хомуты) простые, масса от 2,5 до 4 кг</v>
      </c>
      <c r="C106" s="60" t="str">
        <f>Source!H339</f>
        <v>т</v>
      </c>
      <c r="D106" s="61">
        <f>Source!I339</f>
        <v>3.4980000000000002E-3</v>
      </c>
      <c r="E106" s="59"/>
    </row>
    <row r="107" spans="1:5" ht="14.25" x14ac:dyDescent="0.2">
      <c r="A107" s="58">
        <v>31.2</v>
      </c>
      <c r="B107" s="59" t="str">
        <f>Source!G341</f>
        <v>Сталь листовая, оцинкованная, толщина 0,5 мм</v>
      </c>
      <c r="C107" s="60" t="str">
        <f>Source!H341</f>
        <v>т</v>
      </c>
      <c r="D107" s="61">
        <f>Source!I341</f>
        <v>1.6218E-2</v>
      </c>
      <c r="E107" s="59"/>
    </row>
    <row r="108" spans="1:5" ht="14.25" x14ac:dyDescent="0.2">
      <c r="A108" s="58">
        <v>32</v>
      </c>
      <c r="B108" s="59" t="str">
        <f>Source!G343</f>
        <v>Навеска водосточных труб с подмостей</v>
      </c>
      <c r="C108" s="60" t="str">
        <f>Source!H343</f>
        <v>100 м труб</v>
      </c>
      <c r="D108" s="61">
        <f>Source!I343</f>
        <v>6.2E-2</v>
      </c>
      <c r="E108" s="59"/>
    </row>
    <row r="109" spans="1:5" ht="28.5" x14ac:dyDescent="0.2">
      <c r="A109" s="58">
        <v>32.1</v>
      </c>
      <c r="B109" s="59" t="str">
        <f>Source!G345</f>
        <v>Трубы водосточные из оцинкованной стали с полимерно-порошковым покрытием, С=0,5 мм, Р=220 мм</v>
      </c>
      <c r="C109" s="60" t="str">
        <f>Source!H345</f>
        <v>м</v>
      </c>
      <c r="D109" s="61">
        <f>Source!I345</f>
        <v>6.2</v>
      </c>
      <c r="E109" s="59"/>
    </row>
    <row r="110" spans="1:5" ht="16.5" x14ac:dyDescent="0.25">
      <c r="A110" s="118" t="str">
        <f>CONCATENATE("Раздел: ", Source!G378)</f>
        <v>Раздел: Прочие работы</v>
      </c>
      <c r="B110" s="118"/>
      <c r="C110" s="118"/>
      <c r="D110" s="118"/>
      <c r="E110" s="118"/>
    </row>
    <row r="111" spans="1:5" ht="28.5" x14ac:dyDescent="0.2">
      <c r="A111" s="58">
        <v>33</v>
      </c>
      <c r="B111" s="59" t="str">
        <f>Source!G382</f>
        <v>Механизированная погрузка строительного мусора в автомобили-самосвалы</v>
      </c>
      <c r="C111" s="60" t="str">
        <f>Source!H382</f>
        <v>1 Т</v>
      </c>
      <c r="D111" s="61">
        <f>Source!I382</f>
        <v>39.771500000000003</v>
      </c>
      <c r="E111" s="59"/>
    </row>
    <row r="112" spans="1:5" ht="28.5" x14ac:dyDescent="0.2">
      <c r="A112" s="58">
        <v>34</v>
      </c>
      <c r="B112" s="59" t="str">
        <f>Source!G384</f>
        <v>Перевозка строительного мусора на расстояние до 42 км автосамосвалами грузоподъемностью до 10 т</v>
      </c>
      <c r="C112" s="60" t="str">
        <f>Source!H384</f>
        <v>т</v>
      </c>
      <c r="D112" s="61">
        <f>Source!I384</f>
        <v>39.771500000000003</v>
      </c>
      <c r="E112" s="59"/>
    </row>
    <row r="113" spans="1:5" ht="14.25" x14ac:dyDescent="0.2">
      <c r="A113" s="58">
        <v>35</v>
      </c>
      <c r="B113" s="59" t="str">
        <f>Source!G386</f>
        <v>Отходы (мусор) от строительных и ремонтных работ малоопасные</v>
      </c>
      <c r="C113" s="60" t="str">
        <f>Source!H386</f>
        <v>1 Т</v>
      </c>
      <c r="D113" s="61">
        <f>Source!I386</f>
        <v>1.1813</v>
      </c>
      <c r="E113" s="59"/>
    </row>
    <row r="114" spans="1:5" ht="28.5" x14ac:dyDescent="0.2">
      <c r="A114" s="58">
        <v>36</v>
      </c>
      <c r="B114" s="59" t="str">
        <f>Source!G388</f>
        <v>Лом бетонных изделий, отходы бетона в кусковой форме, практически неопасные</v>
      </c>
      <c r="C114" s="60" t="str">
        <f>Source!H388</f>
        <v>1 Т</v>
      </c>
      <c r="D114" s="61">
        <f>Source!I388</f>
        <v>38.590200000000003</v>
      </c>
      <c r="E114" s="59"/>
    </row>
    <row r="115" spans="1:5" ht="16.5" x14ac:dyDescent="0.25">
      <c r="A115" s="118" t="str">
        <f>CONCATENATE("Локальная смета: ", Source!G451)</f>
        <v>Локальная смета: Конструктивные решения</v>
      </c>
      <c r="B115" s="118"/>
      <c r="C115" s="118"/>
      <c r="D115" s="118"/>
      <c r="E115" s="118"/>
    </row>
    <row r="116" spans="1:5" ht="16.5" x14ac:dyDescent="0.25">
      <c r="A116" s="118" t="str">
        <f>CONCATENATE("Раздел: ", Source!G455)</f>
        <v>Раздел: Демонтажные работы</v>
      </c>
      <c r="B116" s="118"/>
      <c r="C116" s="118"/>
      <c r="D116" s="118"/>
      <c r="E116" s="118"/>
    </row>
    <row r="117" spans="1:5" ht="14.25" x14ac:dyDescent="0.2">
      <c r="A117" s="58">
        <v>1</v>
      </c>
      <c r="B117" s="59" t="str">
        <f>Source!G459</f>
        <v>Разборка кладки стен из кирпича простых</v>
      </c>
      <c r="C117" s="60" t="str">
        <f>Source!H459</f>
        <v>10 м3 кладки</v>
      </c>
      <c r="D117" s="61">
        <f>Source!I459</f>
        <v>0.35099999999999998</v>
      </c>
      <c r="E117" s="59"/>
    </row>
    <row r="118" spans="1:5" ht="14.25" x14ac:dyDescent="0.2">
      <c r="A118" s="58">
        <v>1.1000000000000001</v>
      </c>
      <c r="B118" s="59" t="str">
        <f>Source!G461</f>
        <v>Масса мусора</v>
      </c>
      <c r="C118" s="60" t="str">
        <f>Source!H461</f>
        <v>т</v>
      </c>
      <c r="D118" s="61">
        <f>Source!I461</f>
        <v>-7.2341100000000003</v>
      </c>
      <c r="E118" s="59"/>
    </row>
    <row r="119" spans="1:5" ht="28.5" x14ac:dyDescent="0.2">
      <c r="A119" s="58">
        <v>2</v>
      </c>
      <c r="B119" s="59" t="str">
        <f>Source!G463</f>
        <v>Изготовление решетчатых конструкций (стойки, опоры, фермы и прочие)</v>
      </c>
      <c r="C119" s="60" t="str">
        <f>Source!H463</f>
        <v>1 т конструкций</v>
      </c>
      <c r="D119" s="61">
        <f>Source!I463</f>
        <v>0.8</v>
      </c>
      <c r="E119" s="59"/>
    </row>
    <row r="120" spans="1:5" ht="14.25" x14ac:dyDescent="0.2">
      <c r="A120" s="58">
        <v>2.1</v>
      </c>
      <c r="B120" s="59" t="str">
        <f>Source!G465</f>
        <v>Масса мусора</v>
      </c>
      <c r="C120" s="60" t="str">
        <f>Source!H465</f>
        <v>т</v>
      </c>
      <c r="D120" s="61">
        <f>Source!I465</f>
        <v>-0.48</v>
      </c>
      <c r="E120" s="59"/>
    </row>
    <row r="121" spans="1:5" ht="16.5" x14ac:dyDescent="0.25">
      <c r="A121" s="118" t="str">
        <f>CONCATENATE("Раздел: ", Source!G498)</f>
        <v>Раздел: Монтажные работы</v>
      </c>
      <c r="B121" s="118"/>
      <c r="C121" s="118"/>
      <c r="D121" s="118"/>
      <c r="E121" s="118"/>
    </row>
    <row r="122" spans="1:5" ht="28.5" x14ac:dyDescent="0.2">
      <c r="A122" s="58">
        <v>3</v>
      </c>
      <c r="B122" s="59" t="str">
        <f>Source!G502</f>
        <v>Устройство песчаного основания под фундаменты</v>
      </c>
      <c r="C122" s="60" t="str">
        <f>Source!H502</f>
        <v>1 м3 основания</v>
      </c>
      <c r="D122" s="61">
        <f>Source!I502</f>
        <v>2.11</v>
      </c>
      <c r="E122" s="59"/>
    </row>
    <row r="123" spans="1:5" ht="14.25" x14ac:dyDescent="0.2">
      <c r="A123" s="58">
        <v>3.1</v>
      </c>
      <c r="B123" s="59" t="str">
        <f>Source!G504</f>
        <v>Песок для строительных работ, рядовой</v>
      </c>
      <c r="C123" s="60" t="str">
        <f>Source!H504</f>
        <v>м3</v>
      </c>
      <c r="D123" s="61">
        <f>Source!I504</f>
        <v>2.3210000000000002</v>
      </c>
      <c r="E123" s="59"/>
    </row>
    <row r="124" spans="1:5" ht="28.5" x14ac:dyDescent="0.2">
      <c r="A124" s="58">
        <v>4</v>
      </c>
      <c r="B124" s="59" t="str">
        <f>Source!G506</f>
        <v>Устройство щебеночного основания под фундаменты</v>
      </c>
      <c r="C124" s="60" t="str">
        <f>Source!H506</f>
        <v>1 м3 основания</v>
      </c>
      <c r="D124" s="61">
        <f>Source!I506</f>
        <v>2.11</v>
      </c>
      <c r="E124" s="59"/>
    </row>
    <row r="125" spans="1:5" ht="28.5" x14ac:dyDescent="0.2">
      <c r="A125" s="58">
        <v>4.0999999999999996</v>
      </c>
      <c r="B125" s="59" t="str">
        <f>Source!G508</f>
        <v>Щебень из естественного камня для строительных работ, марка 300-200, фракция 5-10 мм</v>
      </c>
      <c r="C125" s="60" t="str">
        <f>Source!H508</f>
        <v>м3</v>
      </c>
      <c r="D125" s="61">
        <f>Source!I508</f>
        <v>2.4264999999999999</v>
      </c>
      <c r="E125" s="59"/>
    </row>
    <row r="126" spans="1:5" ht="14.25" x14ac:dyDescent="0.2">
      <c r="A126" s="58">
        <v>5</v>
      </c>
      <c r="B126" s="59" t="str">
        <f>Source!G510</f>
        <v>Устройство фундаментных плит железобетонных плоских</v>
      </c>
      <c r="C126" s="60" t="str">
        <f>Source!H510</f>
        <v>100 м3 в деле</v>
      </c>
      <c r="D126" s="61">
        <f>Source!I510</f>
        <v>4.6399999999999997E-2</v>
      </c>
      <c r="E126" s="59"/>
    </row>
    <row r="127" spans="1:5" ht="42.75" x14ac:dyDescent="0.2">
      <c r="A127" s="58">
        <v>5.0999999999999996</v>
      </c>
      <c r="B127" s="59" t="str">
        <f>Source!G512</f>
        <v>Арматурные заготовки (стержни, хомуты и т.п.), не собранные в каркасы или сетки, арматурная сталь периодического профиля, класс А-III, диаметр 8 мм</v>
      </c>
      <c r="C127" s="60" t="str">
        <f>Source!H512</f>
        <v>т</v>
      </c>
      <c r="D127" s="61">
        <f>Source!I512</f>
        <v>1.4489999999999999E-2</v>
      </c>
      <c r="E127" s="59"/>
    </row>
    <row r="128" spans="1:5" ht="42.75" x14ac:dyDescent="0.2">
      <c r="A128" s="58">
        <v>5.2</v>
      </c>
      <c r="B128" s="59" t="str">
        <f>Source!G514</f>
        <v>Арматурные заготовки (стержни, хомуты и т.п.), не собранные в каркасы или сетки, арматурная сталь периодического профиля, класс А-III, диаметр 12-14 мм</v>
      </c>
      <c r="C128" s="60" t="str">
        <f>Source!H514</f>
        <v>т</v>
      </c>
      <c r="D128" s="61">
        <f>Source!I514</f>
        <v>0.52371000000000001</v>
      </c>
      <c r="E128" s="59"/>
    </row>
    <row r="129" spans="1:5" ht="28.5" x14ac:dyDescent="0.2">
      <c r="A129" s="58">
        <v>5.3</v>
      </c>
      <c r="B129" s="59" t="str">
        <f>Source!G516</f>
        <v>Смеси бетонные, БСГ, тяжелого бетона на гранитном щебне, фракция 5-20, класс прочности В20 (М250); П4, F75, W4</v>
      </c>
      <c r="C129" s="60" t="str">
        <f>Source!H516</f>
        <v>м3</v>
      </c>
      <c r="D129" s="61">
        <f>Source!I516</f>
        <v>4.7096</v>
      </c>
      <c r="E129" s="59"/>
    </row>
    <row r="130" spans="1:5" ht="28.5" x14ac:dyDescent="0.2">
      <c r="A130" s="58">
        <v>6</v>
      </c>
      <c r="B130" s="59" t="str">
        <f>Source!G518</f>
        <v>Монтаж мелких конструкций из стали различного профиля массой до 100 кг</v>
      </c>
      <c r="C130" s="60" t="str">
        <f>Source!H518</f>
        <v>1 Т</v>
      </c>
      <c r="D130" s="61">
        <f>Source!I518</f>
        <v>5.3900000000000003E-2</v>
      </c>
      <c r="E130" s="59"/>
    </row>
    <row r="131" spans="1:5" ht="28.5" x14ac:dyDescent="0.2">
      <c r="A131" s="58">
        <v>6.1</v>
      </c>
      <c r="B131" s="59" t="str">
        <f>Source!G520</f>
        <v>Швеллер для строительных стальных конструкций, №№ 12-40, сталь С235, С245</v>
      </c>
      <c r="C131" s="60" t="str">
        <f>Source!H520</f>
        <v>т</v>
      </c>
      <c r="D131" s="61">
        <f>Source!I520</f>
        <v>5.3900000000000003E-2</v>
      </c>
      <c r="E131" s="59"/>
    </row>
    <row r="132" spans="1:5" ht="28.5" x14ac:dyDescent="0.2">
      <c r="A132" s="58">
        <v>7</v>
      </c>
      <c r="B132" s="59" t="str">
        <f>Source!G522</f>
        <v>Монтаж площадок с настилом и ограждением из листовой, рифленой, просечной и круглой стали</v>
      </c>
      <c r="C132" s="60" t="str">
        <f>Source!H522</f>
        <v>1 т конструкций</v>
      </c>
      <c r="D132" s="61">
        <f>Source!I522</f>
        <v>0.15029999999999999</v>
      </c>
      <c r="E132" s="59"/>
    </row>
    <row r="133" spans="1:5" ht="28.5" x14ac:dyDescent="0.2">
      <c r="A133" s="58">
        <v>7.1</v>
      </c>
      <c r="B133" s="59" t="str">
        <f>Source!G524</f>
        <v>Анкер забивной, стальной, оцинкованный, для установки в сжатой зоне бетона, внутренняя резьба М10, диаметр 12 мм, длина 40 мм</v>
      </c>
      <c r="C133" s="60" t="str">
        <f>Source!H524</f>
        <v>100 шт.</v>
      </c>
      <c r="D133" s="61">
        <f>Source!I524</f>
        <v>0.16</v>
      </c>
      <c r="E133" s="59"/>
    </row>
    <row r="134" spans="1:5" ht="28.5" x14ac:dyDescent="0.2">
      <c r="A134" s="58">
        <v>7.2</v>
      </c>
      <c r="B134" s="59" t="str">
        <f>Source!G526</f>
        <v>Профили стальные электросварные квадратного сечения трубчатые, размер стороны 60 мм, толщина стенки 3 мм</v>
      </c>
      <c r="C134" s="60" t="str">
        <f>Source!H526</f>
        <v>т</v>
      </c>
      <c r="D134" s="61">
        <f>Source!I526</f>
        <v>1.7919999999999998E-2</v>
      </c>
      <c r="E134" s="59"/>
    </row>
    <row r="135" spans="1:5" ht="28.5" x14ac:dyDescent="0.2">
      <c r="A135" s="58">
        <v>7.3</v>
      </c>
      <c r="B135" s="59" t="str">
        <f>Source!G528</f>
        <v>Швеллер для строительных стальных конструкций, №№ 5-10, сталь С235, С245</v>
      </c>
      <c r="C135" s="60" t="str">
        <f>Source!H528</f>
        <v>т</v>
      </c>
      <c r="D135" s="61">
        <f>Source!I528</f>
        <v>2.4060000000000002E-2</v>
      </c>
      <c r="E135" s="59"/>
    </row>
    <row r="136" spans="1:5" ht="28.5" x14ac:dyDescent="0.2">
      <c r="A136" s="58">
        <v>7.4</v>
      </c>
      <c r="B136" s="59" t="str">
        <f>Source!G530</f>
        <v>Уголок равнополочный, для строительных стальных конструкций, ширина полки 35-70 мм, сталь С235, С245</v>
      </c>
      <c r="C136" s="60" t="str">
        <f>Source!H530</f>
        <v>т</v>
      </c>
      <c r="D136" s="61">
        <f>Source!I530</f>
        <v>3.0509999999999999E-2</v>
      </c>
      <c r="E136" s="59"/>
    </row>
    <row r="137" spans="1:5" ht="28.5" x14ac:dyDescent="0.2">
      <c r="A137" s="58">
        <v>7.5</v>
      </c>
      <c r="B137" s="59" t="str">
        <f>Source!G532</f>
        <v>Прокат листовой для строительных стальных конструкций, толщина более 3 мм, сталь С235, С245</v>
      </c>
      <c r="C137" s="60" t="str">
        <f>Source!H532</f>
        <v>т</v>
      </c>
      <c r="D137" s="61">
        <f>Source!I532</f>
        <v>1.8839999999999999E-2</v>
      </c>
      <c r="E137" s="59"/>
    </row>
    <row r="138" spans="1:5" ht="42.75" x14ac:dyDescent="0.2">
      <c r="A138" s="58">
        <v>7.6</v>
      </c>
      <c r="B138" s="59" t="str">
        <f>Source!G534</f>
        <v>Площадки с настилом из листовой, рифленой, просечной или круглой стали, каркасами и элементами жесткости из прокатных и гнутых профилей, прямоугольные и трапециевидные</v>
      </c>
      <c r="C138" s="60" t="str">
        <f>Source!H534</f>
        <v>т</v>
      </c>
      <c r="D138" s="61">
        <f>Source!I534</f>
        <v>5.8999999999999997E-2</v>
      </c>
      <c r="E138" s="59"/>
    </row>
    <row r="139" spans="1:5" ht="28.5" x14ac:dyDescent="0.2">
      <c r="A139" s="58">
        <v>7.7</v>
      </c>
      <c r="B139" s="59" t="str">
        <f>Source!G536</f>
        <v>Отдельные конструктивные элементы с преобладанием горячекатаных профилей, средняя масса сборочной единицы от 0,11 до 0,5 т</v>
      </c>
      <c r="C139" s="60" t="str">
        <f>Source!H536</f>
        <v>т</v>
      </c>
      <c r="D139" s="61">
        <f>Source!I536</f>
        <v>-1.4999999999999999E-4</v>
      </c>
      <c r="E139" s="59"/>
    </row>
    <row r="140" spans="1:5" ht="28.5" x14ac:dyDescent="0.2">
      <c r="A140" s="58">
        <v>8</v>
      </c>
      <c r="B140" s="59" t="str">
        <f>Source!G538</f>
        <v>Изготовление решетчатых конструкций (стойки, опоры, фермы и прочие)</v>
      </c>
      <c r="C140" s="60" t="str">
        <f>Source!H538</f>
        <v>1 т конструкций</v>
      </c>
      <c r="D140" s="61">
        <f>Source!I538</f>
        <v>9.98E-2</v>
      </c>
      <c r="E140" s="59"/>
    </row>
    <row r="141" spans="1:5" ht="14.25" x14ac:dyDescent="0.2">
      <c r="A141" s="58">
        <v>8.1</v>
      </c>
      <c r="B141" s="59" t="str">
        <f>Source!G540</f>
        <v>Пропан-бутан газообразный</v>
      </c>
      <c r="C141" s="60" t="str">
        <f>Source!H540</f>
        <v>м3</v>
      </c>
      <c r="D141" s="61">
        <f>Source!I540</f>
        <v>4.99E-2</v>
      </c>
      <c r="E141" s="59"/>
    </row>
    <row r="142" spans="1:5" ht="28.5" x14ac:dyDescent="0.2">
      <c r="A142" s="58">
        <v>8.1999999999999993</v>
      </c>
      <c r="B142" s="59" t="str">
        <f>Source!G542</f>
        <v>Ограждение из нержавеющей стали с вертикальным заполнением с шагом не более 100мм с двухуровневым поручнем (Н=900мм)L=12,5п.м.</v>
      </c>
      <c r="C142" s="60" t="str">
        <f>Source!H542</f>
        <v>м</v>
      </c>
      <c r="D142" s="61">
        <f>Source!I542</f>
        <v>12.5</v>
      </c>
      <c r="E142" s="59"/>
    </row>
    <row r="143" spans="1:5" ht="14.25" x14ac:dyDescent="0.2">
      <c r="A143" s="58">
        <v>8.3000000000000007</v>
      </c>
      <c r="B143" s="59" t="str">
        <f>Source!G552</f>
        <v>Кислород технический газообразный</v>
      </c>
      <c r="C143" s="60" t="str">
        <f>Source!H552</f>
        <v>м3</v>
      </c>
      <c r="D143" s="61">
        <f>Source!I552</f>
        <v>0.25947999999999999</v>
      </c>
      <c r="E143" s="59"/>
    </row>
    <row r="144" spans="1:5" ht="28.5" x14ac:dyDescent="0.2">
      <c r="A144" s="58">
        <v>9</v>
      </c>
      <c r="B144" s="59" t="str">
        <f>Source!G554</f>
        <v>Монтаж мелких конструкций из стали различного профиля массой до 100 кг</v>
      </c>
      <c r="C144" s="60" t="str">
        <f>Source!H554</f>
        <v>1 Т</v>
      </c>
      <c r="D144" s="61">
        <f>Source!I554</f>
        <v>9.98E-2</v>
      </c>
      <c r="E144" s="59"/>
    </row>
    <row r="145" spans="1:5" ht="57" x14ac:dyDescent="0.2">
      <c r="A145" s="58">
        <v>9.1</v>
      </c>
      <c r="B145" s="59" t="str">
        <f>Source!G556</f>
        <v>Анкер клиновой, стальной, оцинкованный, для установки в pастянутой и сжатой зоне бетона, диаметр 8 мм, длина 95 мм, максимальная толщина закрепляемой детали при стандартной/уменьшенной глубине анкеровки 30/41 мм</v>
      </c>
      <c r="C145" s="60" t="str">
        <f>Source!H556</f>
        <v>шт.</v>
      </c>
      <c r="D145" s="61">
        <f>Source!I556</f>
        <v>76</v>
      </c>
      <c r="E145" s="59"/>
    </row>
    <row r="146" spans="1:5" ht="28.5" x14ac:dyDescent="0.2">
      <c r="A146" s="58">
        <v>10</v>
      </c>
      <c r="B146" s="59" t="str">
        <f>Source!G558</f>
        <v>Устройство песчаного основания под фундаменты</v>
      </c>
      <c r="C146" s="60" t="str">
        <f>Source!H558</f>
        <v>1 м3 основания</v>
      </c>
      <c r="D146" s="61">
        <f>Source!I558</f>
        <v>0.46500000000000002</v>
      </c>
      <c r="E146" s="59"/>
    </row>
    <row r="147" spans="1:5" ht="14.25" x14ac:dyDescent="0.2">
      <c r="A147" s="58">
        <v>10.1</v>
      </c>
      <c r="B147" s="59" t="str">
        <f>Source!G560</f>
        <v>Песок для строительных работ, рядовой</v>
      </c>
      <c r="C147" s="60" t="str">
        <f>Source!H560</f>
        <v>м3</v>
      </c>
      <c r="D147" s="61">
        <f>Source!I560</f>
        <v>0.51149999999999995</v>
      </c>
      <c r="E147" s="59"/>
    </row>
    <row r="148" spans="1:5" ht="28.5" x14ac:dyDescent="0.2">
      <c r="A148" s="58">
        <v>11</v>
      </c>
      <c r="B148" s="59" t="str">
        <f>Source!G562</f>
        <v>Устройство щебеночного основания под фундаменты</v>
      </c>
      <c r="C148" s="60" t="str">
        <f>Source!H562</f>
        <v>1 м3 основания</v>
      </c>
      <c r="D148" s="61">
        <f>Source!I562</f>
        <v>0.46500000000000002</v>
      </c>
      <c r="E148" s="59"/>
    </row>
    <row r="149" spans="1:5" ht="28.5" x14ac:dyDescent="0.2">
      <c r="A149" s="58">
        <v>11.1</v>
      </c>
      <c r="B149" s="59" t="str">
        <f>Source!G564</f>
        <v>Щебень из естественного камня для строительных работ, марка 300-200, фракция 5-10 мм</v>
      </c>
      <c r="C149" s="60" t="str">
        <f>Source!H564</f>
        <v>м3</v>
      </c>
      <c r="D149" s="61">
        <f>Source!I564</f>
        <v>0.53474999999999995</v>
      </c>
      <c r="E149" s="59"/>
    </row>
    <row r="150" spans="1:5" ht="14.25" x14ac:dyDescent="0.2">
      <c r="A150" s="58">
        <v>12</v>
      </c>
      <c r="B150" s="59" t="str">
        <f>Source!G566</f>
        <v>Устройство фундаментных плит железобетонных плоских</v>
      </c>
      <c r="C150" s="60" t="str">
        <f>Source!H566</f>
        <v>100 м3 в деле</v>
      </c>
      <c r="D150" s="61">
        <f>Source!I566</f>
        <v>5.3E-3</v>
      </c>
      <c r="E150" s="59"/>
    </row>
    <row r="151" spans="1:5" ht="42.75" x14ac:dyDescent="0.2">
      <c r="A151" s="58">
        <v>12.1</v>
      </c>
      <c r="B151" s="59" t="str">
        <f>Source!G568</f>
        <v>Арматурные заготовки (стержни, хомуты и т.п.), не собранные в каркасы или сетки, арматурная сталь периодического профиля, класс А-III, диаметр 6-7 мм</v>
      </c>
      <c r="C151" s="60" t="str">
        <f>Source!H568</f>
        <v>т</v>
      </c>
      <c r="D151" s="61">
        <f>Source!I568</f>
        <v>4.2929999999999996E-2</v>
      </c>
      <c r="E151" s="59"/>
    </row>
    <row r="152" spans="1:5" ht="28.5" x14ac:dyDescent="0.2">
      <c r="A152" s="58">
        <v>12.2</v>
      </c>
      <c r="B152" s="59" t="str">
        <f>Source!G570</f>
        <v>Смеси бетонные, БСГ, тяжелого бетона на гранитном щебне, фракция 5-20, класс прочности В20 (М250); П4, F75, W4</v>
      </c>
      <c r="C152" s="60" t="str">
        <f>Source!H570</f>
        <v>м3</v>
      </c>
      <c r="D152" s="61">
        <f>Source!I570</f>
        <v>0.53795000000000004</v>
      </c>
      <c r="E152" s="59"/>
    </row>
    <row r="153" spans="1:5" ht="14.25" x14ac:dyDescent="0.2">
      <c r="A153" s="58">
        <v>13</v>
      </c>
      <c r="B153" s="59" t="str">
        <f>Source!G572</f>
        <v>Огрунтовка металлических поверхностей грунтовкой ГФ-021 за один раз</v>
      </c>
      <c r="C153" s="60" t="str">
        <f>Source!H572</f>
        <v>100 м2</v>
      </c>
      <c r="D153" s="61">
        <f>Source!I572</f>
        <v>0.38800000000000001</v>
      </c>
      <c r="E153" s="59"/>
    </row>
    <row r="154" spans="1:5" ht="14.25" x14ac:dyDescent="0.2">
      <c r="A154" s="58">
        <v>13.1</v>
      </c>
      <c r="B154" s="59" t="str">
        <f>Source!G574</f>
        <v>Грунтовка глифталевая, ГФ-021</v>
      </c>
      <c r="C154" s="60" t="str">
        <f>Source!H574</f>
        <v>т</v>
      </c>
      <c r="D154" s="61">
        <f>Source!I574</f>
        <v>3.4919999999999999E-3</v>
      </c>
      <c r="E154" s="59"/>
    </row>
    <row r="155" spans="1:5" ht="14.25" x14ac:dyDescent="0.2">
      <c r="A155" s="58">
        <v>14</v>
      </c>
      <c r="B155" s="59" t="str">
        <f>Source!G576</f>
        <v>Окраска огрунтованных металлических поверхностей эмалями ПФ-115</v>
      </c>
      <c r="C155" s="60" t="str">
        <f>Source!H576</f>
        <v>100 м2</v>
      </c>
      <c r="D155" s="61">
        <f>Source!I576</f>
        <v>0.38800000000000001</v>
      </c>
      <c r="E155" s="59"/>
    </row>
    <row r="156" spans="1:5" ht="16.5" x14ac:dyDescent="0.25">
      <c r="A156" s="118" t="str">
        <f>CONCATENATE("Локальная смета: ", Source!G639)</f>
        <v>Локальная смета: Система связи</v>
      </c>
      <c r="B156" s="118"/>
      <c r="C156" s="118"/>
      <c r="D156" s="118"/>
      <c r="E156" s="118"/>
    </row>
    <row r="157" spans="1:5" ht="16.5" x14ac:dyDescent="0.25">
      <c r="A157" s="118" t="str">
        <f>CONCATENATE("Раздел: ", Source!G643)</f>
        <v>Раздел: Монтажные работы</v>
      </c>
      <c r="B157" s="118"/>
      <c r="C157" s="118"/>
      <c r="D157" s="118"/>
      <c r="E157" s="118"/>
    </row>
    <row r="158" spans="1:5" ht="14.25" x14ac:dyDescent="0.2">
      <c r="A158" s="58">
        <v>1</v>
      </c>
      <c r="B158" s="59" t="str">
        <f>Source!G647</f>
        <v>Камеры видеонаблюдения, наружная</v>
      </c>
      <c r="C158" s="60" t="str">
        <f>Source!H647</f>
        <v>10 шт.</v>
      </c>
      <c r="D158" s="61">
        <f>Source!I647</f>
        <v>0.1</v>
      </c>
      <c r="E158" s="59"/>
    </row>
    <row r="159" spans="1:5" ht="14.25" x14ac:dyDescent="0.2">
      <c r="A159" s="58">
        <v>2</v>
      </c>
      <c r="B159" s="59" t="str">
        <f>Source!G649</f>
        <v>Регистратор домовой</v>
      </c>
      <c r="C159" s="60" t="str">
        <f>Source!H649</f>
        <v>1  ШТ.</v>
      </c>
      <c r="D159" s="61">
        <f>Source!I649</f>
        <v>1</v>
      </c>
      <c r="E159" s="59"/>
    </row>
    <row r="160" spans="1:5" ht="14.25" x14ac:dyDescent="0.2">
      <c r="A160" s="58">
        <v>3</v>
      </c>
      <c r="B160" s="59" t="str">
        <f>Source!G651</f>
        <v>Отдельно устанавливаемые преобразователь или блок питания</v>
      </c>
      <c r="C160" s="60" t="str">
        <f>Source!H651</f>
        <v>1  ШТ.</v>
      </c>
      <c r="D160" s="61">
        <f>Source!I651</f>
        <v>1</v>
      </c>
      <c r="E160" s="59"/>
    </row>
    <row r="161" spans="1:5" ht="14.25" x14ac:dyDescent="0.2">
      <c r="A161" s="58">
        <v>4</v>
      </c>
      <c r="B161" s="59" t="str">
        <f>Source!G653</f>
        <v>Аппаратура настольная, аппарат настольный массой до 0,015 т</v>
      </c>
      <c r="C161" s="60" t="str">
        <f>Source!H653</f>
        <v>1  ШТ.</v>
      </c>
      <c r="D161" s="61">
        <f>Source!I653</f>
        <v>1</v>
      </c>
      <c r="E161" s="59"/>
    </row>
    <row r="162" spans="1:5" ht="28.5" x14ac:dyDescent="0.2">
      <c r="A162" s="58">
        <v>5</v>
      </c>
      <c r="B162" s="59" t="str">
        <f>Source!G655</f>
        <v>Приборы и устройства сигнализарующие объектовые, прибор сигнализирующий емкостной</v>
      </c>
      <c r="C162" s="60" t="str">
        <f>Source!H655</f>
        <v>1  ШТ.</v>
      </c>
      <c r="D162" s="61">
        <f>Source!I655</f>
        <v>1</v>
      </c>
      <c r="E162" s="59"/>
    </row>
    <row r="163" spans="1:5" ht="14.25" x14ac:dyDescent="0.2">
      <c r="A163" s="58">
        <v>6</v>
      </c>
      <c r="B163" s="59" t="str">
        <f>Source!G657</f>
        <v>Громкоговоритель или звуковая колонка в помещении</v>
      </c>
      <c r="C163" s="60" t="str">
        <f>Source!H657</f>
        <v>1  ШТ.</v>
      </c>
      <c r="D163" s="61">
        <f>Source!I657</f>
        <v>2</v>
      </c>
      <c r="E163" s="59"/>
    </row>
    <row r="164" spans="1:5" ht="14.25" x14ac:dyDescent="0.2">
      <c r="A164" s="58">
        <v>7</v>
      </c>
      <c r="B164" s="59" t="str">
        <f>Source!G659</f>
        <v>Установка номерных табличек для квартир</v>
      </c>
      <c r="C164" s="60" t="str">
        <f>Source!H659</f>
        <v>1  ШТ.</v>
      </c>
      <c r="D164" s="61">
        <f>Source!I659</f>
        <v>2</v>
      </c>
      <c r="E164" s="59"/>
    </row>
    <row r="165" spans="1:5" ht="28.5" x14ac:dyDescent="0.2">
      <c r="A165" s="58">
        <v>7.1</v>
      </c>
      <c r="B165" s="59" t="str">
        <f>Source!G661</f>
        <v>Знаки безопасности и эвакуационные указатели из пленки самоклеящейся к светильникам, тип НПУ-3000</v>
      </c>
      <c r="C165" s="60" t="str">
        <f>Source!H661</f>
        <v>шт.</v>
      </c>
      <c r="D165" s="61">
        <f>Source!I661</f>
        <v>2</v>
      </c>
      <c r="E165" s="59"/>
    </row>
    <row r="166" spans="1:5" ht="28.5" x14ac:dyDescent="0.2">
      <c r="A166" s="58">
        <v>7.2</v>
      </c>
      <c r="B166" s="59" t="str">
        <f>Source!G663</f>
        <v>MP-010R2 Табличка тактильная с пиктограммой "SOS с трубкой" (150x150мм) красный фон</v>
      </c>
      <c r="C166" s="60" t="str">
        <f>Source!H663</f>
        <v>шт.</v>
      </c>
      <c r="D166" s="61">
        <f>Source!I663</f>
        <v>2</v>
      </c>
      <c r="E166" s="59"/>
    </row>
    <row r="167" spans="1:5" ht="14.25" x14ac:dyDescent="0.2">
      <c r="A167" s="58">
        <v>8</v>
      </c>
      <c r="B167" s="59" t="str">
        <f>Source!G665</f>
        <v>Светильники для ламп накаливания, световые настенные указатели</v>
      </c>
      <c r="C167" s="60" t="str">
        <f>Source!H665</f>
        <v>100 шт.</v>
      </c>
      <c r="D167" s="61">
        <f>Source!I665</f>
        <v>0.01</v>
      </c>
      <c r="E167" s="59"/>
    </row>
    <row r="168" spans="1:5" ht="14.25" x14ac:dyDescent="0.2">
      <c r="A168" s="58">
        <v>9</v>
      </c>
      <c r="B168" s="59" t="str">
        <f>Source!G667</f>
        <v>Детали на пультах и панелях - кнопка</v>
      </c>
      <c r="C168" s="60" t="str">
        <f>Source!H667</f>
        <v>1  ШТ.</v>
      </c>
      <c r="D168" s="61">
        <f>Source!I667</f>
        <v>2</v>
      </c>
      <c r="E168" s="59"/>
    </row>
    <row r="169" spans="1:5" ht="14.25" x14ac:dyDescent="0.2">
      <c r="A169" s="58">
        <v>10</v>
      </c>
      <c r="B169" s="59" t="str">
        <f>Source!G669</f>
        <v>Установка номерных табличек для квартир</v>
      </c>
      <c r="C169" s="60" t="str">
        <f>Source!H669</f>
        <v>1  ШТ.</v>
      </c>
      <c r="D169" s="61">
        <f>Source!I669</f>
        <v>1</v>
      </c>
      <c r="E169" s="59"/>
    </row>
    <row r="170" spans="1:5" ht="28.5" x14ac:dyDescent="0.2">
      <c r="A170" s="58">
        <v>10.1</v>
      </c>
      <c r="B170" s="59" t="str">
        <f>Source!G671</f>
        <v>MP-010R1 Табличка тактильная с пиктограммой "SOS" (150x150мм) красный фон</v>
      </c>
      <c r="C170" s="60" t="str">
        <f>Source!H671</f>
        <v>шт.</v>
      </c>
      <c r="D170" s="61">
        <f>Source!I671</f>
        <v>1</v>
      </c>
      <c r="E170" s="59"/>
    </row>
    <row r="171" spans="1:5" ht="14.25" x14ac:dyDescent="0.2">
      <c r="A171" s="58">
        <v>11</v>
      </c>
      <c r="B171" s="59" t="str">
        <f>Source!G673</f>
        <v>Отдельно устанавливаемые преобразователь или блок питания</v>
      </c>
      <c r="C171" s="60" t="str">
        <f>Source!H673</f>
        <v>1  ШТ.</v>
      </c>
      <c r="D171" s="61">
        <f>Source!I673</f>
        <v>1</v>
      </c>
      <c r="E171" s="59"/>
    </row>
    <row r="172" spans="1:5" ht="28.5" x14ac:dyDescent="0.2">
      <c r="A172" s="58">
        <v>12</v>
      </c>
      <c r="B172" s="59" t="str">
        <f>Source!G675</f>
        <v>Щитки осветительные, устанавливаемые на стене распорными дюбелями, масса щитка до 6 кг</v>
      </c>
      <c r="C172" s="60" t="str">
        <f>Source!H675</f>
        <v>1  ШТ.</v>
      </c>
      <c r="D172" s="61">
        <f>Source!I675</f>
        <v>1</v>
      </c>
      <c r="E172" s="59"/>
    </row>
    <row r="173" spans="1:5" ht="42.75" x14ac:dyDescent="0.2">
      <c r="A173" s="58">
        <v>12.1</v>
      </c>
      <c r="B173" s="59" t="str">
        <f>Source!G677</f>
        <v>Щит групповой, навесной, 9 модулей, степень защиты IР40, размер 160х222х93 мм, из АБС-пластика, с дверцей, с монтажной рейкой, с шиной N(PE), без аппаратов</v>
      </c>
      <c r="C173" s="60" t="str">
        <f>Source!H677</f>
        <v>шт.</v>
      </c>
      <c r="D173" s="61">
        <f>Source!I677</f>
        <v>1</v>
      </c>
      <c r="E173" s="59"/>
    </row>
    <row r="174" spans="1:5" ht="14.25" x14ac:dyDescent="0.2">
      <c r="A174" s="58">
        <v>13</v>
      </c>
      <c r="B174" s="59" t="str">
        <f>Source!G679</f>
        <v>Прокладка пластикового кабель-канала по бетонному основанию</v>
      </c>
      <c r="C174" s="60" t="str">
        <f>Source!H679</f>
        <v>100 м</v>
      </c>
      <c r="D174" s="61">
        <f>Source!I679</f>
        <v>0.5</v>
      </c>
      <c r="E174" s="59"/>
    </row>
    <row r="175" spans="1:5" ht="14.25" x14ac:dyDescent="0.2">
      <c r="A175" s="58">
        <v>13.1</v>
      </c>
      <c r="B175" s="59" t="str">
        <f>Source!G681</f>
        <v>Кабель-каналы, размер 25х17 мм, кабель-каналы</v>
      </c>
      <c r="C175" s="60" t="str">
        <f>Source!H681</f>
        <v>м</v>
      </c>
      <c r="D175" s="61">
        <f>Source!I681</f>
        <v>50</v>
      </c>
      <c r="E175" s="59"/>
    </row>
    <row r="176" spans="1:5" ht="28.5" x14ac:dyDescent="0.2">
      <c r="A176" s="58">
        <v>14</v>
      </c>
      <c r="B176" s="59" t="str">
        <f>Source!G683</f>
        <v>Трубы винипластовые по установленным конструкциям, по стенам и колоннам с креплением скобами, внутренний диаметр до 25 мм</v>
      </c>
      <c r="C176" s="60" t="str">
        <f>Source!H683</f>
        <v>100 м</v>
      </c>
      <c r="D176" s="61">
        <f>Source!I683</f>
        <v>1.0999999999999999E-2</v>
      </c>
      <c r="E176" s="59"/>
    </row>
    <row r="177" spans="1:5" ht="28.5" x14ac:dyDescent="0.2">
      <c r="A177" s="58">
        <v>14.1</v>
      </c>
      <c r="B177" s="59" t="str">
        <f>Source!G685</f>
        <v>Трубы поливинилхлоридные для электропроводок, гладкие, усиленного типа из отходов ПВХ, наружный диаметр 16 мм, толщина стенки 1,2 мм</v>
      </c>
      <c r="C177" s="60" t="str">
        <f>Source!H685</f>
        <v>м</v>
      </c>
      <c r="D177" s="61">
        <f>Source!I685</f>
        <v>1.1220000000000001</v>
      </c>
      <c r="E177" s="59"/>
    </row>
    <row r="178" spans="1:5" ht="28.5" x14ac:dyDescent="0.2">
      <c r="A178" s="58">
        <v>15</v>
      </c>
      <c r="B178" s="59" t="str">
        <f>Source!G687</f>
        <v>Рукава металлические и вводы гибкие, рукав, наружный диаметр до 48 мм</v>
      </c>
      <c r="C178" s="60" t="str">
        <f>Source!H687</f>
        <v>100 м</v>
      </c>
      <c r="D178" s="61">
        <f>Source!I687</f>
        <v>0.1</v>
      </c>
      <c r="E178" s="59"/>
    </row>
    <row r="179" spans="1:5" ht="14.25" x14ac:dyDescent="0.2">
      <c r="A179" s="58">
        <v>15.1</v>
      </c>
      <c r="B179" s="59" t="str">
        <f>Source!G689</f>
        <v>Металлорукав 10 мм в ПВХ черный (6071-010N) DKC</v>
      </c>
      <c r="C179" s="60" t="str">
        <f>Source!H689</f>
        <v>м</v>
      </c>
      <c r="D179" s="61">
        <f>Source!I689</f>
        <v>10.3</v>
      </c>
      <c r="E179" s="59"/>
    </row>
    <row r="180" spans="1:5" ht="14.25" x14ac:dyDescent="0.2">
      <c r="A180" s="58">
        <v>16</v>
      </c>
      <c r="B180" s="59" t="str">
        <f>Source!G691</f>
        <v>Провода и кабели в коробах, провод, сечением до 6 мм2</v>
      </c>
      <c r="C180" s="60" t="str">
        <f>Source!H691</f>
        <v>100 м</v>
      </c>
      <c r="D180" s="61">
        <f>Source!I691</f>
        <v>1.1000000000000001</v>
      </c>
      <c r="E180" s="59"/>
    </row>
    <row r="181" spans="1:5" ht="57" x14ac:dyDescent="0.2">
      <c r="A181" s="58">
        <v>16.100000000000001</v>
      </c>
      <c r="B181" s="59" t="str">
        <f>Source!G693</f>
        <v>Кабели высокочастотные с медными жилами с полиэтиленовой изоляцией в оболочке из поливинилхлоридного пластиката, без экрана, марка КВП (ParLan U/UTP) cat 5e, число элементов и диаметр жилы 2х2х0,5 мм</v>
      </c>
      <c r="C181" s="60" t="str">
        <f>Source!H693</f>
        <v>км</v>
      </c>
      <c r="D181" s="61">
        <f>Source!I693</f>
        <v>9.69E-2</v>
      </c>
      <c r="E181" s="59"/>
    </row>
    <row r="182" spans="1:5" ht="57" x14ac:dyDescent="0.2">
      <c r="A182" s="58">
        <v>16.2</v>
      </c>
      <c r="B182" s="59" t="str">
        <f>Source!G695</f>
        <v>Кабели высокочастотные с медными жилами с полиэтиленовой изоляцией в оболочке из поливинилхлоридного пластиката, без экрана, марка КВП (ParLan U/UTP) cat 5e, число элементов и диаметр жилы 4х2х0,5 мм</v>
      </c>
      <c r="C182" s="60" t="str">
        <f>Source!H695</f>
        <v>км</v>
      </c>
      <c r="D182" s="61">
        <f>Source!I695</f>
        <v>1.5299999999999999E-2</v>
      </c>
      <c r="E182" s="59"/>
    </row>
    <row r="183" spans="1:5" ht="42.75" x14ac:dyDescent="0.2">
      <c r="A183" s="58">
        <v>17</v>
      </c>
      <c r="B183" s="59" t="str">
        <f>Source!G697</f>
        <v>Затягивание проводов и кабелей в проложенные трубы и металлические рукава, провод первый одножильный или многожильный в общей оплетке, суммарное сечение до 6 мм2</v>
      </c>
      <c r="C183" s="60" t="str">
        <f>Source!H697</f>
        <v>100 м</v>
      </c>
      <c r="D183" s="61">
        <f>Source!I697</f>
        <v>0.1</v>
      </c>
      <c r="E183" s="59"/>
    </row>
    <row r="184" spans="1:5" ht="57" x14ac:dyDescent="0.2">
      <c r="A184" s="58">
        <v>17.100000000000001</v>
      </c>
      <c r="B184" s="59" t="str">
        <f>Source!G699</f>
        <v>Кабели высокочастотные с медными жилами с полиэтиленовой изоляцией в оболочке из поливинилхлоридного пластиката, без экрана, марка КВП (ParLan U/UTP) cat 5e, число элементов и диаметр жилы 2х2х0,5 мм</v>
      </c>
      <c r="C184" s="60" t="str">
        <f>Source!H699</f>
        <v>км</v>
      </c>
      <c r="D184" s="61">
        <f>Source!I699</f>
        <v>1.0200000000000001E-2</v>
      </c>
      <c r="E184" s="59"/>
    </row>
    <row r="185" spans="1:5" ht="16.5" x14ac:dyDescent="0.25">
      <c r="A185" s="118" t="str">
        <f>CONCATENATE("Раздел: ", Source!G732)</f>
        <v>Раздел: Оборудование</v>
      </c>
      <c r="B185" s="118"/>
      <c r="C185" s="118"/>
      <c r="D185" s="118"/>
      <c r="E185" s="118"/>
    </row>
    <row r="186" spans="1:5" ht="28.5" x14ac:dyDescent="0.2">
      <c r="A186" s="58">
        <v>18</v>
      </c>
      <c r="B186" s="59" t="str">
        <f>Source!G736</f>
        <v>IP-камера видеонаблюдения уличная в стандартном исполнении RVi-IPC41S V.2 (2.8 мм)</v>
      </c>
      <c r="C186" s="60" t="str">
        <f>Source!H736</f>
        <v>шт.</v>
      </c>
      <c r="D186" s="61">
        <f>Source!I736</f>
        <v>1</v>
      </c>
      <c r="E186" s="59"/>
    </row>
    <row r="187" spans="1:5" ht="14.25" x14ac:dyDescent="0.2">
      <c r="A187" s="58">
        <v>19</v>
      </c>
      <c r="B187" s="59" t="str">
        <f>Source!G738</f>
        <v>IP видеорегистратор 4 канальный RVi-IPN4/1-4P</v>
      </c>
      <c r="C187" s="60" t="str">
        <f>Source!H738</f>
        <v>шт.</v>
      </c>
      <c r="D187" s="61">
        <f>Source!I738</f>
        <v>1</v>
      </c>
      <c r="E187" s="59"/>
    </row>
    <row r="188" spans="1:5" ht="57" x14ac:dyDescent="0.2">
      <c r="A188" s="58">
        <v>20</v>
      </c>
      <c r="B188" s="59" t="str">
        <f>Source!G740</f>
        <v>Источник бесперебойного питания, напольный, мощность 550 ВА/330Вт. Внутренние АКБ, номинальное напряжение 230 В, время автономной работы до 10 мин., рабочая температура от 0 до +40°C, габаритные размеры 140х335х86 мм</v>
      </c>
      <c r="C188" s="60" t="str">
        <f>Source!H740</f>
        <v>шт.</v>
      </c>
      <c r="D188" s="61">
        <f>Source!I740</f>
        <v>1</v>
      </c>
      <c r="E188" s="59"/>
    </row>
    <row r="189" spans="1:5" ht="14.25" x14ac:dyDescent="0.2">
      <c r="A189" s="58">
        <v>21</v>
      </c>
      <c r="B189" s="59" t="str">
        <f>Source!G742</f>
        <v>Монитор Hikvision DS-D5027FN 27" для видеонаблюдения</v>
      </c>
      <c r="C189" s="60" t="str">
        <f>Source!H742</f>
        <v>шт.</v>
      </c>
      <c r="D189" s="61">
        <f>Source!I742</f>
        <v>1</v>
      </c>
      <c r="E189" s="59"/>
    </row>
    <row r="190" spans="1:5" ht="14.25" x14ac:dyDescent="0.2">
      <c r="A190" s="58">
        <v>22</v>
      </c>
      <c r="B190" s="59" t="str">
        <f>Source!G744</f>
        <v>GC-1006DG Пульт селекторной связи на 6 абонента</v>
      </c>
      <c r="C190" s="60" t="str">
        <f>Source!H744</f>
        <v>шт.</v>
      </c>
      <c r="D190" s="61">
        <f>Source!I744</f>
        <v>1</v>
      </c>
      <c r="E190" s="59"/>
    </row>
    <row r="191" spans="1:5" ht="14.25" x14ac:dyDescent="0.2">
      <c r="A191" s="58">
        <v>23</v>
      </c>
      <c r="B191" s="59" t="str">
        <f>Source!G746</f>
        <v>Абонентское переговорное устройство GC-2001P1</v>
      </c>
      <c r="C191" s="60" t="str">
        <f>Source!H746</f>
        <v>шт.</v>
      </c>
      <c r="D191" s="61">
        <f>Source!I746</f>
        <v>1</v>
      </c>
      <c r="E191" s="59"/>
    </row>
    <row r="192" spans="1:5" ht="14.25" x14ac:dyDescent="0.2">
      <c r="A192" s="58">
        <v>24</v>
      </c>
      <c r="B192" s="59" t="str">
        <f>Source!G748</f>
        <v>GC-2001W3 абонентское громкоговорящее устройство</v>
      </c>
      <c r="C192" s="60" t="str">
        <f>Source!H748</f>
        <v>шт.</v>
      </c>
      <c r="D192" s="61">
        <f>Source!I748</f>
        <v>1</v>
      </c>
      <c r="E192" s="59"/>
    </row>
    <row r="193" spans="1:5" ht="14.25" x14ac:dyDescent="0.2">
      <c r="A193" s="58">
        <v>25</v>
      </c>
      <c r="B193" s="59" t="str">
        <f>Source!G750</f>
        <v>GC-0611W2 Сигнальная лампа</v>
      </c>
      <c r="C193" s="60" t="str">
        <f>Source!H750</f>
        <v>шт.</v>
      </c>
      <c r="D193" s="61">
        <f>Source!I750</f>
        <v>4</v>
      </c>
      <c r="E193" s="59"/>
    </row>
    <row r="194" spans="1:5" ht="14.25" x14ac:dyDescent="0.2">
      <c r="A194" s="58">
        <v>26</v>
      </c>
      <c r="B194" s="59" t="str">
        <f>Source!G752</f>
        <v>GC-0421W1 Кнопка сброса</v>
      </c>
      <c r="C194" s="60" t="str">
        <f>Source!H752</f>
        <v>шт.</v>
      </c>
      <c r="D194" s="61">
        <f>Source!I752</f>
        <v>2</v>
      </c>
      <c r="E194" s="59"/>
    </row>
    <row r="195" spans="1:5" ht="14.25" x14ac:dyDescent="0.2">
      <c r="A195" s="58">
        <v>27</v>
      </c>
      <c r="B195" s="59" t="str">
        <f>Source!G754</f>
        <v>GC-0423W1 Проводная влагозащищенная кнопка вызова со шнуром.</v>
      </c>
      <c r="C195" s="60" t="str">
        <f>Source!H754</f>
        <v>шт.</v>
      </c>
      <c r="D195" s="61">
        <f>Source!I754</f>
        <v>2</v>
      </c>
      <c r="E195" s="59"/>
    </row>
    <row r="196" spans="1:5" ht="57" x14ac:dyDescent="0.2">
      <c r="A196" s="58">
        <v>28</v>
      </c>
      <c r="B196" s="59" t="str">
        <f>Source!G756</f>
        <v>Источник бесперебойного питания, напольный, мощность 550 ВА/330Вт. Внутренние АКБ, номинальное напряжение 230 В, время автономной работы до 10 мин., рабочая температура от 0 до +40°C, габаритные размеры 140х335х86 мм</v>
      </c>
      <c r="C196" s="60" t="str">
        <f>Source!H756</f>
        <v>шт.</v>
      </c>
      <c r="D196" s="61">
        <f>Source!I756</f>
        <v>1</v>
      </c>
      <c r="E196" s="59"/>
    </row>
    <row r="197" spans="1:5" ht="16.5" x14ac:dyDescent="0.25">
      <c r="A197" s="118" t="str">
        <f>CONCATENATE("Локальная смета: ", Source!G819)</f>
        <v>Локальная смета: Система электроснабжения</v>
      </c>
      <c r="B197" s="118"/>
      <c r="C197" s="118"/>
      <c r="D197" s="118"/>
      <c r="E197" s="118"/>
    </row>
    <row r="198" spans="1:5" ht="16.5" x14ac:dyDescent="0.25">
      <c r="A198" s="118" t="str">
        <f>CONCATENATE("Раздел: ", Source!G823)</f>
        <v>Раздел: Демонтажные работы</v>
      </c>
      <c r="B198" s="118"/>
      <c r="C198" s="118"/>
      <c r="D198" s="118"/>
      <c r="E198" s="118"/>
    </row>
    <row r="199" spans="1:5" ht="14.25" x14ac:dyDescent="0.2">
      <c r="A199" s="58">
        <v>1</v>
      </c>
      <c r="B199" s="59" t="str">
        <f>Source!G827</f>
        <v>Демонтаж осветительных приборов, светильники с лампами накаливания</v>
      </c>
      <c r="C199" s="60" t="str">
        <f>Source!H827</f>
        <v>100 шт.</v>
      </c>
      <c r="D199" s="61">
        <f>Source!I827</f>
        <v>0.08</v>
      </c>
      <c r="E199" s="59"/>
    </row>
    <row r="200" spans="1:5" ht="14.25" x14ac:dyDescent="0.2">
      <c r="A200" s="58">
        <v>2</v>
      </c>
      <c r="B200" s="59" t="str">
        <f>Source!G829</f>
        <v>Демонтаж кабеля</v>
      </c>
      <c r="C200" s="60" t="str">
        <f>Source!H829</f>
        <v>100 м</v>
      </c>
      <c r="D200" s="61">
        <f>Source!I829</f>
        <v>0.3</v>
      </c>
      <c r="E200" s="59"/>
    </row>
    <row r="201" spans="1:5" ht="16.5" x14ac:dyDescent="0.25">
      <c r="A201" s="118" t="str">
        <f>CONCATENATE("Раздел: ", Source!G862)</f>
        <v>Раздел: Монтажные работы</v>
      </c>
      <c r="B201" s="118"/>
      <c r="C201" s="118"/>
      <c r="D201" s="118"/>
      <c r="E201" s="118"/>
    </row>
    <row r="202" spans="1:5" ht="42.75" x14ac:dyDescent="0.2">
      <c r="A202" s="58">
        <v>3</v>
      </c>
      <c r="B202" s="59" t="str">
        <f>Source!G866</f>
        <v>Выключатели установочные автоматические (автоматы) или неавтоматические, автомат одно-,двух-,трехполюсный, устанавливаемый на конструкции на стене или колонне на ток до 25 А</v>
      </c>
      <c r="C202" s="60" t="str">
        <f>Source!H866</f>
        <v>1  ШТ.</v>
      </c>
      <c r="D202" s="61">
        <f>Source!I866</f>
        <v>1</v>
      </c>
      <c r="E202" s="59"/>
    </row>
    <row r="203" spans="1:5" ht="28.5" x14ac:dyDescent="0.2">
      <c r="A203" s="58">
        <v>3.1</v>
      </c>
      <c r="B203" s="59" t="str">
        <f>Source!G868</f>
        <v>Выключатели автоматические, на ток до 100 А, тип ВА 47-100, однополюсные</v>
      </c>
      <c r="C203" s="60" t="str">
        <f>Source!H868</f>
        <v>шт.</v>
      </c>
      <c r="D203" s="61">
        <f>Source!I868</f>
        <v>1</v>
      </c>
      <c r="E203" s="59"/>
    </row>
    <row r="204" spans="1:5" ht="28.5" x14ac:dyDescent="0.2">
      <c r="A204" s="58">
        <v>4</v>
      </c>
      <c r="B204" s="59" t="str">
        <f>Source!G870</f>
        <v>Светильники с люминесцентными лампами, светильник отдельно устанавливаемый на штырях с количеством ламп в светильнике 1</v>
      </c>
      <c r="C204" s="60" t="str">
        <f>Source!H870</f>
        <v>100 шт.</v>
      </c>
      <c r="D204" s="61">
        <f>Source!I870</f>
        <v>0.05</v>
      </c>
      <c r="E204" s="59"/>
    </row>
    <row r="205" spans="1:5" ht="28.5" x14ac:dyDescent="0.2">
      <c r="A205" s="58">
        <v>4.0999999999999996</v>
      </c>
      <c r="B205" s="59" t="str">
        <f>Source!G872</f>
        <v>Светодиодный светильник "ВАРТОН" ЖКХ круг IP65 185*70 мм антивандальный 10 ВТ (диод 0,1Вт) 4000К</v>
      </c>
      <c r="C205" s="60" t="str">
        <f>Source!H872</f>
        <v>шт.</v>
      </c>
      <c r="D205" s="61">
        <f>Source!I872</f>
        <v>3</v>
      </c>
      <c r="E205" s="59"/>
    </row>
    <row r="206" spans="1:5" ht="14.25" x14ac:dyDescent="0.2">
      <c r="A206" s="58">
        <v>4.2</v>
      </c>
      <c r="B206" s="59" t="str">
        <f>Source!G874</f>
        <v>Светильник ДБО-85-16-001 Tablette 840, 1407Лм, IP65</v>
      </c>
      <c r="C206" s="60" t="str">
        <f>Source!H874</f>
        <v>шт.</v>
      </c>
      <c r="D206" s="61">
        <f>Source!I874</f>
        <v>1</v>
      </c>
      <c r="E206" s="59"/>
    </row>
    <row r="207" spans="1:5" ht="28.5" x14ac:dyDescent="0.2">
      <c r="A207" s="58">
        <v>4.3</v>
      </c>
      <c r="B207" s="59" t="str">
        <f>Source!G876</f>
        <v>Светильник ДБО-85-16-041 Tablette EM1 850, 1407мм, IP65 с блоком аварийного питания</v>
      </c>
      <c r="C207" s="60" t="str">
        <f>Source!H876</f>
        <v>шт.</v>
      </c>
      <c r="D207" s="61">
        <f>Source!I876</f>
        <v>1</v>
      </c>
      <c r="E207" s="59"/>
    </row>
    <row r="208" spans="1:5" ht="14.25" x14ac:dyDescent="0.2">
      <c r="A208" s="58">
        <v>5</v>
      </c>
      <c r="B208" s="59" t="str">
        <f>Source!G878</f>
        <v>Светильники для ламп накаливания, световые настенные указатели</v>
      </c>
      <c r="C208" s="60" t="str">
        <f>Source!H878</f>
        <v>100 шт.</v>
      </c>
      <c r="D208" s="61">
        <f>Source!I878</f>
        <v>0.03</v>
      </c>
      <c r="E208" s="59"/>
    </row>
    <row r="209" spans="1:5" ht="28.5" x14ac:dyDescent="0.2">
      <c r="A209" s="58">
        <v>5.0999999999999996</v>
      </c>
      <c r="B209" s="59" t="str">
        <f>Source!G880</f>
        <v>Указатели световые светодиодные, степень защиты IP20, тип ДБО 02-1-006, с аккумулятором</v>
      </c>
      <c r="C209" s="60" t="str">
        <f>Source!H880</f>
        <v>шт.</v>
      </c>
      <c r="D209" s="61">
        <f>Source!I880</f>
        <v>3</v>
      </c>
      <c r="E209" s="59"/>
    </row>
    <row r="210" spans="1:5" ht="28.5" x14ac:dyDescent="0.2">
      <c r="A210" s="58">
        <v>5.2</v>
      </c>
      <c r="B210" s="59" t="str">
        <f>Source!G882</f>
        <v>Знаки безопасности и эвакуационные указатели из пленки самоклеящейся к светильникам, тип НПУ-3000</v>
      </c>
      <c r="C210" s="60" t="str">
        <f>Source!H882</f>
        <v>шт.</v>
      </c>
      <c r="D210" s="61">
        <f>Source!I882</f>
        <v>3</v>
      </c>
      <c r="E210" s="59"/>
    </row>
    <row r="211" spans="1:5" ht="14.25" x14ac:dyDescent="0.2">
      <c r="A211" s="58">
        <v>6</v>
      </c>
      <c r="B211" s="59" t="str">
        <f>Source!G884</f>
        <v>Детали на пультах и панелях - реле</v>
      </c>
      <c r="C211" s="60" t="str">
        <f>Source!H884</f>
        <v>1  ШТ.</v>
      </c>
      <c r="D211" s="61">
        <f>Source!I884</f>
        <v>1</v>
      </c>
      <c r="E211" s="59"/>
    </row>
    <row r="212" spans="1:5" ht="28.5" x14ac:dyDescent="0.2">
      <c r="A212" s="58">
        <v>6.1</v>
      </c>
      <c r="B212" s="59" t="str">
        <f>Source!G886</f>
        <v>Фотореле ФР601 2200ВА IP44 серый максимальная нагрузка 1100Вт (LFR20-601-2200-003)</v>
      </c>
      <c r="C212" s="60" t="str">
        <f>Source!H886</f>
        <v>шт.</v>
      </c>
      <c r="D212" s="61">
        <f>Source!I886</f>
        <v>1</v>
      </c>
      <c r="E212" s="59"/>
    </row>
    <row r="213" spans="1:5" ht="14.25" x14ac:dyDescent="0.2">
      <c r="A213" s="58">
        <v>7</v>
      </c>
      <c r="B213" s="59" t="str">
        <f>Source!G888</f>
        <v>Прокладка пластикового кабель-канала по бетонному основанию</v>
      </c>
      <c r="C213" s="60" t="str">
        <f>Source!H888</f>
        <v>100 м</v>
      </c>
      <c r="D213" s="61">
        <f>Source!I888</f>
        <v>0.9</v>
      </c>
      <c r="E213" s="59"/>
    </row>
    <row r="214" spans="1:5" ht="14.25" x14ac:dyDescent="0.2">
      <c r="A214" s="58">
        <v>7.1</v>
      </c>
      <c r="B214" s="59" t="str">
        <f>Source!G890</f>
        <v>Кабель-каналы, размер 25х17 мм, кабель-каналы</v>
      </c>
      <c r="C214" s="60" t="str">
        <f>Source!H890</f>
        <v>м</v>
      </c>
      <c r="D214" s="61">
        <f>Source!I890</f>
        <v>90</v>
      </c>
      <c r="E214" s="59"/>
    </row>
    <row r="215" spans="1:5" ht="14.25" x14ac:dyDescent="0.2">
      <c r="A215" s="58">
        <v>7.2</v>
      </c>
      <c r="B215" s="59" t="str">
        <f>Source!G892</f>
        <v>Коробки ответвительные, тип КРП-1 УХЛ4, размеры 52х109х109 мм</v>
      </c>
      <c r="C215" s="60" t="str">
        <f>Source!H892</f>
        <v>шт.</v>
      </c>
      <c r="D215" s="61">
        <f>Source!I892</f>
        <v>7</v>
      </c>
      <c r="E215" s="59"/>
    </row>
    <row r="216" spans="1:5" ht="14.25" x14ac:dyDescent="0.2">
      <c r="A216" s="58">
        <v>7.3</v>
      </c>
      <c r="B216" s="59" t="str">
        <f>Source!G894</f>
        <v>Клеммная колодка WAGO 273-503</v>
      </c>
      <c r="C216" s="60" t="str">
        <f>Source!H894</f>
        <v>шт.</v>
      </c>
      <c r="D216" s="61">
        <f>Source!I894</f>
        <v>21</v>
      </c>
      <c r="E216" s="59"/>
    </row>
    <row r="217" spans="1:5" ht="28.5" x14ac:dyDescent="0.2">
      <c r="A217" s="58">
        <v>8</v>
      </c>
      <c r="B217" s="59" t="str">
        <f>Source!G896</f>
        <v>Трубы винипластовые по установленным конструкциям, по стенам и колоннам с креплением скобами, внутренний диаметр до 25 мм</v>
      </c>
      <c r="C217" s="60" t="str">
        <f>Source!H896</f>
        <v>100 м</v>
      </c>
      <c r="D217" s="61">
        <f>Source!I896</f>
        <v>2.8000000000000001E-2</v>
      </c>
      <c r="E217" s="59"/>
    </row>
    <row r="218" spans="1:5" ht="28.5" x14ac:dyDescent="0.2">
      <c r="A218" s="58">
        <v>8.1</v>
      </c>
      <c r="B218" s="59" t="str">
        <f>Source!G898</f>
        <v>Трубы поливинилхлоридные для электропроводок, гладкие, усиленного типа из отходов ПВХ, наружный диаметр 20 мм, толщина стенки 1,5 мм</v>
      </c>
      <c r="C218" s="60" t="str">
        <f>Source!H898</f>
        <v>м</v>
      </c>
      <c r="D218" s="61">
        <f>Source!I898</f>
        <v>2.8559999999999999</v>
      </c>
      <c r="E218" s="59"/>
    </row>
    <row r="219" spans="1:5" ht="28.5" x14ac:dyDescent="0.2">
      <c r="A219" s="58">
        <v>9</v>
      </c>
      <c r="B219" s="59" t="str">
        <f>Source!G900</f>
        <v>Рукава металлические и вводы гибкие, рукав, наружный диаметр до 48 мм</v>
      </c>
      <c r="C219" s="60" t="str">
        <f>Source!H900</f>
        <v>100 м</v>
      </c>
      <c r="D219" s="61">
        <f>Source!I900</f>
        <v>0.05</v>
      </c>
      <c r="E219" s="59"/>
    </row>
    <row r="220" spans="1:5" ht="14.25" x14ac:dyDescent="0.2">
      <c r="A220" s="58">
        <v>9.1</v>
      </c>
      <c r="B220" s="59" t="str">
        <f>Source!G902</f>
        <v>ДКС 6071R-015N Металлорукав DN 15мм в ПВХ изоляции</v>
      </c>
      <c r="C220" s="60" t="str">
        <f>Source!H902</f>
        <v>м</v>
      </c>
      <c r="D220" s="61">
        <f>Source!I902</f>
        <v>5.15</v>
      </c>
      <c r="E220" s="59"/>
    </row>
    <row r="221" spans="1:5" ht="42.75" x14ac:dyDescent="0.2">
      <c r="A221" s="58">
        <v>10</v>
      </c>
      <c r="B221" s="59" t="str">
        <f>Source!G904</f>
        <v>Затягивание проводов и кабелей в проложенные трубы и металлические рукава, провод первый одножильный или многожильный в общей оплетке, суммарное сечение до 6 мм2</v>
      </c>
      <c r="C221" s="60" t="str">
        <f>Source!H904</f>
        <v>100 м</v>
      </c>
      <c r="D221" s="61">
        <f>Source!I904</f>
        <v>0.05</v>
      </c>
      <c r="E221" s="59"/>
    </row>
    <row r="222" spans="1:5" ht="71.25" x14ac:dyDescent="0.2">
      <c r="A222" s="58">
        <v>10.1</v>
      </c>
      <c r="B222" s="59" t="str">
        <f>Source!G906</f>
        <v>Кабели силовые, с медными жилами, с изоляцией и оболочкой из поливинилхлоридного пластиката пониженной пожарной опасности, не распространяющие горение, с пониженным дымо- и газовыделением и с низкой токсичностью продуктов горения, напряжение 1000 В, марка ВВГнг(А)-LSLTх, число жил и сечение 3х1,5 мм2</v>
      </c>
      <c r="C222" s="60" t="str">
        <f>Source!H906</f>
        <v>км</v>
      </c>
      <c r="D222" s="61">
        <f>Source!I906</f>
        <v>5.1000000000000004E-3</v>
      </c>
      <c r="E222" s="59"/>
    </row>
    <row r="223" spans="1:5" ht="14.25" x14ac:dyDescent="0.2">
      <c r="A223" s="58">
        <v>11</v>
      </c>
      <c r="B223" s="59" t="str">
        <f>Source!G908</f>
        <v>Провода и кабели в коробах, провод, сечением до 6 мм2</v>
      </c>
      <c r="C223" s="60" t="str">
        <f>Source!H908</f>
        <v>100 м</v>
      </c>
      <c r="D223" s="61">
        <f>Source!I908</f>
        <v>0.46</v>
      </c>
      <c r="E223" s="59"/>
    </row>
    <row r="224" spans="1:5" ht="14.25" x14ac:dyDescent="0.2">
      <c r="A224" s="58">
        <v>11.1</v>
      </c>
      <c r="B224" s="59" t="str">
        <f>Source!G910</f>
        <v>ВВГнг(А)-LSLTx 2х1,5 -1 кВ (ГОСТ)</v>
      </c>
      <c r="C224" s="60" t="str">
        <f>Source!H910</f>
        <v>м</v>
      </c>
      <c r="D224" s="61">
        <f>Source!I910</f>
        <v>3.06</v>
      </c>
      <c r="E224" s="59"/>
    </row>
    <row r="225" spans="1:5" ht="85.5" x14ac:dyDescent="0.2">
      <c r="A225" s="58">
        <v>11.2</v>
      </c>
      <c r="B225" s="59" t="str">
        <f>Source!G912</f>
        <v>Кабели силовые с медными жилами, огнестойкие, с изоляцией и оболочкой из поливинилхлоридного пластиката пониженной пожарной опасности, не распространяющие горение, с пониженным дымо- и газовыделением и с низкой токсичностью продуктов горения, напряжение 1000 В, марка ВВГнг(А)-FRLSLTх, число жил и сечение 3х1,5 мм2</v>
      </c>
      <c r="C225" s="60" t="str">
        <f>Source!H912</f>
        <v>км</v>
      </c>
      <c r="D225" s="61">
        <f>Source!I912</f>
        <v>3.5700000000000003E-2</v>
      </c>
      <c r="E225" s="59"/>
    </row>
    <row r="226" spans="1:5" ht="85.5" x14ac:dyDescent="0.2">
      <c r="A226" s="58">
        <v>11.3</v>
      </c>
      <c r="B226" s="59" t="str">
        <f>Source!G914</f>
        <v>Кабели силовые с медными жилами, огнестойкие, с изоляцией и оболочкой из поливинилхлоридного пластиката пониженной пожарной опасности, не распространяющие горение, с пониженным дымо- и газовыделением и с низкой токсичностью продуктов горения, напряжение 1000 В, марка ВВГнг(А)-FRLSLTх, число жил и сечение 2х1,5 мм2</v>
      </c>
      <c r="C226" s="60" t="str">
        <f>Source!H914</f>
        <v>км</v>
      </c>
      <c r="D226" s="61">
        <f>Source!I914</f>
        <v>3.0599999999999998E-3</v>
      </c>
      <c r="E226" s="59"/>
    </row>
    <row r="227" spans="1:5" ht="14.25" x14ac:dyDescent="0.2">
      <c r="A227" s="58">
        <v>11.4</v>
      </c>
      <c r="B227" s="59" t="str">
        <f>Source!G916</f>
        <v>ВВГнг(А)-FRLSLTx 4* 1,5 ГОСТ</v>
      </c>
      <c r="C227" s="60" t="str">
        <f>Source!H916</f>
        <v>м</v>
      </c>
      <c r="D227" s="61">
        <f>Source!I916</f>
        <v>5.0999999999999996</v>
      </c>
      <c r="E227" s="59"/>
    </row>
    <row r="228" spans="1:5" ht="14.25" x14ac:dyDescent="0.2">
      <c r="A228" s="58">
        <v>12</v>
      </c>
      <c r="B228" s="59" t="str">
        <f>Source!G918</f>
        <v>Провода и кабели в коробах, провод, сечением до 35 мм2</v>
      </c>
      <c r="C228" s="60" t="str">
        <f>Source!H918</f>
        <v>100 м</v>
      </c>
      <c r="D228" s="61">
        <f>Source!I918</f>
        <v>0.8</v>
      </c>
      <c r="E228" s="59"/>
    </row>
    <row r="229" spans="1:5" ht="71.25" x14ac:dyDescent="0.2">
      <c r="A229" s="58">
        <v>12.1</v>
      </c>
      <c r="B229" s="59" t="str">
        <f>Source!G920</f>
        <v>Кабели силовые, с медными жилами, с изоляцией и оболочкой из поливинилхлоридного пластиката пониженной пожарной опасности, не распространяющие горение, с пониженным дымо- и газовыделением и с низкой токсичностью продуктов горения, напряжение 1000 В, марка ВВГнг(А)-LSLTх, число жил и сечение 3х2,5 мм2</v>
      </c>
      <c r="C229" s="60" t="str">
        <f>Source!H920</f>
        <v>км</v>
      </c>
      <c r="D229" s="61">
        <f>Source!I920</f>
        <v>8.1600000000000006E-2</v>
      </c>
      <c r="E229" s="59"/>
    </row>
    <row r="230" spans="1:5" ht="14.25" x14ac:dyDescent="0.2">
      <c r="A230" s="58">
        <v>13</v>
      </c>
      <c r="B230" s="59" t="str">
        <f>Source!G922</f>
        <v>Розетка штепсельная неутопленного типа при открытой проводке</v>
      </c>
      <c r="C230" s="60" t="str">
        <f>Source!H922</f>
        <v>100 шт.</v>
      </c>
      <c r="D230" s="61">
        <f>Source!I922</f>
        <v>0.02</v>
      </c>
      <c r="E230" s="59"/>
    </row>
    <row r="231" spans="1:5" ht="28.5" x14ac:dyDescent="0.2">
      <c r="A231" s="58">
        <v>13.1</v>
      </c>
      <c r="B231" s="59" t="str">
        <f>Source!G924</f>
        <v>Розетка штепсельная, двухместная открытой установки, 10 А, 250 В, тип РА 10-386</v>
      </c>
      <c r="C231" s="60" t="str">
        <f>Source!H924</f>
        <v>шт.</v>
      </c>
      <c r="D231" s="61">
        <f>Source!I924</f>
        <v>2</v>
      </c>
      <c r="E231" s="59"/>
    </row>
    <row r="232" spans="1:5" ht="28.5" x14ac:dyDescent="0.2">
      <c r="A232" s="58">
        <v>14</v>
      </c>
      <c r="B232" s="59" t="str">
        <f>Source!G926</f>
        <v>Выключатель одноклавишный неутопленного типа при открытой проводке</v>
      </c>
      <c r="C232" s="60" t="str">
        <f>Source!H926</f>
        <v>100 шт.</v>
      </c>
      <c r="D232" s="61">
        <f>Source!I926</f>
        <v>0.02</v>
      </c>
      <c r="E232" s="59"/>
    </row>
    <row r="233" spans="1:5" ht="28.5" x14ac:dyDescent="0.2">
      <c r="A233" s="58">
        <v>14.1</v>
      </c>
      <c r="B233" s="59" t="str">
        <f>Source!G928</f>
        <v>Выключатель, напряжение 250 В, сила тока 10 А, открытой установки, степень защиты IP44, одноклавишный, тип ВА10-041</v>
      </c>
      <c r="C233" s="60" t="str">
        <f>Source!H928</f>
        <v>шт.</v>
      </c>
      <c r="D233" s="61">
        <f>Source!I928</f>
        <v>2</v>
      </c>
      <c r="E233" s="59"/>
    </row>
    <row r="234" spans="1:5" ht="16.5" x14ac:dyDescent="0.25">
      <c r="A234" s="118" t="str">
        <f>CONCATENATE("Локальная смета: ", Source!G991)</f>
        <v>Локальная смета: Система водоснабжения и водоотведения</v>
      </c>
      <c r="B234" s="118"/>
      <c r="C234" s="118"/>
      <c r="D234" s="118"/>
      <c r="E234" s="118"/>
    </row>
    <row r="235" spans="1:5" ht="16.5" x14ac:dyDescent="0.25">
      <c r="A235" s="118" t="str">
        <f>CONCATENATE("Раздел: ", Source!G995)</f>
        <v>Раздел: Демонтажные работы</v>
      </c>
      <c r="B235" s="118"/>
      <c r="C235" s="118"/>
      <c r="D235" s="118"/>
      <c r="E235" s="118"/>
    </row>
    <row r="236" spans="1:5" ht="14.25" x14ac:dyDescent="0.2">
      <c r="A236" s="58">
        <v>1</v>
      </c>
      <c r="B236" s="59" t="str">
        <f>Source!G999</f>
        <v>Демонтаж санитарно-технических приборов умывальников или раковин</v>
      </c>
      <c r="C236" s="60" t="str">
        <f>Source!H999</f>
        <v>100 компл.</v>
      </c>
      <c r="D236" s="61">
        <f>Source!I999</f>
        <v>0.01</v>
      </c>
      <c r="E236" s="59"/>
    </row>
    <row r="237" spans="1:5" ht="28.5" x14ac:dyDescent="0.2">
      <c r="A237" s="58">
        <v>2</v>
      </c>
      <c r="B237" s="59" t="str">
        <f>Source!G1001</f>
        <v>Демонтаж санитарно-технических приборов унитазов со смывным бачком</v>
      </c>
      <c r="C237" s="60" t="str">
        <f>Source!H1001</f>
        <v>100 компл.</v>
      </c>
      <c r="D237" s="61">
        <f>Source!I1001</f>
        <v>0.01</v>
      </c>
      <c r="E237" s="59"/>
    </row>
    <row r="238" spans="1:5" ht="42.75" x14ac:dyDescent="0.2">
      <c r="A238" s="58">
        <v>3</v>
      </c>
      <c r="B238" s="59" t="str">
        <f>Source!G1003</f>
        <v>Прокладка трубопроводов из напорных полиэтиленовых труб, наружным диаметром до 20 мм</v>
      </c>
      <c r="C238" s="60" t="str">
        <f>Source!H1003</f>
        <v>100 м трубопроводов</v>
      </c>
      <c r="D238" s="61">
        <f>Source!I1003</f>
        <v>0.1</v>
      </c>
      <c r="E238" s="59"/>
    </row>
    <row r="239" spans="1:5" ht="28.5" x14ac:dyDescent="0.2">
      <c r="A239" s="58">
        <v>4</v>
      </c>
      <c r="B239" s="59" t="str">
        <f>Source!G1005</f>
        <v>Прокладка трубопроводов канализации из ПВХ труб диаметром 100 мм - 150 мм</v>
      </c>
      <c r="C239" s="60" t="str">
        <f>Source!H1005</f>
        <v>100 м</v>
      </c>
      <c r="D239" s="61">
        <f>Source!I1005</f>
        <v>0.08</v>
      </c>
      <c r="E239" s="59"/>
    </row>
    <row r="240" spans="1:5" ht="16.5" x14ac:dyDescent="0.25">
      <c r="A240" s="118" t="str">
        <f>CONCATENATE("Раздел: ", Source!G1038)</f>
        <v>Раздел: Внутренние сети В1, Т3, В2</v>
      </c>
      <c r="B240" s="118"/>
      <c r="C240" s="118"/>
      <c r="D240" s="118"/>
      <c r="E240" s="118"/>
    </row>
    <row r="241" spans="1:5" ht="42.75" x14ac:dyDescent="0.2">
      <c r="A241" s="58">
        <v>5</v>
      </c>
      <c r="B241" s="59" t="str">
        <f>Source!G1042</f>
        <v>Прокладка трубопроводов из напорных полиэтиленовых труб, наружным диаметром до 20 мм</v>
      </c>
      <c r="C241" s="60" t="str">
        <f>Source!H1042</f>
        <v>100 м трубопроводов</v>
      </c>
      <c r="D241" s="61">
        <f>Source!I1042</f>
        <v>0.2</v>
      </c>
      <c r="E241" s="59"/>
    </row>
    <row r="242" spans="1:5" ht="28.5" x14ac:dyDescent="0.2">
      <c r="A242" s="58">
        <v>5.0999999999999996</v>
      </c>
      <c r="B242" s="59" t="str">
        <f>Source!G1044</f>
        <v>Трубы напорные PN20 (номинальное давление 20 атм) из полипропилена PPRC, наружный диаметр 20 мм</v>
      </c>
      <c r="C242" s="60" t="str">
        <f>Source!H1044</f>
        <v>м</v>
      </c>
      <c r="D242" s="61">
        <f>Source!I1044</f>
        <v>17.98</v>
      </c>
      <c r="E242" s="59"/>
    </row>
    <row r="243" spans="1:5" ht="28.5" x14ac:dyDescent="0.2">
      <c r="A243" s="58">
        <v>5.2</v>
      </c>
      <c r="B243" s="59" t="str">
        <f>Source!G1046</f>
        <v>Тройник переходной из сополимера полипропилена "Рандом Сополимер" PP-R тип 3 (PRC-R), диаметр 20-16-20 мм</v>
      </c>
      <c r="C243" s="60" t="str">
        <f>Source!H1046</f>
        <v>шт.</v>
      </c>
      <c r="D243" s="61">
        <f>Source!I1046</f>
        <v>5</v>
      </c>
      <c r="E243" s="59"/>
    </row>
    <row r="244" spans="1:5" ht="28.5" x14ac:dyDescent="0.2">
      <c r="A244" s="58">
        <v>5.3</v>
      </c>
      <c r="B244" s="59" t="str">
        <f>Source!G1048</f>
        <v>Угольник 90° из сополимера полипропилена "Рандом Сополимер" PP-R тип 3 (PRC-R), наружный диаметр 20 мм</v>
      </c>
      <c r="C244" s="60" t="str">
        <f>Source!H1048</f>
        <v>шт.</v>
      </c>
      <c r="D244" s="61">
        <f>Source!I1048</f>
        <v>12</v>
      </c>
      <c r="E244" s="59"/>
    </row>
    <row r="245" spans="1:5" ht="28.5" x14ac:dyDescent="0.2">
      <c r="A245" s="58">
        <v>5.4</v>
      </c>
      <c r="B245" s="59" t="str">
        <f>Source!G1050</f>
        <v>Муфта соединительная из сополимера полипропилена "Рандом Сополимер" PP-R тип 3 (PRC-R), наружный диаметр 20 мм</v>
      </c>
      <c r="C245" s="60" t="str">
        <f>Source!H1050</f>
        <v>шт.</v>
      </c>
      <c r="D245" s="61">
        <f>Source!I1050</f>
        <v>4</v>
      </c>
      <c r="E245" s="59"/>
    </row>
    <row r="246" spans="1:5" ht="28.5" x14ac:dyDescent="0.2">
      <c r="A246" s="58">
        <v>5.5</v>
      </c>
      <c r="B246" s="59" t="str">
        <f>Source!G1052</f>
        <v>Муфта комбинированная из сополимера полипропилена "Рандом Сополимер" PP-R тип 3 (PRC-R), наружная резьба, диаметр 20-32 мм</v>
      </c>
      <c r="C246" s="60" t="str">
        <f>Source!H1052</f>
        <v>шт.</v>
      </c>
      <c r="D246" s="61">
        <f>Source!I1052</f>
        <v>7</v>
      </c>
      <c r="E246" s="59"/>
    </row>
    <row r="247" spans="1:5" ht="42.75" x14ac:dyDescent="0.2">
      <c r="A247" s="58">
        <v>5.6</v>
      </c>
      <c r="B247" s="59" t="str">
        <f>Source!G1054</f>
        <v>Муфта комбинированная разъемная из сополимера полипропилена "Рандом Сополимер" PP-R тип 3 (PRC-R), наружная резьба, диаметр 20-32 мм</v>
      </c>
      <c r="C247" s="60" t="str">
        <f>Source!H1054</f>
        <v>шт.</v>
      </c>
      <c r="D247" s="61">
        <f>Source!I1054</f>
        <v>2</v>
      </c>
      <c r="E247" s="59"/>
    </row>
    <row r="248" spans="1:5" ht="42.75" x14ac:dyDescent="0.2">
      <c r="A248" s="58">
        <v>5.7</v>
      </c>
      <c r="B248" s="59" t="str">
        <f>Source!G1056</f>
        <v>Уголок полипропиленовый PP-R, комбинированный с металлом, с настенным креплением, для полипропиленовых труб, наружная резьба, PN 25, диаметр 20 мм - 1/2"</v>
      </c>
      <c r="C248" s="60" t="str">
        <f>Source!H1056</f>
        <v>шт.</v>
      </c>
      <c r="D248" s="61">
        <f>Source!I1056</f>
        <v>2</v>
      </c>
      <c r="E248" s="59"/>
    </row>
    <row r="249" spans="1:5" ht="28.5" x14ac:dyDescent="0.2">
      <c r="A249" s="58">
        <v>5.8</v>
      </c>
      <c r="B249" s="59" t="str">
        <f>Source!G1058</f>
        <v>Колена обводные из полипропилена PP-R80, для трубопроводов холодного и горячего водоснабжения, отопления, диаметр 20 мм</v>
      </c>
      <c r="C249" s="60" t="str">
        <f>Source!H1058</f>
        <v>шт.</v>
      </c>
      <c r="D249" s="61">
        <f>Source!I1058</f>
        <v>4</v>
      </c>
      <c r="E249" s="59"/>
    </row>
    <row r="250" spans="1:5" ht="28.5" x14ac:dyDescent="0.2">
      <c r="A250" s="58">
        <v>5.9</v>
      </c>
      <c r="B250" s="59" t="str">
        <f>Source!G1060</f>
        <v>Крепление-клипса полипропиленовая PP-R, одинарная (опора), для полипропиленовых труб, PN 25, диаметр 20 мм</v>
      </c>
      <c r="C250" s="60" t="str">
        <f>Source!H1060</f>
        <v>шт.</v>
      </c>
      <c r="D250" s="61">
        <f>Source!I1060</f>
        <v>20</v>
      </c>
      <c r="E250" s="59"/>
    </row>
    <row r="251" spans="1:5" ht="28.5" x14ac:dyDescent="0.2">
      <c r="A251" s="58">
        <v>6</v>
      </c>
      <c r="B251" s="59" t="str">
        <f>Source!G1062</f>
        <v>Изоляция трубопроводов изделиями из вспененного каучука, вспененного полиэтилена, трубками</v>
      </c>
      <c r="C251" s="60" t="str">
        <f>Source!H1062</f>
        <v>10 м изоляции</v>
      </c>
      <c r="D251" s="61">
        <f>Source!I1062</f>
        <v>1.6</v>
      </c>
      <c r="E251" s="59"/>
    </row>
    <row r="252" spans="1:5" ht="42.75" x14ac:dyDescent="0.2">
      <c r="A252" s="58">
        <v>6.1</v>
      </c>
      <c r="B252" s="59" t="str">
        <f>Source!G1064</f>
        <v>Лента из вспененного синтетического каучука, самоклеящаяся, для продольных и поперечных швов теплоизоляции, ширина 50 мм, толщина 3 мм</v>
      </c>
      <c r="C252" s="60" t="str">
        <f>Source!H1064</f>
        <v>м</v>
      </c>
      <c r="D252" s="61">
        <f>Source!I1064</f>
        <v>24</v>
      </c>
      <c r="E252" s="59"/>
    </row>
    <row r="253" spans="1:5" ht="71.25" x14ac:dyDescent="0.2">
      <c r="A253" s="58">
        <v>6.2</v>
      </c>
      <c r="B253" s="59" t="str">
        <f>Source!G1066</f>
        <v>Трубки теплоизоляционные из вспененного полиэтилена с закрытой ячеистой структурой, для тепло- и шумоизоляции внутренних инженерных систем, температура применения до +95°C, коэффициент теплопроводности при температуре 10°C не более 0,038 Вт/(м х °C), группа горючести Г1, внутренний диаметр 22 мм, толщина 9 мм</v>
      </c>
      <c r="C253" s="60" t="str">
        <f>Source!H1066</f>
        <v>м</v>
      </c>
      <c r="D253" s="61">
        <f>Source!I1066</f>
        <v>16.8</v>
      </c>
      <c r="E253" s="59"/>
    </row>
    <row r="254" spans="1:5" ht="42.75" x14ac:dyDescent="0.2">
      <c r="A254" s="58">
        <v>6.3</v>
      </c>
      <c r="B254" s="59" t="str">
        <f>Source!G1068</f>
        <v>Клей контактный, на основе полихлоропренового каучука, без ароматических растворителей, температура эксплуатации от -50 до +105°С, для склеивания гибких теплоизоляционных материалов</v>
      </c>
      <c r="C254" s="60" t="str">
        <f>Source!H1068</f>
        <v>л</v>
      </c>
      <c r="D254" s="61">
        <f>Source!I1068</f>
        <v>0.2</v>
      </c>
      <c r="E254" s="59"/>
    </row>
    <row r="255" spans="1:5" ht="28.5" x14ac:dyDescent="0.2">
      <c r="A255" s="58">
        <v>7</v>
      </c>
      <c r="B255" s="59" t="str">
        <f>Source!G1070</f>
        <v>Монтаж гибких подводок к водогазоразборной арматуре</v>
      </c>
      <c r="C255" s="60" t="str">
        <f>Source!H1070</f>
        <v>100 м подводок</v>
      </c>
      <c r="D255" s="61">
        <f>Source!I1070</f>
        <v>5.0000000000000001E-3</v>
      </c>
      <c r="E255" s="59"/>
    </row>
    <row r="256" spans="1:5" ht="28.5" x14ac:dyDescent="0.2">
      <c r="A256" s="58">
        <v>7.1</v>
      </c>
      <c r="B256" s="59" t="str">
        <f>Source!G1072</f>
        <v>Подводки к водоразборной арматуре, с двумя латунными накидными гайками, длина 500 мм</v>
      </c>
      <c r="C256" s="60" t="str">
        <f>Source!H1072</f>
        <v>КОМПЛЕКТ</v>
      </c>
      <c r="D256" s="61">
        <f>Source!I1072</f>
        <v>1</v>
      </c>
      <c r="E256" s="59"/>
    </row>
    <row r="257" spans="1:5" ht="28.5" x14ac:dyDescent="0.2">
      <c r="A257" s="58">
        <v>7.2</v>
      </c>
      <c r="B257" s="59" t="str">
        <f>Source!G1074</f>
        <v>Краны муфтовые шаровые полнопроходные, марка 11б27п1, давление 1,0 (10) МПа (кгс/см2), диаметр 15 мм</v>
      </c>
      <c r="C257" s="60" t="str">
        <f>Source!H1074</f>
        <v>шт.</v>
      </c>
      <c r="D257" s="61">
        <f>Source!I1074</f>
        <v>3</v>
      </c>
      <c r="E257" s="59"/>
    </row>
    <row r="258" spans="1:5" ht="28.5" x14ac:dyDescent="0.2">
      <c r="A258" s="58">
        <v>8</v>
      </c>
      <c r="B258" s="59" t="str">
        <f>Source!G1076</f>
        <v>Прокладка трубопроводов водоснабжения из стальных водогазопроводных оцинкованных труб диаметром 50 мм</v>
      </c>
      <c r="C258" s="60" t="str">
        <f>Source!H1076</f>
        <v>100 м трубопровода</v>
      </c>
      <c r="D258" s="61">
        <f>Source!I1076</f>
        <v>0.01</v>
      </c>
      <c r="E258" s="59"/>
    </row>
    <row r="259" spans="1:5" ht="28.5" x14ac:dyDescent="0.2">
      <c r="A259" s="58">
        <v>8.1</v>
      </c>
      <c r="B259" s="59" t="str">
        <f>Source!G1078</f>
        <v>Узлы трубопроводов из стальных водогазопроводных оцинкованных труб с гильзами для водоснабжения, диаметр условного прохода 20 мм</v>
      </c>
      <c r="C259" s="60" t="str">
        <f>Source!H1078</f>
        <v>м</v>
      </c>
      <c r="D259" s="61">
        <f>Source!I1078</f>
        <v>1</v>
      </c>
      <c r="E259" s="59"/>
    </row>
    <row r="260" spans="1:5" ht="28.5" x14ac:dyDescent="0.2">
      <c r="A260" s="58">
        <v>9</v>
      </c>
      <c r="B260" s="59" t="str">
        <f>Source!G1080</f>
        <v>Прокладка трубопроводов водоснабжения из стальных водогазопроводных оцинкованных труб диаметром 80 мм</v>
      </c>
      <c r="C260" s="60" t="str">
        <f>Source!H1080</f>
        <v>100 м трубопровода</v>
      </c>
      <c r="D260" s="61">
        <f>Source!I1080</f>
        <v>0.08</v>
      </c>
      <c r="E260" s="59"/>
    </row>
    <row r="261" spans="1:5" ht="28.5" x14ac:dyDescent="0.2">
      <c r="A261" s="58">
        <v>9.1</v>
      </c>
      <c r="B261" s="59" t="str">
        <f>Source!G1082</f>
        <v>Узлы трубопроводов из стальных водогазопроводных оцинкованных труб с гильзами для водоснабжения, диаметр условного прохода 80 мм</v>
      </c>
      <c r="C261" s="60" t="str">
        <f>Source!H1082</f>
        <v>м</v>
      </c>
      <c r="D261" s="61">
        <f>Source!I1082</f>
        <v>8</v>
      </c>
      <c r="E261" s="59"/>
    </row>
    <row r="262" spans="1:5" ht="14.25" x14ac:dyDescent="0.2">
      <c r="A262" s="58">
        <v>10</v>
      </c>
      <c r="B262" s="59" t="str">
        <f>Source!G1084</f>
        <v>Установка кранов пожарных диаметром 50 мм</v>
      </c>
      <c r="C262" s="60" t="str">
        <f>Source!H1084</f>
        <v>1 кран</v>
      </c>
      <c r="D262" s="61">
        <f>Source!I1084</f>
        <v>2</v>
      </c>
      <c r="E262" s="59"/>
    </row>
    <row r="263" spans="1:5" ht="42.75" x14ac:dyDescent="0.2">
      <c r="A263" s="58">
        <v>10.1</v>
      </c>
      <c r="B263" s="59" t="str">
        <f>Source!G1086</f>
        <v>Клапан латунный, запорный, проходной, с муфтой и цапкой, давление номинальное PN 1,6 МПа, диаметр номинальный DN 50 мм, для пожарных кранов</v>
      </c>
      <c r="C263" s="60" t="str">
        <f>Source!H1086</f>
        <v>шт.</v>
      </c>
      <c r="D263" s="61">
        <f>Source!I1086</f>
        <v>2</v>
      </c>
      <c r="E263" s="59"/>
    </row>
    <row r="264" spans="1:5" ht="14.25" x14ac:dyDescent="0.2">
      <c r="A264" s="58">
        <v>10.199999999999999</v>
      </c>
      <c r="B264" s="59" t="str">
        <f>Source!G1088</f>
        <v>Рукава пожарные напорные, льняные, диаметр 51 мм</v>
      </c>
      <c r="C264" s="60" t="str">
        <f>Source!H1088</f>
        <v>м</v>
      </c>
      <c r="D264" s="61">
        <f>Source!I1088</f>
        <v>40</v>
      </c>
      <c r="E264" s="59"/>
    </row>
    <row r="265" spans="1:5" ht="14.25" x14ac:dyDescent="0.2">
      <c r="A265" s="58">
        <v>10.3</v>
      </c>
      <c r="B265" s="59" t="str">
        <f>Source!G1090</f>
        <v>Корзина поворотная для пожарного рукава</v>
      </c>
      <c r="C265" s="60" t="str">
        <f>Source!H1090</f>
        <v>шт.</v>
      </c>
      <c r="D265" s="61">
        <f>Source!I1090</f>
        <v>2</v>
      </c>
      <c r="E265" s="59"/>
    </row>
    <row r="266" spans="1:5" ht="16.5" x14ac:dyDescent="0.25">
      <c r="A266" s="118" t="str">
        <f>CONCATENATE("Раздел: ", Source!G1123)</f>
        <v>Раздел: Внутренние сети  К1</v>
      </c>
      <c r="B266" s="118"/>
      <c r="C266" s="118"/>
      <c r="D266" s="118"/>
      <c r="E266" s="118"/>
    </row>
    <row r="267" spans="1:5" ht="14.25" x14ac:dyDescent="0.2">
      <c r="A267" s="58">
        <v>11</v>
      </c>
      <c r="B267" s="59" t="str">
        <f>Source!G1127</f>
        <v>Прокладка трубопроводов канализации из ПВХ труб диаметром до 50 мм</v>
      </c>
      <c r="C267" s="60" t="str">
        <f>Source!H1127</f>
        <v>100 м</v>
      </c>
      <c r="D267" s="61">
        <f>Source!I1127</f>
        <v>0.03</v>
      </c>
      <c r="E267" s="59"/>
    </row>
    <row r="268" spans="1:5" ht="28.5" x14ac:dyDescent="0.2">
      <c r="A268" s="58">
        <v>11.1</v>
      </c>
      <c r="B268" s="59" t="str">
        <f>Source!G1129</f>
        <v>Трубы из непластифицированного поливинилхлорида напорные, тип тяжелый, наружный диаметр 50 мм, толщина стенки 2,4 мм</v>
      </c>
      <c r="C268" s="60" t="str">
        <f>Source!H1129</f>
        <v>м</v>
      </c>
      <c r="D268" s="61">
        <f>Source!I1129</f>
        <v>2.9940000000000002</v>
      </c>
      <c r="E268" s="59"/>
    </row>
    <row r="269" spans="1:5" ht="28.5" x14ac:dyDescent="0.2">
      <c r="A269" s="58">
        <v>11.2</v>
      </c>
      <c r="B269" s="59" t="str">
        <f>Source!G1131</f>
        <v>Отводы для канализации из полиэтилена низкого давления, диаметр 50 мм, 45°</v>
      </c>
      <c r="C269" s="60" t="str">
        <f>Source!H1131</f>
        <v>шт.</v>
      </c>
      <c r="D269" s="61">
        <f>Source!I1131</f>
        <v>3</v>
      </c>
      <c r="E269" s="59"/>
    </row>
    <row r="270" spans="1:5" ht="28.5" x14ac:dyDescent="0.2">
      <c r="A270" s="58">
        <v>11.3</v>
      </c>
      <c r="B270" s="59" t="str">
        <f>Source!G1133</f>
        <v>Отводы для канализации из полиэтилена низкого давления, диаметр 50 мм, 90°</v>
      </c>
      <c r="C270" s="60" t="str">
        <f>Source!H1133</f>
        <v>шт.</v>
      </c>
      <c r="D270" s="61">
        <f>Source!I1133</f>
        <v>1</v>
      </c>
      <c r="E270" s="59"/>
    </row>
    <row r="271" spans="1:5" ht="14.25" x14ac:dyDescent="0.2">
      <c r="A271" s="58">
        <v>11.4</v>
      </c>
      <c r="B271" s="59" t="str">
        <f>Source!G1135</f>
        <v>Хомут сантехнический 1.1/4 (42-45 мм) со шпилькой и дюбелем</v>
      </c>
      <c r="C271" s="60" t="str">
        <f>Source!H1135</f>
        <v>шт.</v>
      </c>
      <c r="D271" s="61">
        <f>Source!I1135</f>
        <v>6</v>
      </c>
      <c r="E271" s="59"/>
    </row>
    <row r="272" spans="1:5" ht="28.5" x14ac:dyDescent="0.2">
      <c r="A272" s="58">
        <v>12</v>
      </c>
      <c r="B272" s="59" t="str">
        <f>Source!G1137</f>
        <v>Прокладка трубопроводов канализации из ПВХ труб диаметром 100 мм - 150 мм</v>
      </c>
      <c r="C272" s="60" t="str">
        <f>Source!H1137</f>
        <v>100 м</v>
      </c>
      <c r="D272" s="61">
        <f>Source!I1137</f>
        <v>2.5000000000000001E-2</v>
      </c>
      <c r="E272" s="59"/>
    </row>
    <row r="273" spans="1:5" ht="28.5" x14ac:dyDescent="0.2">
      <c r="A273" s="58">
        <v>12.1</v>
      </c>
      <c r="B273" s="59" t="str">
        <f>Source!G1139</f>
        <v>Трубы поливинилхлоридные для канализации, наружный диаметр 110 мм, толщина стенки 3,2 мм</v>
      </c>
      <c r="C273" s="60" t="str">
        <f>Source!H1139</f>
        <v>м</v>
      </c>
      <c r="D273" s="61">
        <f>Source!I1139</f>
        <v>2.4950000000000001</v>
      </c>
      <c r="E273" s="59"/>
    </row>
    <row r="274" spans="1:5" ht="28.5" x14ac:dyDescent="0.2">
      <c r="A274" s="58">
        <v>12.2</v>
      </c>
      <c r="B274" s="59" t="str">
        <f>Source!G1141</f>
        <v>Отводы для канализации из полиэтилена низкого давления, диаметр 108 мм, 45°</v>
      </c>
      <c r="C274" s="60" t="str">
        <f>Source!H1141</f>
        <v>шт.</v>
      </c>
      <c r="D274" s="61">
        <f>Source!I1141</f>
        <v>1</v>
      </c>
      <c r="E274" s="59"/>
    </row>
    <row r="275" spans="1:5" ht="28.5" x14ac:dyDescent="0.2">
      <c r="A275" s="58">
        <v>12.3</v>
      </c>
      <c r="B275" s="59" t="str">
        <f>Source!G1143</f>
        <v>Тройники для канализации из полиэтилена низкого давления, диаметр 50х50 мм, 90°</v>
      </c>
      <c r="C275" s="60" t="str">
        <f>Source!H1143</f>
        <v>шт.</v>
      </c>
      <c r="D275" s="61">
        <f>Source!I1143</f>
        <v>2</v>
      </c>
      <c r="E275" s="59"/>
    </row>
    <row r="276" spans="1:5" ht="28.5" x14ac:dyDescent="0.2">
      <c r="A276" s="58">
        <v>12.4</v>
      </c>
      <c r="B276" s="59" t="str">
        <f>Source!G1145</f>
        <v>Тройники из непластифицированного поливинилхлорида, диаметр, 110х50 мм, 90°</v>
      </c>
      <c r="C276" s="60" t="str">
        <f>Source!H1145</f>
        <v>шт.</v>
      </c>
      <c r="D276" s="61">
        <f>Source!I1145</f>
        <v>1</v>
      </c>
      <c r="E276" s="59"/>
    </row>
    <row r="277" spans="1:5" ht="14.25" x14ac:dyDescent="0.2">
      <c r="A277" s="58">
        <v>12.5</v>
      </c>
      <c r="B277" s="59" t="str">
        <f>Source!G1147</f>
        <v>Детали из полиэтилена для труб, переходы, диаметр 50х110 мм</v>
      </c>
      <c r="C277" s="60" t="str">
        <f>Source!H1147</f>
        <v>шт.</v>
      </c>
      <c r="D277" s="61">
        <f>Source!I1147</f>
        <v>1</v>
      </c>
      <c r="E277" s="59"/>
    </row>
    <row r="278" spans="1:5" ht="14.25" x14ac:dyDescent="0.2">
      <c r="A278" s="58">
        <v>12.6</v>
      </c>
      <c r="B278" s="59" t="str">
        <f>Source!G1149</f>
        <v>Манжета для унитаза гофрированная прямая d = 110 мм.</v>
      </c>
      <c r="C278" s="60" t="str">
        <f>Source!H1149</f>
        <v>шт.</v>
      </c>
      <c r="D278" s="61">
        <f>Source!I1149</f>
        <v>1</v>
      </c>
      <c r="E278" s="59"/>
    </row>
    <row r="279" spans="1:5" ht="14.25" x14ac:dyDescent="0.2">
      <c r="A279" s="58">
        <v>12.7</v>
      </c>
      <c r="B279" s="59" t="str">
        <f>Source!G1151</f>
        <v>Манжеты резиновые ступенчатые или конусные для унитазов</v>
      </c>
      <c r="C279" s="60" t="str">
        <f>Source!H1151</f>
        <v>шт.</v>
      </c>
      <c r="D279" s="61">
        <f>Source!I1151</f>
        <v>1</v>
      </c>
      <c r="E279" s="59"/>
    </row>
    <row r="280" spans="1:5" ht="14.25" x14ac:dyDescent="0.2">
      <c r="A280" s="58">
        <v>12.8</v>
      </c>
      <c r="B280" s="59" t="str">
        <f>Source!G1153</f>
        <v>Хомут сантехнический 4" (108-114 мм) со шпилькой и дюбелем</v>
      </c>
      <c r="C280" s="60" t="str">
        <f>Source!H1153</f>
        <v>шт.</v>
      </c>
      <c r="D280" s="61">
        <f>Source!I1153</f>
        <v>8</v>
      </c>
      <c r="E280" s="59"/>
    </row>
    <row r="281" spans="1:5" ht="16.5" x14ac:dyDescent="0.25">
      <c r="A281" s="118" t="str">
        <f>CONCATENATE("Раздел: ", Source!G1186)</f>
        <v>Раздел: Приборы и оборудование</v>
      </c>
      <c r="B281" s="118"/>
      <c r="C281" s="118"/>
      <c r="D281" s="118"/>
      <c r="E281" s="118"/>
    </row>
    <row r="282" spans="1:5" ht="28.5" x14ac:dyDescent="0.2">
      <c r="A282" s="58">
        <v>13</v>
      </c>
      <c r="B282" s="59" t="str">
        <f>Source!G1190</f>
        <v>Установка умывальников одиночных с подводкой холодной и горячей воды</v>
      </c>
      <c r="C282" s="60" t="str">
        <f>Source!H1190</f>
        <v>1 комплект</v>
      </c>
      <c r="D282" s="61">
        <f>Source!I1190</f>
        <v>2</v>
      </c>
      <c r="E282" s="59"/>
    </row>
    <row r="283" spans="1:5" ht="28.5" x14ac:dyDescent="0.2">
      <c r="A283" s="58">
        <v>13.1</v>
      </c>
      <c r="B283" s="59" t="str">
        <f>Source!G1192</f>
        <v>Раковина Jika Mio 8137140001049 для людей с ограниченными возможностями (медицинская)</v>
      </c>
      <c r="C283" s="60" t="str">
        <f>Source!H1192</f>
        <v>шт.</v>
      </c>
      <c r="D283" s="61">
        <f>Source!I1192</f>
        <v>2</v>
      </c>
      <c r="E283" s="59"/>
    </row>
    <row r="284" spans="1:5" ht="28.5" x14ac:dyDescent="0.2">
      <c r="A284" s="58">
        <v>13.2</v>
      </c>
      <c r="B284" s="59" t="str">
        <f>Source!G1194</f>
        <v>Смеситель для умывальника с локтевой рукояткой,PROJECT LM4611C, LEMARK, излив 200</v>
      </c>
      <c r="C284" s="60" t="str">
        <f>Source!H1194</f>
        <v>шт.</v>
      </c>
      <c r="D284" s="61">
        <f>Source!I1194</f>
        <v>2</v>
      </c>
      <c r="E284" s="59"/>
    </row>
    <row r="285" spans="1:5" ht="14.25" x14ac:dyDescent="0.2">
      <c r="A285" s="58">
        <v>14</v>
      </c>
      <c r="B285" s="59" t="str">
        <f>Source!G1198</f>
        <v>Установка унитазов с бачком непосредстенно присоединенным</v>
      </c>
      <c r="C285" s="60" t="str">
        <f>Source!H1198</f>
        <v>1 комплект</v>
      </c>
      <c r="D285" s="61">
        <f>Source!I1198</f>
        <v>1</v>
      </c>
      <c r="E285" s="59"/>
    </row>
    <row r="286" spans="1:5" ht="28.5" x14ac:dyDescent="0.2">
      <c r="A286" s="58">
        <v>14.1</v>
      </c>
      <c r="B286" s="59" t="str">
        <f>Source!G1200</f>
        <v>Унитаз-компакт VitrA Conforma 9832B003-7204 для людей с ограниченными возможностями</v>
      </c>
      <c r="C286" s="60" t="str">
        <f>Source!H1200</f>
        <v>компл.</v>
      </c>
      <c r="D286" s="61">
        <f>Source!I1200</f>
        <v>1</v>
      </c>
      <c r="E286" s="59"/>
    </row>
    <row r="287" spans="1:5" ht="42.75" x14ac:dyDescent="0.2">
      <c r="A287" s="58">
        <v>14.2</v>
      </c>
      <c r="B287" s="59" t="str">
        <f>Source!G1208</f>
        <v>Патрубок полипропиленовый, отводящий, для унитазов, с эксцентриком 15 мм, губчатой прокладкой, для керамического штуцера, длина 160 мм, диаметр 110 мм</v>
      </c>
      <c r="C287" s="60" t="str">
        <f>Source!H1208</f>
        <v>шт.</v>
      </c>
      <c r="D287" s="61">
        <f>Source!I1208</f>
        <v>1</v>
      </c>
      <c r="E287" s="59"/>
    </row>
    <row r="288" spans="1:5" ht="14.25" x14ac:dyDescent="0.2">
      <c r="A288" s="58">
        <v>15</v>
      </c>
      <c r="B288" s="59" t="str">
        <f>Source!G1210</f>
        <v>Установка поддонов душевых чугунных и стальных мелких</v>
      </c>
      <c r="C288" s="60" t="str">
        <f>Source!H1210</f>
        <v>1 комплект</v>
      </c>
      <c r="D288" s="61">
        <f>Source!I1210</f>
        <v>1</v>
      </c>
      <c r="E288" s="59"/>
    </row>
    <row r="289" spans="1:5" ht="42.75" x14ac:dyDescent="0.2">
      <c r="A289" s="58">
        <v>15.1</v>
      </c>
      <c r="B289" s="59" t="str">
        <f>Source!G1214</f>
        <v>Поддоны душевые чугунные эмалированные, размер 800х800х167 мм, мелкие, в комплекте с сифоном СПРЧПМ (СПРППМ) и выпуском ВСЛВН (ВСПВН),</v>
      </c>
      <c r="C289" s="60" t="str">
        <f>Source!H1214</f>
        <v>КОМПЛЕКТ</v>
      </c>
      <c r="D289" s="61">
        <f>Source!I1214</f>
        <v>1</v>
      </c>
      <c r="E289" s="59"/>
    </row>
    <row r="290" spans="1:5" ht="14.25" x14ac:dyDescent="0.2">
      <c r="A290" s="58">
        <v>16</v>
      </c>
      <c r="B290" s="59" t="str">
        <f>Source!G1216</f>
        <v>Установка смесителей</v>
      </c>
      <c r="C290" s="60" t="str">
        <f>Source!H1216</f>
        <v>1  ШТ.</v>
      </c>
      <c r="D290" s="61">
        <f>Source!I1216</f>
        <v>1</v>
      </c>
      <c r="E290" s="59"/>
    </row>
    <row r="291" spans="1:5" ht="14.25" x14ac:dyDescent="0.2">
      <c r="A291" s="58">
        <v>16.100000000000001</v>
      </c>
      <c r="B291" s="59" t="str">
        <f>Source!G1218</f>
        <v>Смеситель для ванны Grohe BauEdge New хром</v>
      </c>
      <c r="C291" s="60" t="str">
        <f>Source!H1218</f>
        <v>шт.</v>
      </c>
      <c r="D291" s="61">
        <f>Source!I1218</f>
        <v>1</v>
      </c>
      <c r="E291" s="59"/>
    </row>
    <row r="292" spans="1:5" ht="16.5" x14ac:dyDescent="0.25">
      <c r="A292" s="118" t="str">
        <f>CONCATENATE("Раздел: ", Source!G1253)</f>
        <v>Раздел: Прочие работы</v>
      </c>
      <c r="B292" s="118"/>
      <c r="C292" s="118"/>
      <c r="D292" s="118"/>
      <c r="E292" s="118"/>
    </row>
    <row r="293" spans="1:5" ht="28.5" x14ac:dyDescent="0.2">
      <c r="A293" s="58">
        <v>17</v>
      </c>
      <c r="B293" s="59" t="str">
        <f>Source!G1257</f>
        <v>Механизированная погрузка строительного мусора в автомобили-самосвалы</v>
      </c>
      <c r="C293" s="60" t="str">
        <f>Source!H1257</f>
        <v>1 Т</v>
      </c>
      <c r="D293" s="61">
        <f>Source!I1257</f>
        <v>4.8899999999999999E-2</v>
      </c>
      <c r="E293" s="59"/>
    </row>
    <row r="294" spans="1:5" ht="28.5" x14ac:dyDescent="0.2">
      <c r="A294" s="58">
        <v>18</v>
      </c>
      <c r="B294" s="59" t="str">
        <f>Source!G1259</f>
        <v>Перевозка строительного мусора на расстояние до 42 км автосамосвалами грузоподъемностью до 10 т</v>
      </c>
      <c r="C294" s="60" t="str">
        <f>Source!H1259</f>
        <v>т</v>
      </c>
      <c r="D294" s="61">
        <f>Source!I1259</f>
        <v>4.8899999999999999E-2</v>
      </c>
      <c r="E294" s="59"/>
    </row>
    <row r="295" spans="1:5" ht="14.25" x14ac:dyDescent="0.2">
      <c r="A295" s="58">
        <v>19</v>
      </c>
      <c r="B295" s="59" t="str">
        <f>Source!G1261</f>
        <v>Отходы (мусор) от строительных и ремонтных работ малоопасные</v>
      </c>
      <c r="C295" s="60" t="str">
        <f>Source!H1261</f>
        <v>1 Т</v>
      </c>
      <c r="D295" s="61">
        <f>Source!I1261</f>
        <v>4.8899999999999999E-2</v>
      </c>
      <c r="E295" s="59"/>
    </row>
    <row r="296" spans="1:5" ht="16.5" x14ac:dyDescent="0.25">
      <c r="A296" s="118" t="str">
        <f>CONCATENATE("Локальная смета: ", Source!G1324)</f>
        <v>Локальная смета: Мероприятия по обеспечению доступа инвалидов</v>
      </c>
      <c r="B296" s="118"/>
      <c r="C296" s="118"/>
      <c r="D296" s="118"/>
      <c r="E296" s="118"/>
    </row>
    <row r="297" spans="1:5" ht="16.5" x14ac:dyDescent="0.25">
      <c r="A297" s="118" t="str">
        <f>CONCATENATE("Раздел: ", Source!G1328)</f>
        <v>Раздел: Монтажные работы</v>
      </c>
      <c r="B297" s="118"/>
      <c r="C297" s="118"/>
      <c r="D297" s="118"/>
      <c r="E297" s="118"/>
    </row>
    <row r="298" spans="1:5" ht="28.5" x14ac:dyDescent="0.2">
      <c r="A298" s="58">
        <v>1</v>
      </c>
      <c r="B298" s="59" t="str">
        <f>Source!G1332</f>
        <v>Устройство покрытий из рулонного линолеума на тканевой основе</v>
      </c>
      <c r="C298" s="60" t="str">
        <f>Source!H1332</f>
        <v>100 м2 покрытия</v>
      </c>
      <c r="D298" s="61">
        <f>Source!I1332</f>
        <v>8.9999999999999998E-4</v>
      </c>
      <c r="E298" s="59"/>
    </row>
    <row r="299" spans="1:5" ht="14.25" x14ac:dyDescent="0.2">
      <c r="A299" s="58">
        <v>1.1000000000000001</v>
      </c>
      <c r="B299" s="59" t="str">
        <f>Source!G1334</f>
        <v>Клей на основе акриловой дисперсии, АДМ-К</v>
      </c>
      <c r="C299" s="60" t="str">
        <f>Source!H1334</f>
        <v>т</v>
      </c>
      <c r="D299" s="61">
        <f>Source!I1334</f>
        <v>4.1999999999999998E-5</v>
      </c>
      <c r="E299" s="59"/>
    </row>
    <row r="300" spans="1:5" ht="14.25" x14ac:dyDescent="0.2">
      <c r="A300" s="58">
        <v>1.2</v>
      </c>
      <c r="B300" s="59" t="str">
        <f>Source!G1336</f>
        <v>Цветная нескользящая лента Л-25, светонакопительная. 25мм</v>
      </c>
      <c r="C300" s="60" t="str">
        <f>Source!H1336</f>
        <v>м</v>
      </c>
      <c r="D300" s="61">
        <f>Source!I1336</f>
        <v>3.6</v>
      </c>
      <c r="E300" s="59"/>
    </row>
    <row r="301" spans="1:5" ht="28.5" x14ac:dyDescent="0.2">
      <c r="A301" s="58">
        <v>2</v>
      </c>
      <c r="B301" s="59" t="str">
        <f>Source!G1338</f>
        <v>Укладка наземных тактильных плит (указателей) на слой сухой цементно-песчаной смеси вручную, плитка размером 500х500х100 (80) мм</v>
      </c>
      <c r="C301" s="60" t="str">
        <f>Source!H1338</f>
        <v>10 шт.</v>
      </c>
      <c r="D301" s="61">
        <f>Source!I1338</f>
        <v>15.7</v>
      </c>
      <c r="E301" s="59"/>
    </row>
    <row r="302" spans="1:5" ht="28.5" x14ac:dyDescent="0.2">
      <c r="A302" s="58">
        <v>2.1</v>
      </c>
      <c r="B302" s="59" t="str">
        <f>Source!G1340</f>
        <v>Смеси сухие монтажно-кладочные цементно-песчаные, В7,5 (М100), F50, крупность заполнителя не более 3,5 мм</v>
      </c>
      <c r="C302" s="60" t="str">
        <f>Source!H1340</f>
        <v>т</v>
      </c>
      <c r="D302" s="61">
        <f>Source!I1340</f>
        <v>2.2529499999999998</v>
      </c>
      <c r="E302" s="59"/>
    </row>
    <row r="303" spans="1:5" ht="14.25" x14ac:dyDescent="0.2">
      <c r="A303" s="58">
        <v>2.2000000000000002</v>
      </c>
      <c r="B303" s="59" t="str">
        <f>Source!G1342</f>
        <v>Плиты бетонные тротуарные тактильные, толщина 100 мм, цвет серый</v>
      </c>
      <c r="C303" s="60" t="str">
        <f>Source!H1342</f>
        <v>шт.</v>
      </c>
      <c r="D303" s="61">
        <f>Source!I1342</f>
        <v>157</v>
      </c>
      <c r="E303" s="59"/>
    </row>
    <row r="304" spans="1:5" ht="28.5" x14ac:dyDescent="0.2">
      <c r="A304" s="58">
        <v>3</v>
      </c>
      <c r="B304" s="59" t="str">
        <f>Source!G1346</f>
        <v>Установка и контрольные испытания подъемников для инвалидов-колясочников, подъемники вертикальные (изд. пви-220)</v>
      </c>
      <c r="C304" s="60" t="str">
        <f>Source!H1346</f>
        <v>1 подъемник</v>
      </c>
      <c r="D304" s="61">
        <f>Source!I1346</f>
        <v>1</v>
      </c>
      <c r="E304" s="59"/>
    </row>
    <row r="305" spans="1:5" ht="14.25" x14ac:dyDescent="0.2">
      <c r="A305" s="58">
        <v>4</v>
      </c>
      <c r="B305" s="59" t="str">
        <f>Source!G1348</f>
        <v>Установка номерных табличек для квартир</v>
      </c>
      <c r="C305" s="60" t="str">
        <f>Source!H1348</f>
        <v>1  ШТ.</v>
      </c>
      <c r="D305" s="61">
        <f>Source!I1348</f>
        <v>17</v>
      </c>
      <c r="E305" s="59"/>
    </row>
    <row r="306" spans="1:5" ht="14.25" x14ac:dyDescent="0.2">
      <c r="A306" s="58">
        <v>4.0999999999999996</v>
      </c>
      <c r="B306" s="59" t="str">
        <f>Source!G1350</f>
        <v>Пиктограмма тактильная</v>
      </c>
      <c r="C306" s="60" t="str">
        <f>Source!H1350</f>
        <v>шт.</v>
      </c>
      <c r="D306" s="61">
        <f>Source!I1350</f>
        <v>14</v>
      </c>
      <c r="E306" s="59"/>
    </row>
    <row r="307" spans="1:5" ht="14.25" x14ac:dyDescent="0.2">
      <c r="A307" s="58">
        <v>4.2</v>
      </c>
      <c r="B307" s="59" t="str">
        <f>Source!G1352</f>
        <v>Таблички с шрифтом Брайля</v>
      </c>
      <c r="C307" s="60" t="str">
        <f>Source!H1352</f>
        <v>шт.</v>
      </c>
      <c r="D307" s="61">
        <f>Source!I1352</f>
        <v>3</v>
      </c>
      <c r="E307" s="59"/>
    </row>
    <row r="308" spans="1:5" ht="28.5" x14ac:dyDescent="0.2">
      <c r="A308" s="58">
        <v>5</v>
      </c>
      <c r="B308" s="59" t="str">
        <f>Source!G1354</f>
        <v>Установка гарнитуры туалетной вешалок, подстаканников, поручней для ванн и т.п.</v>
      </c>
      <c r="C308" s="60" t="str">
        <f>Source!H1354</f>
        <v>1  ШТ.</v>
      </c>
      <c r="D308" s="61">
        <f>Source!I1354</f>
        <v>10</v>
      </c>
      <c r="E308" s="59"/>
    </row>
    <row r="309" spans="1:5" ht="16.5" x14ac:dyDescent="0.25">
      <c r="A309" s="118" t="str">
        <f>CONCATENATE("Раздел: ", Source!G1387)</f>
        <v>Раздел: Оборудование</v>
      </c>
      <c r="B309" s="118"/>
      <c r="C309" s="118"/>
      <c r="D309" s="118"/>
      <c r="E309" s="118"/>
    </row>
    <row r="310" spans="1:5" ht="42.75" x14ac:dyDescent="0.2">
      <c r="A310" s="58">
        <v>6</v>
      </c>
      <c r="B310" s="59" t="str">
        <f>Source!G1393</f>
        <v>Крючок для подвески костылей, размеры 120х32 мм. Материал сталь нержавеющая с полировкой, крепление стена одна точка, в комплекте: прокладки-амортизаторы резиновые, крепежные элементы</v>
      </c>
      <c r="C310" s="60" t="str">
        <f>Source!H1393</f>
        <v>КОМПЛЕКТ</v>
      </c>
      <c r="D310" s="61">
        <f>Source!I1393</f>
        <v>1</v>
      </c>
      <c r="E310" s="59"/>
    </row>
    <row r="311" spans="1:5" ht="14.25" x14ac:dyDescent="0.2">
      <c r="A311" s="58">
        <v>7</v>
      </c>
      <c r="B311" s="59" t="str">
        <f>Source!G1405</f>
        <v>Вертикальный подъемник ПТУ – 001Б</v>
      </c>
      <c r="C311" s="60" t="str">
        <f>Source!H1405</f>
        <v>шт.</v>
      </c>
      <c r="D311" s="61">
        <f>Source!I1405</f>
        <v>1</v>
      </c>
      <c r="E311" s="59"/>
    </row>
    <row r="312" spans="1:5" ht="14.25" x14ac:dyDescent="0.2">
      <c r="A312" s="58">
        <v>8</v>
      </c>
      <c r="B312" s="59" t="str">
        <f>Source!G1407</f>
        <v>Штанга с навесными рукоятками</v>
      </c>
      <c r="C312" s="60" t="str">
        <f>Source!H1407</f>
        <v>шт.</v>
      </c>
      <c r="D312" s="61">
        <f>Source!I1407</f>
        <v>4</v>
      </c>
      <c r="E312" s="59"/>
    </row>
    <row r="313" spans="1:5" ht="14.25" x14ac:dyDescent="0.2">
      <c r="A313" s="58">
        <v>9</v>
      </c>
      <c r="B313" s="59" t="str">
        <f>Source!G1409</f>
        <v>Поручень откидной</v>
      </c>
      <c r="C313" s="60" t="str">
        <f>Source!H1409</f>
        <v>шт.</v>
      </c>
      <c r="D313" s="61">
        <f>Source!I1409</f>
        <v>2</v>
      </c>
      <c r="E313" s="59"/>
    </row>
    <row r="314" spans="1:5" ht="14.25" x14ac:dyDescent="0.2">
      <c r="A314" s="58">
        <v>10</v>
      </c>
      <c r="B314" s="59" t="str">
        <f>Source!G1411</f>
        <v>Поручень опорный настенный прямой</v>
      </c>
      <c r="C314" s="60" t="str">
        <f>Source!H1411</f>
        <v>шт.</v>
      </c>
      <c r="D314" s="61">
        <f>Source!I1411</f>
        <v>1</v>
      </c>
      <c r="E314" s="59"/>
    </row>
    <row r="315" spans="1:5" ht="28.5" x14ac:dyDescent="0.2">
      <c r="A315" s="58">
        <v>11</v>
      </c>
      <c r="B315" s="59" t="str">
        <f>Source!G1413</f>
        <v>Поручень реабилитационный настенный, размеры 1500х90 мм, в комплекте с креплением</v>
      </c>
      <c r="C315" s="60" t="str">
        <f>Source!H1413</f>
        <v>шт.</v>
      </c>
      <c r="D315" s="61">
        <f>Source!I1413</f>
        <v>1</v>
      </c>
      <c r="E315" s="59"/>
    </row>
    <row r="316" spans="1:5" ht="14.25" x14ac:dyDescent="0.2">
      <c r="A316" s="58">
        <v>12</v>
      </c>
      <c r="B316" s="59" t="str">
        <f>Source!G1415</f>
        <v>Поручень для раковины для инвалидов</v>
      </c>
      <c r="C316" s="60" t="str">
        <f>Source!H1415</f>
        <v>шт.</v>
      </c>
      <c r="D316" s="61">
        <f>Source!I1415</f>
        <v>1</v>
      </c>
      <c r="E316" s="59"/>
    </row>
    <row r="317" spans="1:5" ht="16.5" x14ac:dyDescent="0.25">
      <c r="A317" s="118" t="str">
        <f>CONCATENATE("Локальная смета: ", Source!G1478)</f>
        <v>Локальная смета: Возврат материалов</v>
      </c>
      <c r="B317" s="118"/>
      <c r="C317" s="118"/>
      <c r="D317" s="118"/>
      <c r="E317" s="118"/>
    </row>
    <row r="318" spans="1:5" ht="28.5" x14ac:dyDescent="0.2">
      <c r="A318" s="54">
        <v>1</v>
      </c>
      <c r="B318" s="55" t="str">
        <f>Source!G1482</f>
        <v>Стальной лом черных металлов, вид лома 12А, для расчета возвратных сумм</v>
      </c>
      <c r="C318" s="56" t="str">
        <f>Source!H1482</f>
        <v>т</v>
      </c>
      <c r="D318" s="57">
        <f>Source!I1482</f>
        <v>1.05</v>
      </c>
      <c r="E318" s="55"/>
    </row>
    <row r="321" spans="1:5" ht="15" x14ac:dyDescent="0.25">
      <c r="A321" s="22" t="s">
        <v>1725</v>
      </c>
      <c r="B321" s="22"/>
      <c r="C321" s="22" t="s">
        <v>1726</v>
      </c>
      <c r="D321" s="22"/>
      <c r="E321" s="22"/>
    </row>
  </sheetData>
  <mergeCells count="30">
    <mergeCell ref="A20:E20"/>
    <mergeCell ref="C5:D5"/>
    <mergeCell ref="C7:D7"/>
    <mergeCell ref="A11:D11"/>
    <mergeCell ref="A12:D12"/>
    <mergeCell ref="A19:E19"/>
    <mergeCell ref="A197:E197"/>
    <mergeCell ref="A22:E22"/>
    <mergeCell ref="A33:E33"/>
    <mergeCell ref="A34:E34"/>
    <mergeCell ref="A54:E54"/>
    <mergeCell ref="A110:E110"/>
    <mergeCell ref="A115:E115"/>
    <mergeCell ref="A116:E116"/>
    <mergeCell ref="A121:E121"/>
    <mergeCell ref="A156:E156"/>
    <mergeCell ref="A157:E157"/>
    <mergeCell ref="A185:E185"/>
    <mergeCell ref="A317:E317"/>
    <mergeCell ref="A198:E198"/>
    <mergeCell ref="A201:E201"/>
    <mergeCell ref="A234:E234"/>
    <mergeCell ref="A235:E235"/>
    <mergeCell ref="A240:E240"/>
    <mergeCell ref="A266:E266"/>
    <mergeCell ref="A281:E281"/>
    <mergeCell ref="A292:E292"/>
    <mergeCell ref="A296:E296"/>
    <mergeCell ref="A297:E297"/>
    <mergeCell ref="A309:E309"/>
  </mergeCells>
  <pageMargins left="0.4" right="0.2" top="0.2" bottom="0.4" header="0.2" footer="0.2"/>
  <pageSetup paperSize="9" scale="77" fitToHeight="0" orientation="portrait" horizontalDpi="4294967295" verticalDpi="4294967295" r:id="rId1"/>
  <headerFooter>
    <oddHeader>&amp;L&amp;8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90"/>
  <sheetViews>
    <sheetView zoomScaleNormal="100" workbookViewId="0">
      <selection sqref="A1:D1"/>
    </sheetView>
  </sheetViews>
  <sheetFormatPr defaultRowHeight="12.75" x14ac:dyDescent="0.2"/>
  <cols>
    <col min="1" max="1" width="5.7109375" customWidth="1"/>
    <col min="2" max="2" width="30.7109375" customWidth="1"/>
    <col min="3" max="3" width="40.7109375" customWidth="1"/>
    <col min="4" max="8" width="15.7109375" customWidth="1"/>
    <col min="9" max="10" width="12.7109375" customWidth="1"/>
    <col min="30" max="30" width="157.7109375" hidden="1" customWidth="1"/>
    <col min="31" max="31" width="0" hidden="1" customWidth="1"/>
    <col min="34" max="34" width="0" hidden="1" customWidth="1"/>
  </cols>
  <sheetData>
    <row r="1" spans="1:10" x14ac:dyDescent="0.2">
      <c r="A1" s="130" t="str">
        <f>SourceObSm!B1</f>
        <v>Smeta.RU  (495) 974-1589</v>
      </c>
      <c r="B1" s="130"/>
      <c r="C1" s="130"/>
      <c r="D1" s="130"/>
    </row>
    <row r="2" spans="1:10" ht="15" x14ac:dyDescent="0.25">
      <c r="A2" s="62"/>
      <c r="B2" s="62"/>
      <c r="C2" s="62"/>
      <c r="D2" s="62"/>
      <c r="E2" s="62"/>
      <c r="F2" s="62"/>
      <c r="G2" s="62"/>
      <c r="H2" s="62"/>
      <c r="I2" s="13"/>
      <c r="J2" s="63" t="s">
        <v>1727</v>
      </c>
    </row>
    <row r="3" spans="1:10" ht="14.25" x14ac:dyDescent="0.2">
      <c r="A3" s="64"/>
      <c r="B3" s="13"/>
      <c r="C3" s="13"/>
      <c r="D3" s="13"/>
      <c r="E3" s="13"/>
      <c r="F3" s="13"/>
      <c r="G3" s="13"/>
      <c r="H3" s="13"/>
      <c r="I3" s="13"/>
      <c r="J3" s="13"/>
    </row>
    <row r="4" spans="1:10" ht="14.25" x14ac:dyDescent="0.2">
      <c r="A4" s="65"/>
      <c r="B4" s="126" t="str">
        <f>IF(SourceObSm!G4&lt;&gt;"",SourceObSm!G4,IF(SourceObSm!F4&lt;&gt;"",SourceObSm!F4,IF(SourceObSm!G5&lt;&gt;"",SourceObSm!G5,IF(SourceObSm!F5&lt;&gt;"",SourceObSm!F5,IF(SourceObSm!G6&lt;&gt;"",SourceObSm!G6,IF(SourceObSm!G12&lt;&gt;"",SourceObSm!G12," "))))))</f>
        <v>Ерамешанцева_(Копия)</v>
      </c>
      <c r="C4" s="126"/>
      <c r="D4" s="126"/>
      <c r="E4" s="126"/>
      <c r="F4" s="126"/>
      <c r="G4" s="126"/>
      <c r="H4" s="126"/>
      <c r="I4" s="126"/>
      <c r="J4" s="65"/>
    </row>
    <row r="5" spans="1:10" ht="14.25" x14ac:dyDescent="0.2">
      <c r="A5" s="65"/>
      <c r="B5" s="127" t="s">
        <v>1728</v>
      </c>
      <c r="C5" s="127"/>
      <c r="D5" s="127"/>
      <c r="E5" s="127"/>
      <c r="F5" s="127"/>
      <c r="G5" s="127"/>
      <c r="H5" s="127"/>
      <c r="I5" s="127"/>
      <c r="J5" s="65"/>
    </row>
    <row r="6" spans="1:10" ht="14.25" x14ac:dyDescent="0.2">
      <c r="A6" s="64"/>
      <c r="B6" s="13"/>
      <c r="C6" s="13"/>
      <c r="D6" s="13"/>
      <c r="E6" s="13"/>
      <c r="F6" s="13"/>
      <c r="G6" s="13"/>
      <c r="H6" s="13"/>
      <c r="I6" s="13"/>
      <c r="J6" s="13"/>
    </row>
    <row r="7" spans="1:10" ht="15.75" x14ac:dyDescent="0.2">
      <c r="A7" s="66"/>
      <c r="B7" s="128" t="str">
        <f>CONCATENATE( "ОБЪЕКТНЫЙ СМЕТНЫЙ РАСЧЕТ № ", SourceObSm!F12)</f>
        <v>ОБЪЕКТНЫЙ СМЕТНЫЙ РАСЧЕТ № Новый объект_(Копия)</v>
      </c>
      <c r="C7" s="128"/>
      <c r="D7" s="128"/>
      <c r="E7" s="128"/>
      <c r="F7" s="128"/>
      <c r="G7" s="128"/>
      <c r="H7" s="128"/>
      <c r="I7" s="128"/>
      <c r="J7" s="18"/>
    </row>
    <row r="8" spans="1:10" ht="15" x14ac:dyDescent="0.2">
      <c r="A8" s="67"/>
      <c r="B8" s="99" t="s">
        <v>1729</v>
      </c>
      <c r="C8" s="99"/>
      <c r="D8" s="99"/>
      <c r="E8" s="99"/>
      <c r="F8" s="99"/>
      <c r="G8" s="99"/>
      <c r="H8" s="99"/>
      <c r="I8" s="99"/>
      <c r="J8" s="68"/>
    </row>
    <row r="9" spans="1:10" ht="14.25" x14ac:dyDescent="0.2">
      <c r="A9" s="64"/>
      <c r="B9" s="13"/>
      <c r="C9" s="13"/>
      <c r="D9" s="13"/>
      <c r="E9" s="13"/>
      <c r="F9" s="13"/>
      <c r="G9" s="13"/>
      <c r="H9" s="13"/>
      <c r="I9" s="13"/>
      <c r="J9" s="13"/>
    </row>
    <row r="10" spans="1:10" ht="14.25" x14ac:dyDescent="0.2">
      <c r="A10" s="69"/>
      <c r="B10" s="126" t="str">
        <f>CONCATENATE( "на строительство (капитальный ремонт) ",IF(SourceObSm!G12&lt;&gt;"",SourceObSm!G12,IF(SourceObSm!F12&lt;&gt;"",SourceObSm!F12," ")))</f>
        <v>на строительство (капитальный ремонт) Ерамешанцева_(Копия)</v>
      </c>
      <c r="C10" s="126"/>
      <c r="D10" s="126"/>
      <c r="E10" s="126"/>
      <c r="F10" s="126"/>
      <c r="G10" s="126"/>
      <c r="H10" s="126"/>
      <c r="I10" s="126"/>
      <c r="J10" s="65"/>
    </row>
    <row r="11" spans="1:10" ht="14.25" x14ac:dyDescent="0.2">
      <c r="A11" s="64"/>
      <c r="B11" s="13"/>
      <c r="C11" s="13"/>
      <c r="D11" s="13"/>
      <c r="E11" s="13"/>
      <c r="F11" s="13"/>
      <c r="G11" s="13"/>
      <c r="H11" s="13"/>
      <c r="I11" s="13"/>
      <c r="J11" s="13"/>
    </row>
    <row r="12" spans="1:10" ht="14.25" x14ac:dyDescent="0.2">
      <c r="A12" s="13"/>
      <c r="B12" s="69" t="s">
        <v>1578</v>
      </c>
      <c r="C12" s="69"/>
      <c r="D12" s="81">
        <f>H31</f>
        <v>2313.12</v>
      </c>
      <c r="E12" s="70" t="s">
        <v>1730</v>
      </c>
      <c r="F12" s="71"/>
      <c r="G12" s="13"/>
      <c r="H12" s="13"/>
      <c r="I12" s="13"/>
      <c r="J12" s="13"/>
    </row>
    <row r="13" spans="1:10" ht="14.25" x14ac:dyDescent="0.2">
      <c r="A13" s="72"/>
      <c r="B13" s="17"/>
      <c r="C13" s="17"/>
      <c r="D13" s="73"/>
      <c r="E13" s="74"/>
      <c r="F13" s="75"/>
      <c r="G13" s="13"/>
      <c r="H13" s="13"/>
      <c r="I13" s="13"/>
      <c r="J13" s="13"/>
    </row>
    <row r="14" spans="1:10" ht="14.25" x14ac:dyDescent="0.2">
      <c r="A14" s="13"/>
      <c r="B14" s="69" t="s">
        <v>1731</v>
      </c>
      <c r="C14" s="69"/>
      <c r="D14" s="81">
        <f>I31</f>
        <v>442.92</v>
      </c>
      <c r="E14" s="70" t="s">
        <v>1730</v>
      </c>
      <c r="F14" s="71"/>
      <c r="G14" s="13"/>
      <c r="H14" s="13"/>
      <c r="I14" s="13"/>
      <c r="J14" s="13"/>
    </row>
    <row r="15" spans="1:10" ht="14.25" x14ac:dyDescent="0.2">
      <c r="A15" s="64"/>
      <c r="B15" s="13"/>
      <c r="C15" s="13"/>
      <c r="D15" s="73"/>
      <c r="E15" s="74"/>
      <c r="F15" s="13"/>
      <c r="G15" s="13"/>
      <c r="H15" s="13"/>
      <c r="I15" s="13"/>
      <c r="J15" s="13"/>
    </row>
    <row r="16" spans="1:10" ht="14.25" x14ac:dyDescent="0.2">
      <c r="A16" s="13"/>
      <c r="B16" s="69" t="s">
        <v>1732</v>
      </c>
      <c r="C16" s="69"/>
      <c r="D16" s="78">
        <f>SourceObSm!I12</f>
        <v>0</v>
      </c>
      <c r="E16" s="76" t="str">
        <f>SourceObSm!H12</f>
        <v/>
      </c>
      <c r="F16" s="77"/>
      <c r="G16" s="13"/>
      <c r="H16" s="13"/>
      <c r="I16" s="13"/>
      <c r="J16" s="13"/>
    </row>
    <row r="17" spans="1:30" ht="14.25" x14ac:dyDescent="0.2">
      <c r="A17" s="64"/>
      <c r="B17" s="13"/>
      <c r="C17" s="13"/>
      <c r="D17" s="13"/>
      <c r="E17" s="13"/>
      <c r="F17" s="13"/>
      <c r="G17" s="13"/>
      <c r="H17" s="13"/>
      <c r="I17" s="13"/>
      <c r="J17" s="13"/>
    </row>
    <row r="18" spans="1:30" ht="14.25" x14ac:dyDescent="0.2">
      <c r="A18" s="13"/>
      <c r="B18" s="129" t="s">
        <v>1739</v>
      </c>
      <c r="C18" s="129"/>
      <c r="D18" s="129"/>
      <c r="E18" s="129"/>
      <c r="F18" s="129"/>
      <c r="G18" s="129"/>
      <c r="H18" s="129"/>
      <c r="I18" s="129"/>
      <c r="J18" s="69"/>
      <c r="AD18" s="79" t="s">
        <v>1739</v>
      </c>
    </row>
    <row r="19" spans="1:30" ht="14.25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 t="s">
        <v>1138</v>
      </c>
    </row>
    <row r="20" spans="1:30" ht="14.25" x14ac:dyDescent="0.2">
      <c r="A20" s="123" t="s">
        <v>1584</v>
      </c>
      <c r="B20" s="123" t="s">
        <v>1733</v>
      </c>
      <c r="C20" s="123" t="s">
        <v>1586</v>
      </c>
      <c r="D20" s="125" t="s">
        <v>1740</v>
      </c>
      <c r="E20" s="125"/>
      <c r="F20" s="125"/>
      <c r="G20" s="125"/>
      <c r="H20" s="125"/>
      <c r="I20" s="123" t="s">
        <v>1581</v>
      </c>
      <c r="J20" s="123" t="s">
        <v>1734</v>
      </c>
    </row>
    <row r="21" spans="1:30" ht="57" x14ac:dyDescent="0.2">
      <c r="A21" s="124"/>
      <c r="B21" s="124"/>
      <c r="C21" s="124"/>
      <c r="D21" s="24" t="s">
        <v>1735</v>
      </c>
      <c r="E21" s="24" t="s">
        <v>1736</v>
      </c>
      <c r="F21" s="24" t="s">
        <v>1737</v>
      </c>
      <c r="G21" s="24" t="s">
        <v>1738</v>
      </c>
      <c r="H21" s="24" t="s">
        <v>78</v>
      </c>
      <c r="I21" s="124"/>
      <c r="J21" s="124"/>
    </row>
    <row r="22" spans="1:30" ht="14.25" x14ac:dyDescent="0.2">
      <c r="A22" s="82">
        <v>1</v>
      </c>
      <c r="B22" s="82">
        <v>2</v>
      </c>
      <c r="C22" s="82">
        <v>3</v>
      </c>
      <c r="D22" s="82">
        <v>4</v>
      </c>
      <c r="E22" s="82">
        <v>5</v>
      </c>
      <c r="F22" s="82">
        <v>6</v>
      </c>
      <c r="G22" s="82">
        <v>7</v>
      </c>
      <c r="H22" s="82">
        <v>8</v>
      </c>
      <c r="I22" s="82">
        <v>9</v>
      </c>
      <c r="J22" s="82">
        <v>10</v>
      </c>
    </row>
    <row r="23" spans="1:30" ht="14.25" x14ac:dyDescent="0.2">
      <c r="A23" s="83">
        <v>1</v>
      </c>
      <c r="B23" s="55" t="str">
        <f>SourceObSm!C16</f>
        <v>02-01-01</v>
      </c>
      <c r="C23" s="55" t="str">
        <f>SourceObSm!D16</f>
        <v>ПЗУ</v>
      </c>
      <c r="D23" s="84">
        <f>IF(SourceObSm!E16=0,0, ROUND(SourceObSm!E16,6))</f>
        <v>47.54</v>
      </c>
      <c r="E23" s="84">
        <f>IF(SourceObSm!F16=0,0, ROUND(SourceObSm!F16,6))</f>
        <v>0</v>
      </c>
      <c r="F23" s="84">
        <f>IF(SourceObSm!G16=0,0, ROUND(SourceObSm!G16,6))</f>
        <v>0</v>
      </c>
      <c r="G23" s="84">
        <f>IF(SourceObSm!H16=0,0, ROUND(SourceObSm!H16,6))</f>
        <v>0</v>
      </c>
      <c r="H23" s="84">
        <f>IF(SourceObSm!I16=0,0, ROUND(SourceObSm!I16,6))</f>
        <v>47.54</v>
      </c>
      <c r="I23" s="84">
        <f>IF(SourceObSm!J16=0,0, ROUND(SourceObSm!J16,6))</f>
        <v>6.83</v>
      </c>
      <c r="J23" s="84">
        <f>IF(H23="-","-",IF(SourceObSm!I12=0,0,H23/SourceObSm!I12))</f>
        <v>0</v>
      </c>
    </row>
    <row r="24" spans="1:30" ht="14.25" x14ac:dyDescent="0.2">
      <c r="A24" s="83">
        <v>2</v>
      </c>
      <c r="B24" s="55" t="str">
        <f>SourceObSm!C17</f>
        <v>02-01-02</v>
      </c>
      <c r="C24" s="55" t="str">
        <f>SourceObSm!D17</f>
        <v>Архитектурные решения</v>
      </c>
      <c r="D24" s="84">
        <f>IF(SourceObSm!E17=0,0, ROUND(SourceObSm!E17,6))</f>
        <v>1059.1099999999999</v>
      </c>
      <c r="E24" s="84">
        <f>IF(SourceObSm!F17=0,0, ROUND(SourceObSm!F17,6))</f>
        <v>0</v>
      </c>
      <c r="F24" s="84">
        <f>IF(SourceObSm!G17=0,0, ROUND(SourceObSm!G17,6))</f>
        <v>0</v>
      </c>
      <c r="G24" s="84">
        <f>IF(SourceObSm!H17=0,0, ROUND(SourceObSm!H17,6))</f>
        <v>28.16</v>
      </c>
      <c r="H24" s="84">
        <f>IF(SourceObSm!I17=0,0, ROUND(SourceObSm!I17,6))</f>
        <v>1087.27</v>
      </c>
      <c r="I24" s="84">
        <f>IF(SourceObSm!J17=0,0, ROUND(SourceObSm!J17,6))</f>
        <v>233.93</v>
      </c>
      <c r="J24" s="84">
        <f>IF(H24="-","-",IF(SourceObSm!I12=0,0,H24/SourceObSm!I12))</f>
        <v>0</v>
      </c>
    </row>
    <row r="25" spans="1:30" ht="14.25" x14ac:dyDescent="0.2">
      <c r="A25" s="83">
        <v>3</v>
      </c>
      <c r="B25" s="55" t="str">
        <f>SourceObSm!C18</f>
        <v>02-01-03</v>
      </c>
      <c r="C25" s="55" t="str">
        <f>SourceObSm!D18</f>
        <v>Конструктивные решения</v>
      </c>
      <c r="D25" s="84">
        <f>IF(SourceObSm!E18=0,0, ROUND(SourceObSm!E18,6))</f>
        <v>227.7</v>
      </c>
      <c r="E25" s="84">
        <f>IF(SourceObSm!F18=0,0, ROUND(SourceObSm!F18,6))</f>
        <v>0</v>
      </c>
      <c r="F25" s="84">
        <f>IF(SourceObSm!G18=0,0, ROUND(SourceObSm!G18,6))</f>
        <v>0</v>
      </c>
      <c r="G25" s="84">
        <f>IF(SourceObSm!H18=0,0, ROUND(SourceObSm!H18,6))</f>
        <v>0</v>
      </c>
      <c r="H25" s="84">
        <f>IF(SourceObSm!I18=0,0, ROUND(SourceObSm!I18,6))</f>
        <v>227.7</v>
      </c>
      <c r="I25" s="84">
        <f>IF(SourceObSm!J18=0,0, ROUND(SourceObSm!J18,6))</f>
        <v>47.45</v>
      </c>
      <c r="J25" s="84">
        <f>IF(H25="-","-",IF(SourceObSm!I12=0,0,H25/SourceObSm!I12))</f>
        <v>0</v>
      </c>
    </row>
    <row r="26" spans="1:30" ht="14.25" x14ac:dyDescent="0.2">
      <c r="A26" s="83">
        <v>4</v>
      </c>
      <c r="B26" s="55" t="str">
        <f>SourceObSm!C19</f>
        <v>02-01-04</v>
      </c>
      <c r="C26" s="55" t="str">
        <f>SourceObSm!D19</f>
        <v>Система связи</v>
      </c>
      <c r="D26" s="84">
        <f>IF(SourceObSm!E19=0,0, ROUND(SourceObSm!E19,6))</f>
        <v>74.83</v>
      </c>
      <c r="E26" s="84">
        <f>IF(SourceObSm!F19=0,0, ROUND(SourceObSm!F19,6))</f>
        <v>76.290000000000006</v>
      </c>
      <c r="F26" s="84">
        <f>IF(SourceObSm!G19=0,0, ROUND(SourceObSm!G19,6))</f>
        <v>14.21</v>
      </c>
      <c r="G26" s="84">
        <f>IF(SourceObSm!H19=0,0, ROUND(SourceObSm!H19,6))</f>
        <v>0</v>
      </c>
      <c r="H26" s="84">
        <f>IF(SourceObSm!I19=0,0, ROUND(SourceObSm!I19,6))</f>
        <v>165.33</v>
      </c>
      <c r="I26" s="84">
        <f>IF(SourceObSm!J19=0,0, ROUND(SourceObSm!J19,6))</f>
        <v>26.84</v>
      </c>
      <c r="J26" s="84">
        <f>IF(H26="-","-",IF(SourceObSm!I12=0,0,H26/SourceObSm!I12))</f>
        <v>0</v>
      </c>
    </row>
    <row r="27" spans="1:30" ht="14.25" x14ac:dyDescent="0.2">
      <c r="A27" s="83">
        <v>5</v>
      </c>
      <c r="B27" s="55" t="str">
        <f>SourceObSm!C20</f>
        <v>02-01-05</v>
      </c>
      <c r="C27" s="55" t="str">
        <f>SourceObSm!D20</f>
        <v>Система электроснабжения</v>
      </c>
      <c r="D27" s="84">
        <f>IF(SourceObSm!E20=0,0, ROUND(SourceObSm!E20,6))</f>
        <v>2.13</v>
      </c>
      <c r="E27" s="84">
        <f>IF(SourceObSm!F20=0,0, ROUND(SourceObSm!F20,6))</f>
        <v>114.56</v>
      </c>
      <c r="F27" s="84">
        <f>IF(SourceObSm!G20=0,0, ROUND(SourceObSm!G20,6))</f>
        <v>0</v>
      </c>
      <c r="G27" s="84">
        <f>IF(SourceObSm!H20=0,0, ROUND(SourceObSm!H20,6))</f>
        <v>0</v>
      </c>
      <c r="H27" s="84">
        <f>IF(SourceObSm!I20=0,0, ROUND(SourceObSm!I20,6))</f>
        <v>116.69</v>
      </c>
      <c r="I27" s="84">
        <f>IF(SourceObSm!J20=0,0, ROUND(SourceObSm!J20,6))</f>
        <v>21.1</v>
      </c>
      <c r="J27" s="84">
        <f>IF(H27="-","-",IF(SourceObSm!I12=0,0,H27/SourceObSm!I12))</f>
        <v>0</v>
      </c>
    </row>
    <row r="28" spans="1:30" ht="28.5" x14ac:dyDescent="0.2">
      <c r="A28" s="83">
        <v>6</v>
      </c>
      <c r="B28" s="55" t="str">
        <f>SourceObSm!C21</f>
        <v>02-01-06</v>
      </c>
      <c r="C28" s="55" t="str">
        <f>SourceObSm!D21</f>
        <v>Система водоснабжения и водоотведения</v>
      </c>
      <c r="D28" s="84">
        <f>IF(SourceObSm!E21=0,0, ROUND(SourceObSm!E21,6))</f>
        <v>177.28</v>
      </c>
      <c r="E28" s="84">
        <f>IF(SourceObSm!F21=0,0, ROUND(SourceObSm!F21,6))</f>
        <v>0</v>
      </c>
      <c r="F28" s="84">
        <f>IF(SourceObSm!G21=0,0, ROUND(SourceObSm!G21,6))</f>
        <v>0</v>
      </c>
      <c r="G28" s="84">
        <f>IF(SourceObSm!H21=0,0, ROUND(SourceObSm!H21,6))</f>
        <v>0.09</v>
      </c>
      <c r="H28" s="84">
        <f>IF(SourceObSm!I21=0,0, ROUND(SourceObSm!I21,6))</f>
        <v>177.37</v>
      </c>
      <c r="I28" s="84">
        <f>IF(SourceObSm!J21=0,0, ROUND(SourceObSm!J21,6))</f>
        <v>28.41</v>
      </c>
      <c r="J28" s="84">
        <f>IF(H28="-","-",IF(SourceObSm!I12=0,0,H28/SourceObSm!I12))</f>
        <v>0</v>
      </c>
    </row>
    <row r="29" spans="1:30" ht="28.5" x14ac:dyDescent="0.2">
      <c r="A29" s="83">
        <v>7</v>
      </c>
      <c r="B29" s="55" t="str">
        <f>SourceObSm!C22</f>
        <v>02-01-07</v>
      </c>
      <c r="C29" s="55" t="str">
        <f>SourceObSm!D22</f>
        <v>Мероприятия по обеспечению доступа инвалидов</v>
      </c>
      <c r="D29" s="84">
        <f>IF(SourceObSm!E22=0,0, ROUND(SourceObSm!E22,6))</f>
        <v>258.95999999999998</v>
      </c>
      <c r="E29" s="84">
        <f>IF(SourceObSm!F22=0,0, ROUND(SourceObSm!F22,6))</f>
        <v>114.76</v>
      </c>
      <c r="F29" s="84">
        <f>IF(SourceObSm!G22=0,0, ROUND(SourceObSm!G22,6))</f>
        <v>117.5</v>
      </c>
      <c r="G29" s="84">
        <f>IF(SourceObSm!H22=0,0, ROUND(SourceObSm!H22,6))</f>
        <v>0</v>
      </c>
      <c r="H29" s="84">
        <f>IF(SourceObSm!I22=0,0, ROUND(SourceObSm!I22,6))</f>
        <v>491.22</v>
      </c>
      <c r="I29" s="84">
        <f>IF(SourceObSm!J22=0,0, ROUND(SourceObSm!J22,6))</f>
        <v>78.36</v>
      </c>
      <c r="J29" s="84">
        <f>IF(H29="-","-",IF(SourceObSm!I12=0,0,H29/SourceObSm!I12))</f>
        <v>0</v>
      </c>
    </row>
    <row r="30" spans="1:30" ht="14.25" x14ac:dyDescent="0.2">
      <c r="A30" s="83">
        <v>8</v>
      </c>
      <c r="B30" s="55" t="str">
        <f>SourceObSm!C23</f>
        <v>02-01-08</v>
      </c>
      <c r="C30" s="55" t="str">
        <f>SourceObSm!D23</f>
        <v>Возврат материалов</v>
      </c>
      <c r="D30" s="84">
        <f>IF(SourceObSm!E23=0,0, ROUND(SourceObSm!E23,6))</f>
        <v>0</v>
      </c>
      <c r="E30" s="84">
        <f>IF(SourceObSm!F23=0,0, ROUND(SourceObSm!F23,6))</f>
        <v>0</v>
      </c>
      <c r="F30" s="84">
        <f>IF(SourceObSm!G23=0,0, ROUND(SourceObSm!G23,6))</f>
        <v>0</v>
      </c>
      <c r="G30" s="84">
        <f>IF(SourceObSm!H23=0,0, ROUND(SourceObSm!H23,6))</f>
        <v>0</v>
      </c>
      <c r="H30" s="84">
        <f>IF(SourceObSm!I23=0,0, ROUND(SourceObSm!I23,6))</f>
        <v>0</v>
      </c>
      <c r="I30" s="84">
        <f>IF(SourceObSm!J23=0,0, ROUND(SourceObSm!J23,6))</f>
        <v>0</v>
      </c>
      <c r="J30" s="84">
        <f>IF(H30="-","-",IF(SourceObSm!I12=0,0,H30/SourceObSm!I12))</f>
        <v>0</v>
      </c>
    </row>
    <row r="31" spans="1:30" ht="15" x14ac:dyDescent="0.25">
      <c r="A31" s="85"/>
      <c r="B31" s="86"/>
      <c r="C31" s="86" t="s">
        <v>1741</v>
      </c>
      <c r="D31" s="87">
        <f>IF(SourceObSm!E25=0,0, ROUND(SourceObSm!E25,6))</f>
        <v>1847.55</v>
      </c>
      <c r="E31" s="87">
        <f>IF(SourceObSm!F25=0,0, ROUND(SourceObSm!F25,6))</f>
        <v>305.61</v>
      </c>
      <c r="F31" s="87">
        <f>IF(SourceObSm!G25=0,0, ROUND(SourceObSm!G25,6))</f>
        <v>131.71</v>
      </c>
      <c r="G31" s="87">
        <f>IF(SourceObSm!H25=0,0, ROUND(SourceObSm!H25,6))</f>
        <v>28.25</v>
      </c>
      <c r="H31" s="87">
        <f>IF(SourceObSm!I25=0,0, ROUND(SourceObSm!I25,6))</f>
        <v>2313.12</v>
      </c>
      <c r="I31" s="87">
        <f>IF(SourceObSm!J25=0,0, ROUND(SourceObSm!J25,6))</f>
        <v>442.92</v>
      </c>
      <c r="J31" s="87"/>
    </row>
    <row r="35" spans="1:10" ht="14.25" x14ac:dyDescent="0.2">
      <c r="A35" s="13"/>
      <c r="B35" s="88" t="s">
        <v>1742</v>
      </c>
      <c r="C35" s="89"/>
      <c r="D35" s="90"/>
      <c r="E35" s="91"/>
      <c r="F35" s="91"/>
      <c r="G35" s="76" t="str">
        <f>IF(SourceObSm!X12&lt;&gt;"",SourceObSm!X12,"")</f>
        <v/>
      </c>
    </row>
    <row r="36" spans="1:10" ht="14.25" x14ac:dyDescent="0.2">
      <c r="A36" s="13"/>
      <c r="B36" s="64"/>
      <c r="C36" s="122" t="s">
        <v>1743</v>
      </c>
      <c r="D36" s="122"/>
      <c r="E36" s="122"/>
      <c r="F36" s="122"/>
      <c r="G36" s="92"/>
    </row>
    <row r="37" spans="1:10" ht="14.25" x14ac:dyDescent="0.2">
      <c r="A37" s="13"/>
      <c r="B37" s="64"/>
      <c r="C37" s="80"/>
      <c r="D37" s="13"/>
      <c r="E37" s="68"/>
      <c r="F37" s="68"/>
      <c r="G37" s="68"/>
    </row>
    <row r="38" spans="1:10" ht="14.25" x14ac:dyDescent="0.2">
      <c r="A38" s="13"/>
      <c r="B38" s="72" t="s">
        <v>1744</v>
      </c>
      <c r="C38" s="90" t="str">
        <f>IF(SourceObSm!AA12&lt;&gt;"",SourceObSm!AA12,"")</f>
        <v/>
      </c>
      <c r="D38" s="80" t="s">
        <v>1745</v>
      </c>
      <c r="E38" s="49"/>
      <c r="F38" s="49"/>
      <c r="G38" s="75" t="str">
        <f>IF(SourceObSm!Y12&lt;&gt;"",SourceObSm!Y12,"")</f>
        <v/>
      </c>
    </row>
    <row r="39" spans="1:10" ht="14.25" x14ac:dyDescent="0.2">
      <c r="A39" s="13"/>
      <c r="B39" s="17"/>
      <c r="C39" s="93" t="s">
        <v>1746</v>
      </c>
      <c r="D39" s="15"/>
      <c r="E39" s="122" t="s">
        <v>1743</v>
      </c>
      <c r="F39" s="122"/>
      <c r="G39" s="92"/>
    </row>
    <row r="40" spans="1:10" ht="14.25" x14ac:dyDescent="0.2">
      <c r="A40" s="13"/>
      <c r="B40" s="72"/>
      <c r="C40" s="13"/>
      <c r="D40" s="13"/>
      <c r="E40" s="13"/>
      <c r="F40" s="13"/>
      <c r="G40" s="13"/>
    </row>
    <row r="41" spans="1:10" ht="14.25" x14ac:dyDescent="0.2">
      <c r="A41" s="13"/>
      <c r="B41" s="72" t="s">
        <v>1747</v>
      </c>
      <c r="C41" s="90" t="str">
        <f>IF(SourceObSm!AC12&lt;&gt;"",SourceObSm!AC12,"")</f>
        <v/>
      </c>
      <c r="D41" s="49"/>
      <c r="E41" s="49"/>
      <c r="F41" s="90"/>
      <c r="G41" s="75" t="str">
        <f>IF(SourceObSm!AB12&lt;&gt;"",SourceObSm!AB12,"")</f>
        <v/>
      </c>
    </row>
    <row r="42" spans="1:10" ht="14.25" x14ac:dyDescent="0.2">
      <c r="A42" s="13"/>
      <c r="B42" s="72"/>
      <c r="C42" s="122" t="s">
        <v>1748</v>
      </c>
      <c r="D42" s="122"/>
      <c r="E42" s="122"/>
      <c r="F42" s="122"/>
      <c r="G42" s="92"/>
    </row>
    <row r="43" spans="1:10" ht="14.25" x14ac:dyDescent="0.2">
      <c r="A43" s="13"/>
      <c r="B43" s="72"/>
      <c r="C43" s="94"/>
      <c r="D43" s="94"/>
      <c r="E43" s="94"/>
      <c r="F43" s="68"/>
      <c r="G43" s="68"/>
    </row>
    <row r="44" spans="1:10" ht="14.25" x14ac:dyDescent="0.2">
      <c r="A44" s="13"/>
      <c r="B44" s="72" t="s">
        <v>1749</v>
      </c>
      <c r="C44" s="90" t="str">
        <f>IF(SourceObSm!AE12&lt;&gt;"",SourceObSm!AE12,"")</f>
        <v/>
      </c>
      <c r="D44" s="49"/>
      <c r="E44" s="49"/>
      <c r="F44" s="90"/>
      <c r="G44" s="75" t="str">
        <f>IF(SourceObSm!AD12&lt;&gt;"",SourceObSm!AD12,"")</f>
        <v/>
      </c>
    </row>
    <row r="45" spans="1:10" ht="14.25" x14ac:dyDescent="0.2">
      <c r="A45" s="13"/>
      <c r="B45" s="95"/>
      <c r="C45" s="122" t="s">
        <v>1748</v>
      </c>
      <c r="D45" s="122"/>
      <c r="E45" s="122"/>
      <c r="F45" s="122"/>
      <c r="G45" s="92"/>
    </row>
    <row r="46" spans="1:10" x14ac:dyDescent="0.2">
      <c r="A46" s="130" t="str">
        <f>SourceObSm!B1</f>
        <v>Smeta.RU  (495) 974-1589</v>
      </c>
      <c r="B46" s="130"/>
      <c r="C46" s="130"/>
      <c r="D46" s="130"/>
    </row>
    <row r="47" spans="1:10" ht="15" x14ac:dyDescent="0.25">
      <c r="A47" s="62"/>
      <c r="B47" s="62"/>
      <c r="C47" s="62"/>
      <c r="D47" s="62"/>
      <c r="E47" s="62"/>
      <c r="F47" s="62"/>
      <c r="G47" s="62"/>
      <c r="H47" s="62"/>
      <c r="I47" s="13"/>
      <c r="J47" s="63" t="s">
        <v>1727</v>
      </c>
    </row>
    <row r="48" spans="1:10" ht="14.25" x14ac:dyDescent="0.2">
      <c r="A48" s="64"/>
      <c r="B48" s="13"/>
      <c r="C48" s="13"/>
      <c r="D48" s="13"/>
      <c r="E48" s="13"/>
      <c r="F48" s="13"/>
      <c r="G48" s="13"/>
      <c r="H48" s="13"/>
      <c r="I48" s="13"/>
      <c r="J48" s="13"/>
    </row>
    <row r="49" spans="1:10" ht="14.25" x14ac:dyDescent="0.2">
      <c r="A49" s="65"/>
      <c r="B49" s="126" t="str">
        <f>IF(SourceObSm!G4&lt;&gt;"",SourceObSm!G4,IF(SourceObSm!F4&lt;&gt;"",SourceObSm!F4,IF(SourceObSm!G5&lt;&gt;"",SourceObSm!G5,IF(SourceObSm!F5&lt;&gt;"",SourceObSm!F5,IF(SourceObSm!G6&lt;&gt;"",SourceObSm!G6,IF(SourceObSm!G12&lt;&gt;"",SourceObSm!G12," "))))))</f>
        <v>Ерамешанцева_(Копия)</v>
      </c>
      <c r="C49" s="126"/>
      <c r="D49" s="126"/>
      <c r="E49" s="126"/>
      <c r="F49" s="126"/>
      <c r="G49" s="126"/>
      <c r="H49" s="126"/>
      <c r="I49" s="126"/>
      <c r="J49" s="65"/>
    </row>
    <row r="50" spans="1:10" ht="14.25" x14ac:dyDescent="0.2">
      <c r="A50" s="65"/>
      <c r="B50" s="127" t="s">
        <v>1728</v>
      </c>
      <c r="C50" s="127"/>
      <c r="D50" s="127"/>
      <c r="E50" s="127"/>
      <c r="F50" s="127"/>
      <c r="G50" s="127"/>
      <c r="H50" s="127"/>
      <c r="I50" s="127"/>
      <c r="J50" s="65"/>
    </row>
    <row r="51" spans="1:10" ht="14.25" x14ac:dyDescent="0.2">
      <c r="A51" s="64"/>
      <c r="B51" s="13"/>
      <c r="C51" s="13"/>
      <c r="D51" s="13"/>
      <c r="E51" s="13"/>
      <c r="F51" s="13"/>
      <c r="G51" s="13"/>
      <c r="H51" s="13"/>
      <c r="I51" s="13"/>
      <c r="J51" s="13"/>
    </row>
    <row r="52" spans="1:10" ht="15.75" x14ac:dyDescent="0.2">
      <c r="A52" s="66"/>
      <c r="B52" s="128" t="str">
        <f>CONCATENATE( "ОБЪЕКТНЫЙ СМЕТНЫЙ РАСЧЕТ № ", SourceObSm!F12)</f>
        <v>ОБЪЕКТНЫЙ СМЕТНЫЙ РАСЧЕТ № Новый объект_(Копия)</v>
      </c>
      <c r="C52" s="128"/>
      <c r="D52" s="128"/>
      <c r="E52" s="128"/>
      <c r="F52" s="128"/>
      <c r="G52" s="128"/>
      <c r="H52" s="128"/>
      <c r="I52" s="128"/>
      <c r="J52" s="18"/>
    </row>
    <row r="53" spans="1:10" ht="15" x14ac:dyDescent="0.2">
      <c r="A53" s="67"/>
      <c r="B53" s="99" t="s">
        <v>1729</v>
      </c>
      <c r="C53" s="99"/>
      <c r="D53" s="99"/>
      <c r="E53" s="99"/>
      <c r="F53" s="99"/>
      <c r="G53" s="99"/>
      <c r="H53" s="99"/>
      <c r="I53" s="99"/>
      <c r="J53" s="68"/>
    </row>
    <row r="54" spans="1:10" ht="14.25" x14ac:dyDescent="0.2">
      <c r="A54" s="64"/>
      <c r="B54" s="13"/>
      <c r="C54" s="13"/>
      <c r="D54" s="13"/>
      <c r="E54" s="13"/>
      <c r="F54" s="13"/>
      <c r="G54" s="13"/>
      <c r="H54" s="13"/>
      <c r="I54" s="13"/>
      <c r="J54" s="13"/>
    </row>
    <row r="55" spans="1:10" ht="14.25" x14ac:dyDescent="0.2">
      <c r="A55" s="69"/>
      <c r="B55" s="126" t="str">
        <f>CONCATENATE( "на строительство (капитальный ремонт) ",IF(SourceObSm!G12&lt;&gt;"",SourceObSm!G12,IF(SourceObSm!F12&lt;&gt;"",SourceObSm!F12," ")))</f>
        <v>на строительство (капитальный ремонт) Ерамешанцева_(Копия)</v>
      </c>
      <c r="C55" s="126"/>
      <c r="D55" s="126"/>
      <c r="E55" s="126"/>
      <c r="F55" s="126"/>
      <c r="G55" s="126"/>
      <c r="H55" s="126"/>
      <c r="I55" s="126"/>
      <c r="J55" s="65"/>
    </row>
    <row r="56" spans="1:10" ht="14.25" x14ac:dyDescent="0.2">
      <c r="A56" s="64"/>
      <c r="B56" s="13"/>
      <c r="C56" s="13"/>
      <c r="D56" s="13"/>
      <c r="E56" s="13"/>
      <c r="F56" s="13"/>
      <c r="G56" s="13"/>
      <c r="H56" s="13"/>
      <c r="I56" s="13"/>
      <c r="J56" s="13"/>
    </row>
    <row r="57" spans="1:10" ht="14.25" x14ac:dyDescent="0.2">
      <c r="A57" s="13"/>
      <c r="B57" s="69" t="s">
        <v>1578</v>
      </c>
      <c r="C57" s="69"/>
      <c r="D57" s="81">
        <f>H76</f>
        <v>112.87</v>
      </c>
      <c r="E57" s="70" t="s">
        <v>1730</v>
      </c>
      <c r="F57" s="71"/>
      <c r="G57" s="13"/>
      <c r="H57" s="13"/>
      <c r="I57" s="13"/>
      <c r="J57" s="13"/>
    </row>
    <row r="58" spans="1:10" ht="14.25" x14ac:dyDescent="0.2">
      <c r="A58" s="72"/>
      <c r="B58" s="17"/>
      <c r="C58" s="17"/>
      <c r="D58" s="73"/>
      <c r="E58" s="74"/>
      <c r="F58" s="75"/>
      <c r="G58" s="13"/>
      <c r="H58" s="13"/>
      <c r="I58" s="13"/>
      <c r="J58" s="13"/>
    </row>
    <row r="59" spans="1:10" ht="14.25" x14ac:dyDescent="0.2">
      <c r="A59" s="13"/>
      <c r="B59" s="69" t="s">
        <v>1731</v>
      </c>
      <c r="C59" s="69"/>
      <c r="D59" s="81">
        <f>I76</f>
        <v>15.26</v>
      </c>
      <c r="E59" s="70" t="s">
        <v>1730</v>
      </c>
      <c r="F59" s="71"/>
      <c r="G59" s="13"/>
      <c r="H59" s="13"/>
      <c r="I59" s="13"/>
      <c r="J59" s="13"/>
    </row>
    <row r="60" spans="1:10" ht="14.25" x14ac:dyDescent="0.2">
      <c r="A60" s="64"/>
      <c r="B60" s="13"/>
      <c r="C60" s="13"/>
      <c r="D60" s="73"/>
      <c r="E60" s="74"/>
      <c r="F60" s="13"/>
      <c r="G60" s="13"/>
      <c r="H60" s="13"/>
      <c r="I60" s="13"/>
      <c r="J60" s="13"/>
    </row>
    <row r="61" spans="1:10" ht="14.25" x14ac:dyDescent="0.2">
      <c r="A61" s="13"/>
      <c r="B61" s="69" t="s">
        <v>1732</v>
      </c>
      <c r="C61" s="69"/>
      <c r="D61" s="78">
        <f>SourceObSm!I12</f>
        <v>0</v>
      </c>
      <c r="E61" s="76" t="str">
        <f>SourceObSm!H12</f>
        <v/>
      </c>
      <c r="F61" s="77"/>
      <c r="G61" s="13"/>
      <c r="H61" s="13"/>
      <c r="I61" s="13"/>
      <c r="J61" s="13"/>
    </row>
    <row r="62" spans="1:10" ht="14.25" x14ac:dyDescent="0.2">
      <c r="A62" s="64"/>
      <c r="B62" s="13"/>
      <c r="C62" s="13"/>
      <c r="D62" s="13"/>
      <c r="E62" s="13"/>
      <c r="F62" s="13"/>
      <c r="G62" s="13"/>
      <c r="H62" s="13"/>
      <c r="I62" s="13"/>
      <c r="J62" s="13"/>
    </row>
    <row r="63" spans="1:10" ht="14.25" x14ac:dyDescent="0.2">
      <c r="A63" s="13"/>
      <c r="B63" s="129" t="s">
        <v>1750</v>
      </c>
      <c r="C63" s="129"/>
      <c r="D63" s="129"/>
      <c r="E63" s="129"/>
      <c r="F63" s="129"/>
      <c r="G63" s="129"/>
      <c r="H63" s="129"/>
      <c r="I63" s="129"/>
      <c r="J63" s="69"/>
    </row>
    <row r="64" spans="1:10" ht="14.25" x14ac:dyDescent="0.2">
      <c r="A64" s="13"/>
      <c r="B64" s="13"/>
      <c r="C64" s="13"/>
      <c r="D64" s="13"/>
      <c r="E64" s="13"/>
      <c r="F64" s="13"/>
      <c r="G64" s="13"/>
      <c r="H64" s="13"/>
      <c r="I64" s="13"/>
      <c r="J64" s="13" t="s">
        <v>1138</v>
      </c>
    </row>
    <row r="65" spans="1:10" ht="14.25" x14ac:dyDescent="0.2">
      <c r="A65" s="123" t="s">
        <v>1584</v>
      </c>
      <c r="B65" s="123" t="s">
        <v>1733</v>
      </c>
      <c r="C65" s="123" t="s">
        <v>1586</v>
      </c>
      <c r="D65" s="125" t="s">
        <v>1740</v>
      </c>
      <c r="E65" s="125"/>
      <c r="F65" s="125"/>
      <c r="G65" s="125"/>
      <c r="H65" s="125"/>
      <c r="I65" s="123" t="s">
        <v>1581</v>
      </c>
      <c r="J65" s="123" t="s">
        <v>1734</v>
      </c>
    </row>
    <row r="66" spans="1:10" ht="57" x14ac:dyDescent="0.2">
      <c r="A66" s="124"/>
      <c r="B66" s="124"/>
      <c r="C66" s="124"/>
      <c r="D66" s="24" t="s">
        <v>1735</v>
      </c>
      <c r="E66" s="24" t="s">
        <v>1736</v>
      </c>
      <c r="F66" s="24" t="s">
        <v>1737</v>
      </c>
      <c r="G66" s="24" t="s">
        <v>1738</v>
      </c>
      <c r="H66" s="24" t="s">
        <v>78</v>
      </c>
      <c r="I66" s="124"/>
      <c r="J66" s="124"/>
    </row>
    <row r="67" spans="1:10" ht="14.25" x14ac:dyDescent="0.2">
      <c r="A67" s="82">
        <v>1</v>
      </c>
      <c r="B67" s="82">
        <v>2</v>
      </c>
      <c r="C67" s="82">
        <v>3</v>
      </c>
      <c r="D67" s="82">
        <v>4</v>
      </c>
      <c r="E67" s="82">
        <v>5</v>
      </c>
      <c r="F67" s="82">
        <v>6</v>
      </c>
      <c r="G67" s="82">
        <v>7</v>
      </c>
      <c r="H67" s="82">
        <v>8</v>
      </c>
      <c r="I67" s="82">
        <v>9</v>
      </c>
      <c r="J67" s="82">
        <v>10</v>
      </c>
    </row>
    <row r="68" spans="1:10" ht="14.25" x14ac:dyDescent="0.2">
      <c r="A68" s="83">
        <v>1</v>
      </c>
      <c r="B68" s="55" t="str">
        <f>SourceObSm!C16</f>
        <v>02-01-01</v>
      </c>
      <c r="C68" s="55" t="str">
        <f>SourceObSm!D16</f>
        <v>ПЗУ</v>
      </c>
      <c r="D68" s="84">
        <f>IF(SourceObSm!T16=0,0, ROUND(SourceObSm!T16,6))</f>
        <v>3.88</v>
      </c>
      <c r="E68" s="84">
        <f>IF(SourceObSm!U16=0,0, ROUND(SourceObSm!U16,6))</f>
        <v>0</v>
      </c>
      <c r="F68" s="84">
        <f>IF(SourceObSm!V16=0,0, ROUND(SourceObSm!V16,6))</f>
        <v>0</v>
      </c>
      <c r="G68" s="84">
        <f>IF(SourceObSm!W16=0,0, ROUND(SourceObSm!W16,6))</f>
        <v>0</v>
      </c>
      <c r="H68" s="84">
        <f>IF(SourceObSm!X16=0,0, ROUND(SourceObSm!X16,6))</f>
        <v>3.88</v>
      </c>
      <c r="I68" s="84">
        <f>IF(SourceObSm!Y16=0,0, ROUND(SourceObSm!Y16,6))</f>
        <v>0.24</v>
      </c>
      <c r="J68" s="84">
        <f>IF(H68="-","-",IF(SourceObSm!I12=0,0,H68/SourceObSm!I12))</f>
        <v>0</v>
      </c>
    </row>
    <row r="69" spans="1:10" ht="14.25" x14ac:dyDescent="0.2">
      <c r="A69" s="83">
        <v>2</v>
      </c>
      <c r="B69" s="55" t="str">
        <f>SourceObSm!C17</f>
        <v>02-01-02</v>
      </c>
      <c r="C69" s="55" t="str">
        <f>SourceObSm!D17</f>
        <v>Архитектурные решения</v>
      </c>
      <c r="D69" s="84">
        <f>IF(SourceObSm!T17=0,0, ROUND(SourceObSm!T17,6))</f>
        <v>53.7</v>
      </c>
      <c r="E69" s="84">
        <f>IF(SourceObSm!U17=0,0, ROUND(SourceObSm!U17,6))</f>
        <v>0</v>
      </c>
      <c r="F69" s="84">
        <f>IF(SourceObSm!V17=0,0, ROUND(SourceObSm!V17,6))</f>
        <v>0</v>
      </c>
      <c r="G69" s="84">
        <f>IF(SourceObSm!W17=0,0, ROUND(SourceObSm!W17,6))</f>
        <v>2.4300000000000002</v>
      </c>
      <c r="H69" s="84">
        <f>IF(SourceObSm!X17=0,0, ROUND(SourceObSm!X17,6))</f>
        <v>56.13</v>
      </c>
      <c r="I69" s="84">
        <f>IF(SourceObSm!Y17=0,0, ROUND(SourceObSm!Y17,6))</f>
        <v>8.06</v>
      </c>
      <c r="J69" s="84">
        <f>IF(H69="-","-",IF(SourceObSm!I12=0,0,H69/SourceObSm!I12))</f>
        <v>0</v>
      </c>
    </row>
    <row r="70" spans="1:10" ht="14.25" x14ac:dyDescent="0.2">
      <c r="A70" s="83">
        <v>3</v>
      </c>
      <c r="B70" s="55" t="str">
        <f>SourceObSm!C18</f>
        <v>02-01-03</v>
      </c>
      <c r="C70" s="55" t="str">
        <f>SourceObSm!D18</f>
        <v>Конструктивные решения</v>
      </c>
      <c r="D70" s="84">
        <f>IF(SourceObSm!T18=0,0, ROUND(SourceObSm!T18,6))</f>
        <v>8.15</v>
      </c>
      <c r="E70" s="84">
        <f>IF(SourceObSm!U18=0,0, ROUND(SourceObSm!U18,6))</f>
        <v>0</v>
      </c>
      <c r="F70" s="84">
        <f>IF(SourceObSm!V18=0,0, ROUND(SourceObSm!V18,6))</f>
        <v>0</v>
      </c>
      <c r="G70" s="84">
        <f>IF(SourceObSm!W18=0,0, ROUND(SourceObSm!W18,6))</f>
        <v>0</v>
      </c>
      <c r="H70" s="84">
        <f>IF(SourceObSm!X18=0,0, ROUND(SourceObSm!X18,6))</f>
        <v>8.15</v>
      </c>
      <c r="I70" s="84">
        <f>IF(SourceObSm!Y18=0,0, ROUND(SourceObSm!Y18,6))</f>
        <v>1.63</v>
      </c>
      <c r="J70" s="84">
        <f>IF(H70="-","-",IF(SourceObSm!I12=0,0,H70/SourceObSm!I12))</f>
        <v>0</v>
      </c>
    </row>
    <row r="71" spans="1:10" ht="14.25" x14ac:dyDescent="0.2">
      <c r="A71" s="83">
        <v>4</v>
      </c>
      <c r="B71" s="55" t="str">
        <f>SourceObSm!C19</f>
        <v>02-01-04</v>
      </c>
      <c r="C71" s="55" t="str">
        <f>SourceObSm!D19</f>
        <v>Система связи</v>
      </c>
      <c r="D71" s="84">
        <f>IF(SourceObSm!T19=0,0, ROUND(SourceObSm!T19,6))</f>
        <v>11.53</v>
      </c>
      <c r="E71" s="84">
        <f>IF(SourceObSm!U19=0,0, ROUND(SourceObSm!U19,6))</f>
        <v>4.63</v>
      </c>
      <c r="F71" s="84">
        <f>IF(SourceObSm!V19=0,0, ROUND(SourceObSm!V19,6))</f>
        <v>1.75</v>
      </c>
      <c r="G71" s="84">
        <f>IF(SourceObSm!W19=0,0, ROUND(SourceObSm!W19,6))</f>
        <v>0</v>
      </c>
      <c r="H71" s="84">
        <f>IF(SourceObSm!X19=0,0, ROUND(SourceObSm!X19,6))</f>
        <v>17.91</v>
      </c>
      <c r="I71" s="84">
        <f>IF(SourceObSm!Y19=0,0, ROUND(SourceObSm!Y19,6))</f>
        <v>0.92</v>
      </c>
      <c r="J71" s="84">
        <f>IF(H71="-","-",IF(SourceObSm!I12=0,0,H71/SourceObSm!I12))</f>
        <v>0</v>
      </c>
    </row>
    <row r="72" spans="1:10" ht="14.25" x14ac:dyDescent="0.2">
      <c r="A72" s="83">
        <v>5</v>
      </c>
      <c r="B72" s="55" t="str">
        <f>SourceObSm!C20</f>
        <v>02-01-05</v>
      </c>
      <c r="C72" s="55" t="str">
        <f>SourceObSm!D20</f>
        <v>Система электроснабжения</v>
      </c>
      <c r="D72" s="84">
        <f>IF(SourceObSm!T20=0,0, ROUND(SourceObSm!T20,6))</f>
        <v>0.08</v>
      </c>
      <c r="E72" s="84">
        <f>IF(SourceObSm!U20=0,0, ROUND(SourceObSm!U20,6))</f>
        <v>10.63</v>
      </c>
      <c r="F72" s="84">
        <f>IF(SourceObSm!V20=0,0, ROUND(SourceObSm!V20,6))</f>
        <v>0</v>
      </c>
      <c r="G72" s="84">
        <f>IF(SourceObSm!W20=0,0, ROUND(SourceObSm!W20,6))</f>
        <v>0</v>
      </c>
      <c r="H72" s="84">
        <f>IF(SourceObSm!X20=0,0, ROUND(SourceObSm!X20,6))</f>
        <v>10.71</v>
      </c>
      <c r="I72" s="84">
        <f>IF(SourceObSm!Y20=0,0, ROUND(SourceObSm!Y20,6))</f>
        <v>0.73</v>
      </c>
      <c r="J72" s="84">
        <f>IF(H72="-","-",IF(SourceObSm!I12=0,0,H72/SourceObSm!I12))</f>
        <v>0</v>
      </c>
    </row>
    <row r="73" spans="1:10" ht="28.5" x14ac:dyDescent="0.2">
      <c r="A73" s="83">
        <v>6</v>
      </c>
      <c r="B73" s="55" t="str">
        <f>SourceObSm!C21</f>
        <v>02-01-06</v>
      </c>
      <c r="C73" s="55" t="str">
        <f>SourceObSm!D21</f>
        <v>Система водоснабжения и водоотведения</v>
      </c>
      <c r="D73" s="84">
        <f>IF(SourceObSm!T21=0,0, ROUND(SourceObSm!T21,6))</f>
        <v>6.12</v>
      </c>
      <c r="E73" s="84">
        <f>IF(SourceObSm!U21=0,0, ROUND(SourceObSm!U21,6))</f>
        <v>0</v>
      </c>
      <c r="F73" s="84">
        <f>IF(SourceObSm!V21=0,0, ROUND(SourceObSm!V21,6))</f>
        <v>0</v>
      </c>
      <c r="G73" s="84">
        <f>IF(SourceObSm!W21=0,0, ROUND(SourceObSm!W21,6))</f>
        <v>0</v>
      </c>
      <c r="H73" s="84">
        <f>IF(SourceObSm!X21=0,0, ROUND(SourceObSm!X21,6))</f>
        <v>6.12</v>
      </c>
      <c r="I73" s="84">
        <f>IF(SourceObSm!Y21=0,0, ROUND(SourceObSm!Y21,6))</f>
        <v>0.98</v>
      </c>
      <c r="J73" s="84">
        <f>IF(H73="-","-",IF(SourceObSm!I12=0,0,H73/SourceObSm!I12))</f>
        <v>0</v>
      </c>
    </row>
    <row r="74" spans="1:10" ht="28.5" x14ac:dyDescent="0.2">
      <c r="A74" s="83">
        <v>7</v>
      </c>
      <c r="B74" s="55" t="str">
        <f>SourceObSm!C22</f>
        <v>02-01-07</v>
      </c>
      <c r="C74" s="55" t="str">
        <f>SourceObSm!D22</f>
        <v>Мероприятия по обеспечению доступа инвалидов</v>
      </c>
      <c r="D74" s="84">
        <f>IF(SourceObSm!T22=0,0, ROUND(SourceObSm!T22,6))</f>
        <v>4.8099999999999996</v>
      </c>
      <c r="E74" s="84">
        <f>IF(SourceObSm!U22=0,0, ROUND(SourceObSm!U22,6))</f>
        <v>4.59</v>
      </c>
      <c r="F74" s="84">
        <f>IF(SourceObSm!V22=0,0, ROUND(SourceObSm!V22,6))</f>
        <v>0.56999999999999995</v>
      </c>
      <c r="G74" s="84">
        <f>IF(SourceObSm!W22=0,0, ROUND(SourceObSm!W22,6))</f>
        <v>0</v>
      </c>
      <c r="H74" s="84">
        <f>IF(SourceObSm!X22=0,0, ROUND(SourceObSm!X22,6))</f>
        <v>9.9700000000000006</v>
      </c>
      <c r="I74" s="84">
        <f>IF(SourceObSm!Y22=0,0, ROUND(SourceObSm!Y22,6))</f>
        <v>2.7</v>
      </c>
      <c r="J74" s="84">
        <f>IF(H74="-","-",IF(SourceObSm!I12=0,0,H74/SourceObSm!I12))</f>
        <v>0</v>
      </c>
    </row>
    <row r="75" spans="1:10" ht="14.25" x14ac:dyDescent="0.2">
      <c r="A75" s="83">
        <v>8</v>
      </c>
      <c r="B75" s="55" t="str">
        <f>SourceObSm!C23</f>
        <v>02-01-08</v>
      </c>
      <c r="C75" s="55" t="str">
        <f>SourceObSm!D23</f>
        <v>Возврат материалов</v>
      </c>
      <c r="D75" s="84">
        <f>IF(SourceObSm!T23=0,0, ROUND(SourceObSm!T23,6))</f>
        <v>0</v>
      </c>
      <c r="E75" s="84">
        <f>IF(SourceObSm!U23=0,0, ROUND(SourceObSm!U23,6))</f>
        <v>0</v>
      </c>
      <c r="F75" s="84">
        <f>IF(SourceObSm!V23=0,0, ROUND(SourceObSm!V23,6))</f>
        <v>0</v>
      </c>
      <c r="G75" s="84">
        <f>IF(SourceObSm!W23=0,0, ROUND(SourceObSm!W23,6))</f>
        <v>0</v>
      </c>
      <c r="H75" s="84">
        <f>IF(SourceObSm!X23=0,0, ROUND(SourceObSm!X23,6))</f>
        <v>0</v>
      </c>
      <c r="I75" s="84">
        <f>IF(SourceObSm!Y23=0,0, ROUND(SourceObSm!Y23,6))</f>
        <v>0</v>
      </c>
      <c r="J75" s="84">
        <f>IF(H75="-","-",IF(SourceObSm!I12=0,0,H75/SourceObSm!I12))</f>
        <v>0</v>
      </c>
    </row>
    <row r="76" spans="1:10" ht="15" x14ac:dyDescent="0.25">
      <c r="A76" s="85"/>
      <c r="B76" s="86"/>
      <c r="C76" s="86" t="s">
        <v>1741</v>
      </c>
      <c r="D76" s="87">
        <f>IF(SourceObSm!T25=0,0, ROUND(SourceObSm!T25,6))</f>
        <v>88.27</v>
      </c>
      <c r="E76" s="87">
        <f>IF(SourceObSm!U25=0,0, ROUND(SourceObSm!U25,6))</f>
        <v>19.850000000000001</v>
      </c>
      <c r="F76" s="87">
        <f>IF(SourceObSm!V25=0,0, ROUND(SourceObSm!V25,6))</f>
        <v>2.3199999999999998</v>
      </c>
      <c r="G76" s="87">
        <f>IF(SourceObSm!W25=0,0, ROUND(SourceObSm!W25,6))</f>
        <v>2.4300000000000002</v>
      </c>
      <c r="H76" s="87">
        <f>IF(SourceObSm!X25=0,0, ROUND(SourceObSm!X25,6))</f>
        <v>112.87</v>
      </c>
      <c r="I76" s="87">
        <f>IF(SourceObSm!Y25=0,0, ROUND(SourceObSm!Y25,6))</f>
        <v>15.26</v>
      </c>
      <c r="J76" s="87"/>
    </row>
    <row r="80" spans="1:10" ht="14.25" x14ac:dyDescent="0.2">
      <c r="A80" s="13"/>
      <c r="B80" s="88" t="s">
        <v>1742</v>
      </c>
      <c r="C80" s="89"/>
      <c r="D80" s="90"/>
      <c r="E80" s="91"/>
      <c r="F80" s="91"/>
      <c r="G80" s="76" t="str">
        <f>IF(SourceObSm!X12&lt;&gt;"",SourceObSm!X12,"")</f>
        <v/>
      </c>
    </row>
    <row r="81" spans="1:7" ht="14.25" x14ac:dyDescent="0.2">
      <c r="A81" s="13"/>
      <c r="B81" s="64"/>
      <c r="C81" s="122" t="s">
        <v>1743</v>
      </c>
      <c r="D81" s="122"/>
      <c r="E81" s="122"/>
      <c r="F81" s="122"/>
      <c r="G81" s="92"/>
    </row>
    <row r="82" spans="1:7" ht="14.25" x14ac:dyDescent="0.2">
      <c r="A82" s="13"/>
      <c r="B82" s="64"/>
      <c r="C82" s="80"/>
      <c r="D82" s="13"/>
      <c r="E82" s="68"/>
      <c r="F82" s="68"/>
      <c r="G82" s="68"/>
    </row>
    <row r="83" spans="1:7" ht="14.25" x14ac:dyDescent="0.2">
      <c r="A83" s="13"/>
      <c r="B83" s="72" t="s">
        <v>1744</v>
      </c>
      <c r="C83" s="90" t="str">
        <f>IF(SourceObSm!AA12&lt;&gt;"",SourceObSm!AA12,"")</f>
        <v/>
      </c>
      <c r="D83" s="80" t="s">
        <v>1745</v>
      </c>
      <c r="E83" s="49"/>
      <c r="F83" s="49"/>
      <c r="G83" s="75" t="str">
        <f>IF(SourceObSm!Y12&lt;&gt;"",SourceObSm!Y12,"")</f>
        <v/>
      </c>
    </row>
    <row r="84" spans="1:7" ht="14.25" x14ac:dyDescent="0.2">
      <c r="A84" s="13"/>
      <c r="B84" s="17"/>
      <c r="C84" s="93" t="s">
        <v>1746</v>
      </c>
      <c r="D84" s="15"/>
      <c r="E84" s="122" t="s">
        <v>1743</v>
      </c>
      <c r="F84" s="122"/>
      <c r="G84" s="92"/>
    </row>
    <row r="85" spans="1:7" ht="14.25" x14ac:dyDescent="0.2">
      <c r="A85" s="13"/>
      <c r="B85" s="72"/>
      <c r="C85" s="13"/>
      <c r="D85" s="13"/>
      <c r="E85" s="13"/>
      <c r="F85" s="13"/>
      <c r="G85" s="13"/>
    </row>
    <row r="86" spans="1:7" ht="14.25" x14ac:dyDescent="0.2">
      <c r="A86" s="13"/>
      <c r="B86" s="72" t="s">
        <v>1747</v>
      </c>
      <c r="C86" s="90" t="str">
        <f>IF(SourceObSm!AC12&lt;&gt;"",SourceObSm!AC12,"")</f>
        <v/>
      </c>
      <c r="D86" s="49"/>
      <c r="E86" s="49"/>
      <c r="F86" s="90"/>
      <c r="G86" s="75" t="str">
        <f>IF(SourceObSm!AB12&lt;&gt;"",SourceObSm!AB12,"")</f>
        <v/>
      </c>
    </row>
    <row r="87" spans="1:7" ht="14.25" x14ac:dyDescent="0.2">
      <c r="A87" s="13"/>
      <c r="B87" s="72"/>
      <c r="C87" s="122" t="s">
        <v>1748</v>
      </c>
      <c r="D87" s="122"/>
      <c r="E87" s="122"/>
      <c r="F87" s="122"/>
      <c r="G87" s="92"/>
    </row>
    <row r="88" spans="1:7" ht="14.25" x14ac:dyDescent="0.2">
      <c r="A88" s="13"/>
      <c r="B88" s="72"/>
      <c r="C88" s="94"/>
      <c r="D88" s="94"/>
      <c r="E88" s="94"/>
      <c r="F88" s="68"/>
      <c r="G88" s="68"/>
    </row>
    <row r="89" spans="1:7" ht="14.25" x14ac:dyDescent="0.2">
      <c r="A89" s="13"/>
      <c r="B89" s="72" t="s">
        <v>1749</v>
      </c>
      <c r="C89" s="90" t="str">
        <f>IF(SourceObSm!AE12&lt;&gt;"",SourceObSm!AE12,"")</f>
        <v/>
      </c>
      <c r="D89" s="49"/>
      <c r="E89" s="49"/>
      <c r="F89" s="90"/>
      <c r="G89" s="75" t="str">
        <f>IF(SourceObSm!AD12&lt;&gt;"",SourceObSm!AD12,"")</f>
        <v/>
      </c>
    </row>
    <row r="90" spans="1:7" ht="14.25" x14ac:dyDescent="0.2">
      <c r="A90" s="13"/>
      <c r="B90" s="95"/>
      <c r="C90" s="122" t="s">
        <v>1748</v>
      </c>
      <c r="D90" s="122"/>
      <c r="E90" s="122"/>
      <c r="F90" s="122"/>
      <c r="G90" s="92"/>
    </row>
  </sheetData>
  <mergeCells count="34">
    <mergeCell ref="B10:I10"/>
    <mergeCell ref="A1:D1"/>
    <mergeCell ref="B4:I4"/>
    <mergeCell ref="B5:I5"/>
    <mergeCell ref="B7:I7"/>
    <mergeCell ref="B8:I8"/>
    <mergeCell ref="A46:D46"/>
    <mergeCell ref="B18:I18"/>
    <mergeCell ref="A20:A21"/>
    <mergeCell ref="B20:B21"/>
    <mergeCell ref="C20:C21"/>
    <mergeCell ref="D20:H20"/>
    <mergeCell ref="I20:I21"/>
    <mergeCell ref="J20:J21"/>
    <mergeCell ref="C36:F36"/>
    <mergeCell ref="E39:F39"/>
    <mergeCell ref="C42:F42"/>
    <mergeCell ref="C45:F45"/>
    <mergeCell ref="I65:I66"/>
    <mergeCell ref="J65:J66"/>
    <mergeCell ref="B49:I49"/>
    <mergeCell ref="B50:I50"/>
    <mergeCell ref="B52:I52"/>
    <mergeCell ref="B53:I53"/>
    <mergeCell ref="B55:I55"/>
    <mergeCell ref="B63:I63"/>
    <mergeCell ref="C81:F81"/>
    <mergeCell ref="E84:F84"/>
    <mergeCell ref="C87:F87"/>
    <mergeCell ref="C90:F90"/>
    <mergeCell ref="A65:A66"/>
    <mergeCell ref="B65:B66"/>
    <mergeCell ref="C65:C66"/>
    <mergeCell ref="D65:H65"/>
  </mergeCells>
  <pageMargins left="0.7" right="0.7" top="0.75" bottom="0.75" header="0.3" footer="0.3"/>
  <pageSetup paperSize="9" scale="49" fitToHeight="0" orientation="portrait" horizontalDpi="4294967295" verticalDpi="4294967295" r:id="rId1"/>
  <rowBreaks count="2" manualBreakCount="2">
    <brk id="45" max="16383" man="1"/>
    <brk id="9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97"/>
  <sheetViews>
    <sheetView workbookViewId="0"/>
  </sheetViews>
  <sheetFormatPr defaultRowHeight="12.75" x14ac:dyDescent="0.2"/>
  <sheetData>
    <row r="1" spans="1:27" x14ac:dyDescent="0.2">
      <c r="A1" t="s">
        <v>1778</v>
      </c>
      <c r="B1" t="s">
        <v>1779</v>
      </c>
      <c r="C1" t="s">
        <v>1780</v>
      </c>
      <c r="D1" t="s">
        <v>1781</v>
      </c>
      <c r="E1" t="s">
        <v>1782</v>
      </c>
      <c r="F1" t="s">
        <v>1783</v>
      </c>
      <c r="G1" t="s">
        <v>1784</v>
      </c>
      <c r="H1" t="s">
        <v>1785</v>
      </c>
      <c r="I1" t="s">
        <v>1786</v>
      </c>
      <c r="J1" t="s">
        <v>1787</v>
      </c>
      <c r="K1" t="s">
        <v>1788</v>
      </c>
      <c r="L1" t="s">
        <v>1789</v>
      </c>
      <c r="M1" t="s">
        <v>1790</v>
      </c>
      <c r="N1" t="s">
        <v>1791</v>
      </c>
    </row>
    <row r="2" spans="1:27" x14ac:dyDescent="0.2">
      <c r="A2">
        <v>1</v>
      </c>
      <c r="B2">
        <v>1</v>
      </c>
      <c r="C2">
        <v>1</v>
      </c>
      <c r="D2">
        <v>1</v>
      </c>
      <c r="E2">
        <v>1</v>
      </c>
      <c r="F2">
        <v>1</v>
      </c>
      <c r="G2">
        <v>0</v>
      </c>
      <c r="H2">
        <v>1</v>
      </c>
      <c r="I2">
        <v>1</v>
      </c>
      <c r="J2">
        <v>0</v>
      </c>
      <c r="K2">
        <v>1</v>
      </c>
      <c r="L2">
        <v>129761633</v>
      </c>
      <c r="M2">
        <v>0</v>
      </c>
      <c r="N2">
        <v>0</v>
      </c>
    </row>
    <row r="4" spans="1:27" x14ac:dyDescent="0.2">
      <c r="A4" t="s">
        <v>1751</v>
      </c>
      <c r="B4" t="s">
        <v>1752</v>
      </c>
      <c r="C4" t="s">
        <v>1753</v>
      </c>
      <c r="D4" t="s">
        <v>1754</v>
      </c>
      <c r="E4" t="s">
        <v>1755</v>
      </c>
      <c r="F4" t="s">
        <v>1756</v>
      </c>
      <c r="G4" t="s">
        <v>1757</v>
      </c>
      <c r="H4" t="s">
        <v>1758</v>
      </c>
      <c r="I4" t="s">
        <v>1759</v>
      </c>
      <c r="J4" t="s">
        <v>1760</v>
      </c>
      <c r="K4" t="s">
        <v>1761</v>
      </c>
      <c r="L4" t="s">
        <v>1762</v>
      </c>
      <c r="M4" t="s">
        <v>1763</v>
      </c>
      <c r="N4" t="s">
        <v>1764</v>
      </c>
      <c r="O4" t="s">
        <v>1765</v>
      </c>
      <c r="P4" t="s">
        <v>1766</v>
      </c>
      <c r="Q4" t="s">
        <v>1767</v>
      </c>
      <c r="R4" t="s">
        <v>1768</v>
      </c>
      <c r="S4" t="s">
        <v>1769</v>
      </c>
      <c r="T4" t="s">
        <v>1770</v>
      </c>
      <c r="U4" t="s">
        <v>1774</v>
      </c>
      <c r="V4" t="s">
        <v>1775</v>
      </c>
      <c r="W4" t="s">
        <v>1776</v>
      </c>
      <c r="X4" t="s">
        <v>1777</v>
      </c>
      <c r="Y4" t="s">
        <v>1771</v>
      </c>
      <c r="Z4" t="s">
        <v>1772</v>
      </c>
      <c r="AA4" t="s">
        <v>1773</v>
      </c>
    </row>
    <row r="6" spans="1:27" x14ac:dyDescent="0.2">
      <c r="A6">
        <f>Source!A20</f>
        <v>3</v>
      </c>
      <c r="B6">
        <v>20</v>
      </c>
      <c r="G6" t="str">
        <f>Source!G20</f>
        <v>ПЗУ</v>
      </c>
    </row>
    <row r="7" spans="1:27" x14ac:dyDescent="0.2">
      <c r="A7">
        <f>Source!A24</f>
        <v>4</v>
      </c>
      <c r="B7">
        <v>24</v>
      </c>
      <c r="G7" t="str">
        <f>Source!G24</f>
        <v>Демонтажные работы</v>
      </c>
    </row>
    <row r="8" spans="1:27" x14ac:dyDescent="0.2">
      <c r="A8">
        <v>20</v>
      </c>
      <c r="B8">
        <v>2</v>
      </c>
      <c r="C8">
        <v>1</v>
      </c>
      <c r="D8">
        <v>0</v>
      </c>
      <c r="E8">
        <f>SmtRes!AV2</f>
        <v>1</v>
      </c>
      <c r="F8" t="str">
        <f>SmtRes!I2</f>
        <v>9999990008</v>
      </c>
      <c r="G8" t="str">
        <f>SmtRes!K2</f>
        <v>Трудозатраты рабочих</v>
      </c>
      <c r="H8" t="str">
        <f>SmtRes!O2</f>
        <v>чел.-ч.</v>
      </c>
      <c r="I8">
        <f>SmtRes!Y2*Source!I29</f>
        <v>5.0101999999999993</v>
      </c>
      <c r="J8">
        <f>SmtRes!AO2</f>
        <v>1</v>
      </c>
      <c r="K8">
        <f>SmtRes!AH2</f>
        <v>0</v>
      </c>
      <c r="L8">
        <f>SmtRes!DB2</f>
        <v>0</v>
      </c>
      <c r="M8">
        <f>ROUND(ROUND(L8*Source!I29, 6)*1, 2)</f>
        <v>0</v>
      </c>
      <c r="N8">
        <f>SmtRes!AD2</f>
        <v>0</v>
      </c>
      <c r="O8">
        <f>ROUND(ROUND(L8*Source!I29, 6)*SmtRes!DA2, 2)</f>
        <v>0</v>
      </c>
      <c r="P8">
        <f>SmtRes!AG2</f>
        <v>0</v>
      </c>
      <c r="Q8">
        <f>SmtRes!DC2</f>
        <v>0</v>
      </c>
      <c r="R8">
        <f>ROUND(ROUND(Q8*Source!I29, 6)*1, 2)</f>
        <v>0</v>
      </c>
      <c r="S8">
        <f>SmtRes!AC2</f>
        <v>0</v>
      </c>
      <c r="T8">
        <f>ROUND(ROUND(Q8*Source!I29, 6)*SmtRes!AK2, 2)</f>
        <v>0</v>
      </c>
      <c r="U8">
        <v>1</v>
      </c>
      <c r="Y8">
        <f>SmtRes!X2</f>
        <v>476480486</v>
      </c>
      <c r="Z8">
        <v>1499241640</v>
      </c>
      <c r="AA8">
        <v>1499241640</v>
      </c>
    </row>
    <row r="9" spans="1:27" x14ac:dyDescent="0.2">
      <c r="A9">
        <f>Source!A61</f>
        <v>4</v>
      </c>
      <c r="B9">
        <v>61</v>
      </c>
      <c r="G9" t="str">
        <f>Source!G61</f>
        <v>Монтажные работы</v>
      </c>
    </row>
    <row r="10" spans="1:27" x14ac:dyDescent="0.2">
      <c r="A10">
        <v>20</v>
      </c>
      <c r="B10">
        <v>17</v>
      </c>
      <c r="C10">
        <v>3</v>
      </c>
      <c r="D10">
        <v>0</v>
      </c>
      <c r="E10">
        <f>SmtRes!AV17</f>
        <v>0</v>
      </c>
      <c r="F10" t="str">
        <f>SmtRes!I17</f>
        <v>1.1-1-118</v>
      </c>
      <c r="G10" t="str">
        <f>SmtRes!K17</f>
        <v>Вода</v>
      </c>
      <c r="H10" t="str">
        <f>SmtRes!O17</f>
        <v>м3</v>
      </c>
      <c r="I10">
        <f>SmtRes!Y17*Source!I66</f>
        <v>0.13200000000000001</v>
      </c>
      <c r="J10">
        <f>SmtRes!AO17</f>
        <v>1</v>
      </c>
      <c r="K10">
        <f>SmtRes!AE17</f>
        <v>7.07</v>
      </c>
      <c r="L10">
        <f>SmtRes!DB17</f>
        <v>35.35</v>
      </c>
      <c r="M10">
        <f>ROUND(ROUND(L10*Source!I66, 6)*1, 2)</f>
        <v>0.93</v>
      </c>
      <c r="N10">
        <f>SmtRes!AA17</f>
        <v>42.5</v>
      </c>
      <c r="O10">
        <f>ROUND(ROUND(L10*Source!I66, 6)*SmtRes!DA17, 2)</f>
        <v>5.6</v>
      </c>
      <c r="P10">
        <f>SmtRes!AG17</f>
        <v>0</v>
      </c>
      <c r="Q10">
        <f>SmtRes!DC17</f>
        <v>0</v>
      </c>
      <c r="R10">
        <f>ROUND(ROUND(Q10*Source!I66, 6)*1, 2)</f>
        <v>0</v>
      </c>
      <c r="S10">
        <f>SmtRes!AC17</f>
        <v>0</v>
      </c>
      <c r="T10">
        <f>ROUND(ROUND(Q10*Source!I66, 6)*SmtRes!AK17, 2)</f>
        <v>0</v>
      </c>
      <c r="U10">
        <v>3</v>
      </c>
      <c r="Y10">
        <f>SmtRes!X17</f>
        <v>-862991314</v>
      </c>
      <c r="Z10">
        <v>-1421290593</v>
      </c>
      <c r="AA10">
        <v>-1489187206</v>
      </c>
    </row>
    <row r="11" spans="1:27" x14ac:dyDescent="0.2">
      <c r="A11">
        <v>20</v>
      </c>
      <c r="B11">
        <v>16</v>
      </c>
      <c r="C11">
        <v>2</v>
      </c>
      <c r="D11">
        <v>0</v>
      </c>
      <c r="E11">
        <f>SmtRes!AV16</f>
        <v>0</v>
      </c>
      <c r="F11" t="str">
        <f>SmtRes!I16</f>
        <v>2.1-5-7</v>
      </c>
      <c r="G11" t="str">
        <f>SmtRes!K16</f>
        <v>Катки дорожные самоходные на пневмоколесном ходу, масса до 16 т</v>
      </c>
      <c r="H11" t="str">
        <f>SmtRes!O16</f>
        <v>маш.-ч.</v>
      </c>
      <c r="I11">
        <f>SmtRes!Y16*Source!I66</f>
        <v>1.7160000000000002E-2</v>
      </c>
      <c r="J11">
        <f>SmtRes!AO16</f>
        <v>1</v>
      </c>
      <c r="K11">
        <f>SmtRes!AF16</f>
        <v>177.54</v>
      </c>
      <c r="L11">
        <f>SmtRes!DB16</f>
        <v>115.4</v>
      </c>
      <c r="M11">
        <f>ROUND(ROUND(L11*Source!I66, 6)*1, 2)</f>
        <v>3.05</v>
      </c>
      <c r="N11">
        <f>SmtRes!AB16</f>
        <v>2026.14</v>
      </c>
      <c r="O11">
        <f>ROUND(ROUND(L11*Source!I66, 6)*SmtRes!DA16, 2)</f>
        <v>33.21</v>
      </c>
      <c r="P11">
        <f>SmtRes!AG16</f>
        <v>17.420000000000002</v>
      </c>
      <c r="Q11">
        <f>SmtRes!DC16</f>
        <v>11.324999999999999</v>
      </c>
      <c r="R11">
        <f>ROUND(ROUND(Q11*Source!I66, 6)*1, 2)</f>
        <v>0.3</v>
      </c>
      <c r="S11">
        <f>SmtRes!AC16</f>
        <v>529.47</v>
      </c>
      <c r="T11">
        <f>ROUND(ROUND(Q11*Source!I66, 6)*SmtRes!AK16, 2)</f>
        <v>8.68</v>
      </c>
      <c r="U11">
        <v>2</v>
      </c>
      <c r="Y11">
        <f>SmtRes!X16</f>
        <v>-646811103</v>
      </c>
      <c r="Z11">
        <v>-134693179</v>
      </c>
      <c r="AA11">
        <v>-1385780307</v>
      </c>
    </row>
    <row r="12" spans="1:27" x14ac:dyDescent="0.2">
      <c r="A12">
        <v>20</v>
      </c>
      <c r="B12">
        <v>15</v>
      </c>
      <c r="C12">
        <v>2</v>
      </c>
      <c r="D12">
        <v>0</v>
      </c>
      <c r="E12">
        <f>SmtRes!AV15</f>
        <v>0</v>
      </c>
      <c r="F12" t="str">
        <f>SmtRes!I15</f>
        <v>2.1-5-48</v>
      </c>
      <c r="G12" t="str">
        <f>SmtRes!K15</f>
        <v>Автогрейдеры, мощность 99-147 кВт (130-200 л.с.)</v>
      </c>
      <c r="H12" t="str">
        <f>SmtRes!O15</f>
        <v>маш.-ч.</v>
      </c>
      <c r="I12">
        <f>SmtRes!Y15*Source!I66</f>
        <v>5.1150000000000001E-2</v>
      </c>
      <c r="J12">
        <f>SmtRes!AO15</f>
        <v>1</v>
      </c>
      <c r="K12">
        <f>SmtRes!AF15</f>
        <v>125.13</v>
      </c>
      <c r="L12">
        <f>SmtRes!DB15</f>
        <v>242.4375</v>
      </c>
      <c r="M12">
        <f>ROUND(ROUND(L12*Source!I66, 6)*1, 2)</f>
        <v>6.4</v>
      </c>
      <c r="N12">
        <f>SmtRes!AB15</f>
        <v>1407.06</v>
      </c>
      <c r="O12">
        <f>ROUND(ROUND(L12*Source!I66, 6)*SmtRes!DA15, 2)</f>
        <v>68.739999999999995</v>
      </c>
      <c r="P12">
        <f>SmtRes!AG15</f>
        <v>24.74</v>
      </c>
      <c r="Q12">
        <f>SmtRes!DC15</f>
        <v>47.9375</v>
      </c>
      <c r="R12">
        <f>ROUND(ROUND(Q12*Source!I66, 6)*1, 2)</f>
        <v>1.27</v>
      </c>
      <c r="S12">
        <f>SmtRes!AC15</f>
        <v>751.96</v>
      </c>
      <c r="T12">
        <f>ROUND(ROUND(Q12*Source!I66, 6)*SmtRes!AK15, 2)</f>
        <v>36.74</v>
      </c>
      <c r="U12">
        <v>2</v>
      </c>
      <c r="Y12">
        <f>SmtRes!X15</f>
        <v>856318566</v>
      </c>
      <c r="Z12">
        <v>1834934566</v>
      </c>
      <c r="AA12">
        <v>1772781083</v>
      </c>
    </row>
    <row r="13" spans="1:27" x14ac:dyDescent="0.2">
      <c r="A13">
        <v>20</v>
      </c>
      <c r="B13">
        <v>14</v>
      </c>
      <c r="C13">
        <v>2</v>
      </c>
      <c r="D13">
        <v>0</v>
      </c>
      <c r="E13">
        <f>SmtRes!AV14</f>
        <v>0</v>
      </c>
      <c r="F13" t="str">
        <f>SmtRes!I14</f>
        <v>2.1-5-18</v>
      </c>
      <c r="G13" t="str">
        <f>SmtRes!K14</f>
        <v>Машины поливомоечные, емкость цистерны до 8 м3</v>
      </c>
      <c r="H13" t="str">
        <f>SmtRes!O14</f>
        <v>маш.-ч.</v>
      </c>
      <c r="I13">
        <f>SmtRes!Y14*Source!I66</f>
        <v>2.145E-2</v>
      </c>
      <c r="J13">
        <f>SmtRes!AO14</f>
        <v>1</v>
      </c>
      <c r="K13">
        <f>SmtRes!AF14</f>
        <v>246.68</v>
      </c>
      <c r="L13">
        <f>SmtRes!DB14</f>
        <v>200.42500000000001</v>
      </c>
      <c r="M13">
        <f>ROUND(ROUND(L13*Source!I66, 6)*1, 2)</f>
        <v>5.29</v>
      </c>
      <c r="N13">
        <f>SmtRes!AB14</f>
        <v>2693.8</v>
      </c>
      <c r="O13">
        <f>ROUND(ROUND(L13*Source!I66, 6)*SmtRes!DA14, 2)</f>
        <v>55.19</v>
      </c>
      <c r="P13">
        <f>SmtRes!AG14</f>
        <v>13.37</v>
      </c>
      <c r="Q13">
        <f>SmtRes!DC14</f>
        <v>10.862500000000001</v>
      </c>
      <c r="R13">
        <f>ROUND(ROUND(Q13*Source!I66, 6)*1, 2)</f>
        <v>0.28999999999999998</v>
      </c>
      <c r="S13">
        <f>SmtRes!AC14</f>
        <v>406.37</v>
      </c>
      <c r="T13">
        <f>ROUND(ROUND(Q13*Source!I66, 6)*SmtRes!AK14, 2)</f>
        <v>8.32</v>
      </c>
      <c r="U13">
        <v>2</v>
      </c>
      <c r="Y13">
        <f>SmtRes!X14</f>
        <v>366114799</v>
      </c>
      <c r="Z13">
        <v>-609368706</v>
      </c>
      <c r="AA13">
        <v>1582930142</v>
      </c>
    </row>
    <row r="14" spans="1:27" x14ac:dyDescent="0.2">
      <c r="A14">
        <v>20</v>
      </c>
      <c r="B14">
        <v>13</v>
      </c>
      <c r="C14">
        <v>2</v>
      </c>
      <c r="D14">
        <v>0</v>
      </c>
      <c r="E14">
        <f>SmtRes!AV13</f>
        <v>0</v>
      </c>
      <c r="F14" t="str">
        <f>SmtRes!I13</f>
        <v>2.1-5-15</v>
      </c>
      <c r="G14" t="str">
        <f>SmtRes!K13</f>
        <v>Катки прицепные пневмоколесные, масса до 50 т</v>
      </c>
      <c r="H14" t="str">
        <f>SmtRes!O13</f>
        <v>маш.-ч.</v>
      </c>
      <c r="I14">
        <f>SmtRes!Y13*Source!I66</f>
        <v>5.4779999999999995E-2</v>
      </c>
      <c r="J14">
        <f>SmtRes!AO13</f>
        <v>1</v>
      </c>
      <c r="K14">
        <f>SmtRes!AF13</f>
        <v>62.97</v>
      </c>
      <c r="L14">
        <f>SmtRes!DB13</f>
        <v>130.66249999999999</v>
      </c>
      <c r="M14">
        <f>ROUND(ROUND(L14*Source!I66, 6)*1, 2)</f>
        <v>3.45</v>
      </c>
      <c r="N14">
        <f>SmtRes!AB13</f>
        <v>65.930000000000007</v>
      </c>
      <c r="O14">
        <f>ROUND(ROUND(L14*Source!I66, 6)*SmtRes!DA13, 2)</f>
        <v>3.45</v>
      </c>
      <c r="P14">
        <f>SmtRes!AG13</f>
        <v>6.64</v>
      </c>
      <c r="Q14">
        <f>SmtRes!DC13</f>
        <v>13.775</v>
      </c>
      <c r="R14">
        <f>ROUND(ROUND(Q14*Source!I66, 6)*1, 2)</f>
        <v>0.36</v>
      </c>
      <c r="S14">
        <f>SmtRes!AC13</f>
        <v>6.95</v>
      </c>
      <c r="T14">
        <f>ROUND(ROUND(Q14*Source!I66, 6)*SmtRes!AK13, 2)</f>
        <v>0.36</v>
      </c>
      <c r="U14">
        <v>2</v>
      </c>
      <c r="Y14">
        <f>SmtRes!X13</f>
        <v>142191915</v>
      </c>
      <c r="Z14">
        <v>276339441</v>
      </c>
      <c r="AA14">
        <v>-1966971311</v>
      </c>
    </row>
    <row r="15" spans="1:27" x14ac:dyDescent="0.2">
      <c r="A15">
        <v>20</v>
      </c>
      <c r="B15">
        <v>12</v>
      </c>
      <c r="C15">
        <v>2</v>
      </c>
      <c r="D15">
        <v>0</v>
      </c>
      <c r="E15">
        <f>SmtRes!AV12</f>
        <v>0</v>
      </c>
      <c r="F15" t="str">
        <f>SmtRes!I12</f>
        <v>2.1-2-1</v>
      </c>
      <c r="G15" t="str">
        <f>SmtRes!K12</f>
        <v>Тракторы на гусеничном ходу, мощность до 60 кВт (81 л.с.)</v>
      </c>
      <c r="H15" t="str">
        <f>SmtRes!O12</f>
        <v>маш.-ч.</v>
      </c>
      <c r="I15">
        <f>SmtRes!Y12*Source!I66</f>
        <v>5.4779999999999995E-2</v>
      </c>
      <c r="J15">
        <f>SmtRes!AO12</f>
        <v>1</v>
      </c>
      <c r="K15">
        <f>SmtRes!AF12</f>
        <v>116.89</v>
      </c>
      <c r="L15">
        <f>SmtRes!DB12</f>
        <v>242.55</v>
      </c>
      <c r="M15">
        <f>ROUND(ROUND(L15*Source!I66, 6)*1, 2)</f>
        <v>6.4</v>
      </c>
      <c r="N15">
        <f>SmtRes!AB12</f>
        <v>1335.21</v>
      </c>
      <c r="O15">
        <f>ROUND(ROUND(L15*Source!I66, 6)*SmtRes!DA12, 2)</f>
        <v>69.86</v>
      </c>
      <c r="P15">
        <f>SmtRes!AG12</f>
        <v>23.41</v>
      </c>
      <c r="Q15">
        <f>SmtRes!DC12</f>
        <v>48.575000000000003</v>
      </c>
      <c r="R15">
        <f>ROUND(ROUND(Q15*Source!I66, 6)*1, 2)</f>
        <v>1.28</v>
      </c>
      <c r="S15">
        <f>SmtRes!AC12</f>
        <v>711.53</v>
      </c>
      <c r="T15">
        <f>ROUND(ROUND(Q15*Source!I66, 6)*SmtRes!AK12, 2)</f>
        <v>37.229999999999997</v>
      </c>
      <c r="U15">
        <v>2</v>
      </c>
      <c r="Y15">
        <f>SmtRes!X12</f>
        <v>1928543733</v>
      </c>
      <c r="Z15">
        <v>527369301</v>
      </c>
      <c r="AA15">
        <v>-937377343</v>
      </c>
    </row>
    <row r="16" spans="1:27" x14ac:dyDescent="0.2">
      <c r="A16">
        <v>20</v>
      </c>
      <c r="B16">
        <v>11</v>
      </c>
      <c r="C16">
        <v>1</v>
      </c>
      <c r="D16">
        <v>0</v>
      </c>
      <c r="E16">
        <f>SmtRes!AV11</f>
        <v>1</v>
      </c>
      <c r="F16" t="str">
        <f>SmtRes!I11</f>
        <v>9999990008</v>
      </c>
      <c r="G16" t="str">
        <f>SmtRes!K11</f>
        <v>Трудозатраты рабочих</v>
      </c>
      <c r="H16" t="str">
        <f>SmtRes!O11</f>
        <v>чел.-ч.</v>
      </c>
      <c r="I16">
        <f>SmtRes!Y11*Source!I66</f>
        <v>0.43718399999999996</v>
      </c>
      <c r="J16">
        <f>SmtRes!AO11</f>
        <v>1</v>
      </c>
      <c r="K16">
        <f>SmtRes!AH11</f>
        <v>0</v>
      </c>
      <c r="L16">
        <f>SmtRes!DB11</f>
        <v>0</v>
      </c>
      <c r="M16">
        <f>ROUND(ROUND(L16*Source!I66, 6)*1, 2)</f>
        <v>0</v>
      </c>
      <c r="N16">
        <f>SmtRes!AD11</f>
        <v>0</v>
      </c>
      <c r="O16">
        <f>ROUND(ROUND(L16*Source!I66, 6)*SmtRes!DA11, 2)</f>
        <v>0</v>
      </c>
      <c r="P16">
        <f>SmtRes!AG11</f>
        <v>0</v>
      </c>
      <c r="Q16">
        <f>SmtRes!DC11</f>
        <v>0</v>
      </c>
      <c r="R16">
        <f>ROUND(ROUND(Q16*Source!I66, 6)*1, 2)</f>
        <v>0</v>
      </c>
      <c r="S16">
        <f>SmtRes!AC11</f>
        <v>0</v>
      </c>
      <c r="T16">
        <f>ROUND(ROUND(Q16*Source!I66, 6)*SmtRes!AK11, 2)</f>
        <v>0</v>
      </c>
      <c r="U16">
        <v>1</v>
      </c>
      <c r="Y16">
        <f>SmtRes!X11</f>
        <v>476480486</v>
      </c>
      <c r="Z16">
        <v>1499241640</v>
      </c>
      <c r="AA16">
        <v>1499241640</v>
      </c>
    </row>
    <row r="17" spans="1:27" x14ac:dyDescent="0.2">
      <c r="A17">
        <f>Source!A68</f>
        <v>18</v>
      </c>
      <c r="B17">
        <v>68</v>
      </c>
      <c r="C17">
        <v>3</v>
      </c>
      <c r="D17">
        <f>Source!BI68</f>
        <v>1</v>
      </c>
      <c r="E17">
        <f>Source!FS68</f>
        <v>0</v>
      </c>
      <c r="F17" t="str">
        <f>Source!F68</f>
        <v>1.1-1-766</v>
      </c>
      <c r="G17" t="str">
        <f>Source!G68</f>
        <v>Песок для строительных работ, рядовой</v>
      </c>
      <c r="H17" t="str">
        <f>Source!H68</f>
        <v>м3</v>
      </c>
      <c r="I17">
        <f>Source!I68</f>
        <v>2.9039999999999999</v>
      </c>
      <c r="J17">
        <v>1</v>
      </c>
      <c r="K17">
        <f>Source!AC68</f>
        <v>104.99</v>
      </c>
      <c r="M17">
        <f>ROUND(K17*I17, 2)</f>
        <v>304.89</v>
      </c>
      <c r="N17">
        <f>Source!AC68*IF(Source!BC68&lt;&gt; 0, Source!BC68, 1)</f>
        <v>722.33119999999997</v>
      </c>
      <c r="O17">
        <f>ROUND(N17*I17, 2)</f>
        <v>2097.65</v>
      </c>
      <c r="P17">
        <f>Source!AE68</f>
        <v>0</v>
      </c>
      <c r="R17">
        <f>ROUND(P17*I17, 2)</f>
        <v>0</v>
      </c>
      <c r="S17">
        <f>Source!AE68*IF(Source!BS68&lt;&gt; 0, Source!BS68, 1)</f>
        <v>0</v>
      </c>
      <c r="T17">
        <f>ROUND(S17*I17, 2)</f>
        <v>0</v>
      </c>
      <c r="U17">
        <v>3</v>
      </c>
      <c r="Y17">
        <f>Source!GF68</f>
        <v>2069056849</v>
      </c>
      <c r="Z17">
        <v>-1085618096</v>
      </c>
      <c r="AA17">
        <v>-2049674672</v>
      </c>
    </row>
    <row r="18" spans="1:27" x14ac:dyDescent="0.2">
      <c r="A18">
        <v>20</v>
      </c>
      <c r="B18">
        <v>35</v>
      </c>
      <c r="C18">
        <v>3</v>
      </c>
      <c r="D18">
        <v>0</v>
      </c>
      <c r="E18">
        <f>SmtRes!AV35</f>
        <v>0</v>
      </c>
      <c r="F18" t="str">
        <f>SmtRes!I35</f>
        <v>1.1-1-118</v>
      </c>
      <c r="G18" t="str">
        <f>SmtRes!K35</f>
        <v>Вода</v>
      </c>
      <c r="H18" t="str">
        <f>SmtRes!O35</f>
        <v>м3</v>
      </c>
      <c r="I18">
        <f>SmtRes!Y35*Source!I70</f>
        <v>0.1386</v>
      </c>
      <c r="J18">
        <f>SmtRes!AO35</f>
        <v>1</v>
      </c>
      <c r="K18">
        <f>SmtRes!AE35</f>
        <v>7.07</v>
      </c>
      <c r="L18">
        <f>SmtRes!DB35</f>
        <v>49.49</v>
      </c>
      <c r="M18">
        <f>ROUND(ROUND(L18*Source!I70, 6)*1, 2)</f>
        <v>0.98</v>
      </c>
      <c r="N18">
        <f>SmtRes!AA35</f>
        <v>42.5</v>
      </c>
      <c r="O18">
        <f>ROUND(ROUND(L18*Source!I70, 6)*SmtRes!DA35, 2)</f>
        <v>5.88</v>
      </c>
      <c r="P18">
        <f>SmtRes!AG35</f>
        <v>0</v>
      </c>
      <c r="Q18">
        <f>SmtRes!DC35</f>
        <v>0</v>
      </c>
      <c r="R18">
        <f>ROUND(ROUND(Q18*Source!I70, 6)*1, 2)</f>
        <v>0</v>
      </c>
      <c r="S18">
        <f>SmtRes!AC35</f>
        <v>0</v>
      </c>
      <c r="T18">
        <f>ROUND(ROUND(Q18*Source!I70, 6)*SmtRes!AK35, 2)</f>
        <v>0</v>
      </c>
      <c r="U18">
        <v>3</v>
      </c>
      <c r="Y18">
        <f>SmtRes!X35</f>
        <v>-862991314</v>
      </c>
      <c r="Z18">
        <v>-1421290593</v>
      </c>
      <c r="AA18">
        <v>-1489187206</v>
      </c>
    </row>
    <row r="19" spans="1:27" x14ac:dyDescent="0.2">
      <c r="A19">
        <v>20</v>
      </c>
      <c r="B19">
        <v>34</v>
      </c>
      <c r="C19">
        <v>2</v>
      </c>
      <c r="D19">
        <v>0</v>
      </c>
      <c r="E19">
        <f>SmtRes!AV34</f>
        <v>0</v>
      </c>
      <c r="F19" t="str">
        <f>SmtRes!I34</f>
        <v>2.1-5-7</v>
      </c>
      <c r="G19" t="str">
        <f>SmtRes!K34</f>
        <v>Катки дорожные самоходные на пневмоколесном ходу, масса до 16 т</v>
      </c>
      <c r="H19" t="str">
        <f>SmtRes!O34</f>
        <v>маш.-ч.</v>
      </c>
      <c r="I19">
        <f>SmtRes!Y34*Source!I70</f>
        <v>1.2870000000000001E-2</v>
      </c>
      <c r="J19">
        <f>SmtRes!AO34</f>
        <v>1</v>
      </c>
      <c r="K19">
        <f>SmtRes!AF34</f>
        <v>177.54</v>
      </c>
      <c r="L19">
        <f>SmtRes!DB34</f>
        <v>115.4</v>
      </c>
      <c r="M19">
        <f>ROUND(ROUND(L19*Source!I70, 6)*1, 2)</f>
        <v>2.2799999999999998</v>
      </c>
      <c r="N19">
        <f>SmtRes!AB34</f>
        <v>2026.14</v>
      </c>
      <c r="O19">
        <f>ROUND(ROUND(L19*Source!I70, 6)*SmtRes!DA34, 2)</f>
        <v>24.91</v>
      </c>
      <c r="P19">
        <f>SmtRes!AG34</f>
        <v>17.420000000000002</v>
      </c>
      <c r="Q19">
        <f>SmtRes!DC34</f>
        <v>11.324999999999999</v>
      </c>
      <c r="R19">
        <f>ROUND(ROUND(Q19*Source!I70, 6)*1, 2)</f>
        <v>0.22</v>
      </c>
      <c r="S19">
        <f>SmtRes!AC34</f>
        <v>529.47</v>
      </c>
      <c r="T19">
        <f>ROUND(ROUND(Q19*Source!I70, 6)*SmtRes!AK34, 2)</f>
        <v>6.51</v>
      </c>
      <c r="U19">
        <v>2</v>
      </c>
      <c r="Y19">
        <f>SmtRes!X34</f>
        <v>-646811103</v>
      </c>
      <c r="Z19">
        <v>-134693179</v>
      </c>
      <c r="AA19">
        <v>-1385780307</v>
      </c>
    </row>
    <row r="20" spans="1:27" x14ac:dyDescent="0.2">
      <c r="A20">
        <v>20</v>
      </c>
      <c r="B20">
        <v>33</v>
      </c>
      <c r="C20">
        <v>2</v>
      </c>
      <c r="D20">
        <v>0</v>
      </c>
      <c r="E20">
        <f>SmtRes!AV33</f>
        <v>0</v>
      </c>
      <c r="F20" t="str">
        <f>SmtRes!I33</f>
        <v>2.1-5-48</v>
      </c>
      <c r="G20" t="str">
        <f>SmtRes!K33</f>
        <v>Автогрейдеры, мощность 99-147 кВт (130-200 л.с.)</v>
      </c>
      <c r="H20" t="str">
        <f>SmtRes!O33</f>
        <v>маш.-ч.</v>
      </c>
      <c r="I20">
        <f>SmtRes!Y33*Source!I70</f>
        <v>4.4302500000000002E-2</v>
      </c>
      <c r="J20">
        <f>SmtRes!AO33</f>
        <v>1</v>
      </c>
      <c r="K20">
        <f>SmtRes!AF33</f>
        <v>125.13</v>
      </c>
      <c r="L20">
        <f>SmtRes!DB33</f>
        <v>279.97500000000002</v>
      </c>
      <c r="M20">
        <f>ROUND(ROUND(L20*Source!I70, 6)*1, 2)</f>
        <v>5.54</v>
      </c>
      <c r="N20">
        <f>SmtRes!AB33</f>
        <v>1407.06</v>
      </c>
      <c r="O20">
        <f>ROUND(ROUND(L20*Source!I70, 6)*SmtRes!DA33, 2)</f>
        <v>59.54</v>
      </c>
      <c r="P20">
        <f>SmtRes!AG33</f>
        <v>24.74</v>
      </c>
      <c r="Q20">
        <f>SmtRes!DC33</f>
        <v>55.35</v>
      </c>
      <c r="R20">
        <f>ROUND(ROUND(Q20*Source!I70, 6)*1, 2)</f>
        <v>1.1000000000000001</v>
      </c>
      <c r="S20">
        <f>SmtRes!AC33</f>
        <v>751.96</v>
      </c>
      <c r="T20">
        <f>ROUND(ROUND(Q20*Source!I70, 6)*SmtRes!AK33, 2)</f>
        <v>31.81</v>
      </c>
      <c r="U20">
        <v>2</v>
      </c>
      <c r="Y20">
        <f>SmtRes!X33</f>
        <v>856318566</v>
      </c>
      <c r="Z20">
        <v>1834934566</v>
      </c>
      <c r="AA20">
        <v>1772781083</v>
      </c>
    </row>
    <row r="21" spans="1:27" x14ac:dyDescent="0.2">
      <c r="A21">
        <v>20</v>
      </c>
      <c r="B21">
        <v>32</v>
      </c>
      <c r="C21">
        <v>2</v>
      </c>
      <c r="D21">
        <v>0</v>
      </c>
      <c r="E21">
        <f>SmtRes!AV32</f>
        <v>0</v>
      </c>
      <c r="F21" t="str">
        <f>SmtRes!I32</f>
        <v>2.1-5-3</v>
      </c>
      <c r="G21" t="str">
        <f>SmtRes!K32</f>
        <v>Катки самоходные вибрационные, масса до 14 т</v>
      </c>
      <c r="H21" t="str">
        <f>SmtRes!O32</f>
        <v>маш.-ч.</v>
      </c>
      <c r="I21">
        <f>SmtRes!Y32*Source!I70</f>
        <v>0.36135</v>
      </c>
      <c r="J21">
        <f>SmtRes!AO32</f>
        <v>1</v>
      </c>
      <c r="K21">
        <f>SmtRes!AF32</f>
        <v>219.5</v>
      </c>
      <c r="L21">
        <f>SmtRes!DB32</f>
        <v>4005.875</v>
      </c>
      <c r="M21">
        <f>ROUND(ROUND(L21*Source!I70, 6)*1, 2)</f>
        <v>79.319999999999993</v>
      </c>
      <c r="N21">
        <f>SmtRes!AB32</f>
        <v>2376.3000000000002</v>
      </c>
      <c r="O21">
        <f>ROUND(ROUND(L21*Source!I70, 6)*SmtRes!DA32, 2)</f>
        <v>820.13</v>
      </c>
      <c r="P21">
        <f>SmtRes!AG32</f>
        <v>17.510000000000002</v>
      </c>
      <c r="Q21">
        <f>SmtRes!DC32</f>
        <v>319.5625</v>
      </c>
      <c r="R21">
        <f>ROUND(ROUND(Q21*Source!I70, 6)*1, 2)</f>
        <v>6.33</v>
      </c>
      <c r="S21">
        <f>SmtRes!AC32</f>
        <v>532.21</v>
      </c>
      <c r="T21">
        <f>ROUND(ROUND(Q21*Source!I70, 6)*SmtRes!AK32, 2)</f>
        <v>183.68</v>
      </c>
      <c r="U21">
        <v>2</v>
      </c>
      <c r="Y21">
        <f>SmtRes!X32</f>
        <v>-1920329426</v>
      </c>
      <c r="Z21">
        <v>1971369267</v>
      </c>
      <c r="AA21">
        <v>-1025915691</v>
      </c>
    </row>
    <row r="22" spans="1:27" x14ac:dyDescent="0.2">
      <c r="A22">
        <v>20</v>
      </c>
      <c r="B22">
        <v>31</v>
      </c>
      <c r="C22">
        <v>2</v>
      </c>
      <c r="D22">
        <v>0</v>
      </c>
      <c r="E22">
        <f>SmtRes!AV31</f>
        <v>0</v>
      </c>
      <c r="F22" t="str">
        <f>SmtRes!I31</f>
        <v>2.1-5-2</v>
      </c>
      <c r="G22" t="str">
        <f>SmtRes!K31</f>
        <v>Катки самоходные вибрационные, масса до 8 т</v>
      </c>
      <c r="H22" t="str">
        <f>SmtRes!O31</f>
        <v>маш.-ч.</v>
      </c>
      <c r="I22">
        <f>SmtRes!Y31*Source!I70</f>
        <v>0.17745750000000002</v>
      </c>
      <c r="J22">
        <f>SmtRes!AO31</f>
        <v>1</v>
      </c>
      <c r="K22">
        <f>SmtRes!AF31</f>
        <v>169.44</v>
      </c>
      <c r="L22">
        <f>SmtRes!DB31</f>
        <v>1518.6</v>
      </c>
      <c r="M22">
        <f>ROUND(ROUND(L22*Source!I70, 6)*1, 2)</f>
        <v>30.07</v>
      </c>
      <c r="N22">
        <f>SmtRes!AB31</f>
        <v>1899.99</v>
      </c>
      <c r="O22">
        <f>ROUND(ROUND(L22*Source!I70, 6)*SmtRes!DA31, 2)</f>
        <v>322.02999999999997</v>
      </c>
      <c r="P22">
        <f>SmtRes!AG31</f>
        <v>15.02</v>
      </c>
      <c r="Q22">
        <f>SmtRes!DC31</f>
        <v>134.61250000000001</v>
      </c>
      <c r="R22">
        <f>ROUND(ROUND(Q22*Source!I70, 6)*1, 2)</f>
        <v>2.67</v>
      </c>
      <c r="S22">
        <f>SmtRes!AC31</f>
        <v>456.52</v>
      </c>
      <c r="T22">
        <f>ROUND(ROUND(Q22*Source!I70, 6)*SmtRes!AK31, 2)</f>
        <v>77.37</v>
      </c>
      <c r="U22">
        <v>2</v>
      </c>
      <c r="Y22">
        <f>SmtRes!X31</f>
        <v>-1882480599</v>
      </c>
      <c r="Z22">
        <v>-1785152756</v>
      </c>
      <c r="AA22">
        <v>2121464141</v>
      </c>
    </row>
    <row r="23" spans="1:27" x14ac:dyDescent="0.2">
      <c r="A23">
        <v>20</v>
      </c>
      <c r="B23">
        <v>30</v>
      </c>
      <c r="C23">
        <v>2</v>
      </c>
      <c r="D23">
        <v>0</v>
      </c>
      <c r="E23">
        <f>SmtRes!AV30</f>
        <v>0</v>
      </c>
      <c r="F23" t="str">
        <f>SmtRes!I30</f>
        <v>2.1-5-18</v>
      </c>
      <c r="G23" t="str">
        <f>SmtRes!K30</f>
        <v>Машины поливомоечные, емкость цистерны до 8 м3</v>
      </c>
      <c r="H23" t="str">
        <f>SmtRes!O30</f>
        <v>маш.-ч.</v>
      </c>
      <c r="I23">
        <f>SmtRes!Y30*Source!I70</f>
        <v>2.2522500000000001E-2</v>
      </c>
      <c r="J23">
        <f>SmtRes!AO30</f>
        <v>1</v>
      </c>
      <c r="K23">
        <f>SmtRes!AF30</f>
        <v>246.68</v>
      </c>
      <c r="L23">
        <f>SmtRes!DB30</f>
        <v>280.60000000000002</v>
      </c>
      <c r="M23">
        <f>ROUND(ROUND(L23*Source!I70, 6)*1, 2)</f>
        <v>5.56</v>
      </c>
      <c r="N23">
        <f>SmtRes!AB30</f>
        <v>2693.8</v>
      </c>
      <c r="O23">
        <f>ROUND(ROUND(L23*Source!I70, 6)*SmtRes!DA30, 2)</f>
        <v>57.95</v>
      </c>
      <c r="P23">
        <f>SmtRes!AG30</f>
        <v>13.37</v>
      </c>
      <c r="Q23">
        <f>SmtRes!DC30</f>
        <v>15.2125</v>
      </c>
      <c r="R23">
        <f>ROUND(ROUND(Q23*Source!I70, 6)*1, 2)</f>
        <v>0.3</v>
      </c>
      <c r="S23">
        <f>SmtRes!AC30</f>
        <v>406.37</v>
      </c>
      <c r="T23">
        <f>ROUND(ROUND(Q23*Source!I70, 6)*SmtRes!AK30, 2)</f>
        <v>8.74</v>
      </c>
      <c r="U23">
        <v>2</v>
      </c>
      <c r="Y23">
        <f>SmtRes!X30</f>
        <v>366114799</v>
      </c>
      <c r="Z23">
        <v>-609368706</v>
      </c>
      <c r="AA23">
        <v>1582930142</v>
      </c>
    </row>
    <row r="24" spans="1:27" x14ac:dyDescent="0.2">
      <c r="A24">
        <v>20</v>
      </c>
      <c r="B24">
        <v>29</v>
      </c>
      <c r="C24">
        <v>2</v>
      </c>
      <c r="D24">
        <v>0</v>
      </c>
      <c r="E24">
        <f>SmtRes!AV29</f>
        <v>0</v>
      </c>
      <c r="F24" t="str">
        <f>SmtRes!I29</f>
        <v>2.1-1-43</v>
      </c>
      <c r="G24" t="str">
        <f>SmtRes!K29</f>
        <v>Бульдозеры гусеничные, мощность до 59 кВт (80 л.с.)</v>
      </c>
      <c r="H24" t="str">
        <f>SmtRes!O29</f>
        <v>маш.-ч.</v>
      </c>
      <c r="I24">
        <f>SmtRes!Y29*Source!I70</f>
        <v>5.8162500000000006E-2</v>
      </c>
      <c r="J24">
        <f>SmtRes!AO29</f>
        <v>1</v>
      </c>
      <c r="K24">
        <f>SmtRes!AF29</f>
        <v>163.47999999999999</v>
      </c>
      <c r="L24">
        <f>SmtRes!DB29</f>
        <v>480.22500000000002</v>
      </c>
      <c r="M24">
        <f>ROUND(ROUND(L24*Source!I70, 6)*1, 2)</f>
        <v>9.51</v>
      </c>
      <c r="N24">
        <f>SmtRes!AB29</f>
        <v>1857.12</v>
      </c>
      <c r="O24">
        <f>ROUND(ROUND(L24*Source!I70, 6)*SmtRes!DA29, 2)</f>
        <v>103.17</v>
      </c>
      <c r="P24">
        <f>SmtRes!AG29</f>
        <v>15.47</v>
      </c>
      <c r="Q24">
        <f>SmtRes!DC29</f>
        <v>45.4375</v>
      </c>
      <c r="R24">
        <f>ROUND(ROUND(Q24*Source!I70, 6)*1, 2)</f>
        <v>0.9</v>
      </c>
      <c r="S24">
        <f>SmtRes!AC29</f>
        <v>470.2</v>
      </c>
      <c r="T24">
        <f>ROUND(ROUND(Q24*Source!I70, 6)*SmtRes!AK29, 2)</f>
        <v>26.12</v>
      </c>
      <c r="U24">
        <v>2</v>
      </c>
      <c r="Y24">
        <f>SmtRes!X29</f>
        <v>-1500897512</v>
      </c>
      <c r="Z24">
        <v>-1343593355</v>
      </c>
      <c r="AA24">
        <v>-877601771</v>
      </c>
    </row>
    <row r="25" spans="1:27" x14ac:dyDescent="0.2">
      <c r="A25">
        <v>20</v>
      </c>
      <c r="B25">
        <v>28</v>
      </c>
      <c r="C25">
        <v>1</v>
      </c>
      <c r="D25">
        <v>0</v>
      </c>
      <c r="E25">
        <f>SmtRes!AV28</f>
        <v>1</v>
      </c>
      <c r="F25" t="str">
        <f>SmtRes!I28</f>
        <v>9999990008</v>
      </c>
      <c r="G25" t="str">
        <f>SmtRes!K28</f>
        <v>Трудозатраты рабочих</v>
      </c>
      <c r="H25" t="str">
        <f>SmtRes!O28</f>
        <v>чел.-ч.</v>
      </c>
      <c r="I25">
        <f>SmtRes!Y28*Source!I70</f>
        <v>0.49183200000000005</v>
      </c>
      <c r="J25">
        <f>SmtRes!AO28</f>
        <v>1</v>
      </c>
      <c r="K25">
        <f>SmtRes!AH28</f>
        <v>0</v>
      </c>
      <c r="L25">
        <f>SmtRes!DB28</f>
        <v>0</v>
      </c>
      <c r="M25">
        <f>ROUND(ROUND(L25*Source!I70, 6)*1, 2)</f>
        <v>0</v>
      </c>
      <c r="N25">
        <f>SmtRes!AD28</f>
        <v>0</v>
      </c>
      <c r="O25">
        <f>ROUND(ROUND(L25*Source!I70, 6)*SmtRes!DA28, 2)</f>
        <v>0</v>
      </c>
      <c r="P25">
        <f>SmtRes!AG28</f>
        <v>0</v>
      </c>
      <c r="Q25">
        <f>SmtRes!DC28</f>
        <v>0</v>
      </c>
      <c r="R25">
        <f>ROUND(ROUND(Q25*Source!I70, 6)*1, 2)</f>
        <v>0</v>
      </c>
      <c r="S25">
        <f>SmtRes!AC28</f>
        <v>0</v>
      </c>
      <c r="T25">
        <f>ROUND(ROUND(Q25*Source!I70, 6)*SmtRes!AK28, 2)</f>
        <v>0</v>
      </c>
      <c r="U25">
        <v>1</v>
      </c>
      <c r="Y25">
        <f>SmtRes!X28</f>
        <v>476480486</v>
      </c>
      <c r="Z25">
        <v>1499241640</v>
      </c>
      <c r="AA25">
        <v>1499241640</v>
      </c>
    </row>
    <row r="26" spans="1:27" x14ac:dyDescent="0.2">
      <c r="A26">
        <f>Source!A72</f>
        <v>18</v>
      </c>
      <c r="B26">
        <v>72</v>
      </c>
      <c r="C26">
        <v>3</v>
      </c>
      <c r="D26">
        <f>Source!BI72</f>
        <v>1</v>
      </c>
      <c r="E26">
        <f>Source!FS72</f>
        <v>0</v>
      </c>
      <c r="F26" t="str">
        <f>Source!F72</f>
        <v>1.1-1-1554</v>
      </c>
      <c r="G26" t="str">
        <f>Source!G72</f>
        <v>Щебень из естественного камня для дорожных работ, марка 1200 - 800, фракция 10 - 20 мм</v>
      </c>
      <c r="H26" t="str">
        <f>Source!H72</f>
        <v>м3</v>
      </c>
      <c r="I26">
        <f>Source!I72</f>
        <v>2.4948000000000001</v>
      </c>
      <c r="J26">
        <v>1</v>
      </c>
      <c r="K26">
        <f>Source!AC72</f>
        <v>165.8</v>
      </c>
      <c r="M26">
        <f>ROUND(K26*I26, 2)</f>
        <v>413.64</v>
      </c>
      <c r="N26">
        <f>Source!AC72*IF(Source!BC72&lt;&gt; 0, Source!BC72, 1)</f>
        <v>3478.4840000000004</v>
      </c>
      <c r="O26">
        <f>ROUND(N26*I26, 2)</f>
        <v>8678.1200000000008</v>
      </c>
      <c r="P26">
        <f>Source!AE72</f>
        <v>0</v>
      </c>
      <c r="R26">
        <f>ROUND(P26*I26, 2)</f>
        <v>0</v>
      </c>
      <c r="S26">
        <f>Source!AE72*IF(Source!BS72&lt;&gt; 0, Source!BS72, 1)</f>
        <v>0</v>
      </c>
      <c r="T26">
        <f>ROUND(S26*I26, 2)</f>
        <v>0</v>
      </c>
      <c r="U26">
        <v>3</v>
      </c>
      <c r="Y26">
        <f>Source!GF72</f>
        <v>489817369</v>
      </c>
      <c r="Z26">
        <v>-349926889</v>
      </c>
      <c r="AA26">
        <v>-597181493</v>
      </c>
    </row>
    <row r="27" spans="1:27" x14ac:dyDescent="0.2">
      <c r="A27">
        <v>20</v>
      </c>
      <c r="B27">
        <v>43</v>
      </c>
      <c r="C27">
        <v>3</v>
      </c>
      <c r="D27">
        <v>0</v>
      </c>
      <c r="E27">
        <f>SmtRes!AV43</f>
        <v>0</v>
      </c>
      <c r="F27" t="str">
        <f>SmtRes!I43</f>
        <v>1.1-1-766</v>
      </c>
      <c r="G27" t="str">
        <f>SmtRes!K43</f>
        <v>Песок для строительных работ, рядовой</v>
      </c>
      <c r="H27" t="str">
        <f>SmtRes!O43</f>
        <v>м3</v>
      </c>
      <c r="I27">
        <f>SmtRes!Y43*Source!I74</f>
        <v>6.6000000000000003E-2</v>
      </c>
      <c r="J27">
        <f>SmtRes!AO43</f>
        <v>1</v>
      </c>
      <c r="K27">
        <f>SmtRes!AE43</f>
        <v>104.99</v>
      </c>
      <c r="L27">
        <f>SmtRes!DB43</f>
        <v>52.5</v>
      </c>
      <c r="M27">
        <f>ROUND(ROUND(L27*Source!I74, 6)*1, 2)</f>
        <v>6.93</v>
      </c>
      <c r="N27">
        <f>SmtRes!AA43</f>
        <v>722.33</v>
      </c>
      <c r="O27">
        <f>ROUND(ROUND(L27*Source!I74, 6)*SmtRes!DA43, 2)</f>
        <v>47.68</v>
      </c>
      <c r="P27">
        <f>SmtRes!AG43</f>
        <v>0</v>
      </c>
      <c r="Q27">
        <f>SmtRes!DC43</f>
        <v>0</v>
      </c>
      <c r="R27">
        <f>ROUND(ROUND(Q27*Source!I74, 6)*1, 2)</f>
        <v>0</v>
      </c>
      <c r="S27">
        <f>SmtRes!AC43</f>
        <v>0</v>
      </c>
      <c r="T27">
        <f>ROUND(ROUND(Q27*Source!I74, 6)*SmtRes!AK43, 2)</f>
        <v>0</v>
      </c>
      <c r="U27">
        <v>3</v>
      </c>
      <c r="Y27">
        <f>SmtRes!X43</f>
        <v>2069056849</v>
      </c>
      <c r="Z27">
        <v>-1085618096</v>
      </c>
      <c r="AA27">
        <v>746727013</v>
      </c>
    </row>
    <row r="28" spans="1:27" x14ac:dyDescent="0.2">
      <c r="A28">
        <v>20</v>
      </c>
      <c r="B28">
        <v>42</v>
      </c>
      <c r="C28">
        <v>3</v>
      </c>
      <c r="D28">
        <v>0</v>
      </c>
      <c r="E28">
        <f>SmtRes!AV42</f>
        <v>0</v>
      </c>
      <c r="F28" t="str">
        <f>SmtRes!I42</f>
        <v>1.1-1-46</v>
      </c>
      <c r="G28" t="str">
        <f>SmtRes!K42</f>
        <v>Битумы нефтяные, дорожные жидкие, марка МГ, СГ</v>
      </c>
      <c r="H28" t="str">
        <f>SmtRes!O42</f>
        <v>т</v>
      </c>
      <c r="I28">
        <f>SmtRes!Y42*Source!I74</f>
        <v>7.92E-3</v>
      </c>
      <c r="J28">
        <f>SmtRes!AO42</f>
        <v>1</v>
      </c>
      <c r="K28">
        <f>SmtRes!AE42</f>
        <v>3501.78</v>
      </c>
      <c r="L28">
        <f>SmtRes!DB42</f>
        <v>210.11</v>
      </c>
      <c r="M28">
        <f>ROUND(ROUND(L28*Source!I74, 6)*1, 2)</f>
        <v>27.73</v>
      </c>
      <c r="N28">
        <f>SmtRes!AA42</f>
        <v>37258.94</v>
      </c>
      <c r="O28">
        <f>ROUND(ROUND(L28*Source!I74, 6)*SmtRes!DA42, 2)</f>
        <v>295.10000000000002</v>
      </c>
      <c r="P28">
        <f>SmtRes!AG42</f>
        <v>0</v>
      </c>
      <c r="Q28">
        <f>SmtRes!DC42</f>
        <v>0</v>
      </c>
      <c r="R28">
        <f>ROUND(ROUND(Q28*Source!I74, 6)*1, 2)</f>
        <v>0</v>
      </c>
      <c r="S28">
        <f>SmtRes!AC42</f>
        <v>0</v>
      </c>
      <c r="T28">
        <f>ROUND(ROUND(Q28*Source!I74, 6)*SmtRes!AK42, 2)</f>
        <v>0</v>
      </c>
      <c r="U28">
        <v>3</v>
      </c>
      <c r="Y28">
        <f>SmtRes!X42</f>
        <v>435343267</v>
      </c>
      <c r="Z28">
        <v>864375477</v>
      </c>
      <c r="AA28">
        <v>-1320521069</v>
      </c>
    </row>
    <row r="29" spans="1:27" x14ac:dyDescent="0.2">
      <c r="A29">
        <v>20</v>
      </c>
      <c r="B29">
        <v>41</v>
      </c>
      <c r="C29">
        <v>1</v>
      </c>
      <c r="D29">
        <v>0</v>
      </c>
      <c r="E29">
        <f>SmtRes!AV41</f>
        <v>1</v>
      </c>
      <c r="F29" t="str">
        <f>SmtRes!I41</f>
        <v>9999990008</v>
      </c>
      <c r="G29" t="str">
        <f>SmtRes!K41</f>
        <v>Трудозатраты рабочих</v>
      </c>
      <c r="H29" t="str">
        <f>SmtRes!O41</f>
        <v>чел.-ч.</v>
      </c>
      <c r="I29">
        <f>SmtRes!Y41*Source!I74</f>
        <v>2.1859199999999999</v>
      </c>
      <c r="J29">
        <f>SmtRes!AO41</f>
        <v>1</v>
      </c>
      <c r="K29">
        <f>SmtRes!AH41</f>
        <v>0</v>
      </c>
      <c r="L29">
        <f>SmtRes!DB41</f>
        <v>0</v>
      </c>
      <c r="M29">
        <f>ROUND(ROUND(L29*Source!I74, 6)*1, 2)</f>
        <v>0</v>
      </c>
      <c r="N29">
        <f>SmtRes!AD41</f>
        <v>0</v>
      </c>
      <c r="O29">
        <f>ROUND(ROUND(L29*Source!I74, 6)*SmtRes!DA41, 2)</f>
        <v>0</v>
      </c>
      <c r="P29">
        <f>SmtRes!AG41</f>
        <v>0</v>
      </c>
      <c r="Q29">
        <f>SmtRes!DC41</f>
        <v>0</v>
      </c>
      <c r="R29">
        <f>ROUND(ROUND(Q29*Source!I74, 6)*1, 2)</f>
        <v>0</v>
      </c>
      <c r="S29">
        <f>SmtRes!AC41</f>
        <v>0</v>
      </c>
      <c r="T29">
        <f>ROUND(ROUND(Q29*Source!I74, 6)*SmtRes!AK41, 2)</f>
        <v>0</v>
      </c>
      <c r="U29">
        <v>1</v>
      </c>
      <c r="Y29">
        <f>SmtRes!X41</f>
        <v>476480486</v>
      </c>
      <c r="Z29">
        <v>1499241640</v>
      </c>
      <c r="AA29">
        <v>1499241640</v>
      </c>
    </row>
    <row r="30" spans="1:27" x14ac:dyDescent="0.2">
      <c r="A30">
        <f>Source!A76</f>
        <v>18</v>
      </c>
      <c r="B30">
        <v>76</v>
      </c>
      <c r="C30">
        <v>3</v>
      </c>
      <c r="D30">
        <f>Source!BI76</f>
        <v>1</v>
      </c>
      <c r="E30">
        <f>Source!FS76</f>
        <v>0</v>
      </c>
      <c r="F30" t="str">
        <f>Source!F76</f>
        <v>1.3-3-9</v>
      </c>
      <c r="G30" t="str">
        <f>Source!G76</f>
        <v>Смеси асфальтобетонные дорожные горячие мелкозернистые, марка II, тип В</v>
      </c>
      <c r="H30" t="str">
        <f>Source!H76</f>
        <v>т</v>
      </c>
      <c r="I30">
        <f>Source!I76</f>
        <v>0.94247999999999998</v>
      </c>
      <c r="J30">
        <v>1</v>
      </c>
      <c r="K30">
        <f>Source!AC76</f>
        <v>317.29000000000002</v>
      </c>
      <c r="M30">
        <f>ROUND(K30*I30, 2)</f>
        <v>299.04000000000002</v>
      </c>
      <c r="N30">
        <f>Source!AC76*IF(Source!BC76&lt;&gt; 0, Source!BC76, 1)</f>
        <v>3772.5781000000006</v>
      </c>
      <c r="O30">
        <f>ROUND(N30*I30, 2)</f>
        <v>3555.58</v>
      </c>
      <c r="P30">
        <f>Source!AE76</f>
        <v>0</v>
      </c>
      <c r="R30">
        <f>ROUND(P30*I30, 2)</f>
        <v>0</v>
      </c>
      <c r="S30">
        <f>Source!AE76*IF(Source!BS76&lt;&gt; 0, Source!BS76, 1)</f>
        <v>0</v>
      </c>
      <c r="T30">
        <f>ROUND(S30*I30, 2)</f>
        <v>0</v>
      </c>
      <c r="U30">
        <v>3</v>
      </c>
      <c r="Y30">
        <f>Source!GF76</f>
        <v>164969463</v>
      </c>
      <c r="Z30">
        <v>1420598167</v>
      </c>
      <c r="AA30">
        <v>1192786114</v>
      </c>
    </row>
    <row r="31" spans="1:27" x14ac:dyDescent="0.2">
      <c r="A31">
        <v>20</v>
      </c>
      <c r="B31">
        <v>47</v>
      </c>
      <c r="C31">
        <v>1</v>
      </c>
      <c r="D31">
        <v>0</v>
      </c>
      <c r="E31">
        <f>SmtRes!AV47</f>
        <v>1</v>
      </c>
      <c r="F31" t="str">
        <f>SmtRes!I47</f>
        <v>9999990008</v>
      </c>
      <c r="G31" t="str">
        <f>SmtRes!K47</f>
        <v>Трудозатраты рабочих</v>
      </c>
      <c r="H31" t="str">
        <f>SmtRes!O47</f>
        <v>чел.-ч.</v>
      </c>
      <c r="I31">
        <f>SmtRes!Y47*Source!I78</f>
        <v>3.2176079999999998</v>
      </c>
      <c r="J31">
        <f>SmtRes!AO47</f>
        <v>1</v>
      </c>
      <c r="K31">
        <f>SmtRes!AH47</f>
        <v>0</v>
      </c>
      <c r="L31">
        <f>SmtRes!DB47</f>
        <v>0</v>
      </c>
      <c r="M31">
        <f>ROUND(ROUND(L31*Source!I78, 6)*1, 2)</f>
        <v>0</v>
      </c>
      <c r="N31">
        <f>SmtRes!AD47</f>
        <v>0</v>
      </c>
      <c r="O31">
        <f>ROUND(ROUND(L31*Source!I78, 6)*SmtRes!DA47, 2)</f>
        <v>0</v>
      </c>
      <c r="P31">
        <f>SmtRes!AG47</f>
        <v>0</v>
      </c>
      <c r="Q31">
        <f>SmtRes!DC47</f>
        <v>0</v>
      </c>
      <c r="R31">
        <f>ROUND(ROUND(Q31*Source!I78, 6)*1, 2)</f>
        <v>0</v>
      </c>
      <c r="S31">
        <f>SmtRes!AC47</f>
        <v>0</v>
      </c>
      <c r="T31">
        <f>ROUND(ROUND(Q31*Source!I78, 6)*SmtRes!AK47, 2)</f>
        <v>0</v>
      </c>
      <c r="U31">
        <v>1</v>
      </c>
      <c r="Y31">
        <f>SmtRes!X47</f>
        <v>476480486</v>
      </c>
      <c r="Z31">
        <v>1499241640</v>
      </c>
      <c r="AA31">
        <v>1499241640</v>
      </c>
    </row>
    <row r="32" spans="1:27" x14ac:dyDescent="0.2">
      <c r="A32">
        <f>Source!A80</f>
        <v>18</v>
      </c>
      <c r="B32">
        <v>80</v>
      </c>
      <c r="C32">
        <v>3</v>
      </c>
      <c r="D32">
        <f>Source!BI80</f>
        <v>1</v>
      </c>
      <c r="E32">
        <f>Source!FS80</f>
        <v>0</v>
      </c>
      <c r="F32" t="str">
        <f>Source!F80</f>
        <v>1.3-3-9</v>
      </c>
      <c r="G32" t="str">
        <f>Source!G80</f>
        <v>Смеси асфальтобетонные дорожные горячие мелкозернистые, марка II, тип В</v>
      </c>
      <c r="H32" t="str">
        <f>Source!H80</f>
        <v>т</v>
      </c>
      <c r="I32">
        <f>Source!I80</f>
        <v>1.45926</v>
      </c>
      <c r="J32">
        <v>1</v>
      </c>
      <c r="K32">
        <f>Source!AC80</f>
        <v>317.29000000000002</v>
      </c>
      <c r="M32">
        <f>ROUND(K32*I32, 2)</f>
        <v>463.01</v>
      </c>
      <c r="N32">
        <f>Source!AC80*IF(Source!BC80&lt;&gt; 0, Source!BC80, 1)</f>
        <v>3772.5781000000006</v>
      </c>
      <c r="O32">
        <f>ROUND(N32*I32, 2)</f>
        <v>5505.17</v>
      </c>
      <c r="P32">
        <f>Source!AE80</f>
        <v>0</v>
      </c>
      <c r="R32">
        <f>ROUND(P32*I32, 2)</f>
        <v>0</v>
      </c>
      <c r="S32">
        <f>Source!AE80*IF(Source!BS80&lt;&gt; 0, Source!BS80, 1)</f>
        <v>0</v>
      </c>
      <c r="T32">
        <f>ROUND(S32*I32, 2)</f>
        <v>0</v>
      </c>
      <c r="U32">
        <v>3</v>
      </c>
      <c r="Y32">
        <f>Source!GF80</f>
        <v>164969463</v>
      </c>
      <c r="Z32">
        <v>1420598167</v>
      </c>
      <c r="AA32">
        <v>1192786114</v>
      </c>
    </row>
    <row r="33" spans="1:27" x14ac:dyDescent="0.2">
      <c r="A33">
        <v>20</v>
      </c>
      <c r="B33">
        <v>60</v>
      </c>
      <c r="C33">
        <v>3</v>
      </c>
      <c r="D33">
        <v>0</v>
      </c>
      <c r="E33">
        <f>SmtRes!AV60</f>
        <v>0</v>
      </c>
      <c r="F33" t="str">
        <f>SmtRes!I60</f>
        <v>9999990006</v>
      </c>
      <c r="G33" t="str">
        <f>SmtRes!K60</f>
        <v>Стоимость прочих материалов (ЭСН)</v>
      </c>
      <c r="H33" t="str">
        <f>SmtRes!O60</f>
        <v>руб.</v>
      </c>
      <c r="I33">
        <f>SmtRes!Y60*Source!I82</f>
        <v>11.98302</v>
      </c>
      <c r="J33">
        <f>SmtRes!AO60</f>
        <v>1</v>
      </c>
      <c r="K33">
        <f>SmtRes!AE60</f>
        <v>1</v>
      </c>
      <c r="L33">
        <f>SmtRes!DB60</f>
        <v>116.34</v>
      </c>
      <c r="M33">
        <f>ROUND(ROUND(L33*Source!I82, 6)*1, 2)</f>
        <v>11.98</v>
      </c>
      <c r="N33">
        <f>SmtRes!AA60</f>
        <v>8.6999999999999993</v>
      </c>
      <c r="O33">
        <f>ROUND(ROUND(L33*Source!I82, 6)*SmtRes!DA60, 2)</f>
        <v>103.65</v>
      </c>
      <c r="P33">
        <f>SmtRes!AG60</f>
        <v>0</v>
      </c>
      <c r="Q33">
        <f>SmtRes!DC60</f>
        <v>0</v>
      </c>
      <c r="R33">
        <f>ROUND(ROUND(Q33*Source!I82, 6)*1, 2)</f>
        <v>0</v>
      </c>
      <c r="S33">
        <f>SmtRes!AC60</f>
        <v>0</v>
      </c>
      <c r="T33">
        <f>ROUND(ROUND(Q33*Source!I82, 6)*SmtRes!AK60, 2)</f>
        <v>0</v>
      </c>
      <c r="U33">
        <v>3</v>
      </c>
      <c r="Y33">
        <f>SmtRes!X60</f>
        <v>-94250534</v>
      </c>
      <c r="Z33">
        <v>-1771809642</v>
      </c>
      <c r="AA33">
        <v>-2070296124</v>
      </c>
    </row>
    <row r="34" spans="1:27" x14ac:dyDescent="0.2">
      <c r="A34">
        <v>20</v>
      </c>
      <c r="B34">
        <v>58</v>
      </c>
      <c r="C34">
        <v>3</v>
      </c>
      <c r="D34">
        <v>0</v>
      </c>
      <c r="E34">
        <f>SmtRes!AV58</f>
        <v>0</v>
      </c>
      <c r="F34" t="str">
        <f>SmtRes!I58</f>
        <v>1.3-2-5</v>
      </c>
      <c r="G34" t="str">
        <f>SmtRes!K58</f>
        <v>Растворы цементные, марка 100</v>
      </c>
      <c r="H34" t="str">
        <f>SmtRes!O58</f>
        <v>м3</v>
      </c>
      <c r="I34">
        <f>SmtRes!Y58*Source!I82</f>
        <v>6.1799999999999997E-3</v>
      </c>
      <c r="J34">
        <f>SmtRes!AO58</f>
        <v>1</v>
      </c>
      <c r="K34">
        <f>SmtRes!AE58</f>
        <v>451.14</v>
      </c>
      <c r="L34">
        <f>SmtRes!DB58</f>
        <v>27.07</v>
      </c>
      <c r="M34">
        <f>ROUND(ROUND(L34*Source!I82, 6)*1, 2)</f>
        <v>2.79</v>
      </c>
      <c r="N34">
        <f>SmtRes!AA58</f>
        <v>3953.01</v>
      </c>
      <c r="O34">
        <f>ROUND(ROUND(L34*Source!I82, 6)*SmtRes!DA58, 2)</f>
        <v>24.29</v>
      </c>
      <c r="P34">
        <f>SmtRes!AG58</f>
        <v>0</v>
      </c>
      <c r="Q34">
        <f>SmtRes!DC58</f>
        <v>0</v>
      </c>
      <c r="R34">
        <f>ROUND(ROUND(Q34*Source!I82, 6)*1, 2)</f>
        <v>0</v>
      </c>
      <c r="S34">
        <f>SmtRes!AC58</f>
        <v>0</v>
      </c>
      <c r="T34">
        <f>ROUND(ROUND(Q34*Source!I82, 6)*SmtRes!AK58, 2)</f>
        <v>0</v>
      </c>
      <c r="U34">
        <v>3</v>
      </c>
      <c r="Y34">
        <f>SmtRes!X58</f>
        <v>-718781615</v>
      </c>
      <c r="Z34">
        <v>419082255</v>
      </c>
      <c r="AA34">
        <v>745988685</v>
      </c>
    </row>
    <row r="35" spans="1:27" x14ac:dyDescent="0.2">
      <c r="A35">
        <v>20</v>
      </c>
      <c r="B35">
        <v>57</v>
      </c>
      <c r="C35">
        <v>3</v>
      </c>
      <c r="D35">
        <v>0</v>
      </c>
      <c r="E35">
        <f>SmtRes!AV57</f>
        <v>0</v>
      </c>
      <c r="F35" t="str">
        <f>SmtRes!I57</f>
        <v>1.3-1-38</v>
      </c>
      <c r="G35" t="str">
        <f>SmtRes!K57</f>
        <v>Смеси бетонные, БСГ, тяжелого бетона на гранитном щебне, класс прочности В15 (М200); П3, фракция 5-20, F50-100, W0-2</v>
      </c>
      <c r="H35" t="str">
        <f>SmtRes!O57</f>
        <v>м3</v>
      </c>
      <c r="I35">
        <f>SmtRes!Y57*Source!I82</f>
        <v>0.60770000000000002</v>
      </c>
      <c r="J35">
        <f>SmtRes!AO57</f>
        <v>1</v>
      </c>
      <c r="K35">
        <f>SmtRes!AE57</f>
        <v>704.89</v>
      </c>
      <c r="L35">
        <f>SmtRes!DB57</f>
        <v>4158.8500000000004</v>
      </c>
      <c r="M35">
        <f>ROUND(ROUND(L35*Source!I82, 6)*1, 2)</f>
        <v>428.36</v>
      </c>
      <c r="N35">
        <f>SmtRes!AA57</f>
        <v>5899.87</v>
      </c>
      <c r="O35">
        <f>ROUND(ROUND(L35*Source!I82, 6)*SmtRes!DA57, 2)</f>
        <v>3563.97</v>
      </c>
      <c r="P35">
        <f>SmtRes!AG57</f>
        <v>0</v>
      </c>
      <c r="Q35">
        <f>SmtRes!DC57</f>
        <v>0</v>
      </c>
      <c r="R35">
        <f>ROUND(ROUND(Q35*Source!I82, 6)*1, 2)</f>
        <v>0</v>
      </c>
      <c r="S35">
        <f>SmtRes!AC57</f>
        <v>0</v>
      </c>
      <c r="T35">
        <f>ROUND(ROUND(Q35*Source!I82, 6)*SmtRes!AK57, 2)</f>
        <v>0</v>
      </c>
      <c r="U35">
        <v>3</v>
      </c>
      <c r="Y35">
        <f>SmtRes!X57</f>
        <v>-758282629</v>
      </c>
      <c r="Z35">
        <v>190655327</v>
      </c>
      <c r="AA35">
        <v>2010091897</v>
      </c>
    </row>
    <row r="36" spans="1:27" x14ac:dyDescent="0.2">
      <c r="A36">
        <v>20</v>
      </c>
      <c r="B36">
        <v>56</v>
      </c>
      <c r="C36">
        <v>2</v>
      </c>
      <c r="D36">
        <v>0</v>
      </c>
      <c r="E36">
        <f>SmtRes!AV56</f>
        <v>0</v>
      </c>
      <c r="F36" t="str">
        <f>SmtRes!I56</f>
        <v>2.1-3-38</v>
      </c>
      <c r="G36" t="str">
        <f>SmtRes!K56</f>
        <v>Краны на автомобильном ходу, грузоподъемность до 16 т</v>
      </c>
      <c r="H36" t="str">
        <f>SmtRes!O56</f>
        <v>маш.-ч.</v>
      </c>
      <c r="I36">
        <f>SmtRes!Y56*Source!I82</f>
        <v>7.8537499999999996E-2</v>
      </c>
      <c r="J36">
        <f>SmtRes!AO56</f>
        <v>1</v>
      </c>
      <c r="K36">
        <f>SmtRes!AF56</f>
        <v>190.93</v>
      </c>
      <c r="L36">
        <f>SmtRes!DB56</f>
        <v>145.58750000000001</v>
      </c>
      <c r="M36">
        <f>ROUND(ROUND(L36*Source!I82, 6)*1, 2)</f>
        <v>15</v>
      </c>
      <c r="N36">
        <f>SmtRes!AB56</f>
        <v>2059.0100000000002</v>
      </c>
      <c r="O36">
        <f>ROUND(ROUND(L36*Source!I82, 6)*SmtRes!DA56, 2)</f>
        <v>154.44999999999999</v>
      </c>
      <c r="P36">
        <f>SmtRes!AG56</f>
        <v>18.149999999999999</v>
      </c>
      <c r="Q36">
        <f>SmtRes!DC56</f>
        <v>13.8375</v>
      </c>
      <c r="R36">
        <f>ROUND(ROUND(Q36*Source!I82, 6)*1, 2)</f>
        <v>1.43</v>
      </c>
      <c r="S36">
        <f>SmtRes!AC56</f>
        <v>551.66</v>
      </c>
      <c r="T36">
        <f>ROUND(ROUND(Q36*Source!I82, 6)*SmtRes!AK56, 2)</f>
        <v>41.38</v>
      </c>
      <c r="U36">
        <v>2</v>
      </c>
      <c r="Y36">
        <f>SmtRes!X56</f>
        <v>-266174272</v>
      </c>
      <c r="Z36">
        <v>-2048655808</v>
      </c>
      <c r="AA36">
        <v>2105875465</v>
      </c>
    </row>
    <row r="37" spans="1:27" x14ac:dyDescent="0.2">
      <c r="A37">
        <v>20</v>
      </c>
      <c r="B37">
        <v>55</v>
      </c>
      <c r="C37">
        <v>1</v>
      </c>
      <c r="D37">
        <v>0</v>
      </c>
      <c r="E37">
        <f>SmtRes!AV55</f>
        <v>1</v>
      </c>
      <c r="F37" t="str">
        <f>SmtRes!I55</f>
        <v>9999990008</v>
      </c>
      <c r="G37" t="str">
        <f>SmtRes!K55</f>
        <v>Трудозатраты рабочих</v>
      </c>
      <c r="H37" t="str">
        <f>SmtRes!O55</f>
        <v>чел.-ч.</v>
      </c>
      <c r="I37">
        <f>SmtRes!Y55*Source!I82</f>
        <v>8.267809999999999</v>
      </c>
      <c r="J37">
        <f>SmtRes!AO55</f>
        <v>1</v>
      </c>
      <c r="K37">
        <f>SmtRes!AH55</f>
        <v>0</v>
      </c>
      <c r="L37">
        <f>SmtRes!DB55</f>
        <v>0</v>
      </c>
      <c r="M37">
        <f>ROUND(ROUND(L37*Source!I82, 6)*1, 2)</f>
        <v>0</v>
      </c>
      <c r="N37">
        <f>SmtRes!AD55</f>
        <v>0</v>
      </c>
      <c r="O37">
        <f>ROUND(ROUND(L37*Source!I82, 6)*SmtRes!DA55, 2)</f>
        <v>0</v>
      </c>
      <c r="P37">
        <f>SmtRes!AG55</f>
        <v>0</v>
      </c>
      <c r="Q37">
        <f>SmtRes!DC55</f>
        <v>0</v>
      </c>
      <c r="R37">
        <f>ROUND(ROUND(Q37*Source!I82, 6)*1, 2)</f>
        <v>0</v>
      </c>
      <c r="S37">
        <f>SmtRes!AC55</f>
        <v>0</v>
      </c>
      <c r="T37">
        <f>ROUND(ROUND(Q37*Source!I82, 6)*SmtRes!AK55, 2)</f>
        <v>0</v>
      </c>
      <c r="U37">
        <v>1</v>
      </c>
      <c r="Y37">
        <f>SmtRes!X55</f>
        <v>476480486</v>
      </c>
      <c r="Z37">
        <v>1499241640</v>
      </c>
      <c r="AA37">
        <v>1499241640</v>
      </c>
    </row>
    <row r="38" spans="1:27" x14ac:dyDescent="0.2">
      <c r="A38">
        <f>Source!A84</f>
        <v>18</v>
      </c>
      <c r="B38">
        <v>84</v>
      </c>
      <c r="C38">
        <v>3</v>
      </c>
      <c r="D38">
        <f>Source!BI84</f>
        <v>1</v>
      </c>
      <c r="E38">
        <f>Source!FS84</f>
        <v>0</v>
      </c>
      <c r="F38" t="str">
        <f>Source!F84</f>
        <v>1.5-3-499</v>
      </c>
      <c r="G38" t="str">
        <f>Source!G84</f>
        <v>Камни бетонные бортовые, марка БР 100.20.8</v>
      </c>
      <c r="H38" t="str">
        <f>Source!H84</f>
        <v>м3</v>
      </c>
      <c r="I38">
        <f>Source!I84</f>
        <v>0.44290000000000007</v>
      </c>
      <c r="J38">
        <v>1</v>
      </c>
      <c r="K38">
        <f>Source!AC84</f>
        <v>2385.71</v>
      </c>
      <c r="M38">
        <f>ROUND(K38*I38, 2)</f>
        <v>1056.6300000000001</v>
      </c>
      <c r="N38">
        <f>Source!AC84*IF(Source!BC84&lt;&gt; 0, Source!BC84, 1)</f>
        <v>12310.2636</v>
      </c>
      <c r="O38">
        <f>ROUND(N38*I38, 2)</f>
        <v>5452.22</v>
      </c>
      <c r="P38">
        <f>Source!AE84</f>
        <v>0</v>
      </c>
      <c r="R38">
        <f>ROUND(P38*I38, 2)</f>
        <v>0</v>
      </c>
      <c r="S38">
        <f>Source!AE84*IF(Source!BS84&lt;&gt; 0, Source!BS84, 1)</f>
        <v>0</v>
      </c>
      <c r="T38">
        <f>ROUND(S38*I38, 2)</f>
        <v>0</v>
      </c>
      <c r="U38">
        <v>3</v>
      </c>
      <c r="Y38">
        <f>Source!GF84</f>
        <v>889553512</v>
      </c>
      <c r="Z38">
        <v>-2119348798</v>
      </c>
      <c r="AA38">
        <v>-1089126221</v>
      </c>
    </row>
    <row r="39" spans="1:27" x14ac:dyDescent="0.2">
      <c r="A39">
        <f>Source!A146</f>
        <v>3</v>
      </c>
      <c r="B39">
        <v>146</v>
      </c>
      <c r="G39" t="str">
        <f>Source!G146</f>
        <v>Архитектурные решения</v>
      </c>
    </row>
    <row r="40" spans="1:27" x14ac:dyDescent="0.2">
      <c r="A40">
        <f>Source!A150</f>
        <v>4</v>
      </c>
      <c r="B40">
        <v>150</v>
      </c>
      <c r="G40" t="str">
        <f>Source!G150</f>
        <v>Демонтажные работы</v>
      </c>
    </row>
    <row r="41" spans="1:27" x14ac:dyDescent="0.2">
      <c r="A41">
        <v>20</v>
      </c>
      <c r="B41">
        <v>72</v>
      </c>
      <c r="C41">
        <v>3</v>
      </c>
      <c r="D41">
        <v>0</v>
      </c>
      <c r="E41">
        <f>SmtRes!AV72</f>
        <v>0</v>
      </c>
      <c r="F41" t="str">
        <f>SmtRes!I72</f>
        <v>9999990006</v>
      </c>
      <c r="G41" t="str">
        <f>SmtRes!K72</f>
        <v>Стоимость прочих материалов (ЭСН)</v>
      </c>
      <c r="H41" t="str">
        <f>SmtRes!O72</f>
        <v>руб.</v>
      </c>
      <c r="I41">
        <f>SmtRes!Y72*Source!I155</f>
        <v>4.1122367999999998</v>
      </c>
      <c r="J41">
        <f>SmtRes!AO72</f>
        <v>1</v>
      </c>
      <c r="K41">
        <f>SmtRes!AE72</f>
        <v>1</v>
      </c>
      <c r="L41">
        <f>SmtRes!DB72</f>
        <v>23.687999999999999</v>
      </c>
      <c r="M41">
        <f>ROUND(ROUND(L41*Source!I155, 6)*1, 2)</f>
        <v>4.1100000000000003</v>
      </c>
      <c r="N41">
        <f>SmtRes!AA72</f>
        <v>8.65</v>
      </c>
      <c r="O41">
        <f>ROUND(ROUND(L41*Source!I155, 6)*SmtRes!DA72, 2)</f>
        <v>35.57</v>
      </c>
      <c r="P41">
        <f>SmtRes!AG72</f>
        <v>0</v>
      </c>
      <c r="Q41">
        <f>SmtRes!DC72</f>
        <v>0</v>
      </c>
      <c r="R41">
        <f>ROUND(ROUND(Q41*Source!I155, 6)*1, 2)</f>
        <v>0</v>
      </c>
      <c r="S41">
        <f>SmtRes!AC72</f>
        <v>0</v>
      </c>
      <c r="T41">
        <f>ROUND(ROUND(Q41*Source!I155, 6)*SmtRes!AK72, 2)</f>
        <v>0</v>
      </c>
      <c r="U41">
        <v>3</v>
      </c>
      <c r="Y41">
        <f>SmtRes!X72</f>
        <v>-94250534</v>
      </c>
      <c r="Z41">
        <v>-1771809642</v>
      </c>
      <c r="AA41">
        <v>19367311</v>
      </c>
    </row>
    <row r="42" spans="1:27" x14ac:dyDescent="0.2">
      <c r="A42">
        <v>20</v>
      </c>
      <c r="B42">
        <v>71</v>
      </c>
      <c r="C42">
        <v>3</v>
      </c>
      <c r="D42">
        <v>0</v>
      </c>
      <c r="E42">
        <f>SmtRes!AV71</f>
        <v>0</v>
      </c>
      <c r="F42" t="str">
        <f>SmtRes!I71</f>
        <v>1.1-1-1566</v>
      </c>
      <c r="G42" t="str">
        <f>SmtRes!K71</f>
        <v>Электроды, тип Э-42, 46, 50, диаметр 4 - 6 мм</v>
      </c>
      <c r="H42" t="str">
        <f>SmtRes!O71</f>
        <v>т</v>
      </c>
      <c r="I42">
        <f>SmtRes!Y71*Source!I155</f>
        <v>7.2911999999999996E-5</v>
      </c>
      <c r="J42">
        <f>SmtRes!AO71</f>
        <v>1</v>
      </c>
      <c r="K42">
        <f>SmtRes!AE71</f>
        <v>7191.81</v>
      </c>
      <c r="L42">
        <f>SmtRes!DB71</f>
        <v>3.0179999999999998</v>
      </c>
      <c r="M42">
        <f>ROUND(ROUND(L42*Source!I155, 6)*1, 2)</f>
        <v>0.52</v>
      </c>
      <c r="N42">
        <f>SmtRes!AA71</f>
        <v>145777.99</v>
      </c>
      <c r="O42">
        <f>ROUND(ROUND(L42*Source!I155, 6)*SmtRes!DA71, 2)</f>
        <v>10.62</v>
      </c>
      <c r="P42">
        <f>SmtRes!AG71</f>
        <v>0</v>
      </c>
      <c r="Q42">
        <f>SmtRes!DC71</f>
        <v>0</v>
      </c>
      <c r="R42">
        <f>ROUND(ROUND(Q42*Source!I155, 6)*1, 2)</f>
        <v>0</v>
      </c>
      <c r="S42">
        <f>SmtRes!AC71</f>
        <v>0</v>
      </c>
      <c r="T42">
        <f>ROUND(ROUND(Q42*Source!I155, 6)*SmtRes!AK71, 2)</f>
        <v>0</v>
      </c>
      <c r="U42">
        <v>3</v>
      </c>
      <c r="Y42">
        <f>SmtRes!X71</f>
        <v>1310716689</v>
      </c>
      <c r="Z42">
        <v>1563916378</v>
      </c>
      <c r="AA42">
        <v>2138865355</v>
      </c>
    </row>
    <row r="43" spans="1:27" x14ac:dyDescent="0.2">
      <c r="A43">
        <v>20</v>
      </c>
      <c r="B43">
        <v>70</v>
      </c>
      <c r="C43">
        <v>2</v>
      </c>
      <c r="D43">
        <v>0</v>
      </c>
      <c r="E43">
        <f>SmtRes!AV70</f>
        <v>0</v>
      </c>
      <c r="F43" t="str">
        <f>SmtRes!I70</f>
        <v>9999990007</v>
      </c>
      <c r="G43" t="str">
        <f>SmtRes!K70</f>
        <v>Стоимость прочих машин (ЭСН)</v>
      </c>
      <c r="H43" t="str">
        <f>SmtRes!O70</f>
        <v>руб.</v>
      </c>
      <c r="I43">
        <f>SmtRes!Y70*Source!I155</f>
        <v>24.19116</v>
      </c>
      <c r="J43">
        <f>SmtRes!AO70</f>
        <v>1</v>
      </c>
      <c r="K43">
        <f>SmtRes!AF70</f>
        <v>1</v>
      </c>
      <c r="L43">
        <f>SmtRes!DB70</f>
        <v>139.35</v>
      </c>
      <c r="M43">
        <f>ROUND(ROUND(L43*Source!I155, 6)*1, 2)</f>
        <v>24.19</v>
      </c>
      <c r="N43">
        <f>SmtRes!AB70</f>
        <v>1.0900000000000001</v>
      </c>
      <c r="O43">
        <f>ROUND(ROUND(L43*Source!I155, 6)*SmtRes!DA70, 2)</f>
        <v>24.19</v>
      </c>
      <c r="P43">
        <f>SmtRes!AG70</f>
        <v>0</v>
      </c>
      <c r="Q43">
        <f>SmtRes!DC70</f>
        <v>0</v>
      </c>
      <c r="R43">
        <f>ROUND(ROUND(Q43*Source!I155, 6)*1, 2)</f>
        <v>0</v>
      </c>
      <c r="S43">
        <f>SmtRes!AC70</f>
        <v>0</v>
      </c>
      <c r="T43">
        <f>ROUND(ROUND(Q43*Source!I155, 6)*SmtRes!AK70, 2)</f>
        <v>0</v>
      </c>
      <c r="U43">
        <v>2</v>
      </c>
      <c r="Y43">
        <f>SmtRes!X70</f>
        <v>-1180195794</v>
      </c>
      <c r="Z43">
        <v>-595858232</v>
      </c>
      <c r="AA43">
        <v>-453702883</v>
      </c>
    </row>
    <row r="44" spans="1:27" x14ac:dyDescent="0.2">
      <c r="A44">
        <v>20</v>
      </c>
      <c r="B44">
        <v>69</v>
      </c>
      <c r="C44">
        <v>2</v>
      </c>
      <c r="D44">
        <v>0</v>
      </c>
      <c r="E44">
        <f>SmtRes!AV69</f>
        <v>0</v>
      </c>
      <c r="F44" t="str">
        <f>SmtRes!I69</f>
        <v>2.1-30-46</v>
      </c>
      <c r="G44" t="str">
        <f>SmtRes!K69</f>
        <v>Преобразователи частоты тока до 500 А</v>
      </c>
      <c r="H44" t="str">
        <f>SmtRes!O69</f>
        <v>маш.-ч.</v>
      </c>
      <c r="I44">
        <f>SmtRes!Y69*Source!I155</f>
        <v>7.9161599999999999E-2</v>
      </c>
      <c r="J44">
        <f>SmtRes!AO69</f>
        <v>1</v>
      </c>
      <c r="K44">
        <f>SmtRes!AF69</f>
        <v>2.58</v>
      </c>
      <c r="L44">
        <f>SmtRes!DB69</f>
        <v>1.1759999999999999</v>
      </c>
      <c r="M44">
        <f>ROUND(ROUND(L44*Source!I155, 6)*1, 2)</f>
        <v>0.2</v>
      </c>
      <c r="N44">
        <f>SmtRes!AB69</f>
        <v>33.54</v>
      </c>
      <c r="O44">
        <f>ROUND(ROUND(L44*Source!I155, 6)*SmtRes!DA69, 2)</f>
        <v>2.44</v>
      </c>
      <c r="P44">
        <f>SmtRes!AG69</f>
        <v>0.04</v>
      </c>
      <c r="Q44">
        <f>SmtRes!DC69</f>
        <v>1.7999999999999999E-2</v>
      </c>
      <c r="R44">
        <f>ROUND(ROUND(Q44*Source!I155, 6)*1, 2)</f>
        <v>0</v>
      </c>
      <c r="S44">
        <f>SmtRes!AC69</f>
        <v>1.26</v>
      </c>
      <c r="T44">
        <f>ROUND(ROUND(Q44*Source!I155, 6)*SmtRes!AK69, 2)</f>
        <v>0.09</v>
      </c>
      <c r="U44">
        <v>2</v>
      </c>
      <c r="Y44">
        <f>SmtRes!X69</f>
        <v>-840546339</v>
      </c>
      <c r="Z44">
        <v>-1535247751</v>
      </c>
      <c r="AA44">
        <v>1233659793</v>
      </c>
    </row>
    <row r="45" spans="1:27" x14ac:dyDescent="0.2">
      <c r="A45">
        <v>20</v>
      </c>
      <c r="B45">
        <v>68</v>
      </c>
      <c r="C45">
        <v>2</v>
      </c>
      <c r="D45">
        <v>0</v>
      </c>
      <c r="E45">
        <f>SmtRes!AV68</f>
        <v>0</v>
      </c>
      <c r="F45" t="str">
        <f>SmtRes!I68</f>
        <v>2.1-13-21</v>
      </c>
      <c r="G45" t="str">
        <f>SmtRes!K68</f>
        <v>Печи электрические для сушки сварочных материалов с регулированием температуры в пределах 80-500С</v>
      </c>
      <c r="H45" t="str">
        <f>SmtRes!O68</f>
        <v>маш.-ч.</v>
      </c>
      <c r="I45">
        <f>SmtRes!Y68*Source!I155</f>
        <v>6.2495999999999993E-3</v>
      </c>
      <c r="J45">
        <f>SmtRes!AO68</f>
        <v>1</v>
      </c>
      <c r="K45">
        <f>SmtRes!AF68</f>
        <v>6.39</v>
      </c>
      <c r="L45">
        <f>SmtRes!DB68</f>
        <v>0.22800000000000001</v>
      </c>
      <c r="M45">
        <f>ROUND(ROUND(L45*Source!I155, 6)*1, 2)</f>
        <v>0.04</v>
      </c>
      <c r="N45">
        <f>SmtRes!AB68</f>
        <v>77.03</v>
      </c>
      <c r="O45">
        <f>ROUND(ROUND(L45*Source!I155, 6)*SmtRes!DA68, 2)</f>
        <v>0.44</v>
      </c>
      <c r="P45">
        <f>SmtRes!AG68</f>
        <v>0.32</v>
      </c>
      <c r="Q45">
        <f>SmtRes!DC68</f>
        <v>1.2E-2</v>
      </c>
      <c r="R45">
        <f>ROUND(ROUND(Q45*Source!I155, 6)*1, 2)</f>
        <v>0</v>
      </c>
      <c r="S45">
        <f>SmtRes!AC68</f>
        <v>10.1</v>
      </c>
      <c r="T45">
        <f>ROUND(ROUND(Q45*Source!I155, 6)*SmtRes!AK68, 2)</f>
        <v>0.06</v>
      </c>
      <c r="U45">
        <v>2</v>
      </c>
      <c r="Y45">
        <f>SmtRes!X68</f>
        <v>-1260721122</v>
      </c>
      <c r="Z45">
        <v>-1096444002</v>
      </c>
      <c r="AA45">
        <v>102445925</v>
      </c>
    </row>
    <row r="46" spans="1:27" x14ac:dyDescent="0.2">
      <c r="A46">
        <v>20</v>
      </c>
      <c r="B46">
        <v>67</v>
      </c>
      <c r="C46">
        <v>1</v>
      </c>
      <c r="D46">
        <v>0</v>
      </c>
      <c r="E46">
        <f>SmtRes!AV67</f>
        <v>1</v>
      </c>
      <c r="F46" t="str">
        <f>SmtRes!I67</f>
        <v>9999990008</v>
      </c>
      <c r="G46" t="str">
        <f>SmtRes!K67</f>
        <v>Трудозатраты рабочих</v>
      </c>
      <c r="H46" t="str">
        <f>SmtRes!O67</f>
        <v>чел.-ч.</v>
      </c>
      <c r="I46">
        <f>SmtRes!Y67*Source!I155</f>
        <v>8.5515360000000005</v>
      </c>
      <c r="J46">
        <f>SmtRes!AO67</f>
        <v>1</v>
      </c>
      <c r="K46">
        <f>SmtRes!AH67</f>
        <v>0</v>
      </c>
      <c r="L46">
        <f>SmtRes!DB67</f>
        <v>0</v>
      </c>
      <c r="M46">
        <f>ROUND(ROUND(L46*Source!I155, 6)*1, 2)</f>
        <v>0</v>
      </c>
      <c r="N46">
        <f>SmtRes!AD67</f>
        <v>0</v>
      </c>
      <c r="O46">
        <f>ROUND(ROUND(L46*Source!I155, 6)*SmtRes!DA67, 2)</f>
        <v>0</v>
      </c>
      <c r="P46">
        <f>SmtRes!AG67</f>
        <v>0</v>
      </c>
      <c r="Q46">
        <f>SmtRes!DC67</f>
        <v>0</v>
      </c>
      <c r="R46">
        <f>ROUND(ROUND(Q46*Source!I155, 6)*1, 2)</f>
        <v>0</v>
      </c>
      <c r="S46">
        <f>SmtRes!AC67</f>
        <v>0</v>
      </c>
      <c r="T46">
        <f>ROUND(ROUND(Q46*Source!I155, 6)*SmtRes!AK67, 2)</f>
        <v>0</v>
      </c>
      <c r="U46">
        <v>1</v>
      </c>
      <c r="Y46">
        <f>SmtRes!X67</f>
        <v>476480486</v>
      </c>
      <c r="Z46">
        <v>1499241640</v>
      </c>
      <c r="AA46">
        <v>1499241640</v>
      </c>
    </row>
    <row r="47" spans="1:27" x14ac:dyDescent="0.2">
      <c r="A47">
        <v>20</v>
      </c>
      <c r="B47">
        <v>74</v>
      </c>
      <c r="C47">
        <v>1</v>
      </c>
      <c r="D47">
        <v>0</v>
      </c>
      <c r="E47">
        <f>SmtRes!AV74</f>
        <v>1</v>
      </c>
      <c r="F47" t="str">
        <f>SmtRes!I74</f>
        <v>9999990008</v>
      </c>
      <c r="G47" t="str">
        <f>SmtRes!K74</f>
        <v>Трудозатраты рабочих</v>
      </c>
      <c r="H47" t="str">
        <f>SmtRes!O74</f>
        <v>чел.-ч.</v>
      </c>
      <c r="I47">
        <f>SmtRes!Y74*Source!I157</f>
        <v>7.3740350000000001</v>
      </c>
      <c r="J47">
        <f>SmtRes!AO74</f>
        <v>1</v>
      </c>
      <c r="K47">
        <f>SmtRes!AH74</f>
        <v>0</v>
      </c>
      <c r="L47">
        <f>SmtRes!DB74</f>
        <v>0</v>
      </c>
      <c r="M47">
        <f>ROUND(ROUND(L47*Source!I157, 6)*1, 2)</f>
        <v>0</v>
      </c>
      <c r="N47">
        <f>SmtRes!AD74</f>
        <v>0</v>
      </c>
      <c r="O47">
        <f>ROUND(ROUND(L47*Source!I157, 6)*SmtRes!DA74, 2)</f>
        <v>0</v>
      </c>
      <c r="P47">
        <f>SmtRes!AG74</f>
        <v>0</v>
      </c>
      <c r="Q47">
        <f>SmtRes!DC74</f>
        <v>0</v>
      </c>
      <c r="R47">
        <f>ROUND(ROUND(Q47*Source!I157, 6)*1, 2)</f>
        <v>0</v>
      </c>
      <c r="S47">
        <f>SmtRes!AC74</f>
        <v>0</v>
      </c>
      <c r="T47">
        <f>ROUND(ROUND(Q47*Source!I157, 6)*SmtRes!AK74, 2)</f>
        <v>0</v>
      </c>
      <c r="U47">
        <v>1</v>
      </c>
      <c r="Y47">
        <f>SmtRes!X74</f>
        <v>476480486</v>
      </c>
      <c r="Z47">
        <v>1499241640</v>
      </c>
      <c r="AA47">
        <v>1499241640</v>
      </c>
    </row>
    <row r="48" spans="1:27" x14ac:dyDescent="0.2">
      <c r="A48">
        <v>20</v>
      </c>
      <c r="B48">
        <v>76</v>
      </c>
      <c r="C48">
        <v>1</v>
      </c>
      <c r="D48">
        <v>0</v>
      </c>
      <c r="E48">
        <f>SmtRes!AV76</f>
        <v>1</v>
      </c>
      <c r="F48" t="str">
        <f>SmtRes!I76</f>
        <v>9999990008</v>
      </c>
      <c r="G48" t="str">
        <f>SmtRes!K76</f>
        <v>Трудозатраты рабочих</v>
      </c>
      <c r="H48" t="str">
        <f>SmtRes!O76</f>
        <v>чел.-ч.</v>
      </c>
      <c r="I48">
        <f>SmtRes!Y76*Source!I159</f>
        <v>3.303572</v>
      </c>
      <c r="J48">
        <f>SmtRes!AO76</f>
        <v>1</v>
      </c>
      <c r="K48">
        <f>SmtRes!AH76</f>
        <v>0</v>
      </c>
      <c r="L48">
        <f>SmtRes!DB76</f>
        <v>0</v>
      </c>
      <c r="M48">
        <f>ROUND(ROUND(L48*Source!I159, 6)*1, 2)</f>
        <v>0</v>
      </c>
      <c r="N48">
        <f>SmtRes!AD76</f>
        <v>0</v>
      </c>
      <c r="O48">
        <f>ROUND(ROUND(L48*Source!I159, 6)*SmtRes!DA76, 2)</f>
        <v>0</v>
      </c>
      <c r="P48">
        <f>SmtRes!AG76</f>
        <v>0</v>
      </c>
      <c r="Q48">
        <f>SmtRes!DC76</f>
        <v>0</v>
      </c>
      <c r="R48">
        <f>ROUND(ROUND(Q48*Source!I159, 6)*1, 2)</f>
        <v>0</v>
      </c>
      <c r="S48">
        <f>SmtRes!AC76</f>
        <v>0</v>
      </c>
      <c r="T48">
        <f>ROUND(ROUND(Q48*Source!I159, 6)*SmtRes!AK76, 2)</f>
        <v>0</v>
      </c>
      <c r="U48">
        <v>1</v>
      </c>
      <c r="Y48">
        <f>SmtRes!X76</f>
        <v>476480486</v>
      </c>
      <c r="Z48">
        <v>1499241640</v>
      </c>
      <c r="AA48">
        <v>1499241640</v>
      </c>
    </row>
    <row r="49" spans="1:27" x14ac:dyDescent="0.2">
      <c r="A49">
        <v>20</v>
      </c>
      <c r="B49">
        <v>79</v>
      </c>
      <c r="C49">
        <v>1</v>
      </c>
      <c r="D49">
        <v>0</v>
      </c>
      <c r="E49">
        <f>SmtRes!AV79</f>
        <v>1</v>
      </c>
      <c r="F49" t="str">
        <f>SmtRes!I79</f>
        <v>9999990008</v>
      </c>
      <c r="G49" t="str">
        <f>SmtRes!K79</f>
        <v>Трудозатраты рабочих</v>
      </c>
      <c r="H49" t="str">
        <f>SmtRes!O79</f>
        <v>чел.-ч.</v>
      </c>
      <c r="I49">
        <f>SmtRes!Y79*Source!I161</f>
        <v>98.456000000000003</v>
      </c>
      <c r="J49">
        <f>SmtRes!AO79</f>
        <v>1</v>
      </c>
      <c r="K49">
        <f>SmtRes!AH79</f>
        <v>0</v>
      </c>
      <c r="L49">
        <f>SmtRes!DB79</f>
        <v>0</v>
      </c>
      <c r="M49">
        <f>ROUND(ROUND(L49*Source!I161, 6)*1, 2)</f>
        <v>0</v>
      </c>
      <c r="N49">
        <f>SmtRes!AD79</f>
        <v>0</v>
      </c>
      <c r="O49">
        <f>ROUND(ROUND(L49*Source!I161, 6)*SmtRes!DA79, 2)</f>
        <v>0</v>
      </c>
      <c r="P49">
        <f>SmtRes!AG79</f>
        <v>0</v>
      </c>
      <c r="Q49">
        <f>SmtRes!DC79</f>
        <v>0</v>
      </c>
      <c r="R49">
        <f>ROUND(ROUND(Q49*Source!I161, 6)*1, 2)</f>
        <v>0</v>
      </c>
      <c r="S49">
        <f>SmtRes!AC79</f>
        <v>0</v>
      </c>
      <c r="T49">
        <f>ROUND(ROUND(Q49*Source!I161, 6)*SmtRes!AK79, 2)</f>
        <v>0</v>
      </c>
      <c r="U49">
        <v>1</v>
      </c>
      <c r="Y49">
        <f>SmtRes!X79</f>
        <v>476480486</v>
      </c>
      <c r="Z49">
        <v>1499241640</v>
      </c>
      <c r="AA49">
        <v>1499241640</v>
      </c>
    </row>
    <row r="50" spans="1:27" x14ac:dyDescent="0.2">
      <c r="A50">
        <v>20</v>
      </c>
      <c r="B50">
        <v>85</v>
      </c>
      <c r="C50">
        <v>2</v>
      </c>
      <c r="D50">
        <v>0</v>
      </c>
      <c r="E50">
        <f>SmtRes!AV85</f>
        <v>0</v>
      </c>
      <c r="F50" t="str">
        <f>SmtRes!I85</f>
        <v>9999990007</v>
      </c>
      <c r="G50" t="str">
        <f>SmtRes!K85</f>
        <v>Стоимость прочих машин (ЭСН)</v>
      </c>
      <c r="H50" t="str">
        <f>SmtRes!O85</f>
        <v>руб.</v>
      </c>
      <c r="I50">
        <f>SmtRes!Y85*Source!I165</f>
        <v>2425.875</v>
      </c>
      <c r="J50">
        <f>SmtRes!AO85</f>
        <v>1</v>
      </c>
      <c r="K50">
        <f>SmtRes!AF85</f>
        <v>1</v>
      </c>
      <c r="L50">
        <f>SmtRes!DB85</f>
        <v>323.45</v>
      </c>
      <c r="M50">
        <f>ROUND(ROUND(L50*Source!I165, 6)*1, 2)</f>
        <v>2425.88</v>
      </c>
      <c r="N50">
        <f>SmtRes!AB85</f>
        <v>1.05</v>
      </c>
      <c r="O50">
        <f>ROUND(ROUND(L50*Source!I165, 6)*SmtRes!DA85, 2)</f>
        <v>2425.88</v>
      </c>
      <c r="P50">
        <f>SmtRes!AG85</f>
        <v>0</v>
      </c>
      <c r="Q50">
        <f>SmtRes!DC85</f>
        <v>0</v>
      </c>
      <c r="R50">
        <f>ROUND(ROUND(Q50*Source!I165, 6)*1, 2)</f>
        <v>0</v>
      </c>
      <c r="S50">
        <f>SmtRes!AC85</f>
        <v>0</v>
      </c>
      <c r="T50">
        <f>ROUND(ROUND(Q50*Source!I165, 6)*SmtRes!AK85, 2)</f>
        <v>0</v>
      </c>
      <c r="U50">
        <v>2</v>
      </c>
      <c r="Y50">
        <f>SmtRes!X85</f>
        <v>-1180195794</v>
      </c>
      <c r="Z50">
        <v>-595858232</v>
      </c>
      <c r="AA50">
        <v>-314357962</v>
      </c>
    </row>
    <row r="51" spans="1:27" x14ac:dyDescent="0.2">
      <c r="A51">
        <v>20</v>
      </c>
      <c r="B51">
        <v>84</v>
      </c>
      <c r="C51">
        <v>1</v>
      </c>
      <c r="D51">
        <v>0</v>
      </c>
      <c r="E51">
        <f>SmtRes!AV84</f>
        <v>1</v>
      </c>
      <c r="F51" t="str">
        <f>SmtRes!I84</f>
        <v>9999990008</v>
      </c>
      <c r="G51" t="str">
        <f>SmtRes!K84</f>
        <v>Трудозатраты рабочих</v>
      </c>
      <c r="H51" t="str">
        <f>SmtRes!O84</f>
        <v>чел.-ч.</v>
      </c>
      <c r="I51">
        <f>SmtRes!Y84*Source!I165</f>
        <v>99.9</v>
      </c>
      <c r="J51">
        <f>SmtRes!AO84</f>
        <v>1</v>
      </c>
      <c r="K51">
        <f>SmtRes!AH84</f>
        <v>0</v>
      </c>
      <c r="L51">
        <f>SmtRes!DB84</f>
        <v>0</v>
      </c>
      <c r="M51">
        <f>ROUND(ROUND(L51*Source!I165, 6)*1, 2)</f>
        <v>0</v>
      </c>
      <c r="N51">
        <f>SmtRes!AD84</f>
        <v>0</v>
      </c>
      <c r="O51">
        <f>ROUND(ROUND(L51*Source!I165, 6)*SmtRes!DA84, 2)</f>
        <v>0</v>
      </c>
      <c r="P51">
        <f>SmtRes!AG84</f>
        <v>0</v>
      </c>
      <c r="Q51">
        <f>SmtRes!DC84</f>
        <v>0</v>
      </c>
      <c r="R51">
        <f>ROUND(ROUND(Q51*Source!I165, 6)*1, 2)</f>
        <v>0</v>
      </c>
      <c r="S51">
        <f>SmtRes!AC84</f>
        <v>0</v>
      </c>
      <c r="T51">
        <f>ROUND(ROUND(Q51*Source!I165, 6)*SmtRes!AK84, 2)</f>
        <v>0</v>
      </c>
      <c r="U51">
        <v>1</v>
      </c>
      <c r="Y51">
        <f>SmtRes!X84</f>
        <v>476480486</v>
      </c>
      <c r="Z51">
        <v>1499241640</v>
      </c>
      <c r="AA51">
        <v>1499241640</v>
      </c>
    </row>
    <row r="52" spans="1:27" x14ac:dyDescent="0.2">
      <c r="A52">
        <v>20</v>
      </c>
      <c r="B52">
        <v>91</v>
      </c>
      <c r="C52">
        <v>2</v>
      </c>
      <c r="D52">
        <v>0</v>
      </c>
      <c r="E52">
        <f>SmtRes!AV91</f>
        <v>0</v>
      </c>
      <c r="F52" t="str">
        <f>SmtRes!I91</f>
        <v>9999990007</v>
      </c>
      <c r="G52" t="str">
        <f>SmtRes!K91</f>
        <v>Стоимость прочих машин (ЭСН)</v>
      </c>
      <c r="H52" t="str">
        <f>SmtRes!O91</f>
        <v>руб.</v>
      </c>
      <c r="I52">
        <f>SmtRes!Y91*Source!I169</f>
        <v>2.0398000000000001</v>
      </c>
      <c r="J52">
        <f>SmtRes!AO91</f>
        <v>1</v>
      </c>
      <c r="K52">
        <f>SmtRes!AF91</f>
        <v>1</v>
      </c>
      <c r="L52">
        <f>SmtRes!DB91</f>
        <v>203.98</v>
      </c>
      <c r="M52">
        <f>ROUND(ROUND(L52*Source!I169, 6)*1, 2)</f>
        <v>2.04</v>
      </c>
      <c r="N52">
        <f>SmtRes!AB91</f>
        <v>1.05</v>
      </c>
      <c r="O52">
        <f>ROUND(ROUND(L52*Source!I169, 6)*SmtRes!DA91, 2)</f>
        <v>2.04</v>
      </c>
      <c r="P52">
        <f>SmtRes!AG91</f>
        <v>0</v>
      </c>
      <c r="Q52">
        <f>SmtRes!DC91</f>
        <v>0</v>
      </c>
      <c r="R52">
        <f>ROUND(ROUND(Q52*Source!I169, 6)*1, 2)</f>
        <v>0</v>
      </c>
      <c r="S52">
        <f>SmtRes!AC91</f>
        <v>0</v>
      </c>
      <c r="T52">
        <f>ROUND(ROUND(Q52*Source!I169, 6)*SmtRes!AK91, 2)</f>
        <v>0</v>
      </c>
      <c r="U52">
        <v>2</v>
      </c>
      <c r="Y52">
        <f>SmtRes!X91</f>
        <v>-1180195794</v>
      </c>
      <c r="Z52">
        <v>-595858232</v>
      </c>
      <c r="AA52">
        <v>-314357962</v>
      </c>
    </row>
    <row r="53" spans="1:27" x14ac:dyDescent="0.2">
      <c r="A53">
        <v>20</v>
      </c>
      <c r="B53">
        <v>90</v>
      </c>
      <c r="C53">
        <v>1</v>
      </c>
      <c r="D53">
        <v>0</v>
      </c>
      <c r="E53">
        <f>SmtRes!AV90</f>
        <v>1</v>
      </c>
      <c r="F53" t="str">
        <f>SmtRes!I90</f>
        <v>9999990008</v>
      </c>
      <c r="G53" t="str">
        <f>SmtRes!K90</f>
        <v>Трудозатраты рабочих</v>
      </c>
      <c r="H53" t="str">
        <f>SmtRes!O90</f>
        <v>чел.-ч.</v>
      </c>
      <c r="I53">
        <f>SmtRes!Y90*Source!I169</f>
        <v>0.47299999999999998</v>
      </c>
      <c r="J53">
        <f>SmtRes!AO90</f>
        <v>1</v>
      </c>
      <c r="K53">
        <f>SmtRes!AH90</f>
        <v>0</v>
      </c>
      <c r="L53">
        <f>SmtRes!DB90</f>
        <v>0</v>
      </c>
      <c r="M53">
        <f>ROUND(ROUND(L53*Source!I169, 6)*1, 2)</f>
        <v>0</v>
      </c>
      <c r="N53">
        <f>SmtRes!AD90</f>
        <v>0</v>
      </c>
      <c r="O53">
        <f>ROUND(ROUND(L53*Source!I169, 6)*SmtRes!DA90, 2)</f>
        <v>0</v>
      </c>
      <c r="P53">
        <f>SmtRes!AG90</f>
        <v>0</v>
      </c>
      <c r="Q53">
        <f>SmtRes!DC90</f>
        <v>0</v>
      </c>
      <c r="R53">
        <f>ROUND(ROUND(Q53*Source!I169, 6)*1, 2)</f>
        <v>0</v>
      </c>
      <c r="S53">
        <f>SmtRes!AC90</f>
        <v>0</v>
      </c>
      <c r="T53">
        <f>ROUND(ROUND(Q53*Source!I169, 6)*SmtRes!AK90, 2)</f>
        <v>0</v>
      </c>
      <c r="U53">
        <v>1</v>
      </c>
      <c r="Y53">
        <f>SmtRes!X90</f>
        <v>476480486</v>
      </c>
      <c r="Z53">
        <v>1499241640</v>
      </c>
      <c r="AA53">
        <v>1499241640</v>
      </c>
    </row>
    <row r="54" spans="1:27" x14ac:dyDescent="0.2">
      <c r="A54">
        <v>20</v>
      </c>
      <c r="B54">
        <v>100</v>
      </c>
      <c r="C54">
        <v>3</v>
      </c>
      <c r="D54">
        <v>0</v>
      </c>
      <c r="E54">
        <f>SmtRes!AV100</f>
        <v>0</v>
      </c>
      <c r="F54" t="str">
        <f>SmtRes!I100</f>
        <v>9999990006</v>
      </c>
      <c r="G54" t="str">
        <f>SmtRes!K100</f>
        <v>Стоимость прочих материалов (ЭСН)</v>
      </c>
      <c r="H54" t="str">
        <f>SmtRes!O100</f>
        <v>руб.</v>
      </c>
      <c r="I54">
        <f>SmtRes!Y100*Source!I173</f>
        <v>1.1843999999999999</v>
      </c>
      <c r="J54">
        <f>SmtRes!AO100</f>
        <v>1</v>
      </c>
      <c r="K54">
        <f>SmtRes!AE100</f>
        <v>1</v>
      </c>
      <c r="L54">
        <f>SmtRes!DB100</f>
        <v>23.687999999999999</v>
      </c>
      <c r="M54">
        <f>ROUND(ROUND(L54*Source!I173, 6)*1, 2)</f>
        <v>1.18</v>
      </c>
      <c r="N54">
        <f>SmtRes!AA100</f>
        <v>8.65</v>
      </c>
      <c r="O54">
        <f>ROUND(ROUND(L54*Source!I173, 6)*SmtRes!DA100, 2)</f>
        <v>10.25</v>
      </c>
      <c r="P54">
        <f>SmtRes!AG100</f>
        <v>0</v>
      </c>
      <c r="Q54">
        <f>SmtRes!DC100</f>
        <v>0</v>
      </c>
      <c r="R54">
        <f>ROUND(ROUND(Q54*Source!I173, 6)*1, 2)</f>
        <v>0</v>
      </c>
      <c r="S54">
        <f>SmtRes!AC100</f>
        <v>0</v>
      </c>
      <c r="T54">
        <f>ROUND(ROUND(Q54*Source!I173, 6)*SmtRes!AK100, 2)</f>
        <v>0</v>
      </c>
      <c r="U54">
        <v>3</v>
      </c>
      <c r="Y54">
        <f>SmtRes!X100</f>
        <v>-94250534</v>
      </c>
      <c r="Z54">
        <v>-1771809642</v>
      </c>
      <c r="AA54">
        <v>19367311</v>
      </c>
    </row>
    <row r="55" spans="1:27" x14ac:dyDescent="0.2">
      <c r="A55">
        <v>20</v>
      </c>
      <c r="B55">
        <v>99</v>
      </c>
      <c r="C55">
        <v>3</v>
      </c>
      <c r="D55">
        <v>0</v>
      </c>
      <c r="E55">
        <f>SmtRes!AV99</f>
        <v>0</v>
      </c>
      <c r="F55" t="str">
        <f>SmtRes!I99</f>
        <v>1.1-1-1566</v>
      </c>
      <c r="G55" t="str">
        <f>SmtRes!K99</f>
        <v>Электроды, тип Э-42, 46, 50, диаметр 4 - 6 мм</v>
      </c>
      <c r="H55" t="str">
        <f>SmtRes!O99</f>
        <v>т</v>
      </c>
      <c r="I55">
        <f>SmtRes!Y99*Source!I173</f>
        <v>9.0000000000000006E-5</v>
      </c>
      <c r="J55">
        <f>SmtRes!AO99</f>
        <v>1</v>
      </c>
      <c r="K55">
        <f>SmtRes!AE99</f>
        <v>7191.81</v>
      </c>
      <c r="L55">
        <f>SmtRes!DB99</f>
        <v>12.948</v>
      </c>
      <c r="M55">
        <f>ROUND(ROUND(L55*Source!I173, 6)*1, 2)</f>
        <v>0.65</v>
      </c>
      <c r="N55">
        <f>SmtRes!AA99</f>
        <v>145777.99</v>
      </c>
      <c r="O55">
        <f>ROUND(ROUND(L55*Source!I173, 6)*SmtRes!DA99, 2)</f>
        <v>13.12</v>
      </c>
      <c r="P55">
        <f>SmtRes!AG99</f>
        <v>0</v>
      </c>
      <c r="Q55">
        <f>SmtRes!DC99</f>
        <v>0</v>
      </c>
      <c r="R55">
        <f>ROUND(ROUND(Q55*Source!I173, 6)*1, 2)</f>
        <v>0</v>
      </c>
      <c r="S55">
        <f>SmtRes!AC99</f>
        <v>0</v>
      </c>
      <c r="T55">
        <f>ROUND(ROUND(Q55*Source!I173, 6)*SmtRes!AK99, 2)</f>
        <v>0</v>
      </c>
      <c r="U55">
        <v>3</v>
      </c>
      <c r="Y55">
        <f>SmtRes!X99</f>
        <v>1310716689</v>
      </c>
      <c r="Z55">
        <v>1563916378</v>
      </c>
      <c r="AA55">
        <v>2138865355</v>
      </c>
    </row>
    <row r="56" spans="1:27" x14ac:dyDescent="0.2">
      <c r="A56">
        <v>20</v>
      </c>
      <c r="B56">
        <v>98</v>
      </c>
      <c r="C56">
        <v>2</v>
      </c>
      <c r="D56">
        <v>0</v>
      </c>
      <c r="E56">
        <f>SmtRes!AV98</f>
        <v>0</v>
      </c>
      <c r="F56" t="str">
        <f>SmtRes!I98</f>
        <v>2.1-4-31</v>
      </c>
      <c r="G56" t="str">
        <f>SmtRes!K98</f>
        <v>Лебедки электрические, грузоподъемность до 1,5 т</v>
      </c>
      <c r="H56" t="str">
        <f>SmtRes!O98</f>
        <v>маш.-ч.</v>
      </c>
      <c r="I56">
        <f>SmtRes!Y98*Source!I173</f>
        <v>0.69600000000000006</v>
      </c>
      <c r="J56">
        <f>SmtRes!AO98</f>
        <v>1</v>
      </c>
      <c r="K56">
        <f>SmtRes!AF98</f>
        <v>2.78</v>
      </c>
      <c r="L56">
        <f>SmtRes!DB98</f>
        <v>38.700000000000003</v>
      </c>
      <c r="M56">
        <f>ROUND(ROUND(L56*Source!I173, 6)*1, 2)</f>
        <v>1.94</v>
      </c>
      <c r="N56">
        <f>SmtRes!AB98</f>
        <v>24.96</v>
      </c>
      <c r="O56">
        <f>ROUND(ROUND(L56*Source!I173, 6)*SmtRes!DA98, 2)</f>
        <v>15.98</v>
      </c>
      <c r="P56">
        <f>SmtRes!AG98</f>
        <v>0.19</v>
      </c>
      <c r="Q56">
        <f>SmtRes!DC98</f>
        <v>2.6459999999999999</v>
      </c>
      <c r="R56">
        <f>ROUND(ROUND(Q56*Source!I173, 6)*1, 2)</f>
        <v>0.13</v>
      </c>
      <c r="S56">
        <f>SmtRes!AC98</f>
        <v>6</v>
      </c>
      <c r="T56">
        <f>ROUND(ROUND(Q56*Source!I173, 6)*SmtRes!AK98, 2)</f>
        <v>3.84</v>
      </c>
      <c r="U56">
        <v>2</v>
      </c>
      <c r="Y56">
        <f>SmtRes!X98</f>
        <v>1116621208</v>
      </c>
      <c r="Z56">
        <v>-1008380132</v>
      </c>
      <c r="AA56">
        <v>-1782595156</v>
      </c>
    </row>
    <row r="57" spans="1:27" x14ac:dyDescent="0.2">
      <c r="A57">
        <v>20</v>
      </c>
      <c r="B57">
        <v>97</v>
      </c>
      <c r="C57">
        <v>1</v>
      </c>
      <c r="D57">
        <v>0</v>
      </c>
      <c r="E57">
        <f>SmtRes!AV97</f>
        <v>1</v>
      </c>
      <c r="F57" t="str">
        <f>SmtRes!I97</f>
        <v>9999990008</v>
      </c>
      <c r="G57" t="str">
        <f>SmtRes!K97</f>
        <v>Трудозатраты рабочих</v>
      </c>
      <c r="H57" t="str">
        <f>SmtRes!O97</f>
        <v>чел.-ч.</v>
      </c>
      <c r="I57">
        <f>SmtRes!Y97*Source!I173</f>
        <v>3.48</v>
      </c>
      <c r="J57">
        <f>SmtRes!AO97</f>
        <v>1</v>
      </c>
      <c r="K57">
        <f>SmtRes!AH97</f>
        <v>0</v>
      </c>
      <c r="L57">
        <f>SmtRes!DB97</f>
        <v>0</v>
      </c>
      <c r="M57">
        <f>ROUND(ROUND(L57*Source!I173, 6)*1, 2)</f>
        <v>0</v>
      </c>
      <c r="N57">
        <f>SmtRes!AD97</f>
        <v>0</v>
      </c>
      <c r="O57">
        <f>ROUND(ROUND(L57*Source!I173, 6)*SmtRes!DA97, 2)</f>
        <v>0</v>
      </c>
      <c r="P57">
        <f>SmtRes!AG97</f>
        <v>0</v>
      </c>
      <c r="Q57">
        <f>SmtRes!DC97</f>
        <v>0</v>
      </c>
      <c r="R57">
        <f>ROUND(ROUND(Q57*Source!I173, 6)*1, 2)</f>
        <v>0</v>
      </c>
      <c r="S57">
        <f>SmtRes!AC97</f>
        <v>0</v>
      </c>
      <c r="T57">
        <f>ROUND(ROUND(Q57*Source!I173, 6)*SmtRes!AK97, 2)</f>
        <v>0</v>
      </c>
      <c r="U57">
        <v>1</v>
      </c>
      <c r="Y57">
        <f>SmtRes!X97</f>
        <v>476480486</v>
      </c>
      <c r="Z57">
        <v>1499241640</v>
      </c>
      <c r="AA57">
        <v>1499241640</v>
      </c>
    </row>
    <row r="58" spans="1:27" x14ac:dyDescent="0.2">
      <c r="A58">
        <v>20</v>
      </c>
      <c r="B58">
        <v>107</v>
      </c>
      <c r="C58">
        <v>2</v>
      </c>
      <c r="D58">
        <v>0</v>
      </c>
      <c r="E58">
        <f>SmtRes!AV107</f>
        <v>0</v>
      </c>
      <c r="F58" t="str">
        <f>SmtRes!I107</f>
        <v>2.1-30-54</v>
      </c>
      <c r="G58" t="str">
        <f>SmtRes!K107</f>
        <v>Молотки отбойные</v>
      </c>
      <c r="H58" t="str">
        <f>SmtRes!O107</f>
        <v>маш.-ч.</v>
      </c>
      <c r="I58">
        <f>SmtRes!Y107*Source!I175</f>
        <v>4.3920000000000001E-2</v>
      </c>
      <c r="J58">
        <f>SmtRes!AO107</f>
        <v>1</v>
      </c>
      <c r="K58">
        <f>SmtRes!AF107</f>
        <v>3.16</v>
      </c>
      <c r="L58">
        <f>SmtRes!DB107</f>
        <v>2.2749999999999999</v>
      </c>
      <c r="M58">
        <f>ROUND(ROUND(L58*Source!I175, 6)*1, 2)</f>
        <v>0.14000000000000001</v>
      </c>
      <c r="N58">
        <f>SmtRes!AB107</f>
        <v>25.61</v>
      </c>
      <c r="O58">
        <f>ROUND(ROUND(L58*Source!I175, 6)*SmtRes!DA107, 2)</f>
        <v>1.07</v>
      </c>
      <c r="P58">
        <f>SmtRes!AG107</f>
        <v>0.04</v>
      </c>
      <c r="Q58">
        <f>SmtRes!DC107</f>
        <v>0.03</v>
      </c>
      <c r="R58">
        <f>ROUND(ROUND(Q58*Source!I175, 6)*1, 2)</f>
        <v>0</v>
      </c>
      <c r="S58">
        <f>SmtRes!AC107</f>
        <v>1.22</v>
      </c>
      <c r="T58">
        <f>ROUND(ROUND(Q58*Source!I175, 6)*SmtRes!AK107, 2)</f>
        <v>0.05</v>
      </c>
      <c r="U58">
        <v>2</v>
      </c>
      <c r="Y58">
        <f>SmtRes!X107</f>
        <v>-48163219</v>
      </c>
      <c r="Z58">
        <v>-1787868048</v>
      </c>
      <c r="AA58">
        <v>-675024831</v>
      </c>
    </row>
    <row r="59" spans="1:27" x14ac:dyDescent="0.2">
      <c r="A59">
        <v>20</v>
      </c>
      <c r="B59">
        <v>106</v>
      </c>
      <c r="C59">
        <v>2</v>
      </c>
      <c r="D59">
        <v>0</v>
      </c>
      <c r="E59">
        <f>SmtRes!AV106</f>
        <v>0</v>
      </c>
      <c r="F59" t="str">
        <f>SmtRes!I106</f>
        <v>2.1-10-4</v>
      </c>
      <c r="G59" t="str">
        <f>SmtRes!K106</f>
        <v>Компрессоры прицепные с двигателем внутреннего сгорания, производительность до 2,5 м3/мин, мощность двигателя до 23 кВт (31,3 л.с.)</v>
      </c>
      <c r="H59" t="str">
        <f>SmtRes!O106</f>
        <v>маш.-ч.</v>
      </c>
      <c r="I59">
        <f>SmtRes!Y106*Source!I175</f>
        <v>4.3920000000000001E-2</v>
      </c>
      <c r="J59">
        <f>SmtRes!AO106</f>
        <v>1</v>
      </c>
      <c r="K59">
        <f>SmtRes!AF106</f>
        <v>41.62</v>
      </c>
      <c r="L59">
        <f>SmtRes!DB106</f>
        <v>29.965</v>
      </c>
      <c r="M59">
        <f>ROUND(ROUND(L59*Source!I175, 6)*1, 2)</f>
        <v>1.83</v>
      </c>
      <c r="N59">
        <f>SmtRes!AB106</f>
        <v>721.62</v>
      </c>
      <c r="O59">
        <f>ROUND(ROUND(L59*Source!I175, 6)*SmtRes!DA106, 2)</f>
        <v>30.27</v>
      </c>
      <c r="P59">
        <f>SmtRes!AG106</f>
        <v>13.33</v>
      </c>
      <c r="Q59">
        <f>SmtRes!DC106</f>
        <v>9.6</v>
      </c>
      <c r="R59">
        <f>ROUND(ROUND(Q59*Source!I175, 6)*1, 2)</f>
        <v>0.59</v>
      </c>
      <c r="S59">
        <f>SmtRes!AC106</f>
        <v>405.16</v>
      </c>
      <c r="T59">
        <f>ROUND(ROUND(Q59*Source!I175, 6)*SmtRes!AK106, 2)</f>
        <v>17</v>
      </c>
      <c r="U59">
        <v>2</v>
      </c>
      <c r="Y59">
        <f>SmtRes!X106</f>
        <v>-668768829</v>
      </c>
      <c r="Z59">
        <v>1386714899</v>
      </c>
      <c r="AA59">
        <v>-2002567974</v>
      </c>
    </row>
    <row r="60" spans="1:27" x14ac:dyDescent="0.2">
      <c r="A60">
        <v>20</v>
      </c>
      <c r="B60">
        <v>105</v>
      </c>
      <c r="C60">
        <v>1</v>
      </c>
      <c r="D60">
        <v>0</v>
      </c>
      <c r="E60">
        <f>SmtRes!AV105</f>
        <v>1</v>
      </c>
      <c r="F60" t="str">
        <f>SmtRes!I105</f>
        <v>9999990008</v>
      </c>
      <c r="G60" t="str">
        <f>SmtRes!K105</f>
        <v>Трудозатраты рабочих</v>
      </c>
      <c r="H60" t="str">
        <f>SmtRes!O105</f>
        <v>чел.-ч.</v>
      </c>
      <c r="I60">
        <f>SmtRes!Y105*Source!I175</f>
        <v>2.1310350000000002</v>
      </c>
      <c r="J60">
        <f>SmtRes!AO105</f>
        <v>1</v>
      </c>
      <c r="K60">
        <f>SmtRes!AH105</f>
        <v>0</v>
      </c>
      <c r="L60">
        <f>SmtRes!DB105</f>
        <v>0</v>
      </c>
      <c r="M60">
        <f>ROUND(ROUND(L60*Source!I175, 6)*1, 2)</f>
        <v>0</v>
      </c>
      <c r="N60">
        <f>SmtRes!AD105</f>
        <v>0</v>
      </c>
      <c r="O60">
        <f>ROUND(ROUND(L60*Source!I175, 6)*SmtRes!DA105, 2)</f>
        <v>0</v>
      </c>
      <c r="P60">
        <f>SmtRes!AG105</f>
        <v>0</v>
      </c>
      <c r="Q60">
        <f>SmtRes!DC105</f>
        <v>0</v>
      </c>
      <c r="R60">
        <f>ROUND(ROUND(Q60*Source!I175, 6)*1, 2)</f>
        <v>0</v>
      </c>
      <c r="S60">
        <f>SmtRes!AC105</f>
        <v>0</v>
      </c>
      <c r="T60">
        <f>ROUND(ROUND(Q60*Source!I175, 6)*SmtRes!AK105, 2)</f>
        <v>0</v>
      </c>
      <c r="U60">
        <v>1</v>
      </c>
      <c r="Y60">
        <f>SmtRes!X105</f>
        <v>476480486</v>
      </c>
      <c r="Z60">
        <v>1499241640</v>
      </c>
      <c r="AA60">
        <v>1499241640</v>
      </c>
    </row>
    <row r="61" spans="1:27" x14ac:dyDescent="0.2">
      <c r="A61">
        <v>20</v>
      </c>
      <c r="B61">
        <v>115</v>
      </c>
      <c r="C61">
        <v>2</v>
      </c>
      <c r="D61">
        <v>0</v>
      </c>
      <c r="E61">
        <f>SmtRes!AV115</f>
        <v>0</v>
      </c>
      <c r="F61" t="str">
        <f>SmtRes!I115</f>
        <v>2.1-30-54</v>
      </c>
      <c r="G61" t="str">
        <f>SmtRes!K115</f>
        <v>Молотки отбойные</v>
      </c>
      <c r="H61" t="str">
        <f>SmtRes!O115</f>
        <v>маш.-ч.</v>
      </c>
      <c r="I61">
        <f>SmtRes!Y115*Source!I179</f>
        <v>0.67600000000000005</v>
      </c>
      <c r="J61">
        <f>SmtRes!AO115</f>
        <v>1</v>
      </c>
      <c r="K61">
        <f>SmtRes!AF115</f>
        <v>3.16</v>
      </c>
      <c r="L61">
        <f>SmtRes!DB115</f>
        <v>32.86</v>
      </c>
      <c r="M61">
        <f>ROUND(ROUND(L61*Source!I179, 6)*1, 2)</f>
        <v>2.14</v>
      </c>
      <c r="N61">
        <f>SmtRes!AB115</f>
        <v>25.61</v>
      </c>
      <c r="O61">
        <f>ROUND(ROUND(L61*Source!I179, 6)*SmtRes!DA115, 2)</f>
        <v>16.53</v>
      </c>
      <c r="P61">
        <f>SmtRes!AG115</f>
        <v>0.04</v>
      </c>
      <c r="Q61">
        <f>SmtRes!DC115</f>
        <v>0.42</v>
      </c>
      <c r="R61">
        <f>ROUND(ROUND(Q61*Source!I179, 6)*1, 2)</f>
        <v>0.03</v>
      </c>
      <c r="S61">
        <f>SmtRes!AC115</f>
        <v>1.22</v>
      </c>
      <c r="T61">
        <f>ROUND(ROUND(Q61*Source!I179, 6)*SmtRes!AK115, 2)</f>
        <v>0.79</v>
      </c>
      <c r="U61">
        <v>2</v>
      </c>
      <c r="Y61">
        <f>SmtRes!X115</f>
        <v>-48163219</v>
      </c>
      <c r="Z61">
        <v>-1787868048</v>
      </c>
      <c r="AA61">
        <v>-675024831</v>
      </c>
    </row>
    <row r="62" spans="1:27" x14ac:dyDescent="0.2">
      <c r="A62">
        <v>20</v>
      </c>
      <c r="B62">
        <v>114</v>
      </c>
      <c r="C62">
        <v>2</v>
      </c>
      <c r="D62">
        <v>0</v>
      </c>
      <c r="E62">
        <f>SmtRes!AV114</f>
        <v>0</v>
      </c>
      <c r="F62" t="str">
        <f>SmtRes!I114</f>
        <v>2.1-10-4</v>
      </c>
      <c r="G62" t="str">
        <f>SmtRes!K114</f>
        <v>Компрессоры прицепные с двигателем внутреннего сгорания, производительность до 2,5 м3/мин, мощность двигателя до 23 кВт (31,3 л.с.)</v>
      </c>
      <c r="H62" t="str">
        <f>SmtRes!O114</f>
        <v>маш.-ч.</v>
      </c>
      <c r="I62">
        <f>SmtRes!Y114*Source!I179</f>
        <v>0.67600000000000005</v>
      </c>
      <c r="J62">
        <f>SmtRes!AO114</f>
        <v>1</v>
      </c>
      <c r="K62">
        <f>SmtRes!AF114</f>
        <v>41.62</v>
      </c>
      <c r="L62">
        <f>SmtRes!DB114</f>
        <v>432.85</v>
      </c>
      <c r="M62">
        <f>ROUND(ROUND(L62*Source!I179, 6)*1, 2)</f>
        <v>28.14</v>
      </c>
      <c r="N62">
        <f>SmtRes!AB114</f>
        <v>721.62</v>
      </c>
      <c r="O62">
        <f>ROUND(ROUND(L62*Source!I179, 6)*SmtRes!DA114, 2)</f>
        <v>465.92</v>
      </c>
      <c r="P62">
        <f>SmtRes!AG114</f>
        <v>13.33</v>
      </c>
      <c r="Q62">
        <f>SmtRes!DC114</f>
        <v>138.63</v>
      </c>
      <c r="R62">
        <f>ROUND(ROUND(Q62*Source!I179, 6)*1, 2)</f>
        <v>9.01</v>
      </c>
      <c r="S62">
        <f>SmtRes!AC114</f>
        <v>405.16</v>
      </c>
      <c r="T62">
        <f>ROUND(ROUND(Q62*Source!I179, 6)*SmtRes!AK114, 2)</f>
        <v>261.58999999999997</v>
      </c>
      <c r="U62">
        <v>2</v>
      </c>
      <c r="Y62">
        <f>SmtRes!X114</f>
        <v>-668768829</v>
      </c>
      <c r="Z62">
        <v>1386714899</v>
      </c>
      <c r="AA62">
        <v>-2002567974</v>
      </c>
    </row>
    <row r="63" spans="1:27" x14ac:dyDescent="0.2">
      <c r="A63">
        <v>20</v>
      </c>
      <c r="B63">
        <v>113</v>
      </c>
      <c r="C63">
        <v>1</v>
      </c>
      <c r="D63">
        <v>0</v>
      </c>
      <c r="E63">
        <f>SmtRes!AV113</f>
        <v>1</v>
      </c>
      <c r="F63" t="str">
        <f>SmtRes!I113</f>
        <v>9999990008</v>
      </c>
      <c r="G63" t="str">
        <f>SmtRes!K113</f>
        <v>Трудозатраты рабочих</v>
      </c>
      <c r="H63" t="str">
        <f>SmtRes!O113</f>
        <v>чел.-ч.</v>
      </c>
      <c r="I63">
        <f>SmtRes!Y113*Source!I179</f>
        <v>1.5990000000000002</v>
      </c>
      <c r="J63">
        <f>SmtRes!AO113</f>
        <v>1</v>
      </c>
      <c r="K63">
        <f>SmtRes!AH113</f>
        <v>0</v>
      </c>
      <c r="L63">
        <f>SmtRes!DB113</f>
        <v>0</v>
      </c>
      <c r="M63">
        <f>ROUND(ROUND(L63*Source!I179, 6)*1, 2)</f>
        <v>0</v>
      </c>
      <c r="N63">
        <f>SmtRes!AD113</f>
        <v>0</v>
      </c>
      <c r="O63">
        <f>ROUND(ROUND(L63*Source!I179, 6)*SmtRes!DA113, 2)</f>
        <v>0</v>
      </c>
      <c r="P63">
        <f>SmtRes!AG113</f>
        <v>0</v>
      </c>
      <c r="Q63">
        <f>SmtRes!DC113</f>
        <v>0</v>
      </c>
      <c r="R63">
        <f>ROUND(ROUND(Q63*Source!I179, 6)*1, 2)</f>
        <v>0</v>
      </c>
      <c r="S63">
        <f>SmtRes!AC113</f>
        <v>0</v>
      </c>
      <c r="T63">
        <f>ROUND(ROUND(Q63*Source!I179, 6)*SmtRes!AK113, 2)</f>
        <v>0</v>
      </c>
      <c r="U63">
        <v>1</v>
      </c>
      <c r="Y63">
        <f>SmtRes!X113</f>
        <v>476480486</v>
      </c>
      <c r="Z63">
        <v>1499241640</v>
      </c>
      <c r="AA63">
        <v>1499241640</v>
      </c>
    </row>
    <row r="64" spans="1:27" x14ac:dyDescent="0.2">
      <c r="A64">
        <v>20</v>
      </c>
      <c r="B64">
        <v>119</v>
      </c>
      <c r="C64">
        <v>1</v>
      </c>
      <c r="D64">
        <v>0</v>
      </c>
      <c r="E64">
        <f>SmtRes!AV119</f>
        <v>1</v>
      </c>
      <c r="F64" t="str">
        <f>SmtRes!I119</f>
        <v>9999990008</v>
      </c>
      <c r="G64" t="str">
        <f>SmtRes!K119</f>
        <v>Трудозатраты рабочих</v>
      </c>
      <c r="H64" t="str">
        <f>SmtRes!O119</f>
        <v>чел.-ч.</v>
      </c>
      <c r="I64">
        <f>SmtRes!Y119*Source!I183</f>
        <v>0.68400000000000005</v>
      </c>
      <c r="J64">
        <f>SmtRes!AO119</f>
        <v>1</v>
      </c>
      <c r="K64">
        <f>SmtRes!AH119</f>
        <v>0</v>
      </c>
      <c r="L64">
        <f>SmtRes!DB119</f>
        <v>0</v>
      </c>
      <c r="M64">
        <f>ROUND(ROUND(L64*Source!I183, 6)*1, 2)</f>
        <v>0</v>
      </c>
      <c r="N64">
        <f>SmtRes!AD119</f>
        <v>0</v>
      </c>
      <c r="O64">
        <f>ROUND(ROUND(L64*Source!I183, 6)*SmtRes!DA119, 2)</f>
        <v>0</v>
      </c>
      <c r="P64">
        <f>SmtRes!AG119</f>
        <v>0</v>
      </c>
      <c r="Q64">
        <f>SmtRes!DC119</f>
        <v>0</v>
      </c>
      <c r="R64">
        <f>ROUND(ROUND(Q64*Source!I183, 6)*1, 2)</f>
        <v>0</v>
      </c>
      <c r="S64">
        <f>SmtRes!AC119</f>
        <v>0</v>
      </c>
      <c r="T64">
        <f>ROUND(ROUND(Q64*Source!I183, 6)*SmtRes!AK119, 2)</f>
        <v>0</v>
      </c>
      <c r="U64">
        <v>1</v>
      </c>
      <c r="Y64">
        <f>SmtRes!X119</f>
        <v>476480486</v>
      </c>
      <c r="Z64">
        <v>1499241640</v>
      </c>
      <c r="AA64">
        <v>1499241640</v>
      </c>
    </row>
    <row r="65" spans="1:27" x14ac:dyDescent="0.2">
      <c r="A65">
        <v>20</v>
      </c>
      <c r="B65">
        <v>123</v>
      </c>
      <c r="C65">
        <v>1</v>
      </c>
      <c r="D65">
        <v>0</v>
      </c>
      <c r="E65">
        <f>SmtRes!AV123</f>
        <v>1</v>
      </c>
      <c r="F65" t="str">
        <f>SmtRes!I123</f>
        <v>9999990008</v>
      </c>
      <c r="G65" t="str">
        <f>SmtRes!K123</f>
        <v>Трудозатраты рабочих</v>
      </c>
      <c r="H65" t="str">
        <f>SmtRes!O123</f>
        <v>чел.-ч.</v>
      </c>
      <c r="I65">
        <f>SmtRes!Y123*Source!I187</f>
        <v>15.677299999999999</v>
      </c>
      <c r="J65">
        <f>SmtRes!AO123</f>
        <v>1</v>
      </c>
      <c r="K65">
        <f>SmtRes!AH123</f>
        <v>0</v>
      </c>
      <c r="L65">
        <f>SmtRes!DB123</f>
        <v>0</v>
      </c>
      <c r="M65">
        <f>ROUND(ROUND(L65*Source!I187, 6)*1, 2)</f>
        <v>0</v>
      </c>
      <c r="N65">
        <f>SmtRes!AD123</f>
        <v>0</v>
      </c>
      <c r="O65">
        <f>ROUND(ROUND(L65*Source!I187, 6)*SmtRes!DA123, 2)</f>
        <v>0</v>
      </c>
      <c r="P65">
        <f>SmtRes!AG123</f>
        <v>0</v>
      </c>
      <c r="Q65">
        <f>SmtRes!DC123</f>
        <v>0</v>
      </c>
      <c r="R65">
        <f>ROUND(ROUND(Q65*Source!I187, 6)*1, 2)</f>
        <v>0</v>
      </c>
      <c r="S65">
        <f>SmtRes!AC123</f>
        <v>0</v>
      </c>
      <c r="T65">
        <f>ROUND(ROUND(Q65*Source!I187, 6)*SmtRes!AK123, 2)</f>
        <v>0</v>
      </c>
      <c r="U65">
        <v>1</v>
      </c>
      <c r="Y65">
        <f>SmtRes!X123</f>
        <v>476480486</v>
      </c>
      <c r="Z65">
        <v>1499241640</v>
      </c>
      <c r="AA65">
        <v>1499241640</v>
      </c>
    </row>
    <row r="66" spans="1:27" x14ac:dyDescent="0.2">
      <c r="A66">
        <v>20</v>
      </c>
      <c r="B66">
        <v>128</v>
      </c>
      <c r="C66">
        <v>2</v>
      </c>
      <c r="D66">
        <v>0</v>
      </c>
      <c r="E66">
        <f>SmtRes!AV128</f>
        <v>0</v>
      </c>
      <c r="F66" t="str">
        <f>SmtRes!I128</f>
        <v>9999990007</v>
      </c>
      <c r="G66" t="str">
        <f>SmtRes!K128</f>
        <v>Стоимость прочих машин (ЭСН)</v>
      </c>
      <c r="H66" t="str">
        <f>SmtRes!O128</f>
        <v>руб.</v>
      </c>
      <c r="I66">
        <f>SmtRes!Y128*Source!I191</f>
        <v>2</v>
      </c>
      <c r="J66">
        <f>SmtRes!AO128</f>
        <v>1</v>
      </c>
      <c r="K66">
        <f>SmtRes!AF128</f>
        <v>1</v>
      </c>
      <c r="L66">
        <f>SmtRes!DB128</f>
        <v>2.5</v>
      </c>
      <c r="M66">
        <f>ROUND(ROUND(L66*Source!I191, 6)*1, 2)</f>
        <v>2</v>
      </c>
      <c r="N66">
        <f>SmtRes!AB128</f>
        <v>1.05</v>
      </c>
      <c r="O66">
        <f>ROUND(ROUND(L66*Source!I191, 6)*SmtRes!DA128, 2)</f>
        <v>2</v>
      </c>
      <c r="P66">
        <f>SmtRes!AG128</f>
        <v>0</v>
      </c>
      <c r="Q66">
        <f>SmtRes!DC128</f>
        <v>0</v>
      </c>
      <c r="R66">
        <f>ROUND(ROUND(Q66*Source!I191, 6)*1, 2)</f>
        <v>0</v>
      </c>
      <c r="S66">
        <f>SmtRes!AC128</f>
        <v>0</v>
      </c>
      <c r="T66">
        <f>ROUND(ROUND(Q66*Source!I191, 6)*SmtRes!AK128, 2)</f>
        <v>0</v>
      </c>
      <c r="U66">
        <v>2</v>
      </c>
      <c r="Y66">
        <f>SmtRes!X128</f>
        <v>-1180195794</v>
      </c>
      <c r="Z66">
        <v>-595858232</v>
      </c>
      <c r="AA66">
        <v>-314357962</v>
      </c>
    </row>
    <row r="67" spans="1:27" x14ac:dyDescent="0.2">
      <c r="A67">
        <v>20</v>
      </c>
      <c r="B67">
        <v>127</v>
      </c>
      <c r="C67">
        <v>1</v>
      </c>
      <c r="D67">
        <v>0</v>
      </c>
      <c r="E67">
        <f>SmtRes!AV127</f>
        <v>1</v>
      </c>
      <c r="F67" t="str">
        <f>SmtRes!I127</f>
        <v>9999990008</v>
      </c>
      <c r="G67" t="str">
        <f>SmtRes!K127</f>
        <v>Трудозатраты рабочих</v>
      </c>
      <c r="H67" t="str">
        <f>SmtRes!O127</f>
        <v>чел.-ч.</v>
      </c>
      <c r="I67">
        <f>SmtRes!Y127*Source!I191</f>
        <v>46.88</v>
      </c>
      <c r="J67">
        <f>SmtRes!AO127</f>
        <v>1</v>
      </c>
      <c r="K67">
        <f>SmtRes!AH127</f>
        <v>0</v>
      </c>
      <c r="L67">
        <f>SmtRes!DB127</f>
        <v>0</v>
      </c>
      <c r="M67">
        <f>ROUND(ROUND(L67*Source!I191, 6)*1, 2)</f>
        <v>0</v>
      </c>
      <c r="N67">
        <f>SmtRes!AD127</f>
        <v>0</v>
      </c>
      <c r="O67">
        <f>ROUND(ROUND(L67*Source!I191, 6)*SmtRes!DA127, 2)</f>
        <v>0</v>
      </c>
      <c r="P67">
        <f>SmtRes!AG127</f>
        <v>0</v>
      </c>
      <c r="Q67">
        <f>SmtRes!DC127</f>
        <v>0</v>
      </c>
      <c r="R67">
        <f>ROUND(ROUND(Q67*Source!I191, 6)*1, 2)</f>
        <v>0</v>
      </c>
      <c r="S67">
        <f>SmtRes!AC127</f>
        <v>0</v>
      </c>
      <c r="T67">
        <f>ROUND(ROUND(Q67*Source!I191, 6)*SmtRes!AK127, 2)</f>
        <v>0</v>
      </c>
      <c r="U67">
        <v>1</v>
      </c>
      <c r="Y67">
        <f>SmtRes!X127</f>
        <v>476480486</v>
      </c>
      <c r="Z67">
        <v>1499241640</v>
      </c>
      <c r="AA67">
        <v>1499241640</v>
      </c>
    </row>
    <row r="68" spans="1:27" x14ac:dyDescent="0.2">
      <c r="A68">
        <f>Source!A223</f>
        <v>4</v>
      </c>
      <c r="B68">
        <v>223</v>
      </c>
      <c r="G68" t="str">
        <f>Source!G223</f>
        <v>Монтажные работы</v>
      </c>
    </row>
    <row r="69" spans="1:27" x14ac:dyDescent="0.2">
      <c r="A69">
        <v>20</v>
      </c>
      <c r="B69">
        <v>144</v>
      </c>
      <c r="C69">
        <v>3</v>
      </c>
      <c r="D69">
        <v>0</v>
      </c>
      <c r="E69">
        <f>SmtRes!AV144</f>
        <v>0</v>
      </c>
      <c r="F69" t="str">
        <f>SmtRes!I144</f>
        <v>1.7-3-8</v>
      </c>
      <c r="G69" t="str">
        <f>SmtRes!K144</f>
        <v>Сверло победитовое, диаметр 8 мм, длина 80 мм</v>
      </c>
      <c r="H69" t="str">
        <f>SmtRes!O144</f>
        <v>шт.</v>
      </c>
      <c r="I69">
        <f>SmtRes!Y144*Source!I228</f>
        <v>1.0961999999999998</v>
      </c>
      <c r="J69">
        <f>SmtRes!AO144</f>
        <v>1</v>
      </c>
      <c r="K69">
        <f>SmtRes!AE144</f>
        <v>11.82</v>
      </c>
      <c r="L69">
        <f>SmtRes!DB144</f>
        <v>3.55</v>
      </c>
      <c r="M69">
        <f>ROUND(ROUND(L69*Source!I228, 6)*1, 2)</f>
        <v>12.97</v>
      </c>
      <c r="N69">
        <f>SmtRes!AA144</f>
        <v>85.1</v>
      </c>
      <c r="O69">
        <f>ROUND(ROUND(L69*Source!I228, 6)*SmtRes!DA144, 2)</f>
        <v>93.4</v>
      </c>
      <c r="P69">
        <f>SmtRes!AG144</f>
        <v>0</v>
      </c>
      <c r="Q69">
        <f>SmtRes!DC144</f>
        <v>0</v>
      </c>
      <c r="R69">
        <f>ROUND(ROUND(Q69*Source!I228, 6)*1, 2)</f>
        <v>0</v>
      </c>
      <c r="S69">
        <f>SmtRes!AC144</f>
        <v>0</v>
      </c>
      <c r="T69">
        <f>ROUND(ROUND(Q69*Source!I228, 6)*SmtRes!AK144, 2)</f>
        <v>0</v>
      </c>
      <c r="U69">
        <v>3</v>
      </c>
      <c r="Y69">
        <f>SmtRes!X144</f>
        <v>-2007977906</v>
      </c>
      <c r="Z69">
        <v>2019477814</v>
      </c>
      <c r="AA69">
        <v>1438104494</v>
      </c>
    </row>
    <row r="70" spans="1:27" x14ac:dyDescent="0.2">
      <c r="A70">
        <v>20</v>
      </c>
      <c r="B70">
        <v>142</v>
      </c>
      <c r="C70">
        <v>3</v>
      </c>
      <c r="D70">
        <v>0</v>
      </c>
      <c r="E70">
        <f>SmtRes!AV142</f>
        <v>0</v>
      </c>
      <c r="F70" t="str">
        <f>SmtRes!I142</f>
        <v>1.1-1-760</v>
      </c>
      <c r="G70" t="str">
        <f>SmtRes!K142</f>
        <v>Пена монтажная</v>
      </c>
      <c r="H70" t="str">
        <f>SmtRes!O142</f>
        <v>л</v>
      </c>
      <c r="I70">
        <f>SmtRes!Y142*Source!I228</f>
        <v>1.0596599999999998</v>
      </c>
      <c r="J70">
        <f>SmtRes!AO142</f>
        <v>1</v>
      </c>
      <c r="K70">
        <f>SmtRes!AE142</f>
        <v>54.7</v>
      </c>
      <c r="L70">
        <f>SmtRes!DB142</f>
        <v>15.86</v>
      </c>
      <c r="M70">
        <f>ROUND(ROUND(L70*Source!I228, 6)*1, 2)</f>
        <v>57.95</v>
      </c>
      <c r="N70">
        <f>SmtRes!AA142</f>
        <v>268.02999999999997</v>
      </c>
      <c r="O70">
        <f>ROUND(ROUND(L70*Source!I228, 6)*SmtRes!DA142, 2)</f>
        <v>283.97000000000003</v>
      </c>
      <c r="P70">
        <f>SmtRes!AG142</f>
        <v>0</v>
      </c>
      <c r="Q70">
        <f>SmtRes!DC142</f>
        <v>0</v>
      </c>
      <c r="R70">
        <f>ROUND(ROUND(Q70*Source!I228, 6)*1, 2)</f>
        <v>0</v>
      </c>
      <c r="S70">
        <f>SmtRes!AC142</f>
        <v>0</v>
      </c>
      <c r="T70">
        <f>ROUND(ROUND(Q70*Source!I228, 6)*SmtRes!AK142, 2)</f>
        <v>0</v>
      </c>
      <c r="U70">
        <v>3</v>
      </c>
      <c r="Y70">
        <f>SmtRes!X142</f>
        <v>1307744319</v>
      </c>
      <c r="Z70">
        <v>-713333977</v>
      </c>
      <c r="AA70">
        <v>-2013463193</v>
      </c>
    </row>
    <row r="71" spans="1:27" x14ac:dyDescent="0.2">
      <c r="A71">
        <v>20</v>
      </c>
      <c r="B71">
        <v>141</v>
      </c>
      <c r="C71">
        <v>3</v>
      </c>
      <c r="D71">
        <v>0</v>
      </c>
      <c r="E71">
        <f>SmtRes!AV141</f>
        <v>0</v>
      </c>
      <c r="F71" t="str">
        <f>SmtRes!I141</f>
        <v>1.1-1-1566</v>
      </c>
      <c r="G71" t="str">
        <f>SmtRes!K141</f>
        <v>Электроды, тип Э-42, 46, 50, диаметр 4 - 6 мм</v>
      </c>
      <c r="H71" t="str">
        <f>SmtRes!O141</f>
        <v>т</v>
      </c>
      <c r="I71">
        <f>SmtRes!Y141*Source!I228</f>
        <v>3.6539999999999999E-4</v>
      </c>
      <c r="J71">
        <f>SmtRes!AO141</f>
        <v>1</v>
      </c>
      <c r="K71">
        <f>SmtRes!AE141</f>
        <v>7191.81</v>
      </c>
      <c r="L71">
        <f>SmtRes!DB141</f>
        <v>0.72</v>
      </c>
      <c r="M71">
        <f>ROUND(ROUND(L71*Source!I228, 6)*1, 2)</f>
        <v>2.63</v>
      </c>
      <c r="N71">
        <f>SmtRes!AA141</f>
        <v>145777.99</v>
      </c>
      <c r="O71">
        <f>ROUND(ROUND(L71*Source!I228, 6)*SmtRes!DA141, 2)</f>
        <v>53.33</v>
      </c>
      <c r="P71">
        <f>SmtRes!AG141</f>
        <v>0</v>
      </c>
      <c r="Q71">
        <f>SmtRes!DC141</f>
        <v>0</v>
      </c>
      <c r="R71">
        <f>ROUND(ROUND(Q71*Source!I228, 6)*1, 2)</f>
        <v>0</v>
      </c>
      <c r="S71">
        <f>SmtRes!AC141</f>
        <v>0</v>
      </c>
      <c r="T71">
        <f>ROUND(ROUND(Q71*Source!I228, 6)*SmtRes!AK141, 2)</f>
        <v>0</v>
      </c>
      <c r="U71">
        <v>3</v>
      </c>
      <c r="Y71">
        <f>SmtRes!X141</f>
        <v>1310716689</v>
      </c>
      <c r="Z71">
        <v>1563916378</v>
      </c>
      <c r="AA71">
        <v>2138865355</v>
      </c>
    </row>
    <row r="72" spans="1:27" x14ac:dyDescent="0.2">
      <c r="A72">
        <v>20</v>
      </c>
      <c r="B72">
        <v>140</v>
      </c>
      <c r="C72">
        <v>3</v>
      </c>
      <c r="D72">
        <v>0</v>
      </c>
      <c r="E72">
        <f>SmtRes!AV140</f>
        <v>0</v>
      </c>
      <c r="F72" t="str">
        <f>SmtRes!I140</f>
        <v>1.1-1-1082</v>
      </c>
      <c r="G72" t="str">
        <f>SmtRes!K140</f>
        <v>Круг, квадрат горячекатаный из стали углеродистой обыкновенного качества, полуспокойной, размер 5-12 мм</v>
      </c>
      <c r="H72" t="str">
        <f>SmtRes!O140</f>
        <v>т</v>
      </c>
      <c r="I72">
        <f>SmtRes!Y140*Source!I228</f>
        <v>1.8635400000000001E-3</v>
      </c>
      <c r="J72">
        <f>SmtRes!AO140</f>
        <v>1</v>
      </c>
      <c r="K72">
        <f>SmtRes!AE140</f>
        <v>6593.39</v>
      </c>
      <c r="L72">
        <f>SmtRes!DB140</f>
        <v>3.36</v>
      </c>
      <c r="M72">
        <f>ROUND(ROUND(L72*Source!I228, 6)*1, 2)</f>
        <v>12.28</v>
      </c>
      <c r="N72">
        <f>SmtRes!AA140</f>
        <v>64549.29</v>
      </c>
      <c r="O72">
        <f>ROUND(ROUND(L72*Source!I228, 6)*SmtRes!DA140, 2)</f>
        <v>120.2</v>
      </c>
      <c r="P72">
        <f>SmtRes!AG140</f>
        <v>0</v>
      </c>
      <c r="Q72">
        <f>SmtRes!DC140</f>
        <v>0</v>
      </c>
      <c r="R72">
        <f>ROUND(ROUND(Q72*Source!I228, 6)*1, 2)</f>
        <v>0</v>
      </c>
      <c r="S72">
        <f>SmtRes!AC140</f>
        <v>0</v>
      </c>
      <c r="T72">
        <f>ROUND(ROUND(Q72*Source!I228, 6)*SmtRes!AK140, 2)</f>
        <v>0</v>
      </c>
      <c r="U72">
        <v>3</v>
      </c>
      <c r="Y72">
        <f>SmtRes!X140</f>
        <v>-1651674065</v>
      </c>
      <c r="Z72">
        <v>1019815079</v>
      </c>
      <c r="AA72">
        <v>894768414</v>
      </c>
    </row>
    <row r="73" spans="1:27" x14ac:dyDescent="0.2">
      <c r="A73">
        <v>20</v>
      </c>
      <c r="B73">
        <v>139</v>
      </c>
      <c r="C73">
        <v>2</v>
      </c>
      <c r="D73">
        <v>0</v>
      </c>
      <c r="E73">
        <f>SmtRes!AV139</f>
        <v>0</v>
      </c>
      <c r="F73" t="str">
        <f>SmtRes!I139</f>
        <v>2.1-30-10</v>
      </c>
      <c r="G73" t="str">
        <f>SmtRes!K139</f>
        <v>Перфораторы электрические, мощность до 800 Вт</v>
      </c>
      <c r="H73" t="str">
        <f>SmtRes!O139</f>
        <v>маш.-ч.</v>
      </c>
      <c r="I73">
        <f>SmtRes!Y139*Source!I228</f>
        <v>1.38852</v>
      </c>
      <c r="J73">
        <f>SmtRes!AO139</f>
        <v>1</v>
      </c>
      <c r="K73">
        <f>SmtRes!AF139</f>
        <v>1.59</v>
      </c>
      <c r="L73">
        <f>SmtRes!DB139</f>
        <v>0.6</v>
      </c>
      <c r="M73">
        <f>ROUND(ROUND(L73*Source!I228, 6)*1, 2)</f>
        <v>2.19</v>
      </c>
      <c r="N73">
        <f>SmtRes!AB139</f>
        <v>13.67</v>
      </c>
      <c r="O73">
        <f>ROUND(ROUND(L73*Source!I228, 6)*SmtRes!DA139, 2)</f>
        <v>17.34</v>
      </c>
      <c r="P73">
        <f>SmtRes!AG139</f>
        <v>0.09</v>
      </c>
      <c r="Q73">
        <f>SmtRes!DC139</f>
        <v>0.03</v>
      </c>
      <c r="R73">
        <f>ROUND(ROUND(Q73*Source!I228, 6)*1, 2)</f>
        <v>0.11</v>
      </c>
      <c r="S73">
        <f>SmtRes!AC139</f>
        <v>2.84</v>
      </c>
      <c r="T73">
        <f>ROUND(ROUND(Q73*Source!I228, 6)*SmtRes!AK139, 2)</f>
        <v>3.18</v>
      </c>
      <c r="U73">
        <v>2</v>
      </c>
      <c r="Y73">
        <f>SmtRes!X139</f>
        <v>814809297</v>
      </c>
      <c r="Z73">
        <v>-1358961253</v>
      </c>
      <c r="AA73">
        <v>-1848034222</v>
      </c>
    </row>
    <row r="74" spans="1:27" x14ac:dyDescent="0.2">
      <c r="A74">
        <v>20</v>
      </c>
      <c r="B74">
        <v>138</v>
      </c>
      <c r="C74">
        <v>2</v>
      </c>
      <c r="D74">
        <v>0</v>
      </c>
      <c r="E74">
        <f>SmtRes!AV138</f>
        <v>0</v>
      </c>
      <c r="F74" t="str">
        <f>SmtRes!I138</f>
        <v>2.1-13-15</v>
      </c>
      <c r="G74" t="str">
        <f>SmtRes!K138</f>
        <v>Аппараты сварочные</v>
      </c>
      <c r="H74" t="str">
        <f>SmtRes!O138</f>
        <v>маш.-ч.</v>
      </c>
      <c r="I74">
        <f>SmtRes!Y138*Source!I228</f>
        <v>1.02312</v>
      </c>
      <c r="J74">
        <f>SmtRes!AO138</f>
        <v>1</v>
      </c>
      <c r="K74">
        <f>SmtRes!AF138</f>
        <v>43.4</v>
      </c>
      <c r="L74">
        <f>SmtRes!DB138</f>
        <v>12.15</v>
      </c>
      <c r="M74">
        <f>ROUND(ROUND(L74*Source!I228, 6)*1, 2)</f>
        <v>44.4</v>
      </c>
      <c r="N74">
        <f>SmtRes!AB138</f>
        <v>421.28</v>
      </c>
      <c r="O74">
        <f>ROUND(ROUND(L74*Source!I228, 6)*SmtRes!DA138, 2)</f>
        <v>396.46</v>
      </c>
      <c r="P74">
        <f>SmtRes!AG138</f>
        <v>2.68</v>
      </c>
      <c r="Q74">
        <f>SmtRes!DC138</f>
        <v>0.75</v>
      </c>
      <c r="R74">
        <f>ROUND(ROUND(Q74*Source!I228, 6)*1, 2)</f>
        <v>2.74</v>
      </c>
      <c r="S74">
        <f>SmtRes!AC138</f>
        <v>84.57</v>
      </c>
      <c r="T74">
        <f>ROUND(ROUND(Q74*Source!I228, 6)*SmtRes!AK138, 2)</f>
        <v>79.56</v>
      </c>
      <c r="U74">
        <v>2</v>
      </c>
      <c r="Y74">
        <f>SmtRes!X138</f>
        <v>-869219575</v>
      </c>
      <c r="Z74">
        <v>-1098685025</v>
      </c>
      <c r="AA74">
        <v>-1031006293</v>
      </c>
    </row>
    <row r="75" spans="1:27" x14ac:dyDescent="0.2">
      <c r="A75">
        <v>20</v>
      </c>
      <c r="B75">
        <v>137</v>
      </c>
      <c r="C75">
        <v>1</v>
      </c>
      <c r="D75">
        <v>0</v>
      </c>
      <c r="E75">
        <f>SmtRes!AV137</f>
        <v>1</v>
      </c>
      <c r="F75" t="str">
        <f>SmtRes!I137</f>
        <v>9999990008</v>
      </c>
      <c r="G75" t="str">
        <f>SmtRes!K137</f>
        <v>Трудозатраты рабочих</v>
      </c>
      <c r="H75" t="str">
        <f>SmtRes!O137</f>
        <v>чел.-ч.</v>
      </c>
      <c r="I75">
        <f>SmtRes!Y137*Source!I228</f>
        <v>8.2945799999999998</v>
      </c>
      <c r="J75">
        <f>SmtRes!AO137</f>
        <v>1</v>
      </c>
      <c r="K75">
        <f>SmtRes!AH137</f>
        <v>0</v>
      </c>
      <c r="L75">
        <f>SmtRes!DB137</f>
        <v>0</v>
      </c>
      <c r="M75">
        <f>ROUND(ROUND(L75*Source!I228, 6)*1, 2)</f>
        <v>0</v>
      </c>
      <c r="N75">
        <f>SmtRes!AD137</f>
        <v>0</v>
      </c>
      <c r="O75">
        <f>ROUND(ROUND(L75*Source!I228, 6)*SmtRes!DA137, 2)</f>
        <v>0</v>
      </c>
      <c r="P75">
        <f>SmtRes!AG137</f>
        <v>0</v>
      </c>
      <c r="Q75">
        <f>SmtRes!DC137</f>
        <v>0</v>
      </c>
      <c r="R75">
        <f>ROUND(ROUND(Q75*Source!I228, 6)*1, 2)</f>
        <v>0</v>
      </c>
      <c r="S75">
        <f>SmtRes!AC137</f>
        <v>0</v>
      </c>
      <c r="T75">
        <f>ROUND(ROUND(Q75*Source!I228, 6)*SmtRes!AK137, 2)</f>
        <v>0</v>
      </c>
      <c r="U75">
        <v>1</v>
      </c>
      <c r="Y75">
        <f>SmtRes!X137</f>
        <v>476480486</v>
      </c>
      <c r="Z75">
        <v>1499241640</v>
      </c>
      <c r="AA75">
        <v>1499241640</v>
      </c>
    </row>
    <row r="76" spans="1:27" x14ac:dyDescent="0.2">
      <c r="A76">
        <f>Source!A230</f>
        <v>18</v>
      </c>
      <c r="B76">
        <v>230</v>
      </c>
      <c r="C76">
        <v>3</v>
      </c>
      <c r="D76">
        <f>Source!BI230</f>
        <v>1</v>
      </c>
      <c r="E76">
        <f>Source!FS230</f>
        <v>0</v>
      </c>
      <c r="F76" t="str">
        <f>Source!F230</f>
        <v>1.7-2-135</v>
      </c>
      <c r="G76" t="str">
        <f>Source!G230</f>
        <v>Блоки дверные металлические противопожарные, дымогазонепроницаемые, теплоизолированные плитами на основе базальтового волокна, остекленные стеклом толщиной 24 мм (0,24 м2), окрашенные порошковыми красками, марка ДПМДО-02/60, двупольные, 1700х2100 мм, масса 182 кг, с замком-защелкой, без доводчика</v>
      </c>
      <c r="H76" t="str">
        <f>Source!H230</f>
        <v>т</v>
      </c>
      <c r="I76">
        <f>Source!I230</f>
        <v>0.1353</v>
      </c>
      <c r="J76">
        <v>1</v>
      </c>
      <c r="K76">
        <f>Source!AC230</f>
        <v>52930.78</v>
      </c>
      <c r="M76">
        <f>ROUND(K76*I76, 2)</f>
        <v>7161.53</v>
      </c>
      <c r="N76">
        <f>Source!AC230*IF(Source!BC230&lt;&gt; 0, Source!BC230, 1)</f>
        <v>224426.50719999999</v>
      </c>
      <c r="O76">
        <f>ROUND(N76*I76, 2)</f>
        <v>30364.91</v>
      </c>
      <c r="P76">
        <f>Source!AE230</f>
        <v>0</v>
      </c>
      <c r="R76">
        <f>ROUND(P76*I76, 2)</f>
        <v>0</v>
      </c>
      <c r="S76">
        <f>Source!AE230*IF(Source!BS230&lt;&gt; 0, Source!BS230, 1)</f>
        <v>0</v>
      </c>
      <c r="T76">
        <f>ROUND(S76*I76, 2)</f>
        <v>0</v>
      </c>
      <c r="U76">
        <v>3</v>
      </c>
      <c r="Y76">
        <f>Source!GF230</f>
        <v>-1147217017</v>
      </c>
      <c r="Z76">
        <v>-995455588</v>
      </c>
      <c r="AA76">
        <v>-840657471</v>
      </c>
    </row>
    <row r="77" spans="1:27" x14ac:dyDescent="0.2">
      <c r="A77">
        <v>20</v>
      </c>
      <c r="B77">
        <v>159</v>
      </c>
      <c r="C77">
        <v>3</v>
      </c>
      <c r="D77">
        <v>0</v>
      </c>
      <c r="E77">
        <f>SmtRes!AV159</f>
        <v>0</v>
      </c>
      <c r="F77" t="str">
        <f>SmtRes!I159</f>
        <v>1.1-1-2627</v>
      </c>
      <c r="G77" t="str">
        <f>SmtRes!K159</f>
        <v>Винты самонарезающие 5х40 мм для металла</v>
      </c>
      <c r="H77" t="str">
        <f>SmtRes!O159</f>
        <v>кг</v>
      </c>
      <c r="I77">
        <f>SmtRes!Y159*Source!I232</f>
        <v>0.02</v>
      </c>
      <c r="J77">
        <f>SmtRes!AO159</f>
        <v>1</v>
      </c>
      <c r="K77">
        <f>SmtRes!AE159</f>
        <v>20.63</v>
      </c>
      <c r="L77">
        <f>SmtRes!DB159</f>
        <v>0.41</v>
      </c>
      <c r="M77">
        <f>ROUND(ROUND(L77*Source!I232, 6)*1, 2)</f>
        <v>0.41</v>
      </c>
      <c r="N77">
        <f>SmtRes!AA159</f>
        <v>118.03</v>
      </c>
      <c r="O77">
        <f>ROUND(ROUND(L77*Source!I232, 6)*SmtRes!DA159, 2)</f>
        <v>2.34</v>
      </c>
      <c r="P77">
        <f>SmtRes!AG159</f>
        <v>0</v>
      </c>
      <c r="Q77">
        <f>SmtRes!DC159</f>
        <v>0</v>
      </c>
      <c r="R77">
        <f>ROUND(ROUND(Q77*Source!I232, 6)*1, 2)</f>
        <v>0</v>
      </c>
      <c r="S77">
        <f>SmtRes!AC159</f>
        <v>0</v>
      </c>
      <c r="T77">
        <f>ROUND(ROUND(Q77*Source!I232, 6)*SmtRes!AK159, 2)</f>
        <v>0</v>
      </c>
      <c r="U77">
        <v>3</v>
      </c>
      <c r="Y77">
        <f>SmtRes!X159</f>
        <v>-1260154368</v>
      </c>
      <c r="Z77">
        <v>1315650955</v>
      </c>
      <c r="AA77">
        <v>1239765437</v>
      </c>
    </row>
    <row r="78" spans="1:27" x14ac:dyDescent="0.2">
      <c r="A78">
        <v>20</v>
      </c>
      <c r="B78">
        <v>158</v>
      </c>
      <c r="C78">
        <v>2</v>
      </c>
      <c r="D78">
        <v>0</v>
      </c>
      <c r="E78">
        <f>SmtRes!AV158</f>
        <v>0</v>
      </c>
      <c r="F78" t="str">
        <f>SmtRes!I158</f>
        <v>9999990007</v>
      </c>
      <c r="G78" t="str">
        <f>SmtRes!K158</f>
        <v>Стоимость прочих машин (ЭСН)</v>
      </c>
      <c r="H78" t="str">
        <f>SmtRes!O158</f>
        <v>руб.</v>
      </c>
      <c r="I78">
        <f>SmtRes!Y158*Source!I232</f>
        <v>1.2500000000000001E-2</v>
      </c>
      <c r="J78">
        <f>SmtRes!AO158</f>
        <v>1</v>
      </c>
      <c r="K78">
        <f>SmtRes!AF158</f>
        <v>1</v>
      </c>
      <c r="L78">
        <f>SmtRes!DB158</f>
        <v>1.2500000000000001E-2</v>
      </c>
      <c r="M78">
        <f>ROUND(ROUND(L78*Source!I232, 6)*1, 2)</f>
        <v>0.01</v>
      </c>
      <c r="N78">
        <f>SmtRes!AB158</f>
        <v>1.05</v>
      </c>
      <c r="O78">
        <f>ROUND(ROUND(L78*Source!I232, 6)*SmtRes!DA158, 2)</f>
        <v>0.01</v>
      </c>
      <c r="P78">
        <f>SmtRes!AG158</f>
        <v>0</v>
      </c>
      <c r="Q78">
        <f>SmtRes!DC158</f>
        <v>0</v>
      </c>
      <c r="R78">
        <f>ROUND(ROUND(Q78*Source!I232, 6)*1, 2)</f>
        <v>0</v>
      </c>
      <c r="S78">
        <f>SmtRes!AC158</f>
        <v>0</v>
      </c>
      <c r="T78">
        <f>ROUND(ROUND(Q78*Source!I232, 6)*SmtRes!AK158, 2)</f>
        <v>0</v>
      </c>
      <c r="U78">
        <v>2</v>
      </c>
      <c r="Y78">
        <f>SmtRes!X158</f>
        <v>-1180195794</v>
      </c>
      <c r="Z78">
        <v>-595858232</v>
      </c>
      <c r="AA78">
        <v>-314357962</v>
      </c>
    </row>
    <row r="79" spans="1:27" x14ac:dyDescent="0.2">
      <c r="A79">
        <v>20</v>
      </c>
      <c r="B79">
        <v>157</v>
      </c>
      <c r="C79">
        <v>2</v>
      </c>
      <c r="D79">
        <v>0</v>
      </c>
      <c r="E79">
        <f>SmtRes!AV157</f>
        <v>0</v>
      </c>
      <c r="F79" t="str">
        <f>SmtRes!I157</f>
        <v>2.1-30-6</v>
      </c>
      <c r="G79" t="str">
        <f>SmtRes!K157</f>
        <v>Дрели электрические</v>
      </c>
      <c r="H79" t="str">
        <f>SmtRes!O157</f>
        <v>маш.-ч.</v>
      </c>
      <c r="I79">
        <f>SmtRes!Y157*Source!I232</f>
        <v>0.13750000000000001</v>
      </c>
      <c r="J79">
        <f>SmtRes!AO157</f>
        <v>1</v>
      </c>
      <c r="K79">
        <f>SmtRes!AF157</f>
        <v>2.36</v>
      </c>
      <c r="L79">
        <f>SmtRes!DB157</f>
        <v>0.32500000000000001</v>
      </c>
      <c r="M79">
        <f>ROUND(ROUND(L79*Source!I232, 6)*1, 2)</f>
        <v>0.33</v>
      </c>
      <c r="N79">
        <f>SmtRes!AB157</f>
        <v>2.4700000000000002</v>
      </c>
      <c r="O79">
        <f>ROUND(ROUND(L79*Source!I232, 6)*SmtRes!DA157, 2)</f>
        <v>0.33</v>
      </c>
      <c r="P79">
        <f>SmtRes!AG157</f>
        <v>0.1</v>
      </c>
      <c r="Q79">
        <f>SmtRes!DC157</f>
        <v>1.2500000000000001E-2</v>
      </c>
      <c r="R79">
        <f>ROUND(ROUND(Q79*Source!I232, 6)*1, 2)</f>
        <v>0.01</v>
      </c>
      <c r="S79">
        <f>SmtRes!AC157</f>
        <v>0.1</v>
      </c>
      <c r="T79">
        <f>ROUND(ROUND(Q79*Source!I232, 6)*SmtRes!AK157, 2)</f>
        <v>0.01</v>
      </c>
      <c r="U79">
        <v>2</v>
      </c>
      <c r="Y79">
        <f>SmtRes!X157</f>
        <v>950854334</v>
      </c>
      <c r="Z79">
        <v>-216995753</v>
      </c>
      <c r="AA79">
        <v>-883536378</v>
      </c>
    </row>
    <row r="80" spans="1:27" x14ac:dyDescent="0.2">
      <c r="A80">
        <v>20</v>
      </c>
      <c r="B80">
        <v>156</v>
      </c>
      <c r="C80">
        <v>2</v>
      </c>
      <c r="D80">
        <v>0</v>
      </c>
      <c r="E80">
        <f>SmtRes!AV156</f>
        <v>0</v>
      </c>
      <c r="F80" t="str">
        <f>SmtRes!I156</f>
        <v>2.1-30-56</v>
      </c>
      <c r="G80" t="str">
        <f>SmtRes!K156</f>
        <v>Шуруповерты</v>
      </c>
      <c r="H80" t="str">
        <f>SmtRes!O156</f>
        <v>маш.-ч.</v>
      </c>
      <c r="I80">
        <f>SmtRes!Y156*Source!I232</f>
        <v>0.1875</v>
      </c>
      <c r="J80">
        <f>SmtRes!AO156</f>
        <v>1</v>
      </c>
      <c r="K80">
        <f>SmtRes!AF156</f>
        <v>0.64</v>
      </c>
      <c r="L80">
        <f>SmtRes!DB156</f>
        <v>0.125</v>
      </c>
      <c r="M80">
        <f>ROUND(ROUND(L80*Source!I232, 6)*1, 2)</f>
        <v>0.13</v>
      </c>
      <c r="N80">
        <f>SmtRes!AB156</f>
        <v>5.36</v>
      </c>
      <c r="O80">
        <f>ROUND(ROUND(L80*Source!I232, 6)*SmtRes!DA156, 2)</f>
        <v>1</v>
      </c>
      <c r="P80">
        <f>SmtRes!AG156</f>
        <v>0.04</v>
      </c>
      <c r="Q80">
        <f>SmtRes!DC156</f>
        <v>1.2500000000000001E-2</v>
      </c>
      <c r="R80">
        <f>ROUND(ROUND(Q80*Source!I232, 6)*1, 2)</f>
        <v>0.01</v>
      </c>
      <c r="S80">
        <f>SmtRes!AC156</f>
        <v>1.22</v>
      </c>
      <c r="T80">
        <f>ROUND(ROUND(Q80*Source!I232, 6)*SmtRes!AK156, 2)</f>
        <v>0.36</v>
      </c>
      <c r="U80">
        <v>2</v>
      </c>
      <c r="Y80">
        <f>SmtRes!X156</f>
        <v>926785503</v>
      </c>
      <c r="Z80">
        <v>978282338</v>
      </c>
      <c r="AA80">
        <v>-1628962247</v>
      </c>
    </row>
    <row r="81" spans="1:27" x14ac:dyDescent="0.2">
      <c r="A81">
        <v>20</v>
      </c>
      <c r="B81">
        <v>155</v>
      </c>
      <c r="C81">
        <v>2</v>
      </c>
      <c r="D81">
        <v>0</v>
      </c>
      <c r="E81">
        <f>SmtRes!AV155</f>
        <v>0</v>
      </c>
      <c r="F81" t="str">
        <f>SmtRes!I155</f>
        <v>2.1-30-19</v>
      </c>
      <c r="G81" t="str">
        <f>SmtRes!K155</f>
        <v>Машины шлифовальные электрические, мощность до 1700 Вт</v>
      </c>
      <c r="H81" t="str">
        <f>SmtRes!O155</f>
        <v>маш.-ч.</v>
      </c>
      <c r="I81">
        <f>SmtRes!Y155*Source!I232</f>
        <v>2.5000000000000001E-2</v>
      </c>
      <c r="J81">
        <f>SmtRes!AO155</f>
        <v>1</v>
      </c>
      <c r="K81">
        <f>SmtRes!AF155</f>
        <v>0.44</v>
      </c>
      <c r="L81">
        <f>SmtRes!DB155</f>
        <v>1.2500000000000001E-2</v>
      </c>
      <c r="M81">
        <f>ROUND(ROUND(L81*Source!I232, 6)*1, 2)</f>
        <v>0.01</v>
      </c>
      <c r="N81">
        <f>SmtRes!AB155</f>
        <v>3.72</v>
      </c>
      <c r="O81">
        <f>ROUND(ROUND(L81*Source!I232, 6)*SmtRes!DA155, 2)</f>
        <v>0.1</v>
      </c>
      <c r="P81">
        <f>SmtRes!AG155</f>
        <v>0</v>
      </c>
      <c r="Q81">
        <f>SmtRes!DC155</f>
        <v>0</v>
      </c>
      <c r="R81">
        <f>ROUND(ROUND(Q81*Source!I232, 6)*1, 2)</f>
        <v>0</v>
      </c>
      <c r="S81">
        <f>SmtRes!AC155</f>
        <v>0</v>
      </c>
      <c r="T81">
        <f>ROUND(ROUND(Q81*Source!I232, 6)*SmtRes!AK155, 2)</f>
        <v>0</v>
      </c>
      <c r="U81">
        <v>2</v>
      </c>
      <c r="Y81">
        <f>SmtRes!X155</f>
        <v>-1780114133</v>
      </c>
      <c r="Z81">
        <v>-1716961342</v>
      </c>
      <c r="AA81">
        <v>1230137050</v>
      </c>
    </row>
    <row r="82" spans="1:27" x14ac:dyDescent="0.2">
      <c r="A82">
        <v>20</v>
      </c>
      <c r="B82">
        <v>154</v>
      </c>
      <c r="C82">
        <v>2</v>
      </c>
      <c r="D82">
        <v>0</v>
      </c>
      <c r="E82">
        <f>SmtRes!AV154</f>
        <v>0</v>
      </c>
      <c r="F82" t="str">
        <f>SmtRes!I154</f>
        <v>2.1-13-14</v>
      </c>
      <c r="G82" t="str">
        <f>SmtRes!K154</f>
        <v>Аппараты сварочные постоянного тока (выпрямители) для ручной дуговой сварки, сварочный ток до 500 А</v>
      </c>
      <c r="H82" t="str">
        <f>SmtRes!O154</f>
        <v>маш.-ч.</v>
      </c>
      <c r="I82">
        <f>SmtRes!Y154*Source!I232</f>
        <v>0.32500000000000001</v>
      </c>
      <c r="J82">
        <f>SmtRes!AO154</f>
        <v>1</v>
      </c>
      <c r="K82">
        <f>SmtRes!AF154</f>
        <v>6.15</v>
      </c>
      <c r="L82">
        <f>SmtRes!DB154</f>
        <v>2</v>
      </c>
      <c r="M82">
        <f>ROUND(ROUND(L82*Source!I232, 6)*1, 2)</f>
        <v>2</v>
      </c>
      <c r="N82">
        <f>SmtRes!AB154</f>
        <v>65.87</v>
      </c>
      <c r="O82">
        <f>ROUND(ROUND(L82*Source!I232, 6)*SmtRes!DA154, 2)</f>
        <v>20.46</v>
      </c>
      <c r="P82">
        <f>SmtRes!AG154</f>
        <v>0.02</v>
      </c>
      <c r="Q82">
        <f>SmtRes!DC154</f>
        <v>1.2500000000000001E-2</v>
      </c>
      <c r="R82">
        <f>ROUND(ROUND(Q82*Source!I232, 6)*1, 2)</f>
        <v>0.01</v>
      </c>
      <c r="S82">
        <f>SmtRes!AC154</f>
        <v>0.61</v>
      </c>
      <c r="T82">
        <f>ROUND(ROUND(Q82*Source!I232, 6)*SmtRes!AK154, 2)</f>
        <v>0.36</v>
      </c>
      <c r="U82">
        <v>2</v>
      </c>
      <c r="Y82">
        <f>SmtRes!X154</f>
        <v>49912578</v>
      </c>
      <c r="Z82">
        <v>-1184234032</v>
      </c>
      <c r="AA82">
        <v>1620354088</v>
      </c>
    </row>
    <row r="83" spans="1:27" x14ac:dyDescent="0.2">
      <c r="A83">
        <v>20</v>
      </c>
      <c r="B83">
        <v>153</v>
      </c>
      <c r="C83">
        <v>1</v>
      </c>
      <c r="D83">
        <v>0</v>
      </c>
      <c r="E83">
        <f>SmtRes!AV153</f>
        <v>1</v>
      </c>
      <c r="F83" t="str">
        <f>SmtRes!I153</f>
        <v>9999990008</v>
      </c>
      <c r="G83" t="str">
        <f>SmtRes!K153</f>
        <v>Трудозатраты рабочих</v>
      </c>
      <c r="H83" t="str">
        <f>SmtRes!O153</f>
        <v>чел.-ч.</v>
      </c>
      <c r="I83">
        <f>SmtRes!Y153*Source!I232</f>
        <v>1.2765</v>
      </c>
      <c r="J83">
        <f>SmtRes!AO153</f>
        <v>1</v>
      </c>
      <c r="K83">
        <f>SmtRes!AH153</f>
        <v>0</v>
      </c>
      <c r="L83">
        <f>SmtRes!DB153</f>
        <v>0</v>
      </c>
      <c r="M83">
        <f>ROUND(ROUND(L83*Source!I232, 6)*1, 2)</f>
        <v>0</v>
      </c>
      <c r="N83">
        <f>SmtRes!AD153</f>
        <v>0</v>
      </c>
      <c r="O83">
        <f>ROUND(ROUND(L83*Source!I232, 6)*SmtRes!DA153, 2)</f>
        <v>0</v>
      </c>
      <c r="P83">
        <f>SmtRes!AG153</f>
        <v>0</v>
      </c>
      <c r="Q83">
        <f>SmtRes!DC153</f>
        <v>0</v>
      </c>
      <c r="R83">
        <f>ROUND(ROUND(Q83*Source!I232, 6)*1, 2)</f>
        <v>0</v>
      </c>
      <c r="S83">
        <f>SmtRes!AC153</f>
        <v>0</v>
      </c>
      <c r="T83">
        <f>ROUND(ROUND(Q83*Source!I232, 6)*SmtRes!AK153, 2)</f>
        <v>0</v>
      </c>
      <c r="U83">
        <v>1</v>
      </c>
      <c r="Y83">
        <f>SmtRes!X153</f>
        <v>476480486</v>
      </c>
      <c r="Z83">
        <v>1499241640</v>
      </c>
      <c r="AA83">
        <v>1499241640</v>
      </c>
    </row>
    <row r="84" spans="1:27" x14ac:dyDescent="0.2">
      <c r="A84">
        <f>Source!A234</f>
        <v>18</v>
      </c>
      <c r="B84">
        <v>234</v>
      </c>
      <c r="C84">
        <v>3</v>
      </c>
      <c r="D84">
        <f>Source!BI234</f>
        <v>1</v>
      </c>
      <c r="E84">
        <f>Source!FS234</f>
        <v>0</v>
      </c>
      <c r="F84" t="str">
        <f>Source!F234</f>
        <v>1.8-1-83</v>
      </c>
      <c r="G84" t="str">
        <f>Source!G234</f>
        <v>Доводчик дверной универсальный, с механизмом «шестерня-рейка», регулируемый, масса двери до 160 кг</v>
      </c>
      <c r="H84" t="str">
        <f>Source!H234</f>
        <v>КОМПЛЕКТ</v>
      </c>
      <c r="I84">
        <f>Source!I234</f>
        <v>1</v>
      </c>
      <c r="J84">
        <v>1</v>
      </c>
      <c r="K84">
        <f>Source!AC234</f>
        <v>1390.95</v>
      </c>
      <c r="M84">
        <f>ROUND(K84*I84, 2)</f>
        <v>1390.95</v>
      </c>
      <c r="N84">
        <f>Source!AC234*IF(Source!BC234&lt;&gt; 0, Source!BC234, 1)</f>
        <v>9235.9079999999994</v>
      </c>
      <c r="O84">
        <f>ROUND(N84*I84, 2)</f>
        <v>9235.91</v>
      </c>
      <c r="P84">
        <f>Source!AE234</f>
        <v>0</v>
      </c>
      <c r="R84">
        <f>ROUND(P84*I84, 2)</f>
        <v>0</v>
      </c>
      <c r="S84">
        <f>Source!AE234*IF(Source!BS234&lt;&gt; 0, Source!BS234, 1)</f>
        <v>0</v>
      </c>
      <c r="T84">
        <f>ROUND(S84*I84, 2)</f>
        <v>0</v>
      </c>
      <c r="U84">
        <v>3</v>
      </c>
      <c r="Y84">
        <f>Source!GF234</f>
        <v>1598346777</v>
      </c>
      <c r="Z84">
        <v>-1821348194</v>
      </c>
      <c r="AA84">
        <v>-1933913748</v>
      </c>
    </row>
    <row r="85" spans="1:27" x14ac:dyDescent="0.2">
      <c r="A85">
        <v>20</v>
      </c>
      <c r="B85">
        <v>188</v>
      </c>
      <c r="C85">
        <v>3</v>
      </c>
      <c r="D85">
        <v>0</v>
      </c>
      <c r="E85">
        <f>SmtRes!AV188</f>
        <v>0</v>
      </c>
      <c r="F85" t="str">
        <f>SmtRes!I188</f>
        <v>1.7-5-3</v>
      </c>
      <c r="G85" t="str">
        <f>SmtRes!K188</f>
        <v>Ерши (закрепы) строительные</v>
      </c>
      <c r="H85" t="str">
        <f>SmtRes!O188</f>
        <v>кг</v>
      </c>
      <c r="I85">
        <f>SmtRes!Y188*Source!I236</f>
        <v>1.4175</v>
      </c>
      <c r="J85">
        <f>SmtRes!AO188</f>
        <v>1</v>
      </c>
      <c r="K85">
        <f>SmtRes!AE188</f>
        <v>4.37</v>
      </c>
      <c r="L85">
        <f>SmtRes!DB188</f>
        <v>163.88</v>
      </c>
      <c r="M85">
        <f>ROUND(ROUND(L85*Source!I236, 6)*1, 2)</f>
        <v>6.19</v>
      </c>
      <c r="N85">
        <f>SmtRes!AA188</f>
        <v>37.799999999999997</v>
      </c>
      <c r="O85">
        <f>ROUND(ROUND(L85*Source!I236, 6)*SmtRes!DA188, 2)</f>
        <v>53.58</v>
      </c>
      <c r="P85">
        <f>SmtRes!AG188</f>
        <v>0</v>
      </c>
      <c r="Q85">
        <f>SmtRes!DC188</f>
        <v>0</v>
      </c>
      <c r="R85">
        <f>ROUND(ROUND(Q85*Source!I236, 6)*1, 2)</f>
        <v>0</v>
      </c>
      <c r="S85">
        <f>SmtRes!AC188</f>
        <v>0</v>
      </c>
      <c r="T85">
        <f>ROUND(ROUND(Q85*Source!I236, 6)*SmtRes!AK188, 2)</f>
        <v>0</v>
      </c>
      <c r="U85">
        <v>3</v>
      </c>
      <c r="Y85">
        <f>SmtRes!X188</f>
        <v>-361252770</v>
      </c>
      <c r="Z85">
        <v>1737501119</v>
      </c>
      <c r="AA85">
        <v>-1211019624</v>
      </c>
    </row>
    <row r="86" spans="1:27" x14ac:dyDescent="0.2">
      <c r="A86">
        <v>20</v>
      </c>
      <c r="B86">
        <v>187</v>
      </c>
      <c r="C86">
        <v>3</v>
      </c>
      <c r="D86">
        <v>0</v>
      </c>
      <c r="E86">
        <f>SmtRes!AV187</f>
        <v>0</v>
      </c>
      <c r="F86" t="str">
        <f>SmtRes!I187</f>
        <v>1.3-2-15</v>
      </c>
      <c r="G86" t="str">
        <f>SmtRes!K187</f>
        <v>Раствор известковый, марка 4</v>
      </c>
      <c r="H86" t="str">
        <f>SmtRes!O187</f>
        <v>м3</v>
      </c>
      <c r="I86">
        <f>SmtRes!Y187*Source!I236</f>
        <v>3.9690000000000003E-3</v>
      </c>
      <c r="J86">
        <f>SmtRes!AO187</f>
        <v>1</v>
      </c>
      <c r="K86">
        <f>SmtRes!AE187</f>
        <v>540.41999999999996</v>
      </c>
      <c r="L86">
        <f>SmtRes!DB187</f>
        <v>56.74</v>
      </c>
      <c r="M86">
        <f>ROUND(ROUND(L86*Source!I236, 6)*1, 2)</f>
        <v>2.14</v>
      </c>
      <c r="N86">
        <f>SmtRes!AA187</f>
        <v>4712.46</v>
      </c>
      <c r="O86">
        <f>ROUND(ROUND(L86*Source!I236, 6)*SmtRes!DA187, 2)</f>
        <v>18.7</v>
      </c>
      <c r="P86">
        <f>SmtRes!AG187</f>
        <v>0</v>
      </c>
      <c r="Q86">
        <f>SmtRes!DC187</f>
        <v>0</v>
      </c>
      <c r="R86">
        <f>ROUND(ROUND(Q86*Source!I236, 6)*1, 2)</f>
        <v>0</v>
      </c>
      <c r="S86">
        <f>SmtRes!AC187</f>
        <v>0</v>
      </c>
      <c r="T86">
        <f>ROUND(ROUND(Q86*Source!I236, 6)*SmtRes!AK187, 2)</f>
        <v>0</v>
      </c>
      <c r="U86">
        <v>3</v>
      </c>
      <c r="Y86">
        <f>SmtRes!X187</f>
        <v>-668171035</v>
      </c>
      <c r="Z86">
        <v>78643952</v>
      </c>
      <c r="AA86">
        <v>1227562306</v>
      </c>
    </row>
    <row r="87" spans="1:27" x14ac:dyDescent="0.2">
      <c r="A87">
        <v>20</v>
      </c>
      <c r="B87">
        <v>186</v>
      </c>
      <c r="C87">
        <v>3</v>
      </c>
      <c r="D87">
        <v>0</v>
      </c>
      <c r="E87">
        <f>SmtRes!AV186</f>
        <v>0</v>
      </c>
      <c r="F87" t="str">
        <f>SmtRes!I186</f>
        <v>1.1-1-764</v>
      </c>
      <c r="G87" t="str">
        <f>SmtRes!K186</f>
        <v>Материал кровельный, пергамин, марка П-350</v>
      </c>
      <c r="H87" t="str">
        <f>SmtRes!O186</f>
        <v>м2</v>
      </c>
      <c r="I87">
        <f>SmtRes!Y186*Source!I236</f>
        <v>3.3641999999999999</v>
      </c>
      <c r="J87">
        <f>SmtRes!AO186</f>
        <v>1</v>
      </c>
      <c r="K87">
        <f>SmtRes!AE186</f>
        <v>5.51</v>
      </c>
      <c r="L87">
        <f>SmtRes!DB186</f>
        <v>490.39</v>
      </c>
      <c r="M87">
        <f>ROUND(ROUND(L87*Source!I236, 6)*1, 2)</f>
        <v>18.54</v>
      </c>
      <c r="N87">
        <f>SmtRes!AA186</f>
        <v>14.66</v>
      </c>
      <c r="O87">
        <f>ROUND(ROUND(L87*Source!I236, 6)*SmtRes!DA186, 2)</f>
        <v>49.31</v>
      </c>
      <c r="P87">
        <f>SmtRes!AG186</f>
        <v>0</v>
      </c>
      <c r="Q87">
        <f>SmtRes!DC186</f>
        <v>0</v>
      </c>
      <c r="R87">
        <f>ROUND(ROUND(Q87*Source!I236, 6)*1, 2)</f>
        <v>0</v>
      </c>
      <c r="S87">
        <f>SmtRes!AC186</f>
        <v>0</v>
      </c>
      <c r="T87">
        <f>ROUND(ROUND(Q87*Source!I236, 6)*SmtRes!AK186, 2)</f>
        <v>0</v>
      </c>
      <c r="U87">
        <v>3</v>
      </c>
      <c r="Y87">
        <f>SmtRes!X186</f>
        <v>-1047133190</v>
      </c>
      <c r="Z87">
        <v>-586417748</v>
      </c>
      <c r="AA87">
        <v>-23180890</v>
      </c>
    </row>
    <row r="88" spans="1:27" x14ac:dyDescent="0.2">
      <c r="A88">
        <v>20</v>
      </c>
      <c r="B88">
        <v>185</v>
      </c>
      <c r="C88">
        <v>3</v>
      </c>
      <c r="D88">
        <v>0</v>
      </c>
      <c r="E88">
        <f>SmtRes!AV185</f>
        <v>0</v>
      </c>
      <c r="F88" t="str">
        <f>SmtRes!I185</f>
        <v>1.1-1-740</v>
      </c>
      <c r="G88" t="str">
        <f>SmtRes!K185</f>
        <v>Пакля пропитанная</v>
      </c>
      <c r="H88" t="str">
        <f>SmtRes!O185</f>
        <v>кг</v>
      </c>
      <c r="I88">
        <f>SmtRes!Y185*Source!I236</f>
        <v>4.0823999999999998</v>
      </c>
      <c r="J88">
        <f>SmtRes!AO185</f>
        <v>1</v>
      </c>
      <c r="K88">
        <f>SmtRes!AE185</f>
        <v>9.86</v>
      </c>
      <c r="L88">
        <f>SmtRes!DB185</f>
        <v>1064.8800000000001</v>
      </c>
      <c r="M88">
        <f>ROUND(ROUND(L88*Source!I236, 6)*1, 2)</f>
        <v>40.25</v>
      </c>
      <c r="N88">
        <f>SmtRes!AA185</f>
        <v>98.3</v>
      </c>
      <c r="O88">
        <f>ROUND(ROUND(L88*Source!I236, 6)*SmtRes!DA185, 2)</f>
        <v>401.32</v>
      </c>
      <c r="P88">
        <f>SmtRes!AG185</f>
        <v>0</v>
      </c>
      <c r="Q88">
        <f>SmtRes!DC185</f>
        <v>0</v>
      </c>
      <c r="R88">
        <f>ROUND(ROUND(Q88*Source!I236, 6)*1, 2)</f>
        <v>0</v>
      </c>
      <c r="S88">
        <f>SmtRes!AC185</f>
        <v>0</v>
      </c>
      <c r="T88">
        <f>ROUND(ROUND(Q88*Source!I236, 6)*SmtRes!AK185, 2)</f>
        <v>0</v>
      </c>
      <c r="U88">
        <v>3</v>
      </c>
      <c r="Y88">
        <f>SmtRes!X185</f>
        <v>1241994263</v>
      </c>
      <c r="Z88">
        <v>-453307821</v>
      </c>
      <c r="AA88">
        <v>-1592772059</v>
      </c>
    </row>
    <row r="89" spans="1:27" x14ac:dyDescent="0.2">
      <c r="A89">
        <v>20</v>
      </c>
      <c r="B89">
        <v>184</v>
      </c>
      <c r="C89">
        <v>3</v>
      </c>
      <c r="D89">
        <v>0</v>
      </c>
      <c r="E89">
        <f>SmtRes!AV184</f>
        <v>0</v>
      </c>
      <c r="F89" t="str">
        <f>SmtRes!I184</f>
        <v>1.1-1-226</v>
      </c>
      <c r="G89" t="str">
        <f>SmtRes!K184</f>
        <v>Доски хвойных пород, обрезные, длина 2-6,5 м, сорт III, толщина 25-32 мм</v>
      </c>
      <c r="H89" t="str">
        <f>SmtRes!O184</f>
        <v>м3</v>
      </c>
      <c r="I89">
        <f>SmtRes!Y184*Source!I236</f>
        <v>3.0240000000000002E-3</v>
      </c>
      <c r="J89">
        <f>SmtRes!AO184</f>
        <v>1</v>
      </c>
      <c r="K89">
        <f>SmtRes!AE184</f>
        <v>1828.56</v>
      </c>
      <c r="L89">
        <f>SmtRes!DB184</f>
        <v>146.28</v>
      </c>
      <c r="M89">
        <f>ROUND(ROUND(L89*Source!I236, 6)*1, 2)</f>
        <v>5.53</v>
      </c>
      <c r="N89">
        <f>SmtRes!AA184</f>
        <v>7222.81</v>
      </c>
      <c r="O89">
        <f>ROUND(ROUND(L89*Source!I236, 6)*SmtRes!DA184, 2)</f>
        <v>21.84</v>
      </c>
      <c r="P89">
        <f>SmtRes!AG184</f>
        <v>0</v>
      </c>
      <c r="Q89">
        <f>SmtRes!DC184</f>
        <v>0</v>
      </c>
      <c r="R89">
        <f>ROUND(ROUND(Q89*Source!I236, 6)*1, 2)</f>
        <v>0</v>
      </c>
      <c r="S89">
        <f>SmtRes!AC184</f>
        <v>0</v>
      </c>
      <c r="T89">
        <f>ROUND(ROUND(Q89*Source!I236, 6)*SmtRes!AK184, 2)</f>
        <v>0</v>
      </c>
      <c r="U89">
        <v>3</v>
      </c>
      <c r="Y89">
        <f>SmtRes!X184</f>
        <v>-1845249973</v>
      </c>
      <c r="Z89">
        <v>19685325</v>
      </c>
      <c r="AA89">
        <v>-2028977637</v>
      </c>
    </row>
    <row r="90" spans="1:27" x14ac:dyDescent="0.2">
      <c r="A90">
        <v>20</v>
      </c>
      <c r="B90">
        <v>183</v>
      </c>
      <c r="C90">
        <v>3</v>
      </c>
      <c r="D90">
        <v>0</v>
      </c>
      <c r="E90">
        <f>SmtRes!AV183</f>
        <v>0</v>
      </c>
      <c r="F90" t="str">
        <f>SmtRes!I183</f>
        <v>1.1-1-146</v>
      </c>
      <c r="G90" t="str">
        <f>SmtRes!K183</f>
        <v>Гипсовые вяжущие (гипс) для штукатурных работ</v>
      </c>
      <c r="H90" t="str">
        <f>SmtRes!O183</f>
        <v>т</v>
      </c>
      <c r="I90">
        <f>SmtRes!Y183*Source!I236</f>
        <v>6.0480000000000006E-4</v>
      </c>
      <c r="J90">
        <f>SmtRes!AO183</f>
        <v>1</v>
      </c>
      <c r="K90">
        <f>SmtRes!AE183</f>
        <v>1227.3800000000001</v>
      </c>
      <c r="L90">
        <f>SmtRes!DB183</f>
        <v>19.64</v>
      </c>
      <c r="M90">
        <f>ROUND(ROUND(L90*Source!I236, 6)*1, 2)</f>
        <v>0.74</v>
      </c>
      <c r="N90">
        <f>SmtRes!AA183</f>
        <v>5351.38</v>
      </c>
      <c r="O90">
        <f>ROUND(ROUND(L90*Source!I236, 6)*SmtRes!DA183, 2)</f>
        <v>3.24</v>
      </c>
      <c r="P90">
        <f>SmtRes!AG183</f>
        <v>0</v>
      </c>
      <c r="Q90">
        <f>SmtRes!DC183</f>
        <v>0</v>
      </c>
      <c r="R90">
        <f>ROUND(ROUND(Q90*Source!I236, 6)*1, 2)</f>
        <v>0</v>
      </c>
      <c r="S90">
        <f>SmtRes!AC183</f>
        <v>0</v>
      </c>
      <c r="T90">
        <f>ROUND(ROUND(Q90*Source!I236, 6)*SmtRes!AK183, 2)</f>
        <v>0</v>
      </c>
      <c r="U90">
        <v>3</v>
      </c>
      <c r="Y90">
        <f>SmtRes!X183</f>
        <v>837574469</v>
      </c>
      <c r="Z90">
        <v>-543820538</v>
      </c>
      <c r="AA90">
        <v>2009956732</v>
      </c>
    </row>
    <row r="91" spans="1:27" x14ac:dyDescent="0.2">
      <c r="A91">
        <v>20</v>
      </c>
      <c r="B91">
        <v>182</v>
      </c>
      <c r="C91">
        <v>3</v>
      </c>
      <c r="D91">
        <v>0</v>
      </c>
      <c r="E91">
        <f>SmtRes!AV182</f>
        <v>0</v>
      </c>
      <c r="F91" t="str">
        <f>SmtRes!I182</f>
        <v>1.1-1-133</v>
      </c>
      <c r="G91" t="str">
        <f>SmtRes!K182</f>
        <v>Гвозди толевые</v>
      </c>
      <c r="H91" t="str">
        <f>SmtRes!O182</f>
        <v>т</v>
      </c>
      <c r="I91">
        <f>SmtRes!Y182*Source!I236</f>
        <v>7.9380000000000002E-5</v>
      </c>
      <c r="J91">
        <f>SmtRes!AO182</f>
        <v>1</v>
      </c>
      <c r="K91">
        <f>SmtRes!AE182</f>
        <v>7875.24</v>
      </c>
      <c r="L91">
        <f>SmtRes!DB182</f>
        <v>16.54</v>
      </c>
      <c r="M91">
        <f>ROUND(ROUND(L91*Source!I236, 6)*1, 2)</f>
        <v>0.63</v>
      </c>
      <c r="N91">
        <f>SmtRes!AA182</f>
        <v>84028.81</v>
      </c>
      <c r="O91">
        <f>ROUND(ROUND(L91*Source!I236, 6)*SmtRes!DA182, 2)</f>
        <v>6.67</v>
      </c>
      <c r="P91">
        <f>SmtRes!AG182</f>
        <v>0</v>
      </c>
      <c r="Q91">
        <f>SmtRes!DC182</f>
        <v>0</v>
      </c>
      <c r="R91">
        <f>ROUND(ROUND(Q91*Source!I236, 6)*1, 2)</f>
        <v>0</v>
      </c>
      <c r="S91">
        <f>SmtRes!AC182</f>
        <v>0</v>
      </c>
      <c r="T91">
        <f>ROUND(ROUND(Q91*Source!I236, 6)*SmtRes!AK182, 2)</f>
        <v>0</v>
      </c>
      <c r="U91">
        <v>3</v>
      </c>
      <c r="Y91">
        <f>SmtRes!X182</f>
        <v>-1841336821</v>
      </c>
      <c r="Z91">
        <v>1584364654</v>
      </c>
      <c r="AA91">
        <v>-44344998</v>
      </c>
    </row>
    <row r="92" spans="1:27" x14ac:dyDescent="0.2">
      <c r="A92">
        <v>20</v>
      </c>
      <c r="B92">
        <v>181</v>
      </c>
      <c r="C92">
        <v>3</v>
      </c>
      <c r="D92">
        <v>0</v>
      </c>
      <c r="E92">
        <f>SmtRes!AV181</f>
        <v>0</v>
      </c>
      <c r="F92" t="str">
        <f>SmtRes!I181</f>
        <v>1.1-1-132</v>
      </c>
      <c r="G92" t="str">
        <f>SmtRes!K181</f>
        <v>Гвозди строительные</v>
      </c>
      <c r="H92" t="str">
        <f>SmtRes!O181</f>
        <v>т</v>
      </c>
      <c r="I92">
        <f>SmtRes!Y181*Source!I236</f>
        <v>1.56114E-4</v>
      </c>
      <c r="J92">
        <f>SmtRes!AO181</f>
        <v>1</v>
      </c>
      <c r="K92">
        <f>SmtRes!AE181</f>
        <v>6521.42</v>
      </c>
      <c r="L92">
        <f>SmtRes!DB181</f>
        <v>26.93</v>
      </c>
      <c r="M92">
        <f>ROUND(ROUND(L92*Source!I236, 6)*1, 2)</f>
        <v>1.02</v>
      </c>
      <c r="N92">
        <f>SmtRes!AA181</f>
        <v>63127.35</v>
      </c>
      <c r="O92">
        <f>ROUND(ROUND(L92*Source!I236, 6)*SmtRes!DA181, 2)</f>
        <v>9.85</v>
      </c>
      <c r="P92">
        <f>SmtRes!AG181</f>
        <v>0</v>
      </c>
      <c r="Q92">
        <f>SmtRes!DC181</f>
        <v>0</v>
      </c>
      <c r="R92">
        <f>ROUND(ROUND(Q92*Source!I236, 6)*1, 2)</f>
        <v>0</v>
      </c>
      <c r="S92">
        <f>SmtRes!AC181</f>
        <v>0</v>
      </c>
      <c r="T92">
        <f>ROUND(ROUND(Q92*Source!I236, 6)*SmtRes!AK181, 2)</f>
        <v>0</v>
      </c>
      <c r="U92">
        <v>3</v>
      </c>
      <c r="Y92">
        <f>SmtRes!X181</f>
        <v>563176784</v>
      </c>
      <c r="Z92">
        <v>1885883156</v>
      </c>
      <c r="AA92">
        <v>-1328956981</v>
      </c>
    </row>
    <row r="93" spans="1:27" x14ac:dyDescent="0.2">
      <c r="A93">
        <v>20</v>
      </c>
      <c r="B93">
        <v>180</v>
      </c>
      <c r="C93">
        <v>3</v>
      </c>
      <c r="D93">
        <v>0</v>
      </c>
      <c r="E93">
        <f>SmtRes!AV180</f>
        <v>0</v>
      </c>
      <c r="F93" t="str">
        <f>SmtRes!I180</f>
        <v>1.1-1-1043</v>
      </c>
      <c r="G93" t="str">
        <f>SmtRes!K180</f>
        <v>Смола каменноугольная строительная</v>
      </c>
      <c r="H93" t="str">
        <f>SmtRes!O180</f>
        <v>т</v>
      </c>
      <c r="I93">
        <f>SmtRes!Y180*Source!I236</f>
        <v>8.9207999999999996E-4</v>
      </c>
      <c r="J93">
        <f>SmtRes!AO180</f>
        <v>1</v>
      </c>
      <c r="K93">
        <f>SmtRes!AE180</f>
        <v>1463.45</v>
      </c>
      <c r="L93">
        <f>SmtRes!DB180</f>
        <v>34.54</v>
      </c>
      <c r="M93">
        <f>ROUND(ROUND(L93*Source!I236, 6)*1, 2)</f>
        <v>1.31</v>
      </c>
      <c r="N93">
        <f>SmtRes!AA180</f>
        <v>17312.61</v>
      </c>
      <c r="O93">
        <f>ROUND(ROUND(L93*Source!I236, 6)*SmtRes!DA180, 2)</f>
        <v>15.45</v>
      </c>
      <c r="P93">
        <f>SmtRes!AG180</f>
        <v>0</v>
      </c>
      <c r="Q93">
        <f>SmtRes!DC180</f>
        <v>0</v>
      </c>
      <c r="R93">
        <f>ROUND(ROUND(Q93*Source!I236, 6)*1, 2)</f>
        <v>0</v>
      </c>
      <c r="S93">
        <f>SmtRes!AC180</f>
        <v>0</v>
      </c>
      <c r="T93">
        <f>ROUND(ROUND(Q93*Source!I236, 6)*SmtRes!AK180, 2)</f>
        <v>0</v>
      </c>
      <c r="U93">
        <v>3</v>
      </c>
      <c r="Y93">
        <f>SmtRes!X180</f>
        <v>1977647148</v>
      </c>
      <c r="Z93">
        <v>891628768</v>
      </c>
      <c r="AA93">
        <v>-1311215350</v>
      </c>
    </row>
    <row r="94" spans="1:27" x14ac:dyDescent="0.2">
      <c r="A94">
        <v>20</v>
      </c>
      <c r="B94">
        <v>179</v>
      </c>
      <c r="C94">
        <v>2</v>
      </c>
      <c r="D94">
        <v>0</v>
      </c>
      <c r="E94">
        <f>SmtRes!AV179</f>
        <v>0</v>
      </c>
      <c r="F94" t="str">
        <f>SmtRes!I179</f>
        <v>2.1-5-63</v>
      </c>
      <c r="G94" t="str">
        <f>SmtRes!K179</f>
        <v>Котлы битумоварочные электрические, емкость до 500 л, мощность до 20 кВт</v>
      </c>
      <c r="H94" t="str">
        <f>SmtRes!O179</f>
        <v>маш.-ч.</v>
      </c>
      <c r="I94">
        <f>SmtRes!Y179*Source!I236</f>
        <v>8.45775E-2</v>
      </c>
      <c r="J94">
        <f>SmtRes!AO179</f>
        <v>1</v>
      </c>
      <c r="K94">
        <f>SmtRes!AF179</f>
        <v>13.14</v>
      </c>
      <c r="L94">
        <f>SmtRes!DB179</f>
        <v>29.4</v>
      </c>
      <c r="M94">
        <f>ROUND(ROUND(L94*Source!I236, 6)*1, 2)</f>
        <v>1.1100000000000001</v>
      </c>
      <c r="N94">
        <f>SmtRes!AB179</f>
        <v>136.88999999999999</v>
      </c>
      <c r="O94">
        <f>ROUND(ROUND(L94*Source!I236, 6)*SmtRes!DA179, 2)</f>
        <v>11.06</v>
      </c>
      <c r="P94">
        <f>SmtRes!AG179</f>
        <v>0.02</v>
      </c>
      <c r="Q94">
        <f>SmtRes!DC179</f>
        <v>0.05</v>
      </c>
      <c r="R94">
        <f>ROUND(ROUND(Q94*Source!I236, 6)*1, 2)</f>
        <v>0</v>
      </c>
      <c r="S94">
        <f>SmtRes!AC179</f>
        <v>0.61</v>
      </c>
      <c r="T94">
        <f>ROUND(ROUND(Q94*Source!I236, 6)*SmtRes!AK179, 2)</f>
        <v>0.05</v>
      </c>
      <c r="U94">
        <v>2</v>
      </c>
      <c r="Y94">
        <f>SmtRes!X179</f>
        <v>-1649254319</v>
      </c>
      <c r="Z94">
        <v>-128807243</v>
      </c>
      <c r="AA94">
        <v>-1323582756</v>
      </c>
    </row>
    <row r="95" spans="1:27" x14ac:dyDescent="0.2">
      <c r="A95">
        <v>20</v>
      </c>
      <c r="B95">
        <v>178</v>
      </c>
      <c r="C95">
        <v>2</v>
      </c>
      <c r="D95">
        <v>0</v>
      </c>
      <c r="E95">
        <f>SmtRes!AV178</f>
        <v>0</v>
      </c>
      <c r="F95" t="str">
        <f>SmtRes!I178</f>
        <v>2.1-3-38</v>
      </c>
      <c r="G95" t="str">
        <f>SmtRes!K178</f>
        <v>Краны на автомобильном ходу, грузоподъемность до 16 т</v>
      </c>
      <c r="H95" t="str">
        <f>SmtRes!O178</f>
        <v>маш.-ч.</v>
      </c>
      <c r="I95">
        <f>SmtRes!Y178*Source!I236</f>
        <v>7.1819999999999995E-2</v>
      </c>
      <c r="J95">
        <f>SmtRes!AO178</f>
        <v>1</v>
      </c>
      <c r="K95">
        <f>SmtRes!AF178</f>
        <v>190.93</v>
      </c>
      <c r="L95">
        <f>SmtRes!DB178</f>
        <v>362.76249999999999</v>
      </c>
      <c r="M95">
        <f>ROUND(ROUND(L95*Source!I236, 6)*1, 2)</f>
        <v>13.71</v>
      </c>
      <c r="N95">
        <f>SmtRes!AB178</f>
        <v>2059.0100000000002</v>
      </c>
      <c r="O95">
        <f>ROUND(ROUND(L95*Source!I236, 6)*SmtRes!DA178, 2)</f>
        <v>141.24</v>
      </c>
      <c r="P95">
        <f>SmtRes!AG178</f>
        <v>18.149999999999999</v>
      </c>
      <c r="Q95">
        <f>SmtRes!DC178</f>
        <v>34.487499999999997</v>
      </c>
      <c r="R95">
        <f>ROUND(ROUND(Q95*Source!I236, 6)*1, 2)</f>
        <v>1.3</v>
      </c>
      <c r="S95">
        <f>SmtRes!AC178</f>
        <v>551.66</v>
      </c>
      <c r="T95">
        <f>ROUND(ROUND(Q95*Source!I236, 6)*SmtRes!AK178, 2)</f>
        <v>37.840000000000003</v>
      </c>
      <c r="U95">
        <v>2</v>
      </c>
      <c r="Y95">
        <f>SmtRes!X178</f>
        <v>-266174272</v>
      </c>
      <c r="Z95">
        <v>-2048655808</v>
      </c>
      <c r="AA95">
        <v>2105875465</v>
      </c>
    </row>
    <row r="96" spans="1:27" x14ac:dyDescent="0.2">
      <c r="A96">
        <v>20</v>
      </c>
      <c r="B96">
        <v>177</v>
      </c>
      <c r="C96">
        <v>2</v>
      </c>
      <c r="D96">
        <v>0</v>
      </c>
      <c r="E96">
        <f>SmtRes!AV177</f>
        <v>0</v>
      </c>
      <c r="F96" t="str">
        <f>SmtRes!I177</f>
        <v>2.1-18-7</v>
      </c>
      <c r="G96" t="str">
        <f>SmtRes!K177</f>
        <v>Автомобили грузовые бортовые, грузоподъемность до 5 т</v>
      </c>
      <c r="H96" t="str">
        <f>SmtRes!O177</f>
        <v>маш.-ч.</v>
      </c>
      <c r="I96">
        <f>SmtRes!Y177*Source!I236</f>
        <v>8.6467500000000003E-2</v>
      </c>
      <c r="J96">
        <f>SmtRes!AO177</f>
        <v>1</v>
      </c>
      <c r="K96">
        <f>SmtRes!AF177</f>
        <v>76.81</v>
      </c>
      <c r="L96">
        <f>SmtRes!DB177</f>
        <v>175.7</v>
      </c>
      <c r="M96">
        <f>ROUND(ROUND(L96*Source!I236, 6)*1, 2)</f>
        <v>6.64</v>
      </c>
      <c r="N96">
        <f>SmtRes!AB177</f>
        <v>918.4</v>
      </c>
      <c r="O96">
        <f>ROUND(ROUND(L96*Source!I236, 6)*SmtRes!DA177, 2)</f>
        <v>75.849999999999994</v>
      </c>
      <c r="P96">
        <f>SmtRes!AG177</f>
        <v>14.36</v>
      </c>
      <c r="Q96">
        <f>SmtRes!DC177</f>
        <v>32.85</v>
      </c>
      <c r="R96">
        <f>ROUND(ROUND(Q96*Source!I236, 6)*1, 2)</f>
        <v>1.24</v>
      </c>
      <c r="S96">
        <f>SmtRes!AC177</f>
        <v>436.46</v>
      </c>
      <c r="T96">
        <f>ROUND(ROUND(Q96*Source!I236, 6)*SmtRes!AK177, 2)</f>
        <v>36.049999999999997</v>
      </c>
      <c r="U96">
        <v>2</v>
      </c>
      <c r="Y96">
        <f>SmtRes!X177</f>
        <v>-628430174</v>
      </c>
      <c r="Z96">
        <v>-2049064267</v>
      </c>
      <c r="AA96">
        <v>-489591781</v>
      </c>
    </row>
    <row r="97" spans="1:27" x14ac:dyDescent="0.2">
      <c r="A97">
        <v>20</v>
      </c>
      <c r="B97">
        <v>176</v>
      </c>
      <c r="C97">
        <v>1</v>
      </c>
      <c r="D97">
        <v>0</v>
      </c>
      <c r="E97">
        <f>SmtRes!AV176</f>
        <v>1</v>
      </c>
      <c r="F97" t="str">
        <f>SmtRes!I176</f>
        <v>9999990008</v>
      </c>
      <c r="G97" t="str">
        <f>SmtRes!K176</f>
        <v>Трудозатраты рабочих</v>
      </c>
      <c r="H97" t="str">
        <f>SmtRes!O176</f>
        <v>чел.-ч.</v>
      </c>
      <c r="I97">
        <f>SmtRes!Y176*Source!I236</f>
        <v>3.907953</v>
      </c>
      <c r="J97">
        <f>SmtRes!AO176</f>
        <v>1</v>
      </c>
      <c r="K97">
        <f>SmtRes!AH176</f>
        <v>0</v>
      </c>
      <c r="L97">
        <f>SmtRes!DB176</f>
        <v>0</v>
      </c>
      <c r="M97">
        <f>ROUND(ROUND(L97*Source!I236, 6)*1, 2)</f>
        <v>0</v>
      </c>
      <c r="N97">
        <f>SmtRes!AD176</f>
        <v>0</v>
      </c>
      <c r="O97">
        <f>ROUND(ROUND(L97*Source!I236, 6)*SmtRes!DA176, 2)</f>
        <v>0</v>
      </c>
      <c r="P97">
        <f>SmtRes!AG176</f>
        <v>0</v>
      </c>
      <c r="Q97">
        <f>SmtRes!DC176</f>
        <v>0</v>
      </c>
      <c r="R97">
        <f>ROUND(ROUND(Q97*Source!I236, 6)*1, 2)</f>
        <v>0</v>
      </c>
      <c r="S97">
        <f>SmtRes!AC176</f>
        <v>0</v>
      </c>
      <c r="T97">
        <f>ROUND(ROUND(Q97*Source!I236, 6)*SmtRes!AK176, 2)</f>
        <v>0</v>
      </c>
      <c r="U97">
        <v>1</v>
      </c>
      <c r="Y97">
        <f>SmtRes!X176</f>
        <v>476480486</v>
      </c>
      <c r="Z97">
        <v>1499241640</v>
      </c>
      <c r="AA97">
        <v>1499241640</v>
      </c>
    </row>
    <row r="98" spans="1:27" x14ac:dyDescent="0.2">
      <c r="A98">
        <f>Source!A238</f>
        <v>18</v>
      </c>
      <c r="B98">
        <v>238</v>
      </c>
      <c r="C98">
        <v>3</v>
      </c>
      <c r="D98">
        <f>Source!BI238</f>
        <v>1</v>
      </c>
      <c r="E98">
        <f>Source!FS238</f>
        <v>0</v>
      </c>
      <c r="F98" t="str">
        <f>Source!F238</f>
        <v>Цена поставщика</v>
      </c>
      <c r="G98" t="str">
        <f>Source!G238</f>
        <v>Дверь композитная глухая полнозаполненная пенополистиролом из ПВХ 1,5 мм 2000*1000 Капель (ДГ10)</v>
      </c>
      <c r="H98" t="str">
        <f>Source!H238</f>
        <v>шт.</v>
      </c>
      <c r="I98">
        <f>Source!I238</f>
        <v>1</v>
      </c>
      <c r="J98">
        <v>1</v>
      </c>
      <c r="K98">
        <f>Source!AC238</f>
        <v>2723.93</v>
      </c>
      <c r="M98">
        <f>ROUND(K98*I98, 2)</f>
        <v>2723.93</v>
      </c>
      <c r="N98">
        <f>Source!AC238*IF(Source!BC238&lt;&gt; 0, Source!BC238, 1)</f>
        <v>23561.994500000001</v>
      </c>
      <c r="O98">
        <f>ROUND(N98*I98, 2)</f>
        <v>23561.99</v>
      </c>
      <c r="P98">
        <f>Source!AE238</f>
        <v>0</v>
      </c>
      <c r="R98">
        <f>ROUND(P98*I98, 2)</f>
        <v>0</v>
      </c>
      <c r="S98">
        <f>Source!AE238*IF(Source!BS238&lt;&gt; 0, Source!BS238, 1)</f>
        <v>0</v>
      </c>
      <c r="T98">
        <f>ROUND(S98*I98, 2)</f>
        <v>0</v>
      </c>
      <c r="U98">
        <v>3</v>
      </c>
      <c r="Y98">
        <f>Source!GF238</f>
        <v>342305419</v>
      </c>
      <c r="Z98">
        <v>2088571591</v>
      </c>
      <c r="AA98">
        <v>-2044308653</v>
      </c>
    </row>
    <row r="99" spans="1:27" x14ac:dyDescent="0.2">
      <c r="A99">
        <f>Source!A240</f>
        <v>18</v>
      </c>
      <c r="B99">
        <v>240</v>
      </c>
      <c r="C99">
        <v>3</v>
      </c>
      <c r="D99">
        <f>Source!BI240</f>
        <v>1</v>
      </c>
      <c r="E99">
        <f>Source!FS240</f>
        <v>0</v>
      </c>
      <c r="F99" t="str">
        <f>Source!F240</f>
        <v>Цена поставщика</v>
      </c>
      <c r="G99" t="str">
        <f>Source!G240</f>
        <v>Дверь композитная глухая полнозаполненная пенополистиролом из ПВХ 1,5 мм 2000*900 Капель (ДГ9)</v>
      </c>
      <c r="H99" t="str">
        <f>Source!H240</f>
        <v>шт.</v>
      </c>
      <c r="I99">
        <f>Source!I240</f>
        <v>1</v>
      </c>
      <c r="J99">
        <v>1</v>
      </c>
      <c r="K99">
        <f>Source!AC240</f>
        <v>22207.99</v>
      </c>
      <c r="M99">
        <f>ROUND(K99*I99, 2)</f>
        <v>22207.99</v>
      </c>
      <c r="N99">
        <f>Source!AC240*IF(Source!BC240&lt;&gt; 0, Source!BC240, 1)</f>
        <v>192099.11350000004</v>
      </c>
      <c r="O99">
        <f>ROUND(N99*I99, 2)</f>
        <v>192099.11</v>
      </c>
      <c r="P99">
        <f>Source!AE240</f>
        <v>0</v>
      </c>
      <c r="R99">
        <f>ROUND(P99*I99, 2)</f>
        <v>0</v>
      </c>
      <c r="S99">
        <f>Source!AE240*IF(Source!BS240&lt;&gt; 0, Source!BS240, 1)</f>
        <v>0</v>
      </c>
      <c r="T99">
        <f>ROUND(S99*I99, 2)</f>
        <v>0</v>
      </c>
      <c r="U99">
        <v>3</v>
      </c>
      <c r="Y99">
        <f>Source!GF240</f>
        <v>-1513666227</v>
      </c>
      <c r="Z99">
        <v>926293364</v>
      </c>
      <c r="AA99">
        <v>344754950</v>
      </c>
    </row>
    <row r="100" spans="1:27" x14ac:dyDescent="0.2">
      <c r="A100">
        <v>20</v>
      </c>
      <c r="B100">
        <v>207</v>
      </c>
      <c r="C100">
        <v>3</v>
      </c>
      <c r="D100">
        <v>0</v>
      </c>
      <c r="E100">
        <f>SmtRes!AV207</f>
        <v>0</v>
      </c>
      <c r="F100" t="str">
        <f>SmtRes!I207</f>
        <v>1.1-1-760</v>
      </c>
      <c r="G100" t="str">
        <f>SmtRes!K207</f>
        <v>Пена монтажная</v>
      </c>
      <c r="H100" t="str">
        <f>SmtRes!O207</f>
        <v>л</v>
      </c>
      <c r="I100">
        <f>SmtRes!Y207*Source!I246</f>
        <v>2.1039269999999997</v>
      </c>
      <c r="J100">
        <f>SmtRes!AO207</f>
        <v>1</v>
      </c>
      <c r="K100">
        <f>SmtRes!AE207</f>
        <v>54.7</v>
      </c>
      <c r="L100">
        <f>SmtRes!DB207</f>
        <v>2884.33</v>
      </c>
      <c r="M100">
        <f>ROUND(ROUND(L100*Source!I246, 6)*1, 2)</f>
        <v>115.08</v>
      </c>
      <c r="N100">
        <f>SmtRes!AA207</f>
        <v>268.02999999999997</v>
      </c>
      <c r="O100">
        <f>ROUND(ROUND(L100*Source!I246, 6)*SmtRes!DA207, 2)</f>
        <v>563.91999999999996</v>
      </c>
      <c r="P100">
        <f>SmtRes!AG207</f>
        <v>0</v>
      </c>
      <c r="Q100">
        <f>SmtRes!DC207</f>
        <v>0</v>
      </c>
      <c r="R100">
        <f>ROUND(ROUND(Q100*Source!I246, 6)*1, 2)</f>
        <v>0</v>
      </c>
      <c r="S100">
        <f>SmtRes!AC207</f>
        <v>0</v>
      </c>
      <c r="T100">
        <f>ROUND(ROUND(Q100*Source!I246, 6)*SmtRes!AK207, 2)</f>
        <v>0</v>
      </c>
      <c r="U100">
        <v>3</v>
      </c>
      <c r="Y100">
        <f>SmtRes!X207</f>
        <v>1307744319</v>
      </c>
      <c r="Z100">
        <v>-713333977</v>
      </c>
      <c r="AA100">
        <v>-2013463193</v>
      </c>
    </row>
    <row r="101" spans="1:27" x14ac:dyDescent="0.2">
      <c r="A101">
        <v>20</v>
      </c>
      <c r="B101">
        <v>204</v>
      </c>
      <c r="C101">
        <v>3</v>
      </c>
      <c r="D101">
        <v>0</v>
      </c>
      <c r="E101">
        <f>SmtRes!AV204</f>
        <v>0</v>
      </c>
      <c r="F101" t="str">
        <f>SmtRes!I204</f>
        <v>1.1-1-2471</v>
      </c>
      <c r="G101" t="str">
        <f>SmtRes!K204</f>
        <v>Дюбель рамный МД 10х180 мм</v>
      </c>
      <c r="H101" t="str">
        <f>SmtRes!O204</f>
        <v>шт.</v>
      </c>
      <c r="I101">
        <f>SmtRes!Y204*Source!I246</f>
        <v>12.408899999999999</v>
      </c>
      <c r="J101">
        <f>SmtRes!AO204</f>
        <v>1</v>
      </c>
      <c r="K101">
        <f>SmtRes!AE204</f>
        <v>9.6</v>
      </c>
      <c r="L101">
        <f>SmtRes!DB204</f>
        <v>2985.6</v>
      </c>
      <c r="M101">
        <f>ROUND(ROUND(L101*Source!I246, 6)*1, 2)</f>
        <v>119.13</v>
      </c>
      <c r="N101">
        <f>SmtRes!AA204</f>
        <v>10.66</v>
      </c>
      <c r="O101">
        <f>ROUND(ROUND(L101*Source!I246, 6)*SmtRes!DA204, 2)</f>
        <v>132.22999999999999</v>
      </c>
      <c r="P101">
        <f>SmtRes!AG204</f>
        <v>0</v>
      </c>
      <c r="Q101">
        <f>SmtRes!DC204</f>
        <v>0</v>
      </c>
      <c r="R101">
        <f>ROUND(ROUND(Q101*Source!I246, 6)*1, 2)</f>
        <v>0</v>
      </c>
      <c r="S101">
        <f>SmtRes!AC204</f>
        <v>0</v>
      </c>
      <c r="T101">
        <f>ROUND(ROUND(Q101*Source!I246, 6)*SmtRes!AK204, 2)</f>
        <v>0</v>
      </c>
      <c r="U101">
        <v>3</v>
      </c>
      <c r="Y101">
        <f>SmtRes!X204</f>
        <v>551830403</v>
      </c>
      <c r="Z101">
        <v>-1709210568</v>
      </c>
      <c r="AA101">
        <v>-1053035890</v>
      </c>
    </row>
    <row r="102" spans="1:27" x14ac:dyDescent="0.2">
      <c r="A102">
        <v>20</v>
      </c>
      <c r="B102">
        <v>203</v>
      </c>
      <c r="C102">
        <v>2</v>
      </c>
      <c r="D102">
        <v>0</v>
      </c>
      <c r="E102">
        <f>SmtRes!AV203</f>
        <v>0</v>
      </c>
      <c r="F102" t="str">
        <f>SmtRes!I203</f>
        <v>2.1-30-56</v>
      </c>
      <c r="G102" t="str">
        <f>SmtRes!K203</f>
        <v>Шуруповерты</v>
      </c>
      <c r="H102" t="str">
        <f>SmtRes!O203</f>
        <v>маш.-ч.</v>
      </c>
      <c r="I102">
        <f>SmtRes!Y203*Source!I246</f>
        <v>0.49725374999999999</v>
      </c>
      <c r="J102">
        <f>SmtRes!AO203</f>
        <v>1</v>
      </c>
      <c r="K102">
        <f>SmtRes!AF203</f>
        <v>0.64</v>
      </c>
      <c r="L102">
        <f>SmtRes!DB203</f>
        <v>7.9749999999999996</v>
      </c>
      <c r="M102">
        <f>ROUND(ROUND(L102*Source!I246, 6)*1, 2)</f>
        <v>0.32</v>
      </c>
      <c r="N102">
        <f>SmtRes!AB203</f>
        <v>5.36</v>
      </c>
      <c r="O102">
        <f>ROUND(ROUND(L102*Source!I246, 6)*SmtRes!DA203, 2)</f>
        <v>2.5499999999999998</v>
      </c>
      <c r="P102">
        <f>SmtRes!AG203</f>
        <v>0.04</v>
      </c>
      <c r="Q102">
        <f>SmtRes!DC203</f>
        <v>0.5</v>
      </c>
      <c r="R102">
        <f>ROUND(ROUND(Q102*Source!I246, 6)*1, 2)</f>
        <v>0.02</v>
      </c>
      <c r="S102">
        <f>SmtRes!AC203</f>
        <v>1.22</v>
      </c>
      <c r="T102">
        <f>ROUND(ROUND(Q102*Source!I246, 6)*SmtRes!AK203, 2)</f>
        <v>0.57999999999999996</v>
      </c>
      <c r="U102">
        <v>2</v>
      </c>
      <c r="Y102">
        <f>SmtRes!X203</f>
        <v>926785503</v>
      </c>
      <c r="Z102">
        <v>978282338</v>
      </c>
      <c r="AA102">
        <v>-1628962247</v>
      </c>
    </row>
    <row r="103" spans="1:27" x14ac:dyDescent="0.2">
      <c r="A103">
        <v>20</v>
      </c>
      <c r="B103">
        <v>202</v>
      </c>
      <c r="C103">
        <v>2</v>
      </c>
      <c r="D103">
        <v>0</v>
      </c>
      <c r="E103">
        <f>SmtRes!AV202</f>
        <v>0</v>
      </c>
      <c r="F103" t="str">
        <f>SmtRes!I202</f>
        <v>2.1-30-10</v>
      </c>
      <c r="G103" t="str">
        <f>SmtRes!K202</f>
        <v>Перфораторы электрические, мощность до 800 Вт</v>
      </c>
      <c r="H103" t="str">
        <f>SmtRes!O202</f>
        <v>маш.-ч.</v>
      </c>
      <c r="I103">
        <f>SmtRes!Y202*Source!I246</f>
        <v>0.76607999999999998</v>
      </c>
      <c r="J103">
        <f>SmtRes!AO202</f>
        <v>1</v>
      </c>
      <c r="K103">
        <f>SmtRes!AF202</f>
        <v>1.59</v>
      </c>
      <c r="L103">
        <f>SmtRes!DB202</f>
        <v>30.524999999999999</v>
      </c>
      <c r="M103">
        <f>ROUND(ROUND(L103*Source!I246, 6)*1, 2)</f>
        <v>1.22</v>
      </c>
      <c r="N103">
        <f>SmtRes!AB202</f>
        <v>13.17</v>
      </c>
      <c r="O103">
        <f>ROUND(ROUND(L103*Source!I246, 6)*SmtRes!DA202, 2)</f>
        <v>9.6300000000000008</v>
      </c>
      <c r="P103">
        <f>SmtRes!AG202</f>
        <v>0.09</v>
      </c>
      <c r="Q103">
        <f>SmtRes!DC202</f>
        <v>1.7250000000000001</v>
      </c>
      <c r="R103">
        <f>ROUND(ROUND(Q103*Source!I246, 6)*1, 2)</f>
        <v>7.0000000000000007E-2</v>
      </c>
      <c r="S103">
        <f>SmtRes!AC202</f>
        <v>2.74</v>
      </c>
      <c r="T103">
        <f>ROUND(ROUND(Q103*Source!I246, 6)*SmtRes!AK202, 2)</f>
        <v>2</v>
      </c>
      <c r="U103">
        <v>2</v>
      </c>
      <c r="Y103">
        <f>SmtRes!X202</f>
        <v>814809297</v>
      </c>
      <c r="Z103">
        <v>-1358961253</v>
      </c>
      <c r="AA103">
        <v>-560420203</v>
      </c>
    </row>
    <row r="104" spans="1:27" x14ac:dyDescent="0.2">
      <c r="A104">
        <v>20</v>
      </c>
      <c r="B104">
        <v>201</v>
      </c>
      <c r="C104">
        <v>2</v>
      </c>
      <c r="D104">
        <v>0</v>
      </c>
      <c r="E104">
        <f>SmtRes!AV201</f>
        <v>0</v>
      </c>
      <c r="F104" t="str">
        <f>SmtRes!I201</f>
        <v>2.1-18-7</v>
      </c>
      <c r="G104" t="str">
        <f>SmtRes!K201</f>
        <v>Автомобили грузовые бортовые, грузоподъемность до 5 т</v>
      </c>
      <c r="H104" t="str">
        <f>SmtRes!O201</f>
        <v>маш.-ч.</v>
      </c>
      <c r="I104">
        <f>SmtRes!Y201*Source!I246</f>
        <v>0.16358999999999999</v>
      </c>
      <c r="J104">
        <f>SmtRes!AO201</f>
        <v>1</v>
      </c>
      <c r="K104">
        <f>SmtRes!AF201</f>
        <v>76.81</v>
      </c>
      <c r="L104">
        <f>SmtRes!DB201</f>
        <v>314.92500000000001</v>
      </c>
      <c r="M104">
        <f>ROUND(ROUND(L104*Source!I246, 6)*1, 2)</f>
        <v>12.57</v>
      </c>
      <c r="N104">
        <f>SmtRes!AB201</f>
        <v>918.4</v>
      </c>
      <c r="O104">
        <f>ROUND(ROUND(L104*Source!I246, 6)*SmtRes!DA201, 2)</f>
        <v>143.5</v>
      </c>
      <c r="P104">
        <f>SmtRes!AG201</f>
        <v>14.36</v>
      </c>
      <c r="Q104">
        <f>SmtRes!DC201</f>
        <v>58.875</v>
      </c>
      <c r="R104">
        <f>ROUND(ROUND(Q104*Source!I246, 6)*1, 2)</f>
        <v>2.35</v>
      </c>
      <c r="S104">
        <f>SmtRes!AC201</f>
        <v>436.46</v>
      </c>
      <c r="T104">
        <f>ROUND(ROUND(Q104*Source!I246, 6)*SmtRes!AK201, 2)</f>
        <v>68.19</v>
      </c>
      <c r="U104">
        <v>2</v>
      </c>
      <c r="Y104">
        <f>SmtRes!X201</f>
        <v>-628430174</v>
      </c>
      <c r="Z104">
        <v>-2049064267</v>
      </c>
      <c r="AA104">
        <v>-489591781</v>
      </c>
    </row>
    <row r="105" spans="1:27" x14ac:dyDescent="0.2">
      <c r="A105">
        <v>20</v>
      </c>
      <c r="B105">
        <v>200</v>
      </c>
      <c r="C105">
        <v>1</v>
      </c>
      <c r="D105">
        <v>0</v>
      </c>
      <c r="E105">
        <f>SmtRes!AV200</f>
        <v>1</v>
      </c>
      <c r="F105" t="str">
        <f>SmtRes!I200</f>
        <v>9999990008</v>
      </c>
      <c r="G105" t="str">
        <f>SmtRes!K200</f>
        <v>Трудозатраты рабочих</v>
      </c>
      <c r="H105" t="str">
        <f>SmtRes!O200</f>
        <v>чел.-ч.</v>
      </c>
      <c r="I105">
        <f>SmtRes!Y200*Source!I246</f>
        <v>5.6241244499999983</v>
      </c>
      <c r="J105">
        <f>SmtRes!AO200</f>
        <v>1</v>
      </c>
      <c r="K105">
        <f>SmtRes!AH200</f>
        <v>0</v>
      </c>
      <c r="L105">
        <f>SmtRes!DB200</f>
        <v>0</v>
      </c>
      <c r="M105">
        <f>ROUND(ROUND(L105*Source!I246, 6)*1, 2)</f>
        <v>0</v>
      </c>
      <c r="N105">
        <f>SmtRes!AD200</f>
        <v>0</v>
      </c>
      <c r="O105">
        <f>ROUND(ROUND(L105*Source!I246, 6)*SmtRes!DA200, 2)</f>
        <v>0</v>
      </c>
      <c r="P105">
        <f>SmtRes!AG200</f>
        <v>0</v>
      </c>
      <c r="Q105">
        <f>SmtRes!DC200</f>
        <v>0</v>
      </c>
      <c r="R105">
        <f>ROUND(ROUND(Q105*Source!I246, 6)*1, 2)</f>
        <v>0</v>
      </c>
      <c r="S105">
        <f>SmtRes!AC200</f>
        <v>0</v>
      </c>
      <c r="T105">
        <f>ROUND(ROUND(Q105*Source!I246, 6)*SmtRes!AK200, 2)</f>
        <v>0</v>
      </c>
      <c r="U105">
        <v>1</v>
      </c>
      <c r="Y105">
        <f>SmtRes!X200</f>
        <v>476480486</v>
      </c>
      <c r="Z105">
        <v>1499241640</v>
      </c>
      <c r="AA105">
        <v>1499241640</v>
      </c>
    </row>
    <row r="106" spans="1:27" x14ac:dyDescent="0.2">
      <c r="A106">
        <f>Source!A248</f>
        <v>18</v>
      </c>
      <c r="B106">
        <v>248</v>
      </c>
      <c r="C106">
        <v>3</v>
      </c>
      <c r="D106">
        <f>Source!BI248</f>
        <v>1</v>
      </c>
      <c r="E106">
        <f>Source!FS248</f>
        <v>0</v>
      </c>
      <c r="F106" t="str">
        <f>Source!F248</f>
        <v>1.1-1-3078</v>
      </c>
      <c r="G106" t="str">
        <f>Source!G248</f>
        <v>Лента пароизоляционная, самоклеящаяся, уплотнительная, бутилкаучуковая, дублированная нетканым полотном с двух сторон, прочность сцепления не менее 0,03 МПа, диапазон температур эксплуатации от -60 до +90°, ширина 70 мм, для защиты монтажной пены от увлажнения внутри помещения, препятствует образованию конденсата на поверхности внутренних откосов при монтаже оконных и дверных блоков, светопрозрачных конструкций</v>
      </c>
      <c r="H106" t="str">
        <f>Source!H248</f>
        <v>м</v>
      </c>
      <c r="I106">
        <f>Source!I248</f>
        <v>8.6981999999999999</v>
      </c>
      <c r="J106">
        <v>1</v>
      </c>
      <c r="K106">
        <f>Source!AC248</f>
        <v>13.06</v>
      </c>
      <c r="M106">
        <f>ROUND(K106*I106, 2)</f>
        <v>113.6</v>
      </c>
      <c r="N106">
        <f>Source!AC248*IF(Source!BC248&lt;&gt; 0, Source!BC248, 1)</f>
        <v>12.929400000000001</v>
      </c>
      <c r="O106">
        <f>ROUND(N106*I106, 2)</f>
        <v>112.46</v>
      </c>
      <c r="P106">
        <f>Source!AE248</f>
        <v>0</v>
      </c>
      <c r="R106">
        <f>ROUND(P106*I106, 2)</f>
        <v>0</v>
      </c>
      <c r="S106">
        <f>Source!AE248*IF(Source!BS248&lt;&gt; 0, Source!BS248, 1)</f>
        <v>0</v>
      </c>
      <c r="T106">
        <f>ROUND(S106*I106, 2)</f>
        <v>0</v>
      </c>
      <c r="U106">
        <v>3</v>
      </c>
      <c r="Y106">
        <f>Source!GF248</f>
        <v>1955688420</v>
      </c>
      <c r="Z106">
        <v>-1069453308</v>
      </c>
      <c r="AA106">
        <v>-337826950</v>
      </c>
    </row>
    <row r="107" spans="1:27" x14ac:dyDescent="0.2">
      <c r="A107">
        <f>Source!A250</f>
        <v>18</v>
      </c>
      <c r="B107">
        <v>250</v>
      </c>
      <c r="C107">
        <v>3</v>
      </c>
      <c r="D107">
        <f>Source!BI250</f>
        <v>1</v>
      </c>
      <c r="E107">
        <f>Source!FS250</f>
        <v>0</v>
      </c>
      <c r="F107" t="str">
        <f>Source!F250</f>
        <v>1.1-1-3079</v>
      </c>
      <c r="G107" t="str">
        <f>Source!G250</f>
        <v>Лента гидроизоляционная, паропроницаемая, самоклеящаяся, мембранного типа, с бутилкаучуковыми клеящими неотверждаемыми слоями герметика с двух краев защищенных антиадгезионной бумагой, прочность сцепления не менее 0,03 МПа, диапазон температур эксплуатации от -60 до +90°С, ширина 70 мм, для изоляции наружных стыков, защиты от проникновения наружной влаги, выхода водяных паров из монтажного шва, защиты монтажной пены от переувлажнения</v>
      </c>
      <c r="H107" t="str">
        <f>Source!H250</f>
        <v>м</v>
      </c>
      <c r="I107">
        <f>Source!I250</f>
        <v>1.5960000000000003</v>
      </c>
      <c r="J107">
        <v>1</v>
      </c>
      <c r="K107">
        <f>Source!AC250</f>
        <v>12.05</v>
      </c>
      <c r="M107">
        <f>ROUND(K107*I107, 2)</f>
        <v>19.23</v>
      </c>
      <c r="N107">
        <f>Source!AC250*IF(Source!BC250&lt;&gt; 0, Source!BC250, 1)</f>
        <v>8.5555000000000003</v>
      </c>
      <c r="O107">
        <f>ROUND(N107*I107, 2)</f>
        <v>13.65</v>
      </c>
      <c r="P107">
        <f>Source!AE250</f>
        <v>0</v>
      </c>
      <c r="R107">
        <f>ROUND(P107*I107, 2)</f>
        <v>0</v>
      </c>
      <c r="S107">
        <f>Source!AE250*IF(Source!BS250&lt;&gt; 0, Source!BS250, 1)</f>
        <v>0</v>
      </c>
      <c r="T107">
        <f>ROUND(S107*I107, 2)</f>
        <v>0</v>
      </c>
      <c r="U107">
        <v>3</v>
      </c>
      <c r="Y107">
        <f>Source!GF250</f>
        <v>501320542</v>
      </c>
      <c r="Z107">
        <v>435791900</v>
      </c>
      <c r="AA107">
        <v>1135357084</v>
      </c>
    </row>
    <row r="108" spans="1:27" x14ac:dyDescent="0.2">
      <c r="A108">
        <f>Source!A252</f>
        <v>18</v>
      </c>
      <c r="B108">
        <v>252</v>
      </c>
      <c r="C108">
        <v>3</v>
      </c>
      <c r="D108">
        <f>Source!BI252</f>
        <v>1</v>
      </c>
      <c r="E108">
        <f>Source!FS252</f>
        <v>0</v>
      </c>
      <c r="F108" t="str">
        <f>Source!F252</f>
        <v>1.9-2-23</v>
      </c>
      <c r="G108" t="str">
        <f>Source!G252</f>
        <v>Блоки дверные балконные из ПВХ профилей, с вентиляционным клапаном, одностворчатые, с двухкамерными стеклопакетами, с комплектом фурнитуры, площадь 1,6 м2, БП 22-7,5, для жилых домов</v>
      </c>
      <c r="H108" t="str">
        <f>Source!H252</f>
        <v>м2</v>
      </c>
      <c r="I108">
        <f>Source!I252</f>
        <v>3.99</v>
      </c>
      <c r="J108">
        <v>1</v>
      </c>
      <c r="K108">
        <f>Source!AC252</f>
        <v>3107.76</v>
      </c>
      <c r="M108">
        <f>ROUND(K108*I108, 2)</f>
        <v>12399.96</v>
      </c>
      <c r="N108">
        <f>Source!AC252*IF(Source!BC252&lt;&gt; 0, Source!BC252, 1)</f>
        <v>26882.124000000003</v>
      </c>
      <c r="O108">
        <f>ROUND(N108*I108, 2)</f>
        <v>107259.67</v>
      </c>
      <c r="P108">
        <f>Source!AE252</f>
        <v>0</v>
      </c>
      <c r="R108">
        <f>ROUND(P108*I108, 2)</f>
        <v>0</v>
      </c>
      <c r="S108">
        <f>Source!AE252*IF(Source!BS252&lt;&gt; 0, Source!BS252, 1)</f>
        <v>0</v>
      </c>
      <c r="T108">
        <f>ROUND(S108*I108, 2)</f>
        <v>0</v>
      </c>
      <c r="U108">
        <v>3</v>
      </c>
      <c r="Y108">
        <f>Source!GF252</f>
        <v>627948916</v>
      </c>
      <c r="Z108">
        <v>-1624390964</v>
      </c>
      <c r="AA108">
        <v>498604248</v>
      </c>
    </row>
    <row r="109" spans="1:27" x14ac:dyDescent="0.2">
      <c r="A109">
        <v>20</v>
      </c>
      <c r="B109">
        <v>215</v>
      </c>
      <c r="C109">
        <v>2</v>
      </c>
      <c r="D109">
        <v>0</v>
      </c>
      <c r="E109">
        <f>SmtRes!AV215</f>
        <v>0</v>
      </c>
      <c r="F109" t="str">
        <f>SmtRes!I215</f>
        <v>9999990007</v>
      </c>
      <c r="G109" t="str">
        <f>SmtRes!K215</f>
        <v>Стоимость прочих машин (ЭСН)</v>
      </c>
      <c r="H109" t="str">
        <f>SmtRes!O215</f>
        <v>руб.</v>
      </c>
      <c r="I109">
        <f>SmtRes!Y215*Source!I254</f>
        <v>0.375</v>
      </c>
      <c r="J109">
        <f>SmtRes!AO215</f>
        <v>1</v>
      </c>
      <c r="K109">
        <f>SmtRes!AF215</f>
        <v>1</v>
      </c>
      <c r="L109">
        <f>SmtRes!DB215</f>
        <v>6.25E-2</v>
      </c>
      <c r="M109">
        <f>ROUND(ROUND(L109*Source!I254, 6)*1, 2)</f>
        <v>0.38</v>
      </c>
      <c r="N109">
        <f>SmtRes!AB215</f>
        <v>1.05</v>
      </c>
      <c r="O109">
        <f>ROUND(ROUND(L109*Source!I254, 6)*SmtRes!DA215, 2)</f>
        <v>0.38</v>
      </c>
      <c r="P109">
        <f>SmtRes!AG215</f>
        <v>0</v>
      </c>
      <c r="Q109">
        <f>SmtRes!DC215</f>
        <v>0</v>
      </c>
      <c r="R109">
        <f>ROUND(ROUND(Q109*Source!I254, 6)*1, 2)</f>
        <v>0</v>
      </c>
      <c r="S109">
        <f>SmtRes!AC215</f>
        <v>0</v>
      </c>
      <c r="T109">
        <f>ROUND(ROUND(Q109*Source!I254, 6)*SmtRes!AK215, 2)</f>
        <v>0</v>
      </c>
      <c r="U109">
        <v>2</v>
      </c>
      <c r="Y109">
        <f>SmtRes!X215</f>
        <v>-1180195794</v>
      </c>
      <c r="Z109">
        <v>-595858232</v>
      </c>
      <c r="AA109">
        <v>-314357962</v>
      </c>
    </row>
    <row r="110" spans="1:27" x14ac:dyDescent="0.2">
      <c r="A110">
        <v>20</v>
      </c>
      <c r="B110">
        <v>214</v>
      </c>
      <c r="C110">
        <v>2</v>
      </c>
      <c r="D110">
        <v>0</v>
      </c>
      <c r="E110">
        <f>SmtRes!AV214</f>
        <v>0</v>
      </c>
      <c r="F110" t="str">
        <f>SmtRes!I214</f>
        <v>2.1-30-56</v>
      </c>
      <c r="G110" t="str">
        <f>SmtRes!K214</f>
        <v>Шуруповерты</v>
      </c>
      <c r="H110" t="str">
        <f>SmtRes!O214</f>
        <v>маш.-ч.</v>
      </c>
      <c r="I110">
        <f>SmtRes!Y214*Source!I254</f>
        <v>1.5</v>
      </c>
      <c r="J110">
        <f>SmtRes!AO214</f>
        <v>1</v>
      </c>
      <c r="K110">
        <f>SmtRes!AF214</f>
        <v>0.64</v>
      </c>
      <c r="L110">
        <f>SmtRes!DB214</f>
        <v>0.16250000000000001</v>
      </c>
      <c r="M110">
        <f>ROUND(ROUND(L110*Source!I254, 6)*1, 2)</f>
        <v>0.98</v>
      </c>
      <c r="N110">
        <f>SmtRes!AB214</f>
        <v>5.36</v>
      </c>
      <c r="O110">
        <f>ROUND(ROUND(L110*Source!I254, 6)*SmtRes!DA214, 2)</f>
        <v>7.8</v>
      </c>
      <c r="P110">
        <f>SmtRes!AG214</f>
        <v>0.04</v>
      </c>
      <c r="Q110">
        <f>SmtRes!DC214</f>
        <v>1.2500000000000001E-2</v>
      </c>
      <c r="R110">
        <f>ROUND(ROUND(Q110*Source!I254, 6)*1, 2)</f>
        <v>0.08</v>
      </c>
      <c r="S110">
        <f>SmtRes!AC214</f>
        <v>1.22</v>
      </c>
      <c r="T110">
        <f>ROUND(ROUND(Q110*Source!I254, 6)*SmtRes!AK214, 2)</f>
        <v>2.1800000000000002</v>
      </c>
      <c r="U110">
        <v>2</v>
      </c>
      <c r="Y110">
        <f>SmtRes!X214</f>
        <v>926785503</v>
      </c>
      <c r="Z110">
        <v>978282338</v>
      </c>
      <c r="AA110">
        <v>-1628962247</v>
      </c>
    </row>
    <row r="111" spans="1:27" x14ac:dyDescent="0.2">
      <c r="A111">
        <v>20</v>
      </c>
      <c r="B111">
        <v>213</v>
      </c>
      <c r="C111">
        <v>1</v>
      </c>
      <c r="D111">
        <v>0</v>
      </c>
      <c r="E111">
        <f>SmtRes!AV213</f>
        <v>1</v>
      </c>
      <c r="F111" t="str">
        <f>SmtRes!I213</f>
        <v>9999990008</v>
      </c>
      <c r="G111" t="str">
        <f>SmtRes!K213</f>
        <v>Трудозатраты рабочих</v>
      </c>
      <c r="H111" t="str">
        <f>SmtRes!O213</f>
        <v>чел.-ч.</v>
      </c>
      <c r="I111">
        <f>SmtRes!Y213*Source!I254</f>
        <v>1.863</v>
      </c>
      <c r="J111">
        <f>SmtRes!AO213</f>
        <v>1</v>
      </c>
      <c r="K111">
        <f>SmtRes!AH213</f>
        <v>0</v>
      </c>
      <c r="L111">
        <f>SmtRes!DB213</f>
        <v>0</v>
      </c>
      <c r="M111">
        <f>ROUND(ROUND(L111*Source!I254, 6)*1, 2)</f>
        <v>0</v>
      </c>
      <c r="N111">
        <f>SmtRes!AD213</f>
        <v>0</v>
      </c>
      <c r="O111">
        <f>ROUND(ROUND(L111*Source!I254, 6)*SmtRes!DA213, 2)</f>
        <v>0</v>
      </c>
      <c r="P111">
        <f>SmtRes!AG213</f>
        <v>0</v>
      </c>
      <c r="Q111">
        <f>SmtRes!DC213</f>
        <v>0</v>
      </c>
      <c r="R111">
        <f>ROUND(ROUND(Q111*Source!I254, 6)*1, 2)</f>
        <v>0</v>
      </c>
      <c r="S111">
        <f>SmtRes!AC213</f>
        <v>0</v>
      </c>
      <c r="T111">
        <f>ROUND(ROUND(Q111*Source!I254, 6)*SmtRes!AK213, 2)</f>
        <v>0</v>
      </c>
      <c r="U111">
        <v>1</v>
      </c>
      <c r="Y111">
        <f>SmtRes!X213</f>
        <v>476480486</v>
      </c>
      <c r="Z111">
        <v>1499241640</v>
      </c>
      <c r="AA111">
        <v>1499241640</v>
      </c>
    </row>
    <row r="112" spans="1:27" x14ac:dyDescent="0.2">
      <c r="A112">
        <f>Source!A256</f>
        <v>18</v>
      </c>
      <c r="B112">
        <v>256</v>
      </c>
      <c r="C112">
        <v>3</v>
      </c>
      <c r="D112">
        <f>Source!BI256</f>
        <v>1</v>
      </c>
      <c r="E112">
        <f>Source!FS256</f>
        <v>0</v>
      </c>
      <c r="F112" t="str">
        <f>Source!F256</f>
        <v>1.8-1-73</v>
      </c>
      <c r="G112" t="str">
        <f>Source!G256</f>
        <v>Доводчик дверной, гидравлический, масса двери до 80 кг</v>
      </c>
      <c r="H112" t="str">
        <f>Source!H256</f>
        <v>шт.</v>
      </c>
      <c r="I112">
        <f>Source!I256</f>
        <v>6</v>
      </c>
      <c r="J112">
        <v>1</v>
      </c>
      <c r="K112">
        <f>Source!AC256</f>
        <v>267.93</v>
      </c>
      <c r="M112">
        <f>ROUND(K112*I112, 2)</f>
        <v>1607.58</v>
      </c>
      <c r="N112">
        <f>Source!AC256*IF(Source!BC256&lt;&gt; 0, Source!BC256, 1)</f>
        <v>1602.2214000000001</v>
      </c>
      <c r="O112">
        <f>ROUND(N112*I112, 2)</f>
        <v>9613.33</v>
      </c>
      <c r="P112">
        <f>Source!AE256</f>
        <v>0</v>
      </c>
      <c r="R112">
        <f>ROUND(P112*I112, 2)</f>
        <v>0</v>
      </c>
      <c r="S112">
        <f>Source!AE256*IF(Source!BS256&lt;&gt; 0, Source!BS256, 1)</f>
        <v>0</v>
      </c>
      <c r="T112">
        <f>ROUND(S112*I112, 2)</f>
        <v>0</v>
      </c>
      <c r="U112">
        <v>3</v>
      </c>
      <c r="Y112">
        <f>Source!GF256</f>
        <v>-53843207</v>
      </c>
      <c r="Z112">
        <v>1192930487</v>
      </c>
      <c r="AA112">
        <v>-707991663</v>
      </c>
    </row>
    <row r="113" spans="1:27" x14ac:dyDescent="0.2">
      <c r="A113">
        <v>20</v>
      </c>
      <c r="B113">
        <v>225</v>
      </c>
      <c r="C113">
        <v>3</v>
      </c>
      <c r="D113">
        <v>0</v>
      </c>
      <c r="E113">
        <f>SmtRes!AV225</f>
        <v>0</v>
      </c>
      <c r="F113" t="str">
        <f>SmtRes!I225</f>
        <v>9999990006</v>
      </c>
      <c r="G113" t="str">
        <f>SmtRes!K225</f>
        <v>Стоимость прочих материалов (ЭСН)</v>
      </c>
      <c r="H113" t="str">
        <f>SmtRes!O225</f>
        <v>руб.</v>
      </c>
      <c r="I113">
        <f>SmtRes!Y225*Source!I258</f>
        <v>0.6</v>
      </c>
      <c r="J113">
        <f>SmtRes!AO225</f>
        <v>1</v>
      </c>
      <c r="K113">
        <f>SmtRes!AE225</f>
        <v>1</v>
      </c>
      <c r="L113">
        <f>SmtRes!DB225</f>
        <v>60</v>
      </c>
      <c r="M113">
        <f>ROUND(ROUND(L113*Source!I258, 6)*1, 2)</f>
        <v>0.6</v>
      </c>
      <c r="N113">
        <f>SmtRes!AA225</f>
        <v>8.65</v>
      </c>
      <c r="O113">
        <f>ROUND(ROUND(L113*Source!I258, 6)*SmtRes!DA225, 2)</f>
        <v>5.19</v>
      </c>
      <c r="P113">
        <f>SmtRes!AG225</f>
        <v>0</v>
      </c>
      <c r="Q113">
        <f>SmtRes!DC225</f>
        <v>0</v>
      </c>
      <c r="R113">
        <f>ROUND(ROUND(Q113*Source!I258, 6)*1, 2)</f>
        <v>0</v>
      </c>
      <c r="S113">
        <f>SmtRes!AC225</f>
        <v>0</v>
      </c>
      <c r="T113">
        <f>ROUND(ROUND(Q113*Source!I258, 6)*SmtRes!AK225, 2)</f>
        <v>0</v>
      </c>
      <c r="U113">
        <v>3</v>
      </c>
      <c r="Y113">
        <f>SmtRes!X225</f>
        <v>-94250534</v>
      </c>
      <c r="Z113">
        <v>-1771809642</v>
      </c>
      <c r="AA113">
        <v>19367311</v>
      </c>
    </row>
    <row r="114" spans="1:27" x14ac:dyDescent="0.2">
      <c r="A114">
        <v>20</v>
      </c>
      <c r="B114">
        <v>224</v>
      </c>
      <c r="C114">
        <v>2</v>
      </c>
      <c r="D114">
        <v>0</v>
      </c>
      <c r="E114">
        <f>SmtRes!AV224</f>
        <v>0</v>
      </c>
      <c r="F114" t="str">
        <f>SmtRes!I224</f>
        <v>2.1-4-33</v>
      </c>
      <c r="G114" t="str">
        <f>SmtRes!K224</f>
        <v>Лебедки электрические, грузоподъемность до 3 т</v>
      </c>
      <c r="H114" t="str">
        <f>SmtRes!O224</f>
        <v>маш.-ч.</v>
      </c>
      <c r="I114">
        <f>SmtRes!Y224*Source!I258</f>
        <v>0.78500000000000003</v>
      </c>
      <c r="J114">
        <f>SmtRes!AO224</f>
        <v>1</v>
      </c>
      <c r="K114">
        <f>SmtRes!AF224</f>
        <v>6.75</v>
      </c>
      <c r="L114">
        <f>SmtRes!DB224</f>
        <v>529.875</v>
      </c>
      <c r="M114">
        <f>ROUND(ROUND(L114*Source!I258, 6)*1, 2)</f>
        <v>5.3</v>
      </c>
      <c r="N114">
        <f>SmtRes!AB224</f>
        <v>7.34</v>
      </c>
      <c r="O114">
        <f>ROUND(ROUND(L114*Source!I258, 6)*SmtRes!DA224, 2)</f>
        <v>5.3</v>
      </c>
      <c r="P114">
        <f>SmtRes!AG224</f>
        <v>0.32</v>
      </c>
      <c r="Q114">
        <f>SmtRes!DC224</f>
        <v>25.125</v>
      </c>
      <c r="R114">
        <f>ROUND(ROUND(Q114*Source!I258, 6)*1, 2)</f>
        <v>0.25</v>
      </c>
      <c r="S114">
        <f>SmtRes!AC224</f>
        <v>0.35</v>
      </c>
      <c r="T114">
        <f>ROUND(ROUND(Q114*Source!I258, 6)*SmtRes!AK224, 2)</f>
        <v>0.25</v>
      </c>
      <c r="U114">
        <v>2</v>
      </c>
      <c r="Y114">
        <f>SmtRes!X224</f>
        <v>1299918669</v>
      </c>
      <c r="Z114">
        <v>-1304456840</v>
      </c>
      <c r="AA114">
        <v>434635663</v>
      </c>
    </row>
    <row r="115" spans="1:27" x14ac:dyDescent="0.2">
      <c r="A115">
        <v>20</v>
      </c>
      <c r="B115">
        <v>223</v>
      </c>
      <c r="C115">
        <v>2</v>
      </c>
      <c r="D115">
        <v>0</v>
      </c>
      <c r="E115">
        <f>SmtRes!AV223</f>
        <v>0</v>
      </c>
      <c r="F115" t="str">
        <f>SmtRes!I223</f>
        <v>2.1-3-38</v>
      </c>
      <c r="G115" t="str">
        <f>SmtRes!K223</f>
        <v>Краны на автомобильном ходу, грузоподъемность до 16 т</v>
      </c>
      <c r="H115" t="str">
        <f>SmtRes!O223</f>
        <v>маш.-ч.</v>
      </c>
      <c r="I115">
        <f>SmtRes!Y223*Source!I258</f>
        <v>0.03</v>
      </c>
      <c r="J115">
        <f>SmtRes!AO223</f>
        <v>1</v>
      </c>
      <c r="K115">
        <f>SmtRes!AF223</f>
        <v>190.93</v>
      </c>
      <c r="L115">
        <f>SmtRes!DB223</f>
        <v>572.78750000000002</v>
      </c>
      <c r="M115">
        <f>ROUND(ROUND(L115*Source!I258, 6)*1, 2)</f>
        <v>5.73</v>
      </c>
      <c r="N115">
        <f>SmtRes!AB223</f>
        <v>2137.67</v>
      </c>
      <c r="O115">
        <f>ROUND(ROUND(L115*Source!I258, 6)*SmtRes!DA223, 2)</f>
        <v>59</v>
      </c>
      <c r="P115">
        <f>SmtRes!AG223</f>
        <v>18.149999999999999</v>
      </c>
      <c r="Q115">
        <f>SmtRes!DC223</f>
        <v>54.45</v>
      </c>
      <c r="R115">
        <f>ROUND(ROUND(Q115*Source!I258, 6)*1, 2)</f>
        <v>0.54</v>
      </c>
      <c r="S115">
        <f>SmtRes!AC223</f>
        <v>572.73</v>
      </c>
      <c r="T115">
        <f>ROUND(ROUND(Q115*Source!I258, 6)*SmtRes!AK223, 2)</f>
        <v>15.81</v>
      </c>
      <c r="U115">
        <v>2</v>
      </c>
      <c r="Y115">
        <f>SmtRes!X223</f>
        <v>-266174272</v>
      </c>
      <c r="Z115">
        <v>-2048655808</v>
      </c>
      <c r="AA115">
        <v>1719619468</v>
      </c>
    </row>
    <row r="116" spans="1:27" x14ac:dyDescent="0.2">
      <c r="A116">
        <v>20</v>
      </c>
      <c r="B116">
        <v>222</v>
      </c>
      <c r="C116">
        <v>1</v>
      </c>
      <c r="D116">
        <v>0</v>
      </c>
      <c r="E116">
        <f>SmtRes!AV222</f>
        <v>1</v>
      </c>
      <c r="F116" t="str">
        <f>SmtRes!I222</f>
        <v>9999990008</v>
      </c>
      <c r="G116" t="str">
        <f>SmtRes!K222</f>
        <v>Трудозатраты рабочих</v>
      </c>
      <c r="H116" t="str">
        <f>SmtRes!O222</f>
        <v>чел.-ч.</v>
      </c>
      <c r="I116">
        <f>SmtRes!Y222*Source!I258</f>
        <v>3.1279999999999997</v>
      </c>
      <c r="J116">
        <f>SmtRes!AO222</f>
        <v>1</v>
      </c>
      <c r="K116">
        <f>SmtRes!AH222</f>
        <v>0</v>
      </c>
      <c r="L116">
        <f>SmtRes!DB222</f>
        <v>0</v>
      </c>
      <c r="M116">
        <f>ROUND(ROUND(L116*Source!I258, 6)*1, 2)</f>
        <v>0</v>
      </c>
      <c r="N116">
        <f>SmtRes!AD222</f>
        <v>0</v>
      </c>
      <c r="O116">
        <f>ROUND(ROUND(L116*Source!I258, 6)*SmtRes!DA222, 2)</f>
        <v>0</v>
      </c>
      <c r="P116">
        <f>SmtRes!AG222</f>
        <v>0</v>
      </c>
      <c r="Q116">
        <f>SmtRes!DC222</f>
        <v>0</v>
      </c>
      <c r="R116">
        <f>ROUND(ROUND(Q116*Source!I258, 6)*1, 2)</f>
        <v>0</v>
      </c>
      <c r="S116">
        <f>SmtRes!AC222</f>
        <v>0</v>
      </c>
      <c r="T116">
        <f>ROUND(ROUND(Q116*Source!I258, 6)*SmtRes!AK222, 2)</f>
        <v>0</v>
      </c>
      <c r="U116">
        <v>1</v>
      </c>
      <c r="Y116">
        <f>SmtRes!X222</f>
        <v>476480486</v>
      </c>
      <c r="Z116">
        <v>1499241640</v>
      </c>
      <c r="AA116">
        <v>1499241640</v>
      </c>
    </row>
    <row r="117" spans="1:27" x14ac:dyDescent="0.2">
      <c r="A117">
        <f>Source!A260</f>
        <v>18</v>
      </c>
      <c r="B117">
        <v>260</v>
      </c>
      <c r="C117">
        <v>3</v>
      </c>
      <c r="D117">
        <f>Source!BI260</f>
        <v>1</v>
      </c>
      <c r="E117">
        <f>Source!FS260</f>
        <v>0</v>
      </c>
      <c r="F117" t="str">
        <f>Source!F260</f>
        <v>Цена поставщика</v>
      </c>
      <c r="G117" t="str">
        <f>Source!G260</f>
        <v>Алюминиевое противопожарное окно ОП 1 (E 60)</v>
      </c>
      <c r="H117" t="str">
        <f>Source!H260</f>
        <v>м2</v>
      </c>
      <c r="I117">
        <f>Source!I260</f>
        <v>2.1842000000000001</v>
      </c>
      <c r="J117">
        <v>1</v>
      </c>
      <c r="K117">
        <f>Source!AC260</f>
        <v>3419.65</v>
      </c>
      <c r="M117">
        <f>ROUND(K117*I117, 2)</f>
        <v>7469.2</v>
      </c>
      <c r="N117">
        <f>Source!AC260*IF(Source!BC260&lt;&gt; 0, Source!BC260, 1)</f>
        <v>29579.972500000003</v>
      </c>
      <c r="O117">
        <f>ROUND(N117*I117, 2)</f>
        <v>64608.58</v>
      </c>
      <c r="P117">
        <f>Source!AE260</f>
        <v>0</v>
      </c>
      <c r="R117">
        <f>ROUND(P117*I117, 2)</f>
        <v>0</v>
      </c>
      <c r="S117">
        <f>Source!AE260*IF(Source!BS260&lt;&gt; 0, Source!BS260, 1)</f>
        <v>0</v>
      </c>
      <c r="T117">
        <f>ROUND(S117*I117, 2)</f>
        <v>0</v>
      </c>
      <c r="U117">
        <v>3</v>
      </c>
      <c r="Y117">
        <f>Source!GF260</f>
        <v>1461085409</v>
      </c>
      <c r="Z117">
        <v>-1707519703</v>
      </c>
      <c r="AA117">
        <v>1476032960</v>
      </c>
    </row>
    <row r="118" spans="1:27" x14ac:dyDescent="0.2">
      <c r="A118">
        <v>20</v>
      </c>
      <c r="B118">
        <v>237</v>
      </c>
      <c r="C118">
        <v>3</v>
      </c>
      <c r="D118">
        <v>0</v>
      </c>
      <c r="E118">
        <f>SmtRes!AV237</f>
        <v>0</v>
      </c>
      <c r="F118" t="str">
        <f>SmtRes!I237</f>
        <v>1.1-1-57</v>
      </c>
      <c r="G118" t="str">
        <f>SmtRes!K237</f>
        <v>Болты строительные черные с гайками и шайбами (10х100 мм)</v>
      </c>
      <c r="H118" t="str">
        <f>SmtRes!O237</f>
        <v>т</v>
      </c>
      <c r="I118">
        <f>SmtRes!Y237*Source!I262</f>
        <v>3.5000000000000001E-3</v>
      </c>
      <c r="J118">
        <f>SmtRes!AO237</f>
        <v>1</v>
      </c>
      <c r="K118">
        <f>SmtRes!AE237</f>
        <v>17876.91</v>
      </c>
      <c r="L118">
        <f>SmtRes!DB237</f>
        <v>62.57</v>
      </c>
      <c r="M118">
        <f>ROUND(ROUND(L118*Source!I262, 6)*1, 2)</f>
        <v>62.57</v>
      </c>
      <c r="N118">
        <f>SmtRes!AA237</f>
        <v>128713.75</v>
      </c>
      <c r="O118">
        <f>ROUND(ROUND(L118*Source!I262, 6)*SmtRes!DA237, 2)</f>
        <v>450.5</v>
      </c>
      <c r="P118">
        <f>SmtRes!AG237</f>
        <v>0</v>
      </c>
      <c r="Q118">
        <f>SmtRes!DC237</f>
        <v>0</v>
      </c>
      <c r="R118">
        <f>ROUND(ROUND(Q118*Source!I262, 6)*1, 2)</f>
        <v>0</v>
      </c>
      <c r="S118">
        <f>SmtRes!AC237</f>
        <v>0</v>
      </c>
      <c r="T118">
        <f>ROUND(ROUND(Q118*Source!I262, 6)*SmtRes!AK237, 2)</f>
        <v>0</v>
      </c>
      <c r="U118">
        <v>3</v>
      </c>
      <c r="Y118">
        <f>SmtRes!X237</f>
        <v>-1798553121</v>
      </c>
      <c r="Z118">
        <v>1247950312</v>
      </c>
      <c r="AA118">
        <v>-1809354639</v>
      </c>
    </row>
    <row r="119" spans="1:27" x14ac:dyDescent="0.2">
      <c r="A119">
        <v>20</v>
      </c>
      <c r="B119">
        <v>236</v>
      </c>
      <c r="C119">
        <v>3</v>
      </c>
      <c r="D119">
        <v>0</v>
      </c>
      <c r="E119">
        <f>SmtRes!AV236</f>
        <v>0</v>
      </c>
      <c r="F119" t="str">
        <f>SmtRes!I236</f>
        <v>1.1-1-1669</v>
      </c>
      <c r="G119" t="str">
        <f>SmtRes!K236</f>
        <v>Электроды, тип Э-42А, диаметр 4-6 мм</v>
      </c>
      <c r="H119" t="str">
        <f>SmtRes!O236</f>
        <v>т</v>
      </c>
      <c r="I119">
        <f>SmtRes!Y236*Source!I262</f>
        <v>5.4000000000000001E-4</v>
      </c>
      <c r="J119">
        <f>SmtRes!AO236</f>
        <v>1</v>
      </c>
      <c r="K119">
        <f>SmtRes!AE236</f>
        <v>8596.85</v>
      </c>
      <c r="L119">
        <f>SmtRes!DB236</f>
        <v>4.6399999999999997</v>
      </c>
      <c r="M119">
        <f>ROUND(ROUND(L119*Source!I262, 6)*1, 2)</f>
        <v>4.6399999999999997</v>
      </c>
      <c r="N119">
        <f>SmtRes!AA236</f>
        <v>147006.14000000001</v>
      </c>
      <c r="O119">
        <f>ROUND(ROUND(L119*Source!I262, 6)*SmtRes!DA236, 2)</f>
        <v>79.34</v>
      </c>
      <c r="P119">
        <f>SmtRes!AG236</f>
        <v>0</v>
      </c>
      <c r="Q119">
        <f>SmtRes!DC236</f>
        <v>0</v>
      </c>
      <c r="R119">
        <f>ROUND(ROUND(Q119*Source!I262, 6)*1, 2)</f>
        <v>0</v>
      </c>
      <c r="S119">
        <f>SmtRes!AC236</f>
        <v>0</v>
      </c>
      <c r="T119">
        <f>ROUND(ROUND(Q119*Source!I262, 6)*SmtRes!AK236, 2)</f>
        <v>0</v>
      </c>
      <c r="U119">
        <v>3</v>
      </c>
      <c r="Y119">
        <f>SmtRes!X236</f>
        <v>-1951435217</v>
      </c>
      <c r="Z119">
        <v>-1378019838</v>
      </c>
      <c r="AA119">
        <v>-796581828</v>
      </c>
    </row>
    <row r="120" spans="1:27" x14ac:dyDescent="0.2">
      <c r="A120">
        <v>20</v>
      </c>
      <c r="B120">
        <v>235</v>
      </c>
      <c r="C120">
        <v>2</v>
      </c>
      <c r="D120">
        <v>0</v>
      </c>
      <c r="E120">
        <f>SmtRes!AV235</f>
        <v>0</v>
      </c>
      <c r="F120" t="str">
        <f>SmtRes!I235</f>
        <v>2.1-18-7</v>
      </c>
      <c r="G120" t="str">
        <f>SmtRes!K235</f>
        <v>Автомобили грузовые бортовые, грузоподъемность до 5 т</v>
      </c>
      <c r="H120" t="str">
        <f>SmtRes!O235</f>
        <v>маш.-ч.</v>
      </c>
      <c r="I120">
        <f>SmtRes!Y235*Source!I262</f>
        <v>7.4999999999999997E-2</v>
      </c>
      <c r="J120">
        <f>SmtRes!AO235</f>
        <v>1</v>
      </c>
      <c r="K120">
        <f>SmtRes!AF235</f>
        <v>76.81</v>
      </c>
      <c r="L120">
        <f>SmtRes!DB235</f>
        <v>5.7625000000000002</v>
      </c>
      <c r="M120">
        <f>ROUND(ROUND(L120*Source!I262, 6)*1, 2)</f>
        <v>5.76</v>
      </c>
      <c r="N120">
        <f>SmtRes!AB235</f>
        <v>935.94</v>
      </c>
      <c r="O120">
        <f>ROUND(ROUND(L120*Source!I262, 6)*SmtRes!DA235, 2)</f>
        <v>65.81</v>
      </c>
      <c r="P120">
        <f>SmtRes!AG235</f>
        <v>14.36</v>
      </c>
      <c r="Q120">
        <f>SmtRes!DC235</f>
        <v>1.075</v>
      </c>
      <c r="R120">
        <f>ROUND(ROUND(Q120*Source!I262, 6)*1, 2)</f>
        <v>1.08</v>
      </c>
      <c r="S120">
        <f>SmtRes!AC235</f>
        <v>444.8</v>
      </c>
      <c r="T120">
        <f>ROUND(ROUND(Q120*Source!I262, 6)*SmtRes!AK235, 2)</f>
        <v>31.21</v>
      </c>
      <c r="U120">
        <v>2</v>
      </c>
      <c r="Y120">
        <f>SmtRes!X235</f>
        <v>-628430174</v>
      </c>
      <c r="Z120">
        <v>-2049064267</v>
      </c>
      <c r="AA120">
        <v>1144387144</v>
      </c>
    </row>
    <row r="121" spans="1:27" x14ac:dyDescent="0.2">
      <c r="A121">
        <v>20</v>
      </c>
      <c r="B121">
        <v>234</v>
      </c>
      <c r="C121">
        <v>2</v>
      </c>
      <c r="D121">
        <v>0</v>
      </c>
      <c r="E121">
        <f>SmtRes!AV234</f>
        <v>0</v>
      </c>
      <c r="F121" t="str">
        <f>SmtRes!I234</f>
        <v>2.1-13-14</v>
      </c>
      <c r="G121" t="str">
        <f>SmtRes!K234</f>
        <v>Аппараты сварочные постоянного тока (выпрямители) для ручной дуговой сварки, сварочный ток до 500 А</v>
      </c>
      <c r="H121" t="str">
        <f>SmtRes!O234</f>
        <v>маш.-ч.</v>
      </c>
      <c r="I121">
        <f>SmtRes!Y234*Source!I262</f>
        <v>0.67500000000000004</v>
      </c>
      <c r="J121">
        <f>SmtRes!AO234</f>
        <v>1</v>
      </c>
      <c r="K121">
        <f>SmtRes!AF234</f>
        <v>6.15</v>
      </c>
      <c r="L121">
        <f>SmtRes!DB234</f>
        <v>4.1500000000000004</v>
      </c>
      <c r="M121">
        <f>ROUND(ROUND(L121*Source!I262, 6)*1, 2)</f>
        <v>4.1500000000000004</v>
      </c>
      <c r="N121">
        <f>SmtRes!AB234</f>
        <v>67.13</v>
      </c>
      <c r="O121">
        <f>ROUND(ROUND(L121*Source!I262, 6)*SmtRes!DA234, 2)</f>
        <v>42.45</v>
      </c>
      <c r="P121">
        <f>SmtRes!AG234</f>
        <v>0.02</v>
      </c>
      <c r="Q121">
        <f>SmtRes!DC234</f>
        <v>1.2500000000000001E-2</v>
      </c>
      <c r="R121">
        <f>ROUND(ROUND(Q121*Source!I262, 6)*1, 2)</f>
        <v>0.01</v>
      </c>
      <c r="S121">
        <f>SmtRes!AC234</f>
        <v>0.62</v>
      </c>
      <c r="T121">
        <f>ROUND(ROUND(Q121*Source!I262, 6)*SmtRes!AK234, 2)</f>
        <v>0.36</v>
      </c>
      <c r="U121">
        <v>2</v>
      </c>
      <c r="Y121">
        <f>SmtRes!X234</f>
        <v>49912578</v>
      </c>
      <c r="Z121">
        <v>-1184234032</v>
      </c>
      <c r="AA121">
        <v>473043955</v>
      </c>
    </row>
    <row r="122" spans="1:27" x14ac:dyDescent="0.2">
      <c r="A122">
        <v>20</v>
      </c>
      <c r="B122">
        <v>233</v>
      </c>
      <c r="C122">
        <v>1</v>
      </c>
      <c r="D122">
        <v>0</v>
      </c>
      <c r="E122">
        <f>SmtRes!AV233</f>
        <v>1</v>
      </c>
      <c r="F122" t="str">
        <f>SmtRes!I233</f>
        <v>9999990008</v>
      </c>
      <c r="G122" t="str">
        <f>SmtRes!K233</f>
        <v>Трудозатраты рабочих</v>
      </c>
      <c r="H122" t="str">
        <f>SmtRes!O233</f>
        <v>чел.-ч.</v>
      </c>
      <c r="I122">
        <f>SmtRes!Y233*Source!I262</f>
        <v>2.2999999999999998</v>
      </c>
      <c r="J122">
        <f>SmtRes!AO233</f>
        <v>1</v>
      </c>
      <c r="K122">
        <f>SmtRes!AH233</f>
        <v>0</v>
      </c>
      <c r="L122">
        <f>SmtRes!DB233</f>
        <v>0</v>
      </c>
      <c r="M122">
        <f>ROUND(ROUND(L122*Source!I262, 6)*1, 2)</f>
        <v>0</v>
      </c>
      <c r="N122">
        <f>SmtRes!AD233</f>
        <v>0</v>
      </c>
      <c r="O122">
        <f>ROUND(ROUND(L122*Source!I262, 6)*SmtRes!DA233, 2)</f>
        <v>0</v>
      </c>
      <c r="P122">
        <f>SmtRes!AG233</f>
        <v>0</v>
      </c>
      <c r="Q122">
        <f>SmtRes!DC233</f>
        <v>0</v>
      </c>
      <c r="R122">
        <f>ROUND(ROUND(Q122*Source!I262, 6)*1, 2)</f>
        <v>0</v>
      </c>
      <c r="S122">
        <f>SmtRes!AC233</f>
        <v>0</v>
      </c>
      <c r="T122">
        <f>ROUND(ROUND(Q122*Source!I262, 6)*SmtRes!AK233, 2)</f>
        <v>0</v>
      </c>
      <c r="U122">
        <v>1</v>
      </c>
      <c r="Y122">
        <f>SmtRes!X233</f>
        <v>476480486</v>
      </c>
      <c r="Z122">
        <v>1499241640</v>
      </c>
      <c r="AA122">
        <v>1499241640</v>
      </c>
    </row>
    <row r="123" spans="1:27" x14ac:dyDescent="0.2">
      <c r="A123">
        <f>Source!A264</f>
        <v>18</v>
      </c>
      <c r="B123">
        <v>264</v>
      </c>
      <c r="C123">
        <v>3</v>
      </c>
      <c r="D123">
        <f>Source!BI264</f>
        <v>1</v>
      </c>
      <c r="E123">
        <f>Source!FS264</f>
        <v>0</v>
      </c>
      <c r="F123" t="str">
        <f>Source!F264</f>
        <v>Цена поставщика</v>
      </c>
      <c r="G123" t="str">
        <f>Source!G264</f>
        <v>Дверь для пожарной ниши ДПН 600x700</v>
      </c>
      <c r="H123" t="str">
        <f>Source!H264</f>
        <v>шт.</v>
      </c>
      <c r="I123">
        <f>Source!I264</f>
        <v>1</v>
      </c>
      <c r="J123">
        <v>1</v>
      </c>
      <c r="K123">
        <f>Source!AC264</f>
        <v>218.06</v>
      </c>
      <c r="M123">
        <f>ROUND(K123*I123, 2)</f>
        <v>218.06</v>
      </c>
      <c r="N123">
        <f>Source!AC264*IF(Source!BC264&lt;&gt; 0, Source!BC264, 1)</f>
        <v>1886.2190000000001</v>
      </c>
      <c r="O123">
        <f>ROUND(N123*I123, 2)</f>
        <v>1886.22</v>
      </c>
      <c r="P123">
        <f>Source!AE264</f>
        <v>0</v>
      </c>
      <c r="R123">
        <f>ROUND(P123*I123, 2)</f>
        <v>0</v>
      </c>
      <c r="S123">
        <f>Source!AE264*IF(Source!BS264&lt;&gt; 0, Source!BS264, 1)</f>
        <v>0</v>
      </c>
      <c r="T123">
        <f>ROUND(S123*I123, 2)</f>
        <v>0</v>
      </c>
      <c r="U123">
        <v>3</v>
      </c>
      <c r="Y123">
        <f>Source!GF264</f>
        <v>1123218831</v>
      </c>
      <c r="Z123">
        <v>1731109983</v>
      </c>
      <c r="AA123">
        <v>412635625</v>
      </c>
    </row>
    <row r="124" spans="1:27" x14ac:dyDescent="0.2">
      <c r="A124">
        <v>20</v>
      </c>
      <c r="B124">
        <v>249</v>
      </c>
      <c r="C124">
        <v>3</v>
      </c>
      <c r="D124">
        <v>0</v>
      </c>
      <c r="E124">
        <f>SmtRes!AV249</f>
        <v>0</v>
      </c>
      <c r="F124" t="str">
        <f>SmtRes!I249</f>
        <v>1.1-1-923</v>
      </c>
      <c r="G124" t="str">
        <f>SmtRes!K249</f>
        <v>Поковки строительные (скобы, закрепы, хомуты) простые, масса 1,8 кг</v>
      </c>
      <c r="H124" t="str">
        <f>SmtRes!O249</f>
        <v>т</v>
      </c>
      <c r="I124">
        <f>SmtRes!Y249*Source!I266</f>
        <v>6.8999999999999997E-5</v>
      </c>
      <c r="J124">
        <f>SmtRes!AO249</f>
        <v>1</v>
      </c>
      <c r="K124">
        <f>SmtRes!AE249</f>
        <v>6870.66</v>
      </c>
      <c r="L124">
        <f>SmtRes!DB249</f>
        <v>15.8</v>
      </c>
      <c r="M124">
        <f>ROUND(ROUND(L124*Source!I266, 6)*1, 2)</f>
        <v>0.47</v>
      </c>
      <c r="N124">
        <f>SmtRes!AA249</f>
        <v>55916.87</v>
      </c>
      <c r="O124">
        <f>ROUND(ROUND(L124*Source!I266, 6)*SmtRes!DA249, 2)</f>
        <v>3.76</v>
      </c>
      <c r="P124">
        <f>SmtRes!AG249</f>
        <v>0</v>
      </c>
      <c r="Q124">
        <f>SmtRes!DC249</f>
        <v>0</v>
      </c>
      <c r="R124">
        <f>ROUND(ROUND(Q124*Source!I266, 6)*1, 2)</f>
        <v>0</v>
      </c>
      <c r="S124">
        <f>SmtRes!AC249</f>
        <v>0</v>
      </c>
      <c r="T124">
        <f>ROUND(ROUND(Q124*Source!I266, 6)*SmtRes!AK249, 2)</f>
        <v>0</v>
      </c>
      <c r="U124">
        <v>3</v>
      </c>
      <c r="Y124">
        <f>SmtRes!X249</f>
        <v>-1557622869</v>
      </c>
      <c r="Z124">
        <v>-1525124193</v>
      </c>
      <c r="AA124">
        <v>1376669204</v>
      </c>
    </row>
    <row r="125" spans="1:27" x14ac:dyDescent="0.2">
      <c r="A125">
        <v>20</v>
      </c>
      <c r="B125">
        <v>248</v>
      </c>
      <c r="C125">
        <v>3</v>
      </c>
      <c r="D125">
        <v>0</v>
      </c>
      <c r="E125">
        <f>SmtRes!AV248</f>
        <v>0</v>
      </c>
      <c r="F125" t="str">
        <f>SmtRes!I248</f>
        <v>1.1-1-81</v>
      </c>
      <c r="G125" t="str">
        <f>SmtRes!K248</f>
        <v>Бруски хвойных пород обрезные, длина 2-6,5 м, сорт IV, толщина 50-60 мм</v>
      </c>
      <c r="H125" t="str">
        <f>SmtRes!O248</f>
        <v>м3</v>
      </c>
      <c r="I125">
        <f>SmtRes!Y248*Source!I266</f>
        <v>4.8000000000000001E-4</v>
      </c>
      <c r="J125">
        <f>SmtRes!AO248</f>
        <v>1</v>
      </c>
      <c r="K125">
        <f>SmtRes!AE248</f>
        <v>2472.13</v>
      </c>
      <c r="L125">
        <f>SmtRes!DB248</f>
        <v>39.549999999999997</v>
      </c>
      <c r="M125">
        <f>ROUND(ROUND(L125*Source!I266, 6)*1, 2)</f>
        <v>1.19</v>
      </c>
      <c r="N125">
        <f>SmtRes!AA248</f>
        <v>9628.9500000000007</v>
      </c>
      <c r="O125">
        <f>ROUND(ROUND(L125*Source!I266, 6)*SmtRes!DA248, 2)</f>
        <v>4.51</v>
      </c>
      <c r="P125">
        <f>SmtRes!AG248</f>
        <v>0</v>
      </c>
      <c r="Q125">
        <f>SmtRes!DC248</f>
        <v>0</v>
      </c>
      <c r="R125">
        <f>ROUND(ROUND(Q125*Source!I266, 6)*1, 2)</f>
        <v>0</v>
      </c>
      <c r="S125">
        <f>SmtRes!AC248</f>
        <v>0</v>
      </c>
      <c r="T125">
        <f>ROUND(ROUND(Q125*Source!I266, 6)*SmtRes!AK248, 2)</f>
        <v>0</v>
      </c>
      <c r="U125">
        <v>3</v>
      </c>
      <c r="Y125">
        <f>SmtRes!X248</f>
        <v>-1452877897</v>
      </c>
      <c r="Z125">
        <v>295526459</v>
      </c>
      <c r="AA125">
        <v>-659171869</v>
      </c>
    </row>
    <row r="126" spans="1:27" x14ac:dyDescent="0.2">
      <c r="A126">
        <v>20</v>
      </c>
      <c r="B126">
        <v>246</v>
      </c>
      <c r="C126">
        <v>3</v>
      </c>
      <c r="D126">
        <v>0</v>
      </c>
      <c r="E126">
        <f>SmtRes!AV246</f>
        <v>0</v>
      </c>
      <c r="F126" t="str">
        <f>SmtRes!I246</f>
        <v>1.1-1-118</v>
      </c>
      <c r="G126" t="str">
        <f>SmtRes!K246</f>
        <v>Вода</v>
      </c>
      <c r="H126" t="str">
        <f>SmtRes!O246</f>
        <v>м3</v>
      </c>
      <c r="I126">
        <f>SmtRes!Y246*Source!I266</f>
        <v>8.9999999999999993E-3</v>
      </c>
      <c r="J126">
        <f>SmtRes!AO246</f>
        <v>1</v>
      </c>
      <c r="K126">
        <f>SmtRes!AE246</f>
        <v>7.07</v>
      </c>
      <c r="L126">
        <f>SmtRes!DB246</f>
        <v>2.12</v>
      </c>
      <c r="M126">
        <f>ROUND(ROUND(L126*Source!I266, 6)*1, 2)</f>
        <v>0.06</v>
      </c>
      <c r="N126">
        <f>SmtRes!AA246</f>
        <v>43.48</v>
      </c>
      <c r="O126">
        <f>ROUND(ROUND(L126*Source!I266, 6)*SmtRes!DA246, 2)</f>
        <v>0.38</v>
      </c>
      <c r="P126">
        <f>SmtRes!AG246</f>
        <v>0</v>
      </c>
      <c r="Q126">
        <f>SmtRes!DC246</f>
        <v>0</v>
      </c>
      <c r="R126">
        <f>ROUND(ROUND(Q126*Source!I266, 6)*1, 2)</f>
        <v>0</v>
      </c>
      <c r="S126">
        <f>SmtRes!AC246</f>
        <v>0</v>
      </c>
      <c r="T126">
        <f>ROUND(ROUND(Q126*Source!I266, 6)*SmtRes!AK246, 2)</f>
        <v>0</v>
      </c>
      <c r="U126">
        <v>3</v>
      </c>
      <c r="Y126">
        <f>SmtRes!X246</f>
        <v>-862991314</v>
      </c>
      <c r="Z126">
        <v>-1421290593</v>
      </c>
      <c r="AA126">
        <v>-338647589</v>
      </c>
    </row>
    <row r="127" spans="1:27" x14ac:dyDescent="0.2">
      <c r="A127">
        <v>20</v>
      </c>
      <c r="B127">
        <v>245</v>
      </c>
      <c r="C127">
        <v>1</v>
      </c>
      <c r="D127">
        <v>0</v>
      </c>
      <c r="E127">
        <f>SmtRes!AV245</f>
        <v>1</v>
      </c>
      <c r="F127" t="str">
        <f>SmtRes!I245</f>
        <v>9999990008</v>
      </c>
      <c r="G127" t="str">
        <f>SmtRes!K245</f>
        <v>Трудозатраты рабочих</v>
      </c>
      <c r="H127" t="str">
        <f>SmtRes!O245</f>
        <v>чел.-ч.</v>
      </c>
      <c r="I127">
        <f>SmtRes!Y245*Source!I266</f>
        <v>4.1744999999999992</v>
      </c>
      <c r="J127">
        <f>SmtRes!AO245</f>
        <v>1</v>
      </c>
      <c r="K127">
        <f>SmtRes!AH245</f>
        <v>0</v>
      </c>
      <c r="L127">
        <f>SmtRes!DB245</f>
        <v>0</v>
      </c>
      <c r="M127">
        <f>ROUND(ROUND(L127*Source!I266, 6)*1, 2)</f>
        <v>0</v>
      </c>
      <c r="N127">
        <f>SmtRes!AD245</f>
        <v>0</v>
      </c>
      <c r="O127">
        <f>ROUND(ROUND(L127*Source!I266, 6)*SmtRes!DA245, 2)</f>
        <v>0</v>
      </c>
      <c r="P127">
        <f>SmtRes!AG245</f>
        <v>0</v>
      </c>
      <c r="Q127">
        <f>SmtRes!DC245</f>
        <v>0</v>
      </c>
      <c r="R127">
        <f>ROUND(ROUND(Q127*Source!I266, 6)*1, 2)</f>
        <v>0</v>
      </c>
      <c r="S127">
        <f>SmtRes!AC245</f>
        <v>0</v>
      </c>
      <c r="T127">
        <f>ROUND(ROUND(Q127*Source!I266, 6)*SmtRes!AK245, 2)</f>
        <v>0</v>
      </c>
      <c r="U127">
        <v>1</v>
      </c>
      <c r="Y127">
        <f>SmtRes!X245</f>
        <v>476480486</v>
      </c>
      <c r="Z127">
        <v>1499241640</v>
      </c>
      <c r="AA127">
        <v>1499241640</v>
      </c>
    </row>
    <row r="128" spans="1:27" x14ac:dyDescent="0.2">
      <c r="A128">
        <f>Source!A268</f>
        <v>18</v>
      </c>
      <c r="B128">
        <v>268</v>
      </c>
      <c r="C128">
        <v>3</v>
      </c>
      <c r="D128">
        <f>Source!BI268</f>
        <v>1</v>
      </c>
      <c r="E128">
        <f>Source!FS268</f>
        <v>0</v>
      </c>
      <c r="F128" t="str">
        <f>Source!F268</f>
        <v>1.1-1-352</v>
      </c>
      <c r="G128" t="str">
        <f>Source!G268</f>
        <v>Кирпич керамический обыкновенный, размер 250х120х65 мм, марка 125</v>
      </c>
      <c r="H128" t="str">
        <f>Source!H268</f>
        <v>1000 шт.</v>
      </c>
      <c r="I128">
        <f>Source!I268</f>
        <v>0.15</v>
      </c>
      <c r="J128">
        <v>1</v>
      </c>
      <c r="K128">
        <f>Source!AC268</f>
        <v>1064.6600000000001</v>
      </c>
      <c r="M128">
        <f>ROUND(K128*I128, 2)</f>
        <v>159.69999999999999</v>
      </c>
      <c r="N128">
        <f>Source!AC268*IF(Source!BC268&lt;&gt; 0, Source!BC268, 1)</f>
        <v>16608.696</v>
      </c>
      <c r="O128">
        <f>ROUND(N128*I128, 2)</f>
        <v>2491.3000000000002</v>
      </c>
      <c r="P128">
        <f>Source!AE268</f>
        <v>0</v>
      </c>
      <c r="R128">
        <f>ROUND(P128*I128, 2)</f>
        <v>0</v>
      </c>
      <c r="S128">
        <f>Source!AE268*IF(Source!BS268&lt;&gt; 0, Source!BS268, 1)</f>
        <v>0</v>
      </c>
      <c r="T128">
        <f>ROUND(S128*I128, 2)</f>
        <v>0</v>
      </c>
      <c r="U128">
        <v>3</v>
      </c>
      <c r="Y128">
        <f>Source!GF268</f>
        <v>1033483998</v>
      </c>
      <c r="Z128">
        <v>883938101</v>
      </c>
      <c r="AA128">
        <v>-902385021</v>
      </c>
    </row>
    <row r="129" spans="1:27" x14ac:dyDescent="0.2">
      <c r="A129">
        <f>Source!A270</f>
        <v>18</v>
      </c>
      <c r="B129">
        <v>270</v>
      </c>
      <c r="C129">
        <v>3</v>
      </c>
      <c r="D129">
        <f>Source!BI270</f>
        <v>1</v>
      </c>
      <c r="E129">
        <f>Source!FS270</f>
        <v>0</v>
      </c>
      <c r="F129" t="str">
        <f>Source!F270</f>
        <v>1.3-2-13</v>
      </c>
      <c r="G129" t="str">
        <f>Source!G270</f>
        <v>Растворы цементно-известковые, марка 75</v>
      </c>
      <c r="H129" t="str">
        <f>Source!H270</f>
        <v>м3</v>
      </c>
      <c r="I129">
        <f>Source!I270</f>
        <v>6.9000000000000006E-2</v>
      </c>
      <c r="J129">
        <v>1</v>
      </c>
      <c r="K129">
        <f>Source!AC270</f>
        <v>481.69</v>
      </c>
      <c r="M129">
        <f>ROUND(K129*I129, 2)</f>
        <v>33.24</v>
      </c>
      <c r="N129">
        <f>Source!AC270*IF(Source!BC270&lt;&gt; 0, Source!BC270, 1)</f>
        <v>4542.3366999999998</v>
      </c>
      <c r="O129">
        <f>ROUND(N129*I129, 2)</f>
        <v>313.42</v>
      </c>
      <c r="P129">
        <f>Source!AE270</f>
        <v>0</v>
      </c>
      <c r="R129">
        <f>ROUND(P129*I129, 2)</f>
        <v>0</v>
      </c>
      <c r="S129">
        <f>Source!AE270*IF(Source!BS270&lt;&gt; 0, Source!BS270, 1)</f>
        <v>0</v>
      </c>
      <c r="T129">
        <f>ROUND(S129*I129, 2)</f>
        <v>0</v>
      </c>
      <c r="U129">
        <v>3</v>
      </c>
      <c r="Y129">
        <f>Source!GF270</f>
        <v>202608499</v>
      </c>
      <c r="Z129">
        <v>1497777914</v>
      </c>
      <c r="AA129">
        <v>-603031038</v>
      </c>
    </row>
    <row r="130" spans="1:27" x14ac:dyDescent="0.2">
      <c r="A130">
        <v>20</v>
      </c>
      <c r="B130">
        <v>253</v>
      </c>
      <c r="C130">
        <v>1</v>
      </c>
      <c r="D130">
        <v>0</v>
      </c>
      <c r="E130">
        <f>SmtRes!AV253</f>
        <v>1</v>
      </c>
      <c r="F130" t="str">
        <f>SmtRes!I253</f>
        <v>9999990008</v>
      </c>
      <c r="G130" t="str">
        <f>SmtRes!K253</f>
        <v>Трудозатраты рабочих</v>
      </c>
      <c r="H130" t="str">
        <f>SmtRes!O253</f>
        <v>чел.-ч.</v>
      </c>
      <c r="I130">
        <f>SmtRes!Y253*Source!I272</f>
        <v>12.482759999999999</v>
      </c>
      <c r="J130">
        <f>SmtRes!AO253</f>
        <v>1</v>
      </c>
      <c r="K130">
        <f>SmtRes!AH253</f>
        <v>0</v>
      </c>
      <c r="L130">
        <f>SmtRes!DB253</f>
        <v>0</v>
      </c>
      <c r="M130">
        <f>ROUND(ROUND(L130*Source!I272, 6)*1, 2)</f>
        <v>0</v>
      </c>
      <c r="N130">
        <f>SmtRes!AD253</f>
        <v>0</v>
      </c>
      <c r="O130">
        <f>ROUND(ROUND(L130*Source!I272, 6)*SmtRes!DA253, 2)</f>
        <v>0</v>
      </c>
      <c r="P130">
        <f>SmtRes!AG253</f>
        <v>0</v>
      </c>
      <c r="Q130">
        <f>SmtRes!DC253</f>
        <v>0</v>
      </c>
      <c r="R130">
        <f>ROUND(ROUND(Q130*Source!I272, 6)*1, 2)</f>
        <v>0</v>
      </c>
      <c r="S130">
        <f>SmtRes!AC253</f>
        <v>0</v>
      </c>
      <c r="T130">
        <f>ROUND(ROUND(Q130*Source!I272, 6)*SmtRes!AK253, 2)</f>
        <v>0</v>
      </c>
      <c r="U130">
        <v>1</v>
      </c>
      <c r="Y130">
        <f>SmtRes!X253</f>
        <v>476480486</v>
      </c>
      <c r="Z130">
        <v>1499241640</v>
      </c>
      <c r="AA130">
        <v>1499241640</v>
      </c>
    </row>
    <row r="131" spans="1:27" x14ac:dyDescent="0.2">
      <c r="A131">
        <f>Source!A274</f>
        <v>18</v>
      </c>
      <c r="B131">
        <v>274</v>
      </c>
      <c r="C131">
        <v>3</v>
      </c>
      <c r="D131">
        <f>Source!BI274</f>
        <v>1</v>
      </c>
      <c r="E131">
        <f>Source!FS274</f>
        <v>0</v>
      </c>
      <c r="F131" t="str">
        <f>Source!F274</f>
        <v>1.3-2-13</v>
      </c>
      <c r="G131" t="str">
        <f>Source!G274</f>
        <v>Растворы цементно-известковые, марка 75</v>
      </c>
      <c r="H131" t="str">
        <f>Source!H274</f>
        <v>м3</v>
      </c>
      <c r="I131">
        <f>Source!I274</f>
        <v>0.22366</v>
      </c>
      <c r="J131">
        <v>1</v>
      </c>
      <c r="K131">
        <f>Source!AC274</f>
        <v>481.69</v>
      </c>
      <c r="M131">
        <f>ROUND(K131*I131, 2)</f>
        <v>107.73</v>
      </c>
      <c r="N131">
        <f>Source!AC274*IF(Source!BC274&lt;&gt; 0, Source!BC274, 1)</f>
        <v>4542.3366999999998</v>
      </c>
      <c r="O131">
        <f>ROUND(N131*I131, 2)</f>
        <v>1015.94</v>
      </c>
      <c r="P131">
        <f>Source!AE274</f>
        <v>0</v>
      </c>
      <c r="R131">
        <f>ROUND(P131*I131, 2)</f>
        <v>0</v>
      </c>
      <c r="S131">
        <f>Source!AE274*IF(Source!BS274&lt;&gt; 0, Source!BS274, 1)</f>
        <v>0</v>
      </c>
      <c r="T131">
        <f>ROUND(S131*I131, 2)</f>
        <v>0</v>
      </c>
      <c r="U131">
        <v>3</v>
      </c>
      <c r="Y131">
        <f>Source!GF274</f>
        <v>202608499</v>
      </c>
      <c r="Z131">
        <v>1497777914</v>
      </c>
      <c r="AA131">
        <v>-603031038</v>
      </c>
    </row>
    <row r="132" spans="1:27" x14ac:dyDescent="0.2">
      <c r="A132">
        <v>20</v>
      </c>
      <c r="B132">
        <v>264</v>
      </c>
      <c r="C132">
        <v>3</v>
      </c>
      <c r="D132">
        <v>0</v>
      </c>
      <c r="E132">
        <f>SmtRes!AV264</f>
        <v>0</v>
      </c>
      <c r="F132" t="str">
        <f>SmtRes!I264</f>
        <v>9999990006</v>
      </c>
      <c r="G132" t="str">
        <f>SmtRes!K264</f>
        <v>Стоимость прочих материалов (ЭСН)</v>
      </c>
      <c r="H132" t="str">
        <f>SmtRes!O264</f>
        <v>руб.</v>
      </c>
      <c r="I132">
        <f>SmtRes!Y264*Source!I276</f>
        <v>3.6038799999999993</v>
      </c>
      <c r="J132">
        <f>SmtRes!AO264</f>
        <v>1</v>
      </c>
      <c r="K132">
        <f>SmtRes!AE264</f>
        <v>1</v>
      </c>
      <c r="L132">
        <f>SmtRes!DB264</f>
        <v>8.5399999999999991</v>
      </c>
      <c r="M132">
        <f>ROUND(ROUND(L132*Source!I276, 6)*1, 2)</f>
        <v>3.6</v>
      </c>
      <c r="N132">
        <f>SmtRes!AA264</f>
        <v>8.65</v>
      </c>
      <c r="O132">
        <f>ROUND(ROUND(L132*Source!I276, 6)*SmtRes!DA264, 2)</f>
        <v>31.17</v>
      </c>
      <c r="P132">
        <f>SmtRes!AG264</f>
        <v>0</v>
      </c>
      <c r="Q132">
        <f>SmtRes!DC264</f>
        <v>0</v>
      </c>
      <c r="R132">
        <f>ROUND(ROUND(Q132*Source!I276, 6)*1, 2)</f>
        <v>0</v>
      </c>
      <c r="S132">
        <f>SmtRes!AC264</f>
        <v>0</v>
      </c>
      <c r="T132">
        <f>ROUND(ROUND(Q132*Source!I276, 6)*SmtRes!AK264, 2)</f>
        <v>0</v>
      </c>
      <c r="U132">
        <v>3</v>
      </c>
      <c r="Y132">
        <f>SmtRes!X264</f>
        <v>-94250534</v>
      </c>
      <c r="Z132">
        <v>-1771809642</v>
      </c>
      <c r="AA132">
        <v>19367311</v>
      </c>
    </row>
    <row r="133" spans="1:27" x14ac:dyDescent="0.2">
      <c r="A133">
        <v>20</v>
      </c>
      <c r="B133">
        <v>263</v>
      </c>
      <c r="C133">
        <v>3</v>
      </c>
      <c r="D133">
        <v>0</v>
      </c>
      <c r="E133">
        <f>SmtRes!AV263</f>
        <v>0</v>
      </c>
      <c r="F133" t="str">
        <f>SmtRes!I263</f>
        <v>1.3-2-6</v>
      </c>
      <c r="G133" t="str">
        <f>SmtRes!K263</f>
        <v>Растворы цементные, марка 150</v>
      </c>
      <c r="H133" t="str">
        <f>SmtRes!O263</f>
        <v>м3</v>
      </c>
      <c r="I133">
        <f>SmtRes!Y263*Source!I276</f>
        <v>0.63300000000000001</v>
      </c>
      <c r="J133">
        <f>SmtRes!AO263</f>
        <v>1</v>
      </c>
      <c r="K133">
        <f>SmtRes!AE263</f>
        <v>478.96</v>
      </c>
      <c r="L133">
        <f>SmtRes!DB263</f>
        <v>718.44</v>
      </c>
      <c r="M133">
        <f>ROUND(ROUND(L133*Source!I276, 6)*1, 2)</f>
        <v>303.18</v>
      </c>
      <c r="N133">
        <f>SmtRes!AA263</f>
        <v>4071.16</v>
      </c>
      <c r="O133">
        <f>ROUND(ROUND(L133*Source!I276, 6)*SmtRes!DA263, 2)</f>
        <v>2577.04</v>
      </c>
      <c r="P133">
        <f>SmtRes!AG263</f>
        <v>0</v>
      </c>
      <c r="Q133">
        <f>SmtRes!DC263</f>
        <v>0</v>
      </c>
      <c r="R133">
        <f>ROUND(ROUND(Q133*Source!I276, 6)*1, 2)</f>
        <v>0</v>
      </c>
      <c r="S133">
        <f>SmtRes!AC263</f>
        <v>0</v>
      </c>
      <c r="T133">
        <f>ROUND(ROUND(Q133*Source!I276, 6)*SmtRes!AK263, 2)</f>
        <v>0</v>
      </c>
      <c r="U133">
        <v>3</v>
      </c>
      <c r="Y133">
        <f>SmtRes!X263</f>
        <v>-1161195218</v>
      </c>
      <c r="Z133">
        <v>-66577871</v>
      </c>
      <c r="AA133">
        <v>605072707</v>
      </c>
    </row>
    <row r="134" spans="1:27" x14ac:dyDescent="0.2">
      <c r="A134">
        <v>20</v>
      </c>
      <c r="B134">
        <v>261</v>
      </c>
      <c r="C134">
        <v>2</v>
      </c>
      <c r="D134">
        <v>0</v>
      </c>
      <c r="E134">
        <f>SmtRes!AV261</f>
        <v>0</v>
      </c>
      <c r="F134" t="str">
        <f>SmtRes!I261</f>
        <v>9999990007</v>
      </c>
      <c r="G134" t="str">
        <f>SmtRes!K261</f>
        <v>Стоимость прочих машин (ЭСН)</v>
      </c>
      <c r="H134" t="str">
        <f>SmtRes!O261</f>
        <v>руб.</v>
      </c>
      <c r="I134">
        <f>SmtRes!Y261*Source!I276</f>
        <v>15.313325000000001</v>
      </c>
      <c r="J134">
        <f>SmtRes!AO261</f>
        <v>1</v>
      </c>
      <c r="K134">
        <f>SmtRes!AF261</f>
        <v>1</v>
      </c>
      <c r="L134">
        <f>SmtRes!DB261</f>
        <v>36.287500000000001</v>
      </c>
      <c r="M134">
        <f>ROUND(ROUND(L134*Source!I276, 6)*1, 2)</f>
        <v>15.31</v>
      </c>
      <c r="N134">
        <f>SmtRes!AB261</f>
        <v>1.03</v>
      </c>
      <c r="O134">
        <f>ROUND(ROUND(L134*Source!I276, 6)*SmtRes!DA261, 2)</f>
        <v>15.31</v>
      </c>
      <c r="P134">
        <f>SmtRes!AG261</f>
        <v>0</v>
      </c>
      <c r="Q134">
        <f>SmtRes!DC261</f>
        <v>0</v>
      </c>
      <c r="R134">
        <f>ROUND(ROUND(Q134*Source!I276, 6)*1, 2)</f>
        <v>0</v>
      </c>
      <c r="S134">
        <f>SmtRes!AC261</f>
        <v>0</v>
      </c>
      <c r="T134">
        <f>ROUND(ROUND(Q134*Source!I276, 6)*SmtRes!AK261, 2)</f>
        <v>0</v>
      </c>
      <c r="U134">
        <v>2</v>
      </c>
      <c r="Y134">
        <f>SmtRes!X261</f>
        <v>-1180195794</v>
      </c>
      <c r="Z134">
        <v>-595858232</v>
      </c>
      <c r="AA134">
        <v>69263875</v>
      </c>
    </row>
    <row r="135" spans="1:27" x14ac:dyDescent="0.2">
      <c r="A135">
        <v>20</v>
      </c>
      <c r="B135">
        <v>260</v>
      </c>
      <c r="C135">
        <v>1</v>
      </c>
      <c r="D135">
        <v>0</v>
      </c>
      <c r="E135">
        <f>SmtRes!AV260</f>
        <v>1</v>
      </c>
      <c r="F135" t="str">
        <f>SmtRes!I260</f>
        <v>9999990008</v>
      </c>
      <c r="G135" t="str">
        <f>SmtRes!K260</f>
        <v>Трудозатраты рабочих</v>
      </c>
      <c r="H135" t="str">
        <f>SmtRes!O260</f>
        <v>чел.-ч.</v>
      </c>
      <c r="I135">
        <f>SmtRes!Y260*Source!I276</f>
        <v>97.059999999999988</v>
      </c>
      <c r="J135">
        <f>SmtRes!AO260</f>
        <v>1</v>
      </c>
      <c r="K135">
        <f>SmtRes!AH260</f>
        <v>0</v>
      </c>
      <c r="L135">
        <f>SmtRes!DB260</f>
        <v>0</v>
      </c>
      <c r="M135">
        <f>ROUND(ROUND(L135*Source!I276, 6)*1, 2)</f>
        <v>0</v>
      </c>
      <c r="N135">
        <f>SmtRes!AD260</f>
        <v>0</v>
      </c>
      <c r="O135">
        <f>ROUND(ROUND(L135*Source!I276, 6)*SmtRes!DA260, 2)</f>
        <v>0</v>
      </c>
      <c r="P135">
        <f>SmtRes!AG260</f>
        <v>0</v>
      </c>
      <c r="Q135">
        <f>SmtRes!DC260</f>
        <v>0</v>
      </c>
      <c r="R135">
        <f>ROUND(ROUND(Q135*Source!I276, 6)*1, 2)</f>
        <v>0</v>
      </c>
      <c r="S135">
        <f>SmtRes!AC260</f>
        <v>0</v>
      </c>
      <c r="T135">
        <f>ROUND(ROUND(Q135*Source!I276, 6)*SmtRes!AK260, 2)</f>
        <v>0</v>
      </c>
      <c r="U135">
        <v>1</v>
      </c>
      <c r="Y135">
        <f>SmtRes!X260</f>
        <v>476480486</v>
      </c>
      <c r="Z135">
        <v>1499241640</v>
      </c>
      <c r="AA135">
        <v>1499241640</v>
      </c>
    </row>
    <row r="136" spans="1:27" x14ac:dyDescent="0.2">
      <c r="A136">
        <f>Source!A278</f>
        <v>18</v>
      </c>
      <c r="B136">
        <v>278</v>
      </c>
      <c r="C136">
        <v>3</v>
      </c>
      <c r="D136">
        <f>Source!BI278</f>
        <v>1</v>
      </c>
      <c r="E136">
        <f>Source!FS278</f>
        <v>0</v>
      </c>
      <c r="F136" t="str">
        <f>Source!F278</f>
        <v>1.1-1-4000</v>
      </c>
      <c r="G136" t="str">
        <f>Source!G278</f>
        <v>Плитки керамические глазурованные гладкие одноцветные, универсальные</v>
      </c>
      <c r="H136" t="str">
        <f>Source!H278</f>
        <v>м2</v>
      </c>
      <c r="I136">
        <f>Source!I278</f>
        <v>42.2</v>
      </c>
      <c r="J136">
        <v>1</v>
      </c>
      <c r="K136">
        <f>Source!AC278</f>
        <v>68.27</v>
      </c>
      <c r="M136">
        <f>ROUND(K136*I136, 2)</f>
        <v>2880.99</v>
      </c>
      <c r="N136">
        <f>Source!AC278*IF(Source!BC278&lt;&gt; 0, Source!BC278, 1)</f>
        <v>841.08640000000003</v>
      </c>
      <c r="O136">
        <f>ROUND(N136*I136, 2)</f>
        <v>35493.85</v>
      </c>
      <c r="P136">
        <f>Source!AE278</f>
        <v>0</v>
      </c>
      <c r="R136">
        <f>ROUND(P136*I136, 2)</f>
        <v>0</v>
      </c>
      <c r="S136">
        <f>Source!AE278*IF(Source!BS278&lt;&gt; 0, Source!BS278, 1)</f>
        <v>0</v>
      </c>
      <c r="T136">
        <f>ROUND(S136*I136, 2)</f>
        <v>0</v>
      </c>
      <c r="U136">
        <v>3</v>
      </c>
      <c r="Y136">
        <f>Source!GF278</f>
        <v>717419428</v>
      </c>
      <c r="Z136">
        <v>-22859711</v>
      </c>
      <c r="AA136">
        <v>-1288350965</v>
      </c>
    </row>
    <row r="137" spans="1:27" x14ac:dyDescent="0.2">
      <c r="A137">
        <v>20</v>
      </c>
      <c r="B137">
        <v>280</v>
      </c>
      <c r="C137">
        <v>3</v>
      </c>
      <c r="D137">
        <v>0</v>
      </c>
      <c r="E137">
        <f>SmtRes!AV280</f>
        <v>0</v>
      </c>
      <c r="F137" t="str">
        <f>SmtRes!I280</f>
        <v>9999990006</v>
      </c>
      <c r="G137" t="str">
        <f>SmtRes!K280</f>
        <v>Стоимость прочих материалов (ЭСН)</v>
      </c>
      <c r="H137" t="str">
        <f>SmtRes!O280</f>
        <v>руб.</v>
      </c>
      <c r="I137">
        <f>SmtRes!Y280*Source!I280</f>
        <v>0.27675</v>
      </c>
      <c r="J137">
        <f>SmtRes!AO280</f>
        <v>1</v>
      </c>
      <c r="K137">
        <f>SmtRes!AE280</f>
        <v>1</v>
      </c>
      <c r="L137">
        <f>SmtRes!DB280</f>
        <v>2.25</v>
      </c>
      <c r="M137">
        <f>ROUND(ROUND(L137*Source!I280, 6)*1, 2)</f>
        <v>0.28000000000000003</v>
      </c>
      <c r="N137">
        <f>SmtRes!AA280</f>
        <v>8.65</v>
      </c>
      <c r="O137">
        <f>ROUND(ROUND(L137*Source!I280, 6)*SmtRes!DA280, 2)</f>
        <v>2.39</v>
      </c>
      <c r="P137">
        <f>SmtRes!AG280</f>
        <v>0</v>
      </c>
      <c r="Q137">
        <f>SmtRes!DC280</f>
        <v>0</v>
      </c>
      <c r="R137">
        <f>ROUND(ROUND(Q137*Source!I280, 6)*1, 2)</f>
        <v>0</v>
      </c>
      <c r="S137">
        <f>SmtRes!AC280</f>
        <v>0</v>
      </c>
      <c r="T137">
        <f>ROUND(ROUND(Q137*Source!I280, 6)*SmtRes!AK280, 2)</f>
        <v>0</v>
      </c>
      <c r="U137">
        <v>3</v>
      </c>
      <c r="Y137">
        <f>SmtRes!X280</f>
        <v>-94250534</v>
      </c>
      <c r="Z137">
        <v>-1771809642</v>
      </c>
      <c r="AA137">
        <v>19367311</v>
      </c>
    </row>
    <row r="138" spans="1:27" x14ac:dyDescent="0.2">
      <c r="A138">
        <v>20</v>
      </c>
      <c r="B138">
        <v>276</v>
      </c>
      <c r="C138">
        <v>3</v>
      </c>
      <c r="D138">
        <v>0</v>
      </c>
      <c r="E138">
        <f>SmtRes!AV276</f>
        <v>0</v>
      </c>
      <c r="F138" t="str">
        <f>SmtRes!I276</f>
        <v>1.1-1-1029</v>
      </c>
      <c r="G138" t="str">
        <f>SmtRes!K276</f>
        <v>Сетка проволочная штукатурная тканая, квадрат 5х5 мм, толщина 1,6 мм</v>
      </c>
      <c r="H138" t="str">
        <f>SmtRes!O276</f>
        <v>м2</v>
      </c>
      <c r="I138">
        <f>SmtRes!Y276*Source!I280</f>
        <v>0.34071000000000001</v>
      </c>
      <c r="J138">
        <f>SmtRes!AO276</f>
        <v>1</v>
      </c>
      <c r="K138">
        <f>SmtRes!AE276</f>
        <v>33.56</v>
      </c>
      <c r="L138">
        <f>SmtRes!DB276</f>
        <v>92.96</v>
      </c>
      <c r="M138">
        <f>ROUND(ROUND(L138*Source!I280, 6)*1, 2)</f>
        <v>11.43</v>
      </c>
      <c r="N138">
        <f>SmtRes!AA276</f>
        <v>793.36</v>
      </c>
      <c r="O138">
        <f>ROUND(ROUND(L138*Source!I280, 6)*SmtRes!DA276, 2)</f>
        <v>270.3</v>
      </c>
      <c r="P138">
        <f>SmtRes!AG276</f>
        <v>0</v>
      </c>
      <c r="Q138">
        <f>SmtRes!DC276</f>
        <v>0</v>
      </c>
      <c r="R138">
        <f>ROUND(ROUND(Q138*Source!I280, 6)*1, 2)</f>
        <v>0</v>
      </c>
      <c r="S138">
        <f>SmtRes!AC276</f>
        <v>0</v>
      </c>
      <c r="T138">
        <f>ROUND(ROUND(Q138*Source!I280, 6)*SmtRes!AK276, 2)</f>
        <v>0</v>
      </c>
      <c r="U138">
        <v>3</v>
      </c>
      <c r="Y138">
        <f>SmtRes!X276</f>
        <v>1732130389</v>
      </c>
      <c r="Z138">
        <v>1249949473</v>
      </c>
      <c r="AA138">
        <v>-431973575</v>
      </c>
    </row>
    <row r="139" spans="1:27" x14ac:dyDescent="0.2">
      <c r="A139">
        <v>20</v>
      </c>
      <c r="B139">
        <v>275</v>
      </c>
      <c r="C139">
        <v>2</v>
      </c>
      <c r="D139">
        <v>0</v>
      </c>
      <c r="E139">
        <f>SmtRes!AV275</f>
        <v>0</v>
      </c>
      <c r="F139" t="str">
        <f>SmtRes!I275</f>
        <v>9999990007</v>
      </c>
      <c r="G139" t="str">
        <f>SmtRes!K275</f>
        <v>Стоимость прочих машин (ЭСН)</v>
      </c>
      <c r="H139" t="str">
        <f>SmtRes!O275</f>
        <v>руб.</v>
      </c>
      <c r="I139">
        <f>SmtRes!Y275*Source!I280</f>
        <v>4.0036499999999995</v>
      </c>
      <c r="J139">
        <f>SmtRes!AO275</f>
        <v>1</v>
      </c>
      <c r="K139">
        <f>SmtRes!AF275</f>
        <v>1</v>
      </c>
      <c r="L139">
        <f>SmtRes!DB275</f>
        <v>32.549999999999997</v>
      </c>
      <c r="M139">
        <f>ROUND(ROUND(L139*Source!I280, 6)*1, 2)</f>
        <v>4</v>
      </c>
      <c r="N139">
        <f>SmtRes!AB275</f>
        <v>1.03</v>
      </c>
      <c r="O139">
        <f>ROUND(ROUND(L139*Source!I280, 6)*SmtRes!DA275, 2)</f>
        <v>4</v>
      </c>
      <c r="P139">
        <f>SmtRes!AG275</f>
        <v>0</v>
      </c>
      <c r="Q139">
        <f>SmtRes!DC275</f>
        <v>0</v>
      </c>
      <c r="R139">
        <f>ROUND(ROUND(Q139*Source!I280, 6)*1, 2)</f>
        <v>0</v>
      </c>
      <c r="S139">
        <f>SmtRes!AC275</f>
        <v>0</v>
      </c>
      <c r="T139">
        <f>ROUND(ROUND(Q139*Source!I280, 6)*SmtRes!AK275, 2)</f>
        <v>0</v>
      </c>
      <c r="U139">
        <v>2</v>
      </c>
      <c r="Y139">
        <f>SmtRes!X275</f>
        <v>-1180195794</v>
      </c>
      <c r="Z139">
        <v>-595858232</v>
      </c>
      <c r="AA139">
        <v>69263875</v>
      </c>
    </row>
    <row r="140" spans="1:27" x14ac:dyDescent="0.2">
      <c r="A140">
        <v>20</v>
      </c>
      <c r="B140">
        <v>274</v>
      </c>
      <c r="C140">
        <v>2</v>
      </c>
      <c r="D140">
        <v>0</v>
      </c>
      <c r="E140">
        <f>SmtRes!AV274</f>
        <v>0</v>
      </c>
      <c r="F140" t="str">
        <f>SmtRes!I274</f>
        <v>2.1-6-33</v>
      </c>
      <c r="G140" t="str">
        <f>SmtRes!K274</f>
        <v>Растворонасосы, производительность до 1 м3/ч</v>
      </c>
      <c r="H140" t="str">
        <f>SmtRes!O274</f>
        <v>маш.-ч.</v>
      </c>
      <c r="I140">
        <f>SmtRes!Y274*Source!I280</f>
        <v>0.72262499999999996</v>
      </c>
      <c r="J140">
        <f>SmtRes!AO274</f>
        <v>1</v>
      </c>
      <c r="K140">
        <f>SmtRes!AF274</f>
        <v>19.260000000000002</v>
      </c>
      <c r="L140">
        <f>SmtRes!DB274</f>
        <v>113.15</v>
      </c>
      <c r="M140">
        <f>ROUND(ROUND(L140*Source!I280, 6)*1, 2)</f>
        <v>13.92</v>
      </c>
      <c r="N140">
        <f>SmtRes!AB274</f>
        <v>482.88</v>
      </c>
      <c r="O140">
        <f>ROUND(ROUND(L140*Source!I280, 6)*SmtRes!DA274, 2)</f>
        <v>340.42</v>
      </c>
      <c r="P140">
        <f>SmtRes!AG274</f>
        <v>11.2</v>
      </c>
      <c r="Q140">
        <f>SmtRes!DC274</f>
        <v>65.8</v>
      </c>
      <c r="R140">
        <f>ROUND(ROUND(Q140*Source!I280, 6)*1, 2)</f>
        <v>8.09</v>
      </c>
      <c r="S140">
        <f>SmtRes!AC274</f>
        <v>333.26</v>
      </c>
      <c r="T140">
        <f>ROUND(ROUND(Q140*Source!I280, 6)*SmtRes!AK274, 2)</f>
        <v>234.95</v>
      </c>
      <c r="U140">
        <v>2</v>
      </c>
      <c r="Y140">
        <f>SmtRes!X274</f>
        <v>-286093136</v>
      </c>
      <c r="Z140">
        <v>-377030128</v>
      </c>
      <c r="AA140">
        <v>-1307641130</v>
      </c>
    </row>
    <row r="141" spans="1:27" x14ac:dyDescent="0.2">
      <c r="A141">
        <v>20</v>
      </c>
      <c r="B141">
        <v>273</v>
      </c>
      <c r="C141">
        <v>1</v>
      </c>
      <c r="D141">
        <v>0</v>
      </c>
      <c r="E141">
        <f>SmtRes!AV273</f>
        <v>1</v>
      </c>
      <c r="F141" t="str">
        <f>SmtRes!I273</f>
        <v>9999990008</v>
      </c>
      <c r="G141" t="str">
        <f>SmtRes!K273</f>
        <v>Трудозатраты рабочих</v>
      </c>
      <c r="H141" t="str">
        <f>SmtRes!O273</f>
        <v>чел.-ч.</v>
      </c>
      <c r="I141">
        <f>SmtRes!Y273*Source!I280</f>
        <v>9.1942500000000003</v>
      </c>
      <c r="J141">
        <f>SmtRes!AO273</f>
        <v>1</v>
      </c>
      <c r="K141">
        <f>SmtRes!AH273</f>
        <v>0</v>
      </c>
      <c r="L141">
        <f>SmtRes!DB273</f>
        <v>0</v>
      </c>
      <c r="M141">
        <f>ROUND(ROUND(L141*Source!I280, 6)*1, 2)</f>
        <v>0</v>
      </c>
      <c r="N141">
        <f>SmtRes!AD273</f>
        <v>0</v>
      </c>
      <c r="O141">
        <f>ROUND(ROUND(L141*Source!I280, 6)*SmtRes!DA273, 2)</f>
        <v>0</v>
      </c>
      <c r="P141">
        <f>SmtRes!AG273</f>
        <v>0</v>
      </c>
      <c r="Q141">
        <f>SmtRes!DC273</f>
        <v>0</v>
      </c>
      <c r="R141">
        <f>ROUND(ROUND(Q141*Source!I280, 6)*1, 2)</f>
        <v>0</v>
      </c>
      <c r="S141">
        <f>SmtRes!AC273</f>
        <v>0</v>
      </c>
      <c r="T141">
        <f>ROUND(ROUND(Q141*Source!I280, 6)*SmtRes!AK273, 2)</f>
        <v>0</v>
      </c>
      <c r="U141">
        <v>1</v>
      </c>
      <c r="Y141">
        <f>SmtRes!X273</f>
        <v>476480486</v>
      </c>
      <c r="Z141">
        <v>1499241640</v>
      </c>
      <c r="AA141">
        <v>1499241640</v>
      </c>
    </row>
    <row r="142" spans="1:27" x14ac:dyDescent="0.2">
      <c r="A142">
        <f>Source!A282</f>
        <v>18</v>
      </c>
      <c r="B142">
        <v>282</v>
      </c>
      <c r="C142">
        <v>3</v>
      </c>
      <c r="D142">
        <f>Source!BI282</f>
        <v>1</v>
      </c>
      <c r="E142">
        <f>Source!FS282</f>
        <v>0</v>
      </c>
      <c r="F142" t="str">
        <f>Source!F282</f>
        <v>1.1-1-118</v>
      </c>
      <c r="G142" t="str">
        <f>Source!G282</f>
        <v>Вода</v>
      </c>
      <c r="H142" t="str">
        <f>Source!H282</f>
        <v>м3</v>
      </c>
      <c r="I142">
        <f>Source!I282</f>
        <v>1.0331999999999999E-2</v>
      </c>
      <c r="J142">
        <v>1</v>
      </c>
      <c r="K142">
        <f>Source!AC282</f>
        <v>7.07</v>
      </c>
      <c r="M142">
        <f>ROUND(K142*I142, 2)</f>
        <v>7.0000000000000007E-2</v>
      </c>
      <c r="N142">
        <f>Source!AC282*IF(Source!BC282&lt;&gt; 0, Source!BC282, 1)</f>
        <v>42.42</v>
      </c>
      <c r="O142">
        <f>ROUND(N142*I142, 2)</f>
        <v>0.44</v>
      </c>
      <c r="P142">
        <f>Source!AE282</f>
        <v>0</v>
      </c>
      <c r="R142">
        <f>ROUND(P142*I142, 2)</f>
        <v>0</v>
      </c>
      <c r="S142">
        <f>Source!AE282*IF(Source!BS282&lt;&gt; 0, Source!BS282, 1)</f>
        <v>0</v>
      </c>
      <c r="T142">
        <f>ROUND(S142*I142, 2)</f>
        <v>0</v>
      </c>
      <c r="U142">
        <v>3</v>
      </c>
      <c r="Y142">
        <f>Source!GF282</f>
        <v>-862991314</v>
      </c>
      <c r="Z142">
        <v>-1421290593</v>
      </c>
      <c r="AA142">
        <v>-1279710304</v>
      </c>
    </row>
    <row r="143" spans="1:27" x14ac:dyDescent="0.2">
      <c r="A143">
        <f>Source!A284</f>
        <v>18</v>
      </c>
      <c r="B143">
        <v>284</v>
      </c>
      <c r="C143">
        <v>3</v>
      </c>
      <c r="D143">
        <f>Source!BI284</f>
        <v>1</v>
      </c>
      <c r="E143">
        <f>Source!FS284</f>
        <v>0</v>
      </c>
      <c r="F143" t="str">
        <f>Source!F284</f>
        <v>1.3-2-26</v>
      </c>
      <c r="G143" t="str">
        <f>Source!G284</f>
        <v>Смесь сухая, мелкозернистая, цементная, с добавлением фракционированного песка, химических и минеральных добавок, штукатурная, для наружных и внутренних работ, ручного нанесения, плотность раствора 2000 кг/м3, прочность на сжатие не менее 15 МПа, прочность сцепления не менее 0,4 МПа, не менее F50, для оштукатуривания фасадов, цоколей, стен в помещениях с повышенной влажностью, выравнивания оснований под облицовку плиткой, природным камнем, шпаклевку, декоративную штукатурку, заполнения небольших раковин, каверн, трещин</v>
      </c>
      <c r="H143" t="str">
        <f>Source!H284</f>
        <v>т</v>
      </c>
      <c r="I143">
        <f>Source!I284</f>
        <v>5.9040000000000002E-2</v>
      </c>
      <c r="J143">
        <v>1</v>
      </c>
      <c r="K143">
        <f>Source!AC284</f>
        <v>1823.55</v>
      </c>
      <c r="M143">
        <f>ROUND(K143*I143, 2)</f>
        <v>107.66</v>
      </c>
      <c r="N143">
        <f>Source!AC284*IF(Source!BC284&lt;&gt; 0, Source!BC284, 1)</f>
        <v>8935.3950000000004</v>
      </c>
      <c r="O143">
        <f>ROUND(N143*I143, 2)</f>
        <v>527.54999999999995</v>
      </c>
      <c r="P143">
        <f>Source!AE284</f>
        <v>0</v>
      </c>
      <c r="R143">
        <f>ROUND(P143*I143, 2)</f>
        <v>0</v>
      </c>
      <c r="S143">
        <f>Source!AE284*IF(Source!BS284&lt;&gt; 0, Source!BS284, 1)</f>
        <v>0</v>
      </c>
      <c r="T143">
        <f>ROUND(S143*I143, 2)</f>
        <v>0</v>
      </c>
      <c r="U143">
        <v>3</v>
      </c>
      <c r="Y143">
        <f>Source!GF284</f>
        <v>-939349861</v>
      </c>
      <c r="Z143">
        <v>-2137166685</v>
      </c>
      <c r="AA143">
        <v>-1628290636</v>
      </c>
    </row>
    <row r="144" spans="1:27" x14ac:dyDescent="0.2">
      <c r="A144">
        <f>Source!A286</f>
        <v>18</v>
      </c>
      <c r="B144">
        <v>286</v>
      </c>
      <c r="C144">
        <v>3</v>
      </c>
      <c r="D144">
        <f>Source!BI286</f>
        <v>1</v>
      </c>
      <c r="E144">
        <f>Source!FS286</f>
        <v>0</v>
      </c>
      <c r="F144" t="str">
        <f>Source!F286</f>
        <v>1.3-2-13</v>
      </c>
      <c r="G144" t="str">
        <f>Source!G286</f>
        <v>Растворы цементно-известковые, марка 75</v>
      </c>
      <c r="H144" t="str">
        <f>Source!H286</f>
        <v>м3</v>
      </c>
      <c r="I144">
        <f>Source!I286</f>
        <v>0.14858399999999999</v>
      </c>
      <c r="J144">
        <v>1</v>
      </c>
      <c r="K144">
        <f>Source!AC286</f>
        <v>481.69</v>
      </c>
      <c r="M144">
        <f>ROUND(K144*I144, 2)</f>
        <v>71.569999999999993</v>
      </c>
      <c r="N144">
        <f>Source!AC286*IF(Source!BC286&lt;&gt; 0, Source!BC286, 1)</f>
        <v>4542.3366999999998</v>
      </c>
      <c r="O144">
        <f>ROUND(N144*I144, 2)</f>
        <v>674.92</v>
      </c>
      <c r="P144">
        <f>Source!AE286</f>
        <v>0</v>
      </c>
      <c r="R144">
        <f>ROUND(P144*I144, 2)</f>
        <v>0</v>
      </c>
      <c r="S144">
        <f>Source!AE286*IF(Source!BS286&lt;&gt; 0, Source!BS286, 1)</f>
        <v>0</v>
      </c>
      <c r="T144">
        <f>ROUND(S144*I144, 2)</f>
        <v>0</v>
      </c>
      <c r="U144">
        <v>3</v>
      </c>
      <c r="Y144">
        <f>Source!GF286</f>
        <v>202608499</v>
      </c>
      <c r="Z144">
        <v>1497777914</v>
      </c>
      <c r="AA144">
        <v>-603031038</v>
      </c>
    </row>
    <row r="145" spans="1:27" x14ac:dyDescent="0.2">
      <c r="A145">
        <v>20</v>
      </c>
      <c r="B145">
        <v>292</v>
      </c>
      <c r="C145">
        <v>3</v>
      </c>
      <c r="D145">
        <v>0</v>
      </c>
      <c r="E145">
        <f>SmtRes!AV292</f>
        <v>0</v>
      </c>
      <c r="F145" t="str">
        <f>SmtRes!I292</f>
        <v>9999990006</v>
      </c>
      <c r="G145" t="str">
        <f>SmtRes!K292</f>
        <v>Стоимость прочих материалов (ЭСН)</v>
      </c>
      <c r="H145" t="str">
        <f>SmtRes!O292</f>
        <v>руб.</v>
      </c>
      <c r="I145">
        <f>SmtRes!Y292*Source!I288</f>
        <v>0.98048999999999997</v>
      </c>
      <c r="J145">
        <f>SmtRes!AO292</f>
        <v>1</v>
      </c>
      <c r="K145">
        <f>SmtRes!AE292</f>
        <v>1</v>
      </c>
      <c r="L145">
        <f>SmtRes!DB292</f>
        <v>6.09</v>
      </c>
      <c r="M145">
        <f>ROUND(ROUND(L145*Source!I288, 6)*1, 2)</f>
        <v>0.98</v>
      </c>
      <c r="N145">
        <f>SmtRes!AA292</f>
        <v>8.65</v>
      </c>
      <c r="O145">
        <f>ROUND(ROUND(L145*Source!I288, 6)*SmtRes!DA292, 2)</f>
        <v>8.48</v>
      </c>
      <c r="P145">
        <f>SmtRes!AG292</f>
        <v>0</v>
      </c>
      <c r="Q145">
        <f>SmtRes!DC292</f>
        <v>0</v>
      </c>
      <c r="R145">
        <f>ROUND(ROUND(Q145*Source!I288, 6)*1, 2)</f>
        <v>0</v>
      </c>
      <c r="S145">
        <f>SmtRes!AC292</f>
        <v>0</v>
      </c>
      <c r="T145">
        <f>ROUND(ROUND(Q145*Source!I288, 6)*SmtRes!AK292, 2)</f>
        <v>0</v>
      </c>
      <c r="U145">
        <v>3</v>
      </c>
      <c r="Y145">
        <f>SmtRes!X292</f>
        <v>-94250534</v>
      </c>
      <c r="Z145">
        <v>-1771809642</v>
      </c>
      <c r="AA145">
        <v>19367311</v>
      </c>
    </row>
    <row r="146" spans="1:27" x14ac:dyDescent="0.2">
      <c r="A146">
        <v>20</v>
      </c>
      <c r="B146">
        <v>288</v>
      </c>
      <c r="C146">
        <v>2</v>
      </c>
      <c r="D146">
        <v>0</v>
      </c>
      <c r="E146">
        <f>SmtRes!AV288</f>
        <v>0</v>
      </c>
      <c r="F146" t="str">
        <f>SmtRes!I288</f>
        <v>9999990007</v>
      </c>
      <c r="G146" t="str">
        <f>SmtRes!K288</f>
        <v>Стоимость прочих машин (ЭСН)</v>
      </c>
      <c r="H146" t="str">
        <f>SmtRes!O288</f>
        <v>руб.</v>
      </c>
      <c r="I146">
        <f>SmtRes!Y288*Source!I288</f>
        <v>5.8422875000000003</v>
      </c>
      <c r="J146">
        <f>SmtRes!AO288</f>
        <v>1</v>
      </c>
      <c r="K146">
        <f>SmtRes!AF288</f>
        <v>1</v>
      </c>
      <c r="L146">
        <f>SmtRes!DB288</f>
        <v>36.287500000000001</v>
      </c>
      <c r="M146">
        <f>ROUND(ROUND(L146*Source!I288, 6)*1, 2)</f>
        <v>5.84</v>
      </c>
      <c r="N146">
        <f>SmtRes!AB288</f>
        <v>1.03</v>
      </c>
      <c r="O146">
        <f>ROUND(ROUND(L146*Source!I288, 6)*SmtRes!DA288, 2)</f>
        <v>5.84</v>
      </c>
      <c r="P146">
        <f>SmtRes!AG288</f>
        <v>0</v>
      </c>
      <c r="Q146">
        <f>SmtRes!DC288</f>
        <v>0</v>
      </c>
      <c r="R146">
        <f>ROUND(ROUND(Q146*Source!I288, 6)*1, 2)</f>
        <v>0</v>
      </c>
      <c r="S146">
        <f>SmtRes!AC288</f>
        <v>0</v>
      </c>
      <c r="T146">
        <f>ROUND(ROUND(Q146*Source!I288, 6)*SmtRes!AK288, 2)</f>
        <v>0</v>
      </c>
      <c r="U146">
        <v>2</v>
      </c>
      <c r="Y146">
        <f>SmtRes!X288</f>
        <v>-1180195794</v>
      </c>
      <c r="Z146">
        <v>-595858232</v>
      </c>
      <c r="AA146">
        <v>69263875</v>
      </c>
    </row>
    <row r="147" spans="1:27" x14ac:dyDescent="0.2">
      <c r="A147">
        <v>20</v>
      </c>
      <c r="B147">
        <v>287</v>
      </c>
      <c r="C147">
        <v>1</v>
      </c>
      <c r="D147">
        <v>0</v>
      </c>
      <c r="E147">
        <f>SmtRes!AV287</f>
        <v>1</v>
      </c>
      <c r="F147" t="str">
        <f>SmtRes!I287</f>
        <v>9999990008</v>
      </c>
      <c r="G147" t="str">
        <f>SmtRes!K287</f>
        <v>Трудозатраты рабочих</v>
      </c>
      <c r="H147" t="str">
        <f>SmtRes!O287</f>
        <v>чел.-ч.</v>
      </c>
      <c r="I147">
        <f>SmtRes!Y287*Source!I288</f>
        <v>7.2208499999999995</v>
      </c>
      <c r="J147">
        <f>SmtRes!AO287</f>
        <v>1</v>
      </c>
      <c r="K147">
        <f>SmtRes!AH287</f>
        <v>0</v>
      </c>
      <c r="L147">
        <f>SmtRes!DB287</f>
        <v>0</v>
      </c>
      <c r="M147">
        <f>ROUND(ROUND(L147*Source!I288, 6)*1, 2)</f>
        <v>0</v>
      </c>
      <c r="N147">
        <f>SmtRes!AD287</f>
        <v>0</v>
      </c>
      <c r="O147">
        <f>ROUND(ROUND(L147*Source!I288, 6)*SmtRes!DA287, 2)</f>
        <v>0</v>
      </c>
      <c r="P147">
        <f>SmtRes!AG287</f>
        <v>0</v>
      </c>
      <c r="Q147">
        <f>SmtRes!DC287</f>
        <v>0</v>
      </c>
      <c r="R147">
        <f>ROUND(ROUND(Q147*Source!I288, 6)*1, 2)</f>
        <v>0</v>
      </c>
      <c r="S147">
        <f>SmtRes!AC287</f>
        <v>0</v>
      </c>
      <c r="T147">
        <f>ROUND(ROUND(Q147*Source!I288, 6)*SmtRes!AK287, 2)</f>
        <v>0</v>
      </c>
      <c r="U147">
        <v>1</v>
      </c>
      <c r="Y147">
        <f>SmtRes!X287</f>
        <v>476480486</v>
      </c>
      <c r="Z147">
        <v>1499241640</v>
      </c>
      <c r="AA147">
        <v>1499241640</v>
      </c>
    </row>
    <row r="148" spans="1:27" x14ac:dyDescent="0.2">
      <c r="A148">
        <f>Source!A290</f>
        <v>18</v>
      </c>
      <c r="B148">
        <v>290</v>
      </c>
      <c r="C148">
        <v>3</v>
      </c>
      <c r="D148">
        <f>Source!BI290</f>
        <v>1</v>
      </c>
      <c r="E148">
        <f>Source!FS290</f>
        <v>0</v>
      </c>
      <c r="F148" t="str">
        <f>Source!F290</f>
        <v>1.1-1-1487</v>
      </c>
      <c r="G148" t="str">
        <f>Source!G290</f>
        <v>Шпатлевка масляно-клеевая универсальная</v>
      </c>
      <c r="H148" t="str">
        <f>Source!H290</f>
        <v>т</v>
      </c>
      <c r="I148">
        <f>Source!I290</f>
        <v>8.2109999999999995E-3</v>
      </c>
      <c r="J148">
        <v>1</v>
      </c>
      <c r="K148">
        <f>Source!AC290</f>
        <v>2278.84</v>
      </c>
      <c r="M148">
        <f>ROUND(K148*I148, 2)</f>
        <v>18.71</v>
      </c>
      <c r="N148">
        <f>Source!AC290*IF(Source!BC290&lt;&gt; 0, Source!BC290, 1)</f>
        <v>18959.948800000002</v>
      </c>
      <c r="O148">
        <f>ROUND(N148*I148, 2)</f>
        <v>155.68</v>
      </c>
      <c r="P148">
        <f>Source!AE290</f>
        <v>0</v>
      </c>
      <c r="R148">
        <f>ROUND(P148*I148, 2)</f>
        <v>0</v>
      </c>
      <c r="S148">
        <f>Source!AE290*IF(Source!BS290&lt;&gt; 0, Source!BS290, 1)</f>
        <v>0</v>
      </c>
      <c r="T148">
        <f>ROUND(S148*I148, 2)</f>
        <v>0</v>
      </c>
      <c r="U148">
        <v>3</v>
      </c>
      <c r="Y148">
        <f>Source!GF290</f>
        <v>1793685401</v>
      </c>
      <c r="Z148">
        <v>1414816720</v>
      </c>
      <c r="AA148">
        <v>1924411406</v>
      </c>
    </row>
    <row r="149" spans="1:27" x14ac:dyDescent="0.2">
      <c r="A149">
        <f>Source!A292</f>
        <v>18</v>
      </c>
      <c r="B149">
        <v>292</v>
      </c>
      <c r="C149">
        <v>3</v>
      </c>
      <c r="D149">
        <f>Source!BI292</f>
        <v>1</v>
      </c>
      <c r="E149">
        <f>Source!FS292</f>
        <v>0</v>
      </c>
      <c r="F149" t="str">
        <f>Source!F292</f>
        <v>1.1-1-2854</v>
      </c>
      <c r="G149" t="str">
        <f>Source!G292</f>
        <v>Грунтовка акриловая типа «Бетоконтакт», адгезионная для обработки бетонных оснований перед оштукатуриванием</v>
      </c>
      <c r="H149" t="str">
        <f>Source!H292</f>
        <v>кг</v>
      </c>
      <c r="I149">
        <f>Source!I292</f>
        <v>8.2000519999999995</v>
      </c>
      <c r="J149">
        <v>1</v>
      </c>
      <c r="K149">
        <f>Source!AC292</f>
        <v>28.98</v>
      </c>
      <c r="M149">
        <f>ROUND(K149*I149, 2)</f>
        <v>237.64</v>
      </c>
      <c r="N149">
        <f>Source!AC292*IF(Source!BC292&lt;&gt; 0, Source!BC292, 1)</f>
        <v>103.7484</v>
      </c>
      <c r="O149">
        <f>ROUND(N149*I149, 2)</f>
        <v>850.74</v>
      </c>
      <c r="P149">
        <f>Source!AE292</f>
        <v>0</v>
      </c>
      <c r="R149">
        <f>ROUND(P149*I149, 2)</f>
        <v>0</v>
      </c>
      <c r="S149">
        <f>Source!AE292*IF(Source!BS292&lt;&gt; 0, Source!BS292, 1)</f>
        <v>0</v>
      </c>
      <c r="T149">
        <f>ROUND(S149*I149, 2)</f>
        <v>0</v>
      </c>
      <c r="U149">
        <v>3</v>
      </c>
      <c r="Y149">
        <f>Source!GF292</f>
        <v>33071459</v>
      </c>
      <c r="Z149">
        <v>-461057638</v>
      </c>
      <c r="AA149">
        <v>-671505445</v>
      </c>
    </row>
    <row r="150" spans="1:27" x14ac:dyDescent="0.2">
      <c r="A150">
        <f>Source!A294</f>
        <v>18</v>
      </c>
      <c r="B150">
        <v>294</v>
      </c>
      <c r="C150">
        <v>3</v>
      </c>
      <c r="D150">
        <f>Source!BI294</f>
        <v>1</v>
      </c>
      <c r="E150">
        <f>Source!FS294</f>
        <v>0</v>
      </c>
      <c r="F150" t="str">
        <f>Source!F294</f>
        <v>1.1-1-2180</v>
      </c>
      <c r="G150" t="str">
        <f>Source!G294</f>
        <v>Краска водно-дисперсионная, акриловая, с коллоидным раствором серебра, биологически активная, для внутренних работ, ручного и механизированного нанесения, сухой остаток от 56 до 62%, водородный показатель не менее рН 8,5, для окраски помещений медицинских учреждений, детских садов, школ, предприятий общественного питания и прочих мест массового посещения людей</v>
      </c>
      <c r="H150" t="str">
        <f>Source!H294</f>
        <v>т</v>
      </c>
      <c r="I150">
        <f>Source!I294</f>
        <v>1.0143000000000001E-2</v>
      </c>
      <c r="J150">
        <v>1</v>
      </c>
      <c r="K150">
        <f>Source!AC294</f>
        <v>33030.400000000001</v>
      </c>
      <c r="M150">
        <f>ROUND(K150*I150, 2)</f>
        <v>335.03</v>
      </c>
      <c r="N150">
        <f>Source!AC294*IF(Source!BC294&lt;&gt; 0, Source!BC294, 1)</f>
        <v>125845.82400000001</v>
      </c>
      <c r="O150">
        <f>ROUND(N150*I150, 2)</f>
        <v>1276.45</v>
      </c>
      <c r="P150">
        <f>Source!AE294</f>
        <v>0</v>
      </c>
      <c r="R150">
        <f>ROUND(P150*I150, 2)</f>
        <v>0</v>
      </c>
      <c r="S150">
        <f>Source!AE294*IF(Source!BS294&lt;&gt; 0, Source!BS294, 1)</f>
        <v>0</v>
      </c>
      <c r="T150">
        <f>ROUND(S150*I150, 2)</f>
        <v>0</v>
      </c>
      <c r="U150">
        <v>3</v>
      </c>
      <c r="Y150">
        <f>Source!GF294</f>
        <v>-781431118</v>
      </c>
      <c r="Z150">
        <v>-257880954</v>
      </c>
      <c r="AA150">
        <v>-880533445</v>
      </c>
    </row>
    <row r="151" spans="1:27" x14ac:dyDescent="0.2">
      <c r="A151">
        <v>20</v>
      </c>
      <c r="B151">
        <v>310</v>
      </c>
      <c r="C151">
        <v>3</v>
      </c>
      <c r="D151">
        <v>0</v>
      </c>
      <c r="E151">
        <f>SmtRes!AV310</f>
        <v>0</v>
      </c>
      <c r="F151" t="str">
        <f>SmtRes!I310</f>
        <v>1.1-1-660</v>
      </c>
      <c r="G151" t="str">
        <f>SmtRes!K310</f>
        <v>Мыло твердое</v>
      </c>
      <c r="H151" t="str">
        <f>SmtRes!O310</f>
        <v>т</v>
      </c>
      <c r="I151">
        <f>SmtRes!Y310*Source!I296</f>
        <v>4.2880000000000003E-5</v>
      </c>
      <c r="J151">
        <f>SmtRes!AO310</f>
        <v>1</v>
      </c>
      <c r="K151">
        <f>SmtRes!AE310</f>
        <v>12705.7</v>
      </c>
      <c r="L151">
        <f>SmtRes!DB310</f>
        <v>8.1300000000000008</v>
      </c>
      <c r="M151">
        <f>ROUND(ROUND(L151*Source!I296, 6)*1, 2)</f>
        <v>0.54</v>
      </c>
      <c r="N151">
        <f>SmtRes!AA310</f>
        <v>23124.37</v>
      </c>
      <c r="O151">
        <f>ROUND(ROUND(L151*Source!I296, 6)*SmtRes!DA310, 2)</f>
        <v>0.99</v>
      </c>
      <c r="P151">
        <f>SmtRes!AG310</f>
        <v>0</v>
      </c>
      <c r="Q151">
        <f>SmtRes!DC310</f>
        <v>0</v>
      </c>
      <c r="R151">
        <f>ROUND(ROUND(Q151*Source!I296, 6)*1, 2)</f>
        <v>0</v>
      </c>
      <c r="S151">
        <f>SmtRes!AC310</f>
        <v>0</v>
      </c>
      <c r="T151">
        <f>ROUND(ROUND(Q151*Source!I296, 6)*SmtRes!AK310, 2)</f>
        <v>0</v>
      </c>
      <c r="U151">
        <v>3</v>
      </c>
      <c r="Y151">
        <f>SmtRes!X310</f>
        <v>-1028135181</v>
      </c>
      <c r="Z151">
        <v>-1357809667</v>
      </c>
      <c r="AA151">
        <v>-240268513</v>
      </c>
    </row>
    <row r="152" spans="1:27" x14ac:dyDescent="0.2">
      <c r="A152">
        <v>20</v>
      </c>
      <c r="B152">
        <v>309</v>
      </c>
      <c r="C152">
        <v>3</v>
      </c>
      <c r="D152">
        <v>0</v>
      </c>
      <c r="E152">
        <f>SmtRes!AV309</f>
        <v>0</v>
      </c>
      <c r="F152" t="str">
        <f>SmtRes!I309</f>
        <v>1.1-1-652</v>
      </c>
      <c r="G152" t="str">
        <f>SmtRes!K309</f>
        <v>Мел молотый</v>
      </c>
      <c r="H152" t="str">
        <f>SmtRes!O309</f>
        <v>т</v>
      </c>
      <c r="I152">
        <f>SmtRes!Y309*Source!I296</f>
        <v>8.0400000000000003E-4</v>
      </c>
      <c r="J152">
        <f>SmtRes!AO309</f>
        <v>1</v>
      </c>
      <c r="K152">
        <f>SmtRes!AE309</f>
        <v>545.21</v>
      </c>
      <c r="L152">
        <f>SmtRes!DB309</f>
        <v>6.54</v>
      </c>
      <c r="M152">
        <f>ROUND(ROUND(L152*Source!I296, 6)*1, 2)</f>
        <v>0.44</v>
      </c>
      <c r="N152">
        <f>SmtRes!AA309</f>
        <v>6460.74</v>
      </c>
      <c r="O152">
        <f>ROUND(ROUND(L152*Source!I296, 6)*SmtRes!DA309, 2)</f>
        <v>5.19</v>
      </c>
      <c r="P152">
        <f>SmtRes!AG309</f>
        <v>0</v>
      </c>
      <c r="Q152">
        <f>SmtRes!DC309</f>
        <v>0</v>
      </c>
      <c r="R152">
        <f>ROUND(ROUND(Q152*Source!I296, 6)*1, 2)</f>
        <v>0</v>
      </c>
      <c r="S152">
        <f>SmtRes!AC309</f>
        <v>0</v>
      </c>
      <c r="T152">
        <f>ROUND(ROUND(Q152*Source!I296, 6)*SmtRes!AK309, 2)</f>
        <v>0</v>
      </c>
      <c r="U152">
        <v>3</v>
      </c>
      <c r="Y152">
        <f>SmtRes!X309</f>
        <v>525496182</v>
      </c>
      <c r="Z152">
        <v>525631180</v>
      </c>
      <c r="AA152">
        <v>1293836363</v>
      </c>
    </row>
    <row r="153" spans="1:27" x14ac:dyDescent="0.2">
      <c r="A153">
        <v>20</v>
      </c>
      <c r="B153">
        <v>307</v>
      </c>
      <c r="C153">
        <v>3</v>
      </c>
      <c r="D153">
        <v>0</v>
      </c>
      <c r="E153">
        <f>SmtRes!AV307</f>
        <v>0</v>
      </c>
      <c r="F153" t="str">
        <f>SmtRes!I307</f>
        <v>1.1-1-393</v>
      </c>
      <c r="G153" t="str">
        <f>SmtRes!K307</f>
        <v>Клей малярный</v>
      </c>
      <c r="H153" t="str">
        <f>SmtRes!O307</f>
        <v>т</v>
      </c>
      <c r="I153">
        <f>SmtRes!Y307*Source!I296</f>
        <v>1.6280999999999999E-4</v>
      </c>
      <c r="J153">
        <f>SmtRes!AO307</f>
        <v>1</v>
      </c>
      <c r="K153">
        <f>SmtRes!AE307</f>
        <v>12237.68</v>
      </c>
      <c r="L153">
        <f>SmtRes!DB307</f>
        <v>29.74</v>
      </c>
      <c r="M153">
        <f>ROUND(ROUND(L153*Source!I296, 6)*1, 2)</f>
        <v>1.99</v>
      </c>
      <c r="N153">
        <f>SmtRes!AA307</f>
        <v>525853.11</v>
      </c>
      <c r="O153">
        <f>ROUND(ROUND(L153*Source!I296, 6)*SmtRes!DA307, 2)</f>
        <v>85.62</v>
      </c>
      <c r="P153">
        <f>SmtRes!AG307</f>
        <v>0</v>
      </c>
      <c r="Q153">
        <f>SmtRes!DC307</f>
        <v>0</v>
      </c>
      <c r="R153">
        <f>ROUND(ROUND(Q153*Source!I296, 6)*1, 2)</f>
        <v>0</v>
      </c>
      <c r="S153">
        <f>SmtRes!AC307</f>
        <v>0</v>
      </c>
      <c r="T153">
        <f>ROUND(ROUND(Q153*Source!I296, 6)*SmtRes!AK307, 2)</f>
        <v>0</v>
      </c>
      <c r="U153">
        <v>3</v>
      </c>
      <c r="Y153">
        <f>SmtRes!X307</f>
        <v>-455508453</v>
      </c>
      <c r="Z153">
        <v>-1573003007</v>
      </c>
      <c r="AA153">
        <v>-1271073593</v>
      </c>
    </row>
    <row r="154" spans="1:27" x14ac:dyDescent="0.2">
      <c r="A154">
        <v>20</v>
      </c>
      <c r="B154">
        <v>305</v>
      </c>
      <c r="C154">
        <v>3</v>
      </c>
      <c r="D154">
        <v>0</v>
      </c>
      <c r="E154">
        <f>SmtRes!AV305</f>
        <v>0</v>
      </c>
      <c r="F154" t="str">
        <f>SmtRes!I305</f>
        <v>1.1-1-1463</v>
      </c>
      <c r="G154" t="str">
        <f>SmtRes!K305</f>
        <v>Шкурка шлифовальная на бумажной основе</v>
      </c>
      <c r="H154" t="str">
        <f>SmtRes!O305</f>
        <v>м2</v>
      </c>
      <c r="I154">
        <f>SmtRes!Y305*Source!I296</f>
        <v>0.10720000000000002</v>
      </c>
      <c r="J154">
        <f>SmtRes!AO305</f>
        <v>1</v>
      </c>
      <c r="K154">
        <f>SmtRes!AE305</f>
        <v>104</v>
      </c>
      <c r="L154">
        <f>SmtRes!DB305</f>
        <v>166.4</v>
      </c>
      <c r="M154">
        <f>ROUND(ROUND(L154*Source!I296, 6)*1, 2)</f>
        <v>11.15</v>
      </c>
      <c r="N154">
        <f>SmtRes!AA305</f>
        <v>188.24</v>
      </c>
      <c r="O154">
        <f>ROUND(ROUND(L154*Source!I296, 6)*SmtRes!DA305, 2)</f>
        <v>20.18</v>
      </c>
      <c r="P154">
        <f>SmtRes!AG305</f>
        <v>0</v>
      </c>
      <c r="Q154">
        <f>SmtRes!DC305</f>
        <v>0</v>
      </c>
      <c r="R154">
        <f>ROUND(ROUND(Q154*Source!I296, 6)*1, 2)</f>
        <v>0</v>
      </c>
      <c r="S154">
        <f>SmtRes!AC305</f>
        <v>0</v>
      </c>
      <c r="T154">
        <f>ROUND(ROUND(Q154*Source!I296, 6)*SmtRes!AK305, 2)</f>
        <v>0</v>
      </c>
      <c r="U154">
        <v>3</v>
      </c>
      <c r="Y154">
        <f>SmtRes!X305</f>
        <v>-216611581</v>
      </c>
      <c r="Z154">
        <v>1112794175</v>
      </c>
      <c r="AA154">
        <v>-1624005022</v>
      </c>
    </row>
    <row r="155" spans="1:27" x14ac:dyDescent="0.2">
      <c r="A155">
        <v>20</v>
      </c>
      <c r="B155">
        <v>304</v>
      </c>
      <c r="C155">
        <v>3</v>
      </c>
      <c r="D155">
        <v>0</v>
      </c>
      <c r="E155">
        <f>SmtRes!AV304</f>
        <v>0</v>
      </c>
      <c r="F155" t="str">
        <f>SmtRes!I304</f>
        <v>1.1-1-118</v>
      </c>
      <c r="G155" t="str">
        <f>SmtRes!K304</f>
        <v>Вода</v>
      </c>
      <c r="H155" t="str">
        <f>SmtRes!O304</f>
        <v>м3</v>
      </c>
      <c r="I155">
        <f>SmtRes!Y304*Source!I296</f>
        <v>1.6080000000000001E-2</v>
      </c>
      <c r="J155">
        <f>SmtRes!AO304</f>
        <v>1</v>
      </c>
      <c r="K155">
        <f>SmtRes!AE304</f>
        <v>7.07</v>
      </c>
      <c r="L155">
        <f>SmtRes!DB304</f>
        <v>1.7</v>
      </c>
      <c r="M155">
        <f>ROUND(ROUND(L155*Source!I296, 6)*1, 2)</f>
        <v>0.11</v>
      </c>
      <c r="N155">
        <f>SmtRes!AA304</f>
        <v>42.42</v>
      </c>
      <c r="O155">
        <f>ROUND(ROUND(L155*Source!I296, 6)*SmtRes!DA304, 2)</f>
        <v>0.68</v>
      </c>
      <c r="P155">
        <f>SmtRes!AG304</f>
        <v>0</v>
      </c>
      <c r="Q155">
        <f>SmtRes!DC304</f>
        <v>0</v>
      </c>
      <c r="R155">
        <f>ROUND(ROUND(Q155*Source!I296, 6)*1, 2)</f>
        <v>0</v>
      </c>
      <c r="S155">
        <f>SmtRes!AC304</f>
        <v>0</v>
      </c>
      <c r="T155">
        <f>ROUND(ROUND(Q155*Source!I296, 6)*SmtRes!AK304, 2)</f>
        <v>0</v>
      </c>
      <c r="U155">
        <v>3</v>
      </c>
      <c r="Y155">
        <f>SmtRes!X304</f>
        <v>-862991314</v>
      </c>
      <c r="Z155">
        <v>-1421290593</v>
      </c>
      <c r="AA155">
        <v>-1279710304</v>
      </c>
    </row>
    <row r="156" spans="1:27" x14ac:dyDescent="0.2">
      <c r="A156">
        <v>20</v>
      </c>
      <c r="B156">
        <v>303</v>
      </c>
      <c r="C156">
        <v>2</v>
      </c>
      <c r="D156">
        <v>0</v>
      </c>
      <c r="E156">
        <f>SmtRes!AV303</f>
        <v>0</v>
      </c>
      <c r="F156" t="str">
        <f>SmtRes!I303</f>
        <v>9999990007</v>
      </c>
      <c r="G156" t="str">
        <f>SmtRes!K303</f>
        <v>Стоимость прочих машин (ЭСН)</v>
      </c>
      <c r="H156" t="str">
        <f>SmtRes!O303</f>
        <v>руб.</v>
      </c>
      <c r="I156">
        <f>SmtRes!Y303*Source!I296</f>
        <v>0.29948999999999998</v>
      </c>
      <c r="J156">
        <f>SmtRes!AO303</f>
        <v>1</v>
      </c>
      <c r="K156">
        <f>SmtRes!AF303</f>
        <v>1</v>
      </c>
      <c r="L156">
        <f>SmtRes!DB303</f>
        <v>4.47</v>
      </c>
      <c r="M156">
        <f>ROUND(ROUND(L156*Source!I296, 6)*1, 2)</f>
        <v>0.3</v>
      </c>
      <c r="N156">
        <f>SmtRes!AB303</f>
        <v>1.03</v>
      </c>
      <c r="O156">
        <f>ROUND(ROUND(L156*Source!I296, 6)*SmtRes!DA303, 2)</f>
        <v>0.3</v>
      </c>
      <c r="P156">
        <f>SmtRes!AG303</f>
        <v>0</v>
      </c>
      <c r="Q156">
        <f>SmtRes!DC303</f>
        <v>0</v>
      </c>
      <c r="R156">
        <f>ROUND(ROUND(Q156*Source!I296, 6)*1, 2)</f>
        <v>0</v>
      </c>
      <c r="S156">
        <f>SmtRes!AC303</f>
        <v>0</v>
      </c>
      <c r="T156">
        <f>ROUND(ROUND(Q156*Source!I296, 6)*SmtRes!AK303, 2)</f>
        <v>0</v>
      </c>
      <c r="U156">
        <v>2</v>
      </c>
      <c r="Y156">
        <f>SmtRes!X303</f>
        <v>-1180195794</v>
      </c>
      <c r="Z156">
        <v>-595858232</v>
      </c>
      <c r="AA156">
        <v>69263875</v>
      </c>
    </row>
    <row r="157" spans="1:27" x14ac:dyDescent="0.2">
      <c r="A157">
        <v>20</v>
      </c>
      <c r="B157">
        <v>302</v>
      </c>
      <c r="C157">
        <v>1</v>
      </c>
      <c r="D157">
        <v>0</v>
      </c>
      <c r="E157">
        <f>SmtRes!AV302</f>
        <v>1</v>
      </c>
      <c r="F157" t="str">
        <f>SmtRes!I302</f>
        <v>9999990008</v>
      </c>
      <c r="G157" t="str">
        <f>SmtRes!K302</f>
        <v>Трудозатраты рабочих</v>
      </c>
      <c r="H157" t="str">
        <f>SmtRes!O302</f>
        <v>чел.-ч.</v>
      </c>
      <c r="I157">
        <f>SmtRes!Y302*Source!I296</f>
        <v>2.2847000000000004</v>
      </c>
      <c r="J157">
        <f>SmtRes!AO302</f>
        <v>1</v>
      </c>
      <c r="K157">
        <f>SmtRes!AH302</f>
        <v>0</v>
      </c>
      <c r="L157">
        <f>SmtRes!DB302</f>
        <v>0</v>
      </c>
      <c r="M157">
        <f>ROUND(ROUND(L157*Source!I296, 6)*1, 2)</f>
        <v>0</v>
      </c>
      <c r="N157">
        <f>SmtRes!AD302</f>
        <v>0</v>
      </c>
      <c r="O157">
        <f>ROUND(ROUND(L157*Source!I296, 6)*SmtRes!DA302, 2)</f>
        <v>0</v>
      </c>
      <c r="P157">
        <f>SmtRes!AG302</f>
        <v>0</v>
      </c>
      <c r="Q157">
        <f>SmtRes!DC302</f>
        <v>0</v>
      </c>
      <c r="R157">
        <f>ROUND(ROUND(Q157*Source!I296, 6)*1, 2)</f>
        <v>0</v>
      </c>
      <c r="S157">
        <f>SmtRes!AC302</f>
        <v>0</v>
      </c>
      <c r="T157">
        <f>ROUND(ROUND(Q157*Source!I296, 6)*SmtRes!AK302, 2)</f>
        <v>0</v>
      </c>
      <c r="U157">
        <v>1</v>
      </c>
      <c r="Y157">
        <f>SmtRes!X302</f>
        <v>476480486</v>
      </c>
      <c r="Z157">
        <v>1499241640</v>
      </c>
      <c r="AA157">
        <v>1499241640</v>
      </c>
    </row>
    <row r="158" spans="1:27" x14ac:dyDescent="0.2">
      <c r="A158">
        <f>Source!A298</f>
        <v>18</v>
      </c>
      <c r="B158">
        <v>298</v>
      </c>
      <c r="C158">
        <v>3</v>
      </c>
      <c r="D158">
        <f>Source!BI298</f>
        <v>1</v>
      </c>
      <c r="E158">
        <f>Source!FS298</f>
        <v>0</v>
      </c>
      <c r="F158" t="str">
        <f>Source!F298</f>
        <v>1.1-1-1487</v>
      </c>
      <c r="G158" t="str">
        <f>Source!G298</f>
        <v>Шпатлевка масляно-клеевая универсальная</v>
      </c>
      <c r="H158" t="str">
        <f>Source!H298</f>
        <v>т</v>
      </c>
      <c r="I158">
        <f>Source!I298</f>
        <v>4.5600000000000003E-4</v>
      </c>
      <c r="J158">
        <v>1</v>
      </c>
      <c r="K158">
        <f>Source!AC298</f>
        <v>2278.84</v>
      </c>
      <c r="M158">
        <f>ROUND(K158*I158, 2)</f>
        <v>1.04</v>
      </c>
      <c r="N158">
        <f>Source!AC298*IF(Source!BC298&lt;&gt; 0, Source!BC298, 1)</f>
        <v>18959.948800000002</v>
      </c>
      <c r="O158">
        <f>ROUND(N158*I158, 2)</f>
        <v>8.65</v>
      </c>
      <c r="P158">
        <f>Source!AE298</f>
        <v>0</v>
      </c>
      <c r="R158">
        <f>ROUND(P158*I158, 2)</f>
        <v>0</v>
      </c>
      <c r="S158">
        <f>Source!AE298*IF(Source!BS298&lt;&gt; 0, Source!BS298, 1)</f>
        <v>0</v>
      </c>
      <c r="T158">
        <f>ROUND(S158*I158, 2)</f>
        <v>0</v>
      </c>
      <c r="U158">
        <v>3</v>
      </c>
      <c r="Y158">
        <f>Source!GF298</f>
        <v>1793685401</v>
      </c>
      <c r="Z158">
        <v>1414816720</v>
      </c>
      <c r="AA158">
        <v>1924411406</v>
      </c>
    </row>
    <row r="159" spans="1:27" x14ac:dyDescent="0.2">
      <c r="A159">
        <f>Source!A300</f>
        <v>18</v>
      </c>
      <c r="B159">
        <v>300</v>
      </c>
      <c r="C159">
        <v>3</v>
      </c>
      <c r="D159">
        <f>Source!BI300</f>
        <v>1</v>
      </c>
      <c r="E159">
        <f>Source!FS300</f>
        <v>0</v>
      </c>
      <c r="F159" t="str">
        <f>Source!F300</f>
        <v>1.1-1-438</v>
      </c>
      <c r="G159" t="str">
        <f>Source!G300</f>
        <v>Краски водно-дисперсионные поливинилацетатные, белые, марка ВД-ВА-17</v>
      </c>
      <c r="H159" t="str">
        <f>Source!H300</f>
        <v>т</v>
      </c>
      <c r="I159">
        <f>Source!I300</f>
        <v>4.4889999999999999E-3</v>
      </c>
      <c r="J159">
        <v>1</v>
      </c>
      <c r="K159">
        <f>Source!AC300</f>
        <v>22652.13</v>
      </c>
      <c r="M159">
        <f>ROUND(K159*I159, 2)</f>
        <v>101.69</v>
      </c>
      <c r="N159">
        <f>Source!AC300*IF(Source!BC300&lt;&gt; 0, Source!BC300, 1)</f>
        <v>46663.387800000004</v>
      </c>
      <c r="O159">
        <f>ROUND(N159*I159, 2)</f>
        <v>209.47</v>
      </c>
      <c r="P159">
        <f>Source!AE300</f>
        <v>0</v>
      </c>
      <c r="R159">
        <f>ROUND(P159*I159, 2)</f>
        <v>0</v>
      </c>
      <c r="S159">
        <f>Source!AE300*IF(Source!BS300&lt;&gt; 0, Source!BS300, 1)</f>
        <v>0</v>
      </c>
      <c r="T159">
        <f>ROUND(S159*I159, 2)</f>
        <v>0</v>
      </c>
      <c r="U159">
        <v>3</v>
      </c>
      <c r="Y159">
        <f>Source!GF300</f>
        <v>-908598485</v>
      </c>
      <c r="Z159">
        <v>2048052969</v>
      </c>
      <c r="AA159">
        <v>111548492</v>
      </c>
    </row>
    <row r="160" spans="1:27" x14ac:dyDescent="0.2">
      <c r="A160">
        <v>20</v>
      </c>
      <c r="B160">
        <v>322</v>
      </c>
      <c r="C160">
        <v>3</v>
      </c>
      <c r="D160">
        <v>0</v>
      </c>
      <c r="E160">
        <f>SmtRes!AV322</f>
        <v>0</v>
      </c>
      <c r="F160" t="str">
        <f>SmtRes!I322</f>
        <v>9999990006</v>
      </c>
      <c r="G160" t="str">
        <f>SmtRes!K322</f>
        <v>Стоимость прочих материалов (ЭСН)</v>
      </c>
      <c r="H160" t="str">
        <f>SmtRes!O322</f>
        <v>руб.</v>
      </c>
      <c r="I160">
        <f>SmtRes!Y322*Source!I302</f>
        <v>0.69600000000000006</v>
      </c>
      <c r="J160">
        <f>SmtRes!AO322</f>
        <v>1</v>
      </c>
      <c r="K160">
        <f>SmtRes!AE322</f>
        <v>1</v>
      </c>
      <c r="L160">
        <f>SmtRes!DB322</f>
        <v>0.87</v>
      </c>
      <c r="M160">
        <f>ROUND(ROUND(L160*Source!I302, 6)*1, 2)</f>
        <v>0.7</v>
      </c>
      <c r="N160">
        <f>SmtRes!AA322</f>
        <v>8.65</v>
      </c>
      <c r="O160">
        <f>ROUND(ROUND(L160*Source!I302, 6)*SmtRes!DA322, 2)</f>
        <v>6.02</v>
      </c>
      <c r="P160">
        <f>SmtRes!AG322</f>
        <v>0</v>
      </c>
      <c r="Q160">
        <f>SmtRes!DC322</f>
        <v>0</v>
      </c>
      <c r="R160">
        <f>ROUND(ROUND(Q160*Source!I302, 6)*1, 2)</f>
        <v>0</v>
      </c>
      <c r="S160">
        <f>SmtRes!AC322</f>
        <v>0</v>
      </c>
      <c r="T160">
        <f>ROUND(ROUND(Q160*Source!I302, 6)*SmtRes!AK322, 2)</f>
        <v>0</v>
      </c>
      <c r="U160">
        <v>3</v>
      </c>
      <c r="Y160">
        <f>SmtRes!X322</f>
        <v>-94250534</v>
      </c>
      <c r="Z160">
        <v>-1771809642</v>
      </c>
      <c r="AA160">
        <v>19367311</v>
      </c>
    </row>
    <row r="161" spans="1:27" x14ac:dyDescent="0.2">
      <c r="A161">
        <v>20</v>
      </c>
      <c r="B161">
        <v>319</v>
      </c>
      <c r="C161">
        <v>3</v>
      </c>
      <c r="D161">
        <v>0</v>
      </c>
      <c r="E161">
        <f>SmtRes!AV319</f>
        <v>0</v>
      </c>
      <c r="F161" t="str">
        <f>SmtRes!I319</f>
        <v>1.1-1-57</v>
      </c>
      <c r="G161" t="str">
        <f>SmtRes!K319</f>
        <v>Болты строительные черные с гайками и шайбами (10х100 мм)</v>
      </c>
      <c r="H161" t="str">
        <f>SmtRes!O319</f>
        <v>т</v>
      </c>
      <c r="I161">
        <f>SmtRes!Y319*Source!I302</f>
        <v>2.2800000000000003E-3</v>
      </c>
      <c r="J161">
        <f>SmtRes!AO319</f>
        <v>1</v>
      </c>
      <c r="K161">
        <f>SmtRes!AE319</f>
        <v>17876.91</v>
      </c>
      <c r="L161">
        <f>SmtRes!DB319</f>
        <v>50.95</v>
      </c>
      <c r="M161">
        <f>ROUND(ROUND(L161*Source!I302, 6)*1, 2)</f>
        <v>40.76</v>
      </c>
      <c r="N161">
        <f>SmtRes!AA319</f>
        <v>128713.75</v>
      </c>
      <c r="O161">
        <f>ROUND(ROUND(L161*Source!I302, 6)*SmtRes!DA319, 2)</f>
        <v>293.47000000000003</v>
      </c>
      <c r="P161">
        <f>SmtRes!AG319</f>
        <v>0</v>
      </c>
      <c r="Q161">
        <f>SmtRes!DC319</f>
        <v>0</v>
      </c>
      <c r="R161">
        <f>ROUND(ROUND(Q161*Source!I302, 6)*1, 2)</f>
        <v>0</v>
      </c>
      <c r="S161">
        <f>SmtRes!AC319</f>
        <v>0</v>
      </c>
      <c r="T161">
        <f>ROUND(ROUND(Q161*Source!I302, 6)*SmtRes!AK319, 2)</f>
        <v>0</v>
      </c>
      <c r="U161">
        <v>3</v>
      </c>
      <c r="Y161">
        <f>SmtRes!X319</f>
        <v>-1798553121</v>
      </c>
      <c r="Z161">
        <v>1247950312</v>
      </c>
      <c r="AA161">
        <v>-1809354639</v>
      </c>
    </row>
    <row r="162" spans="1:27" x14ac:dyDescent="0.2">
      <c r="A162">
        <v>20</v>
      </c>
      <c r="B162">
        <v>318</v>
      </c>
      <c r="C162">
        <v>2</v>
      </c>
      <c r="D162">
        <v>0</v>
      </c>
      <c r="E162">
        <f>SmtRes!AV318</f>
        <v>0</v>
      </c>
      <c r="F162" t="str">
        <f>SmtRes!I318</f>
        <v>9999990007</v>
      </c>
      <c r="G162" t="str">
        <f>SmtRes!K318</f>
        <v>Стоимость прочих машин (ЭСН)</v>
      </c>
      <c r="H162" t="str">
        <f>SmtRes!O318</f>
        <v>руб.</v>
      </c>
      <c r="I162">
        <f>SmtRes!Y318*Source!I302</f>
        <v>19.66</v>
      </c>
      <c r="J162">
        <f>SmtRes!AO318</f>
        <v>1</v>
      </c>
      <c r="K162">
        <f>SmtRes!AF318</f>
        <v>1</v>
      </c>
      <c r="L162">
        <f>SmtRes!DB318</f>
        <v>24.574999999999999</v>
      </c>
      <c r="M162">
        <f>ROUND(ROUND(L162*Source!I302, 6)*1, 2)</f>
        <v>19.66</v>
      </c>
      <c r="N162">
        <f>SmtRes!AB318</f>
        <v>1.03</v>
      </c>
      <c r="O162">
        <f>ROUND(ROUND(L162*Source!I302, 6)*SmtRes!DA318, 2)</f>
        <v>19.66</v>
      </c>
      <c r="P162">
        <f>SmtRes!AG318</f>
        <v>0</v>
      </c>
      <c r="Q162">
        <f>SmtRes!DC318</f>
        <v>0</v>
      </c>
      <c r="R162">
        <f>ROUND(ROUND(Q162*Source!I302, 6)*1, 2)</f>
        <v>0</v>
      </c>
      <c r="S162">
        <f>SmtRes!AC318</f>
        <v>0</v>
      </c>
      <c r="T162">
        <f>ROUND(ROUND(Q162*Source!I302, 6)*SmtRes!AK318, 2)</f>
        <v>0</v>
      </c>
      <c r="U162">
        <v>2</v>
      </c>
      <c r="Y162">
        <f>SmtRes!X318</f>
        <v>-1180195794</v>
      </c>
      <c r="Z162">
        <v>-595858232</v>
      </c>
      <c r="AA162">
        <v>69263875</v>
      </c>
    </row>
    <row r="163" spans="1:27" x14ac:dyDescent="0.2">
      <c r="A163">
        <v>20</v>
      </c>
      <c r="B163">
        <v>317</v>
      </c>
      <c r="C163">
        <v>1</v>
      </c>
      <c r="D163">
        <v>0</v>
      </c>
      <c r="E163">
        <f>SmtRes!AV317</f>
        <v>1</v>
      </c>
      <c r="F163" t="str">
        <f>SmtRes!I317</f>
        <v>9999990008</v>
      </c>
      <c r="G163" t="str">
        <f>SmtRes!K317</f>
        <v>Трудозатраты рабочих</v>
      </c>
      <c r="H163" t="str">
        <f>SmtRes!O317</f>
        <v>чел.-ч.</v>
      </c>
      <c r="I163">
        <f>SmtRes!Y317*Source!I302</f>
        <v>161.91999999999999</v>
      </c>
      <c r="J163">
        <f>SmtRes!AO317</f>
        <v>1</v>
      </c>
      <c r="K163">
        <f>SmtRes!AH317</f>
        <v>0</v>
      </c>
      <c r="L163">
        <f>SmtRes!DB317</f>
        <v>0</v>
      </c>
      <c r="M163">
        <f>ROUND(ROUND(L163*Source!I302, 6)*1, 2)</f>
        <v>0</v>
      </c>
      <c r="N163">
        <f>SmtRes!AD317</f>
        <v>0</v>
      </c>
      <c r="O163">
        <f>ROUND(ROUND(L163*Source!I302, 6)*SmtRes!DA317, 2)</f>
        <v>0</v>
      </c>
      <c r="P163">
        <f>SmtRes!AG317</f>
        <v>0</v>
      </c>
      <c r="Q163">
        <f>SmtRes!DC317</f>
        <v>0</v>
      </c>
      <c r="R163">
        <f>ROUND(ROUND(Q163*Source!I302, 6)*1, 2)</f>
        <v>0</v>
      </c>
      <c r="S163">
        <f>SmtRes!AC317</f>
        <v>0</v>
      </c>
      <c r="T163">
        <f>ROUND(ROUND(Q163*Source!I302, 6)*SmtRes!AK317, 2)</f>
        <v>0</v>
      </c>
      <c r="U163">
        <v>1</v>
      </c>
      <c r="Y163">
        <f>SmtRes!X317</f>
        <v>476480486</v>
      </c>
      <c r="Z163">
        <v>1499241640</v>
      </c>
      <c r="AA163">
        <v>1499241640</v>
      </c>
    </row>
    <row r="164" spans="1:27" x14ac:dyDescent="0.2">
      <c r="A164">
        <f>Source!A304</f>
        <v>18</v>
      </c>
      <c r="B164">
        <v>304</v>
      </c>
      <c r="C164">
        <v>3</v>
      </c>
      <c r="D164">
        <f>Source!BI304</f>
        <v>1</v>
      </c>
      <c r="E164">
        <f>Source!FS304</f>
        <v>0</v>
      </c>
      <c r="F164" t="str">
        <f>Source!F304</f>
        <v>5262120000</v>
      </c>
      <c r="G164" t="str">
        <f>Source!G304</f>
        <v>Комплектующие к подвесных потолкам типа "армстронг"</v>
      </c>
      <c r="H164" t="str">
        <f>Source!H304</f>
        <v>КОМПЛЕКТ</v>
      </c>
      <c r="I164">
        <f>Source!I304</f>
        <v>80</v>
      </c>
      <c r="J164">
        <v>1</v>
      </c>
      <c r="K164">
        <f>Source!AC304</f>
        <v>0</v>
      </c>
      <c r="M164">
        <f>ROUND(K164*I164, 2)</f>
        <v>0</v>
      </c>
      <c r="N164">
        <f>Source!AC304*IF(Source!BC304&lt;&gt; 0, Source!BC304, 1)</f>
        <v>0</v>
      </c>
      <c r="O164">
        <f>ROUND(N164*I164, 2)</f>
        <v>0</v>
      </c>
      <c r="P164">
        <f>Source!AE304</f>
        <v>0</v>
      </c>
      <c r="R164">
        <f>ROUND(P164*I164, 2)</f>
        <v>0</v>
      </c>
      <c r="S164">
        <f>Source!AE304*IF(Source!BS304&lt;&gt; 0, Source!BS304, 1)</f>
        <v>0</v>
      </c>
      <c r="T164">
        <f>ROUND(S164*I164, 2)</f>
        <v>0</v>
      </c>
      <c r="U164">
        <v>3</v>
      </c>
      <c r="Y164">
        <f>Source!GF304</f>
        <v>-444997731</v>
      </c>
      <c r="Z164">
        <v>-665984903</v>
      </c>
      <c r="AA164">
        <v>-665984903</v>
      </c>
    </row>
    <row r="165" spans="1:27" x14ac:dyDescent="0.2">
      <c r="A165">
        <f>Source!A306</f>
        <v>18</v>
      </c>
      <c r="B165">
        <v>306</v>
      </c>
      <c r="C165">
        <v>3</v>
      </c>
      <c r="D165">
        <f>Source!BI306</f>
        <v>1</v>
      </c>
      <c r="E165">
        <f>Source!FS306</f>
        <v>0</v>
      </c>
      <c r="F165" t="str">
        <f>Source!F306</f>
        <v>5767710000</v>
      </c>
      <c r="G165" t="str">
        <f>Source!G306</f>
        <v>Плиты декоративно-акустические</v>
      </c>
      <c r="H165" t="str">
        <f>Source!H306</f>
        <v>м2</v>
      </c>
      <c r="I165">
        <f>Source!I306</f>
        <v>0</v>
      </c>
      <c r="J165">
        <v>1</v>
      </c>
      <c r="K165">
        <f>Source!AC306</f>
        <v>0</v>
      </c>
      <c r="M165">
        <f>ROUND(K165*I165, 2)</f>
        <v>0</v>
      </c>
      <c r="N165">
        <f>Source!AC306*IF(Source!BC306&lt;&gt; 0, Source!BC306, 1)</f>
        <v>0</v>
      </c>
      <c r="O165">
        <f>ROUND(N165*I165, 2)</f>
        <v>0</v>
      </c>
      <c r="P165">
        <f>Source!AE306</f>
        <v>0</v>
      </c>
      <c r="R165">
        <f>ROUND(P165*I165, 2)</f>
        <v>0</v>
      </c>
      <c r="S165">
        <f>Source!AE306*IF(Source!BS306&lt;&gt; 0, Source!BS306, 1)</f>
        <v>0</v>
      </c>
      <c r="T165">
        <f>ROUND(S165*I165, 2)</f>
        <v>0</v>
      </c>
      <c r="U165">
        <v>3</v>
      </c>
      <c r="Y165">
        <f>Source!GF306</f>
        <v>-1012860968</v>
      </c>
      <c r="Z165">
        <v>-1532172236</v>
      </c>
      <c r="AA165">
        <v>-1532172236</v>
      </c>
    </row>
    <row r="166" spans="1:27" x14ac:dyDescent="0.2">
      <c r="A166">
        <v>20</v>
      </c>
      <c r="B166">
        <v>339</v>
      </c>
      <c r="C166">
        <v>3</v>
      </c>
      <c r="D166">
        <v>0</v>
      </c>
      <c r="E166">
        <f>SmtRes!AV339</f>
        <v>0</v>
      </c>
      <c r="F166" t="str">
        <f>SmtRes!I339</f>
        <v>1.1-1-2480</v>
      </c>
      <c r="G166" t="str">
        <f>SmtRes!K339</f>
        <v>Грунтовка на основе полимерной дисперсии, концентрированная, паропроницаемая, с желтым пигментом, для впитывающих оснований</v>
      </c>
      <c r="H166" t="str">
        <f>SmtRes!O339</f>
        <v>т</v>
      </c>
      <c r="I166">
        <f>SmtRes!Y339*Source!I308</f>
        <v>6.0999999999999997E-4</v>
      </c>
      <c r="J166">
        <f>SmtRes!AO339</f>
        <v>1</v>
      </c>
      <c r="K166">
        <f>SmtRes!AE339</f>
        <v>69883.649999999994</v>
      </c>
      <c r="L166">
        <f>SmtRes!DB339</f>
        <v>698.84</v>
      </c>
      <c r="M166">
        <f>ROUND(ROUND(L166*Source!I308, 6)*1, 2)</f>
        <v>42.63</v>
      </c>
      <c r="N166">
        <f>SmtRes!AA339</f>
        <v>224326.52</v>
      </c>
      <c r="O166">
        <f>ROUND(ROUND(L166*Source!I308, 6)*SmtRes!DA339, 2)</f>
        <v>136.84</v>
      </c>
      <c r="P166">
        <f>SmtRes!AG339</f>
        <v>0</v>
      </c>
      <c r="Q166">
        <f>SmtRes!DC339</f>
        <v>0</v>
      </c>
      <c r="R166">
        <f>ROUND(ROUND(Q166*Source!I308, 6)*1, 2)</f>
        <v>0</v>
      </c>
      <c r="S166">
        <f>SmtRes!AC339</f>
        <v>0</v>
      </c>
      <c r="T166">
        <f>ROUND(ROUND(Q166*Source!I308, 6)*SmtRes!AK339, 2)</f>
        <v>0</v>
      </c>
      <c r="U166">
        <v>3</v>
      </c>
      <c r="Y166">
        <f>SmtRes!X339</f>
        <v>-162804234</v>
      </c>
      <c r="Z166">
        <v>-1532063251</v>
      </c>
      <c r="AA166">
        <v>2053038425</v>
      </c>
    </row>
    <row r="167" spans="1:27" x14ac:dyDescent="0.2">
      <c r="A167">
        <v>20</v>
      </c>
      <c r="B167">
        <v>337</v>
      </c>
      <c r="C167">
        <v>3</v>
      </c>
      <c r="D167">
        <v>0</v>
      </c>
      <c r="E167">
        <f>SmtRes!AV337</f>
        <v>0</v>
      </c>
      <c r="F167" t="str">
        <f>SmtRes!I337</f>
        <v>1.1-1-118</v>
      </c>
      <c r="G167" t="str">
        <f>SmtRes!K337</f>
        <v>Вода</v>
      </c>
      <c r="H167" t="str">
        <f>SmtRes!O337</f>
        <v>м3</v>
      </c>
      <c r="I167">
        <f>SmtRes!Y337*Source!I308</f>
        <v>8.1130000000000004E-3</v>
      </c>
      <c r="J167">
        <f>SmtRes!AO337</f>
        <v>1</v>
      </c>
      <c r="K167">
        <f>SmtRes!AE337</f>
        <v>7.07</v>
      </c>
      <c r="L167">
        <f>SmtRes!DB337</f>
        <v>0.94</v>
      </c>
      <c r="M167">
        <f>ROUND(ROUND(L167*Source!I308, 6)*1, 2)</f>
        <v>0.06</v>
      </c>
      <c r="N167">
        <f>SmtRes!AA337</f>
        <v>42.42</v>
      </c>
      <c r="O167">
        <f>ROUND(ROUND(L167*Source!I308, 6)*SmtRes!DA337, 2)</f>
        <v>0.34</v>
      </c>
      <c r="P167">
        <f>SmtRes!AG337</f>
        <v>0</v>
      </c>
      <c r="Q167">
        <f>SmtRes!DC337</f>
        <v>0</v>
      </c>
      <c r="R167">
        <f>ROUND(ROUND(Q167*Source!I308, 6)*1, 2)</f>
        <v>0</v>
      </c>
      <c r="S167">
        <f>SmtRes!AC337</f>
        <v>0</v>
      </c>
      <c r="T167">
        <f>ROUND(ROUND(Q167*Source!I308, 6)*SmtRes!AK337, 2)</f>
        <v>0</v>
      </c>
      <c r="U167">
        <v>3</v>
      </c>
      <c r="Y167">
        <f>SmtRes!X337</f>
        <v>-862991314</v>
      </c>
      <c r="Z167">
        <v>-1421290593</v>
      </c>
      <c r="AA167">
        <v>-1279710304</v>
      </c>
    </row>
    <row r="168" spans="1:27" x14ac:dyDescent="0.2">
      <c r="A168">
        <v>20</v>
      </c>
      <c r="B168">
        <v>336</v>
      </c>
      <c r="C168">
        <v>2</v>
      </c>
      <c r="D168">
        <v>0</v>
      </c>
      <c r="E168">
        <f>SmtRes!AV336</f>
        <v>0</v>
      </c>
      <c r="F168" t="str">
        <f>SmtRes!I336</f>
        <v>9999990007</v>
      </c>
      <c r="G168" t="str">
        <f>SmtRes!K336</f>
        <v>Стоимость прочих машин (ЭСН)</v>
      </c>
      <c r="H168" t="str">
        <f>SmtRes!O336</f>
        <v>руб.</v>
      </c>
      <c r="I168">
        <f>SmtRes!Y336*Source!I308</f>
        <v>1.9794500000000002</v>
      </c>
      <c r="J168">
        <f>SmtRes!AO336</f>
        <v>1</v>
      </c>
      <c r="K168">
        <f>SmtRes!AF336</f>
        <v>1</v>
      </c>
      <c r="L168">
        <f>SmtRes!DB336</f>
        <v>32.450000000000003</v>
      </c>
      <c r="M168">
        <f>ROUND(ROUND(L168*Source!I308, 6)*1, 2)</f>
        <v>1.98</v>
      </c>
      <c r="N168">
        <f>SmtRes!AB336</f>
        <v>1.05</v>
      </c>
      <c r="O168">
        <f>ROUND(ROUND(L168*Source!I308, 6)*SmtRes!DA336, 2)</f>
        <v>1.98</v>
      </c>
      <c r="P168">
        <f>SmtRes!AG336</f>
        <v>0</v>
      </c>
      <c r="Q168">
        <f>SmtRes!DC336</f>
        <v>0</v>
      </c>
      <c r="R168">
        <f>ROUND(ROUND(Q168*Source!I308, 6)*1, 2)</f>
        <v>0</v>
      </c>
      <c r="S168">
        <f>SmtRes!AC336</f>
        <v>0</v>
      </c>
      <c r="T168">
        <f>ROUND(ROUND(Q168*Source!I308, 6)*SmtRes!AK336, 2)</f>
        <v>0</v>
      </c>
      <c r="U168">
        <v>2</v>
      </c>
      <c r="Y168">
        <f>SmtRes!X336</f>
        <v>-1180195794</v>
      </c>
      <c r="Z168">
        <v>-595858232</v>
      </c>
      <c r="AA168">
        <v>-314357962</v>
      </c>
    </row>
    <row r="169" spans="1:27" x14ac:dyDescent="0.2">
      <c r="A169">
        <v>20</v>
      </c>
      <c r="B169">
        <v>335</v>
      </c>
      <c r="C169">
        <v>2</v>
      </c>
      <c r="D169">
        <v>0</v>
      </c>
      <c r="E169">
        <f>SmtRes!AV335</f>
        <v>0</v>
      </c>
      <c r="F169" t="str">
        <f>SmtRes!I335</f>
        <v>2.1-30-75</v>
      </c>
      <c r="G169" t="str">
        <f>SmtRes!K335</f>
        <v>Станки для резки плит</v>
      </c>
      <c r="H169" t="str">
        <f>SmtRes!O335</f>
        <v>маш.-ч.</v>
      </c>
      <c r="I169">
        <f>SmtRes!Y335*Source!I308</f>
        <v>2.3637499999999999E-2</v>
      </c>
      <c r="J169">
        <f>SmtRes!AO335</f>
        <v>1</v>
      </c>
      <c r="K169">
        <f>SmtRes!AF335</f>
        <v>31.85</v>
      </c>
      <c r="L169">
        <f>SmtRes!DB335</f>
        <v>12.3375</v>
      </c>
      <c r="M169">
        <f>ROUND(ROUND(L169*Source!I308, 6)*1, 2)</f>
        <v>0.75</v>
      </c>
      <c r="N169">
        <f>SmtRes!AB335</f>
        <v>33.35</v>
      </c>
      <c r="O169">
        <f>ROUND(ROUND(L169*Source!I308, 6)*SmtRes!DA335, 2)</f>
        <v>0.75</v>
      </c>
      <c r="P169">
        <f>SmtRes!AG335</f>
        <v>14.89</v>
      </c>
      <c r="Q169">
        <f>SmtRes!DC335</f>
        <v>5.7750000000000004</v>
      </c>
      <c r="R169">
        <f>ROUND(ROUND(Q169*Source!I308, 6)*1, 2)</f>
        <v>0.35</v>
      </c>
      <c r="S169">
        <f>SmtRes!AC335</f>
        <v>15.59</v>
      </c>
      <c r="T169">
        <f>ROUND(ROUND(Q169*Source!I308, 6)*SmtRes!AK335, 2)</f>
        <v>0.35</v>
      </c>
      <c r="U169">
        <v>2</v>
      </c>
      <c r="Y169">
        <f>SmtRes!X335</f>
        <v>-1931009994</v>
      </c>
      <c r="Z169">
        <v>1000431129</v>
      </c>
      <c r="AA169">
        <v>1918652249</v>
      </c>
    </row>
    <row r="170" spans="1:27" x14ac:dyDescent="0.2">
      <c r="A170">
        <v>20</v>
      </c>
      <c r="B170">
        <v>334</v>
      </c>
      <c r="C170">
        <v>2</v>
      </c>
      <c r="D170">
        <v>0</v>
      </c>
      <c r="E170">
        <f>SmtRes!AV334</f>
        <v>0</v>
      </c>
      <c r="F170" t="str">
        <f>SmtRes!I334</f>
        <v>2.1-30-6</v>
      </c>
      <c r="G170" t="str">
        <f>SmtRes!K334</f>
        <v>Дрели электрические</v>
      </c>
      <c r="H170" t="str">
        <f>SmtRes!O334</f>
        <v>маш.-ч.</v>
      </c>
      <c r="I170">
        <f>SmtRes!Y334*Source!I308</f>
        <v>2.0656124999999999</v>
      </c>
      <c r="J170">
        <f>SmtRes!AO334</f>
        <v>1</v>
      </c>
      <c r="K170">
        <f>SmtRes!AF334</f>
        <v>2.36</v>
      </c>
      <c r="L170">
        <f>SmtRes!DB334</f>
        <v>79.912499999999994</v>
      </c>
      <c r="M170">
        <f>ROUND(ROUND(L170*Source!I308, 6)*1, 2)</f>
        <v>4.87</v>
      </c>
      <c r="N170">
        <f>SmtRes!AB334</f>
        <v>2.4700000000000002</v>
      </c>
      <c r="O170">
        <f>ROUND(ROUND(L170*Source!I308, 6)*SmtRes!DA334, 2)</f>
        <v>4.87</v>
      </c>
      <c r="P170">
        <f>SmtRes!AG334</f>
        <v>0.1</v>
      </c>
      <c r="Q170">
        <f>SmtRes!DC334</f>
        <v>3.3875000000000002</v>
      </c>
      <c r="R170">
        <f>ROUND(ROUND(Q170*Source!I308, 6)*1, 2)</f>
        <v>0.21</v>
      </c>
      <c r="S170">
        <f>SmtRes!AC334</f>
        <v>0.1</v>
      </c>
      <c r="T170">
        <f>ROUND(ROUND(Q170*Source!I308, 6)*SmtRes!AK334, 2)</f>
        <v>0.21</v>
      </c>
      <c r="U170">
        <v>2</v>
      </c>
      <c r="Y170">
        <f>SmtRes!X334</f>
        <v>950854334</v>
      </c>
      <c r="Z170">
        <v>-216995753</v>
      </c>
      <c r="AA170">
        <v>-883536378</v>
      </c>
    </row>
    <row r="171" spans="1:27" x14ac:dyDescent="0.2">
      <c r="A171">
        <v>20</v>
      </c>
      <c r="B171">
        <v>333</v>
      </c>
      <c r="C171">
        <v>1</v>
      </c>
      <c r="D171">
        <v>0</v>
      </c>
      <c r="E171">
        <f>SmtRes!AV333</f>
        <v>1</v>
      </c>
      <c r="F171" t="str">
        <f>SmtRes!I333</f>
        <v>9999990008</v>
      </c>
      <c r="G171" t="str">
        <f>SmtRes!K333</f>
        <v>Трудозатраты рабочих</v>
      </c>
      <c r="H171" t="str">
        <f>SmtRes!O333</f>
        <v>чел.-ч.</v>
      </c>
      <c r="I171">
        <f>SmtRes!Y333*Source!I308</f>
        <v>5.8982119999999991</v>
      </c>
      <c r="J171">
        <f>SmtRes!AO333</f>
        <v>1</v>
      </c>
      <c r="K171">
        <f>SmtRes!AH333</f>
        <v>0</v>
      </c>
      <c r="L171">
        <f>SmtRes!DB333</f>
        <v>0</v>
      </c>
      <c r="M171">
        <f>ROUND(ROUND(L171*Source!I308, 6)*1, 2)</f>
        <v>0</v>
      </c>
      <c r="N171">
        <f>SmtRes!AD333</f>
        <v>0</v>
      </c>
      <c r="O171">
        <f>ROUND(ROUND(L171*Source!I308, 6)*SmtRes!DA333, 2)</f>
        <v>0</v>
      </c>
      <c r="P171">
        <f>SmtRes!AG333</f>
        <v>0</v>
      </c>
      <c r="Q171">
        <f>SmtRes!DC333</f>
        <v>0</v>
      </c>
      <c r="R171">
        <f>ROUND(ROUND(Q171*Source!I308, 6)*1, 2)</f>
        <v>0</v>
      </c>
      <c r="S171">
        <f>SmtRes!AC333</f>
        <v>0</v>
      </c>
      <c r="T171">
        <f>ROUND(ROUND(Q171*Source!I308, 6)*SmtRes!AK333, 2)</f>
        <v>0</v>
      </c>
      <c r="U171">
        <v>1</v>
      </c>
      <c r="Y171">
        <f>SmtRes!X333</f>
        <v>476480486</v>
      </c>
      <c r="Z171">
        <v>1499241640</v>
      </c>
      <c r="AA171">
        <v>1499241640</v>
      </c>
    </row>
    <row r="172" spans="1:27" x14ac:dyDescent="0.2">
      <c r="A172">
        <f>Source!A310</f>
        <v>18</v>
      </c>
      <c r="B172">
        <v>310</v>
      </c>
      <c r="C172">
        <v>3</v>
      </c>
      <c r="D172">
        <f>Source!BI310</f>
        <v>1</v>
      </c>
      <c r="E172">
        <f>Source!FS310</f>
        <v>0</v>
      </c>
      <c r="F172" t="str">
        <f>Source!F310</f>
        <v>1.3-2-138</v>
      </c>
      <c r="G172" t="str">
        <f>Source!G310</f>
        <v>Смеси сухие для заполнения швов между плитками, цветные</v>
      </c>
      <c r="H172" t="str">
        <f>Source!H310</f>
        <v>т</v>
      </c>
      <c r="I172">
        <f>Source!I310</f>
        <v>6.1000000000000004E-3</v>
      </c>
      <c r="J172">
        <v>1</v>
      </c>
      <c r="K172">
        <f>Source!AC310</f>
        <v>27362.67</v>
      </c>
      <c r="M172">
        <f>ROUND(K172*I172, 2)</f>
        <v>166.91</v>
      </c>
      <c r="N172">
        <f>Source!AC310*IF(Source!BC310&lt;&gt; 0, Source!BC310, 1)</f>
        <v>63481.39439999999</v>
      </c>
      <c r="O172">
        <f>ROUND(N172*I172, 2)</f>
        <v>387.24</v>
      </c>
      <c r="P172">
        <f>Source!AE310</f>
        <v>0</v>
      </c>
      <c r="R172">
        <f>ROUND(P172*I172, 2)</f>
        <v>0</v>
      </c>
      <c r="S172">
        <f>Source!AE310*IF(Source!BS310&lt;&gt; 0, Source!BS310, 1)</f>
        <v>0</v>
      </c>
      <c r="T172">
        <f>ROUND(S172*I172, 2)</f>
        <v>0</v>
      </c>
      <c r="U172">
        <v>3</v>
      </c>
      <c r="Y172">
        <f>Source!GF310</f>
        <v>1389983172</v>
      </c>
      <c r="Z172">
        <v>-1959095810</v>
      </c>
      <c r="AA172">
        <v>1666833858</v>
      </c>
    </row>
    <row r="173" spans="1:27" x14ac:dyDescent="0.2">
      <c r="A173">
        <f>Source!A312</f>
        <v>18</v>
      </c>
      <c r="B173">
        <v>312</v>
      </c>
      <c r="C173">
        <v>3</v>
      </c>
      <c r="D173">
        <f>Source!BI312</f>
        <v>1</v>
      </c>
      <c r="E173">
        <f>Source!FS312</f>
        <v>0</v>
      </c>
      <c r="F173" t="str">
        <f>Source!F312</f>
        <v>1.3-2-136</v>
      </c>
      <c r="G173" t="str">
        <f>Source!G312</f>
        <v>Смеси сухие (клеи) для облицовки стен и полов керамическими плитками и плитками из природного камня</v>
      </c>
      <c r="H173" t="str">
        <f>Source!H312</f>
        <v>т</v>
      </c>
      <c r="I173">
        <f>Source!I312</f>
        <v>2.8670000000000001E-2</v>
      </c>
      <c r="J173">
        <v>1</v>
      </c>
      <c r="K173">
        <f>Source!AC312</f>
        <v>1424.67</v>
      </c>
      <c r="M173">
        <f>ROUND(K173*I173, 2)</f>
        <v>40.85</v>
      </c>
      <c r="N173">
        <f>Source!AC312*IF(Source!BC312&lt;&gt; 0, Source!BC312, 1)</f>
        <v>27054.4833</v>
      </c>
      <c r="O173">
        <f>ROUND(N173*I173, 2)</f>
        <v>775.65</v>
      </c>
      <c r="P173">
        <f>Source!AE312</f>
        <v>0</v>
      </c>
      <c r="R173">
        <f>ROUND(P173*I173, 2)</f>
        <v>0</v>
      </c>
      <c r="S173">
        <f>Source!AE312*IF(Source!BS312&lt;&gt; 0, Source!BS312, 1)</f>
        <v>0</v>
      </c>
      <c r="T173">
        <f>ROUND(S173*I173, 2)</f>
        <v>0</v>
      </c>
      <c r="U173">
        <v>3</v>
      </c>
      <c r="Y173">
        <f>Source!GF312</f>
        <v>1192135998</v>
      </c>
      <c r="Z173">
        <v>-43971573</v>
      </c>
      <c r="AA173">
        <v>-446712842</v>
      </c>
    </row>
    <row r="174" spans="1:27" x14ac:dyDescent="0.2">
      <c r="A174">
        <f>Source!A314</f>
        <v>18</v>
      </c>
      <c r="B174">
        <v>314</v>
      </c>
      <c r="C174">
        <v>3</v>
      </c>
      <c r="D174">
        <f>Source!BI314</f>
        <v>1</v>
      </c>
      <c r="E174">
        <f>Source!FS314</f>
        <v>0</v>
      </c>
      <c r="F174" t="str">
        <f>Source!F314</f>
        <v>Цена поставщика</v>
      </c>
      <c r="G174" t="str">
        <f>Source!G314</f>
        <v>Плитки керамические, типа керамогранит, неполированные  300х300х8</v>
      </c>
      <c r="H174" t="str">
        <f>Source!H314</f>
        <v>м2</v>
      </c>
      <c r="I174">
        <f>Source!I314</f>
        <v>6.2220000000000004</v>
      </c>
      <c r="J174">
        <v>1</v>
      </c>
      <c r="K174">
        <f>Source!AC314</f>
        <v>143.47</v>
      </c>
      <c r="M174">
        <f>ROUND(K174*I174, 2)</f>
        <v>892.67</v>
      </c>
      <c r="N174">
        <f>Source!AC314*IF(Source!BC314&lt;&gt; 0, Source!BC314, 1)</f>
        <v>1241.0155</v>
      </c>
      <c r="O174">
        <f>ROUND(N174*I174, 2)</f>
        <v>7721.6</v>
      </c>
      <c r="P174">
        <f>Source!AE314</f>
        <v>0</v>
      </c>
      <c r="R174">
        <f>ROUND(P174*I174, 2)</f>
        <v>0</v>
      </c>
      <c r="S174">
        <f>Source!AE314*IF(Source!BS314&lt;&gt; 0, Source!BS314, 1)</f>
        <v>0</v>
      </c>
      <c r="T174">
        <f>ROUND(S174*I174, 2)</f>
        <v>0</v>
      </c>
      <c r="U174">
        <v>3</v>
      </c>
      <c r="Y174">
        <f>Source!GF314</f>
        <v>1228675506</v>
      </c>
      <c r="Z174">
        <v>368630081</v>
      </c>
      <c r="AA174">
        <v>-848727796</v>
      </c>
    </row>
    <row r="175" spans="1:27" x14ac:dyDescent="0.2">
      <c r="A175">
        <f>Source!A316</f>
        <v>18</v>
      </c>
      <c r="B175">
        <v>316</v>
      </c>
      <c r="C175">
        <v>3</v>
      </c>
      <c r="D175">
        <f>Source!BI316</f>
        <v>1</v>
      </c>
      <c r="E175">
        <f>Source!FS316</f>
        <v>0</v>
      </c>
      <c r="F175" t="str">
        <f>Source!F316</f>
        <v>1.1-1-2398</v>
      </c>
      <c r="G175" t="str">
        <f>Source!G316</f>
        <v>Плитка керамогранитная неполированная, универсальная, размер 300х300х8 мм, цвет: светло-серый, серый, светло-зеленый, бежевый</v>
      </c>
      <c r="H175" t="str">
        <f>Source!H316</f>
        <v>м2</v>
      </c>
      <c r="I175">
        <f>Source!I316</f>
        <v>0</v>
      </c>
      <c r="J175">
        <v>1</v>
      </c>
      <c r="K175">
        <f>Source!AC316</f>
        <v>92.02</v>
      </c>
      <c r="M175">
        <f>ROUND(K175*I175, 2)</f>
        <v>0</v>
      </c>
      <c r="N175">
        <f>Source!AC316*IF(Source!BC316&lt;&gt; 0, Source!BC316, 1)</f>
        <v>690.15</v>
      </c>
      <c r="O175">
        <f>ROUND(N175*I175, 2)</f>
        <v>0</v>
      </c>
      <c r="P175">
        <f>Source!AE316</f>
        <v>0</v>
      </c>
      <c r="R175">
        <f>ROUND(P175*I175, 2)</f>
        <v>0</v>
      </c>
      <c r="S175">
        <f>Source!AE316*IF(Source!BS316&lt;&gt; 0, Source!BS316, 1)</f>
        <v>0</v>
      </c>
      <c r="T175">
        <f>ROUND(S175*I175, 2)</f>
        <v>0</v>
      </c>
      <c r="U175">
        <v>3</v>
      </c>
      <c r="Y175">
        <f>Source!GF316</f>
        <v>344513916</v>
      </c>
      <c r="Z175">
        <v>1790540206</v>
      </c>
      <c r="AA175">
        <v>401440268</v>
      </c>
    </row>
    <row r="176" spans="1:27" x14ac:dyDescent="0.2">
      <c r="A176">
        <v>20</v>
      </c>
      <c r="B176">
        <v>354</v>
      </c>
      <c r="C176">
        <v>3</v>
      </c>
      <c r="D176">
        <v>0</v>
      </c>
      <c r="E176">
        <f>SmtRes!AV354</f>
        <v>0</v>
      </c>
      <c r="F176" t="str">
        <f>SmtRes!I354</f>
        <v>1.1-1-599</v>
      </c>
      <c r="G176" t="str">
        <f>SmtRes!K354</f>
        <v>Мастика герметизирующая нетвердеющая, строительная, битумно-атактическая, антикоррозийная</v>
      </c>
      <c r="H176" t="str">
        <f>SmtRes!O354</f>
        <v>т</v>
      </c>
      <c r="I176">
        <f>SmtRes!Y354*Source!I318</f>
        <v>3.7100000000000008E-2</v>
      </c>
      <c r="J176">
        <f>SmtRes!AO354</f>
        <v>1</v>
      </c>
      <c r="K176">
        <f>SmtRes!AE354</f>
        <v>18910.8</v>
      </c>
      <c r="L176">
        <f>SmtRes!DB354</f>
        <v>10022.719999999999</v>
      </c>
      <c r="M176">
        <f>ROUND(ROUND(L176*Source!I318, 6)*1, 2)</f>
        <v>701.59</v>
      </c>
      <c r="N176">
        <f>SmtRes!AA354</f>
        <v>72239.259999999995</v>
      </c>
      <c r="O176">
        <f>ROUND(ROUND(L176*Source!I318, 6)*SmtRes!DA354, 2)</f>
        <v>2680.08</v>
      </c>
      <c r="P176">
        <f>SmtRes!AG354</f>
        <v>0</v>
      </c>
      <c r="Q176">
        <f>SmtRes!DC354</f>
        <v>0</v>
      </c>
      <c r="R176">
        <f>ROUND(ROUND(Q176*Source!I318, 6)*1, 2)</f>
        <v>0</v>
      </c>
      <c r="S176">
        <f>SmtRes!AC354</f>
        <v>0</v>
      </c>
      <c r="T176">
        <f>ROUND(ROUND(Q176*Source!I318, 6)*SmtRes!AK354, 2)</f>
        <v>0</v>
      </c>
      <c r="U176">
        <v>3</v>
      </c>
      <c r="Y176">
        <f>SmtRes!X354</f>
        <v>1387058064</v>
      </c>
      <c r="Z176">
        <v>2075556413</v>
      </c>
      <c r="AA176">
        <v>-1336618475</v>
      </c>
    </row>
    <row r="177" spans="1:27" x14ac:dyDescent="0.2">
      <c r="A177">
        <v>20</v>
      </c>
      <c r="B177">
        <v>353</v>
      </c>
      <c r="C177">
        <v>3</v>
      </c>
      <c r="D177">
        <v>0</v>
      </c>
      <c r="E177">
        <f>SmtRes!AV353</f>
        <v>0</v>
      </c>
      <c r="F177" t="str">
        <f>SmtRes!I353</f>
        <v>1.1-1-52</v>
      </c>
      <c r="G177" t="str">
        <f>SmtRes!K353</f>
        <v>Битумы нефтяные, строительные марка БН, БНСК</v>
      </c>
      <c r="H177" t="str">
        <f>SmtRes!O353</f>
        <v>т</v>
      </c>
      <c r="I177">
        <f>SmtRes!Y353*Source!I318</f>
        <v>1.6800000000000003E-3</v>
      </c>
      <c r="J177">
        <f>SmtRes!AO353</f>
        <v>1</v>
      </c>
      <c r="K177">
        <f>SmtRes!AE353</f>
        <v>3389.74</v>
      </c>
      <c r="L177">
        <f>SmtRes!DB353</f>
        <v>81.349999999999994</v>
      </c>
      <c r="M177">
        <f>ROUND(ROUND(L177*Source!I318, 6)*1, 2)</f>
        <v>5.69</v>
      </c>
      <c r="N177">
        <f>SmtRes!AA353</f>
        <v>18982.54</v>
      </c>
      <c r="O177">
        <f>ROUND(ROUND(L177*Source!I318, 6)*SmtRes!DA353, 2)</f>
        <v>31.89</v>
      </c>
      <c r="P177">
        <f>SmtRes!AG353</f>
        <v>0</v>
      </c>
      <c r="Q177">
        <f>SmtRes!DC353</f>
        <v>0</v>
      </c>
      <c r="R177">
        <f>ROUND(ROUND(Q177*Source!I318, 6)*1, 2)</f>
        <v>0</v>
      </c>
      <c r="S177">
        <f>SmtRes!AC353</f>
        <v>0</v>
      </c>
      <c r="T177">
        <f>ROUND(ROUND(Q177*Source!I318, 6)*SmtRes!AK353, 2)</f>
        <v>0</v>
      </c>
      <c r="U177">
        <v>3</v>
      </c>
      <c r="Y177">
        <f>SmtRes!X353</f>
        <v>1062224468</v>
      </c>
      <c r="Z177">
        <v>-1675609957</v>
      </c>
      <c r="AA177">
        <v>-1689811678</v>
      </c>
    </row>
    <row r="178" spans="1:27" x14ac:dyDescent="0.2">
      <c r="A178">
        <v>20</v>
      </c>
      <c r="B178">
        <v>352</v>
      </c>
      <c r="C178">
        <v>3</v>
      </c>
      <c r="D178">
        <v>0</v>
      </c>
      <c r="E178">
        <f>SmtRes!AV352</f>
        <v>0</v>
      </c>
      <c r="F178" t="str">
        <f>SmtRes!I352</f>
        <v>1.1-1-348</v>
      </c>
      <c r="G178" t="str">
        <f>SmtRes!K352</f>
        <v>Керосин</v>
      </c>
      <c r="H178" t="str">
        <f>SmtRes!O352</f>
        <v>т</v>
      </c>
      <c r="I178">
        <f>SmtRes!Y352*Source!I318</f>
        <v>3.8500000000000006E-3</v>
      </c>
      <c r="J178">
        <f>SmtRes!AO352</f>
        <v>1</v>
      </c>
      <c r="K178">
        <f>SmtRes!AE352</f>
        <v>7359.71</v>
      </c>
      <c r="L178">
        <f>SmtRes!DB352</f>
        <v>404.78</v>
      </c>
      <c r="M178">
        <f>ROUND(ROUND(L178*Source!I318, 6)*1, 2)</f>
        <v>28.33</v>
      </c>
      <c r="N178">
        <f>SmtRes!AA352</f>
        <v>51002.79</v>
      </c>
      <c r="O178">
        <f>ROUND(ROUND(L178*Source!I318, 6)*SmtRes!DA352, 2)</f>
        <v>196.36</v>
      </c>
      <c r="P178">
        <f>SmtRes!AG352</f>
        <v>0</v>
      </c>
      <c r="Q178">
        <f>SmtRes!DC352</f>
        <v>0</v>
      </c>
      <c r="R178">
        <f>ROUND(ROUND(Q178*Source!I318, 6)*1, 2)</f>
        <v>0</v>
      </c>
      <c r="S178">
        <f>SmtRes!AC352</f>
        <v>0</v>
      </c>
      <c r="T178">
        <f>ROUND(ROUND(Q178*Source!I318, 6)*SmtRes!AK352, 2)</f>
        <v>0</v>
      </c>
      <c r="U178">
        <v>3</v>
      </c>
      <c r="Y178">
        <f>SmtRes!X352</f>
        <v>-378770251</v>
      </c>
      <c r="Z178">
        <v>1506226742</v>
      </c>
      <c r="AA178">
        <v>1013717763</v>
      </c>
    </row>
    <row r="179" spans="1:27" x14ac:dyDescent="0.2">
      <c r="A179">
        <v>20</v>
      </c>
      <c r="B179">
        <v>350</v>
      </c>
      <c r="C179">
        <v>2</v>
      </c>
      <c r="D179">
        <v>0</v>
      </c>
      <c r="E179">
        <f>SmtRes!AV350</f>
        <v>0</v>
      </c>
      <c r="F179" t="str">
        <f>SmtRes!I350</f>
        <v>9999990007</v>
      </c>
      <c r="G179" t="str">
        <f>SmtRes!K350</f>
        <v>Стоимость прочих машин (ЭСН)</v>
      </c>
      <c r="H179" t="str">
        <f>SmtRes!O350</f>
        <v>руб.</v>
      </c>
      <c r="I179">
        <f>SmtRes!Y350*Source!I318</f>
        <v>35.263375000000003</v>
      </c>
      <c r="J179">
        <f>SmtRes!AO350</f>
        <v>1</v>
      </c>
      <c r="K179">
        <f>SmtRes!AF350</f>
        <v>1</v>
      </c>
      <c r="L179">
        <f>SmtRes!DB350</f>
        <v>503.76249999999999</v>
      </c>
      <c r="M179">
        <f>ROUND(ROUND(L179*Source!I318, 6)*1, 2)</f>
        <v>35.26</v>
      </c>
      <c r="N179">
        <f>SmtRes!AB350</f>
        <v>1.05</v>
      </c>
      <c r="O179">
        <f>ROUND(ROUND(L179*Source!I318, 6)*SmtRes!DA350, 2)</f>
        <v>35.26</v>
      </c>
      <c r="P179">
        <f>SmtRes!AG350</f>
        <v>0</v>
      </c>
      <c r="Q179">
        <f>SmtRes!DC350</f>
        <v>0</v>
      </c>
      <c r="R179">
        <f>ROUND(ROUND(Q179*Source!I318, 6)*1, 2)</f>
        <v>0</v>
      </c>
      <c r="S179">
        <f>SmtRes!AC350</f>
        <v>0</v>
      </c>
      <c r="T179">
        <f>ROUND(ROUND(Q179*Source!I318, 6)*SmtRes!AK350, 2)</f>
        <v>0</v>
      </c>
      <c r="U179">
        <v>2</v>
      </c>
      <c r="Y179">
        <f>SmtRes!X350</f>
        <v>-1180195794</v>
      </c>
      <c r="Z179">
        <v>-595858232</v>
      </c>
      <c r="AA179">
        <v>-314357962</v>
      </c>
    </row>
    <row r="180" spans="1:27" x14ac:dyDescent="0.2">
      <c r="A180">
        <v>20</v>
      </c>
      <c r="B180">
        <v>349</v>
      </c>
      <c r="C180">
        <v>1</v>
      </c>
      <c r="D180">
        <v>0</v>
      </c>
      <c r="E180">
        <f>SmtRes!AV349</f>
        <v>1</v>
      </c>
      <c r="F180" t="str">
        <f>SmtRes!I349</f>
        <v>9999990008</v>
      </c>
      <c r="G180" t="str">
        <f>SmtRes!K349</f>
        <v>Трудозатраты рабочих</v>
      </c>
      <c r="H180" t="str">
        <f>SmtRes!O349</f>
        <v>чел.-ч.</v>
      </c>
      <c r="I180">
        <f>SmtRes!Y349*Source!I318</f>
        <v>2.5760000000000001</v>
      </c>
      <c r="J180">
        <f>SmtRes!AO349</f>
        <v>1</v>
      </c>
      <c r="K180">
        <f>SmtRes!AH349</f>
        <v>0</v>
      </c>
      <c r="L180">
        <f>SmtRes!DB349</f>
        <v>0</v>
      </c>
      <c r="M180">
        <f>ROUND(ROUND(L180*Source!I318, 6)*1, 2)</f>
        <v>0</v>
      </c>
      <c r="N180">
        <f>SmtRes!AD349</f>
        <v>0</v>
      </c>
      <c r="O180">
        <f>ROUND(ROUND(L180*Source!I318, 6)*SmtRes!DA349, 2)</f>
        <v>0</v>
      </c>
      <c r="P180">
        <f>SmtRes!AG349</f>
        <v>0</v>
      </c>
      <c r="Q180">
        <f>SmtRes!DC349</f>
        <v>0</v>
      </c>
      <c r="R180">
        <f>ROUND(ROUND(Q180*Source!I318, 6)*1, 2)</f>
        <v>0</v>
      </c>
      <c r="S180">
        <f>SmtRes!AC349</f>
        <v>0</v>
      </c>
      <c r="T180">
        <f>ROUND(ROUND(Q180*Source!I318, 6)*SmtRes!AK349, 2)</f>
        <v>0</v>
      </c>
      <c r="U180">
        <v>1</v>
      </c>
      <c r="Y180">
        <f>SmtRes!X349</f>
        <v>476480486</v>
      </c>
      <c r="Z180">
        <v>1499241640</v>
      </c>
      <c r="AA180">
        <v>1499241640</v>
      </c>
    </row>
    <row r="181" spans="1:27" x14ac:dyDescent="0.2">
      <c r="A181">
        <f>Source!A320</f>
        <v>18</v>
      </c>
      <c r="B181">
        <v>320</v>
      </c>
      <c r="C181">
        <v>3</v>
      </c>
      <c r="D181">
        <f>Source!BI320</f>
        <v>1</v>
      </c>
      <c r="E181">
        <f>Source!FS320</f>
        <v>0</v>
      </c>
      <c r="F181" t="str">
        <f>Source!F320</f>
        <v>1.1-1-1016</v>
      </c>
      <c r="G181" t="str">
        <f>Source!G320</f>
        <v>Материал рулонный кровельный, рубероид, марка РК-350, с крупнозернистой посыпкой</v>
      </c>
      <c r="H181" t="str">
        <f>Source!H320</f>
        <v>м2</v>
      </c>
      <c r="I181">
        <f>Source!I320</f>
        <v>7.84</v>
      </c>
      <c r="J181">
        <v>1</v>
      </c>
      <c r="K181">
        <f>Source!AC320</f>
        <v>7</v>
      </c>
      <c r="M181">
        <f>ROUND(K181*I181, 2)</f>
        <v>54.88</v>
      </c>
      <c r="N181">
        <f>Source!AC320*IF(Source!BC320&lt;&gt; 0, Source!BC320, 1)</f>
        <v>60.550000000000004</v>
      </c>
      <c r="O181">
        <f>ROUND(N181*I181, 2)</f>
        <v>474.71</v>
      </c>
      <c r="P181">
        <f>Source!AE320</f>
        <v>0</v>
      </c>
      <c r="R181">
        <f>ROUND(P181*I181, 2)</f>
        <v>0</v>
      </c>
      <c r="S181">
        <f>Source!AE320*IF(Source!BS320&lt;&gt; 0, Source!BS320, 1)</f>
        <v>0</v>
      </c>
      <c r="T181">
        <f>ROUND(S181*I181, 2)</f>
        <v>0</v>
      </c>
      <c r="U181">
        <v>3</v>
      </c>
      <c r="Y181">
        <f>Source!GF320</f>
        <v>-684642042</v>
      </c>
      <c r="Z181">
        <v>-664267912</v>
      </c>
      <c r="AA181">
        <v>-1138910961</v>
      </c>
    </row>
    <row r="182" spans="1:27" x14ac:dyDescent="0.2">
      <c r="A182">
        <v>20</v>
      </c>
      <c r="B182">
        <v>370</v>
      </c>
      <c r="C182">
        <v>3</v>
      </c>
      <c r="D182">
        <v>0</v>
      </c>
      <c r="E182">
        <f>SmtRes!AV370</f>
        <v>0</v>
      </c>
      <c r="F182" t="str">
        <f>SmtRes!I370</f>
        <v>1.1-1-2492</v>
      </c>
      <c r="G182" t="str">
        <f>SmtRes!K370</f>
        <v>Пленка полиэтиленовая, толщина 80 мкм</v>
      </c>
      <c r="H182" t="str">
        <f>SmtRes!O370</f>
        <v>м2</v>
      </c>
      <c r="I182">
        <f>SmtRes!Y370*Source!I322</f>
        <v>0.70000000000000007</v>
      </c>
      <c r="J182">
        <f>SmtRes!AO370</f>
        <v>1</v>
      </c>
      <c r="K182">
        <f>SmtRes!AE370</f>
        <v>2.31</v>
      </c>
      <c r="L182">
        <f>SmtRes!DB370</f>
        <v>23.1</v>
      </c>
      <c r="M182">
        <f>ROUND(ROUND(L182*Source!I322, 6)*1, 2)</f>
        <v>1.62</v>
      </c>
      <c r="N182">
        <f>SmtRes!AA370</f>
        <v>7.83</v>
      </c>
      <c r="O182">
        <f>ROUND(ROUND(L182*Source!I322, 6)*SmtRes!DA370, 2)</f>
        <v>5.48</v>
      </c>
      <c r="P182">
        <f>SmtRes!AG370</f>
        <v>0</v>
      </c>
      <c r="Q182">
        <f>SmtRes!DC370</f>
        <v>0</v>
      </c>
      <c r="R182">
        <f>ROUND(ROUND(Q182*Source!I322, 6)*1, 2)</f>
        <v>0</v>
      </c>
      <c r="S182">
        <f>SmtRes!AC370</f>
        <v>0</v>
      </c>
      <c r="T182">
        <f>ROUND(ROUND(Q182*Source!I322, 6)*SmtRes!AK370, 2)</f>
        <v>0</v>
      </c>
      <c r="U182">
        <v>3</v>
      </c>
      <c r="Y182">
        <f>SmtRes!X370</f>
        <v>-934687686</v>
      </c>
      <c r="Z182">
        <v>-1569253009</v>
      </c>
      <c r="AA182">
        <v>-1739370054</v>
      </c>
    </row>
    <row r="183" spans="1:27" x14ac:dyDescent="0.2">
      <c r="A183">
        <v>20</v>
      </c>
      <c r="B183">
        <v>369</v>
      </c>
      <c r="C183">
        <v>3</v>
      </c>
      <c r="D183">
        <v>0</v>
      </c>
      <c r="E183">
        <f>SmtRes!AV369</f>
        <v>0</v>
      </c>
      <c r="F183" t="str">
        <f>SmtRes!I369</f>
        <v>1.1-1-118</v>
      </c>
      <c r="G183" t="str">
        <f>SmtRes!K369</f>
        <v>Вода</v>
      </c>
      <c r="H183" t="str">
        <f>SmtRes!O369</f>
        <v>м3</v>
      </c>
      <c r="I183">
        <f>SmtRes!Y369*Source!I322</f>
        <v>2.1140000000000003E-2</v>
      </c>
      <c r="J183">
        <f>SmtRes!AO369</f>
        <v>1</v>
      </c>
      <c r="K183">
        <f>SmtRes!AE369</f>
        <v>7.07</v>
      </c>
      <c r="L183">
        <f>SmtRes!DB369</f>
        <v>2.14</v>
      </c>
      <c r="M183">
        <f>ROUND(ROUND(L183*Source!I322, 6)*1, 2)</f>
        <v>0.15</v>
      </c>
      <c r="N183">
        <f>SmtRes!AA369</f>
        <v>42.42</v>
      </c>
      <c r="O183">
        <f>ROUND(ROUND(L183*Source!I322, 6)*SmtRes!DA369, 2)</f>
        <v>0.9</v>
      </c>
      <c r="P183">
        <f>SmtRes!AG369</f>
        <v>0</v>
      </c>
      <c r="Q183">
        <f>SmtRes!DC369</f>
        <v>0</v>
      </c>
      <c r="R183">
        <f>ROUND(ROUND(Q183*Source!I322, 6)*1, 2)</f>
        <v>0</v>
      </c>
      <c r="S183">
        <f>SmtRes!AC369</f>
        <v>0</v>
      </c>
      <c r="T183">
        <f>ROUND(ROUND(Q183*Source!I322, 6)*SmtRes!AK369, 2)</f>
        <v>0</v>
      </c>
      <c r="U183">
        <v>3</v>
      </c>
      <c r="Y183">
        <f>SmtRes!X369</f>
        <v>-862991314</v>
      </c>
      <c r="Z183">
        <v>-1421290593</v>
      </c>
      <c r="AA183">
        <v>-1279710304</v>
      </c>
    </row>
    <row r="184" spans="1:27" x14ac:dyDescent="0.2">
      <c r="A184">
        <v>20</v>
      </c>
      <c r="B184">
        <v>368</v>
      </c>
      <c r="C184">
        <v>2</v>
      </c>
      <c r="D184">
        <v>0</v>
      </c>
      <c r="E184">
        <f>SmtRes!AV368</f>
        <v>0</v>
      </c>
      <c r="F184" t="str">
        <f>SmtRes!I368</f>
        <v>2.1-4-1</v>
      </c>
      <c r="G184" t="str">
        <f>SmtRes!K368</f>
        <v>Погрузчики универсальные на пневмоколесном ходу, грузоподъемность до 1 т</v>
      </c>
      <c r="H184" t="str">
        <f>SmtRes!O368</f>
        <v>маш.-ч.</v>
      </c>
      <c r="I184">
        <f>SmtRes!Y368*Source!I322</f>
        <v>1.7500000000000003E-3</v>
      </c>
      <c r="J184">
        <f>SmtRes!AO368</f>
        <v>1</v>
      </c>
      <c r="K184">
        <f>SmtRes!AF368</f>
        <v>58.48</v>
      </c>
      <c r="L184">
        <f>SmtRes!DB368</f>
        <v>1.4624999999999999</v>
      </c>
      <c r="M184">
        <f>ROUND(ROUND(L184*Source!I322, 6)*1, 2)</f>
        <v>0.1</v>
      </c>
      <c r="N184">
        <f>SmtRes!AB368</f>
        <v>759.85</v>
      </c>
      <c r="O184">
        <f>ROUND(ROUND(L184*Source!I322, 6)*SmtRes!DA368, 2)</f>
        <v>1.27</v>
      </c>
      <c r="P184">
        <f>SmtRes!AG368</f>
        <v>18.350000000000001</v>
      </c>
      <c r="Q184">
        <f>SmtRes!DC368</f>
        <v>0.46250000000000002</v>
      </c>
      <c r="R184">
        <f>ROUND(ROUND(Q184*Source!I322, 6)*1, 2)</f>
        <v>0.03</v>
      </c>
      <c r="S184">
        <f>SmtRes!AC368</f>
        <v>557.74</v>
      </c>
      <c r="T184">
        <f>ROUND(ROUND(Q184*Source!I322, 6)*SmtRes!AK368, 2)</f>
        <v>0.94</v>
      </c>
      <c r="U184">
        <v>2</v>
      </c>
      <c r="Y184">
        <f>SmtRes!X368</f>
        <v>-1552106381</v>
      </c>
      <c r="Z184">
        <v>2055140593</v>
      </c>
      <c r="AA184">
        <v>-1898207473</v>
      </c>
    </row>
    <row r="185" spans="1:27" x14ac:dyDescent="0.2">
      <c r="A185">
        <v>20</v>
      </c>
      <c r="B185">
        <v>367</v>
      </c>
      <c r="C185">
        <v>2</v>
      </c>
      <c r="D185">
        <v>0</v>
      </c>
      <c r="E185">
        <f>SmtRes!AV367</f>
        <v>0</v>
      </c>
      <c r="F185" t="str">
        <f>SmtRes!I367</f>
        <v>2.1-30-103</v>
      </c>
      <c r="G185" t="str">
        <f>SmtRes!K367</f>
        <v>Перфораторы электрические, мощность до 1,2 кВт</v>
      </c>
      <c r="H185" t="str">
        <f>SmtRes!O367</f>
        <v>маш.-ч.</v>
      </c>
      <c r="I185">
        <f>SmtRes!Y367*Source!I322</f>
        <v>0.29049999999999998</v>
      </c>
      <c r="J185">
        <f>SmtRes!AO367</f>
        <v>1</v>
      </c>
      <c r="K185">
        <f>SmtRes!AF367</f>
        <v>2.36</v>
      </c>
      <c r="L185">
        <f>SmtRes!DB367</f>
        <v>9.8000000000000007</v>
      </c>
      <c r="M185">
        <f>ROUND(ROUND(L185*Source!I322, 6)*1, 2)</f>
        <v>0.69</v>
      </c>
      <c r="N185">
        <f>SmtRes!AB367</f>
        <v>19.52</v>
      </c>
      <c r="O185">
        <f>ROUND(ROUND(L185*Source!I322, 6)*SmtRes!DA367, 2)</f>
        <v>5.42</v>
      </c>
      <c r="P185">
        <f>SmtRes!AG367</f>
        <v>0.04</v>
      </c>
      <c r="Q185">
        <f>SmtRes!DC367</f>
        <v>0.16250000000000001</v>
      </c>
      <c r="R185">
        <f>ROUND(ROUND(Q185*Source!I322, 6)*1, 2)</f>
        <v>0.01</v>
      </c>
      <c r="S185">
        <f>SmtRes!AC367</f>
        <v>1.22</v>
      </c>
      <c r="T185">
        <f>ROUND(ROUND(Q185*Source!I322, 6)*SmtRes!AK367, 2)</f>
        <v>0.33</v>
      </c>
      <c r="U185">
        <v>2</v>
      </c>
      <c r="Y185">
        <f>SmtRes!X367</f>
        <v>593980231</v>
      </c>
      <c r="Z185">
        <v>317748174</v>
      </c>
      <c r="AA185">
        <v>2049690426</v>
      </c>
    </row>
    <row r="186" spans="1:27" x14ac:dyDescent="0.2">
      <c r="A186">
        <v>20</v>
      </c>
      <c r="B186">
        <v>366</v>
      </c>
      <c r="C186">
        <v>2</v>
      </c>
      <c r="D186">
        <v>0</v>
      </c>
      <c r="E186">
        <f>SmtRes!AV366</f>
        <v>0</v>
      </c>
      <c r="F186" t="str">
        <f>SmtRes!I366</f>
        <v>2.1-18-7</v>
      </c>
      <c r="G186" t="str">
        <f>SmtRes!K366</f>
        <v>Автомобили грузовые бортовые, грузоподъемность до 5 т</v>
      </c>
      <c r="H186" t="str">
        <f>SmtRes!O366</f>
        <v>маш.-ч.</v>
      </c>
      <c r="I186">
        <f>SmtRes!Y366*Source!I322</f>
        <v>4.1124999999999995E-2</v>
      </c>
      <c r="J186">
        <f>SmtRes!AO366</f>
        <v>1</v>
      </c>
      <c r="K186">
        <f>SmtRes!AF366</f>
        <v>76.81</v>
      </c>
      <c r="L186">
        <f>SmtRes!DB366</f>
        <v>45.125</v>
      </c>
      <c r="M186">
        <f>ROUND(ROUND(L186*Source!I322, 6)*1, 2)</f>
        <v>3.16</v>
      </c>
      <c r="N186">
        <f>SmtRes!AB366</f>
        <v>918.4</v>
      </c>
      <c r="O186">
        <f>ROUND(ROUND(L186*Source!I322, 6)*SmtRes!DA366, 2)</f>
        <v>36.07</v>
      </c>
      <c r="P186">
        <f>SmtRes!AG366</f>
        <v>14.36</v>
      </c>
      <c r="Q186">
        <f>SmtRes!DC366</f>
        <v>8.4375</v>
      </c>
      <c r="R186">
        <f>ROUND(ROUND(Q186*Source!I322, 6)*1, 2)</f>
        <v>0.59</v>
      </c>
      <c r="S186">
        <f>SmtRes!AC366</f>
        <v>436.46</v>
      </c>
      <c r="T186">
        <f>ROUND(ROUND(Q186*Source!I322, 6)*SmtRes!AK366, 2)</f>
        <v>17.149999999999999</v>
      </c>
      <c r="U186">
        <v>2</v>
      </c>
      <c r="Y186">
        <f>SmtRes!X366</f>
        <v>-628430174</v>
      </c>
      <c r="Z186">
        <v>-2049064267</v>
      </c>
      <c r="AA186">
        <v>-489591781</v>
      </c>
    </row>
    <row r="187" spans="1:27" x14ac:dyDescent="0.2">
      <c r="A187">
        <v>20</v>
      </c>
      <c r="B187">
        <v>365</v>
      </c>
      <c r="C187">
        <v>2</v>
      </c>
      <c r="D187">
        <v>0</v>
      </c>
      <c r="E187">
        <f>SmtRes!AV365</f>
        <v>0</v>
      </c>
      <c r="F187" t="str">
        <f>SmtRes!I365</f>
        <v>2.1-14-13</v>
      </c>
      <c r="G187" t="str">
        <f>SmtRes!K365</f>
        <v>Пылесосы</v>
      </c>
      <c r="H187" t="str">
        <f>SmtRes!O365</f>
        <v>маш.-ч.</v>
      </c>
      <c r="I187">
        <f>SmtRes!Y365*Source!I322</f>
        <v>0.21000000000000002</v>
      </c>
      <c r="J187">
        <f>SmtRes!AO365</f>
        <v>1</v>
      </c>
      <c r="K187">
        <f>SmtRes!AF365</f>
        <v>8.65</v>
      </c>
      <c r="L187">
        <f>SmtRes!DB365</f>
        <v>25.95</v>
      </c>
      <c r="M187">
        <f>ROUND(ROUND(L187*Source!I322, 6)*1, 2)</f>
        <v>1.82</v>
      </c>
      <c r="N187">
        <f>SmtRes!AB365</f>
        <v>75.8</v>
      </c>
      <c r="O187">
        <f>ROUND(ROUND(L187*Source!I322, 6)*SmtRes!DA365, 2)</f>
        <v>15.2</v>
      </c>
      <c r="P187">
        <f>SmtRes!AG365</f>
        <v>0.81</v>
      </c>
      <c r="Q187">
        <f>SmtRes!DC365</f>
        <v>2.4249999999999998</v>
      </c>
      <c r="R187">
        <f>ROUND(ROUND(Q187*Source!I322, 6)*1, 2)</f>
        <v>0.17</v>
      </c>
      <c r="S187">
        <f>SmtRes!AC365</f>
        <v>24.62</v>
      </c>
      <c r="T187">
        <f>ROUND(ROUND(Q187*Source!I322, 6)*SmtRes!AK365, 2)</f>
        <v>4.93</v>
      </c>
      <c r="U187">
        <v>2</v>
      </c>
      <c r="Y187">
        <f>SmtRes!X365</f>
        <v>-1547019182</v>
      </c>
      <c r="Z187">
        <v>-792954925</v>
      </c>
      <c r="AA187">
        <v>1437890844</v>
      </c>
    </row>
    <row r="188" spans="1:27" x14ac:dyDescent="0.2">
      <c r="A188">
        <v>20</v>
      </c>
      <c r="B188">
        <v>364</v>
      </c>
      <c r="C188">
        <v>1</v>
      </c>
      <c r="D188">
        <v>0</v>
      </c>
      <c r="E188">
        <f>SmtRes!AV364</f>
        <v>1</v>
      </c>
      <c r="F188" t="str">
        <f>SmtRes!I364</f>
        <v>9999990008</v>
      </c>
      <c r="G188" t="str">
        <f>SmtRes!K364</f>
        <v>Трудозатраты рабочих</v>
      </c>
      <c r="H188" t="str">
        <f>SmtRes!O364</f>
        <v>чел.-ч.</v>
      </c>
      <c r="I188">
        <f>SmtRes!Y364*Source!I322</f>
        <v>2.6581100000000002</v>
      </c>
      <c r="J188">
        <f>SmtRes!AO364</f>
        <v>1</v>
      </c>
      <c r="K188">
        <f>SmtRes!AH364</f>
        <v>0</v>
      </c>
      <c r="L188">
        <f>SmtRes!DB364</f>
        <v>0</v>
      </c>
      <c r="M188">
        <f>ROUND(ROUND(L188*Source!I322, 6)*1, 2)</f>
        <v>0</v>
      </c>
      <c r="N188">
        <f>SmtRes!AD364</f>
        <v>0</v>
      </c>
      <c r="O188">
        <f>ROUND(ROUND(L188*Source!I322, 6)*SmtRes!DA364, 2)</f>
        <v>0</v>
      </c>
      <c r="P188">
        <f>SmtRes!AG364</f>
        <v>0</v>
      </c>
      <c r="Q188">
        <f>SmtRes!DC364</f>
        <v>0</v>
      </c>
      <c r="R188">
        <f>ROUND(ROUND(Q188*Source!I322, 6)*1, 2)</f>
        <v>0</v>
      </c>
      <c r="S188">
        <f>SmtRes!AC364</f>
        <v>0</v>
      </c>
      <c r="T188">
        <f>ROUND(ROUND(Q188*Source!I322, 6)*SmtRes!AK364, 2)</f>
        <v>0</v>
      </c>
      <c r="U188">
        <v>1</v>
      </c>
      <c r="Y188">
        <f>SmtRes!X364</f>
        <v>476480486</v>
      </c>
      <c r="Z188">
        <v>1499241640</v>
      </c>
      <c r="AA188">
        <v>1499241640</v>
      </c>
    </row>
    <row r="189" spans="1:27" x14ac:dyDescent="0.2">
      <c r="A189">
        <f>Source!A324</f>
        <v>18</v>
      </c>
      <c r="B189">
        <v>324</v>
      </c>
      <c r="C189">
        <v>3</v>
      </c>
      <c r="D189">
        <f>Source!BI324</f>
        <v>1</v>
      </c>
      <c r="E189">
        <f>Source!FS324</f>
        <v>0</v>
      </c>
      <c r="F189" t="str">
        <f>Source!F324</f>
        <v>1.1-1-3258</v>
      </c>
      <c r="G189" t="str">
        <f>Source!G324</f>
        <v>Грунтовка водно-дисперсионная на акриловых сополимерах с токопроводящими добавками</v>
      </c>
      <c r="H189" t="str">
        <f>Source!H324</f>
        <v>кг</v>
      </c>
      <c r="I189">
        <f>Source!I324</f>
        <v>1.4</v>
      </c>
      <c r="J189">
        <v>1</v>
      </c>
      <c r="K189">
        <f>Source!AC324</f>
        <v>53.76</v>
      </c>
      <c r="M189">
        <f>ROUND(K189*I189, 2)</f>
        <v>75.260000000000005</v>
      </c>
      <c r="N189">
        <f>Source!AC324*IF(Source!BC324&lt;&gt; 0, Source!BC324, 1)</f>
        <v>744.57599999999991</v>
      </c>
      <c r="O189">
        <f>ROUND(N189*I189, 2)</f>
        <v>1042.4100000000001</v>
      </c>
      <c r="P189">
        <f>Source!AE324</f>
        <v>0</v>
      </c>
      <c r="R189">
        <f>ROUND(P189*I189, 2)</f>
        <v>0</v>
      </c>
      <c r="S189">
        <f>Source!AE324*IF(Source!BS324&lt;&gt; 0, Source!BS324, 1)</f>
        <v>0</v>
      </c>
      <c r="T189">
        <f>ROUND(S189*I189, 2)</f>
        <v>0</v>
      </c>
      <c r="U189">
        <v>3</v>
      </c>
      <c r="Y189">
        <f>Source!GF324</f>
        <v>-219381173</v>
      </c>
      <c r="Z189">
        <v>897640778</v>
      </c>
      <c r="AA189">
        <v>-1838121836</v>
      </c>
    </row>
    <row r="190" spans="1:27" x14ac:dyDescent="0.2">
      <c r="A190">
        <f>Source!A326</f>
        <v>18</v>
      </c>
      <c r="B190">
        <v>326</v>
      </c>
      <c r="C190">
        <v>3</v>
      </c>
      <c r="D190">
        <f>Source!BI326</f>
        <v>1</v>
      </c>
      <c r="E190">
        <f>Source!FS326</f>
        <v>0</v>
      </c>
      <c r="F190" t="str">
        <f>Source!F326</f>
        <v>1.3-2-38</v>
      </c>
      <c r="G190" t="str">
        <f>Source!G326</f>
        <v>Смеси сухие цементно-песчаные для устройства стяжки, самовыравнивающиеся, В15 (М200), F50</v>
      </c>
      <c r="H190" t="str">
        <f>Source!H326</f>
        <v>т</v>
      </c>
      <c r="I190">
        <f>Source!I326</f>
        <v>5.8939999999999992E-2</v>
      </c>
      <c r="J190">
        <v>1</v>
      </c>
      <c r="K190">
        <f>Source!AC326</f>
        <v>10322.83</v>
      </c>
      <c r="M190">
        <f>ROUND(K190*I190, 2)</f>
        <v>608.42999999999995</v>
      </c>
      <c r="N190">
        <f>Source!AC326*IF(Source!BC326&lt;&gt; 0, Source!BC326, 1)</f>
        <v>38194.471000000005</v>
      </c>
      <c r="O190">
        <f>ROUND(N190*I190, 2)</f>
        <v>2251.1799999999998</v>
      </c>
      <c r="P190">
        <f>Source!AE326</f>
        <v>0</v>
      </c>
      <c r="R190">
        <f>ROUND(P190*I190, 2)</f>
        <v>0</v>
      </c>
      <c r="S190">
        <f>Source!AE326*IF(Source!BS326&lt;&gt; 0, Source!BS326, 1)</f>
        <v>0</v>
      </c>
      <c r="T190">
        <f>ROUND(S190*I190, 2)</f>
        <v>0</v>
      </c>
      <c r="U190">
        <v>3</v>
      </c>
      <c r="Y190">
        <f>Source!GF326</f>
        <v>1287606245</v>
      </c>
      <c r="Z190">
        <v>174418440</v>
      </c>
      <c r="AA190">
        <v>1869617654</v>
      </c>
    </row>
    <row r="191" spans="1:27" x14ac:dyDescent="0.2">
      <c r="A191">
        <v>20</v>
      </c>
      <c r="B191">
        <v>389</v>
      </c>
      <c r="C191">
        <v>3</v>
      </c>
      <c r="D191">
        <v>0</v>
      </c>
      <c r="E191">
        <f>SmtRes!AV389</f>
        <v>0</v>
      </c>
      <c r="F191" t="str">
        <f>SmtRes!I389</f>
        <v>1.1-1-2480</v>
      </c>
      <c r="G191" t="str">
        <f>SmtRes!K389</f>
        <v>Грунтовка на основе полимерной дисперсии, концентрированная, паропроницаемая, с желтым пигментом, для впитывающих оснований</v>
      </c>
      <c r="H191" t="str">
        <f>SmtRes!O389</f>
        <v>т</v>
      </c>
      <c r="I191">
        <f>SmtRes!Y389*Source!I328</f>
        <v>7.000000000000001E-4</v>
      </c>
      <c r="J191">
        <f>SmtRes!AO389</f>
        <v>1</v>
      </c>
      <c r="K191">
        <f>SmtRes!AE389</f>
        <v>69883.649999999994</v>
      </c>
      <c r="L191">
        <f>SmtRes!DB389</f>
        <v>698.84</v>
      </c>
      <c r="M191">
        <f>ROUND(ROUND(L191*Source!I328, 6)*1, 2)</f>
        <v>48.92</v>
      </c>
      <c r="N191">
        <f>SmtRes!AA389</f>
        <v>224326.52</v>
      </c>
      <c r="O191">
        <f>ROUND(ROUND(L191*Source!I328, 6)*SmtRes!DA389, 2)</f>
        <v>157.03</v>
      </c>
      <c r="P191">
        <f>SmtRes!AG389</f>
        <v>0</v>
      </c>
      <c r="Q191">
        <f>SmtRes!DC389</f>
        <v>0</v>
      </c>
      <c r="R191">
        <f>ROUND(ROUND(Q191*Source!I328, 6)*1, 2)</f>
        <v>0</v>
      </c>
      <c r="S191">
        <f>SmtRes!AC389</f>
        <v>0</v>
      </c>
      <c r="T191">
        <f>ROUND(ROUND(Q191*Source!I328, 6)*SmtRes!AK389, 2)</f>
        <v>0</v>
      </c>
      <c r="U191">
        <v>3</v>
      </c>
      <c r="Y191">
        <f>SmtRes!X389</f>
        <v>-162804234</v>
      </c>
      <c r="Z191">
        <v>-1532063251</v>
      </c>
      <c r="AA191">
        <v>2053038425</v>
      </c>
    </row>
    <row r="192" spans="1:27" x14ac:dyDescent="0.2">
      <c r="A192">
        <v>20</v>
      </c>
      <c r="B192">
        <v>387</v>
      </c>
      <c r="C192">
        <v>3</v>
      </c>
      <c r="D192">
        <v>0</v>
      </c>
      <c r="E192">
        <f>SmtRes!AV387</f>
        <v>0</v>
      </c>
      <c r="F192" t="str">
        <f>SmtRes!I387</f>
        <v>1.1-1-118</v>
      </c>
      <c r="G192" t="str">
        <f>SmtRes!K387</f>
        <v>Вода</v>
      </c>
      <c r="H192" t="str">
        <f>SmtRes!O387</f>
        <v>м3</v>
      </c>
      <c r="I192">
        <f>SmtRes!Y387*Source!I328</f>
        <v>9.3100000000000006E-3</v>
      </c>
      <c r="J192">
        <f>SmtRes!AO387</f>
        <v>1</v>
      </c>
      <c r="K192">
        <f>SmtRes!AE387</f>
        <v>7.07</v>
      </c>
      <c r="L192">
        <f>SmtRes!DB387</f>
        <v>0.94</v>
      </c>
      <c r="M192">
        <f>ROUND(ROUND(L192*Source!I328, 6)*1, 2)</f>
        <v>7.0000000000000007E-2</v>
      </c>
      <c r="N192">
        <f>SmtRes!AA387</f>
        <v>42.42</v>
      </c>
      <c r="O192">
        <f>ROUND(ROUND(L192*Source!I328, 6)*SmtRes!DA387, 2)</f>
        <v>0.39</v>
      </c>
      <c r="P192">
        <f>SmtRes!AG387</f>
        <v>0</v>
      </c>
      <c r="Q192">
        <f>SmtRes!DC387</f>
        <v>0</v>
      </c>
      <c r="R192">
        <f>ROUND(ROUND(Q192*Source!I328, 6)*1, 2)</f>
        <v>0</v>
      </c>
      <c r="S192">
        <f>SmtRes!AC387</f>
        <v>0</v>
      </c>
      <c r="T192">
        <f>ROUND(ROUND(Q192*Source!I328, 6)*SmtRes!AK387, 2)</f>
        <v>0</v>
      </c>
      <c r="U192">
        <v>3</v>
      </c>
      <c r="Y192">
        <f>SmtRes!X387</f>
        <v>-862991314</v>
      </c>
      <c r="Z192">
        <v>-1421290593</v>
      </c>
      <c r="AA192">
        <v>-1279710304</v>
      </c>
    </row>
    <row r="193" spans="1:27" x14ac:dyDescent="0.2">
      <c r="A193">
        <v>20</v>
      </c>
      <c r="B193">
        <v>386</v>
      </c>
      <c r="C193">
        <v>2</v>
      </c>
      <c r="D193">
        <v>0</v>
      </c>
      <c r="E193">
        <f>SmtRes!AV386</f>
        <v>0</v>
      </c>
      <c r="F193" t="str">
        <f>SmtRes!I386</f>
        <v>9999990007</v>
      </c>
      <c r="G193" t="str">
        <f>SmtRes!K386</f>
        <v>Стоимость прочих машин (ЭСН)</v>
      </c>
      <c r="H193" t="str">
        <f>SmtRes!O386</f>
        <v>руб.</v>
      </c>
      <c r="I193">
        <f>SmtRes!Y386*Source!I328</f>
        <v>2.2715000000000005</v>
      </c>
      <c r="J193">
        <f>SmtRes!AO386</f>
        <v>1</v>
      </c>
      <c r="K193">
        <f>SmtRes!AF386</f>
        <v>1</v>
      </c>
      <c r="L193">
        <f>SmtRes!DB386</f>
        <v>32.450000000000003</v>
      </c>
      <c r="M193">
        <f>ROUND(ROUND(L193*Source!I328, 6)*1, 2)</f>
        <v>2.27</v>
      </c>
      <c r="N193">
        <f>SmtRes!AB386</f>
        <v>1.05</v>
      </c>
      <c r="O193">
        <f>ROUND(ROUND(L193*Source!I328, 6)*SmtRes!DA386, 2)</f>
        <v>2.27</v>
      </c>
      <c r="P193">
        <f>SmtRes!AG386</f>
        <v>0</v>
      </c>
      <c r="Q193">
        <f>SmtRes!DC386</f>
        <v>0</v>
      </c>
      <c r="R193">
        <f>ROUND(ROUND(Q193*Source!I328, 6)*1, 2)</f>
        <v>0</v>
      </c>
      <c r="S193">
        <f>SmtRes!AC386</f>
        <v>0</v>
      </c>
      <c r="T193">
        <f>ROUND(ROUND(Q193*Source!I328, 6)*SmtRes!AK386, 2)</f>
        <v>0</v>
      </c>
      <c r="U193">
        <v>2</v>
      </c>
      <c r="Y193">
        <f>SmtRes!X386</f>
        <v>-1180195794</v>
      </c>
      <c r="Z193">
        <v>-595858232</v>
      </c>
      <c r="AA193">
        <v>-314357962</v>
      </c>
    </row>
    <row r="194" spans="1:27" x14ac:dyDescent="0.2">
      <c r="A194">
        <v>20</v>
      </c>
      <c r="B194">
        <v>385</v>
      </c>
      <c r="C194">
        <v>2</v>
      </c>
      <c r="D194">
        <v>0</v>
      </c>
      <c r="E194">
        <f>SmtRes!AV385</f>
        <v>0</v>
      </c>
      <c r="F194" t="str">
        <f>SmtRes!I385</f>
        <v>2.1-30-75</v>
      </c>
      <c r="G194" t="str">
        <f>SmtRes!K385</f>
        <v>Станки для резки плит</v>
      </c>
      <c r="H194" t="str">
        <f>SmtRes!O385</f>
        <v>маш.-ч.</v>
      </c>
      <c r="I194">
        <f>SmtRes!Y385*Source!I328</f>
        <v>2.7125000000000003E-2</v>
      </c>
      <c r="J194">
        <f>SmtRes!AO385</f>
        <v>1</v>
      </c>
      <c r="K194">
        <f>SmtRes!AF385</f>
        <v>31.85</v>
      </c>
      <c r="L194">
        <f>SmtRes!DB385</f>
        <v>12.3375</v>
      </c>
      <c r="M194">
        <f>ROUND(ROUND(L194*Source!I328, 6)*1, 2)</f>
        <v>0.86</v>
      </c>
      <c r="N194">
        <f>SmtRes!AB385</f>
        <v>33.35</v>
      </c>
      <c r="O194">
        <f>ROUND(ROUND(L194*Source!I328, 6)*SmtRes!DA385, 2)</f>
        <v>0.86</v>
      </c>
      <c r="P194">
        <f>SmtRes!AG385</f>
        <v>14.89</v>
      </c>
      <c r="Q194">
        <f>SmtRes!DC385</f>
        <v>5.7750000000000004</v>
      </c>
      <c r="R194">
        <f>ROUND(ROUND(Q194*Source!I328, 6)*1, 2)</f>
        <v>0.4</v>
      </c>
      <c r="S194">
        <f>SmtRes!AC385</f>
        <v>15.59</v>
      </c>
      <c r="T194">
        <f>ROUND(ROUND(Q194*Source!I328, 6)*SmtRes!AK385, 2)</f>
        <v>0.4</v>
      </c>
      <c r="U194">
        <v>2</v>
      </c>
      <c r="Y194">
        <f>SmtRes!X385</f>
        <v>-1931009994</v>
      </c>
      <c r="Z194">
        <v>1000431129</v>
      </c>
      <c r="AA194">
        <v>1918652249</v>
      </c>
    </row>
    <row r="195" spans="1:27" x14ac:dyDescent="0.2">
      <c r="A195">
        <v>20</v>
      </c>
      <c r="B195">
        <v>384</v>
      </c>
      <c r="C195">
        <v>2</v>
      </c>
      <c r="D195">
        <v>0</v>
      </c>
      <c r="E195">
        <f>SmtRes!AV384</f>
        <v>0</v>
      </c>
      <c r="F195" t="str">
        <f>SmtRes!I384</f>
        <v>2.1-30-6</v>
      </c>
      <c r="G195" t="str">
        <f>SmtRes!K384</f>
        <v>Дрели электрические</v>
      </c>
      <c r="H195" t="str">
        <f>SmtRes!O384</f>
        <v>маш.-ч.</v>
      </c>
      <c r="I195">
        <f>SmtRes!Y384*Source!I328</f>
        <v>2.3703750000000001</v>
      </c>
      <c r="J195">
        <f>SmtRes!AO384</f>
        <v>1</v>
      </c>
      <c r="K195">
        <f>SmtRes!AF384</f>
        <v>2.36</v>
      </c>
      <c r="L195">
        <f>SmtRes!DB384</f>
        <v>79.912499999999994</v>
      </c>
      <c r="M195">
        <f>ROUND(ROUND(L195*Source!I328, 6)*1, 2)</f>
        <v>5.59</v>
      </c>
      <c r="N195">
        <f>SmtRes!AB384</f>
        <v>2.4700000000000002</v>
      </c>
      <c r="O195">
        <f>ROUND(ROUND(L195*Source!I328, 6)*SmtRes!DA384, 2)</f>
        <v>5.59</v>
      </c>
      <c r="P195">
        <f>SmtRes!AG384</f>
        <v>0.1</v>
      </c>
      <c r="Q195">
        <f>SmtRes!DC384</f>
        <v>3.3875000000000002</v>
      </c>
      <c r="R195">
        <f>ROUND(ROUND(Q195*Source!I328, 6)*1, 2)</f>
        <v>0.24</v>
      </c>
      <c r="S195">
        <f>SmtRes!AC384</f>
        <v>0.1</v>
      </c>
      <c r="T195">
        <f>ROUND(ROUND(Q195*Source!I328, 6)*SmtRes!AK384, 2)</f>
        <v>0.24</v>
      </c>
      <c r="U195">
        <v>2</v>
      </c>
      <c r="Y195">
        <f>SmtRes!X384</f>
        <v>950854334</v>
      </c>
      <c r="Z195">
        <v>-216995753</v>
      </c>
      <c r="AA195">
        <v>-883536378</v>
      </c>
    </row>
    <row r="196" spans="1:27" x14ac:dyDescent="0.2">
      <c r="A196">
        <v>20</v>
      </c>
      <c r="B196">
        <v>383</v>
      </c>
      <c r="C196">
        <v>1</v>
      </c>
      <c r="D196">
        <v>0</v>
      </c>
      <c r="E196">
        <f>SmtRes!AV383</f>
        <v>1</v>
      </c>
      <c r="F196" t="str">
        <f>SmtRes!I383</f>
        <v>9999990008</v>
      </c>
      <c r="G196" t="str">
        <f>SmtRes!K383</f>
        <v>Трудозатраты рабочих</v>
      </c>
      <c r="H196" t="str">
        <f>SmtRes!O383</f>
        <v>чел.-ч.</v>
      </c>
      <c r="I196">
        <f>SmtRes!Y383*Source!I328</f>
        <v>6.76844</v>
      </c>
      <c r="J196">
        <f>SmtRes!AO383</f>
        <v>1</v>
      </c>
      <c r="K196">
        <f>SmtRes!AH383</f>
        <v>0</v>
      </c>
      <c r="L196">
        <f>SmtRes!DB383</f>
        <v>0</v>
      </c>
      <c r="M196">
        <f>ROUND(ROUND(L196*Source!I328, 6)*1, 2)</f>
        <v>0</v>
      </c>
      <c r="N196">
        <f>SmtRes!AD383</f>
        <v>0</v>
      </c>
      <c r="O196">
        <f>ROUND(ROUND(L196*Source!I328, 6)*SmtRes!DA383, 2)</f>
        <v>0</v>
      </c>
      <c r="P196">
        <f>SmtRes!AG383</f>
        <v>0</v>
      </c>
      <c r="Q196">
        <f>SmtRes!DC383</f>
        <v>0</v>
      </c>
      <c r="R196">
        <f>ROUND(ROUND(Q196*Source!I328, 6)*1, 2)</f>
        <v>0</v>
      </c>
      <c r="S196">
        <f>SmtRes!AC383</f>
        <v>0</v>
      </c>
      <c r="T196">
        <f>ROUND(ROUND(Q196*Source!I328, 6)*SmtRes!AK383, 2)</f>
        <v>0</v>
      </c>
      <c r="U196">
        <v>1</v>
      </c>
      <c r="Y196">
        <f>SmtRes!X383</f>
        <v>476480486</v>
      </c>
      <c r="Z196">
        <v>1499241640</v>
      </c>
      <c r="AA196">
        <v>1499241640</v>
      </c>
    </row>
    <row r="197" spans="1:27" x14ac:dyDescent="0.2">
      <c r="A197">
        <f>Source!A330</f>
        <v>18</v>
      </c>
      <c r="B197">
        <v>330</v>
      </c>
      <c r="C197">
        <v>3</v>
      </c>
      <c r="D197">
        <f>Source!BI330</f>
        <v>1</v>
      </c>
      <c r="E197">
        <f>Source!FS330</f>
        <v>0</v>
      </c>
      <c r="F197" t="str">
        <f>Source!F330</f>
        <v>1.3-2-138</v>
      </c>
      <c r="G197" t="str">
        <f>Source!G330</f>
        <v>Смеси сухие для заполнения швов между плитками, цветные</v>
      </c>
      <c r="H197" t="str">
        <f>Source!H330</f>
        <v>т</v>
      </c>
      <c r="I197">
        <f>Source!I330</f>
        <v>7.0000000000000001E-3</v>
      </c>
      <c r="J197">
        <v>1</v>
      </c>
      <c r="K197">
        <f>Source!AC330</f>
        <v>27362.67</v>
      </c>
      <c r="M197">
        <f>ROUND(K197*I197, 2)</f>
        <v>191.54</v>
      </c>
      <c r="N197">
        <f>Source!AC330*IF(Source!BC330&lt;&gt; 0, Source!BC330, 1)</f>
        <v>63481.39439999999</v>
      </c>
      <c r="O197">
        <f>ROUND(N197*I197, 2)</f>
        <v>444.37</v>
      </c>
      <c r="P197">
        <f>Source!AE330</f>
        <v>0</v>
      </c>
      <c r="R197">
        <f>ROUND(P197*I197, 2)</f>
        <v>0</v>
      </c>
      <c r="S197">
        <f>Source!AE330*IF(Source!BS330&lt;&gt; 0, Source!BS330, 1)</f>
        <v>0</v>
      </c>
      <c r="T197">
        <f>ROUND(S197*I197, 2)</f>
        <v>0</v>
      </c>
      <c r="U197">
        <v>3</v>
      </c>
      <c r="Y197">
        <f>Source!GF330</f>
        <v>1389983172</v>
      </c>
      <c r="Z197">
        <v>-1959095810</v>
      </c>
      <c r="AA197">
        <v>1666833858</v>
      </c>
    </row>
    <row r="198" spans="1:27" x14ac:dyDescent="0.2">
      <c r="A198">
        <f>Source!A332</f>
        <v>18</v>
      </c>
      <c r="B198">
        <v>332</v>
      </c>
      <c r="C198">
        <v>3</v>
      </c>
      <c r="D198">
        <f>Source!BI332</f>
        <v>1</v>
      </c>
      <c r="E198">
        <f>Source!FS332</f>
        <v>0</v>
      </c>
      <c r="F198" t="str">
        <f>Source!F332</f>
        <v>1.3-2-136</v>
      </c>
      <c r="G198" t="str">
        <f>Source!G332</f>
        <v>Смеси сухие (клеи) для облицовки стен и полов керамическими плитками и плитками из природного камня</v>
      </c>
      <c r="H198" t="str">
        <f>Source!H332</f>
        <v>т</v>
      </c>
      <c r="I198">
        <f>Source!I332</f>
        <v>3.2899999999999999E-2</v>
      </c>
      <c r="J198">
        <v>1</v>
      </c>
      <c r="K198">
        <f>Source!AC332</f>
        <v>1424.67</v>
      </c>
      <c r="M198">
        <f>ROUND(K198*I198, 2)</f>
        <v>46.87</v>
      </c>
      <c r="N198">
        <f>Source!AC332*IF(Source!BC332&lt;&gt; 0, Source!BC332, 1)</f>
        <v>27054.4833</v>
      </c>
      <c r="O198">
        <f>ROUND(N198*I198, 2)</f>
        <v>890.09</v>
      </c>
      <c r="P198">
        <f>Source!AE332</f>
        <v>0</v>
      </c>
      <c r="R198">
        <f>ROUND(P198*I198, 2)</f>
        <v>0</v>
      </c>
      <c r="S198">
        <f>Source!AE332*IF(Source!BS332&lt;&gt; 0, Source!BS332, 1)</f>
        <v>0</v>
      </c>
      <c r="T198">
        <f>ROUND(S198*I198, 2)</f>
        <v>0</v>
      </c>
      <c r="U198">
        <v>3</v>
      </c>
      <c r="Y198">
        <f>Source!GF332</f>
        <v>1192135998</v>
      </c>
      <c r="Z198">
        <v>-43971573</v>
      </c>
      <c r="AA198">
        <v>-446712842</v>
      </c>
    </row>
    <row r="199" spans="1:27" x14ac:dyDescent="0.2">
      <c r="A199">
        <f>Source!A334</f>
        <v>18</v>
      </c>
      <c r="B199">
        <v>334</v>
      </c>
      <c r="C199">
        <v>3</v>
      </c>
      <c r="D199">
        <f>Source!BI334</f>
        <v>1</v>
      </c>
      <c r="E199">
        <f>Source!FS334</f>
        <v>0</v>
      </c>
      <c r="F199" t="str">
        <f>Source!F334</f>
        <v>Цена поставщика</v>
      </c>
      <c r="G199" t="str">
        <f>Source!G334</f>
        <v>Плитки керамические, типа керамогранит, неполированные  300х300х8</v>
      </c>
      <c r="H199" t="str">
        <f>Source!H334</f>
        <v>м2</v>
      </c>
      <c r="I199">
        <f>Source!I334</f>
        <v>7.14</v>
      </c>
      <c r="J199">
        <v>1</v>
      </c>
      <c r="K199">
        <f>Source!AC334</f>
        <v>143.47</v>
      </c>
      <c r="M199">
        <f>ROUND(K199*I199, 2)</f>
        <v>1024.3800000000001</v>
      </c>
      <c r="N199">
        <f>Source!AC334*IF(Source!BC334&lt;&gt; 0, Source!BC334, 1)</f>
        <v>1241.0155</v>
      </c>
      <c r="O199">
        <f>ROUND(N199*I199, 2)</f>
        <v>8860.85</v>
      </c>
      <c r="P199">
        <f>Source!AE334</f>
        <v>0</v>
      </c>
      <c r="R199">
        <f>ROUND(P199*I199, 2)</f>
        <v>0</v>
      </c>
      <c r="S199">
        <f>Source!AE334*IF(Source!BS334&lt;&gt; 0, Source!BS334, 1)</f>
        <v>0</v>
      </c>
      <c r="T199">
        <f>ROUND(S199*I199, 2)</f>
        <v>0</v>
      </c>
      <c r="U199">
        <v>3</v>
      </c>
      <c r="Y199">
        <f>Source!GF334</f>
        <v>1228675506</v>
      </c>
      <c r="Z199">
        <v>368630081</v>
      </c>
      <c r="AA199">
        <v>-848727796</v>
      </c>
    </row>
    <row r="200" spans="1:27" x14ac:dyDescent="0.2">
      <c r="A200">
        <f>Source!A336</f>
        <v>18</v>
      </c>
      <c r="B200">
        <v>336</v>
      </c>
      <c r="C200">
        <v>3</v>
      </c>
      <c r="D200">
        <f>Source!BI336</f>
        <v>1</v>
      </c>
      <c r="E200">
        <f>Source!FS336</f>
        <v>0</v>
      </c>
      <c r="F200" t="str">
        <f>Source!F336</f>
        <v>1.1-1-2398</v>
      </c>
      <c r="G200" t="str">
        <f>Source!G336</f>
        <v>Плитки керамические, типа керамогранит, неполированные, размер 30х30 см, толщина 8 мм, цвет: светло-серый, серый, светло-зеленый, бежевый</v>
      </c>
      <c r="H200" t="str">
        <f>Source!H336</f>
        <v>м2</v>
      </c>
      <c r="I200">
        <f>Source!I336</f>
        <v>0</v>
      </c>
      <c r="J200">
        <v>1</v>
      </c>
      <c r="K200">
        <f>Source!AC336</f>
        <v>92.02</v>
      </c>
      <c r="M200">
        <f>ROUND(K200*I200, 2)</f>
        <v>0</v>
      </c>
      <c r="N200">
        <f>Source!AC336*IF(Source!BC336&lt;&gt; 0, Source!BC336, 1)</f>
        <v>690.15</v>
      </c>
      <c r="O200">
        <f>ROUND(N200*I200, 2)</f>
        <v>0</v>
      </c>
      <c r="P200">
        <f>Source!AE336</f>
        <v>0</v>
      </c>
      <c r="R200">
        <f>ROUND(P200*I200, 2)</f>
        <v>0</v>
      </c>
      <c r="S200">
        <f>Source!AE336*IF(Source!BS336&lt;&gt; 0, Source!BS336, 1)</f>
        <v>0</v>
      </c>
      <c r="T200">
        <f>ROUND(S200*I200, 2)</f>
        <v>0</v>
      </c>
      <c r="U200">
        <v>3</v>
      </c>
      <c r="Y200">
        <f>Source!GF336</f>
        <v>1213652254</v>
      </c>
      <c r="Z200">
        <v>496344296</v>
      </c>
      <c r="AA200">
        <v>-2010794420</v>
      </c>
    </row>
    <row r="201" spans="1:27" x14ac:dyDescent="0.2">
      <c r="A201">
        <v>20</v>
      </c>
      <c r="B201">
        <v>401</v>
      </c>
      <c r="C201">
        <v>3</v>
      </c>
      <c r="D201">
        <v>0</v>
      </c>
      <c r="E201">
        <f>SmtRes!AV401</f>
        <v>0</v>
      </c>
      <c r="F201" t="str">
        <f>SmtRes!I401</f>
        <v>1.1-1-407</v>
      </c>
      <c r="G201" t="str">
        <f>SmtRes!K401</f>
        <v>Кляммеры, приведенные к марке КЛ-1</v>
      </c>
      <c r="H201" t="str">
        <f>SmtRes!O401</f>
        <v>т</v>
      </c>
      <c r="I201">
        <f>SmtRes!Y401*Source!I338</f>
        <v>2.7082999999999999E-3</v>
      </c>
      <c r="J201">
        <f>SmtRes!AO401</f>
        <v>1</v>
      </c>
      <c r="K201">
        <f>SmtRes!AE401</f>
        <v>9865.7999999999993</v>
      </c>
      <c r="L201">
        <f>SmtRes!DB401</f>
        <v>504.14</v>
      </c>
      <c r="M201">
        <f>ROUND(ROUND(L201*Source!I338, 6)*1, 2)</f>
        <v>26.72</v>
      </c>
      <c r="N201">
        <f>SmtRes!AA401</f>
        <v>893747.75</v>
      </c>
      <c r="O201">
        <f>ROUND(ROUND(L201*Source!I338, 6)*SmtRes!DA401, 2)</f>
        <v>2418.11</v>
      </c>
      <c r="P201">
        <f>SmtRes!AG401</f>
        <v>0</v>
      </c>
      <c r="Q201">
        <f>SmtRes!DC401</f>
        <v>0</v>
      </c>
      <c r="R201">
        <f>ROUND(ROUND(Q201*Source!I338, 6)*1, 2)</f>
        <v>0</v>
      </c>
      <c r="S201">
        <f>SmtRes!AC401</f>
        <v>0</v>
      </c>
      <c r="T201">
        <f>ROUND(ROUND(Q201*Source!I338, 6)*SmtRes!AK401, 2)</f>
        <v>0</v>
      </c>
      <c r="U201">
        <v>3</v>
      </c>
      <c r="Y201">
        <f>SmtRes!X401</f>
        <v>1127058177</v>
      </c>
      <c r="Z201">
        <v>590585485</v>
      </c>
      <c r="AA201">
        <v>2106530455</v>
      </c>
    </row>
    <row r="202" spans="1:27" x14ac:dyDescent="0.2">
      <c r="A202">
        <v>20</v>
      </c>
      <c r="B202">
        <v>400</v>
      </c>
      <c r="C202">
        <v>3</v>
      </c>
      <c r="D202">
        <v>0</v>
      </c>
      <c r="E202">
        <f>SmtRes!AV400</f>
        <v>0</v>
      </c>
      <c r="F202" t="str">
        <f>SmtRes!I400</f>
        <v>1.1-1-132</v>
      </c>
      <c r="G202" t="str">
        <f>SmtRes!K400</f>
        <v>Гвозди строительные</v>
      </c>
      <c r="H202" t="str">
        <f>SmtRes!O400</f>
        <v>т</v>
      </c>
      <c r="I202">
        <f>SmtRes!Y400*Source!I338</f>
        <v>1.06E-4</v>
      </c>
      <c r="J202">
        <f>SmtRes!AO400</f>
        <v>1</v>
      </c>
      <c r="K202">
        <f>SmtRes!AE400</f>
        <v>6521.42</v>
      </c>
      <c r="L202">
        <f>SmtRes!DB400</f>
        <v>13.04</v>
      </c>
      <c r="M202">
        <f>ROUND(ROUND(L202*Source!I338, 6)*1, 2)</f>
        <v>0.69</v>
      </c>
      <c r="N202">
        <f>SmtRes!AA400</f>
        <v>63190.47</v>
      </c>
      <c r="O202">
        <f>ROUND(ROUND(L202*Source!I338, 6)*SmtRes!DA400, 2)</f>
        <v>6.69</v>
      </c>
      <c r="P202">
        <f>SmtRes!AG400</f>
        <v>0</v>
      </c>
      <c r="Q202">
        <f>SmtRes!DC400</f>
        <v>0</v>
      </c>
      <c r="R202">
        <f>ROUND(ROUND(Q202*Source!I338, 6)*1, 2)</f>
        <v>0</v>
      </c>
      <c r="S202">
        <f>SmtRes!AC400</f>
        <v>0</v>
      </c>
      <c r="T202">
        <f>ROUND(ROUND(Q202*Source!I338, 6)*SmtRes!AK400, 2)</f>
        <v>0</v>
      </c>
      <c r="U202">
        <v>3</v>
      </c>
      <c r="Y202">
        <f>SmtRes!X400</f>
        <v>563176784</v>
      </c>
      <c r="Z202">
        <v>1885883156</v>
      </c>
      <c r="AA202">
        <v>-75413624</v>
      </c>
    </row>
    <row r="203" spans="1:27" x14ac:dyDescent="0.2">
      <c r="A203">
        <v>20</v>
      </c>
      <c r="B203">
        <v>398</v>
      </c>
      <c r="C203">
        <v>1</v>
      </c>
      <c r="D203">
        <v>0</v>
      </c>
      <c r="E203">
        <f>SmtRes!AV398</f>
        <v>1</v>
      </c>
      <c r="F203" t="str">
        <f>SmtRes!I398</f>
        <v>9999990008</v>
      </c>
      <c r="G203" t="str">
        <f>SmtRes!K398</f>
        <v>Трудозатраты рабочих</v>
      </c>
      <c r="H203" t="str">
        <f>SmtRes!O398</f>
        <v>чел.-ч.</v>
      </c>
      <c r="I203">
        <f>SmtRes!Y398*Source!I338</f>
        <v>1.1400300000000001</v>
      </c>
      <c r="J203">
        <f>SmtRes!AO398</f>
        <v>1</v>
      </c>
      <c r="K203">
        <f>SmtRes!AH398</f>
        <v>0</v>
      </c>
      <c r="L203">
        <f>SmtRes!DB398</f>
        <v>0</v>
      </c>
      <c r="M203">
        <f>ROUND(ROUND(L203*Source!I338, 6)*1, 2)</f>
        <v>0</v>
      </c>
      <c r="N203">
        <f>SmtRes!AD398</f>
        <v>0</v>
      </c>
      <c r="O203">
        <f>ROUND(ROUND(L203*Source!I338, 6)*SmtRes!DA398, 2)</f>
        <v>0</v>
      </c>
      <c r="P203">
        <f>SmtRes!AG398</f>
        <v>0</v>
      </c>
      <c r="Q203">
        <f>SmtRes!DC398</f>
        <v>0</v>
      </c>
      <c r="R203">
        <f>ROUND(ROUND(Q203*Source!I338, 6)*1, 2)</f>
        <v>0</v>
      </c>
      <c r="S203">
        <f>SmtRes!AC398</f>
        <v>0</v>
      </c>
      <c r="T203">
        <f>ROUND(ROUND(Q203*Source!I338, 6)*SmtRes!AK398, 2)</f>
        <v>0</v>
      </c>
      <c r="U203">
        <v>1</v>
      </c>
      <c r="Y203">
        <f>SmtRes!X398</f>
        <v>476480486</v>
      </c>
      <c r="Z203">
        <v>1499241640</v>
      </c>
      <c r="AA203">
        <v>1499241640</v>
      </c>
    </row>
    <row r="204" spans="1:27" x14ac:dyDescent="0.2">
      <c r="A204">
        <f>Source!A340</f>
        <v>18</v>
      </c>
      <c r="B204">
        <v>340</v>
      </c>
      <c r="C204">
        <v>3</v>
      </c>
      <c r="D204">
        <f>Source!BI340</f>
        <v>1</v>
      </c>
      <c r="E204">
        <f>Source!FS340</f>
        <v>0</v>
      </c>
      <c r="F204" t="str">
        <f>Source!F340</f>
        <v>1.1-1-924</v>
      </c>
      <c r="G204" t="str">
        <f>Source!G340</f>
        <v>Поковки строительные (скобы, закрепы, хомуты) простые, масса от 2,5 до 4 кг</v>
      </c>
      <c r="H204" t="str">
        <f>Source!H340</f>
        <v>т</v>
      </c>
      <c r="I204">
        <f>Source!I340</f>
        <v>3.4980000000000002E-3</v>
      </c>
      <c r="J204">
        <v>1</v>
      </c>
      <c r="K204">
        <f>Source!AC340</f>
        <v>6870.66</v>
      </c>
      <c r="M204">
        <f>ROUND(K204*I204, 2)</f>
        <v>24.03</v>
      </c>
      <c r="N204">
        <f>Source!AC340*IF(Source!BC340&lt;&gt; 0, Source!BC340, 1)</f>
        <v>54553.040399999998</v>
      </c>
      <c r="O204">
        <f>ROUND(N204*I204, 2)</f>
        <v>190.83</v>
      </c>
      <c r="P204">
        <f>Source!AE340</f>
        <v>0</v>
      </c>
      <c r="R204">
        <f>ROUND(P204*I204, 2)</f>
        <v>0</v>
      </c>
      <c r="S204">
        <f>Source!AE340*IF(Source!BS340&lt;&gt; 0, Source!BS340, 1)</f>
        <v>0</v>
      </c>
      <c r="T204">
        <f>ROUND(S204*I204, 2)</f>
        <v>0</v>
      </c>
      <c r="U204">
        <v>3</v>
      </c>
      <c r="Y204">
        <f>Source!GF340</f>
        <v>1257892944</v>
      </c>
      <c r="Z204">
        <v>175878566</v>
      </c>
      <c r="AA204">
        <v>629686513</v>
      </c>
    </row>
    <row r="205" spans="1:27" x14ac:dyDescent="0.2">
      <c r="A205">
        <f>Source!A342</f>
        <v>18</v>
      </c>
      <c r="B205">
        <v>342</v>
      </c>
      <c r="C205">
        <v>3</v>
      </c>
      <c r="D205">
        <f>Source!BI342</f>
        <v>1</v>
      </c>
      <c r="E205">
        <f>Source!FS342</f>
        <v>0</v>
      </c>
      <c r="F205" t="str">
        <f>Source!F342</f>
        <v>1.1-1-1079</v>
      </c>
      <c r="G205" t="str">
        <f>Source!G342</f>
        <v>Сталь листовая, оцинкованная, толщина 0,5 мм</v>
      </c>
      <c r="H205" t="str">
        <f>Source!H342</f>
        <v>т</v>
      </c>
      <c r="I205">
        <f>Source!I342</f>
        <v>1.6218E-2</v>
      </c>
      <c r="J205">
        <v>1</v>
      </c>
      <c r="K205">
        <f>Source!AC342</f>
        <v>15328.48</v>
      </c>
      <c r="M205">
        <f>ROUND(K205*I205, 2)</f>
        <v>248.6</v>
      </c>
      <c r="N205">
        <f>Source!AC342*IF(Source!BC342&lt;&gt; 0, Source!BC342, 1)</f>
        <v>69897.868799999997</v>
      </c>
      <c r="O205">
        <f>ROUND(N205*I205, 2)</f>
        <v>1133.5999999999999</v>
      </c>
      <c r="P205">
        <f>Source!AE342</f>
        <v>0</v>
      </c>
      <c r="R205">
        <f>ROUND(P205*I205, 2)</f>
        <v>0</v>
      </c>
      <c r="S205">
        <f>Source!AE342*IF(Source!BS342&lt;&gt; 0, Source!BS342, 1)</f>
        <v>0</v>
      </c>
      <c r="T205">
        <f>ROUND(S205*I205, 2)</f>
        <v>0</v>
      </c>
      <c r="U205">
        <v>3</v>
      </c>
      <c r="Y205">
        <f>Source!GF342</f>
        <v>497599956</v>
      </c>
      <c r="Z205">
        <v>1345904208</v>
      </c>
      <c r="AA205">
        <v>1326408835</v>
      </c>
    </row>
    <row r="206" spans="1:27" x14ac:dyDescent="0.2">
      <c r="A206">
        <v>20</v>
      </c>
      <c r="B206">
        <v>409</v>
      </c>
      <c r="C206">
        <v>3</v>
      </c>
      <c r="D206">
        <v>0</v>
      </c>
      <c r="E206">
        <f>SmtRes!AV409</f>
        <v>0</v>
      </c>
      <c r="F206" t="str">
        <f>SmtRes!I409</f>
        <v>1.1-1-923</v>
      </c>
      <c r="G206" t="str">
        <f>SmtRes!K409</f>
        <v>Поковки строительные (скобы, закрепы, хомуты) простые, масса 1,8 кг</v>
      </c>
      <c r="H206" t="str">
        <f>SmtRes!O409</f>
        <v>т</v>
      </c>
      <c r="I206">
        <f>SmtRes!Y409*Source!I344</f>
        <v>5.8900000000000003E-3</v>
      </c>
      <c r="J206">
        <f>SmtRes!AO409</f>
        <v>1</v>
      </c>
      <c r="K206">
        <f>SmtRes!AE409</f>
        <v>6870.66</v>
      </c>
      <c r="L206">
        <f>SmtRes!DB409</f>
        <v>652.71</v>
      </c>
      <c r="M206">
        <f>ROUND(ROUND(L206*Source!I344, 6)*1, 2)</f>
        <v>40.47</v>
      </c>
      <c r="N206">
        <f>SmtRes!AA409</f>
        <v>54607.59</v>
      </c>
      <c r="O206">
        <f>ROUND(ROUND(L206*Source!I344, 6)*SmtRes!DA409, 2)</f>
        <v>321.32</v>
      </c>
      <c r="P206">
        <f>SmtRes!AG409</f>
        <v>0</v>
      </c>
      <c r="Q206">
        <f>SmtRes!DC409</f>
        <v>0</v>
      </c>
      <c r="R206">
        <f>ROUND(ROUND(Q206*Source!I344, 6)*1, 2)</f>
        <v>0</v>
      </c>
      <c r="S206">
        <f>SmtRes!AC409</f>
        <v>0</v>
      </c>
      <c r="T206">
        <f>ROUND(ROUND(Q206*Source!I344, 6)*SmtRes!AK409, 2)</f>
        <v>0</v>
      </c>
      <c r="U206">
        <v>3</v>
      </c>
      <c r="Y206">
        <f>SmtRes!X409</f>
        <v>-1557622869</v>
      </c>
      <c r="Z206">
        <v>-1525124193</v>
      </c>
      <c r="AA206">
        <v>-756684054</v>
      </c>
    </row>
    <row r="207" spans="1:27" x14ac:dyDescent="0.2">
      <c r="A207">
        <v>20</v>
      </c>
      <c r="B207">
        <v>408</v>
      </c>
      <c r="C207">
        <v>2</v>
      </c>
      <c r="D207">
        <v>0</v>
      </c>
      <c r="E207">
        <f>SmtRes!AV408</f>
        <v>0</v>
      </c>
      <c r="F207" t="str">
        <f>SmtRes!I408</f>
        <v>9999990007</v>
      </c>
      <c r="G207" t="str">
        <f>SmtRes!K408</f>
        <v>Стоимость прочих машин (ЭСН)</v>
      </c>
      <c r="H207" t="str">
        <f>SmtRes!O408</f>
        <v>руб.</v>
      </c>
      <c r="I207">
        <f>SmtRes!Y408*Source!I344</f>
        <v>0.1333</v>
      </c>
      <c r="J207">
        <f>SmtRes!AO408</f>
        <v>1</v>
      </c>
      <c r="K207">
        <f>SmtRes!AF408</f>
        <v>1</v>
      </c>
      <c r="L207">
        <f>SmtRes!DB408</f>
        <v>2.15</v>
      </c>
      <c r="M207">
        <f>ROUND(ROUND(L207*Source!I344, 6)*1, 2)</f>
        <v>0.13</v>
      </c>
      <c r="N207">
        <f>SmtRes!AB408</f>
        <v>1.0900000000000001</v>
      </c>
      <c r="O207">
        <f>ROUND(ROUND(L207*Source!I344, 6)*SmtRes!DA408, 2)</f>
        <v>0.13</v>
      </c>
      <c r="P207">
        <f>SmtRes!AG408</f>
        <v>0</v>
      </c>
      <c r="Q207">
        <f>SmtRes!DC408</f>
        <v>0</v>
      </c>
      <c r="R207">
        <f>ROUND(ROUND(Q207*Source!I344, 6)*1, 2)</f>
        <v>0</v>
      </c>
      <c r="S207">
        <f>SmtRes!AC408</f>
        <v>0</v>
      </c>
      <c r="T207">
        <f>ROUND(ROUND(Q207*Source!I344, 6)*SmtRes!AK408, 2)</f>
        <v>0</v>
      </c>
      <c r="U207">
        <v>2</v>
      </c>
      <c r="Y207">
        <f>SmtRes!X408</f>
        <v>-1180195794</v>
      </c>
      <c r="Z207">
        <v>-595858232</v>
      </c>
      <c r="AA207">
        <v>-453702883</v>
      </c>
    </row>
    <row r="208" spans="1:27" x14ac:dyDescent="0.2">
      <c r="A208">
        <v>20</v>
      </c>
      <c r="B208">
        <v>407</v>
      </c>
      <c r="C208">
        <v>1</v>
      </c>
      <c r="D208">
        <v>0</v>
      </c>
      <c r="E208">
        <f>SmtRes!AV407</f>
        <v>1</v>
      </c>
      <c r="F208" t="str">
        <f>SmtRes!I407</f>
        <v>9999990008</v>
      </c>
      <c r="G208" t="str">
        <f>SmtRes!K407</f>
        <v>Трудозатраты рабочих</v>
      </c>
      <c r="H208" t="str">
        <f>SmtRes!O407</f>
        <v>чел.-ч.</v>
      </c>
      <c r="I208">
        <f>SmtRes!Y407*Source!I344</f>
        <v>2.1724799999999997</v>
      </c>
      <c r="J208">
        <f>SmtRes!AO407</f>
        <v>1</v>
      </c>
      <c r="K208">
        <f>SmtRes!AH407</f>
        <v>0</v>
      </c>
      <c r="L208">
        <f>SmtRes!DB407</f>
        <v>0</v>
      </c>
      <c r="M208">
        <f>ROUND(ROUND(L208*Source!I344, 6)*1, 2)</f>
        <v>0</v>
      </c>
      <c r="N208">
        <f>SmtRes!AD407</f>
        <v>0</v>
      </c>
      <c r="O208">
        <f>ROUND(ROUND(L208*Source!I344, 6)*SmtRes!DA407, 2)</f>
        <v>0</v>
      </c>
      <c r="P208">
        <f>SmtRes!AG407</f>
        <v>0</v>
      </c>
      <c r="Q208">
        <f>SmtRes!DC407</f>
        <v>0</v>
      </c>
      <c r="R208">
        <f>ROUND(ROUND(Q208*Source!I344, 6)*1, 2)</f>
        <v>0</v>
      </c>
      <c r="S208">
        <f>SmtRes!AC407</f>
        <v>0</v>
      </c>
      <c r="T208">
        <f>ROUND(ROUND(Q208*Source!I344, 6)*SmtRes!AK407, 2)</f>
        <v>0</v>
      </c>
      <c r="U208">
        <v>1</v>
      </c>
      <c r="Y208">
        <f>SmtRes!X407</f>
        <v>476480486</v>
      </c>
      <c r="Z208">
        <v>1499241640</v>
      </c>
      <c r="AA208">
        <v>1499241640</v>
      </c>
    </row>
    <row r="209" spans="1:27" x14ac:dyDescent="0.2">
      <c r="A209">
        <f>Source!A346</f>
        <v>18</v>
      </c>
      <c r="B209">
        <v>346</v>
      </c>
      <c r="C209">
        <v>3</v>
      </c>
      <c r="D209">
        <f>Source!BI346</f>
        <v>1</v>
      </c>
      <c r="E209">
        <f>Source!FS346</f>
        <v>0</v>
      </c>
      <c r="F209" t="str">
        <f>Source!F346</f>
        <v>1.7-1-23</v>
      </c>
      <c r="G209" t="str">
        <f>Source!G346</f>
        <v>Трубы водосточные из оцинкованной стали с полимерно-порошковым покрытием, С=0,5 мм, Р=220 мм</v>
      </c>
      <c r="H209" t="str">
        <f>Source!H346</f>
        <v>м</v>
      </c>
      <c r="I209">
        <f>Source!I346</f>
        <v>6.2</v>
      </c>
      <c r="J209">
        <v>1</v>
      </c>
      <c r="K209">
        <f>Source!AC346</f>
        <v>137</v>
      </c>
      <c r="M209">
        <f>ROUND(K209*I209, 2)</f>
        <v>849.4</v>
      </c>
      <c r="N209">
        <f>Source!AC346*IF(Source!BC346&lt;&gt; 0, Source!BC346, 1)</f>
        <v>493.2</v>
      </c>
      <c r="O209">
        <f>ROUND(N209*I209, 2)</f>
        <v>3057.84</v>
      </c>
      <c r="P209">
        <f>Source!AE346</f>
        <v>0</v>
      </c>
      <c r="R209">
        <f>ROUND(P209*I209, 2)</f>
        <v>0</v>
      </c>
      <c r="S209">
        <f>Source!AE346*IF(Source!BS346&lt;&gt; 0, Source!BS346, 1)</f>
        <v>0</v>
      </c>
      <c r="T209">
        <f>ROUND(S209*I209, 2)</f>
        <v>0</v>
      </c>
      <c r="U209">
        <v>3</v>
      </c>
      <c r="Y209">
        <f>Source!GF346</f>
        <v>-1545163299</v>
      </c>
      <c r="Z209">
        <v>-580894063</v>
      </c>
      <c r="AA209">
        <v>-521950818</v>
      </c>
    </row>
    <row r="210" spans="1:27" x14ac:dyDescent="0.2">
      <c r="A210">
        <f>Source!A378</f>
        <v>4</v>
      </c>
      <c r="B210">
        <v>378</v>
      </c>
      <c r="G210" t="str">
        <f>Source!G378</f>
        <v>Прочие работы</v>
      </c>
    </row>
    <row r="211" spans="1:27" x14ac:dyDescent="0.2">
      <c r="A211">
        <v>20</v>
      </c>
      <c r="B211">
        <v>412</v>
      </c>
      <c r="C211">
        <v>2</v>
      </c>
      <c r="D211">
        <v>0</v>
      </c>
      <c r="E211">
        <f>SmtRes!AV412</f>
        <v>0</v>
      </c>
      <c r="F211" t="str">
        <f>SmtRes!I412</f>
        <v>9999990007</v>
      </c>
      <c r="G211" t="str">
        <f>SmtRes!K412</f>
        <v>Стоимость прочих машин (ЭСН)</v>
      </c>
      <c r="H211" t="str">
        <f>SmtRes!O412</f>
        <v>руб.</v>
      </c>
      <c r="I211">
        <f>SmtRes!Y412*Source!I383</f>
        <v>352.37549000000001</v>
      </c>
      <c r="J211">
        <f>SmtRes!AO412</f>
        <v>1</v>
      </c>
      <c r="K211">
        <f>SmtRes!AF412</f>
        <v>1</v>
      </c>
      <c r="L211">
        <f>SmtRes!DB412</f>
        <v>8.86</v>
      </c>
      <c r="M211">
        <f>ROUND(ROUND(L211*Source!I383, 6)*1, 2)</f>
        <v>352.38</v>
      </c>
      <c r="N211">
        <f>SmtRes!AB412</f>
        <v>1.05</v>
      </c>
      <c r="O211">
        <f>ROUND(ROUND(L211*Source!I383, 6)*SmtRes!DA412, 2)</f>
        <v>352.38</v>
      </c>
      <c r="P211">
        <f>SmtRes!AG412</f>
        <v>0</v>
      </c>
      <c r="Q211">
        <f>SmtRes!DC412</f>
        <v>0</v>
      </c>
      <c r="R211">
        <f>ROUND(ROUND(Q211*Source!I383, 6)*1, 2)</f>
        <v>0</v>
      </c>
      <c r="S211">
        <f>SmtRes!AC412</f>
        <v>0</v>
      </c>
      <c r="T211">
        <f>ROUND(ROUND(Q211*Source!I383, 6)*SmtRes!AK412, 2)</f>
        <v>0</v>
      </c>
      <c r="U211">
        <v>2</v>
      </c>
      <c r="Y211">
        <f>SmtRes!X412</f>
        <v>-1180195794</v>
      </c>
      <c r="Z211">
        <v>-595858232</v>
      </c>
      <c r="AA211">
        <v>-314357962</v>
      </c>
    </row>
    <row r="212" spans="1:27" x14ac:dyDescent="0.2">
      <c r="A212">
        <v>20</v>
      </c>
      <c r="B212">
        <v>414</v>
      </c>
      <c r="C212">
        <v>2</v>
      </c>
      <c r="D212">
        <v>0</v>
      </c>
      <c r="E212">
        <f>SmtRes!AV414</f>
        <v>0</v>
      </c>
      <c r="F212" t="str">
        <f>SmtRes!I414</f>
        <v>2.1-18-41</v>
      </c>
      <c r="G212" t="str">
        <f>SmtRes!K414</f>
        <v>Автомобили-самосвалы для перевозки строительного мусора, грузоподъемность до 8 т</v>
      </c>
      <c r="H212" t="str">
        <f>SmtRes!O414</f>
        <v>маш.-ч.</v>
      </c>
      <c r="I212">
        <f>SmtRes!Y414*Source!I385</f>
        <v>39.771500000000003</v>
      </c>
      <c r="J212">
        <f>SmtRes!AO414</f>
        <v>1</v>
      </c>
      <c r="K212">
        <f>SmtRes!AF414</f>
        <v>115.66</v>
      </c>
      <c r="L212">
        <f>SmtRes!DB414</f>
        <v>115.66</v>
      </c>
      <c r="M212">
        <f>ROUND(ROUND(L212*Source!I385, 6)*1, 2)</f>
        <v>4599.97</v>
      </c>
      <c r="N212">
        <f>SmtRes!AB414</f>
        <v>1279.2</v>
      </c>
      <c r="O212">
        <f>ROUND(ROUND(L212*Source!I385, 6)*SmtRes!DA414, 2)</f>
        <v>50875.69</v>
      </c>
      <c r="P212">
        <f>SmtRes!AG414</f>
        <v>14.4</v>
      </c>
      <c r="Q212">
        <f>SmtRes!DC414</f>
        <v>14.4</v>
      </c>
      <c r="R212">
        <f>ROUND(ROUND(Q212*Source!I385, 6)*1, 2)</f>
        <v>572.71</v>
      </c>
      <c r="S212">
        <f>SmtRes!AC414</f>
        <v>418.03</v>
      </c>
      <c r="T212">
        <f>ROUND(ROUND(Q212*Source!I385, 6)*SmtRes!AK414, 2)</f>
        <v>16625.759999999998</v>
      </c>
      <c r="U212">
        <v>2</v>
      </c>
      <c r="Y212">
        <f>SmtRes!X414</f>
        <v>-1132105959</v>
      </c>
      <c r="Z212">
        <v>1811076501</v>
      </c>
      <c r="AA212">
        <v>737556631</v>
      </c>
    </row>
    <row r="213" spans="1:27" x14ac:dyDescent="0.2">
      <c r="A213">
        <v>20</v>
      </c>
      <c r="B213">
        <v>416</v>
      </c>
      <c r="C213">
        <v>2</v>
      </c>
      <c r="D213">
        <v>0</v>
      </c>
      <c r="E213">
        <f>SmtRes!AV416</f>
        <v>0</v>
      </c>
      <c r="F213" t="str">
        <f>SmtRes!I416</f>
        <v>9999990007</v>
      </c>
      <c r="G213" t="str">
        <f>SmtRes!K416</f>
        <v>Стоимость прочих машин (ЭСН)</v>
      </c>
      <c r="H213" t="str">
        <f>SmtRes!O416</f>
        <v>руб.</v>
      </c>
      <c r="I213">
        <f>SmtRes!Y416*Source!I387</f>
        <v>37.411771000000002</v>
      </c>
      <c r="J213">
        <f>SmtRes!AO416</f>
        <v>1</v>
      </c>
      <c r="K213">
        <f>SmtRes!AF416</f>
        <v>1</v>
      </c>
      <c r="L213">
        <f>SmtRes!DB416</f>
        <v>31.67</v>
      </c>
      <c r="M213">
        <f>ROUND(ROUND(L213*Source!I387, 6)*1, 2)</f>
        <v>37.409999999999997</v>
      </c>
      <c r="N213">
        <f>SmtRes!AB416</f>
        <v>1</v>
      </c>
      <c r="O213">
        <f>ROUND(ROUND(L213*Source!I387, 6)*SmtRes!DA416, 2)</f>
        <v>37.409999999999997</v>
      </c>
      <c r="P213">
        <f>SmtRes!AG416</f>
        <v>0</v>
      </c>
      <c r="Q213">
        <f>SmtRes!DC416</f>
        <v>0</v>
      </c>
      <c r="R213">
        <f>ROUND(ROUND(Q213*Source!I387, 6)*1, 2)</f>
        <v>0</v>
      </c>
      <c r="S213">
        <f>SmtRes!AC416</f>
        <v>0</v>
      </c>
      <c r="T213">
        <f>ROUND(ROUND(Q213*Source!I387, 6)*SmtRes!AK416, 2)</f>
        <v>0</v>
      </c>
      <c r="U213">
        <v>2</v>
      </c>
      <c r="Y213">
        <f>SmtRes!X416</f>
        <v>-1180195794</v>
      </c>
      <c r="Z213">
        <v>-595858232</v>
      </c>
      <c r="AA213">
        <v>-595858232</v>
      </c>
    </row>
    <row r="214" spans="1:27" x14ac:dyDescent="0.2">
      <c r="A214">
        <v>20</v>
      </c>
      <c r="B214">
        <v>418</v>
      </c>
      <c r="C214">
        <v>2</v>
      </c>
      <c r="D214">
        <v>0</v>
      </c>
      <c r="E214">
        <f>SmtRes!AV418</f>
        <v>0</v>
      </c>
      <c r="F214" t="str">
        <f>SmtRes!I418</f>
        <v>9999990007</v>
      </c>
      <c r="G214" t="str">
        <f>SmtRes!K418</f>
        <v>Стоимость прочих машин (ЭСН)</v>
      </c>
      <c r="H214" t="str">
        <f>SmtRes!O418</f>
        <v>руб.</v>
      </c>
      <c r="I214">
        <f>SmtRes!Y418*Source!I389</f>
        <v>870.98081400000012</v>
      </c>
      <c r="J214">
        <f>SmtRes!AO418</f>
        <v>1</v>
      </c>
      <c r="K214">
        <f>SmtRes!AF418</f>
        <v>1</v>
      </c>
      <c r="L214">
        <f>SmtRes!DB418</f>
        <v>22.57</v>
      </c>
      <c r="M214">
        <f>ROUND(ROUND(L214*Source!I389, 6)*1, 2)</f>
        <v>870.98</v>
      </c>
      <c r="N214">
        <f>SmtRes!AB418</f>
        <v>1</v>
      </c>
      <c r="O214">
        <f>ROUND(ROUND(L214*Source!I389, 6)*SmtRes!DA418, 2)</f>
        <v>870.98</v>
      </c>
      <c r="P214">
        <f>SmtRes!AG418</f>
        <v>0</v>
      </c>
      <c r="Q214">
        <f>SmtRes!DC418</f>
        <v>0</v>
      </c>
      <c r="R214">
        <f>ROUND(ROUND(Q214*Source!I389, 6)*1, 2)</f>
        <v>0</v>
      </c>
      <c r="S214">
        <f>SmtRes!AC418</f>
        <v>0</v>
      </c>
      <c r="T214">
        <f>ROUND(ROUND(Q214*Source!I389, 6)*SmtRes!AK418, 2)</f>
        <v>0</v>
      </c>
      <c r="U214">
        <v>2</v>
      </c>
      <c r="Y214">
        <f>SmtRes!X418</f>
        <v>-1180195794</v>
      </c>
      <c r="Z214">
        <v>-595858232</v>
      </c>
      <c r="AA214">
        <v>-595858232</v>
      </c>
    </row>
    <row r="215" spans="1:27" x14ac:dyDescent="0.2">
      <c r="A215">
        <f>Source!A451</f>
        <v>3</v>
      </c>
      <c r="B215">
        <v>451</v>
      </c>
      <c r="G215" t="str">
        <f>Source!G451</f>
        <v>Конструктивные решения</v>
      </c>
    </row>
    <row r="216" spans="1:27" x14ac:dyDescent="0.2">
      <c r="A216">
        <f>Source!A455</f>
        <v>4</v>
      </c>
      <c r="B216">
        <v>455</v>
      </c>
      <c r="G216" t="str">
        <f>Source!G455</f>
        <v>Демонтажные работы</v>
      </c>
    </row>
    <row r="217" spans="1:27" x14ac:dyDescent="0.2">
      <c r="A217">
        <v>20</v>
      </c>
      <c r="B217">
        <v>427</v>
      </c>
      <c r="C217">
        <v>2</v>
      </c>
      <c r="D217">
        <v>0</v>
      </c>
      <c r="E217">
        <f>SmtRes!AV427</f>
        <v>0</v>
      </c>
      <c r="F217" t="str">
        <f>SmtRes!I427</f>
        <v>9999990007</v>
      </c>
      <c r="G217" t="str">
        <f>SmtRes!K427</f>
        <v>Стоимость прочих машин (ЭСН)</v>
      </c>
      <c r="H217" t="str">
        <f>SmtRes!O427</f>
        <v>руб.</v>
      </c>
      <c r="I217">
        <f>SmtRes!Y427*Source!I460</f>
        <v>57.142800000000001</v>
      </c>
      <c r="J217">
        <f>SmtRes!AO427</f>
        <v>1</v>
      </c>
      <c r="K217">
        <f>SmtRes!AF427</f>
        <v>1</v>
      </c>
      <c r="L217">
        <f>SmtRes!DB427</f>
        <v>162.80000000000001</v>
      </c>
      <c r="M217">
        <f>ROUND(ROUND(L217*Source!I460, 6)*1, 2)</f>
        <v>57.14</v>
      </c>
      <c r="N217">
        <f>SmtRes!AB427</f>
        <v>1.05</v>
      </c>
      <c r="O217">
        <f>ROUND(ROUND(L217*Source!I460, 6)*SmtRes!DA427, 2)</f>
        <v>57.14</v>
      </c>
      <c r="P217">
        <f>SmtRes!AG427</f>
        <v>0</v>
      </c>
      <c r="Q217">
        <f>SmtRes!DC427</f>
        <v>0</v>
      </c>
      <c r="R217">
        <f>ROUND(ROUND(Q217*Source!I460, 6)*1, 2)</f>
        <v>0</v>
      </c>
      <c r="S217">
        <f>SmtRes!AC427</f>
        <v>0</v>
      </c>
      <c r="T217">
        <f>ROUND(ROUND(Q217*Source!I460, 6)*SmtRes!AK427, 2)</f>
        <v>0</v>
      </c>
      <c r="U217">
        <v>2</v>
      </c>
      <c r="Y217">
        <f>SmtRes!X427</f>
        <v>-1180195794</v>
      </c>
      <c r="Z217">
        <v>-595858232</v>
      </c>
      <c r="AA217">
        <v>-314357962</v>
      </c>
    </row>
    <row r="218" spans="1:27" x14ac:dyDescent="0.2">
      <c r="A218">
        <v>20</v>
      </c>
      <c r="B218">
        <v>426</v>
      </c>
      <c r="C218">
        <v>2</v>
      </c>
      <c r="D218">
        <v>0</v>
      </c>
      <c r="E218">
        <f>SmtRes!AV426</f>
        <v>0</v>
      </c>
      <c r="F218" t="str">
        <f>SmtRes!I426</f>
        <v>2.1-30-54</v>
      </c>
      <c r="G218" t="str">
        <f>SmtRes!K426</f>
        <v>Молотки отбойные</v>
      </c>
      <c r="H218" t="str">
        <f>SmtRes!O426</f>
        <v>маш.-ч.</v>
      </c>
      <c r="I218">
        <f>SmtRes!Y426*Source!I460</f>
        <v>9.6524999999999999</v>
      </c>
      <c r="J218">
        <f>SmtRes!AO426</f>
        <v>1</v>
      </c>
      <c r="K218">
        <f>SmtRes!AF426</f>
        <v>3.16</v>
      </c>
      <c r="L218">
        <f>SmtRes!DB426</f>
        <v>86.9</v>
      </c>
      <c r="M218">
        <f>ROUND(ROUND(L218*Source!I460, 6)*1, 2)</f>
        <v>30.5</v>
      </c>
      <c r="N218">
        <f>SmtRes!AB426</f>
        <v>25.61</v>
      </c>
      <c r="O218">
        <f>ROUND(ROUND(L218*Source!I460, 6)*SmtRes!DA426, 2)</f>
        <v>236.08</v>
      </c>
      <c r="P218">
        <f>SmtRes!AG426</f>
        <v>0.04</v>
      </c>
      <c r="Q218">
        <f>SmtRes!DC426</f>
        <v>1.1000000000000001</v>
      </c>
      <c r="R218">
        <f>ROUND(ROUND(Q218*Source!I460, 6)*1, 2)</f>
        <v>0.39</v>
      </c>
      <c r="S218">
        <f>SmtRes!AC426</f>
        <v>1.22</v>
      </c>
      <c r="T218">
        <f>ROUND(ROUND(Q218*Source!I460, 6)*SmtRes!AK426, 2)</f>
        <v>11.21</v>
      </c>
      <c r="U218">
        <v>2</v>
      </c>
      <c r="Y218">
        <f>SmtRes!X426</f>
        <v>-48163219</v>
      </c>
      <c r="Z218">
        <v>-1787868048</v>
      </c>
      <c r="AA218">
        <v>-675024831</v>
      </c>
    </row>
    <row r="219" spans="1:27" x14ac:dyDescent="0.2">
      <c r="A219">
        <v>20</v>
      </c>
      <c r="B219">
        <v>425</v>
      </c>
      <c r="C219">
        <v>2</v>
      </c>
      <c r="D219">
        <v>0</v>
      </c>
      <c r="E219">
        <f>SmtRes!AV425</f>
        <v>0</v>
      </c>
      <c r="F219" t="str">
        <f>SmtRes!I425</f>
        <v>2.1-10-4</v>
      </c>
      <c r="G219" t="str">
        <f>SmtRes!K425</f>
        <v>Компрессоры прицепные с двигателем внутреннего сгорания, производительность до 2,5 м3/мин, мощность двигателя до 23 кВт (31,3 л.с.)</v>
      </c>
      <c r="H219" t="str">
        <f>SmtRes!O425</f>
        <v>маш.-ч.</v>
      </c>
      <c r="I219">
        <f>SmtRes!Y425*Source!I460</f>
        <v>9.6524999999999999</v>
      </c>
      <c r="J219">
        <f>SmtRes!AO425</f>
        <v>1</v>
      </c>
      <c r="K219">
        <f>SmtRes!AF425</f>
        <v>41.62</v>
      </c>
      <c r="L219">
        <f>SmtRes!DB425</f>
        <v>1144.55</v>
      </c>
      <c r="M219">
        <f>ROUND(ROUND(L219*Source!I460, 6)*1, 2)</f>
        <v>401.74</v>
      </c>
      <c r="N219">
        <f>SmtRes!AB425</f>
        <v>721.62</v>
      </c>
      <c r="O219">
        <f>ROUND(ROUND(L219*Source!I460, 6)*SmtRes!DA425, 2)</f>
        <v>6652.77</v>
      </c>
      <c r="P219">
        <f>SmtRes!AG425</f>
        <v>13.33</v>
      </c>
      <c r="Q219">
        <f>SmtRes!DC425</f>
        <v>366.58</v>
      </c>
      <c r="R219">
        <f>ROUND(ROUND(Q219*Source!I460, 6)*1, 2)</f>
        <v>128.66999999999999</v>
      </c>
      <c r="S219">
        <f>SmtRes!AC425</f>
        <v>405.16</v>
      </c>
      <c r="T219">
        <f>ROUND(ROUND(Q219*Source!I460, 6)*SmtRes!AK425, 2)</f>
        <v>3735.28</v>
      </c>
      <c r="U219">
        <v>2</v>
      </c>
      <c r="Y219">
        <f>SmtRes!X425</f>
        <v>-668768829</v>
      </c>
      <c r="Z219">
        <v>1386714899</v>
      </c>
      <c r="AA219">
        <v>-2002567974</v>
      </c>
    </row>
    <row r="220" spans="1:27" x14ac:dyDescent="0.2">
      <c r="A220">
        <v>20</v>
      </c>
      <c r="B220">
        <v>424</v>
      </c>
      <c r="C220">
        <v>1</v>
      </c>
      <c r="D220">
        <v>0</v>
      </c>
      <c r="E220">
        <f>SmtRes!AV424</f>
        <v>1</v>
      </c>
      <c r="F220" t="str">
        <f>SmtRes!I424</f>
        <v>9999990008</v>
      </c>
      <c r="G220" t="str">
        <f>SmtRes!K424</f>
        <v>Трудозатраты рабочих</v>
      </c>
      <c r="H220" t="str">
        <f>SmtRes!O424</f>
        <v>чел.-ч.</v>
      </c>
      <c r="I220">
        <f>SmtRes!Y424*Source!I460</f>
        <v>24.603450300000002</v>
      </c>
      <c r="J220">
        <f>SmtRes!AO424</f>
        <v>1</v>
      </c>
      <c r="K220">
        <f>SmtRes!AH424</f>
        <v>0</v>
      </c>
      <c r="L220">
        <f>SmtRes!DB424</f>
        <v>0</v>
      </c>
      <c r="M220">
        <f>ROUND(ROUND(L220*Source!I460, 6)*1, 2)</f>
        <v>0</v>
      </c>
      <c r="N220">
        <f>SmtRes!AD424</f>
        <v>0</v>
      </c>
      <c r="O220">
        <f>ROUND(ROUND(L220*Source!I460, 6)*SmtRes!DA424, 2)</f>
        <v>0</v>
      </c>
      <c r="P220">
        <f>SmtRes!AG424</f>
        <v>0</v>
      </c>
      <c r="Q220">
        <f>SmtRes!DC424</f>
        <v>0</v>
      </c>
      <c r="R220">
        <f>ROUND(ROUND(Q220*Source!I460, 6)*1, 2)</f>
        <v>0</v>
      </c>
      <c r="S220">
        <f>SmtRes!AC424</f>
        <v>0</v>
      </c>
      <c r="T220">
        <f>ROUND(ROUND(Q220*Source!I460, 6)*SmtRes!AK424, 2)</f>
        <v>0</v>
      </c>
      <c r="U220">
        <v>1</v>
      </c>
      <c r="Y220">
        <f>SmtRes!X424</f>
        <v>476480486</v>
      </c>
      <c r="Z220">
        <v>1499241640</v>
      </c>
      <c r="AA220">
        <v>1499241640</v>
      </c>
    </row>
    <row r="221" spans="1:27" x14ac:dyDescent="0.2">
      <c r="A221">
        <v>20</v>
      </c>
      <c r="B221">
        <v>445</v>
      </c>
      <c r="C221">
        <v>3</v>
      </c>
      <c r="D221">
        <v>0</v>
      </c>
      <c r="E221">
        <f>SmtRes!AV445</f>
        <v>0</v>
      </c>
      <c r="F221" t="str">
        <f>SmtRes!I445</f>
        <v>1.1-1-1566</v>
      </c>
      <c r="G221" t="str">
        <f>SmtRes!K445</f>
        <v>Электроды, тип Э-42, 46, 50, диаметр 4 - 6 мм</v>
      </c>
      <c r="H221" t="str">
        <f>SmtRes!O445</f>
        <v>т</v>
      </c>
      <c r="I221">
        <f>SmtRes!Y445*Source!I464</f>
        <v>1.0319999999999999E-2</v>
      </c>
      <c r="J221">
        <f>SmtRes!AO445</f>
        <v>1</v>
      </c>
      <c r="K221">
        <f>SmtRes!AE445</f>
        <v>7191.81</v>
      </c>
      <c r="L221">
        <f>SmtRes!DB445</f>
        <v>92.772000000000006</v>
      </c>
      <c r="M221">
        <f>ROUND(ROUND(L221*Source!I464, 6)*1, 2)</f>
        <v>74.22</v>
      </c>
      <c r="N221">
        <f>SmtRes!AA445</f>
        <v>145777.99</v>
      </c>
      <c r="O221">
        <f>ROUND(ROUND(L221*Source!I464, 6)*SmtRes!DA445, 2)</f>
        <v>1504.39</v>
      </c>
      <c r="P221">
        <f>SmtRes!AG445</f>
        <v>0</v>
      </c>
      <c r="Q221">
        <f>SmtRes!DC445</f>
        <v>0</v>
      </c>
      <c r="R221">
        <f>ROUND(ROUND(Q221*Source!I464, 6)*1, 2)</f>
        <v>0</v>
      </c>
      <c r="S221">
        <f>SmtRes!AC445</f>
        <v>0</v>
      </c>
      <c r="T221">
        <f>ROUND(ROUND(Q221*Source!I464, 6)*SmtRes!AK445, 2)</f>
        <v>0</v>
      </c>
      <c r="U221">
        <v>3</v>
      </c>
      <c r="Y221">
        <f>SmtRes!X445</f>
        <v>1310716689</v>
      </c>
      <c r="Z221">
        <v>1563916378</v>
      </c>
      <c r="AA221">
        <v>2138865355</v>
      </c>
    </row>
    <row r="222" spans="1:27" x14ac:dyDescent="0.2">
      <c r="A222">
        <v>20</v>
      </c>
      <c r="B222">
        <v>444</v>
      </c>
      <c r="C222">
        <v>2</v>
      </c>
      <c r="D222">
        <v>0</v>
      </c>
      <c r="E222">
        <f>SmtRes!AV444</f>
        <v>0</v>
      </c>
      <c r="F222" t="str">
        <f>SmtRes!I444</f>
        <v>9999990007</v>
      </c>
      <c r="G222" t="str">
        <f>SmtRes!K444</f>
        <v>Стоимость прочих машин (ЭСН)</v>
      </c>
      <c r="H222" t="str">
        <f>SmtRes!O444</f>
        <v>руб.</v>
      </c>
      <c r="I222">
        <f>SmtRes!Y444*Source!I464</f>
        <v>17.8704</v>
      </c>
      <c r="J222">
        <f>SmtRes!AO444</f>
        <v>1</v>
      </c>
      <c r="K222">
        <f>SmtRes!AF444</f>
        <v>1</v>
      </c>
      <c r="L222">
        <f>SmtRes!DB444</f>
        <v>22.338000000000001</v>
      </c>
      <c r="M222">
        <f>ROUND(ROUND(L222*Source!I464, 6)*1, 2)</f>
        <v>17.87</v>
      </c>
      <c r="N222">
        <f>SmtRes!AB444</f>
        <v>1.0900000000000001</v>
      </c>
      <c r="O222">
        <f>ROUND(ROUND(L222*Source!I464, 6)*SmtRes!DA444, 2)</f>
        <v>17.87</v>
      </c>
      <c r="P222">
        <f>SmtRes!AG444</f>
        <v>0</v>
      </c>
      <c r="Q222">
        <f>SmtRes!DC444</f>
        <v>0</v>
      </c>
      <c r="R222">
        <f>ROUND(ROUND(Q222*Source!I464, 6)*1, 2)</f>
        <v>0</v>
      </c>
      <c r="S222">
        <f>SmtRes!AC444</f>
        <v>0</v>
      </c>
      <c r="T222">
        <f>ROUND(ROUND(Q222*Source!I464, 6)*SmtRes!AK444, 2)</f>
        <v>0</v>
      </c>
      <c r="U222">
        <v>2</v>
      </c>
      <c r="Y222">
        <f>SmtRes!X444</f>
        <v>-1180195794</v>
      </c>
      <c r="Z222">
        <v>-595858232</v>
      </c>
      <c r="AA222">
        <v>-453702883</v>
      </c>
    </row>
    <row r="223" spans="1:27" x14ac:dyDescent="0.2">
      <c r="A223">
        <v>20</v>
      </c>
      <c r="B223">
        <v>443</v>
      </c>
      <c r="C223">
        <v>2</v>
      </c>
      <c r="D223">
        <v>0</v>
      </c>
      <c r="E223">
        <f>SmtRes!AV443</f>
        <v>0</v>
      </c>
      <c r="F223" t="str">
        <f>SmtRes!I443</f>
        <v>2.1-30-64</v>
      </c>
      <c r="G223" t="str">
        <f>SmtRes!K443</f>
        <v>Пресс-ножницы комбинированные</v>
      </c>
      <c r="H223" t="str">
        <f>SmtRes!O443</f>
        <v>маш.-ч.</v>
      </c>
      <c r="I223">
        <f>SmtRes!Y443*Source!I464</f>
        <v>0.4032</v>
      </c>
      <c r="J223">
        <f>SmtRes!AO443</f>
        <v>1</v>
      </c>
      <c r="K223">
        <f>SmtRes!AF443</f>
        <v>18.309999999999999</v>
      </c>
      <c r="L223">
        <f>SmtRes!DB443</f>
        <v>9.2279999999999998</v>
      </c>
      <c r="M223">
        <f>ROUND(ROUND(L223*Source!I464, 6)*1, 2)</f>
        <v>7.38</v>
      </c>
      <c r="N223">
        <f>SmtRes!AB443</f>
        <v>364.62</v>
      </c>
      <c r="O223">
        <f>ROUND(ROUND(L223*Source!I464, 6)*SmtRes!DA443, 2)</f>
        <v>135.25</v>
      </c>
      <c r="P223">
        <f>SmtRes!AG443</f>
        <v>13.46</v>
      </c>
      <c r="Q223">
        <f>SmtRes!DC443</f>
        <v>6.7859999999999996</v>
      </c>
      <c r="R223">
        <f>ROUND(ROUND(Q223*Source!I464, 6)*1, 2)</f>
        <v>5.43</v>
      </c>
      <c r="S223">
        <f>SmtRes!AC443</f>
        <v>424.74</v>
      </c>
      <c r="T223">
        <f>ROUND(ROUND(Q223*Source!I464, 6)*SmtRes!AK443, 2)</f>
        <v>157.6</v>
      </c>
      <c r="U223">
        <v>2</v>
      </c>
      <c r="Y223">
        <f>SmtRes!X443</f>
        <v>-1280649501</v>
      </c>
      <c r="Z223">
        <v>-738239914</v>
      </c>
      <c r="AA223">
        <v>-1486838010</v>
      </c>
    </row>
    <row r="224" spans="1:27" x14ac:dyDescent="0.2">
      <c r="A224">
        <v>20</v>
      </c>
      <c r="B224">
        <v>442</v>
      </c>
      <c r="C224">
        <v>2</v>
      </c>
      <c r="D224">
        <v>0</v>
      </c>
      <c r="E224">
        <f>SmtRes!AV442</f>
        <v>0</v>
      </c>
      <c r="F224" t="str">
        <f>SmtRes!I442</f>
        <v>2.1-30-6</v>
      </c>
      <c r="G224" t="str">
        <f>SmtRes!K442</f>
        <v>Дрели электрические</v>
      </c>
      <c r="H224" t="str">
        <f>SmtRes!O442</f>
        <v>маш.-ч.</v>
      </c>
      <c r="I224">
        <f>SmtRes!Y442*Source!I464</f>
        <v>0.14399999999999999</v>
      </c>
      <c r="J224">
        <f>SmtRes!AO442</f>
        <v>1</v>
      </c>
      <c r="K224">
        <f>SmtRes!AF442</f>
        <v>2.36</v>
      </c>
      <c r="L224">
        <f>SmtRes!DB442</f>
        <v>0.42599999999999999</v>
      </c>
      <c r="M224">
        <f>ROUND(ROUND(L224*Source!I464, 6)*1, 2)</f>
        <v>0.34</v>
      </c>
      <c r="N224">
        <f>SmtRes!AB442</f>
        <v>2.57</v>
      </c>
      <c r="O224">
        <f>ROUND(ROUND(L224*Source!I464, 6)*SmtRes!DA442, 2)</f>
        <v>0.34</v>
      </c>
      <c r="P224">
        <f>SmtRes!AG442</f>
        <v>0.1</v>
      </c>
      <c r="Q224">
        <f>SmtRes!DC442</f>
        <v>1.7999999999999999E-2</v>
      </c>
      <c r="R224">
        <f>ROUND(ROUND(Q224*Source!I464, 6)*1, 2)</f>
        <v>0.01</v>
      </c>
      <c r="S224">
        <f>SmtRes!AC442</f>
        <v>0.11</v>
      </c>
      <c r="T224">
        <f>ROUND(ROUND(Q224*Source!I464, 6)*SmtRes!AK442, 2)</f>
        <v>0.01</v>
      </c>
      <c r="U224">
        <v>2</v>
      </c>
      <c r="Y224">
        <f>SmtRes!X442</f>
        <v>950854334</v>
      </c>
      <c r="Z224">
        <v>-216995753</v>
      </c>
      <c r="AA224">
        <v>-766673081</v>
      </c>
    </row>
    <row r="225" spans="1:27" x14ac:dyDescent="0.2">
      <c r="A225">
        <v>20</v>
      </c>
      <c r="B225">
        <v>441</v>
      </c>
      <c r="C225">
        <v>2</v>
      </c>
      <c r="D225">
        <v>0</v>
      </c>
      <c r="E225">
        <f>SmtRes!AV441</f>
        <v>0</v>
      </c>
      <c r="F225" t="str">
        <f>SmtRes!I441</f>
        <v>2.1-30-19</v>
      </c>
      <c r="G225" t="str">
        <f>SmtRes!K441</f>
        <v>Машины шлифовальные электрические, мощность до 1700 Вт</v>
      </c>
      <c r="H225" t="str">
        <f>SmtRes!O441</f>
        <v>маш.-ч.</v>
      </c>
      <c r="I225">
        <f>SmtRes!Y441*Source!I464</f>
        <v>0.52800000000000002</v>
      </c>
      <c r="J225">
        <f>SmtRes!AO441</f>
        <v>1</v>
      </c>
      <c r="K225">
        <f>SmtRes!AF441</f>
        <v>0.44</v>
      </c>
      <c r="L225">
        <f>SmtRes!DB441</f>
        <v>0.28799999999999998</v>
      </c>
      <c r="M225">
        <f>ROUND(ROUND(L225*Source!I464, 6)*1, 2)</f>
        <v>0.23</v>
      </c>
      <c r="N225">
        <f>SmtRes!AB441</f>
        <v>3.86</v>
      </c>
      <c r="O225">
        <f>ROUND(ROUND(L225*Source!I464, 6)*SmtRes!DA441, 2)</f>
        <v>1.86</v>
      </c>
      <c r="P225">
        <f>SmtRes!AG441</f>
        <v>0</v>
      </c>
      <c r="Q225">
        <f>SmtRes!DC441</f>
        <v>0</v>
      </c>
      <c r="R225">
        <f>ROUND(ROUND(Q225*Source!I464, 6)*1, 2)</f>
        <v>0</v>
      </c>
      <c r="S225">
        <f>SmtRes!AC441</f>
        <v>0</v>
      </c>
      <c r="T225">
        <f>ROUND(ROUND(Q225*Source!I464, 6)*SmtRes!AK441, 2)</f>
        <v>0</v>
      </c>
      <c r="U225">
        <v>2</v>
      </c>
      <c r="Y225">
        <f>SmtRes!X441</f>
        <v>-1780114133</v>
      </c>
      <c r="Z225">
        <v>-1716961342</v>
      </c>
      <c r="AA225">
        <v>-911753716</v>
      </c>
    </row>
    <row r="226" spans="1:27" x14ac:dyDescent="0.2">
      <c r="A226">
        <v>20</v>
      </c>
      <c r="B226">
        <v>440</v>
      </c>
      <c r="C226">
        <v>2</v>
      </c>
      <c r="D226">
        <v>0</v>
      </c>
      <c r="E226">
        <f>SmtRes!AV440</f>
        <v>0</v>
      </c>
      <c r="F226" t="str">
        <f>SmtRes!I440</f>
        <v>2.1-13-16</v>
      </c>
      <c r="G226" t="str">
        <f>SmtRes!K440</f>
        <v>Аппараты для газовой сварки и резки</v>
      </c>
      <c r="H226" t="str">
        <f>SmtRes!O440</f>
        <v>маш.-ч.</v>
      </c>
      <c r="I226">
        <f>SmtRes!Y440*Source!I464</f>
        <v>0.48</v>
      </c>
      <c r="J226">
        <f>SmtRes!AO440</f>
        <v>1</v>
      </c>
      <c r="K226">
        <f>SmtRes!AF440</f>
        <v>1.0900000000000001</v>
      </c>
      <c r="L226">
        <f>SmtRes!DB440</f>
        <v>0.65400000000000003</v>
      </c>
      <c r="M226">
        <f>ROUND(ROUND(L226*Source!I464, 6)*1, 2)</f>
        <v>0.52</v>
      </c>
      <c r="N226">
        <f>SmtRes!AB440</f>
        <v>9.18</v>
      </c>
      <c r="O226">
        <f>ROUND(ROUND(L226*Source!I464, 6)*SmtRes!DA440, 2)</f>
        <v>4.05</v>
      </c>
      <c r="P226">
        <f>SmtRes!AG440</f>
        <v>0.09</v>
      </c>
      <c r="Q226">
        <f>SmtRes!DC440</f>
        <v>5.3999999999999999E-2</v>
      </c>
      <c r="R226">
        <f>ROUND(ROUND(Q226*Source!I464, 6)*1, 2)</f>
        <v>0.04</v>
      </c>
      <c r="S226">
        <f>SmtRes!AC440</f>
        <v>2.84</v>
      </c>
      <c r="T226">
        <f>ROUND(ROUND(Q226*Source!I464, 6)*SmtRes!AK440, 2)</f>
        <v>1.25</v>
      </c>
      <c r="U226">
        <v>2</v>
      </c>
      <c r="Y226">
        <f>SmtRes!X440</f>
        <v>-157737218</v>
      </c>
      <c r="Z226">
        <v>2136166883</v>
      </c>
      <c r="AA226">
        <v>-721717029</v>
      </c>
    </row>
    <row r="227" spans="1:27" x14ac:dyDescent="0.2">
      <c r="A227">
        <v>20</v>
      </c>
      <c r="B227">
        <v>439</v>
      </c>
      <c r="C227">
        <v>2</v>
      </c>
      <c r="D227">
        <v>0</v>
      </c>
      <c r="E227">
        <f>SmtRes!AV439</f>
        <v>0</v>
      </c>
      <c r="F227" t="str">
        <f>SmtRes!I439</f>
        <v>2.1-13-14</v>
      </c>
      <c r="G227" t="str">
        <f>SmtRes!K439</f>
        <v>Аппараты сварочные постоянного тока (выпрямители) для ручной дуговой сварки, сварочный ток до 500 А</v>
      </c>
      <c r="H227" t="str">
        <f>SmtRes!O439</f>
        <v>маш.-ч.</v>
      </c>
      <c r="I227">
        <f>SmtRes!Y439*Source!I464</f>
        <v>13.103999999999999</v>
      </c>
      <c r="J227">
        <f>SmtRes!AO439</f>
        <v>1</v>
      </c>
      <c r="K227">
        <f>SmtRes!AF439</f>
        <v>6.15</v>
      </c>
      <c r="L227">
        <f>SmtRes!DB439</f>
        <v>100.74</v>
      </c>
      <c r="M227">
        <f>ROUND(ROUND(L227*Source!I464, 6)*1, 2)</f>
        <v>80.59</v>
      </c>
      <c r="N227">
        <f>SmtRes!AB439</f>
        <v>68.39</v>
      </c>
      <c r="O227">
        <f>ROUND(ROUND(L227*Source!I464, 6)*SmtRes!DA439, 2)</f>
        <v>824.46</v>
      </c>
      <c r="P227">
        <f>SmtRes!AG439</f>
        <v>0.02</v>
      </c>
      <c r="Q227">
        <f>SmtRes!DC439</f>
        <v>0.33</v>
      </c>
      <c r="R227">
        <f>ROUND(ROUND(Q227*Source!I464, 6)*1, 2)</f>
        <v>0.26</v>
      </c>
      <c r="S227">
        <f>SmtRes!AC439</f>
        <v>0.63</v>
      </c>
      <c r="T227">
        <f>ROUND(ROUND(Q227*Source!I464, 6)*SmtRes!AK439, 2)</f>
        <v>7.66</v>
      </c>
      <c r="U227">
        <v>2</v>
      </c>
      <c r="Y227">
        <f>SmtRes!X439</f>
        <v>49912578</v>
      </c>
      <c r="Z227">
        <v>-1184234032</v>
      </c>
      <c r="AA227">
        <v>-1766684615</v>
      </c>
    </row>
    <row r="228" spans="1:27" x14ac:dyDescent="0.2">
      <c r="A228">
        <v>20</v>
      </c>
      <c r="B228">
        <v>438</v>
      </c>
      <c r="C228">
        <v>1</v>
      </c>
      <c r="D228">
        <v>0</v>
      </c>
      <c r="E228">
        <f>SmtRes!AV438</f>
        <v>1</v>
      </c>
      <c r="F228" t="str">
        <f>SmtRes!I438</f>
        <v>9999990008</v>
      </c>
      <c r="G228" t="str">
        <f>SmtRes!K438</f>
        <v>Трудозатраты рабочих</v>
      </c>
      <c r="H228" t="str">
        <f>SmtRes!O438</f>
        <v>чел.-ч.</v>
      </c>
      <c r="I228">
        <f>SmtRes!Y438*Source!I464</f>
        <v>43.680000000000007</v>
      </c>
      <c r="J228">
        <f>SmtRes!AO438</f>
        <v>1</v>
      </c>
      <c r="K228">
        <f>SmtRes!AH438</f>
        <v>0</v>
      </c>
      <c r="L228">
        <f>SmtRes!DB438</f>
        <v>0</v>
      </c>
      <c r="M228">
        <f>ROUND(ROUND(L228*Source!I464, 6)*1, 2)</f>
        <v>0</v>
      </c>
      <c r="N228">
        <f>SmtRes!AD438</f>
        <v>0</v>
      </c>
      <c r="O228">
        <f>ROUND(ROUND(L228*Source!I464, 6)*SmtRes!DA438, 2)</f>
        <v>0</v>
      </c>
      <c r="P228">
        <f>SmtRes!AG438</f>
        <v>0</v>
      </c>
      <c r="Q228">
        <f>SmtRes!DC438</f>
        <v>0</v>
      </c>
      <c r="R228">
        <f>ROUND(ROUND(Q228*Source!I464, 6)*1, 2)</f>
        <v>0</v>
      </c>
      <c r="S228">
        <f>SmtRes!AC438</f>
        <v>0</v>
      </c>
      <c r="T228">
        <f>ROUND(ROUND(Q228*Source!I464, 6)*SmtRes!AK438, 2)</f>
        <v>0</v>
      </c>
      <c r="U228">
        <v>1</v>
      </c>
      <c r="Y228">
        <f>SmtRes!X438</f>
        <v>476480486</v>
      </c>
      <c r="Z228">
        <v>1499241640</v>
      </c>
      <c r="AA228">
        <v>1499241640</v>
      </c>
    </row>
    <row r="229" spans="1:27" x14ac:dyDescent="0.2">
      <c r="A229">
        <f>Source!A466</f>
        <v>18</v>
      </c>
      <c r="B229">
        <v>466</v>
      </c>
      <c r="C229">
        <v>3</v>
      </c>
      <c r="D229">
        <f>Source!BI466</f>
        <v>1</v>
      </c>
      <c r="E229">
        <f>Source!FS466</f>
        <v>0</v>
      </c>
      <c r="F229" t="str">
        <f>Source!F466</f>
        <v>9999990001</v>
      </c>
      <c r="G229" t="str">
        <f>Source!G466</f>
        <v>Масса мусора</v>
      </c>
      <c r="H229" t="str">
        <f>Source!H466</f>
        <v>т</v>
      </c>
      <c r="I229">
        <f>Source!I466</f>
        <v>-0.48</v>
      </c>
      <c r="J229">
        <v>1</v>
      </c>
      <c r="K229">
        <f>Source!AC466</f>
        <v>0</v>
      </c>
      <c r="M229">
        <f>ROUND(K229*I229, 2)</f>
        <v>0</v>
      </c>
      <c r="N229">
        <f>Source!AC466*IF(Source!BC466&lt;&gt; 0, Source!BC466, 1)</f>
        <v>0</v>
      </c>
      <c r="O229">
        <f>ROUND(N229*I229, 2)</f>
        <v>0</v>
      </c>
      <c r="P229">
        <f>Source!AE466</f>
        <v>0</v>
      </c>
      <c r="R229">
        <f>ROUND(P229*I229, 2)</f>
        <v>0</v>
      </c>
      <c r="S229">
        <f>Source!AE466*IF(Source!BS466&lt;&gt; 0, Source!BS466, 1)</f>
        <v>0</v>
      </c>
      <c r="T229">
        <f>ROUND(S229*I229, 2)</f>
        <v>0</v>
      </c>
      <c r="U229">
        <v>3</v>
      </c>
      <c r="Y229">
        <f>Source!GF466</f>
        <v>1489638031</v>
      </c>
      <c r="Z229">
        <v>1745548096</v>
      </c>
      <c r="AA229">
        <v>1745548096</v>
      </c>
    </row>
    <row r="230" spans="1:27" x14ac:dyDescent="0.2">
      <c r="A230">
        <f>Source!A498</f>
        <v>4</v>
      </c>
      <c r="B230">
        <v>498</v>
      </c>
      <c r="G230" t="str">
        <f>Source!G498</f>
        <v>Монтажные работы</v>
      </c>
    </row>
    <row r="231" spans="1:27" x14ac:dyDescent="0.2">
      <c r="A231">
        <v>20</v>
      </c>
      <c r="B231">
        <v>457</v>
      </c>
      <c r="C231">
        <v>3</v>
      </c>
      <c r="D231">
        <v>0</v>
      </c>
      <c r="E231">
        <f>SmtRes!AV457</f>
        <v>0</v>
      </c>
      <c r="F231" t="str">
        <f>SmtRes!I457</f>
        <v>1.1-1-118</v>
      </c>
      <c r="G231" t="str">
        <f>SmtRes!K457</f>
        <v>Вода</v>
      </c>
      <c r="H231" t="str">
        <f>SmtRes!O457</f>
        <v>м3</v>
      </c>
      <c r="I231">
        <f>SmtRes!Y457*Source!I503</f>
        <v>0.31649999999999995</v>
      </c>
      <c r="J231">
        <f>SmtRes!AO457</f>
        <v>1</v>
      </c>
      <c r="K231">
        <f>SmtRes!AE457</f>
        <v>7.07</v>
      </c>
      <c r="L231">
        <f>SmtRes!DB457</f>
        <v>1.06</v>
      </c>
      <c r="M231">
        <f>ROUND(ROUND(L231*Source!I503, 6)*1, 2)</f>
        <v>2.2400000000000002</v>
      </c>
      <c r="N231">
        <f>SmtRes!AA457</f>
        <v>42.55</v>
      </c>
      <c r="O231">
        <f>ROUND(ROUND(L231*Source!I503, 6)*SmtRes!DA457, 2)</f>
        <v>13.42</v>
      </c>
      <c r="P231">
        <f>SmtRes!AG457</f>
        <v>0</v>
      </c>
      <c r="Q231">
        <f>SmtRes!DC457</f>
        <v>0</v>
      </c>
      <c r="R231">
        <f>ROUND(ROUND(Q231*Source!I503, 6)*1, 2)</f>
        <v>0</v>
      </c>
      <c r="S231">
        <f>SmtRes!AC457</f>
        <v>0</v>
      </c>
      <c r="T231">
        <f>ROUND(ROUND(Q231*Source!I503, 6)*SmtRes!AK457, 2)</f>
        <v>0</v>
      </c>
      <c r="U231">
        <v>3</v>
      </c>
      <c r="Y231">
        <f>SmtRes!X457</f>
        <v>-862991314</v>
      </c>
      <c r="Z231">
        <v>-1421290593</v>
      </c>
      <c r="AA231">
        <v>885428034</v>
      </c>
    </row>
    <row r="232" spans="1:27" x14ac:dyDescent="0.2">
      <c r="A232">
        <v>20</v>
      </c>
      <c r="B232">
        <v>456</v>
      </c>
      <c r="C232">
        <v>2</v>
      </c>
      <c r="D232">
        <v>0</v>
      </c>
      <c r="E232">
        <f>SmtRes!AV456</f>
        <v>0</v>
      </c>
      <c r="F232" t="str">
        <f>SmtRes!I456</f>
        <v>2.1-4-3</v>
      </c>
      <c r="G232" t="str">
        <f>SmtRes!K456</f>
        <v>Погрузчики универсальные на пневмоколесном ходу, грузоподъемность до 3 т</v>
      </c>
      <c r="H232" t="str">
        <f>SmtRes!O456</f>
        <v>маш.-ч.</v>
      </c>
      <c r="I232">
        <f>SmtRes!Y456*Source!I503</f>
        <v>0.18462500000000001</v>
      </c>
      <c r="J232">
        <f>SmtRes!AO456</f>
        <v>1</v>
      </c>
      <c r="K232">
        <f>SmtRes!AF456</f>
        <v>106.74</v>
      </c>
      <c r="L232">
        <f>SmtRes!DB456</f>
        <v>9.3375000000000004</v>
      </c>
      <c r="M232">
        <f>ROUND(ROUND(L232*Source!I503, 6)*1, 2)</f>
        <v>19.7</v>
      </c>
      <c r="N232">
        <f>SmtRes!AB456</f>
        <v>1242.74</v>
      </c>
      <c r="O232">
        <f>ROUND(ROUND(L232*Source!I503, 6)*SmtRes!DA456, 2)</f>
        <v>219.09</v>
      </c>
      <c r="P232">
        <f>SmtRes!AG456</f>
        <v>19.2</v>
      </c>
      <c r="Q232">
        <f>SmtRes!DC456</f>
        <v>1.675</v>
      </c>
      <c r="R232">
        <f>ROUND(ROUND(Q232*Source!I503, 6)*1, 2)</f>
        <v>3.53</v>
      </c>
      <c r="S232">
        <f>SmtRes!AC456</f>
        <v>583.57000000000005</v>
      </c>
      <c r="T232">
        <f>ROUND(ROUND(Q232*Source!I503, 6)*SmtRes!AK456, 2)</f>
        <v>102.6</v>
      </c>
      <c r="U232">
        <v>2</v>
      </c>
      <c r="Y232">
        <f>SmtRes!X456</f>
        <v>1022351366</v>
      </c>
      <c r="Z232">
        <v>1979644477</v>
      </c>
      <c r="AA232">
        <v>389768262</v>
      </c>
    </row>
    <row r="233" spans="1:27" x14ac:dyDescent="0.2">
      <c r="A233">
        <v>20</v>
      </c>
      <c r="B233">
        <v>455</v>
      </c>
      <c r="C233">
        <v>2</v>
      </c>
      <c r="D233">
        <v>0</v>
      </c>
      <c r="E233">
        <f>SmtRes!AV455</f>
        <v>0</v>
      </c>
      <c r="F233" t="str">
        <f>SmtRes!I455</f>
        <v>2.1-30-1</v>
      </c>
      <c r="G233" t="str">
        <f>SmtRes!K455</f>
        <v>Трамбовки пневматические</v>
      </c>
      <c r="H233" t="str">
        <f>SmtRes!O455</f>
        <v>маш.-ч.</v>
      </c>
      <c r="I233">
        <f>SmtRes!Y455*Source!I503</f>
        <v>0.9494999999999999</v>
      </c>
      <c r="J233">
        <f>SmtRes!AO455</f>
        <v>1</v>
      </c>
      <c r="K233">
        <f>SmtRes!AF455</f>
        <v>0.56000000000000005</v>
      </c>
      <c r="L233">
        <f>SmtRes!DB455</f>
        <v>0.25</v>
      </c>
      <c r="M233">
        <f>ROUND(ROUND(L233*Source!I503, 6)*1, 2)</f>
        <v>0.53</v>
      </c>
      <c r="N233">
        <f>SmtRes!AB455</f>
        <v>4.51</v>
      </c>
      <c r="O233">
        <f>ROUND(ROUND(L233*Source!I503, 6)*SmtRes!DA455, 2)</f>
        <v>4.0599999999999996</v>
      </c>
      <c r="P233">
        <f>SmtRes!AG455</f>
        <v>0.09</v>
      </c>
      <c r="Q233">
        <f>SmtRes!DC455</f>
        <v>3.7499999999999999E-2</v>
      </c>
      <c r="R233">
        <f>ROUND(ROUND(Q233*Source!I503, 6)*1, 2)</f>
        <v>0.08</v>
      </c>
      <c r="S233">
        <f>SmtRes!AC455</f>
        <v>2.74</v>
      </c>
      <c r="T233">
        <f>ROUND(ROUND(Q233*Source!I503, 6)*SmtRes!AK455, 2)</f>
        <v>2.2999999999999998</v>
      </c>
      <c r="U233">
        <v>2</v>
      </c>
      <c r="Y233">
        <f>SmtRes!X455</f>
        <v>1280158331</v>
      </c>
      <c r="Z233">
        <v>-1999577704</v>
      </c>
      <c r="AA233">
        <v>-1713971348</v>
      </c>
    </row>
    <row r="234" spans="1:27" x14ac:dyDescent="0.2">
      <c r="A234">
        <v>20</v>
      </c>
      <c r="B234">
        <v>454</v>
      </c>
      <c r="C234">
        <v>2</v>
      </c>
      <c r="D234">
        <v>0</v>
      </c>
      <c r="E234">
        <f>SmtRes!AV454</f>
        <v>0</v>
      </c>
      <c r="F234" t="str">
        <f>SmtRes!I454</f>
        <v>2.1-10-4</v>
      </c>
      <c r="G234" t="str">
        <f>SmtRes!K454</f>
        <v>Компрессоры прицепные с двигателем внутреннего сгорания, производительность до 2,5 м3/мин, мощность двигателя до 23 кВт (31,3 л.с.)</v>
      </c>
      <c r="H234" t="str">
        <f>SmtRes!O454</f>
        <v>маш.-ч.</v>
      </c>
      <c r="I234">
        <f>SmtRes!Y454*Source!I503</f>
        <v>0.47474999999999995</v>
      </c>
      <c r="J234">
        <f>SmtRes!AO454</f>
        <v>1</v>
      </c>
      <c r="K234">
        <f>SmtRes!AF454</f>
        <v>41.62</v>
      </c>
      <c r="L234">
        <f>SmtRes!DB454</f>
        <v>9.3625000000000007</v>
      </c>
      <c r="M234">
        <f>ROUND(ROUND(L234*Source!I503, 6)*1, 2)</f>
        <v>19.75</v>
      </c>
      <c r="N234">
        <f>SmtRes!AB454</f>
        <v>721.62</v>
      </c>
      <c r="O234">
        <f>ROUND(ROUND(L234*Source!I503, 6)*SmtRes!DA454, 2)</f>
        <v>327.14</v>
      </c>
      <c r="P234">
        <f>SmtRes!AG454</f>
        <v>13.33</v>
      </c>
      <c r="Q234">
        <f>SmtRes!DC454</f>
        <v>3</v>
      </c>
      <c r="R234">
        <f>ROUND(ROUND(Q234*Source!I503, 6)*1, 2)</f>
        <v>6.33</v>
      </c>
      <c r="S234">
        <f>SmtRes!AC454</f>
        <v>405.16</v>
      </c>
      <c r="T234">
        <f>ROUND(ROUND(Q234*Source!I503, 6)*SmtRes!AK454, 2)</f>
        <v>183.76</v>
      </c>
      <c r="U234">
        <v>2</v>
      </c>
      <c r="Y234">
        <f>SmtRes!X454</f>
        <v>-668768829</v>
      </c>
      <c r="Z234">
        <v>1386714899</v>
      </c>
      <c r="AA234">
        <v>-2002567974</v>
      </c>
    </row>
    <row r="235" spans="1:27" x14ac:dyDescent="0.2">
      <c r="A235">
        <v>20</v>
      </c>
      <c r="B235">
        <v>453</v>
      </c>
      <c r="C235">
        <v>1</v>
      </c>
      <c r="D235">
        <v>0</v>
      </c>
      <c r="E235">
        <f>SmtRes!AV453</f>
        <v>1</v>
      </c>
      <c r="F235" t="str">
        <f>SmtRes!I453</f>
        <v>9999990008</v>
      </c>
      <c r="G235" t="str">
        <f>SmtRes!K453</f>
        <v>Трудозатраты рабочих</v>
      </c>
      <c r="H235" t="str">
        <f>SmtRes!O453</f>
        <v>чел.-ч.</v>
      </c>
      <c r="I235">
        <f>SmtRes!Y453*Source!I503</f>
        <v>1.8926699999999996</v>
      </c>
      <c r="J235">
        <f>SmtRes!AO453</f>
        <v>1</v>
      </c>
      <c r="K235">
        <f>SmtRes!AH453</f>
        <v>0</v>
      </c>
      <c r="L235">
        <f>SmtRes!DB453</f>
        <v>0</v>
      </c>
      <c r="M235">
        <f>ROUND(ROUND(L235*Source!I503, 6)*1, 2)</f>
        <v>0</v>
      </c>
      <c r="N235">
        <f>SmtRes!AD453</f>
        <v>0</v>
      </c>
      <c r="O235">
        <f>ROUND(ROUND(L235*Source!I503, 6)*SmtRes!DA453, 2)</f>
        <v>0</v>
      </c>
      <c r="P235">
        <f>SmtRes!AG453</f>
        <v>0</v>
      </c>
      <c r="Q235">
        <f>SmtRes!DC453</f>
        <v>0</v>
      </c>
      <c r="R235">
        <f>ROUND(ROUND(Q235*Source!I503, 6)*1, 2)</f>
        <v>0</v>
      </c>
      <c r="S235">
        <f>SmtRes!AC453</f>
        <v>0</v>
      </c>
      <c r="T235">
        <f>ROUND(ROUND(Q235*Source!I503, 6)*SmtRes!AK453, 2)</f>
        <v>0</v>
      </c>
      <c r="U235">
        <v>1</v>
      </c>
      <c r="Y235">
        <f>SmtRes!X453</f>
        <v>476480486</v>
      </c>
      <c r="Z235">
        <v>1499241640</v>
      </c>
      <c r="AA235">
        <v>1499241640</v>
      </c>
    </row>
    <row r="236" spans="1:27" x14ac:dyDescent="0.2">
      <c r="A236">
        <f>Source!A505</f>
        <v>18</v>
      </c>
      <c r="B236">
        <v>505</v>
      </c>
      <c r="C236">
        <v>3</v>
      </c>
      <c r="D236">
        <f>Source!BI505</f>
        <v>1</v>
      </c>
      <c r="E236">
        <f>Source!FS505</f>
        <v>0</v>
      </c>
      <c r="F236" t="str">
        <f>Source!F505</f>
        <v>1.1-1-766</v>
      </c>
      <c r="G236" t="str">
        <f>Source!G505</f>
        <v>Песок для строительных работ, рядовой</v>
      </c>
      <c r="H236" t="str">
        <f>Source!H505</f>
        <v>м3</v>
      </c>
      <c r="I236">
        <f>Source!I505</f>
        <v>2.3210000000000002</v>
      </c>
      <c r="J236">
        <v>1</v>
      </c>
      <c r="K236">
        <f>Source!AC505</f>
        <v>104.99</v>
      </c>
      <c r="M236">
        <f>ROUND(K236*I236, 2)</f>
        <v>243.68</v>
      </c>
      <c r="N236">
        <f>Source!AC505*IF(Source!BC505&lt;&gt; 0, Source!BC505, 1)</f>
        <v>722.33119999999997</v>
      </c>
      <c r="O236">
        <f>ROUND(N236*I236, 2)</f>
        <v>1676.53</v>
      </c>
      <c r="P236">
        <f>Source!AE505</f>
        <v>0</v>
      </c>
      <c r="R236">
        <f>ROUND(P236*I236, 2)</f>
        <v>0</v>
      </c>
      <c r="S236">
        <f>Source!AE505*IF(Source!BS505&lt;&gt; 0, Source!BS505, 1)</f>
        <v>0</v>
      </c>
      <c r="T236">
        <f>ROUND(S236*I236, 2)</f>
        <v>0</v>
      </c>
      <c r="U236">
        <v>3</v>
      </c>
      <c r="Y236">
        <f>Source!GF505</f>
        <v>2069056849</v>
      </c>
      <c r="Z236">
        <v>-1085618096</v>
      </c>
      <c r="AA236">
        <v>-2049674672</v>
      </c>
    </row>
    <row r="237" spans="1:27" x14ac:dyDescent="0.2">
      <c r="A237">
        <v>20</v>
      </c>
      <c r="B237">
        <v>469</v>
      </c>
      <c r="C237">
        <v>3</v>
      </c>
      <c r="D237">
        <v>0</v>
      </c>
      <c r="E237">
        <f>SmtRes!AV469</f>
        <v>0</v>
      </c>
      <c r="F237" t="str">
        <f>SmtRes!I469</f>
        <v>1.1-1-118</v>
      </c>
      <c r="G237" t="str">
        <f>SmtRes!K469</f>
        <v>Вода</v>
      </c>
      <c r="H237" t="str">
        <f>SmtRes!O469</f>
        <v>м3</v>
      </c>
      <c r="I237">
        <f>SmtRes!Y469*Source!I507</f>
        <v>0.31649999999999995</v>
      </c>
      <c r="J237">
        <f>SmtRes!AO469</f>
        <v>1</v>
      </c>
      <c r="K237">
        <f>SmtRes!AE469</f>
        <v>7.07</v>
      </c>
      <c r="L237">
        <f>SmtRes!DB469</f>
        <v>1.06</v>
      </c>
      <c r="M237">
        <f>ROUND(ROUND(L237*Source!I507, 6)*1, 2)</f>
        <v>2.2400000000000002</v>
      </c>
      <c r="N237">
        <f>SmtRes!AA469</f>
        <v>42.55</v>
      </c>
      <c r="O237">
        <f>ROUND(ROUND(L237*Source!I507, 6)*SmtRes!DA469, 2)</f>
        <v>13.42</v>
      </c>
      <c r="P237">
        <f>SmtRes!AG469</f>
        <v>0</v>
      </c>
      <c r="Q237">
        <f>SmtRes!DC469</f>
        <v>0</v>
      </c>
      <c r="R237">
        <f>ROUND(ROUND(Q237*Source!I507, 6)*1, 2)</f>
        <v>0</v>
      </c>
      <c r="S237">
        <f>SmtRes!AC469</f>
        <v>0</v>
      </c>
      <c r="T237">
        <f>ROUND(ROUND(Q237*Source!I507, 6)*SmtRes!AK469, 2)</f>
        <v>0</v>
      </c>
      <c r="U237">
        <v>3</v>
      </c>
      <c r="Y237">
        <f>SmtRes!X469</f>
        <v>-862991314</v>
      </c>
      <c r="Z237">
        <v>-1421290593</v>
      </c>
      <c r="AA237">
        <v>885428034</v>
      </c>
    </row>
    <row r="238" spans="1:27" x14ac:dyDescent="0.2">
      <c r="A238">
        <v>20</v>
      </c>
      <c r="B238">
        <v>468</v>
      </c>
      <c r="C238">
        <v>2</v>
      </c>
      <c r="D238">
        <v>0</v>
      </c>
      <c r="E238">
        <f>SmtRes!AV468</f>
        <v>0</v>
      </c>
      <c r="F238" t="str">
        <f>SmtRes!I468</f>
        <v>2.1-4-3</v>
      </c>
      <c r="G238" t="str">
        <f>SmtRes!K468</f>
        <v>Погрузчики универсальные на пневмоколесном ходу, грузоподъемность до 3 т</v>
      </c>
      <c r="H238" t="str">
        <f>SmtRes!O468</f>
        <v>маш.-ч.</v>
      </c>
      <c r="I238">
        <f>SmtRes!Y468*Source!I507</f>
        <v>0.18462500000000001</v>
      </c>
      <c r="J238">
        <f>SmtRes!AO468</f>
        <v>1</v>
      </c>
      <c r="K238">
        <f>SmtRes!AF468</f>
        <v>106.74</v>
      </c>
      <c r="L238">
        <f>SmtRes!DB468</f>
        <v>9.3375000000000004</v>
      </c>
      <c r="M238">
        <f>ROUND(ROUND(L238*Source!I507, 6)*1, 2)</f>
        <v>19.7</v>
      </c>
      <c r="N238">
        <f>SmtRes!AB468</f>
        <v>1242.74</v>
      </c>
      <c r="O238">
        <f>ROUND(ROUND(L238*Source!I507, 6)*SmtRes!DA468, 2)</f>
        <v>219.09</v>
      </c>
      <c r="P238">
        <f>SmtRes!AG468</f>
        <v>19.2</v>
      </c>
      <c r="Q238">
        <f>SmtRes!DC468</f>
        <v>1.675</v>
      </c>
      <c r="R238">
        <f>ROUND(ROUND(Q238*Source!I507, 6)*1, 2)</f>
        <v>3.53</v>
      </c>
      <c r="S238">
        <f>SmtRes!AC468</f>
        <v>583.57000000000005</v>
      </c>
      <c r="T238">
        <f>ROUND(ROUND(Q238*Source!I507, 6)*SmtRes!AK468, 2)</f>
        <v>102.6</v>
      </c>
      <c r="U238">
        <v>2</v>
      </c>
      <c r="Y238">
        <f>SmtRes!X468</f>
        <v>1022351366</v>
      </c>
      <c r="Z238">
        <v>1979644477</v>
      </c>
      <c r="AA238">
        <v>389768262</v>
      </c>
    </row>
    <row r="239" spans="1:27" x14ac:dyDescent="0.2">
      <c r="A239">
        <v>20</v>
      </c>
      <c r="B239">
        <v>467</v>
      </c>
      <c r="C239">
        <v>2</v>
      </c>
      <c r="D239">
        <v>0</v>
      </c>
      <c r="E239">
        <f>SmtRes!AV467</f>
        <v>0</v>
      </c>
      <c r="F239" t="str">
        <f>SmtRes!I467</f>
        <v>2.1-30-1</v>
      </c>
      <c r="G239" t="str">
        <f>SmtRes!K467</f>
        <v>Трамбовки пневматические</v>
      </c>
      <c r="H239" t="str">
        <f>SmtRes!O467</f>
        <v>маш.-ч.</v>
      </c>
      <c r="I239">
        <f>SmtRes!Y467*Source!I507</f>
        <v>1.0549999999999999</v>
      </c>
      <c r="J239">
        <f>SmtRes!AO467</f>
        <v>1</v>
      </c>
      <c r="K239">
        <f>SmtRes!AF467</f>
        <v>0.56000000000000005</v>
      </c>
      <c r="L239">
        <f>SmtRes!DB467</f>
        <v>0.27500000000000002</v>
      </c>
      <c r="M239">
        <f>ROUND(ROUND(L239*Source!I507, 6)*1, 2)</f>
        <v>0.57999999999999996</v>
      </c>
      <c r="N239">
        <f>SmtRes!AB467</f>
        <v>4.51</v>
      </c>
      <c r="O239">
        <f>ROUND(ROUND(L239*Source!I507, 6)*SmtRes!DA467, 2)</f>
        <v>4.47</v>
      </c>
      <c r="P239">
        <f>SmtRes!AG467</f>
        <v>0.09</v>
      </c>
      <c r="Q239">
        <f>SmtRes!DC467</f>
        <v>0.05</v>
      </c>
      <c r="R239">
        <f>ROUND(ROUND(Q239*Source!I507, 6)*1, 2)</f>
        <v>0.11</v>
      </c>
      <c r="S239">
        <f>SmtRes!AC467</f>
        <v>2.74</v>
      </c>
      <c r="T239">
        <f>ROUND(ROUND(Q239*Source!I507, 6)*SmtRes!AK467, 2)</f>
        <v>3.06</v>
      </c>
      <c r="U239">
        <v>2</v>
      </c>
      <c r="Y239">
        <f>SmtRes!X467</f>
        <v>1280158331</v>
      </c>
      <c r="Z239">
        <v>-1999577704</v>
      </c>
      <c r="AA239">
        <v>-1713971348</v>
      </c>
    </row>
    <row r="240" spans="1:27" x14ac:dyDescent="0.2">
      <c r="A240">
        <v>20</v>
      </c>
      <c r="B240">
        <v>466</v>
      </c>
      <c r="C240">
        <v>2</v>
      </c>
      <c r="D240">
        <v>0</v>
      </c>
      <c r="E240">
        <f>SmtRes!AV466</f>
        <v>0</v>
      </c>
      <c r="F240" t="str">
        <f>SmtRes!I466</f>
        <v>2.1-10-4</v>
      </c>
      <c r="G240" t="str">
        <f>SmtRes!K466</f>
        <v>Компрессоры прицепные с двигателем внутреннего сгорания, производительность до 2,5 м3/мин, мощность двигателя до 23 кВт (31,3 л.с.)</v>
      </c>
      <c r="H240" t="str">
        <f>SmtRes!O466</f>
        <v>маш.-ч.</v>
      </c>
      <c r="I240">
        <f>SmtRes!Y466*Source!I507</f>
        <v>0.52749999999999997</v>
      </c>
      <c r="J240">
        <f>SmtRes!AO466</f>
        <v>1</v>
      </c>
      <c r="K240">
        <f>SmtRes!AF466</f>
        <v>41.62</v>
      </c>
      <c r="L240">
        <f>SmtRes!DB466</f>
        <v>10.4</v>
      </c>
      <c r="M240">
        <f>ROUND(ROUND(L240*Source!I507, 6)*1, 2)</f>
        <v>21.94</v>
      </c>
      <c r="N240">
        <f>SmtRes!AB466</f>
        <v>721.62</v>
      </c>
      <c r="O240">
        <f>ROUND(ROUND(L240*Source!I507, 6)*SmtRes!DA466, 2)</f>
        <v>363.39</v>
      </c>
      <c r="P240">
        <f>SmtRes!AG466</f>
        <v>13.33</v>
      </c>
      <c r="Q240">
        <f>SmtRes!DC466</f>
        <v>3.3374999999999999</v>
      </c>
      <c r="R240">
        <f>ROUND(ROUND(Q240*Source!I507, 6)*1, 2)</f>
        <v>7.04</v>
      </c>
      <c r="S240">
        <f>SmtRes!AC466</f>
        <v>405.16</v>
      </c>
      <c r="T240">
        <f>ROUND(ROUND(Q240*Source!I507, 6)*SmtRes!AK466, 2)</f>
        <v>204.43</v>
      </c>
      <c r="U240">
        <v>2</v>
      </c>
      <c r="Y240">
        <f>SmtRes!X466</f>
        <v>-668768829</v>
      </c>
      <c r="Z240">
        <v>1386714899</v>
      </c>
      <c r="AA240">
        <v>-2002567974</v>
      </c>
    </row>
    <row r="241" spans="1:27" x14ac:dyDescent="0.2">
      <c r="A241">
        <v>20</v>
      </c>
      <c r="B241">
        <v>465</v>
      </c>
      <c r="C241">
        <v>1</v>
      </c>
      <c r="D241">
        <v>0</v>
      </c>
      <c r="E241">
        <f>SmtRes!AV465</f>
        <v>1</v>
      </c>
      <c r="F241" t="str">
        <f>SmtRes!I465</f>
        <v>9999990008</v>
      </c>
      <c r="G241" t="str">
        <f>SmtRes!K465</f>
        <v>Трудозатраты рабочих</v>
      </c>
      <c r="H241" t="str">
        <f>SmtRes!O465</f>
        <v>чел.-ч.</v>
      </c>
      <c r="I241">
        <f>SmtRes!Y465*Source!I507</f>
        <v>2.0625249999999995</v>
      </c>
      <c r="J241">
        <f>SmtRes!AO465</f>
        <v>1</v>
      </c>
      <c r="K241">
        <f>SmtRes!AH465</f>
        <v>0</v>
      </c>
      <c r="L241">
        <f>SmtRes!DB465</f>
        <v>0</v>
      </c>
      <c r="M241">
        <f>ROUND(ROUND(L241*Source!I507, 6)*1, 2)</f>
        <v>0</v>
      </c>
      <c r="N241">
        <f>SmtRes!AD465</f>
        <v>0</v>
      </c>
      <c r="O241">
        <f>ROUND(ROUND(L241*Source!I507, 6)*SmtRes!DA465, 2)</f>
        <v>0</v>
      </c>
      <c r="P241">
        <f>SmtRes!AG465</f>
        <v>0</v>
      </c>
      <c r="Q241">
        <f>SmtRes!DC465</f>
        <v>0</v>
      </c>
      <c r="R241">
        <f>ROUND(ROUND(Q241*Source!I507, 6)*1, 2)</f>
        <v>0</v>
      </c>
      <c r="S241">
        <f>SmtRes!AC465</f>
        <v>0</v>
      </c>
      <c r="T241">
        <f>ROUND(ROUND(Q241*Source!I507, 6)*SmtRes!AK465, 2)</f>
        <v>0</v>
      </c>
      <c r="U241">
        <v>1</v>
      </c>
      <c r="Y241">
        <f>SmtRes!X465</f>
        <v>476480486</v>
      </c>
      <c r="Z241">
        <v>1499241640</v>
      </c>
      <c r="AA241">
        <v>1499241640</v>
      </c>
    </row>
    <row r="242" spans="1:27" x14ac:dyDescent="0.2">
      <c r="A242">
        <f>Source!A509</f>
        <v>18</v>
      </c>
      <c r="B242">
        <v>509</v>
      </c>
      <c r="C242">
        <v>3</v>
      </c>
      <c r="D242">
        <f>Source!BI509</f>
        <v>1</v>
      </c>
      <c r="E242">
        <f>Source!FS509</f>
        <v>0</v>
      </c>
      <c r="F242" t="str">
        <f>Source!F509</f>
        <v>1.1-1-1518</v>
      </c>
      <c r="G242" t="str">
        <f>Source!G509</f>
        <v>Щебень из естественного камня для строительных работ, марка 300-200, фракция 5-10 мм</v>
      </c>
      <c r="H242" t="str">
        <f>Source!H509</f>
        <v>м3</v>
      </c>
      <c r="I242">
        <f>Source!I509</f>
        <v>2.4264999999999999</v>
      </c>
      <c r="J242">
        <v>1</v>
      </c>
      <c r="K242">
        <f>Source!AC509</f>
        <v>197.51</v>
      </c>
      <c r="M242">
        <f>ROUND(K242*I242, 2)</f>
        <v>479.26</v>
      </c>
      <c r="N242">
        <f>Source!AC509*IF(Source!BC509&lt;&gt; 0, Source!BC509, 1)</f>
        <v>2099.5313000000001</v>
      </c>
      <c r="O242">
        <f>ROUND(N242*I242, 2)</f>
        <v>5094.51</v>
      </c>
      <c r="P242">
        <f>Source!AE509</f>
        <v>0</v>
      </c>
      <c r="R242">
        <f>ROUND(P242*I242, 2)</f>
        <v>0</v>
      </c>
      <c r="S242">
        <f>Source!AE509*IF(Source!BS509&lt;&gt; 0, Source!BS509, 1)</f>
        <v>0</v>
      </c>
      <c r="T242">
        <f>ROUND(S242*I242, 2)</f>
        <v>0</v>
      </c>
      <c r="U242">
        <v>3</v>
      </c>
      <c r="Y242">
        <f>Source!GF509</f>
        <v>-1946291914</v>
      </c>
      <c r="Z242">
        <v>-1301094522</v>
      </c>
      <c r="AA242">
        <v>981919488</v>
      </c>
    </row>
    <row r="243" spans="1:27" x14ac:dyDescent="0.2">
      <c r="A243">
        <v>20</v>
      </c>
      <c r="B243">
        <v>504</v>
      </c>
      <c r="C243">
        <v>3</v>
      </c>
      <c r="D243">
        <v>0</v>
      </c>
      <c r="E243">
        <f>SmtRes!AV504</f>
        <v>0</v>
      </c>
      <c r="F243" t="str">
        <f>SmtRes!I504</f>
        <v>1.9-11-4</v>
      </c>
      <c r="G243" t="str">
        <f>SmtRes!K504</f>
        <v>Щиты деревянные для фундаментов, колонн, балок, перекрытий, стен, перегородок и других конструкций из досок, толщина 40 мм</v>
      </c>
      <c r="H243" t="str">
        <f>SmtRes!O504</f>
        <v>м2</v>
      </c>
      <c r="I243">
        <f>SmtRes!Y504*Source!I511</f>
        <v>0.16703999999999999</v>
      </c>
      <c r="J243">
        <f>SmtRes!AO504</f>
        <v>1</v>
      </c>
      <c r="K243">
        <f>SmtRes!AE504</f>
        <v>90.15</v>
      </c>
      <c r="L243">
        <f>SmtRes!DB504</f>
        <v>324.54000000000002</v>
      </c>
      <c r="M243">
        <f>ROUND(ROUND(L243*Source!I511, 6)*1, 2)</f>
        <v>15.06</v>
      </c>
      <c r="N243">
        <f>SmtRes!AA504</f>
        <v>323.39</v>
      </c>
      <c r="O243">
        <f>ROUND(ROUND(L243*Source!I511, 6)*SmtRes!DA504, 2)</f>
        <v>52.86</v>
      </c>
      <c r="P243">
        <f>SmtRes!AG504</f>
        <v>0</v>
      </c>
      <c r="Q243">
        <f>SmtRes!DC504</f>
        <v>0</v>
      </c>
      <c r="R243">
        <f>ROUND(ROUND(Q243*Source!I511, 6)*1, 2)</f>
        <v>0</v>
      </c>
      <c r="S243">
        <f>SmtRes!AC504</f>
        <v>0</v>
      </c>
      <c r="T243">
        <f>ROUND(ROUND(Q243*Source!I511, 6)*SmtRes!AK504, 2)</f>
        <v>0</v>
      </c>
      <c r="U243">
        <v>3</v>
      </c>
      <c r="Y243">
        <f>SmtRes!X504</f>
        <v>-153668504</v>
      </c>
      <c r="Z243">
        <v>-1265784304</v>
      </c>
      <c r="AA243">
        <v>25254433</v>
      </c>
    </row>
    <row r="244" spans="1:27" x14ac:dyDescent="0.2">
      <c r="A244">
        <v>20</v>
      </c>
      <c r="B244">
        <v>500</v>
      </c>
      <c r="C244">
        <v>3</v>
      </c>
      <c r="D244">
        <v>0</v>
      </c>
      <c r="E244">
        <f>SmtRes!AV500</f>
        <v>0</v>
      </c>
      <c r="F244" t="str">
        <f>SmtRes!I500</f>
        <v>1.1-1-655</v>
      </c>
      <c r="G244" t="str">
        <f>SmtRes!K500</f>
        <v>Мешковина</v>
      </c>
      <c r="H244" t="str">
        <f>SmtRes!O500</f>
        <v>м2</v>
      </c>
      <c r="I244">
        <f>SmtRes!Y500*Source!I511</f>
        <v>1.3919999999999999</v>
      </c>
      <c r="J244">
        <f>SmtRes!AO500</f>
        <v>1</v>
      </c>
      <c r="K244">
        <f>SmtRes!AE500</f>
        <v>7.39</v>
      </c>
      <c r="L244">
        <f>SmtRes!DB500</f>
        <v>221.7</v>
      </c>
      <c r="M244">
        <f>ROUND(ROUND(L244*Source!I511, 6)*1, 2)</f>
        <v>10.29</v>
      </c>
      <c r="N244">
        <f>SmtRes!AA500</f>
        <v>49.17</v>
      </c>
      <c r="O244">
        <f>ROUND(ROUND(L244*Source!I511, 6)*SmtRes!DA500, 2)</f>
        <v>66.97</v>
      </c>
      <c r="P244">
        <f>SmtRes!AG500</f>
        <v>0</v>
      </c>
      <c r="Q244">
        <f>SmtRes!DC500</f>
        <v>0</v>
      </c>
      <c r="R244">
        <f>ROUND(ROUND(Q244*Source!I511, 6)*1, 2)</f>
        <v>0</v>
      </c>
      <c r="S244">
        <f>SmtRes!AC500</f>
        <v>0</v>
      </c>
      <c r="T244">
        <f>ROUND(ROUND(Q244*Source!I511, 6)*SmtRes!AK500, 2)</f>
        <v>0</v>
      </c>
      <c r="U244">
        <v>3</v>
      </c>
      <c r="Y244">
        <f>SmtRes!X500</f>
        <v>-1476054991</v>
      </c>
      <c r="Z244">
        <v>1703538717</v>
      </c>
      <c r="AA244">
        <v>-166191981</v>
      </c>
    </row>
    <row r="245" spans="1:27" x14ac:dyDescent="0.2">
      <c r="A245">
        <v>20</v>
      </c>
      <c r="B245">
        <v>499</v>
      </c>
      <c r="C245">
        <v>3</v>
      </c>
      <c r="D245">
        <v>0</v>
      </c>
      <c r="E245">
        <f>SmtRes!AV499</f>
        <v>0</v>
      </c>
      <c r="F245" t="str">
        <f>SmtRes!I499</f>
        <v>1.1-1-256</v>
      </c>
      <c r="G245" t="str">
        <f>SmtRes!K499</f>
        <v>Известь негашеная комовая</v>
      </c>
      <c r="H245" t="str">
        <f>SmtRes!O499</f>
        <v>т</v>
      </c>
      <c r="I245">
        <f>SmtRes!Y499*Source!I511</f>
        <v>4.64E-4</v>
      </c>
      <c r="J245">
        <f>SmtRes!AO499</f>
        <v>1</v>
      </c>
      <c r="K245">
        <f>SmtRes!AE499</f>
        <v>1260.72</v>
      </c>
      <c r="L245">
        <f>SmtRes!DB499</f>
        <v>12.61</v>
      </c>
      <c r="M245">
        <f>ROUND(ROUND(L245*Source!I511, 6)*1, 2)</f>
        <v>0.59</v>
      </c>
      <c r="N245">
        <f>SmtRes!AA499</f>
        <v>5965.55</v>
      </c>
      <c r="O245">
        <f>ROUND(ROUND(L245*Source!I511, 6)*SmtRes!DA499, 2)</f>
        <v>2.71</v>
      </c>
      <c r="P245">
        <f>SmtRes!AG499</f>
        <v>0</v>
      </c>
      <c r="Q245">
        <f>SmtRes!DC499</f>
        <v>0</v>
      </c>
      <c r="R245">
        <f>ROUND(ROUND(Q245*Source!I511, 6)*1, 2)</f>
        <v>0</v>
      </c>
      <c r="S245">
        <f>SmtRes!AC499</f>
        <v>0</v>
      </c>
      <c r="T245">
        <f>ROUND(ROUND(Q245*Source!I511, 6)*SmtRes!AK499, 2)</f>
        <v>0</v>
      </c>
      <c r="U245">
        <v>3</v>
      </c>
      <c r="Y245">
        <f>SmtRes!X499</f>
        <v>-1753839253</v>
      </c>
      <c r="Z245">
        <v>1757931321</v>
      </c>
      <c r="AA245">
        <v>1841509626</v>
      </c>
    </row>
    <row r="246" spans="1:27" x14ac:dyDescent="0.2">
      <c r="A246">
        <v>20</v>
      </c>
      <c r="B246">
        <v>498</v>
      </c>
      <c r="C246">
        <v>3</v>
      </c>
      <c r="D246">
        <v>0</v>
      </c>
      <c r="E246">
        <f>SmtRes!AV498</f>
        <v>0</v>
      </c>
      <c r="F246" t="str">
        <f>SmtRes!I498</f>
        <v>1.1-1-227</v>
      </c>
      <c r="G246" t="str">
        <f>SmtRes!K498</f>
        <v>Доски хвойных пород, обрезные, длина 2-6,5 м, сорт III, толщина 40-60 мм</v>
      </c>
      <c r="H246" t="str">
        <f>SmtRes!O498</f>
        <v>м3</v>
      </c>
      <c r="I246">
        <f>SmtRes!Y498*Source!I511</f>
        <v>1.856E-3</v>
      </c>
      <c r="J246">
        <f>SmtRes!AO498</f>
        <v>1</v>
      </c>
      <c r="K246">
        <f>SmtRes!AE498</f>
        <v>1828.56</v>
      </c>
      <c r="L246">
        <f>SmtRes!DB498</f>
        <v>73.14</v>
      </c>
      <c r="M246">
        <f>ROUND(ROUND(L246*Source!I511, 6)*1, 2)</f>
        <v>3.39</v>
      </c>
      <c r="N246">
        <f>SmtRes!AA498</f>
        <v>7923.66</v>
      </c>
      <c r="O246">
        <f>ROUND(ROUND(L246*Source!I511, 6)*SmtRes!DA498, 2)</f>
        <v>14.39</v>
      </c>
      <c r="P246">
        <f>SmtRes!AG498</f>
        <v>0</v>
      </c>
      <c r="Q246">
        <f>SmtRes!DC498</f>
        <v>0</v>
      </c>
      <c r="R246">
        <f>ROUND(ROUND(Q246*Source!I511, 6)*1, 2)</f>
        <v>0</v>
      </c>
      <c r="S246">
        <f>SmtRes!AC498</f>
        <v>0</v>
      </c>
      <c r="T246">
        <f>ROUND(ROUND(Q246*Source!I511, 6)*SmtRes!AK498, 2)</f>
        <v>0</v>
      </c>
      <c r="U246">
        <v>3</v>
      </c>
      <c r="Y246">
        <f>SmtRes!X498</f>
        <v>-1939393675</v>
      </c>
      <c r="Z246">
        <v>1416892721</v>
      </c>
      <c r="AA246">
        <v>13902700</v>
      </c>
    </row>
    <row r="247" spans="1:27" x14ac:dyDescent="0.2">
      <c r="A247">
        <v>20</v>
      </c>
      <c r="B247">
        <v>497</v>
      </c>
      <c r="C247">
        <v>3</v>
      </c>
      <c r="D247">
        <v>0</v>
      </c>
      <c r="E247">
        <f>SmtRes!AV497</f>
        <v>0</v>
      </c>
      <c r="F247" t="str">
        <f>SmtRes!I497</f>
        <v>1.1-1-1566</v>
      </c>
      <c r="G247" t="str">
        <f>SmtRes!K497</f>
        <v>Электроды, тип Э-42, 46, 50, диаметр 4 - 6 мм</v>
      </c>
      <c r="H247" t="str">
        <f>SmtRes!O497</f>
        <v>т</v>
      </c>
      <c r="I247">
        <f>SmtRes!Y497*Source!I511</f>
        <v>7.424E-3</v>
      </c>
      <c r="J247">
        <f>SmtRes!AO497</f>
        <v>1</v>
      </c>
      <c r="K247">
        <f>SmtRes!AE497</f>
        <v>7191.81</v>
      </c>
      <c r="L247">
        <f>SmtRes!DB497</f>
        <v>1150.69</v>
      </c>
      <c r="M247">
        <f>ROUND(ROUND(L247*Source!I511, 6)*1, 2)</f>
        <v>53.39</v>
      </c>
      <c r="N247">
        <f>SmtRes!AA497</f>
        <v>148985.1</v>
      </c>
      <c r="O247">
        <f>ROUND(ROUND(L247*Source!I511, 6)*SmtRes!DA497, 2)</f>
        <v>1082.26</v>
      </c>
      <c r="P247">
        <f>SmtRes!AG497</f>
        <v>0</v>
      </c>
      <c r="Q247">
        <f>SmtRes!DC497</f>
        <v>0</v>
      </c>
      <c r="R247">
        <f>ROUND(ROUND(Q247*Source!I511, 6)*1, 2)</f>
        <v>0</v>
      </c>
      <c r="S247">
        <f>SmtRes!AC497</f>
        <v>0</v>
      </c>
      <c r="T247">
        <f>ROUND(ROUND(Q247*Source!I511, 6)*SmtRes!AK497, 2)</f>
        <v>0</v>
      </c>
      <c r="U247">
        <v>3</v>
      </c>
      <c r="Y247">
        <f>SmtRes!X497</f>
        <v>1310716689</v>
      </c>
      <c r="Z247">
        <v>1563916378</v>
      </c>
      <c r="AA247">
        <v>1334567398</v>
      </c>
    </row>
    <row r="248" spans="1:27" x14ac:dyDescent="0.2">
      <c r="A248">
        <v>20</v>
      </c>
      <c r="B248">
        <v>496</v>
      </c>
      <c r="C248">
        <v>3</v>
      </c>
      <c r="D248">
        <v>0</v>
      </c>
      <c r="E248">
        <f>SmtRes!AV496</f>
        <v>0</v>
      </c>
      <c r="F248" t="str">
        <f>SmtRes!I496</f>
        <v>1.1-1-132</v>
      </c>
      <c r="G248" t="str">
        <f>SmtRes!K496</f>
        <v>Гвозди строительные</v>
      </c>
      <c r="H248" t="str">
        <f>SmtRes!O496</f>
        <v>т</v>
      </c>
      <c r="I248">
        <f>SmtRes!Y496*Source!I511</f>
        <v>9.2799999999999992E-5</v>
      </c>
      <c r="J248">
        <f>SmtRes!AO496</f>
        <v>1</v>
      </c>
      <c r="K248">
        <f>SmtRes!AE496</f>
        <v>6521.42</v>
      </c>
      <c r="L248">
        <f>SmtRes!DB496</f>
        <v>13.04</v>
      </c>
      <c r="M248">
        <f>ROUND(ROUND(L248*Source!I511, 6)*1, 2)</f>
        <v>0.61</v>
      </c>
      <c r="N248">
        <f>SmtRes!AA496</f>
        <v>64516.15</v>
      </c>
      <c r="O248">
        <f>ROUND(ROUND(L248*Source!I511, 6)*SmtRes!DA496, 2)</f>
        <v>5.86</v>
      </c>
      <c r="P248">
        <f>SmtRes!AG496</f>
        <v>0</v>
      </c>
      <c r="Q248">
        <f>SmtRes!DC496</f>
        <v>0</v>
      </c>
      <c r="R248">
        <f>ROUND(ROUND(Q248*Source!I511, 6)*1, 2)</f>
        <v>0</v>
      </c>
      <c r="S248">
        <f>SmtRes!AC496</f>
        <v>0</v>
      </c>
      <c r="T248">
        <f>ROUND(ROUND(Q248*Source!I511, 6)*SmtRes!AK496, 2)</f>
        <v>0</v>
      </c>
      <c r="U248">
        <v>3</v>
      </c>
      <c r="Y248">
        <f>SmtRes!X496</f>
        <v>563176784</v>
      </c>
      <c r="Z248">
        <v>1885883156</v>
      </c>
      <c r="AA248">
        <v>601209444</v>
      </c>
    </row>
    <row r="249" spans="1:27" x14ac:dyDescent="0.2">
      <c r="A249">
        <v>20</v>
      </c>
      <c r="B249">
        <v>495</v>
      </c>
      <c r="C249">
        <v>3</v>
      </c>
      <c r="D249">
        <v>0</v>
      </c>
      <c r="E249">
        <f>SmtRes!AV495</f>
        <v>0</v>
      </c>
      <c r="F249" t="str">
        <f>SmtRes!I495</f>
        <v>1.1-1-118</v>
      </c>
      <c r="G249" t="str">
        <f>SmtRes!K495</f>
        <v>Вода</v>
      </c>
      <c r="H249" t="str">
        <f>SmtRes!O495</f>
        <v>м3</v>
      </c>
      <c r="I249">
        <f>SmtRes!Y495*Source!I511</f>
        <v>3.3871999999999999E-2</v>
      </c>
      <c r="J249">
        <f>SmtRes!AO495</f>
        <v>1</v>
      </c>
      <c r="K249">
        <f>SmtRes!AE495</f>
        <v>7.07</v>
      </c>
      <c r="L249">
        <f>SmtRes!DB495</f>
        <v>5.16</v>
      </c>
      <c r="M249">
        <f>ROUND(ROUND(L249*Source!I511, 6)*1, 2)</f>
        <v>0.24</v>
      </c>
      <c r="N249">
        <f>SmtRes!AA495</f>
        <v>43.35</v>
      </c>
      <c r="O249">
        <f>ROUND(ROUND(L249*Source!I511, 6)*SmtRes!DA495, 2)</f>
        <v>1.44</v>
      </c>
      <c r="P249">
        <f>SmtRes!AG495</f>
        <v>0</v>
      </c>
      <c r="Q249">
        <f>SmtRes!DC495</f>
        <v>0</v>
      </c>
      <c r="R249">
        <f>ROUND(ROUND(Q249*Source!I511, 6)*1, 2)</f>
        <v>0</v>
      </c>
      <c r="S249">
        <f>SmtRes!AC495</f>
        <v>0</v>
      </c>
      <c r="T249">
        <f>ROUND(ROUND(Q249*Source!I511, 6)*SmtRes!AK495, 2)</f>
        <v>0</v>
      </c>
      <c r="U249">
        <v>3</v>
      </c>
      <c r="Y249">
        <f>SmtRes!X495</f>
        <v>-862991314</v>
      </c>
      <c r="Z249">
        <v>-1421290593</v>
      </c>
      <c r="AA249">
        <v>-635416671</v>
      </c>
    </row>
    <row r="250" spans="1:27" x14ac:dyDescent="0.2">
      <c r="A250">
        <v>20</v>
      </c>
      <c r="B250">
        <v>494</v>
      </c>
      <c r="C250">
        <v>2</v>
      </c>
      <c r="D250">
        <v>0</v>
      </c>
      <c r="E250">
        <f>SmtRes!AV494</f>
        <v>0</v>
      </c>
      <c r="F250" t="str">
        <f>SmtRes!I494</f>
        <v>2.1-6-52</v>
      </c>
      <c r="G250" t="str">
        <f>SmtRes!K494</f>
        <v>Вибраторы глубинные</v>
      </c>
      <c r="H250" t="str">
        <f>SmtRes!O494</f>
        <v>маш.-ч.</v>
      </c>
      <c r="I250">
        <f>SmtRes!Y494*Source!I511</f>
        <v>0.52200000000000002</v>
      </c>
      <c r="J250">
        <f>SmtRes!AO494</f>
        <v>1</v>
      </c>
      <c r="K250">
        <f>SmtRes!AF494</f>
        <v>2.06</v>
      </c>
      <c r="L250">
        <f>SmtRes!DB494</f>
        <v>23.175000000000001</v>
      </c>
      <c r="M250">
        <f>ROUND(ROUND(L250*Source!I511, 6)*1, 2)</f>
        <v>1.08</v>
      </c>
      <c r="N250">
        <f>SmtRes!AB494</f>
        <v>19.78</v>
      </c>
      <c r="O250">
        <f>ROUND(ROUND(L250*Source!I511, 6)*SmtRes!DA494, 2)</f>
        <v>9.86</v>
      </c>
      <c r="P250">
        <f>SmtRes!AG494</f>
        <v>0.09</v>
      </c>
      <c r="Q250">
        <f>SmtRes!DC494</f>
        <v>1.0125</v>
      </c>
      <c r="R250">
        <f>ROUND(ROUND(Q250*Source!I511, 6)*1, 2)</f>
        <v>0.05</v>
      </c>
      <c r="S250">
        <f>SmtRes!AC494</f>
        <v>2.74</v>
      </c>
      <c r="T250">
        <f>ROUND(ROUND(Q250*Source!I511, 6)*SmtRes!AK494, 2)</f>
        <v>1.36</v>
      </c>
      <c r="U250">
        <v>2</v>
      </c>
      <c r="Y250">
        <f>SmtRes!X494</f>
        <v>1059521099</v>
      </c>
      <c r="Z250">
        <v>662287361</v>
      </c>
      <c r="AA250">
        <v>-1587501031</v>
      </c>
    </row>
    <row r="251" spans="1:27" x14ac:dyDescent="0.2">
      <c r="A251">
        <v>20</v>
      </c>
      <c r="B251">
        <v>493</v>
      </c>
      <c r="C251">
        <v>2</v>
      </c>
      <c r="D251">
        <v>0</v>
      </c>
      <c r="E251">
        <f>SmtRes!AV493</f>
        <v>0</v>
      </c>
      <c r="F251" t="str">
        <f>SmtRes!I493</f>
        <v>2.1-4-12</v>
      </c>
      <c r="G251" t="str">
        <f>SmtRes!K493</f>
        <v>Погрузчики на автомобильном ходу, грузоподъемность до 5 т</v>
      </c>
      <c r="H251" t="str">
        <f>SmtRes!O493</f>
        <v>маш.-ч.</v>
      </c>
      <c r="I251">
        <f>SmtRes!Y493*Source!I511</f>
        <v>1.4499999999999999E-2</v>
      </c>
      <c r="J251">
        <f>SmtRes!AO493</f>
        <v>1</v>
      </c>
      <c r="K251">
        <f>SmtRes!AF493</f>
        <v>73</v>
      </c>
      <c r="L251">
        <f>SmtRes!DB493</f>
        <v>22.8125</v>
      </c>
      <c r="M251">
        <f>ROUND(ROUND(L251*Source!I511, 6)*1, 2)</f>
        <v>1.06</v>
      </c>
      <c r="N251">
        <f>SmtRes!AB493</f>
        <v>865.2</v>
      </c>
      <c r="O251">
        <f>ROUND(ROUND(L251*Source!I511, 6)*SmtRes!DA493, 2)</f>
        <v>11.98</v>
      </c>
      <c r="P251">
        <f>SmtRes!AG493</f>
        <v>16.899999999999999</v>
      </c>
      <c r="Q251">
        <f>SmtRes!DC493</f>
        <v>5.2874999999999996</v>
      </c>
      <c r="R251">
        <f>ROUND(ROUND(Q251*Source!I511, 6)*1, 2)</f>
        <v>0.25</v>
      </c>
      <c r="S251">
        <f>SmtRes!AC493</f>
        <v>513.66999999999996</v>
      </c>
      <c r="T251">
        <f>ROUND(ROUND(Q251*Source!I511, 6)*SmtRes!AK493, 2)</f>
        <v>7.12</v>
      </c>
      <c r="U251">
        <v>2</v>
      </c>
      <c r="Y251">
        <f>SmtRes!X493</f>
        <v>482200787</v>
      </c>
      <c r="Z251">
        <v>1078984063</v>
      </c>
      <c r="AA251">
        <v>-2125115528</v>
      </c>
    </row>
    <row r="252" spans="1:27" x14ac:dyDescent="0.2">
      <c r="A252">
        <v>20</v>
      </c>
      <c r="B252">
        <v>492</v>
      </c>
      <c r="C252">
        <v>2</v>
      </c>
      <c r="D252">
        <v>0</v>
      </c>
      <c r="E252">
        <f>SmtRes!AV492</f>
        <v>0</v>
      </c>
      <c r="F252" t="str">
        <f>SmtRes!I492</f>
        <v>2.1-3-38</v>
      </c>
      <c r="G252" t="str">
        <f>SmtRes!K492</f>
        <v>Краны на автомобильном ходу, грузоподъемность до 16 т</v>
      </c>
      <c r="H252" t="str">
        <f>SmtRes!O492</f>
        <v>маш.-ч.</v>
      </c>
      <c r="I252">
        <f>SmtRes!Y492*Source!I511</f>
        <v>5.2199999999999996E-2</v>
      </c>
      <c r="J252">
        <f>SmtRes!AO492</f>
        <v>1</v>
      </c>
      <c r="K252">
        <f>SmtRes!AF492</f>
        <v>190.93</v>
      </c>
      <c r="L252">
        <f>SmtRes!DB492</f>
        <v>214.8</v>
      </c>
      <c r="M252">
        <f>ROUND(ROUND(L252*Source!I511, 6)*1, 2)</f>
        <v>9.9700000000000006</v>
      </c>
      <c r="N252">
        <f>SmtRes!AB492</f>
        <v>2059.0100000000002</v>
      </c>
      <c r="O252">
        <f>ROUND(ROUND(L252*Source!I511, 6)*SmtRes!DA492, 2)</f>
        <v>102.66</v>
      </c>
      <c r="P252">
        <f>SmtRes!AG492</f>
        <v>18.149999999999999</v>
      </c>
      <c r="Q252">
        <f>SmtRes!DC492</f>
        <v>20.425000000000001</v>
      </c>
      <c r="R252">
        <f>ROUND(ROUND(Q252*Source!I511, 6)*1, 2)</f>
        <v>0.95</v>
      </c>
      <c r="S252">
        <f>SmtRes!AC492</f>
        <v>551.66</v>
      </c>
      <c r="T252">
        <f>ROUND(ROUND(Q252*Source!I511, 6)*SmtRes!AK492, 2)</f>
        <v>27.51</v>
      </c>
      <c r="U252">
        <v>2</v>
      </c>
      <c r="Y252">
        <f>SmtRes!X492</f>
        <v>-266174272</v>
      </c>
      <c r="Z252">
        <v>-2048655808</v>
      </c>
      <c r="AA252">
        <v>2105875465</v>
      </c>
    </row>
    <row r="253" spans="1:27" x14ac:dyDescent="0.2">
      <c r="A253">
        <v>20</v>
      </c>
      <c r="B253">
        <v>491</v>
      </c>
      <c r="C253">
        <v>2</v>
      </c>
      <c r="D253">
        <v>0</v>
      </c>
      <c r="E253">
        <f>SmtRes!AV491</f>
        <v>0</v>
      </c>
      <c r="F253" t="str">
        <f>SmtRes!I491</f>
        <v>2.1-30-26</v>
      </c>
      <c r="G253" t="str">
        <f>SmtRes!K491</f>
        <v>Пилы ручные электрические</v>
      </c>
      <c r="H253" t="str">
        <f>SmtRes!O491</f>
        <v>маш.-ч.</v>
      </c>
      <c r="I253">
        <f>SmtRes!Y491*Source!I511</f>
        <v>5.7999999999999996E-3</v>
      </c>
      <c r="J253">
        <f>SmtRes!AO491</f>
        <v>1</v>
      </c>
      <c r="K253">
        <f>SmtRes!AF491</f>
        <v>0.53</v>
      </c>
      <c r="L253">
        <f>SmtRes!DB491</f>
        <v>6.25E-2</v>
      </c>
      <c r="M253">
        <f>ROUND(ROUND(L253*Source!I511, 6)*1, 2)</f>
        <v>0</v>
      </c>
      <c r="N253">
        <f>SmtRes!AB491</f>
        <v>0.55000000000000004</v>
      </c>
      <c r="O253">
        <f>ROUND(ROUND(L253*Source!I511, 6)*SmtRes!DA491, 2)</f>
        <v>0</v>
      </c>
      <c r="P253">
        <f>SmtRes!AG491</f>
        <v>0.04</v>
      </c>
      <c r="Q253">
        <f>SmtRes!DC491</f>
        <v>0</v>
      </c>
      <c r="R253">
        <f>ROUND(ROUND(Q253*Source!I511, 6)*1, 2)</f>
        <v>0</v>
      </c>
      <c r="S253">
        <f>SmtRes!AC491</f>
        <v>0.04</v>
      </c>
      <c r="T253">
        <f>ROUND(ROUND(Q253*Source!I511, 6)*SmtRes!AK491, 2)</f>
        <v>0</v>
      </c>
      <c r="U253">
        <v>2</v>
      </c>
      <c r="Y253">
        <f>SmtRes!X491</f>
        <v>1189541023</v>
      </c>
      <c r="Z253">
        <v>-562840550</v>
      </c>
      <c r="AA253">
        <v>923801903</v>
      </c>
    </row>
    <row r="254" spans="1:27" x14ac:dyDescent="0.2">
      <c r="A254">
        <v>20</v>
      </c>
      <c r="B254">
        <v>490</v>
      </c>
      <c r="C254">
        <v>2</v>
      </c>
      <c r="D254">
        <v>0</v>
      </c>
      <c r="E254">
        <f>SmtRes!AV490</f>
        <v>0</v>
      </c>
      <c r="F254" t="str">
        <f>SmtRes!I490</f>
        <v>2.1-18-7</v>
      </c>
      <c r="G254" t="str">
        <f>SmtRes!K490</f>
        <v>Автомобили грузовые бортовые, грузоподъемность до 5 т</v>
      </c>
      <c r="H254" t="str">
        <f>SmtRes!O490</f>
        <v>маш.-ч.</v>
      </c>
      <c r="I254">
        <f>SmtRes!Y490*Source!I511</f>
        <v>7.8299999999999995E-2</v>
      </c>
      <c r="J254">
        <f>SmtRes!AO490</f>
        <v>1</v>
      </c>
      <c r="K254">
        <f>SmtRes!AF490</f>
        <v>76.81</v>
      </c>
      <c r="L254">
        <f>SmtRes!DB490</f>
        <v>129.61250000000001</v>
      </c>
      <c r="M254">
        <f>ROUND(ROUND(L254*Source!I511, 6)*1, 2)</f>
        <v>6.01</v>
      </c>
      <c r="N254">
        <f>SmtRes!AB490</f>
        <v>918.4</v>
      </c>
      <c r="O254">
        <f>ROUND(ROUND(L254*Source!I511, 6)*SmtRes!DA490, 2)</f>
        <v>68.680000000000007</v>
      </c>
      <c r="P254">
        <f>SmtRes!AG490</f>
        <v>14.36</v>
      </c>
      <c r="Q254">
        <f>SmtRes!DC490</f>
        <v>24.237500000000001</v>
      </c>
      <c r="R254">
        <f>ROUND(ROUND(Q254*Source!I511, 6)*1, 2)</f>
        <v>1.1200000000000001</v>
      </c>
      <c r="S254">
        <f>SmtRes!AC490</f>
        <v>436.46</v>
      </c>
      <c r="T254">
        <f>ROUND(ROUND(Q254*Source!I511, 6)*SmtRes!AK490, 2)</f>
        <v>32.65</v>
      </c>
      <c r="U254">
        <v>2</v>
      </c>
      <c r="Y254">
        <f>SmtRes!X490</f>
        <v>-628430174</v>
      </c>
      <c r="Z254">
        <v>-2049064267</v>
      </c>
      <c r="AA254">
        <v>-489591781</v>
      </c>
    </row>
    <row r="255" spans="1:27" x14ac:dyDescent="0.2">
      <c r="A255">
        <v>20</v>
      </c>
      <c r="B255">
        <v>489</v>
      </c>
      <c r="C255">
        <v>2</v>
      </c>
      <c r="D255">
        <v>0</v>
      </c>
      <c r="E255">
        <f>SmtRes!AV489</f>
        <v>0</v>
      </c>
      <c r="F255" t="str">
        <f>SmtRes!I489</f>
        <v>2.1-13-14</v>
      </c>
      <c r="G255" t="str">
        <f>SmtRes!K489</f>
        <v>Аппараты сварочные постоянного тока (выпрямители) для ручной дуговой сварки, сварочный ток до 500 А</v>
      </c>
      <c r="H255" t="str">
        <f>SmtRes!O489</f>
        <v>маш.-ч.</v>
      </c>
      <c r="I255">
        <f>SmtRes!Y489*Source!I511</f>
        <v>6.9599999999999991</v>
      </c>
      <c r="J255">
        <f>SmtRes!AO489</f>
        <v>1</v>
      </c>
      <c r="K255">
        <f>SmtRes!AF489</f>
        <v>6.15</v>
      </c>
      <c r="L255">
        <f>SmtRes!DB489</f>
        <v>922.5</v>
      </c>
      <c r="M255">
        <f>ROUND(ROUND(L255*Source!I511, 6)*1, 2)</f>
        <v>42.8</v>
      </c>
      <c r="N255">
        <f>SmtRes!AB489</f>
        <v>65.87</v>
      </c>
      <c r="O255">
        <f>ROUND(ROUND(L255*Source!I511, 6)*SmtRes!DA489, 2)</f>
        <v>437.88</v>
      </c>
      <c r="P255">
        <f>SmtRes!AG489</f>
        <v>0.02</v>
      </c>
      <c r="Q255">
        <f>SmtRes!DC489</f>
        <v>3</v>
      </c>
      <c r="R255">
        <f>ROUND(ROUND(Q255*Source!I511, 6)*1, 2)</f>
        <v>0.14000000000000001</v>
      </c>
      <c r="S255">
        <f>SmtRes!AC489</f>
        <v>0.61</v>
      </c>
      <c r="T255">
        <f>ROUND(ROUND(Q255*Source!I511, 6)*SmtRes!AK489, 2)</f>
        <v>4.04</v>
      </c>
      <c r="U255">
        <v>2</v>
      </c>
      <c r="Y255">
        <f>SmtRes!X489</f>
        <v>49912578</v>
      </c>
      <c r="Z255">
        <v>-1184234032</v>
      </c>
      <c r="AA255">
        <v>1620354088</v>
      </c>
    </row>
    <row r="256" spans="1:27" x14ac:dyDescent="0.2">
      <c r="A256">
        <v>20</v>
      </c>
      <c r="B256">
        <v>488</v>
      </c>
      <c r="C256">
        <v>1</v>
      </c>
      <c r="D256">
        <v>0</v>
      </c>
      <c r="E256">
        <f>SmtRes!AV488</f>
        <v>1</v>
      </c>
      <c r="F256" t="str">
        <f>SmtRes!I488</f>
        <v>9999990008</v>
      </c>
      <c r="G256" t="str">
        <f>SmtRes!K488</f>
        <v>Трудозатраты рабочих</v>
      </c>
      <c r="H256" t="str">
        <f>SmtRes!O488</f>
        <v>чел.-ч.</v>
      </c>
      <c r="I256">
        <f>SmtRes!Y488*Source!I511</f>
        <v>9.5514399999999995</v>
      </c>
      <c r="J256">
        <f>SmtRes!AO488</f>
        <v>1</v>
      </c>
      <c r="K256">
        <f>SmtRes!AH488</f>
        <v>0</v>
      </c>
      <c r="L256">
        <f>SmtRes!DB488</f>
        <v>0</v>
      </c>
      <c r="M256">
        <f>ROUND(ROUND(L256*Source!I511, 6)*1, 2)</f>
        <v>0</v>
      </c>
      <c r="N256">
        <f>SmtRes!AD488</f>
        <v>0</v>
      </c>
      <c r="O256">
        <f>ROUND(ROUND(L256*Source!I511, 6)*SmtRes!DA488, 2)</f>
        <v>0</v>
      </c>
      <c r="P256">
        <f>SmtRes!AG488</f>
        <v>0</v>
      </c>
      <c r="Q256">
        <f>SmtRes!DC488</f>
        <v>0</v>
      </c>
      <c r="R256">
        <f>ROUND(ROUND(Q256*Source!I511, 6)*1, 2)</f>
        <v>0</v>
      </c>
      <c r="S256">
        <f>SmtRes!AC488</f>
        <v>0</v>
      </c>
      <c r="T256">
        <f>ROUND(ROUND(Q256*Source!I511, 6)*SmtRes!AK488, 2)</f>
        <v>0</v>
      </c>
      <c r="U256">
        <v>1</v>
      </c>
      <c r="Y256">
        <f>SmtRes!X488</f>
        <v>476480486</v>
      </c>
      <c r="Z256">
        <v>1499241640</v>
      </c>
      <c r="AA256">
        <v>1499241640</v>
      </c>
    </row>
    <row r="257" spans="1:27" x14ac:dyDescent="0.2">
      <c r="A257">
        <f>Source!A513</f>
        <v>18</v>
      </c>
      <c r="B257">
        <v>513</v>
      </c>
      <c r="C257">
        <v>3</v>
      </c>
      <c r="D257">
        <f>Source!BI513</f>
        <v>1</v>
      </c>
      <c r="E257">
        <f>Source!FS513</f>
        <v>0</v>
      </c>
      <c r="F257" t="str">
        <f>Source!F513</f>
        <v>1.3-4-20</v>
      </c>
      <c r="G257" t="str">
        <f>Source!G513</f>
        <v>Арматурные заготовки (стержни, хомуты и т.п.), не собранные в каркасы или сетки, арматурная сталь периодического профиля, класс А-III, диаметр 8 мм</v>
      </c>
      <c r="H257" t="str">
        <f>Source!H513</f>
        <v>т</v>
      </c>
      <c r="I257">
        <f>Source!I513</f>
        <v>1.4489999999999999E-2</v>
      </c>
      <c r="J257">
        <v>1</v>
      </c>
      <c r="K257">
        <f>Source!AC513</f>
        <v>0</v>
      </c>
      <c r="M257">
        <f>ROUND(K257*I257, 2)</f>
        <v>0</v>
      </c>
      <c r="N257">
        <f>Source!AC513*IF(Source!BC513&lt;&gt; 0, Source!BC513, 1)</f>
        <v>0</v>
      </c>
      <c r="O257">
        <f>ROUND(N257*I257, 2)</f>
        <v>0</v>
      </c>
      <c r="P257">
        <f>Source!AE513</f>
        <v>0</v>
      </c>
      <c r="R257">
        <f>ROUND(P257*I257, 2)</f>
        <v>0</v>
      </c>
      <c r="S257">
        <f>Source!AE513*IF(Source!BS513&lt;&gt; 0, Source!BS513, 1)</f>
        <v>0</v>
      </c>
      <c r="T257">
        <f>ROUND(S257*I257, 2)</f>
        <v>0</v>
      </c>
      <c r="U257">
        <v>3</v>
      </c>
      <c r="Y257">
        <f>Source!GF513</f>
        <v>-55009773</v>
      </c>
      <c r="Z257">
        <v>-1438143931</v>
      </c>
      <c r="AA257">
        <v>-1438143931</v>
      </c>
    </row>
    <row r="258" spans="1:27" x14ac:dyDescent="0.2">
      <c r="A258">
        <f>Source!A515</f>
        <v>18</v>
      </c>
      <c r="B258">
        <v>515</v>
      </c>
      <c r="C258">
        <v>3</v>
      </c>
      <c r="D258">
        <f>Source!BI515</f>
        <v>1</v>
      </c>
      <c r="E258">
        <f>Source!FS515</f>
        <v>0</v>
      </c>
      <c r="F258" t="str">
        <f>Source!F515</f>
        <v>1.3-4-22</v>
      </c>
      <c r="G258" t="str">
        <f>Source!G515</f>
        <v>Арматурные заготовки (стержни, хомуты и т.п.), не собранные в каркасы или сетки, арматурная сталь периодического профиля, класс А-III, диаметр 12-14 мм</v>
      </c>
      <c r="H258" t="str">
        <f>Source!H515</f>
        <v>т</v>
      </c>
      <c r="I258">
        <f>Source!I515</f>
        <v>0.52371000000000001</v>
      </c>
      <c r="J258">
        <v>1</v>
      </c>
      <c r="K258">
        <f>Source!AC515</f>
        <v>0</v>
      </c>
      <c r="M258">
        <f>ROUND(K258*I258, 2)</f>
        <v>0</v>
      </c>
      <c r="N258">
        <f>Source!AC515*IF(Source!BC515&lt;&gt; 0, Source!BC515, 1)</f>
        <v>0</v>
      </c>
      <c r="O258">
        <f>ROUND(N258*I258, 2)</f>
        <v>0</v>
      </c>
      <c r="P258">
        <f>Source!AE515</f>
        <v>0</v>
      </c>
      <c r="R258">
        <f>ROUND(P258*I258, 2)</f>
        <v>0</v>
      </c>
      <c r="S258">
        <f>Source!AE515*IF(Source!BS515&lt;&gt; 0, Source!BS515, 1)</f>
        <v>0</v>
      </c>
      <c r="T258">
        <f>ROUND(S258*I258, 2)</f>
        <v>0</v>
      </c>
      <c r="U258">
        <v>3</v>
      </c>
      <c r="Y258">
        <f>Source!GF515</f>
        <v>-639873665</v>
      </c>
      <c r="Z258">
        <v>-78824159</v>
      </c>
      <c r="AA258">
        <v>-78824159</v>
      </c>
    </row>
    <row r="259" spans="1:27" x14ac:dyDescent="0.2">
      <c r="A259">
        <f>Source!A517</f>
        <v>18</v>
      </c>
      <c r="B259">
        <v>517</v>
      </c>
      <c r="C259">
        <v>3</v>
      </c>
      <c r="D259">
        <f>Source!BI517</f>
        <v>1</v>
      </c>
      <c r="E259">
        <f>Source!FS517</f>
        <v>0</v>
      </c>
      <c r="F259" t="str">
        <f>Source!F517</f>
        <v>1.3-1-151</v>
      </c>
      <c r="G259" t="str">
        <f>Source!G517</f>
        <v>Смеси бетонные, БСГ, тяжелого бетона на гранитном щебне, фракция 5-20, класс прочности В20 (М250); П4, F75, W4</v>
      </c>
      <c r="H259" t="str">
        <f>Source!H517</f>
        <v>м3</v>
      </c>
      <c r="I259">
        <f>Source!I517</f>
        <v>4.7096</v>
      </c>
      <c r="J259">
        <v>1</v>
      </c>
      <c r="K259">
        <f>Source!AC517</f>
        <v>0</v>
      </c>
      <c r="M259">
        <f>ROUND(K259*I259, 2)</f>
        <v>0</v>
      </c>
      <c r="N259">
        <f>Source!AC517*IF(Source!BC517&lt;&gt; 0, Source!BC517, 1)</f>
        <v>0</v>
      </c>
      <c r="O259">
        <f>ROUND(N259*I259, 2)</f>
        <v>0</v>
      </c>
      <c r="P259">
        <f>Source!AE517</f>
        <v>0</v>
      </c>
      <c r="R259">
        <f>ROUND(P259*I259, 2)</f>
        <v>0</v>
      </c>
      <c r="S259">
        <f>Source!AE517*IF(Source!BS517&lt;&gt; 0, Source!BS517, 1)</f>
        <v>0</v>
      </c>
      <c r="T259">
        <f>ROUND(S259*I259, 2)</f>
        <v>0</v>
      </c>
      <c r="U259">
        <v>3</v>
      </c>
      <c r="Y259">
        <f>Source!GF517</f>
        <v>803910000</v>
      </c>
      <c r="Z259">
        <v>1562862015</v>
      </c>
      <c r="AA259">
        <v>1562862015</v>
      </c>
    </row>
    <row r="260" spans="1:27" x14ac:dyDescent="0.2">
      <c r="A260">
        <v>20</v>
      </c>
      <c r="B260">
        <v>514</v>
      </c>
      <c r="C260">
        <v>3</v>
      </c>
      <c r="D260">
        <v>0</v>
      </c>
      <c r="E260">
        <f>SmtRes!AV514</f>
        <v>0</v>
      </c>
      <c r="F260" t="str">
        <f>SmtRes!I514</f>
        <v>9999990006</v>
      </c>
      <c r="G260" t="str">
        <f>SmtRes!K514</f>
        <v>Стоимость прочих материалов (ЭСН)</v>
      </c>
      <c r="H260" t="str">
        <f>SmtRes!O514</f>
        <v>руб.</v>
      </c>
      <c r="I260">
        <f>SmtRes!Y514*Source!I519</f>
        <v>2.1279719999999998</v>
      </c>
      <c r="J260">
        <f>SmtRes!AO514</f>
        <v>1</v>
      </c>
      <c r="K260">
        <f>SmtRes!AE514</f>
        <v>1</v>
      </c>
      <c r="L260">
        <f>SmtRes!DB514</f>
        <v>39.479999999999997</v>
      </c>
      <c r="M260">
        <f>ROUND(ROUND(L260*Source!I519, 6)*1, 2)</f>
        <v>2.13</v>
      </c>
      <c r="N260">
        <f>SmtRes!AA514</f>
        <v>8.65</v>
      </c>
      <c r="O260">
        <f>ROUND(ROUND(L260*Source!I519, 6)*SmtRes!DA514, 2)</f>
        <v>18.41</v>
      </c>
      <c r="P260">
        <f>SmtRes!AG514</f>
        <v>0</v>
      </c>
      <c r="Q260">
        <f>SmtRes!DC514</f>
        <v>0</v>
      </c>
      <c r="R260">
        <f>ROUND(ROUND(Q260*Source!I519, 6)*1, 2)</f>
        <v>0</v>
      </c>
      <c r="S260">
        <f>SmtRes!AC514</f>
        <v>0</v>
      </c>
      <c r="T260">
        <f>ROUND(ROUND(Q260*Source!I519, 6)*SmtRes!AK514, 2)</f>
        <v>0</v>
      </c>
      <c r="U260">
        <v>3</v>
      </c>
      <c r="Y260">
        <f>SmtRes!X514</f>
        <v>-94250534</v>
      </c>
      <c r="Z260">
        <v>-1771809642</v>
      </c>
      <c r="AA260">
        <v>19367311</v>
      </c>
    </row>
    <row r="261" spans="1:27" x14ac:dyDescent="0.2">
      <c r="A261">
        <v>20</v>
      </c>
      <c r="B261">
        <v>513</v>
      </c>
      <c r="C261">
        <v>3</v>
      </c>
      <c r="D261">
        <v>0</v>
      </c>
      <c r="E261">
        <f>SmtRes!AV513</f>
        <v>0</v>
      </c>
      <c r="F261" t="str">
        <f>SmtRes!I513</f>
        <v>1.1-1-1566</v>
      </c>
      <c r="G261" t="str">
        <f>SmtRes!K513</f>
        <v>Электроды, тип Э-42, 46, 50, диаметр 4 - 6 мм</v>
      </c>
      <c r="H261" t="str">
        <f>SmtRes!O513</f>
        <v>т</v>
      </c>
      <c r="I261">
        <f>SmtRes!Y513*Source!I519</f>
        <v>7.5459999999999999E-5</v>
      </c>
      <c r="J261">
        <f>SmtRes!AO513</f>
        <v>1</v>
      </c>
      <c r="K261">
        <f>SmtRes!AE513</f>
        <v>7191.81</v>
      </c>
      <c r="L261">
        <f>SmtRes!DB513</f>
        <v>10.07</v>
      </c>
      <c r="M261">
        <f>ROUND(ROUND(L261*Source!I519, 6)*1, 2)</f>
        <v>0.54</v>
      </c>
      <c r="N261">
        <f>SmtRes!AA513</f>
        <v>145777.99</v>
      </c>
      <c r="O261">
        <f>ROUND(ROUND(L261*Source!I519, 6)*SmtRes!DA513, 2)</f>
        <v>11</v>
      </c>
      <c r="P261">
        <f>SmtRes!AG513</f>
        <v>0</v>
      </c>
      <c r="Q261">
        <f>SmtRes!DC513</f>
        <v>0</v>
      </c>
      <c r="R261">
        <f>ROUND(ROUND(Q261*Source!I519, 6)*1, 2)</f>
        <v>0</v>
      </c>
      <c r="S261">
        <f>SmtRes!AC513</f>
        <v>0</v>
      </c>
      <c r="T261">
        <f>ROUND(ROUND(Q261*Source!I519, 6)*SmtRes!AK513, 2)</f>
        <v>0</v>
      </c>
      <c r="U261">
        <v>3</v>
      </c>
      <c r="Y261">
        <f>SmtRes!X513</f>
        <v>1310716689</v>
      </c>
      <c r="Z261">
        <v>1563916378</v>
      </c>
      <c r="AA261">
        <v>2138865355</v>
      </c>
    </row>
    <row r="262" spans="1:27" x14ac:dyDescent="0.2">
      <c r="A262">
        <v>20</v>
      </c>
      <c r="B262">
        <v>511</v>
      </c>
      <c r="C262">
        <v>2</v>
      </c>
      <c r="D262">
        <v>0</v>
      </c>
      <c r="E262">
        <f>SmtRes!AV511</f>
        <v>0</v>
      </c>
      <c r="F262" t="str">
        <f>SmtRes!I511</f>
        <v>2.1-4-31</v>
      </c>
      <c r="G262" t="str">
        <f>SmtRes!K511</f>
        <v>Лебедки электрические, грузоподъемность до 1,5 т</v>
      </c>
      <c r="H262" t="str">
        <f>SmtRes!O511</f>
        <v>маш.-ч.</v>
      </c>
      <c r="I262">
        <f>SmtRes!Y511*Source!I519</f>
        <v>1.0241</v>
      </c>
      <c r="J262">
        <f>SmtRes!AO511</f>
        <v>1</v>
      </c>
      <c r="K262">
        <f>SmtRes!AF511</f>
        <v>2.78</v>
      </c>
      <c r="L262">
        <f>SmtRes!DB511</f>
        <v>52.825000000000003</v>
      </c>
      <c r="M262">
        <f>ROUND(ROUND(L262*Source!I519, 6)*1, 2)</f>
        <v>2.85</v>
      </c>
      <c r="N262">
        <f>SmtRes!AB511</f>
        <v>24.96</v>
      </c>
      <c r="O262">
        <f>ROUND(ROUND(L262*Source!I519, 6)*SmtRes!DA511, 2)</f>
        <v>23.52</v>
      </c>
      <c r="P262">
        <f>SmtRes!AG511</f>
        <v>0.19</v>
      </c>
      <c r="Q262">
        <f>SmtRes!DC511</f>
        <v>3.6124999999999998</v>
      </c>
      <c r="R262">
        <f>ROUND(ROUND(Q262*Source!I519, 6)*1, 2)</f>
        <v>0.19</v>
      </c>
      <c r="S262">
        <f>SmtRes!AC511</f>
        <v>6</v>
      </c>
      <c r="T262">
        <f>ROUND(ROUND(Q262*Source!I519, 6)*SmtRes!AK511, 2)</f>
        <v>5.65</v>
      </c>
      <c r="U262">
        <v>2</v>
      </c>
      <c r="Y262">
        <f>SmtRes!X511</f>
        <v>1116621208</v>
      </c>
      <c r="Z262">
        <v>-1008380132</v>
      </c>
      <c r="AA262">
        <v>-1782595156</v>
      </c>
    </row>
    <row r="263" spans="1:27" x14ac:dyDescent="0.2">
      <c r="A263">
        <v>20</v>
      </c>
      <c r="B263">
        <v>510</v>
      </c>
      <c r="C263">
        <v>1</v>
      </c>
      <c r="D263">
        <v>0</v>
      </c>
      <c r="E263">
        <f>SmtRes!AV510</f>
        <v>1</v>
      </c>
      <c r="F263" t="str">
        <f>SmtRes!I510</f>
        <v>9999990008</v>
      </c>
      <c r="G263" t="str">
        <f>SmtRes!K510</f>
        <v>Трудозатраты рабочих</v>
      </c>
      <c r="H263" t="str">
        <f>SmtRes!O510</f>
        <v>чел.-ч.</v>
      </c>
      <c r="I263">
        <f>SmtRes!Y510*Source!I519</f>
        <v>4.7108600000000003</v>
      </c>
      <c r="J263">
        <f>SmtRes!AO510</f>
        <v>1</v>
      </c>
      <c r="K263">
        <f>SmtRes!AH510</f>
        <v>0</v>
      </c>
      <c r="L263">
        <f>SmtRes!DB510</f>
        <v>0</v>
      </c>
      <c r="M263">
        <f>ROUND(ROUND(L263*Source!I519, 6)*1, 2)</f>
        <v>0</v>
      </c>
      <c r="N263">
        <f>SmtRes!AD510</f>
        <v>0</v>
      </c>
      <c r="O263">
        <f>ROUND(ROUND(L263*Source!I519, 6)*SmtRes!DA510, 2)</f>
        <v>0</v>
      </c>
      <c r="P263">
        <f>SmtRes!AG510</f>
        <v>0</v>
      </c>
      <c r="Q263">
        <f>SmtRes!DC510</f>
        <v>0</v>
      </c>
      <c r="R263">
        <f>ROUND(ROUND(Q263*Source!I519, 6)*1, 2)</f>
        <v>0</v>
      </c>
      <c r="S263">
        <f>SmtRes!AC510</f>
        <v>0</v>
      </c>
      <c r="T263">
        <f>ROUND(ROUND(Q263*Source!I519, 6)*SmtRes!AK510, 2)</f>
        <v>0</v>
      </c>
      <c r="U263">
        <v>1</v>
      </c>
      <c r="Y263">
        <f>SmtRes!X510</f>
        <v>476480486</v>
      </c>
      <c r="Z263">
        <v>1499241640</v>
      </c>
      <c r="AA263">
        <v>1499241640</v>
      </c>
    </row>
    <row r="264" spans="1:27" x14ac:dyDescent="0.2">
      <c r="A264">
        <f>Source!A521</f>
        <v>18</v>
      </c>
      <c r="B264">
        <v>521</v>
      </c>
      <c r="C264">
        <v>3</v>
      </c>
      <c r="D264">
        <f>Source!BI521</f>
        <v>1</v>
      </c>
      <c r="E264">
        <f>Source!FS521</f>
        <v>0</v>
      </c>
      <c r="F264" t="str">
        <f>Source!F521</f>
        <v>1.1-1-1147</v>
      </c>
      <c r="G264" t="str">
        <f>Source!G521</f>
        <v>Швеллер для строительных стальных конструкций, №№ 12-40, сталь С235, С245</v>
      </c>
      <c r="H264" t="str">
        <f>Source!H521</f>
        <v>т</v>
      </c>
      <c r="I264">
        <f>Source!I521</f>
        <v>5.3900000000000003E-2</v>
      </c>
      <c r="J264">
        <v>1</v>
      </c>
      <c r="K264">
        <f>Source!AC521</f>
        <v>7043.96</v>
      </c>
      <c r="M264">
        <f>ROUND(K264*I264, 2)</f>
        <v>379.67</v>
      </c>
      <c r="N264">
        <f>Source!AC521*IF(Source!BC521&lt;&gt; 0, Source!BC521, 1)</f>
        <v>60930.254000000001</v>
      </c>
      <c r="O264">
        <f>ROUND(N264*I264, 2)</f>
        <v>3284.14</v>
      </c>
      <c r="P264">
        <f>Source!AE521</f>
        <v>0</v>
      </c>
      <c r="R264">
        <f>ROUND(P264*I264, 2)</f>
        <v>0</v>
      </c>
      <c r="S264">
        <f>Source!AE521*IF(Source!BS521&lt;&gt; 0, Source!BS521, 1)</f>
        <v>0</v>
      </c>
      <c r="T264">
        <f>ROUND(S264*I264, 2)</f>
        <v>0</v>
      </c>
      <c r="U264">
        <v>3</v>
      </c>
      <c r="Y264">
        <f>Source!GF521</f>
        <v>1397922927</v>
      </c>
      <c r="Z264">
        <v>-243958018</v>
      </c>
      <c r="AA264">
        <v>1286358512</v>
      </c>
    </row>
    <row r="265" spans="1:27" x14ac:dyDescent="0.2">
      <c r="A265">
        <v>20</v>
      </c>
      <c r="B265">
        <v>544</v>
      </c>
      <c r="C265">
        <v>3</v>
      </c>
      <c r="D265">
        <v>0</v>
      </c>
      <c r="E265">
        <f>SmtRes!AV544</f>
        <v>0</v>
      </c>
      <c r="F265" t="str">
        <f>SmtRes!I544</f>
        <v>9999990006</v>
      </c>
      <c r="G265" t="str">
        <f>SmtRes!K544</f>
        <v>Стоимость прочих материалов (ЭСН)</v>
      </c>
      <c r="H265" t="str">
        <f>SmtRes!O544</f>
        <v>руб.</v>
      </c>
      <c r="I265">
        <f>SmtRes!Y544*Source!I523</f>
        <v>5.9338439999999988</v>
      </c>
      <c r="J265">
        <f>SmtRes!AO544</f>
        <v>1</v>
      </c>
      <c r="K265">
        <f>SmtRes!AE544</f>
        <v>1</v>
      </c>
      <c r="L265">
        <f>SmtRes!DB544</f>
        <v>39.479999999999997</v>
      </c>
      <c r="M265">
        <f>ROUND(ROUND(L265*Source!I523, 6)*1, 2)</f>
        <v>5.93</v>
      </c>
      <c r="N265">
        <f>SmtRes!AA544</f>
        <v>8.65</v>
      </c>
      <c r="O265">
        <f>ROUND(ROUND(L265*Source!I523, 6)*SmtRes!DA544, 2)</f>
        <v>51.33</v>
      </c>
      <c r="P265">
        <f>SmtRes!AG544</f>
        <v>0</v>
      </c>
      <c r="Q265">
        <f>SmtRes!DC544</f>
        <v>0</v>
      </c>
      <c r="R265">
        <f>ROUND(ROUND(Q265*Source!I523, 6)*1, 2)</f>
        <v>0</v>
      </c>
      <c r="S265">
        <f>SmtRes!AC544</f>
        <v>0</v>
      </c>
      <c r="T265">
        <f>ROUND(ROUND(Q265*Source!I523, 6)*SmtRes!AK544, 2)</f>
        <v>0</v>
      </c>
      <c r="U265">
        <v>3</v>
      </c>
      <c r="Y265">
        <f>SmtRes!X544</f>
        <v>-94250534</v>
      </c>
      <c r="Z265">
        <v>-1771809642</v>
      </c>
      <c r="AA265">
        <v>19367311</v>
      </c>
    </row>
    <row r="266" spans="1:27" x14ac:dyDescent="0.2">
      <c r="A266">
        <v>20</v>
      </c>
      <c r="B266">
        <v>539</v>
      </c>
      <c r="C266">
        <v>3</v>
      </c>
      <c r="D266">
        <v>0</v>
      </c>
      <c r="E266">
        <f>SmtRes!AV539</f>
        <v>0</v>
      </c>
      <c r="F266" t="str">
        <f>SmtRes!I539</f>
        <v>1.1-1-1566</v>
      </c>
      <c r="G266" t="str">
        <f>SmtRes!K539</f>
        <v>Электроды, тип Э-42, 46, 50, диаметр 4 - 6 мм</v>
      </c>
      <c r="H266" t="str">
        <f>SmtRes!O539</f>
        <v>т</v>
      </c>
      <c r="I266">
        <f>SmtRes!Y539*Source!I523</f>
        <v>6.0119999999999998E-4</v>
      </c>
      <c r="J266">
        <f>SmtRes!AO539</f>
        <v>1</v>
      </c>
      <c r="K266">
        <f>SmtRes!AE539</f>
        <v>7191.81</v>
      </c>
      <c r="L266">
        <f>SmtRes!DB539</f>
        <v>28.77</v>
      </c>
      <c r="M266">
        <f>ROUND(ROUND(L266*Source!I523, 6)*1, 2)</f>
        <v>4.32</v>
      </c>
      <c r="N266">
        <f>SmtRes!AA539</f>
        <v>145777.99</v>
      </c>
      <c r="O266">
        <f>ROUND(ROUND(L266*Source!I523, 6)*SmtRes!DA539, 2)</f>
        <v>87.65</v>
      </c>
      <c r="P266">
        <f>SmtRes!AG539</f>
        <v>0</v>
      </c>
      <c r="Q266">
        <f>SmtRes!DC539</f>
        <v>0</v>
      </c>
      <c r="R266">
        <f>ROUND(ROUND(Q266*Source!I523, 6)*1, 2)</f>
        <v>0</v>
      </c>
      <c r="S266">
        <f>SmtRes!AC539</f>
        <v>0</v>
      </c>
      <c r="T266">
        <f>ROUND(ROUND(Q266*Source!I523, 6)*SmtRes!AK539, 2)</f>
        <v>0</v>
      </c>
      <c r="U266">
        <v>3</v>
      </c>
      <c r="Y266">
        <f>SmtRes!X539</f>
        <v>1310716689</v>
      </c>
      <c r="Z266">
        <v>1563916378</v>
      </c>
      <c r="AA266">
        <v>2138865355</v>
      </c>
    </row>
    <row r="267" spans="1:27" x14ac:dyDescent="0.2">
      <c r="A267">
        <v>20</v>
      </c>
      <c r="B267">
        <v>535</v>
      </c>
      <c r="C267">
        <v>2</v>
      </c>
      <c r="D267">
        <v>0</v>
      </c>
      <c r="E267">
        <f>SmtRes!AV535</f>
        <v>0</v>
      </c>
      <c r="F267" t="str">
        <f>SmtRes!I535</f>
        <v>9999990007</v>
      </c>
      <c r="G267" t="str">
        <f>SmtRes!K535</f>
        <v>Стоимость прочих машин (ЭСН)</v>
      </c>
      <c r="H267" t="str">
        <f>SmtRes!O535</f>
        <v>руб.</v>
      </c>
      <c r="I267">
        <f>SmtRes!Y535*Source!I523</f>
        <v>7.0359187499999996</v>
      </c>
      <c r="J267">
        <f>SmtRes!AO535</f>
        <v>1</v>
      </c>
      <c r="K267">
        <f>SmtRes!AF535</f>
        <v>1</v>
      </c>
      <c r="L267">
        <f>SmtRes!DB535</f>
        <v>46.8125</v>
      </c>
      <c r="M267">
        <f>ROUND(ROUND(L267*Source!I523, 6)*1, 2)</f>
        <v>7.04</v>
      </c>
      <c r="N267">
        <f>SmtRes!AB535</f>
        <v>1.0900000000000001</v>
      </c>
      <c r="O267">
        <f>ROUND(ROUND(L267*Source!I523, 6)*SmtRes!DA535, 2)</f>
        <v>7.04</v>
      </c>
      <c r="P267">
        <f>SmtRes!AG535</f>
        <v>0</v>
      </c>
      <c r="Q267">
        <f>SmtRes!DC535</f>
        <v>0</v>
      </c>
      <c r="R267">
        <f>ROUND(ROUND(Q267*Source!I523, 6)*1, 2)</f>
        <v>0</v>
      </c>
      <c r="S267">
        <f>SmtRes!AC535</f>
        <v>0</v>
      </c>
      <c r="T267">
        <f>ROUND(ROUND(Q267*Source!I523, 6)*SmtRes!AK535, 2)</f>
        <v>0</v>
      </c>
      <c r="U267">
        <v>2</v>
      </c>
      <c r="Y267">
        <f>SmtRes!X535</f>
        <v>-1180195794</v>
      </c>
      <c r="Z267">
        <v>-595858232</v>
      </c>
      <c r="AA267">
        <v>-453702883</v>
      </c>
    </row>
    <row r="268" spans="1:27" x14ac:dyDescent="0.2">
      <c r="A268">
        <v>20</v>
      </c>
      <c r="B268">
        <v>534</v>
      </c>
      <c r="C268">
        <v>2</v>
      </c>
      <c r="D268">
        <v>0</v>
      </c>
      <c r="E268">
        <f>SmtRes!AV534</f>
        <v>0</v>
      </c>
      <c r="F268" t="str">
        <f>SmtRes!I534</f>
        <v>2.1-4-45</v>
      </c>
      <c r="G268" t="str">
        <f>SmtRes!K534</f>
        <v>Домкраты гидравлические, грузоподъемность до 100 т</v>
      </c>
      <c r="H268" t="str">
        <f>SmtRes!O534</f>
        <v>маш.-ч.</v>
      </c>
      <c r="I268">
        <f>SmtRes!Y534*Source!I523</f>
        <v>0.59556374999999995</v>
      </c>
      <c r="J268">
        <f>SmtRes!AO534</f>
        <v>1</v>
      </c>
      <c r="K268">
        <f>SmtRes!AF534</f>
        <v>0.8</v>
      </c>
      <c r="L268">
        <f>SmtRes!DB534</f>
        <v>3.1749999999999998</v>
      </c>
      <c r="M268">
        <f>ROUND(ROUND(L268*Source!I523, 6)*1, 2)</f>
        <v>0.48</v>
      </c>
      <c r="N268">
        <f>SmtRes!AB534</f>
        <v>6.76</v>
      </c>
      <c r="O268">
        <f>ROUND(ROUND(L268*Source!I523, 6)*SmtRes!DA534, 2)</f>
        <v>3.71</v>
      </c>
      <c r="P268">
        <f>SmtRes!AG534</f>
        <v>0.09</v>
      </c>
      <c r="Q268">
        <f>SmtRes!DC534</f>
        <v>0.36249999999999999</v>
      </c>
      <c r="R268">
        <f>ROUND(ROUND(Q268*Source!I523, 6)*1, 2)</f>
        <v>0.05</v>
      </c>
      <c r="S268">
        <f>SmtRes!AC534</f>
        <v>2.84</v>
      </c>
      <c r="T268">
        <f>ROUND(ROUND(Q268*Source!I523, 6)*SmtRes!AK534, 2)</f>
        <v>1.58</v>
      </c>
      <c r="U268">
        <v>2</v>
      </c>
      <c r="Y268">
        <f>SmtRes!X534</f>
        <v>-1295289413</v>
      </c>
      <c r="Z268">
        <v>829418869</v>
      </c>
      <c r="AA268">
        <v>-1625959591</v>
      </c>
    </row>
    <row r="269" spans="1:27" x14ac:dyDescent="0.2">
      <c r="A269">
        <v>20</v>
      </c>
      <c r="B269">
        <v>533</v>
      </c>
      <c r="C269">
        <v>2</v>
      </c>
      <c r="D269">
        <v>0</v>
      </c>
      <c r="E269">
        <f>SmtRes!AV533</f>
        <v>0</v>
      </c>
      <c r="F269" t="str">
        <f>SmtRes!I533</f>
        <v>2.1-3-38</v>
      </c>
      <c r="G269" t="str">
        <f>SmtRes!K533</f>
        <v>Краны на автомобильном ходу, грузоподъемность до 16 т</v>
      </c>
      <c r="H269" t="str">
        <f>SmtRes!O533</f>
        <v>маш.-ч.</v>
      </c>
      <c r="I269">
        <f>SmtRes!Y533*Source!I523</f>
        <v>0.77592374999999991</v>
      </c>
      <c r="J269">
        <f>SmtRes!AO533</f>
        <v>1</v>
      </c>
      <c r="K269">
        <f>SmtRes!AF533</f>
        <v>190.93</v>
      </c>
      <c r="L269">
        <f>SmtRes!DB533</f>
        <v>985.67499999999995</v>
      </c>
      <c r="M269">
        <f>ROUND(ROUND(L269*Source!I523, 6)*1, 2)</f>
        <v>148.15</v>
      </c>
      <c r="N269">
        <f>SmtRes!AB533</f>
        <v>2137.67</v>
      </c>
      <c r="O269">
        <f>ROUND(ROUND(L269*Source!I523, 6)*SmtRes!DA533, 2)</f>
        <v>1525.91</v>
      </c>
      <c r="P269">
        <f>SmtRes!AG533</f>
        <v>18.149999999999999</v>
      </c>
      <c r="Q269">
        <f>SmtRes!DC533</f>
        <v>93.7</v>
      </c>
      <c r="R269">
        <f>ROUND(ROUND(Q269*Source!I523, 6)*1, 2)</f>
        <v>14.08</v>
      </c>
      <c r="S269">
        <f>SmtRes!AC533</f>
        <v>572.73</v>
      </c>
      <c r="T269">
        <f>ROUND(ROUND(Q269*Source!I523, 6)*SmtRes!AK533, 2)</f>
        <v>408.83</v>
      </c>
      <c r="U269">
        <v>2</v>
      </c>
      <c r="Y269">
        <f>SmtRes!X533</f>
        <v>-266174272</v>
      </c>
      <c r="Z269">
        <v>-2048655808</v>
      </c>
      <c r="AA269">
        <v>1719619468</v>
      </c>
    </row>
    <row r="270" spans="1:27" x14ac:dyDescent="0.2">
      <c r="A270">
        <v>20</v>
      </c>
      <c r="B270">
        <v>532</v>
      </c>
      <c r="C270">
        <v>2</v>
      </c>
      <c r="D270">
        <v>0</v>
      </c>
      <c r="E270">
        <f>SmtRes!AV532</f>
        <v>0</v>
      </c>
      <c r="F270" t="str">
        <f>SmtRes!I532</f>
        <v>2.1-30-46</v>
      </c>
      <c r="G270" t="str">
        <f>SmtRes!K532</f>
        <v>Преобразователи частоты тока до 500 А</v>
      </c>
      <c r="H270" t="str">
        <f>SmtRes!O532</f>
        <v>маш.-ч.</v>
      </c>
      <c r="I270">
        <f>SmtRes!Y532*Source!I523</f>
        <v>1.1573099999999998</v>
      </c>
      <c r="J270">
        <f>SmtRes!AO532</f>
        <v>1</v>
      </c>
      <c r="K270">
        <f>SmtRes!AF532</f>
        <v>2.58</v>
      </c>
      <c r="L270">
        <f>SmtRes!DB532</f>
        <v>19.862500000000001</v>
      </c>
      <c r="M270">
        <f>ROUND(ROUND(L270*Source!I523, 6)*1, 2)</f>
        <v>2.99</v>
      </c>
      <c r="N270">
        <f>SmtRes!AB532</f>
        <v>33.54</v>
      </c>
      <c r="O270">
        <f>ROUND(ROUND(L270*Source!I523, 6)*SmtRes!DA532, 2)</f>
        <v>35.700000000000003</v>
      </c>
      <c r="P270">
        <f>SmtRes!AG532</f>
        <v>0.04</v>
      </c>
      <c r="Q270">
        <f>SmtRes!DC532</f>
        <v>0.3125</v>
      </c>
      <c r="R270">
        <f>ROUND(ROUND(Q270*Source!I523, 6)*1, 2)</f>
        <v>0.05</v>
      </c>
      <c r="S270">
        <f>SmtRes!AC532</f>
        <v>1.26</v>
      </c>
      <c r="T270">
        <f>ROUND(ROUND(Q270*Source!I523, 6)*SmtRes!AK532, 2)</f>
        <v>1.36</v>
      </c>
      <c r="U270">
        <v>2</v>
      </c>
      <c r="Y270">
        <f>SmtRes!X532</f>
        <v>-840546339</v>
      </c>
      <c r="Z270">
        <v>-1535247751</v>
      </c>
      <c r="AA270">
        <v>1233659793</v>
      </c>
    </row>
    <row r="271" spans="1:27" x14ac:dyDescent="0.2">
      <c r="A271">
        <v>20</v>
      </c>
      <c r="B271">
        <v>531</v>
      </c>
      <c r="C271">
        <v>2</v>
      </c>
      <c r="D271">
        <v>0</v>
      </c>
      <c r="E271">
        <f>SmtRes!AV531</f>
        <v>0</v>
      </c>
      <c r="F271" t="str">
        <f>SmtRes!I531</f>
        <v>2.1-13-21</v>
      </c>
      <c r="G271" t="str">
        <f>SmtRes!K531</f>
        <v>Печи электрические для сушки сварочных материалов с регулированием температуры в пределах 80-500С</v>
      </c>
      <c r="H271" t="str">
        <f>SmtRes!O531</f>
        <v>маш.-ч.</v>
      </c>
      <c r="I271">
        <f>SmtRes!Y531*Source!I523</f>
        <v>6.3877500000000004E-2</v>
      </c>
      <c r="J271">
        <f>SmtRes!AO531</f>
        <v>1</v>
      </c>
      <c r="K271">
        <f>SmtRes!AF531</f>
        <v>6.39</v>
      </c>
      <c r="L271">
        <f>SmtRes!DB531</f>
        <v>2.7124999999999999</v>
      </c>
      <c r="M271">
        <f>ROUND(ROUND(L271*Source!I523, 6)*1, 2)</f>
        <v>0.41</v>
      </c>
      <c r="N271">
        <f>SmtRes!AB531</f>
        <v>77.03</v>
      </c>
      <c r="O271">
        <f>ROUND(ROUND(L271*Source!I523, 6)*SmtRes!DA531, 2)</f>
        <v>4.5199999999999996</v>
      </c>
      <c r="P271">
        <f>SmtRes!AG531</f>
        <v>0.32</v>
      </c>
      <c r="Q271">
        <f>SmtRes!DC531</f>
        <v>0.13750000000000001</v>
      </c>
      <c r="R271">
        <f>ROUND(ROUND(Q271*Source!I523, 6)*1, 2)</f>
        <v>0.02</v>
      </c>
      <c r="S271">
        <f>SmtRes!AC531</f>
        <v>10.1</v>
      </c>
      <c r="T271">
        <f>ROUND(ROUND(Q271*Source!I523, 6)*SmtRes!AK531, 2)</f>
        <v>0.6</v>
      </c>
      <c r="U271">
        <v>2</v>
      </c>
      <c r="Y271">
        <f>SmtRes!X531</f>
        <v>-1260721122</v>
      </c>
      <c r="Z271">
        <v>-1096444002</v>
      </c>
      <c r="AA271">
        <v>102445925</v>
      </c>
    </row>
    <row r="272" spans="1:27" x14ac:dyDescent="0.2">
      <c r="A272">
        <v>20</v>
      </c>
      <c r="B272">
        <v>530</v>
      </c>
      <c r="C272">
        <v>1</v>
      </c>
      <c r="D272">
        <v>0</v>
      </c>
      <c r="E272">
        <f>SmtRes!AV530</f>
        <v>1</v>
      </c>
      <c r="F272" t="str">
        <f>SmtRes!I530</f>
        <v>9999990008</v>
      </c>
      <c r="G272" t="str">
        <f>SmtRes!K530</f>
        <v>Трудозатраты рабочих</v>
      </c>
      <c r="H272" t="str">
        <f>SmtRes!O530</f>
        <v>чел.-ч.</v>
      </c>
      <c r="I272">
        <f>SmtRes!Y530*Source!I523</f>
        <v>6.205135499999999</v>
      </c>
      <c r="J272">
        <f>SmtRes!AO530</f>
        <v>1</v>
      </c>
      <c r="K272">
        <f>SmtRes!AH530</f>
        <v>0</v>
      </c>
      <c r="L272">
        <f>SmtRes!DB530</f>
        <v>0</v>
      </c>
      <c r="M272">
        <f>ROUND(ROUND(L272*Source!I523, 6)*1, 2)</f>
        <v>0</v>
      </c>
      <c r="N272">
        <f>SmtRes!AD530</f>
        <v>0</v>
      </c>
      <c r="O272">
        <f>ROUND(ROUND(L272*Source!I523, 6)*SmtRes!DA530, 2)</f>
        <v>0</v>
      </c>
      <c r="P272">
        <f>SmtRes!AG530</f>
        <v>0</v>
      </c>
      <c r="Q272">
        <f>SmtRes!DC530</f>
        <v>0</v>
      </c>
      <c r="R272">
        <f>ROUND(ROUND(Q272*Source!I523, 6)*1, 2)</f>
        <v>0</v>
      </c>
      <c r="S272">
        <f>SmtRes!AC530</f>
        <v>0</v>
      </c>
      <c r="T272">
        <f>ROUND(ROUND(Q272*Source!I523, 6)*SmtRes!AK530, 2)</f>
        <v>0</v>
      </c>
      <c r="U272">
        <v>1</v>
      </c>
      <c r="Y272">
        <f>SmtRes!X530</f>
        <v>476480486</v>
      </c>
      <c r="Z272">
        <v>1499241640</v>
      </c>
      <c r="AA272">
        <v>1499241640</v>
      </c>
    </row>
    <row r="273" spans="1:27" x14ac:dyDescent="0.2">
      <c r="A273">
        <f>Source!A525</f>
        <v>18</v>
      </c>
      <c r="B273">
        <v>525</v>
      </c>
      <c r="C273">
        <v>3</v>
      </c>
      <c r="D273">
        <f>Source!BI525</f>
        <v>1</v>
      </c>
      <c r="E273">
        <f>Source!FS525</f>
        <v>0</v>
      </c>
      <c r="F273" t="str">
        <f>Source!F525</f>
        <v>1.7-5-260</v>
      </c>
      <c r="G273" t="str">
        <f>Source!G525</f>
        <v>Анкер забивной, стальной, оцинкованный, для установки в сжатой зоне бетона, внутренняя резьба М10, диаметр 12 мм, длина 40 мм</v>
      </c>
      <c r="H273" t="str">
        <f>Source!H525</f>
        <v>100 шт.</v>
      </c>
      <c r="I273">
        <f>Source!I525</f>
        <v>0.16</v>
      </c>
      <c r="J273">
        <v>1</v>
      </c>
      <c r="K273">
        <f>Source!AC525</f>
        <v>0</v>
      </c>
      <c r="M273">
        <f t="shared" ref="M273:M278" si="0">ROUND(K273*I273, 2)</f>
        <v>0</v>
      </c>
      <c r="N273">
        <f>Source!AC525*IF(Source!BC525&lt;&gt; 0, Source!BC525, 1)</f>
        <v>0</v>
      </c>
      <c r="O273">
        <f t="shared" ref="O273:O278" si="1">ROUND(N273*I273, 2)</f>
        <v>0</v>
      </c>
      <c r="P273">
        <f>Source!AE525</f>
        <v>0</v>
      </c>
      <c r="R273">
        <f t="shared" ref="R273:R278" si="2">ROUND(P273*I273, 2)</f>
        <v>0</v>
      </c>
      <c r="S273">
        <f>Source!AE525*IF(Source!BS525&lt;&gt; 0, Source!BS525, 1)</f>
        <v>0</v>
      </c>
      <c r="T273">
        <f t="shared" ref="T273:T278" si="3">ROUND(S273*I273, 2)</f>
        <v>0</v>
      </c>
      <c r="U273">
        <v>3</v>
      </c>
      <c r="Y273">
        <f>Source!GF525</f>
        <v>-439988179</v>
      </c>
      <c r="Z273">
        <v>292071729</v>
      </c>
      <c r="AA273">
        <v>292071729</v>
      </c>
    </row>
    <row r="274" spans="1:27" x14ac:dyDescent="0.2">
      <c r="A274">
        <f>Source!A527</f>
        <v>18</v>
      </c>
      <c r="B274">
        <v>527</v>
      </c>
      <c r="C274">
        <v>3</v>
      </c>
      <c r="D274">
        <f>Source!BI527</f>
        <v>1</v>
      </c>
      <c r="E274">
        <f>Source!FS527</f>
        <v>0</v>
      </c>
      <c r="F274" t="str">
        <f>Source!F527</f>
        <v>1.1-1-2284</v>
      </c>
      <c r="G274" t="str">
        <f>Source!G527</f>
        <v>Профили стальные электросварные квадратного сечения трубчатые, размер стороны 60 мм, толщина стенки 3 мм</v>
      </c>
      <c r="H274" t="str">
        <f>Source!H527</f>
        <v>т</v>
      </c>
      <c r="I274">
        <f>Source!I527</f>
        <v>1.7919999999999998E-2</v>
      </c>
      <c r="J274">
        <v>1</v>
      </c>
      <c r="K274">
        <f>Source!AC527</f>
        <v>0</v>
      </c>
      <c r="M274">
        <f t="shared" si="0"/>
        <v>0</v>
      </c>
      <c r="N274">
        <f>Source!AC527*IF(Source!BC527&lt;&gt; 0, Source!BC527, 1)</f>
        <v>0</v>
      </c>
      <c r="O274">
        <f t="shared" si="1"/>
        <v>0</v>
      </c>
      <c r="P274">
        <f>Source!AE527</f>
        <v>0</v>
      </c>
      <c r="R274">
        <f t="shared" si="2"/>
        <v>0</v>
      </c>
      <c r="S274">
        <f>Source!AE527*IF(Source!BS527&lt;&gt; 0, Source!BS527, 1)</f>
        <v>0</v>
      </c>
      <c r="T274">
        <f t="shared" si="3"/>
        <v>0</v>
      </c>
      <c r="U274">
        <v>3</v>
      </c>
      <c r="Y274">
        <f>Source!GF527</f>
        <v>-1727109647</v>
      </c>
      <c r="Z274">
        <v>1322601980</v>
      </c>
      <c r="AA274">
        <v>1322601980</v>
      </c>
    </row>
    <row r="275" spans="1:27" x14ac:dyDescent="0.2">
      <c r="A275">
        <f>Source!A529</f>
        <v>18</v>
      </c>
      <c r="B275">
        <v>529</v>
      </c>
      <c r="C275">
        <v>3</v>
      </c>
      <c r="D275">
        <f>Source!BI529</f>
        <v>1</v>
      </c>
      <c r="E275">
        <f>Source!FS529</f>
        <v>0</v>
      </c>
      <c r="F275" t="str">
        <f>Source!F529</f>
        <v>1.1-1-1146</v>
      </c>
      <c r="G275" t="str">
        <f>Source!G529</f>
        <v>Швеллер для строительных стальных конструкций, №№ 5-10, сталь С235, С245</v>
      </c>
      <c r="H275" t="str">
        <f>Source!H529</f>
        <v>т</v>
      </c>
      <c r="I275">
        <f>Source!I529</f>
        <v>2.4060000000000002E-2</v>
      </c>
      <c r="J275">
        <v>1</v>
      </c>
      <c r="K275">
        <f>Source!AC529</f>
        <v>0</v>
      </c>
      <c r="M275">
        <f t="shared" si="0"/>
        <v>0</v>
      </c>
      <c r="N275">
        <f>Source!AC529*IF(Source!BC529&lt;&gt; 0, Source!BC529, 1)</f>
        <v>0</v>
      </c>
      <c r="O275">
        <f t="shared" si="1"/>
        <v>0</v>
      </c>
      <c r="P275">
        <f>Source!AE529</f>
        <v>0</v>
      </c>
      <c r="R275">
        <f t="shared" si="2"/>
        <v>0</v>
      </c>
      <c r="S275">
        <f>Source!AE529*IF(Source!BS529&lt;&gt; 0, Source!BS529, 1)</f>
        <v>0</v>
      </c>
      <c r="T275">
        <f t="shared" si="3"/>
        <v>0</v>
      </c>
      <c r="U275">
        <v>3</v>
      </c>
      <c r="Y275">
        <f>Source!GF529</f>
        <v>1554537809</v>
      </c>
      <c r="Z275">
        <v>2098470301</v>
      </c>
      <c r="AA275">
        <v>2098470301</v>
      </c>
    </row>
    <row r="276" spans="1:27" x14ac:dyDescent="0.2">
      <c r="A276">
        <f>Source!A531</f>
        <v>18</v>
      </c>
      <c r="B276">
        <v>531</v>
      </c>
      <c r="C276">
        <v>3</v>
      </c>
      <c r="D276">
        <f>Source!BI531</f>
        <v>1</v>
      </c>
      <c r="E276">
        <f>Source!FS531</f>
        <v>0</v>
      </c>
      <c r="F276" t="str">
        <f>Source!F531</f>
        <v>1.1-1-1120</v>
      </c>
      <c r="G276" t="str">
        <f>Source!G531</f>
        <v>Уголок равнополочный, для строительных стальных конструкций, ширина полки 35-70 мм, сталь С235, С245</v>
      </c>
      <c r="H276" t="str">
        <f>Source!H531</f>
        <v>т</v>
      </c>
      <c r="I276">
        <f>Source!I531</f>
        <v>3.0509999999999999E-2</v>
      </c>
      <c r="J276">
        <v>1</v>
      </c>
      <c r="K276">
        <f>Source!AC531</f>
        <v>0</v>
      </c>
      <c r="M276">
        <f t="shared" si="0"/>
        <v>0</v>
      </c>
      <c r="N276">
        <f>Source!AC531*IF(Source!BC531&lt;&gt; 0, Source!BC531, 1)</f>
        <v>0</v>
      </c>
      <c r="O276">
        <f t="shared" si="1"/>
        <v>0</v>
      </c>
      <c r="P276">
        <f>Source!AE531</f>
        <v>0</v>
      </c>
      <c r="R276">
        <f t="shared" si="2"/>
        <v>0</v>
      </c>
      <c r="S276">
        <f>Source!AE531*IF(Source!BS531&lt;&gt; 0, Source!BS531, 1)</f>
        <v>0</v>
      </c>
      <c r="T276">
        <f t="shared" si="3"/>
        <v>0</v>
      </c>
      <c r="U276">
        <v>3</v>
      </c>
      <c r="Y276">
        <f>Source!GF531</f>
        <v>-2068651919</v>
      </c>
      <c r="Z276">
        <v>2059441950</v>
      </c>
      <c r="AA276">
        <v>2059441950</v>
      </c>
    </row>
    <row r="277" spans="1:27" x14ac:dyDescent="0.2">
      <c r="A277">
        <f>Source!A533</f>
        <v>18</v>
      </c>
      <c r="B277">
        <v>533</v>
      </c>
      <c r="C277">
        <v>3</v>
      </c>
      <c r="D277">
        <f>Source!BI533</f>
        <v>1</v>
      </c>
      <c r="E277">
        <f>Source!FS533</f>
        <v>0</v>
      </c>
      <c r="F277" t="str">
        <f>Source!F533</f>
        <v>1.1-1-1105</v>
      </c>
      <c r="G277" t="str">
        <f>Source!G533</f>
        <v>Прокат листовой для строительных стальных конструкций, толщина более 3 мм, сталь С235, С245</v>
      </c>
      <c r="H277" t="str">
        <f>Source!H533</f>
        <v>т</v>
      </c>
      <c r="I277">
        <f>Source!I533</f>
        <v>1.8839999999999999E-2</v>
      </c>
      <c r="J277">
        <v>1</v>
      </c>
      <c r="K277">
        <f>Source!AC533</f>
        <v>0</v>
      </c>
      <c r="M277">
        <f t="shared" si="0"/>
        <v>0</v>
      </c>
      <c r="N277">
        <f>Source!AC533*IF(Source!BC533&lt;&gt; 0, Source!BC533, 1)</f>
        <v>0</v>
      </c>
      <c r="O277">
        <f t="shared" si="1"/>
        <v>0</v>
      </c>
      <c r="P277">
        <f>Source!AE533</f>
        <v>0</v>
      </c>
      <c r="R277">
        <f t="shared" si="2"/>
        <v>0</v>
      </c>
      <c r="S277">
        <f>Source!AE533*IF(Source!BS533&lt;&gt; 0, Source!BS533, 1)</f>
        <v>0</v>
      </c>
      <c r="T277">
        <f t="shared" si="3"/>
        <v>0</v>
      </c>
      <c r="U277">
        <v>3</v>
      </c>
      <c r="Y277">
        <f>Source!GF533</f>
        <v>1037925172</v>
      </c>
      <c r="Z277">
        <v>2144879241</v>
      </c>
      <c r="AA277">
        <v>2144879241</v>
      </c>
    </row>
    <row r="278" spans="1:27" x14ac:dyDescent="0.2">
      <c r="A278">
        <f>Source!A535</f>
        <v>18</v>
      </c>
      <c r="B278">
        <v>535</v>
      </c>
      <c r="C278">
        <v>3</v>
      </c>
      <c r="D278">
        <f>Source!BI535</f>
        <v>1</v>
      </c>
      <c r="E278">
        <f>Source!FS535</f>
        <v>0</v>
      </c>
      <c r="F278" t="str">
        <f>Source!F535</f>
        <v>1.6-1-216</v>
      </c>
      <c r="G278" t="str">
        <f>Source!G535</f>
        <v>Площадки с настилом из листовой, рифленой, просечной или круглой стали, каркасами и элементами жесткости из прокатных и гнутых профилей, прямоугольные и трапециевидные</v>
      </c>
      <c r="H278" t="str">
        <f>Source!H535</f>
        <v>т</v>
      </c>
      <c r="I278">
        <f>Source!I535</f>
        <v>5.8999999999999997E-2</v>
      </c>
      <c r="J278">
        <v>1</v>
      </c>
      <c r="K278">
        <f>Source!AC535</f>
        <v>0</v>
      </c>
      <c r="M278">
        <f t="shared" si="0"/>
        <v>0</v>
      </c>
      <c r="N278">
        <f>Source!AC535*IF(Source!BC535&lt;&gt; 0, Source!BC535, 1)</f>
        <v>0</v>
      </c>
      <c r="O278">
        <f t="shared" si="1"/>
        <v>0</v>
      </c>
      <c r="P278">
        <f>Source!AE535</f>
        <v>0</v>
      </c>
      <c r="R278">
        <f t="shared" si="2"/>
        <v>0</v>
      </c>
      <c r="S278">
        <f>Source!AE535*IF(Source!BS535&lt;&gt; 0, Source!BS535, 1)</f>
        <v>0</v>
      </c>
      <c r="T278">
        <f t="shared" si="3"/>
        <v>0</v>
      </c>
      <c r="U278">
        <v>3</v>
      </c>
      <c r="Y278">
        <f>Source!GF535</f>
        <v>-1207895087</v>
      </c>
      <c r="Z278">
        <v>1234441241</v>
      </c>
      <c r="AA278">
        <v>1234441241</v>
      </c>
    </row>
    <row r="279" spans="1:27" x14ac:dyDescent="0.2">
      <c r="A279">
        <v>20</v>
      </c>
      <c r="B279">
        <v>569</v>
      </c>
      <c r="C279">
        <v>3</v>
      </c>
      <c r="D279">
        <v>0</v>
      </c>
      <c r="E279">
        <f>SmtRes!AV569</f>
        <v>0</v>
      </c>
      <c r="F279" t="str">
        <f>SmtRes!I569</f>
        <v>1.1-1-1566</v>
      </c>
      <c r="G279" t="str">
        <f>SmtRes!K569</f>
        <v>Электроды, тип Э-42, 46, 50, диаметр 4 - 6 мм</v>
      </c>
      <c r="H279" t="str">
        <f>SmtRes!O569</f>
        <v>т</v>
      </c>
      <c r="I279">
        <f>SmtRes!Y569*Source!I539</f>
        <v>2.1457E-3</v>
      </c>
      <c r="J279">
        <f>SmtRes!AO569</f>
        <v>1</v>
      </c>
      <c r="K279">
        <f>SmtRes!AE569</f>
        <v>7191.81</v>
      </c>
      <c r="L279">
        <f>SmtRes!DB569</f>
        <v>154.62</v>
      </c>
      <c r="M279">
        <f>ROUND(ROUND(L279*Source!I539, 6)*1, 2)</f>
        <v>15.43</v>
      </c>
      <c r="N279">
        <f>SmtRes!AA569</f>
        <v>145777.99</v>
      </c>
      <c r="O279">
        <f>ROUND(ROUND(L279*Source!I539, 6)*SmtRes!DA569, 2)</f>
        <v>312.79000000000002</v>
      </c>
      <c r="P279">
        <f>SmtRes!AG569</f>
        <v>0</v>
      </c>
      <c r="Q279">
        <f>SmtRes!DC569</f>
        <v>0</v>
      </c>
      <c r="R279">
        <f>ROUND(ROUND(Q279*Source!I539, 6)*1, 2)</f>
        <v>0</v>
      </c>
      <c r="S279">
        <f>SmtRes!AC569</f>
        <v>0</v>
      </c>
      <c r="T279">
        <f>ROUND(ROUND(Q279*Source!I539, 6)*SmtRes!AK569, 2)</f>
        <v>0</v>
      </c>
      <c r="U279">
        <v>3</v>
      </c>
      <c r="Y279">
        <f>SmtRes!X569</f>
        <v>1310716689</v>
      </c>
      <c r="Z279">
        <v>1563916378</v>
      </c>
      <c r="AA279">
        <v>2138865355</v>
      </c>
    </row>
    <row r="280" spans="1:27" x14ac:dyDescent="0.2">
      <c r="A280">
        <v>20</v>
      </c>
      <c r="B280">
        <v>566</v>
      </c>
      <c r="C280">
        <v>2</v>
      </c>
      <c r="D280">
        <v>0</v>
      </c>
      <c r="E280">
        <f>SmtRes!AV566</f>
        <v>0</v>
      </c>
      <c r="F280" t="str">
        <f>SmtRes!I566</f>
        <v>9999990007</v>
      </c>
      <c r="G280" t="str">
        <f>SmtRes!K566</f>
        <v>Стоимость прочих машин (ЭСН)</v>
      </c>
      <c r="H280" t="str">
        <f>SmtRes!O566</f>
        <v>руб.</v>
      </c>
      <c r="I280">
        <f>SmtRes!Y566*Source!I539</f>
        <v>4.6444424999999994</v>
      </c>
      <c r="J280">
        <f>SmtRes!AO566</f>
        <v>1</v>
      </c>
      <c r="K280">
        <f>SmtRes!AF566</f>
        <v>1</v>
      </c>
      <c r="L280">
        <f>SmtRes!DB566</f>
        <v>46.537500000000001</v>
      </c>
      <c r="M280">
        <f>ROUND(ROUND(L280*Source!I539, 6)*1, 2)</f>
        <v>4.6399999999999997</v>
      </c>
      <c r="N280">
        <f>SmtRes!AB566</f>
        <v>1.0900000000000001</v>
      </c>
      <c r="O280">
        <f>ROUND(ROUND(L280*Source!I539, 6)*SmtRes!DA566, 2)</f>
        <v>4.6399999999999997</v>
      </c>
      <c r="P280">
        <f>SmtRes!AG566</f>
        <v>0</v>
      </c>
      <c r="Q280">
        <f>SmtRes!DC566</f>
        <v>0</v>
      </c>
      <c r="R280">
        <f>ROUND(ROUND(Q280*Source!I539, 6)*1, 2)</f>
        <v>0</v>
      </c>
      <c r="S280">
        <f>SmtRes!AC566</f>
        <v>0</v>
      </c>
      <c r="T280">
        <f>ROUND(ROUND(Q280*Source!I539, 6)*SmtRes!AK566, 2)</f>
        <v>0</v>
      </c>
      <c r="U280">
        <v>2</v>
      </c>
      <c r="Y280">
        <f>SmtRes!X566</f>
        <v>-1180195794</v>
      </c>
      <c r="Z280">
        <v>-595858232</v>
      </c>
      <c r="AA280">
        <v>-453702883</v>
      </c>
    </row>
    <row r="281" spans="1:27" x14ac:dyDescent="0.2">
      <c r="A281">
        <v>20</v>
      </c>
      <c r="B281">
        <v>565</v>
      </c>
      <c r="C281">
        <v>2</v>
      </c>
      <c r="D281">
        <v>0</v>
      </c>
      <c r="E281">
        <f>SmtRes!AV565</f>
        <v>0</v>
      </c>
      <c r="F281" t="str">
        <f>SmtRes!I565</f>
        <v>2.1-30-64</v>
      </c>
      <c r="G281" t="str">
        <f>SmtRes!K565</f>
        <v>Пресс-ножницы комбинированные</v>
      </c>
      <c r="H281" t="str">
        <f>SmtRes!O565</f>
        <v>маш.-ч.</v>
      </c>
      <c r="I281">
        <f>SmtRes!Y565*Source!I539</f>
        <v>0.10479000000000001</v>
      </c>
      <c r="J281">
        <f>SmtRes!AO565</f>
        <v>1</v>
      </c>
      <c r="K281">
        <f>SmtRes!AF565</f>
        <v>18.309999999999999</v>
      </c>
      <c r="L281">
        <f>SmtRes!DB565</f>
        <v>19.225000000000001</v>
      </c>
      <c r="M281">
        <f>ROUND(ROUND(L281*Source!I539, 6)*1, 2)</f>
        <v>1.92</v>
      </c>
      <c r="N281">
        <f>SmtRes!AB565</f>
        <v>364.62</v>
      </c>
      <c r="O281">
        <f>ROUND(ROUND(L281*Source!I539, 6)*SmtRes!DA565, 2)</f>
        <v>35.15</v>
      </c>
      <c r="P281">
        <f>SmtRes!AG565</f>
        <v>13.46</v>
      </c>
      <c r="Q281">
        <f>SmtRes!DC565</f>
        <v>14.137499999999999</v>
      </c>
      <c r="R281">
        <f>ROUND(ROUND(Q281*Source!I539, 6)*1, 2)</f>
        <v>1.41</v>
      </c>
      <c r="S281">
        <f>SmtRes!AC565</f>
        <v>424.74</v>
      </c>
      <c r="T281">
        <f>ROUND(ROUND(Q281*Source!I539, 6)*SmtRes!AK565, 2)</f>
        <v>40.96</v>
      </c>
      <c r="U281">
        <v>2</v>
      </c>
      <c r="Y281">
        <f>SmtRes!X565</f>
        <v>-1280649501</v>
      </c>
      <c r="Z281">
        <v>-738239914</v>
      </c>
      <c r="AA281">
        <v>-1486838010</v>
      </c>
    </row>
    <row r="282" spans="1:27" x14ac:dyDescent="0.2">
      <c r="A282">
        <v>20</v>
      </c>
      <c r="B282">
        <v>564</v>
      </c>
      <c r="C282">
        <v>2</v>
      </c>
      <c r="D282">
        <v>0</v>
      </c>
      <c r="E282">
        <f>SmtRes!AV564</f>
        <v>0</v>
      </c>
      <c r="F282" t="str">
        <f>SmtRes!I564</f>
        <v>2.1-30-6</v>
      </c>
      <c r="G282" t="str">
        <f>SmtRes!K564</f>
        <v>Дрели электрические</v>
      </c>
      <c r="H282" t="str">
        <f>SmtRes!O564</f>
        <v>маш.-ч.</v>
      </c>
      <c r="I282">
        <f>SmtRes!Y564*Source!I539</f>
        <v>3.7425E-2</v>
      </c>
      <c r="J282">
        <f>SmtRes!AO564</f>
        <v>1</v>
      </c>
      <c r="K282">
        <f>SmtRes!AF564</f>
        <v>2.36</v>
      </c>
      <c r="L282">
        <f>SmtRes!DB564</f>
        <v>0.88749999999999996</v>
      </c>
      <c r="M282">
        <f>ROUND(ROUND(L282*Source!I539, 6)*1, 2)</f>
        <v>0.09</v>
      </c>
      <c r="N282">
        <f>SmtRes!AB564</f>
        <v>2.57</v>
      </c>
      <c r="O282">
        <f>ROUND(ROUND(L282*Source!I539, 6)*SmtRes!DA564, 2)</f>
        <v>0.09</v>
      </c>
      <c r="P282">
        <f>SmtRes!AG564</f>
        <v>0.1</v>
      </c>
      <c r="Q282">
        <f>SmtRes!DC564</f>
        <v>3.7499999999999999E-2</v>
      </c>
      <c r="R282">
        <f>ROUND(ROUND(Q282*Source!I539, 6)*1, 2)</f>
        <v>0</v>
      </c>
      <c r="S282">
        <f>SmtRes!AC564</f>
        <v>0.11</v>
      </c>
      <c r="T282">
        <f>ROUND(ROUND(Q282*Source!I539, 6)*SmtRes!AK564, 2)</f>
        <v>0</v>
      </c>
      <c r="U282">
        <v>2</v>
      </c>
      <c r="Y282">
        <f>SmtRes!X564</f>
        <v>950854334</v>
      </c>
      <c r="Z282">
        <v>-216995753</v>
      </c>
      <c r="AA282">
        <v>-766673081</v>
      </c>
    </row>
    <row r="283" spans="1:27" x14ac:dyDescent="0.2">
      <c r="A283">
        <v>20</v>
      </c>
      <c r="B283">
        <v>563</v>
      </c>
      <c r="C283">
        <v>2</v>
      </c>
      <c r="D283">
        <v>0</v>
      </c>
      <c r="E283">
        <f>SmtRes!AV563</f>
        <v>0</v>
      </c>
      <c r="F283" t="str">
        <f>SmtRes!I563</f>
        <v>2.1-30-19</v>
      </c>
      <c r="G283" t="str">
        <f>SmtRes!K563</f>
        <v>Машины шлифовальные электрические, мощность до 1700 Вт</v>
      </c>
      <c r="H283" t="str">
        <f>SmtRes!O563</f>
        <v>маш.-ч.</v>
      </c>
      <c r="I283">
        <f>SmtRes!Y563*Source!I539</f>
        <v>0.13722499999999999</v>
      </c>
      <c r="J283">
        <f>SmtRes!AO563</f>
        <v>1</v>
      </c>
      <c r="K283">
        <f>SmtRes!AF563</f>
        <v>0.44</v>
      </c>
      <c r="L283">
        <f>SmtRes!DB563</f>
        <v>0.6</v>
      </c>
      <c r="M283">
        <f>ROUND(ROUND(L283*Source!I539, 6)*1, 2)</f>
        <v>0.06</v>
      </c>
      <c r="N283">
        <f>SmtRes!AB563</f>
        <v>3.86</v>
      </c>
      <c r="O283">
        <f>ROUND(ROUND(L283*Source!I539, 6)*SmtRes!DA563, 2)</f>
        <v>0.48</v>
      </c>
      <c r="P283">
        <f>SmtRes!AG563</f>
        <v>0</v>
      </c>
      <c r="Q283">
        <f>SmtRes!DC563</f>
        <v>0</v>
      </c>
      <c r="R283">
        <f>ROUND(ROUND(Q283*Source!I539, 6)*1, 2)</f>
        <v>0</v>
      </c>
      <c r="S283">
        <f>SmtRes!AC563</f>
        <v>0</v>
      </c>
      <c r="T283">
        <f>ROUND(ROUND(Q283*Source!I539, 6)*SmtRes!AK563, 2)</f>
        <v>0</v>
      </c>
      <c r="U283">
        <v>2</v>
      </c>
      <c r="Y283">
        <f>SmtRes!X563</f>
        <v>-1780114133</v>
      </c>
      <c r="Z283">
        <v>-1716961342</v>
      </c>
      <c r="AA283">
        <v>-911753716</v>
      </c>
    </row>
    <row r="284" spans="1:27" x14ac:dyDescent="0.2">
      <c r="A284">
        <v>20</v>
      </c>
      <c r="B284">
        <v>562</v>
      </c>
      <c r="C284">
        <v>2</v>
      </c>
      <c r="D284">
        <v>0</v>
      </c>
      <c r="E284">
        <f>SmtRes!AV562</f>
        <v>0</v>
      </c>
      <c r="F284" t="str">
        <f>SmtRes!I562</f>
        <v>2.1-13-16</v>
      </c>
      <c r="G284" t="str">
        <f>SmtRes!K562</f>
        <v>Аппараты для газовой сварки и резки</v>
      </c>
      <c r="H284" t="str">
        <f>SmtRes!O562</f>
        <v>маш.-ч.</v>
      </c>
      <c r="I284">
        <f>SmtRes!Y562*Source!I539</f>
        <v>0.12475</v>
      </c>
      <c r="J284">
        <f>SmtRes!AO562</f>
        <v>1</v>
      </c>
      <c r="K284">
        <f>SmtRes!AF562</f>
        <v>1.0900000000000001</v>
      </c>
      <c r="L284">
        <f>SmtRes!DB562</f>
        <v>1.3625</v>
      </c>
      <c r="M284">
        <f>ROUND(ROUND(L284*Source!I539, 6)*1, 2)</f>
        <v>0.14000000000000001</v>
      </c>
      <c r="N284">
        <f>SmtRes!AB562</f>
        <v>9.18</v>
      </c>
      <c r="O284">
        <f>ROUND(ROUND(L284*Source!I539, 6)*SmtRes!DA562, 2)</f>
        <v>1.05</v>
      </c>
      <c r="P284">
        <f>SmtRes!AG562</f>
        <v>0.09</v>
      </c>
      <c r="Q284">
        <f>SmtRes!DC562</f>
        <v>0.1125</v>
      </c>
      <c r="R284">
        <f>ROUND(ROUND(Q284*Source!I539, 6)*1, 2)</f>
        <v>0.01</v>
      </c>
      <c r="S284">
        <f>SmtRes!AC562</f>
        <v>2.84</v>
      </c>
      <c r="T284">
        <f>ROUND(ROUND(Q284*Source!I539, 6)*SmtRes!AK562, 2)</f>
        <v>0.33</v>
      </c>
      <c r="U284">
        <v>2</v>
      </c>
      <c r="Y284">
        <f>SmtRes!X562</f>
        <v>-157737218</v>
      </c>
      <c r="Z284">
        <v>2136166883</v>
      </c>
      <c r="AA284">
        <v>-721717029</v>
      </c>
    </row>
    <row r="285" spans="1:27" x14ac:dyDescent="0.2">
      <c r="A285">
        <v>20</v>
      </c>
      <c r="B285">
        <v>561</v>
      </c>
      <c r="C285">
        <v>2</v>
      </c>
      <c r="D285">
        <v>0</v>
      </c>
      <c r="E285">
        <f>SmtRes!AV561</f>
        <v>0</v>
      </c>
      <c r="F285" t="str">
        <f>SmtRes!I561</f>
        <v>2.1-13-14</v>
      </c>
      <c r="G285" t="str">
        <f>SmtRes!K561</f>
        <v>Аппараты сварочные постоянного тока (выпрямители) для ручной дуговой сварки, сварочный ток до 500 А</v>
      </c>
      <c r="H285" t="str">
        <f>SmtRes!O561</f>
        <v>маш.-ч.</v>
      </c>
      <c r="I285">
        <f>SmtRes!Y561*Source!I539</f>
        <v>3.405675</v>
      </c>
      <c r="J285">
        <f>SmtRes!AO561</f>
        <v>1</v>
      </c>
      <c r="K285">
        <f>SmtRes!AF561</f>
        <v>6.15</v>
      </c>
      <c r="L285">
        <f>SmtRes!DB561</f>
        <v>209.875</v>
      </c>
      <c r="M285">
        <f>ROUND(ROUND(L285*Source!I539, 6)*1, 2)</f>
        <v>20.95</v>
      </c>
      <c r="N285">
        <f>SmtRes!AB561</f>
        <v>68.39</v>
      </c>
      <c r="O285">
        <f>ROUND(ROUND(L285*Source!I539, 6)*SmtRes!DA561, 2)</f>
        <v>214.27</v>
      </c>
      <c r="P285">
        <f>SmtRes!AG561</f>
        <v>0.02</v>
      </c>
      <c r="Q285">
        <f>SmtRes!DC561</f>
        <v>0.6875</v>
      </c>
      <c r="R285">
        <f>ROUND(ROUND(Q285*Source!I539, 6)*1, 2)</f>
        <v>7.0000000000000007E-2</v>
      </c>
      <c r="S285">
        <f>SmtRes!AC561</f>
        <v>0.63</v>
      </c>
      <c r="T285">
        <f>ROUND(ROUND(Q285*Source!I539, 6)*SmtRes!AK561, 2)</f>
        <v>1.99</v>
      </c>
      <c r="U285">
        <v>2</v>
      </c>
      <c r="Y285">
        <f>SmtRes!X561</f>
        <v>49912578</v>
      </c>
      <c r="Z285">
        <v>-1184234032</v>
      </c>
      <c r="AA285">
        <v>-1766684615</v>
      </c>
    </row>
    <row r="286" spans="1:27" x14ac:dyDescent="0.2">
      <c r="A286">
        <v>20</v>
      </c>
      <c r="B286">
        <v>560</v>
      </c>
      <c r="C286">
        <v>1</v>
      </c>
      <c r="D286">
        <v>0</v>
      </c>
      <c r="E286">
        <f>SmtRes!AV560</f>
        <v>1</v>
      </c>
      <c r="F286" t="str">
        <f>SmtRes!I560</f>
        <v>9999990008</v>
      </c>
      <c r="G286" t="str">
        <f>SmtRes!K560</f>
        <v>Трудозатраты рабочих</v>
      </c>
      <c r="H286" t="str">
        <f>SmtRes!O560</f>
        <v>чел.-ч.</v>
      </c>
      <c r="I286">
        <f>SmtRes!Y560*Source!I539</f>
        <v>10.44407</v>
      </c>
      <c r="J286">
        <f>SmtRes!AO560</f>
        <v>1</v>
      </c>
      <c r="K286">
        <f>SmtRes!AH560</f>
        <v>0</v>
      </c>
      <c r="L286">
        <f>SmtRes!DB560</f>
        <v>0</v>
      </c>
      <c r="M286">
        <f>ROUND(ROUND(L286*Source!I539, 6)*1, 2)</f>
        <v>0</v>
      </c>
      <c r="N286">
        <f>SmtRes!AD560</f>
        <v>0</v>
      </c>
      <c r="O286">
        <f>ROUND(ROUND(L286*Source!I539, 6)*SmtRes!DA560, 2)</f>
        <v>0</v>
      </c>
      <c r="P286">
        <f>SmtRes!AG560</f>
        <v>0</v>
      </c>
      <c r="Q286">
        <f>SmtRes!DC560</f>
        <v>0</v>
      </c>
      <c r="R286">
        <f>ROUND(ROUND(Q286*Source!I539, 6)*1, 2)</f>
        <v>0</v>
      </c>
      <c r="S286">
        <f>SmtRes!AC560</f>
        <v>0</v>
      </c>
      <c r="T286">
        <f>ROUND(ROUND(Q286*Source!I539, 6)*SmtRes!AK560, 2)</f>
        <v>0</v>
      </c>
      <c r="U286">
        <v>1</v>
      </c>
      <c r="Y286">
        <f>SmtRes!X560</f>
        <v>476480486</v>
      </c>
      <c r="Z286">
        <v>1499241640</v>
      </c>
      <c r="AA286">
        <v>1499241640</v>
      </c>
    </row>
    <row r="287" spans="1:27" x14ac:dyDescent="0.2">
      <c r="A287">
        <f>Source!A541</f>
        <v>18</v>
      </c>
      <c r="B287">
        <v>541</v>
      </c>
      <c r="C287">
        <v>3</v>
      </c>
      <c r="D287">
        <f>Source!BI541</f>
        <v>1</v>
      </c>
      <c r="E287">
        <f>Source!FS541</f>
        <v>0</v>
      </c>
      <c r="F287" t="str">
        <f>Source!F541</f>
        <v>1.1-1-987</v>
      </c>
      <c r="G287" t="str">
        <f>Source!G541</f>
        <v>Пропан-бутан газообразный</v>
      </c>
      <c r="H287" t="str">
        <f>Source!H541</f>
        <v>м3</v>
      </c>
      <c r="I287">
        <f>Source!I541</f>
        <v>4.99E-2</v>
      </c>
      <c r="J287">
        <v>1</v>
      </c>
      <c r="K287">
        <f>Source!AC541</f>
        <v>5.67</v>
      </c>
      <c r="M287">
        <f t="shared" ref="M287:M293" si="4">ROUND(K287*I287, 2)</f>
        <v>0.28000000000000003</v>
      </c>
      <c r="N287">
        <f>Source!AC541*IF(Source!BC541&lt;&gt; 0, Source!BC541, 1)</f>
        <v>110.8485</v>
      </c>
      <c r="O287">
        <f t="shared" ref="O287:O293" si="5">ROUND(N287*I287, 2)</f>
        <v>5.53</v>
      </c>
      <c r="P287">
        <f>Source!AE541</f>
        <v>0</v>
      </c>
      <c r="R287">
        <f t="shared" ref="R287:R293" si="6">ROUND(P287*I287, 2)</f>
        <v>0</v>
      </c>
      <c r="S287">
        <f>Source!AE541*IF(Source!BS541&lt;&gt; 0, Source!BS541, 1)</f>
        <v>0</v>
      </c>
      <c r="T287">
        <f t="shared" ref="T287:T293" si="7">ROUND(S287*I287, 2)</f>
        <v>0</v>
      </c>
      <c r="U287">
        <v>3</v>
      </c>
      <c r="Y287">
        <f>Source!GF541</f>
        <v>138241181</v>
      </c>
      <c r="Z287">
        <v>-1642756075</v>
      </c>
      <c r="AA287">
        <v>-1654900354</v>
      </c>
    </row>
    <row r="288" spans="1:27" x14ac:dyDescent="0.2">
      <c r="A288">
        <f>Source!A543</f>
        <v>18</v>
      </c>
      <c r="B288">
        <v>543</v>
      </c>
      <c r="C288">
        <v>3</v>
      </c>
      <c r="D288">
        <f>Source!BI543</f>
        <v>1</v>
      </c>
      <c r="E288">
        <f>Source!FS543</f>
        <v>0</v>
      </c>
      <c r="F288" t="str">
        <f>Source!F543</f>
        <v>Цена поставщика</v>
      </c>
      <c r="G288" t="str">
        <f>Source!G543</f>
        <v>Ограждение из нержавеющей стали с вертикальным заполнением с шагом не более 100мм с двухуровневым поручнем (Н=900мм)L=12,5п.м.</v>
      </c>
      <c r="H288" t="str">
        <f>Source!H543</f>
        <v>м</v>
      </c>
      <c r="I288">
        <f>Source!I543</f>
        <v>12.5</v>
      </c>
      <c r="J288">
        <v>1</v>
      </c>
      <c r="K288">
        <f>Source!AC543</f>
        <v>786.12</v>
      </c>
      <c r="M288">
        <f t="shared" si="4"/>
        <v>9826.5</v>
      </c>
      <c r="N288">
        <f>Source!AC543*IF(Source!BC543&lt;&gt; 0, Source!BC543, 1)</f>
        <v>6799.9380000000001</v>
      </c>
      <c r="O288">
        <f t="shared" si="5"/>
        <v>84999.23</v>
      </c>
      <c r="P288">
        <f>Source!AE543</f>
        <v>0</v>
      </c>
      <c r="R288">
        <f t="shared" si="6"/>
        <v>0</v>
      </c>
      <c r="S288">
        <f>Source!AE543*IF(Source!BS543&lt;&gt; 0, Source!BS543, 1)</f>
        <v>0</v>
      </c>
      <c r="T288">
        <f t="shared" si="7"/>
        <v>0</v>
      </c>
      <c r="U288">
        <v>3</v>
      </c>
      <c r="Y288">
        <f>Source!GF543</f>
        <v>-1886877045</v>
      </c>
      <c r="Z288">
        <v>-1633305049</v>
      </c>
      <c r="AA288">
        <v>-1505835031</v>
      </c>
    </row>
    <row r="289" spans="1:27" x14ac:dyDescent="0.2">
      <c r="A289">
        <f>Source!A545</f>
        <v>18</v>
      </c>
      <c r="B289">
        <v>545</v>
      </c>
      <c r="C289">
        <v>3</v>
      </c>
      <c r="D289">
        <f>Source!BI545</f>
        <v>1</v>
      </c>
      <c r="E289">
        <f>Source!FS545</f>
        <v>0</v>
      </c>
      <c r="F289" t="str">
        <f>Source!F545</f>
        <v>1.12-6-9</v>
      </c>
      <c r="G289" t="str">
        <f>Source!G545</f>
        <v>Трубы стальные электросварные прямошовные, ГОСТ 10705-80, ГОСТ 10704-91, наружный диаметр 38 мм, толщина стенки 1,5 мм</v>
      </c>
      <c r="H289" t="str">
        <f>Source!H545</f>
        <v>м</v>
      </c>
      <c r="I289">
        <f>Source!I545</f>
        <v>0</v>
      </c>
      <c r="J289">
        <v>1</v>
      </c>
      <c r="K289">
        <f>Source!AC545</f>
        <v>19.05</v>
      </c>
      <c r="M289">
        <f t="shared" si="4"/>
        <v>0</v>
      </c>
      <c r="N289">
        <f>Source!AC545*IF(Source!BC545&lt;&gt; 0, Source!BC545, 1)</f>
        <v>74.866500000000002</v>
      </c>
      <c r="O289">
        <f t="shared" si="5"/>
        <v>0</v>
      </c>
      <c r="P289">
        <f>Source!AE545</f>
        <v>0</v>
      </c>
      <c r="R289">
        <f t="shared" si="6"/>
        <v>0</v>
      </c>
      <c r="S289">
        <f>Source!AE545*IF(Source!BS545&lt;&gt; 0, Source!BS545, 1)</f>
        <v>0</v>
      </c>
      <c r="T289">
        <f t="shared" si="7"/>
        <v>0</v>
      </c>
      <c r="U289">
        <v>3</v>
      </c>
      <c r="Y289">
        <f>Source!GF545</f>
        <v>-2144998023</v>
      </c>
      <c r="Z289">
        <v>821722163</v>
      </c>
      <c r="AA289">
        <v>722640678</v>
      </c>
    </row>
    <row r="290" spans="1:27" x14ac:dyDescent="0.2">
      <c r="A290">
        <f>Source!A547</f>
        <v>18</v>
      </c>
      <c r="B290">
        <v>547</v>
      </c>
      <c r="C290">
        <v>3</v>
      </c>
      <c r="D290">
        <f>Source!BI547</f>
        <v>1</v>
      </c>
      <c r="E290">
        <f>Source!FS547</f>
        <v>0</v>
      </c>
      <c r="F290" t="str">
        <f>Source!F547</f>
        <v>1.12-6-2</v>
      </c>
      <c r="G290" t="str">
        <f>Source!G547</f>
        <v>Трубы стальные электросварные прямошовные, ГОСТ 10705-80, ГОСТ 10704-91, наружный диаметр 15 мм, толщина стенки 1,5 мм</v>
      </c>
      <c r="H290" t="str">
        <f>Source!H547</f>
        <v>м</v>
      </c>
      <c r="I290">
        <f>Source!I547</f>
        <v>0</v>
      </c>
      <c r="J290">
        <v>1</v>
      </c>
      <c r="K290">
        <f>Source!AC547</f>
        <v>6.81</v>
      </c>
      <c r="M290">
        <f t="shared" si="4"/>
        <v>0</v>
      </c>
      <c r="N290">
        <f>Source!AC547*IF(Source!BC547&lt;&gt; 0, Source!BC547, 1)</f>
        <v>57.953099999999992</v>
      </c>
      <c r="O290">
        <f t="shared" si="5"/>
        <v>0</v>
      </c>
      <c r="P290">
        <f>Source!AE547</f>
        <v>0</v>
      </c>
      <c r="R290">
        <f t="shared" si="6"/>
        <v>0</v>
      </c>
      <c r="S290">
        <f>Source!AE547*IF(Source!BS547&lt;&gt; 0, Source!BS547, 1)</f>
        <v>0</v>
      </c>
      <c r="T290">
        <f t="shared" si="7"/>
        <v>0</v>
      </c>
      <c r="U290">
        <v>3</v>
      </c>
      <c r="Y290">
        <f>Source!GF547</f>
        <v>155765014</v>
      </c>
      <c r="Z290">
        <v>1104164140</v>
      </c>
      <c r="AA290">
        <v>1707918764</v>
      </c>
    </row>
    <row r="291" spans="1:27" x14ac:dyDescent="0.2">
      <c r="A291">
        <f>Source!A549</f>
        <v>18</v>
      </c>
      <c r="B291">
        <v>549</v>
      </c>
      <c r="C291">
        <v>3</v>
      </c>
      <c r="D291">
        <f>Source!BI549</f>
        <v>1</v>
      </c>
      <c r="E291">
        <f>Source!FS549</f>
        <v>0</v>
      </c>
      <c r="F291" t="str">
        <f>Source!F549</f>
        <v>1.1-1-1135</v>
      </c>
      <c r="G291" t="str">
        <f>Source!G549</f>
        <v>Уголок неравнополочный, для строительных стальных конструкций, ширина большей полки 40-80 мм, сталь С235, С245</v>
      </c>
      <c r="H291" t="str">
        <f>Source!H549</f>
        <v>т</v>
      </c>
      <c r="I291">
        <f>Source!I549</f>
        <v>0</v>
      </c>
      <c r="J291">
        <v>1</v>
      </c>
      <c r="K291">
        <f>Source!AC549</f>
        <v>0</v>
      </c>
      <c r="M291">
        <f t="shared" si="4"/>
        <v>0</v>
      </c>
      <c r="N291">
        <f>Source!AC549*IF(Source!BC549&lt;&gt; 0, Source!BC549, 1)</f>
        <v>0</v>
      </c>
      <c r="O291">
        <f t="shared" si="5"/>
        <v>0</v>
      </c>
      <c r="P291">
        <f>Source!AE549</f>
        <v>0</v>
      </c>
      <c r="R291">
        <f t="shared" si="6"/>
        <v>0</v>
      </c>
      <c r="S291">
        <f>Source!AE549*IF(Source!BS549&lt;&gt; 0, Source!BS549, 1)</f>
        <v>0</v>
      </c>
      <c r="T291">
        <f t="shared" si="7"/>
        <v>0</v>
      </c>
      <c r="U291">
        <v>3</v>
      </c>
      <c r="Y291">
        <f>Source!GF549</f>
        <v>1465266954</v>
      </c>
      <c r="Z291">
        <v>489026520</v>
      </c>
      <c r="AA291">
        <v>489026520</v>
      </c>
    </row>
    <row r="292" spans="1:27" x14ac:dyDescent="0.2">
      <c r="A292">
        <f>Source!A551</f>
        <v>18</v>
      </c>
      <c r="B292">
        <v>551</v>
      </c>
      <c r="C292">
        <v>3</v>
      </c>
      <c r="D292">
        <f>Source!BI551</f>
        <v>1</v>
      </c>
      <c r="E292">
        <f>Source!FS551</f>
        <v>0</v>
      </c>
      <c r="F292" t="str">
        <f>Source!F551</f>
        <v>1.1-1-1105</v>
      </c>
      <c r="G292" t="str">
        <f>Source!G551</f>
        <v>Прокат листовой для строительных стальных конструкций, толщина более 3 мм, сталь С235, С245</v>
      </c>
      <c r="H292" t="str">
        <f>Source!H551</f>
        <v>т</v>
      </c>
      <c r="I292">
        <f>Source!I551</f>
        <v>0</v>
      </c>
      <c r="J292">
        <v>1</v>
      </c>
      <c r="K292">
        <f>Source!AC551</f>
        <v>0</v>
      </c>
      <c r="M292">
        <f t="shared" si="4"/>
        <v>0</v>
      </c>
      <c r="N292">
        <f>Source!AC551*IF(Source!BC551&lt;&gt; 0, Source!BC551, 1)</f>
        <v>0</v>
      </c>
      <c r="O292">
        <f t="shared" si="5"/>
        <v>0</v>
      </c>
      <c r="P292">
        <f>Source!AE551</f>
        <v>0</v>
      </c>
      <c r="R292">
        <f t="shared" si="6"/>
        <v>0</v>
      </c>
      <c r="S292">
        <f>Source!AE551*IF(Source!BS551&lt;&gt; 0, Source!BS551, 1)</f>
        <v>0</v>
      </c>
      <c r="T292">
        <f t="shared" si="7"/>
        <v>0</v>
      </c>
      <c r="U292">
        <v>3</v>
      </c>
      <c r="Y292">
        <f>Source!GF551</f>
        <v>1037925172</v>
      </c>
      <c r="Z292">
        <v>2144879241</v>
      </c>
      <c r="AA292">
        <v>2144879241</v>
      </c>
    </row>
    <row r="293" spans="1:27" x14ac:dyDescent="0.2">
      <c r="A293">
        <f>Source!A553</f>
        <v>18</v>
      </c>
      <c r="B293">
        <v>553</v>
      </c>
      <c r="C293">
        <v>3</v>
      </c>
      <c r="D293">
        <f>Source!BI553</f>
        <v>1</v>
      </c>
      <c r="E293">
        <f>Source!FS553</f>
        <v>0</v>
      </c>
      <c r="F293" t="str">
        <f>Source!F553</f>
        <v>1.1-1-376</v>
      </c>
      <c r="G293" t="str">
        <f>Source!G553</f>
        <v>Кислород технический газообразный</v>
      </c>
      <c r="H293" t="str">
        <f>Source!H553</f>
        <v>м3</v>
      </c>
      <c r="I293">
        <f>Source!I553</f>
        <v>0.25947999999999999</v>
      </c>
      <c r="J293">
        <v>1</v>
      </c>
      <c r="K293">
        <f>Source!AC553</f>
        <v>5.91</v>
      </c>
      <c r="M293">
        <f t="shared" si="4"/>
        <v>1.53</v>
      </c>
      <c r="N293">
        <f>Source!AC553*IF(Source!BC553&lt;&gt; 0, Source!BC553, 1)</f>
        <v>76.9482</v>
      </c>
      <c r="O293">
        <f t="shared" si="5"/>
        <v>19.97</v>
      </c>
      <c r="P293">
        <f>Source!AE553</f>
        <v>0</v>
      </c>
      <c r="R293">
        <f t="shared" si="6"/>
        <v>0</v>
      </c>
      <c r="S293">
        <f>Source!AE553*IF(Source!BS553&lt;&gt; 0, Source!BS553, 1)</f>
        <v>0</v>
      </c>
      <c r="T293">
        <f t="shared" si="7"/>
        <v>0</v>
      </c>
      <c r="U293">
        <v>3</v>
      </c>
      <c r="Y293">
        <f>Source!GF553</f>
        <v>-1236741395</v>
      </c>
      <c r="Z293">
        <v>113990930</v>
      </c>
      <c r="AA293">
        <v>1191982805</v>
      </c>
    </row>
    <row r="294" spans="1:27" x14ac:dyDescent="0.2">
      <c r="A294">
        <v>20</v>
      </c>
      <c r="B294">
        <v>584</v>
      </c>
      <c r="C294">
        <v>3</v>
      </c>
      <c r="D294">
        <v>0</v>
      </c>
      <c r="E294">
        <f>SmtRes!AV584</f>
        <v>0</v>
      </c>
      <c r="F294" t="str">
        <f>SmtRes!I584</f>
        <v>9999990006</v>
      </c>
      <c r="G294" t="str">
        <f>SmtRes!K584</f>
        <v>Стоимость прочих материалов (ЭСН)</v>
      </c>
      <c r="H294" t="str">
        <f>SmtRes!O584</f>
        <v>руб.</v>
      </c>
      <c r="I294">
        <f>SmtRes!Y584*Source!I555</f>
        <v>3.9401039999999998</v>
      </c>
      <c r="J294">
        <f>SmtRes!AO584</f>
        <v>1</v>
      </c>
      <c r="K294">
        <f>SmtRes!AE584</f>
        <v>1</v>
      </c>
      <c r="L294">
        <f>SmtRes!DB584</f>
        <v>39.479999999999997</v>
      </c>
      <c r="M294">
        <f>ROUND(ROUND(L294*Source!I555, 6)*1, 2)</f>
        <v>3.94</v>
      </c>
      <c r="N294">
        <f>SmtRes!AA584</f>
        <v>8.65</v>
      </c>
      <c r="O294">
        <f>ROUND(ROUND(L294*Source!I555, 6)*SmtRes!DA584, 2)</f>
        <v>34.08</v>
      </c>
      <c r="P294">
        <f>SmtRes!AG584</f>
        <v>0</v>
      </c>
      <c r="Q294">
        <f>SmtRes!DC584</f>
        <v>0</v>
      </c>
      <c r="R294">
        <f>ROUND(ROUND(Q294*Source!I555, 6)*1, 2)</f>
        <v>0</v>
      </c>
      <c r="S294">
        <f>SmtRes!AC584</f>
        <v>0</v>
      </c>
      <c r="T294">
        <f>ROUND(ROUND(Q294*Source!I555, 6)*SmtRes!AK584, 2)</f>
        <v>0</v>
      </c>
      <c r="U294">
        <v>3</v>
      </c>
      <c r="Y294">
        <f>SmtRes!X584</f>
        <v>-94250534</v>
      </c>
      <c r="Z294">
        <v>-1771809642</v>
      </c>
      <c r="AA294">
        <v>19367311</v>
      </c>
    </row>
    <row r="295" spans="1:27" x14ac:dyDescent="0.2">
      <c r="A295">
        <v>20</v>
      </c>
      <c r="B295">
        <v>582</v>
      </c>
      <c r="C295">
        <v>3</v>
      </c>
      <c r="D295">
        <v>0</v>
      </c>
      <c r="E295">
        <f>SmtRes!AV582</f>
        <v>0</v>
      </c>
      <c r="F295" t="str">
        <f>SmtRes!I582</f>
        <v>1.1-1-1566</v>
      </c>
      <c r="G295" t="str">
        <f>SmtRes!K582</f>
        <v>Электроды, тип Э-42, 46, 50, диаметр 4 - 6 мм</v>
      </c>
      <c r="H295" t="str">
        <f>SmtRes!O582</f>
        <v>т</v>
      </c>
      <c r="I295">
        <f>SmtRes!Y582*Source!I555</f>
        <v>1.3972E-4</v>
      </c>
      <c r="J295">
        <f>SmtRes!AO582</f>
        <v>1</v>
      </c>
      <c r="K295">
        <f>SmtRes!AE582</f>
        <v>7191.81</v>
      </c>
      <c r="L295">
        <f>SmtRes!DB582</f>
        <v>10.07</v>
      </c>
      <c r="M295">
        <f>ROUND(ROUND(L295*Source!I555, 6)*1, 2)</f>
        <v>1</v>
      </c>
      <c r="N295">
        <f>SmtRes!AA582</f>
        <v>145777.99</v>
      </c>
      <c r="O295">
        <f>ROUND(ROUND(L295*Source!I555, 6)*SmtRes!DA582, 2)</f>
        <v>20.37</v>
      </c>
      <c r="P295">
        <f>SmtRes!AG582</f>
        <v>0</v>
      </c>
      <c r="Q295">
        <f>SmtRes!DC582</f>
        <v>0</v>
      </c>
      <c r="R295">
        <f>ROUND(ROUND(Q295*Source!I555, 6)*1, 2)</f>
        <v>0</v>
      </c>
      <c r="S295">
        <f>SmtRes!AC582</f>
        <v>0</v>
      </c>
      <c r="T295">
        <f>ROUND(ROUND(Q295*Source!I555, 6)*SmtRes!AK582, 2)</f>
        <v>0</v>
      </c>
      <c r="U295">
        <v>3</v>
      </c>
      <c r="Y295">
        <f>SmtRes!X582</f>
        <v>1310716689</v>
      </c>
      <c r="Z295">
        <v>1563916378</v>
      </c>
      <c r="AA295">
        <v>2138865355</v>
      </c>
    </row>
    <row r="296" spans="1:27" x14ac:dyDescent="0.2">
      <c r="A296">
        <v>20</v>
      </c>
      <c r="B296">
        <v>581</v>
      </c>
      <c r="C296">
        <v>2</v>
      </c>
      <c r="D296">
        <v>0</v>
      </c>
      <c r="E296">
        <f>SmtRes!AV581</f>
        <v>0</v>
      </c>
      <c r="F296" t="str">
        <f>SmtRes!I581</f>
        <v>2.1-4-31</v>
      </c>
      <c r="G296" t="str">
        <f>SmtRes!K581</f>
        <v>Лебедки электрические, грузоподъемность до 1,5 т</v>
      </c>
      <c r="H296" t="str">
        <f>SmtRes!O581</f>
        <v>маш.-ч.</v>
      </c>
      <c r="I296">
        <f>SmtRes!Y581*Source!I555</f>
        <v>1.8961999999999999</v>
      </c>
      <c r="J296">
        <f>SmtRes!AO581</f>
        <v>1</v>
      </c>
      <c r="K296">
        <f>SmtRes!AF581</f>
        <v>2.78</v>
      </c>
      <c r="L296">
        <f>SmtRes!DB581</f>
        <v>52.825000000000003</v>
      </c>
      <c r="M296">
        <f>ROUND(ROUND(L296*Source!I555, 6)*1, 2)</f>
        <v>5.27</v>
      </c>
      <c r="N296">
        <f>SmtRes!AB581</f>
        <v>24.96</v>
      </c>
      <c r="O296">
        <f>ROUND(ROUND(L296*Source!I555, 6)*SmtRes!DA581, 2)</f>
        <v>43.55</v>
      </c>
      <c r="P296">
        <f>SmtRes!AG581</f>
        <v>0.19</v>
      </c>
      <c r="Q296">
        <f>SmtRes!DC581</f>
        <v>3.6124999999999998</v>
      </c>
      <c r="R296">
        <f>ROUND(ROUND(Q296*Source!I555, 6)*1, 2)</f>
        <v>0.36</v>
      </c>
      <c r="S296">
        <f>SmtRes!AC581</f>
        <v>6</v>
      </c>
      <c r="T296">
        <f>ROUND(ROUND(Q296*Source!I555, 6)*SmtRes!AK581, 2)</f>
        <v>10.47</v>
      </c>
      <c r="U296">
        <v>2</v>
      </c>
      <c r="Y296">
        <f>SmtRes!X581</f>
        <v>1116621208</v>
      </c>
      <c r="Z296">
        <v>-1008380132</v>
      </c>
      <c r="AA296">
        <v>-1782595156</v>
      </c>
    </row>
    <row r="297" spans="1:27" x14ac:dyDescent="0.2">
      <c r="A297">
        <v>20</v>
      </c>
      <c r="B297">
        <v>580</v>
      </c>
      <c r="C297">
        <v>1</v>
      </c>
      <c r="D297">
        <v>0</v>
      </c>
      <c r="E297">
        <f>SmtRes!AV580</f>
        <v>1</v>
      </c>
      <c r="F297" t="str">
        <f>SmtRes!I580</f>
        <v>9999990008</v>
      </c>
      <c r="G297" t="str">
        <f>SmtRes!K580</f>
        <v>Трудозатраты рабочих</v>
      </c>
      <c r="H297" t="str">
        <f>SmtRes!O580</f>
        <v>чел.-ч.</v>
      </c>
      <c r="I297">
        <f>SmtRes!Y580*Source!I555</f>
        <v>8.7225199999999994</v>
      </c>
      <c r="J297">
        <f>SmtRes!AO580</f>
        <v>1</v>
      </c>
      <c r="K297">
        <f>SmtRes!AH580</f>
        <v>0</v>
      </c>
      <c r="L297">
        <f>SmtRes!DB580</f>
        <v>0</v>
      </c>
      <c r="M297">
        <f>ROUND(ROUND(L297*Source!I555, 6)*1, 2)</f>
        <v>0</v>
      </c>
      <c r="N297">
        <f>SmtRes!AD580</f>
        <v>0</v>
      </c>
      <c r="O297">
        <f>ROUND(ROUND(L297*Source!I555, 6)*SmtRes!DA580, 2)</f>
        <v>0</v>
      </c>
      <c r="P297">
        <f>SmtRes!AG580</f>
        <v>0</v>
      </c>
      <c r="Q297">
        <f>SmtRes!DC580</f>
        <v>0</v>
      </c>
      <c r="R297">
        <f>ROUND(ROUND(Q297*Source!I555, 6)*1, 2)</f>
        <v>0</v>
      </c>
      <c r="S297">
        <f>SmtRes!AC580</f>
        <v>0</v>
      </c>
      <c r="T297">
        <f>ROUND(ROUND(Q297*Source!I555, 6)*SmtRes!AK580, 2)</f>
        <v>0</v>
      </c>
      <c r="U297">
        <v>1</v>
      </c>
      <c r="Y297">
        <f>SmtRes!X580</f>
        <v>476480486</v>
      </c>
      <c r="Z297">
        <v>1499241640</v>
      </c>
      <c r="AA297">
        <v>1499241640</v>
      </c>
    </row>
    <row r="298" spans="1:27" x14ac:dyDescent="0.2">
      <c r="A298">
        <f>Source!A557</f>
        <v>18</v>
      </c>
      <c r="B298">
        <v>557</v>
      </c>
      <c r="C298">
        <v>3</v>
      </c>
      <c r="D298">
        <f>Source!BI557</f>
        <v>1</v>
      </c>
      <c r="E298">
        <f>Source!FS557</f>
        <v>0</v>
      </c>
      <c r="F298" t="str">
        <f>Source!F557</f>
        <v>1.7-5-198</v>
      </c>
      <c r="G298" t="str">
        <f>Source!G557</f>
        <v>Анкер клиновой, стальной, оцинкованный, для установки в pастянутой и сжатой зоне бетона, диаметр 8 мм, длина 95 мм, максимальная толщина закрепляемой детали при стандартной/уменьшенной глубине анкеровки 30/41 мм</v>
      </c>
      <c r="H298" t="str">
        <f>Source!H557</f>
        <v>шт.</v>
      </c>
      <c r="I298">
        <f>Source!I557</f>
        <v>76</v>
      </c>
      <c r="J298">
        <v>1</v>
      </c>
      <c r="K298">
        <f>Source!AC557</f>
        <v>12.2</v>
      </c>
      <c r="M298">
        <f>ROUND(K298*I298, 2)</f>
        <v>927.2</v>
      </c>
      <c r="N298">
        <f>Source!AC557*IF(Source!BC557&lt;&gt; 0, Source!BC557, 1)</f>
        <v>134.56599999999997</v>
      </c>
      <c r="O298">
        <f>ROUND(N298*I298, 2)</f>
        <v>10227.02</v>
      </c>
      <c r="P298">
        <f>Source!AE557</f>
        <v>0</v>
      </c>
      <c r="R298">
        <f>ROUND(P298*I298, 2)</f>
        <v>0</v>
      </c>
      <c r="S298">
        <f>Source!AE557*IF(Source!BS557&lt;&gt; 0, Source!BS557, 1)</f>
        <v>0</v>
      </c>
      <c r="T298">
        <f>ROUND(S298*I298, 2)</f>
        <v>0</v>
      </c>
      <c r="U298">
        <v>3</v>
      </c>
      <c r="Y298">
        <f>Source!GF557</f>
        <v>-1926735092</v>
      </c>
      <c r="Z298">
        <v>-1823124111</v>
      </c>
      <c r="AA298">
        <v>968088401</v>
      </c>
    </row>
    <row r="299" spans="1:27" x14ac:dyDescent="0.2">
      <c r="A299">
        <v>20</v>
      </c>
      <c r="B299">
        <v>595</v>
      </c>
      <c r="C299">
        <v>3</v>
      </c>
      <c r="D299">
        <v>0</v>
      </c>
      <c r="E299">
        <f>SmtRes!AV595</f>
        <v>0</v>
      </c>
      <c r="F299" t="str">
        <f>SmtRes!I595</f>
        <v>1.1-1-118</v>
      </c>
      <c r="G299" t="str">
        <f>SmtRes!K595</f>
        <v>Вода</v>
      </c>
      <c r="H299" t="str">
        <f>SmtRes!O595</f>
        <v>м3</v>
      </c>
      <c r="I299">
        <f>SmtRes!Y595*Source!I559</f>
        <v>6.9750000000000006E-2</v>
      </c>
      <c r="J299">
        <f>SmtRes!AO595</f>
        <v>1</v>
      </c>
      <c r="K299">
        <f>SmtRes!AE595</f>
        <v>7.07</v>
      </c>
      <c r="L299">
        <f>SmtRes!DB595</f>
        <v>1.06</v>
      </c>
      <c r="M299">
        <f>ROUND(ROUND(L299*Source!I559, 6)*1, 2)</f>
        <v>0.49</v>
      </c>
      <c r="N299">
        <f>SmtRes!AA595</f>
        <v>42.55</v>
      </c>
      <c r="O299">
        <f>ROUND(ROUND(L299*Source!I559, 6)*SmtRes!DA595, 2)</f>
        <v>2.96</v>
      </c>
      <c r="P299">
        <f>SmtRes!AG595</f>
        <v>0</v>
      </c>
      <c r="Q299">
        <f>SmtRes!DC595</f>
        <v>0</v>
      </c>
      <c r="R299">
        <f>ROUND(ROUND(Q299*Source!I559, 6)*1, 2)</f>
        <v>0</v>
      </c>
      <c r="S299">
        <f>SmtRes!AC595</f>
        <v>0</v>
      </c>
      <c r="T299">
        <f>ROUND(ROUND(Q299*Source!I559, 6)*SmtRes!AK595, 2)</f>
        <v>0</v>
      </c>
      <c r="U299">
        <v>3</v>
      </c>
      <c r="Y299">
        <f>SmtRes!X595</f>
        <v>-862991314</v>
      </c>
      <c r="Z299">
        <v>-1421290593</v>
      </c>
      <c r="AA299">
        <v>885428034</v>
      </c>
    </row>
    <row r="300" spans="1:27" x14ac:dyDescent="0.2">
      <c r="A300">
        <v>20</v>
      </c>
      <c r="B300">
        <v>594</v>
      </c>
      <c r="C300">
        <v>2</v>
      </c>
      <c r="D300">
        <v>0</v>
      </c>
      <c r="E300">
        <f>SmtRes!AV594</f>
        <v>0</v>
      </c>
      <c r="F300" t="str">
        <f>SmtRes!I594</f>
        <v>2.1-4-3</v>
      </c>
      <c r="G300" t="str">
        <f>SmtRes!K594</f>
        <v>Погрузчики универсальные на пневмоколесном ходу, грузоподъемность до 3 т</v>
      </c>
      <c r="H300" t="str">
        <f>SmtRes!O594</f>
        <v>маш.-ч.</v>
      </c>
      <c r="I300">
        <f>SmtRes!Y594*Source!I559</f>
        <v>4.0687500000000008E-2</v>
      </c>
      <c r="J300">
        <f>SmtRes!AO594</f>
        <v>1</v>
      </c>
      <c r="K300">
        <f>SmtRes!AF594</f>
        <v>106.74</v>
      </c>
      <c r="L300">
        <f>SmtRes!DB594</f>
        <v>9.3375000000000004</v>
      </c>
      <c r="M300">
        <f>ROUND(ROUND(L300*Source!I559, 6)*1, 2)</f>
        <v>4.34</v>
      </c>
      <c r="N300">
        <f>SmtRes!AB594</f>
        <v>1242.74</v>
      </c>
      <c r="O300">
        <f>ROUND(ROUND(L300*Source!I559, 6)*SmtRes!DA594, 2)</f>
        <v>48.28</v>
      </c>
      <c r="P300">
        <f>SmtRes!AG594</f>
        <v>19.2</v>
      </c>
      <c r="Q300">
        <f>SmtRes!DC594</f>
        <v>1.675</v>
      </c>
      <c r="R300">
        <f>ROUND(ROUND(Q300*Source!I559, 6)*1, 2)</f>
        <v>0.78</v>
      </c>
      <c r="S300">
        <f>SmtRes!AC594</f>
        <v>583.57000000000005</v>
      </c>
      <c r="T300">
        <f>ROUND(ROUND(Q300*Source!I559, 6)*SmtRes!AK594, 2)</f>
        <v>22.61</v>
      </c>
      <c r="U300">
        <v>2</v>
      </c>
      <c r="Y300">
        <f>SmtRes!X594</f>
        <v>1022351366</v>
      </c>
      <c r="Z300">
        <v>1979644477</v>
      </c>
      <c r="AA300">
        <v>389768262</v>
      </c>
    </row>
    <row r="301" spans="1:27" x14ac:dyDescent="0.2">
      <c r="A301">
        <v>20</v>
      </c>
      <c r="B301">
        <v>593</v>
      </c>
      <c r="C301">
        <v>2</v>
      </c>
      <c r="D301">
        <v>0</v>
      </c>
      <c r="E301">
        <f>SmtRes!AV593</f>
        <v>0</v>
      </c>
      <c r="F301" t="str">
        <f>SmtRes!I593</f>
        <v>2.1-30-1</v>
      </c>
      <c r="G301" t="str">
        <f>SmtRes!K593</f>
        <v>Трамбовки пневматические</v>
      </c>
      <c r="H301" t="str">
        <f>SmtRes!O593</f>
        <v>маш.-ч.</v>
      </c>
      <c r="I301">
        <f>SmtRes!Y593*Source!I559</f>
        <v>0.20924999999999999</v>
      </c>
      <c r="J301">
        <f>SmtRes!AO593</f>
        <v>1</v>
      </c>
      <c r="K301">
        <f>SmtRes!AF593</f>
        <v>0.56000000000000005</v>
      </c>
      <c r="L301">
        <f>SmtRes!DB593</f>
        <v>0.25</v>
      </c>
      <c r="M301">
        <f>ROUND(ROUND(L301*Source!I559, 6)*1, 2)</f>
        <v>0.12</v>
      </c>
      <c r="N301">
        <f>SmtRes!AB593</f>
        <v>4.51</v>
      </c>
      <c r="O301">
        <f>ROUND(ROUND(L301*Source!I559, 6)*SmtRes!DA593, 2)</f>
        <v>0.9</v>
      </c>
      <c r="P301">
        <f>SmtRes!AG593</f>
        <v>0.09</v>
      </c>
      <c r="Q301">
        <f>SmtRes!DC593</f>
        <v>3.7499999999999999E-2</v>
      </c>
      <c r="R301">
        <f>ROUND(ROUND(Q301*Source!I559, 6)*1, 2)</f>
        <v>0.02</v>
      </c>
      <c r="S301">
        <f>SmtRes!AC593</f>
        <v>2.74</v>
      </c>
      <c r="T301">
        <f>ROUND(ROUND(Q301*Source!I559, 6)*SmtRes!AK593, 2)</f>
        <v>0.51</v>
      </c>
      <c r="U301">
        <v>2</v>
      </c>
      <c r="Y301">
        <f>SmtRes!X593</f>
        <v>1280158331</v>
      </c>
      <c r="Z301">
        <v>-1999577704</v>
      </c>
      <c r="AA301">
        <v>-1713971348</v>
      </c>
    </row>
    <row r="302" spans="1:27" x14ac:dyDescent="0.2">
      <c r="A302">
        <v>20</v>
      </c>
      <c r="B302">
        <v>592</v>
      </c>
      <c r="C302">
        <v>2</v>
      </c>
      <c r="D302">
        <v>0</v>
      </c>
      <c r="E302">
        <f>SmtRes!AV592</f>
        <v>0</v>
      </c>
      <c r="F302" t="str">
        <f>SmtRes!I592</f>
        <v>2.1-10-4</v>
      </c>
      <c r="G302" t="str">
        <f>SmtRes!K592</f>
        <v>Компрессоры прицепные с двигателем внутреннего сгорания, производительность до 2,5 м3/мин, мощность двигателя до 23 кВт (31,3 л.с.)</v>
      </c>
      <c r="H302" t="str">
        <f>SmtRes!O592</f>
        <v>маш.-ч.</v>
      </c>
      <c r="I302">
        <f>SmtRes!Y592*Source!I559</f>
        <v>0.104625</v>
      </c>
      <c r="J302">
        <f>SmtRes!AO592</f>
        <v>1</v>
      </c>
      <c r="K302">
        <f>SmtRes!AF592</f>
        <v>41.62</v>
      </c>
      <c r="L302">
        <f>SmtRes!DB592</f>
        <v>9.3625000000000007</v>
      </c>
      <c r="M302">
        <f>ROUND(ROUND(L302*Source!I559, 6)*1, 2)</f>
        <v>4.3499999999999996</v>
      </c>
      <c r="N302">
        <f>SmtRes!AB592</f>
        <v>721.62</v>
      </c>
      <c r="O302">
        <f>ROUND(ROUND(L302*Source!I559, 6)*SmtRes!DA592, 2)</f>
        <v>72.099999999999994</v>
      </c>
      <c r="P302">
        <f>SmtRes!AG592</f>
        <v>13.33</v>
      </c>
      <c r="Q302">
        <f>SmtRes!DC592</f>
        <v>3</v>
      </c>
      <c r="R302">
        <f>ROUND(ROUND(Q302*Source!I559, 6)*1, 2)</f>
        <v>1.4</v>
      </c>
      <c r="S302">
        <f>SmtRes!AC592</f>
        <v>405.16</v>
      </c>
      <c r="T302">
        <f>ROUND(ROUND(Q302*Source!I559, 6)*SmtRes!AK592, 2)</f>
        <v>40.5</v>
      </c>
      <c r="U302">
        <v>2</v>
      </c>
      <c r="Y302">
        <f>SmtRes!X592</f>
        <v>-668768829</v>
      </c>
      <c r="Z302">
        <v>1386714899</v>
      </c>
      <c r="AA302">
        <v>-2002567974</v>
      </c>
    </row>
    <row r="303" spans="1:27" x14ac:dyDescent="0.2">
      <c r="A303">
        <v>20</v>
      </c>
      <c r="B303">
        <v>591</v>
      </c>
      <c r="C303">
        <v>1</v>
      </c>
      <c r="D303">
        <v>0</v>
      </c>
      <c r="E303">
        <f>SmtRes!AV591</f>
        <v>1</v>
      </c>
      <c r="F303" t="str">
        <f>SmtRes!I591</f>
        <v>9999990008</v>
      </c>
      <c r="G303" t="str">
        <f>SmtRes!K591</f>
        <v>Трудозатраты рабочих</v>
      </c>
      <c r="H303" t="str">
        <f>SmtRes!O591</f>
        <v>чел.-ч.</v>
      </c>
      <c r="I303">
        <f>SmtRes!Y591*Source!I559</f>
        <v>0.417105</v>
      </c>
      <c r="J303">
        <f>SmtRes!AO591</f>
        <v>1</v>
      </c>
      <c r="K303">
        <f>SmtRes!AH591</f>
        <v>0</v>
      </c>
      <c r="L303">
        <f>SmtRes!DB591</f>
        <v>0</v>
      </c>
      <c r="M303">
        <f>ROUND(ROUND(L303*Source!I559, 6)*1, 2)</f>
        <v>0</v>
      </c>
      <c r="N303">
        <f>SmtRes!AD591</f>
        <v>0</v>
      </c>
      <c r="O303">
        <f>ROUND(ROUND(L303*Source!I559, 6)*SmtRes!DA591, 2)</f>
        <v>0</v>
      </c>
      <c r="P303">
        <f>SmtRes!AG591</f>
        <v>0</v>
      </c>
      <c r="Q303">
        <f>SmtRes!DC591</f>
        <v>0</v>
      </c>
      <c r="R303">
        <f>ROUND(ROUND(Q303*Source!I559, 6)*1, 2)</f>
        <v>0</v>
      </c>
      <c r="S303">
        <f>SmtRes!AC591</f>
        <v>0</v>
      </c>
      <c r="T303">
        <f>ROUND(ROUND(Q303*Source!I559, 6)*SmtRes!AK591, 2)</f>
        <v>0</v>
      </c>
      <c r="U303">
        <v>1</v>
      </c>
      <c r="Y303">
        <f>SmtRes!X591</f>
        <v>476480486</v>
      </c>
      <c r="Z303">
        <v>1499241640</v>
      </c>
      <c r="AA303">
        <v>1499241640</v>
      </c>
    </row>
    <row r="304" spans="1:27" x14ac:dyDescent="0.2">
      <c r="A304">
        <f>Source!A561</f>
        <v>18</v>
      </c>
      <c r="B304">
        <v>561</v>
      </c>
      <c r="C304">
        <v>3</v>
      </c>
      <c r="D304">
        <f>Source!BI561</f>
        <v>1</v>
      </c>
      <c r="E304">
        <f>Source!FS561</f>
        <v>0</v>
      </c>
      <c r="F304" t="str">
        <f>Source!F561</f>
        <v>1.1-1-766</v>
      </c>
      <c r="G304" t="str">
        <f>Source!G561</f>
        <v>Песок для строительных работ, рядовой</v>
      </c>
      <c r="H304" t="str">
        <f>Source!H561</f>
        <v>м3</v>
      </c>
      <c r="I304">
        <f>Source!I561</f>
        <v>0.51149999999999995</v>
      </c>
      <c r="J304">
        <v>1</v>
      </c>
      <c r="K304">
        <f>Source!AC561</f>
        <v>104.99</v>
      </c>
      <c r="M304">
        <f>ROUND(K304*I304, 2)</f>
        <v>53.7</v>
      </c>
      <c r="N304">
        <f>Source!AC561*IF(Source!BC561&lt;&gt; 0, Source!BC561, 1)</f>
        <v>722.33119999999997</v>
      </c>
      <c r="O304">
        <f>ROUND(N304*I304, 2)</f>
        <v>369.47</v>
      </c>
      <c r="P304">
        <f>Source!AE561</f>
        <v>0</v>
      </c>
      <c r="R304">
        <f>ROUND(P304*I304, 2)</f>
        <v>0</v>
      </c>
      <c r="S304">
        <f>Source!AE561*IF(Source!BS561&lt;&gt; 0, Source!BS561, 1)</f>
        <v>0</v>
      </c>
      <c r="T304">
        <f>ROUND(S304*I304, 2)</f>
        <v>0</v>
      </c>
      <c r="U304">
        <v>3</v>
      </c>
      <c r="Y304">
        <f>Source!GF561</f>
        <v>2069056849</v>
      </c>
      <c r="Z304">
        <v>-1085618096</v>
      </c>
      <c r="AA304">
        <v>-2049674672</v>
      </c>
    </row>
    <row r="305" spans="1:27" x14ac:dyDescent="0.2">
      <c r="A305">
        <v>20</v>
      </c>
      <c r="B305">
        <v>607</v>
      </c>
      <c r="C305">
        <v>3</v>
      </c>
      <c r="D305">
        <v>0</v>
      </c>
      <c r="E305">
        <f>SmtRes!AV607</f>
        <v>0</v>
      </c>
      <c r="F305" t="str">
        <f>SmtRes!I607</f>
        <v>1.1-1-118</v>
      </c>
      <c r="G305" t="str">
        <f>SmtRes!K607</f>
        <v>Вода</v>
      </c>
      <c r="H305" t="str">
        <f>SmtRes!O607</f>
        <v>м3</v>
      </c>
      <c r="I305">
        <f>SmtRes!Y607*Source!I563</f>
        <v>6.9750000000000006E-2</v>
      </c>
      <c r="J305">
        <f>SmtRes!AO607</f>
        <v>1</v>
      </c>
      <c r="K305">
        <f>SmtRes!AE607</f>
        <v>7.07</v>
      </c>
      <c r="L305">
        <f>SmtRes!DB607</f>
        <v>1.06</v>
      </c>
      <c r="M305">
        <f>ROUND(ROUND(L305*Source!I563, 6)*1, 2)</f>
        <v>0.49</v>
      </c>
      <c r="N305">
        <f>SmtRes!AA607</f>
        <v>42.55</v>
      </c>
      <c r="O305">
        <f>ROUND(ROUND(L305*Source!I563, 6)*SmtRes!DA607, 2)</f>
        <v>2.96</v>
      </c>
      <c r="P305">
        <f>SmtRes!AG607</f>
        <v>0</v>
      </c>
      <c r="Q305">
        <f>SmtRes!DC607</f>
        <v>0</v>
      </c>
      <c r="R305">
        <f>ROUND(ROUND(Q305*Source!I563, 6)*1, 2)</f>
        <v>0</v>
      </c>
      <c r="S305">
        <f>SmtRes!AC607</f>
        <v>0</v>
      </c>
      <c r="T305">
        <f>ROUND(ROUND(Q305*Source!I563, 6)*SmtRes!AK607, 2)</f>
        <v>0</v>
      </c>
      <c r="U305">
        <v>3</v>
      </c>
      <c r="Y305">
        <f>SmtRes!X607</f>
        <v>-862991314</v>
      </c>
      <c r="Z305">
        <v>-1421290593</v>
      </c>
      <c r="AA305">
        <v>885428034</v>
      </c>
    </row>
    <row r="306" spans="1:27" x14ac:dyDescent="0.2">
      <c r="A306">
        <v>20</v>
      </c>
      <c r="B306">
        <v>606</v>
      </c>
      <c r="C306">
        <v>2</v>
      </c>
      <c r="D306">
        <v>0</v>
      </c>
      <c r="E306">
        <f>SmtRes!AV606</f>
        <v>0</v>
      </c>
      <c r="F306" t="str">
        <f>SmtRes!I606</f>
        <v>2.1-4-3</v>
      </c>
      <c r="G306" t="str">
        <f>SmtRes!K606</f>
        <v>Погрузчики универсальные на пневмоколесном ходу, грузоподъемность до 3 т</v>
      </c>
      <c r="H306" t="str">
        <f>SmtRes!O606</f>
        <v>маш.-ч.</v>
      </c>
      <c r="I306">
        <f>SmtRes!Y606*Source!I563</f>
        <v>4.0687500000000008E-2</v>
      </c>
      <c r="J306">
        <f>SmtRes!AO606</f>
        <v>1</v>
      </c>
      <c r="K306">
        <f>SmtRes!AF606</f>
        <v>106.74</v>
      </c>
      <c r="L306">
        <f>SmtRes!DB606</f>
        <v>9.3375000000000004</v>
      </c>
      <c r="M306">
        <f>ROUND(ROUND(L306*Source!I563, 6)*1, 2)</f>
        <v>4.34</v>
      </c>
      <c r="N306">
        <f>SmtRes!AB606</f>
        <v>1242.74</v>
      </c>
      <c r="O306">
        <f>ROUND(ROUND(L306*Source!I563, 6)*SmtRes!DA606, 2)</f>
        <v>48.28</v>
      </c>
      <c r="P306">
        <f>SmtRes!AG606</f>
        <v>19.2</v>
      </c>
      <c r="Q306">
        <f>SmtRes!DC606</f>
        <v>1.675</v>
      </c>
      <c r="R306">
        <f>ROUND(ROUND(Q306*Source!I563, 6)*1, 2)</f>
        <v>0.78</v>
      </c>
      <c r="S306">
        <f>SmtRes!AC606</f>
        <v>583.57000000000005</v>
      </c>
      <c r="T306">
        <f>ROUND(ROUND(Q306*Source!I563, 6)*SmtRes!AK606, 2)</f>
        <v>22.61</v>
      </c>
      <c r="U306">
        <v>2</v>
      </c>
      <c r="Y306">
        <f>SmtRes!X606</f>
        <v>1022351366</v>
      </c>
      <c r="Z306">
        <v>1979644477</v>
      </c>
      <c r="AA306">
        <v>389768262</v>
      </c>
    </row>
    <row r="307" spans="1:27" x14ac:dyDescent="0.2">
      <c r="A307">
        <v>20</v>
      </c>
      <c r="B307">
        <v>605</v>
      </c>
      <c r="C307">
        <v>2</v>
      </c>
      <c r="D307">
        <v>0</v>
      </c>
      <c r="E307">
        <f>SmtRes!AV605</f>
        <v>0</v>
      </c>
      <c r="F307" t="str">
        <f>SmtRes!I605</f>
        <v>2.1-30-1</v>
      </c>
      <c r="G307" t="str">
        <f>SmtRes!K605</f>
        <v>Трамбовки пневматические</v>
      </c>
      <c r="H307" t="str">
        <f>SmtRes!O605</f>
        <v>маш.-ч.</v>
      </c>
      <c r="I307">
        <f>SmtRes!Y605*Source!I563</f>
        <v>0.23250000000000001</v>
      </c>
      <c r="J307">
        <f>SmtRes!AO605</f>
        <v>1</v>
      </c>
      <c r="K307">
        <f>SmtRes!AF605</f>
        <v>0.56000000000000005</v>
      </c>
      <c r="L307">
        <f>SmtRes!DB605</f>
        <v>0.27500000000000002</v>
      </c>
      <c r="M307">
        <f>ROUND(ROUND(L307*Source!I563, 6)*1, 2)</f>
        <v>0.13</v>
      </c>
      <c r="N307">
        <f>SmtRes!AB605</f>
        <v>4.51</v>
      </c>
      <c r="O307">
        <f>ROUND(ROUND(L307*Source!I563, 6)*SmtRes!DA605, 2)</f>
        <v>0.98</v>
      </c>
      <c r="P307">
        <f>SmtRes!AG605</f>
        <v>0.09</v>
      </c>
      <c r="Q307">
        <f>SmtRes!DC605</f>
        <v>0.05</v>
      </c>
      <c r="R307">
        <f>ROUND(ROUND(Q307*Source!I563, 6)*1, 2)</f>
        <v>0.02</v>
      </c>
      <c r="S307">
        <f>SmtRes!AC605</f>
        <v>2.74</v>
      </c>
      <c r="T307">
        <f>ROUND(ROUND(Q307*Source!I563, 6)*SmtRes!AK605, 2)</f>
        <v>0.67</v>
      </c>
      <c r="U307">
        <v>2</v>
      </c>
      <c r="Y307">
        <f>SmtRes!X605</f>
        <v>1280158331</v>
      </c>
      <c r="Z307">
        <v>-1999577704</v>
      </c>
      <c r="AA307">
        <v>-1713971348</v>
      </c>
    </row>
    <row r="308" spans="1:27" x14ac:dyDescent="0.2">
      <c r="A308">
        <v>20</v>
      </c>
      <c r="B308">
        <v>604</v>
      </c>
      <c r="C308">
        <v>2</v>
      </c>
      <c r="D308">
        <v>0</v>
      </c>
      <c r="E308">
        <f>SmtRes!AV604</f>
        <v>0</v>
      </c>
      <c r="F308" t="str">
        <f>SmtRes!I604</f>
        <v>2.1-10-4</v>
      </c>
      <c r="G308" t="str">
        <f>SmtRes!K604</f>
        <v>Компрессоры прицепные с двигателем внутреннего сгорания, производительность до 2,5 м3/мин, мощность двигателя до 23 кВт (31,3 л.с.)</v>
      </c>
      <c r="H308" t="str">
        <f>SmtRes!O604</f>
        <v>маш.-ч.</v>
      </c>
      <c r="I308">
        <f>SmtRes!Y604*Source!I563</f>
        <v>0.11625000000000001</v>
      </c>
      <c r="J308">
        <f>SmtRes!AO604</f>
        <v>1</v>
      </c>
      <c r="K308">
        <f>SmtRes!AF604</f>
        <v>41.62</v>
      </c>
      <c r="L308">
        <f>SmtRes!DB604</f>
        <v>10.4</v>
      </c>
      <c r="M308">
        <f>ROUND(ROUND(L308*Source!I563, 6)*1, 2)</f>
        <v>4.84</v>
      </c>
      <c r="N308">
        <f>SmtRes!AB604</f>
        <v>721.62</v>
      </c>
      <c r="O308">
        <f>ROUND(ROUND(L308*Source!I563, 6)*SmtRes!DA604, 2)</f>
        <v>80.08</v>
      </c>
      <c r="P308">
        <f>SmtRes!AG604</f>
        <v>13.33</v>
      </c>
      <c r="Q308">
        <f>SmtRes!DC604</f>
        <v>3.3374999999999999</v>
      </c>
      <c r="R308">
        <f>ROUND(ROUND(Q308*Source!I563, 6)*1, 2)</f>
        <v>1.55</v>
      </c>
      <c r="S308">
        <f>SmtRes!AC604</f>
        <v>405.16</v>
      </c>
      <c r="T308">
        <f>ROUND(ROUND(Q308*Source!I563, 6)*SmtRes!AK604, 2)</f>
        <v>45.05</v>
      </c>
      <c r="U308">
        <v>2</v>
      </c>
      <c r="Y308">
        <f>SmtRes!X604</f>
        <v>-668768829</v>
      </c>
      <c r="Z308">
        <v>1386714899</v>
      </c>
      <c r="AA308">
        <v>-2002567974</v>
      </c>
    </row>
    <row r="309" spans="1:27" x14ac:dyDescent="0.2">
      <c r="A309">
        <v>20</v>
      </c>
      <c r="B309">
        <v>603</v>
      </c>
      <c r="C309">
        <v>1</v>
      </c>
      <c r="D309">
        <v>0</v>
      </c>
      <c r="E309">
        <f>SmtRes!AV603</f>
        <v>1</v>
      </c>
      <c r="F309" t="str">
        <f>SmtRes!I603</f>
        <v>9999990008</v>
      </c>
      <c r="G309" t="str">
        <f>SmtRes!K603</f>
        <v>Трудозатраты рабочих</v>
      </c>
      <c r="H309" t="str">
        <f>SmtRes!O603</f>
        <v>чел.-ч.</v>
      </c>
      <c r="I309">
        <f>SmtRes!Y603*Source!I563</f>
        <v>0.45453749999999998</v>
      </c>
      <c r="J309">
        <f>SmtRes!AO603</f>
        <v>1</v>
      </c>
      <c r="K309">
        <f>SmtRes!AH603</f>
        <v>0</v>
      </c>
      <c r="L309">
        <f>SmtRes!DB603</f>
        <v>0</v>
      </c>
      <c r="M309">
        <f>ROUND(ROUND(L309*Source!I563, 6)*1, 2)</f>
        <v>0</v>
      </c>
      <c r="N309">
        <f>SmtRes!AD603</f>
        <v>0</v>
      </c>
      <c r="O309">
        <f>ROUND(ROUND(L309*Source!I563, 6)*SmtRes!DA603, 2)</f>
        <v>0</v>
      </c>
      <c r="P309">
        <f>SmtRes!AG603</f>
        <v>0</v>
      </c>
      <c r="Q309">
        <f>SmtRes!DC603</f>
        <v>0</v>
      </c>
      <c r="R309">
        <f>ROUND(ROUND(Q309*Source!I563, 6)*1, 2)</f>
        <v>0</v>
      </c>
      <c r="S309">
        <f>SmtRes!AC603</f>
        <v>0</v>
      </c>
      <c r="T309">
        <f>ROUND(ROUND(Q309*Source!I563, 6)*SmtRes!AK603, 2)</f>
        <v>0</v>
      </c>
      <c r="U309">
        <v>1</v>
      </c>
      <c r="Y309">
        <f>SmtRes!X603</f>
        <v>476480486</v>
      </c>
      <c r="Z309">
        <v>1499241640</v>
      </c>
      <c r="AA309">
        <v>1499241640</v>
      </c>
    </row>
    <row r="310" spans="1:27" x14ac:dyDescent="0.2">
      <c r="A310">
        <f>Source!A565</f>
        <v>18</v>
      </c>
      <c r="B310">
        <v>565</v>
      </c>
      <c r="C310">
        <v>3</v>
      </c>
      <c r="D310">
        <f>Source!BI565</f>
        <v>1</v>
      </c>
      <c r="E310">
        <f>Source!FS565</f>
        <v>0</v>
      </c>
      <c r="F310" t="str">
        <f>Source!F565</f>
        <v>1.1-1-1518</v>
      </c>
      <c r="G310" t="str">
        <f>Source!G565</f>
        <v>Щебень из естественного камня для строительных работ, марка 300-200, фракция 5-10 мм</v>
      </c>
      <c r="H310" t="str">
        <f>Source!H565</f>
        <v>м3</v>
      </c>
      <c r="I310">
        <f>Source!I565</f>
        <v>0.53474999999999995</v>
      </c>
      <c r="J310">
        <v>1</v>
      </c>
      <c r="K310">
        <f>Source!AC565</f>
        <v>197.51</v>
      </c>
      <c r="M310">
        <f>ROUND(K310*I310, 2)</f>
        <v>105.62</v>
      </c>
      <c r="N310">
        <f>Source!AC565*IF(Source!BC565&lt;&gt; 0, Source!BC565, 1)</f>
        <v>2099.5313000000001</v>
      </c>
      <c r="O310">
        <f>ROUND(N310*I310, 2)</f>
        <v>1122.72</v>
      </c>
      <c r="P310">
        <f>Source!AE565</f>
        <v>0</v>
      </c>
      <c r="R310">
        <f>ROUND(P310*I310, 2)</f>
        <v>0</v>
      </c>
      <c r="S310">
        <f>Source!AE565*IF(Source!BS565&lt;&gt; 0, Source!BS565, 1)</f>
        <v>0</v>
      </c>
      <c r="T310">
        <f>ROUND(S310*I310, 2)</f>
        <v>0</v>
      </c>
      <c r="U310">
        <v>3</v>
      </c>
      <c r="Y310">
        <f>Source!GF565</f>
        <v>-1946291914</v>
      </c>
      <c r="Z310">
        <v>-1301094522</v>
      </c>
      <c r="AA310">
        <v>981919488</v>
      </c>
    </row>
    <row r="311" spans="1:27" x14ac:dyDescent="0.2">
      <c r="A311">
        <v>20</v>
      </c>
      <c r="B311">
        <v>640</v>
      </c>
      <c r="C311">
        <v>3</v>
      </c>
      <c r="D311">
        <v>0</v>
      </c>
      <c r="E311">
        <f>SmtRes!AV640</f>
        <v>0</v>
      </c>
      <c r="F311" t="str">
        <f>SmtRes!I640</f>
        <v>1.9-11-4</v>
      </c>
      <c r="G311" t="str">
        <f>SmtRes!K640</f>
        <v>Щиты деревянные для фундаментов, колонн, балок, перекрытий, стен, перегородок и других конструкций из досок, толщина 40 мм</v>
      </c>
      <c r="H311" t="str">
        <f>SmtRes!O640</f>
        <v>м2</v>
      </c>
      <c r="I311">
        <f>SmtRes!Y640*Source!I567</f>
        <v>1.908E-2</v>
      </c>
      <c r="J311">
        <f>SmtRes!AO640</f>
        <v>1</v>
      </c>
      <c r="K311">
        <f>SmtRes!AE640</f>
        <v>90.15</v>
      </c>
      <c r="L311">
        <f>SmtRes!DB640</f>
        <v>324.54000000000002</v>
      </c>
      <c r="M311">
        <f>ROUND(ROUND(L311*Source!I567, 6)*1, 2)</f>
        <v>1.72</v>
      </c>
      <c r="N311">
        <f>SmtRes!AA640</f>
        <v>323.39</v>
      </c>
      <c r="O311">
        <f>ROUND(ROUND(L311*Source!I567, 6)*SmtRes!DA640, 2)</f>
        <v>6.04</v>
      </c>
      <c r="P311">
        <f>SmtRes!AG640</f>
        <v>0</v>
      </c>
      <c r="Q311">
        <f>SmtRes!DC640</f>
        <v>0</v>
      </c>
      <c r="R311">
        <f>ROUND(ROUND(Q311*Source!I567, 6)*1, 2)</f>
        <v>0</v>
      </c>
      <c r="S311">
        <f>SmtRes!AC640</f>
        <v>0</v>
      </c>
      <c r="T311">
        <f>ROUND(ROUND(Q311*Source!I567, 6)*SmtRes!AK640, 2)</f>
        <v>0</v>
      </c>
      <c r="U311">
        <v>3</v>
      </c>
      <c r="Y311">
        <f>SmtRes!X640</f>
        <v>-153668504</v>
      </c>
      <c r="Z311">
        <v>-1265784304</v>
      </c>
      <c r="AA311">
        <v>25254433</v>
      </c>
    </row>
    <row r="312" spans="1:27" x14ac:dyDescent="0.2">
      <c r="A312">
        <v>20</v>
      </c>
      <c r="B312">
        <v>637</v>
      </c>
      <c r="C312">
        <v>3</v>
      </c>
      <c r="D312">
        <v>0</v>
      </c>
      <c r="E312">
        <f>SmtRes!AV637</f>
        <v>0</v>
      </c>
      <c r="F312" t="str">
        <f>SmtRes!I637</f>
        <v>1.1-1-655</v>
      </c>
      <c r="G312" t="str">
        <f>SmtRes!K637</f>
        <v>Мешковина</v>
      </c>
      <c r="H312" t="str">
        <f>SmtRes!O637</f>
        <v>м2</v>
      </c>
      <c r="I312">
        <f>SmtRes!Y637*Source!I567</f>
        <v>0.159</v>
      </c>
      <c r="J312">
        <f>SmtRes!AO637</f>
        <v>1</v>
      </c>
      <c r="K312">
        <f>SmtRes!AE637</f>
        <v>7.39</v>
      </c>
      <c r="L312">
        <f>SmtRes!DB637</f>
        <v>221.7</v>
      </c>
      <c r="M312">
        <f>ROUND(ROUND(L312*Source!I567, 6)*1, 2)</f>
        <v>1.18</v>
      </c>
      <c r="N312">
        <f>SmtRes!AA637</f>
        <v>49.17</v>
      </c>
      <c r="O312">
        <f>ROUND(ROUND(L312*Source!I567, 6)*SmtRes!DA637, 2)</f>
        <v>7.65</v>
      </c>
      <c r="P312">
        <f>SmtRes!AG637</f>
        <v>0</v>
      </c>
      <c r="Q312">
        <f>SmtRes!DC637</f>
        <v>0</v>
      </c>
      <c r="R312">
        <f>ROUND(ROUND(Q312*Source!I567, 6)*1, 2)</f>
        <v>0</v>
      </c>
      <c r="S312">
        <f>SmtRes!AC637</f>
        <v>0</v>
      </c>
      <c r="T312">
        <f>ROUND(ROUND(Q312*Source!I567, 6)*SmtRes!AK637, 2)</f>
        <v>0</v>
      </c>
      <c r="U312">
        <v>3</v>
      </c>
      <c r="Y312">
        <f>SmtRes!X637</f>
        <v>-1476054991</v>
      </c>
      <c r="Z312">
        <v>1703538717</v>
      </c>
      <c r="AA312">
        <v>-166191981</v>
      </c>
    </row>
    <row r="313" spans="1:27" x14ac:dyDescent="0.2">
      <c r="A313">
        <v>20</v>
      </c>
      <c r="B313">
        <v>636</v>
      </c>
      <c r="C313">
        <v>3</v>
      </c>
      <c r="D313">
        <v>0</v>
      </c>
      <c r="E313">
        <f>SmtRes!AV636</f>
        <v>0</v>
      </c>
      <c r="F313" t="str">
        <f>SmtRes!I636</f>
        <v>1.1-1-256</v>
      </c>
      <c r="G313" t="str">
        <f>SmtRes!K636</f>
        <v>Известь негашеная комовая</v>
      </c>
      <c r="H313" t="str">
        <f>SmtRes!O636</f>
        <v>т</v>
      </c>
      <c r="I313">
        <f>SmtRes!Y636*Source!I567</f>
        <v>5.3000000000000001E-5</v>
      </c>
      <c r="J313">
        <f>SmtRes!AO636</f>
        <v>1</v>
      </c>
      <c r="K313">
        <f>SmtRes!AE636</f>
        <v>1260.72</v>
      </c>
      <c r="L313">
        <f>SmtRes!DB636</f>
        <v>12.61</v>
      </c>
      <c r="M313">
        <f>ROUND(ROUND(L313*Source!I567, 6)*1, 2)</f>
        <v>7.0000000000000007E-2</v>
      </c>
      <c r="N313">
        <f>SmtRes!AA636</f>
        <v>5965.55</v>
      </c>
      <c r="O313">
        <f>ROUND(ROUND(L313*Source!I567, 6)*SmtRes!DA636, 2)</f>
        <v>0.31</v>
      </c>
      <c r="P313">
        <f>SmtRes!AG636</f>
        <v>0</v>
      </c>
      <c r="Q313">
        <f>SmtRes!DC636</f>
        <v>0</v>
      </c>
      <c r="R313">
        <f>ROUND(ROUND(Q313*Source!I567, 6)*1, 2)</f>
        <v>0</v>
      </c>
      <c r="S313">
        <f>SmtRes!AC636</f>
        <v>0</v>
      </c>
      <c r="T313">
        <f>ROUND(ROUND(Q313*Source!I567, 6)*SmtRes!AK636, 2)</f>
        <v>0</v>
      </c>
      <c r="U313">
        <v>3</v>
      </c>
      <c r="Y313">
        <f>SmtRes!X636</f>
        <v>-1753839253</v>
      </c>
      <c r="Z313">
        <v>1757931321</v>
      </c>
      <c r="AA313">
        <v>1841509626</v>
      </c>
    </row>
    <row r="314" spans="1:27" x14ac:dyDescent="0.2">
      <c r="A314">
        <v>20</v>
      </c>
      <c r="B314">
        <v>635</v>
      </c>
      <c r="C314">
        <v>3</v>
      </c>
      <c r="D314">
        <v>0</v>
      </c>
      <c r="E314">
        <f>SmtRes!AV635</f>
        <v>0</v>
      </c>
      <c r="F314" t="str">
        <f>SmtRes!I635</f>
        <v>1.1-1-227</v>
      </c>
      <c r="G314" t="str">
        <f>SmtRes!K635</f>
        <v>Доски хвойных пород, обрезные, длина 2-6,5 м, сорт III, толщина 40-60 мм</v>
      </c>
      <c r="H314" t="str">
        <f>SmtRes!O635</f>
        <v>м3</v>
      </c>
      <c r="I314">
        <f>SmtRes!Y635*Source!I567</f>
        <v>2.12E-4</v>
      </c>
      <c r="J314">
        <f>SmtRes!AO635</f>
        <v>1</v>
      </c>
      <c r="K314">
        <f>SmtRes!AE635</f>
        <v>1828.56</v>
      </c>
      <c r="L314">
        <f>SmtRes!DB635</f>
        <v>73.14</v>
      </c>
      <c r="M314">
        <f>ROUND(ROUND(L314*Source!I567, 6)*1, 2)</f>
        <v>0.39</v>
      </c>
      <c r="N314">
        <f>SmtRes!AA635</f>
        <v>7923.66</v>
      </c>
      <c r="O314">
        <f>ROUND(ROUND(L314*Source!I567, 6)*SmtRes!DA635, 2)</f>
        <v>1.64</v>
      </c>
      <c r="P314">
        <f>SmtRes!AG635</f>
        <v>0</v>
      </c>
      <c r="Q314">
        <f>SmtRes!DC635</f>
        <v>0</v>
      </c>
      <c r="R314">
        <f>ROUND(ROUND(Q314*Source!I567, 6)*1, 2)</f>
        <v>0</v>
      </c>
      <c r="S314">
        <f>SmtRes!AC635</f>
        <v>0</v>
      </c>
      <c r="T314">
        <f>ROUND(ROUND(Q314*Source!I567, 6)*SmtRes!AK635, 2)</f>
        <v>0</v>
      </c>
      <c r="U314">
        <v>3</v>
      </c>
      <c r="Y314">
        <f>SmtRes!X635</f>
        <v>-1939393675</v>
      </c>
      <c r="Z314">
        <v>1416892721</v>
      </c>
      <c r="AA314">
        <v>13902700</v>
      </c>
    </row>
    <row r="315" spans="1:27" x14ac:dyDescent="0.2">
      <c r="A315">
        <v>20</v>
      </c>
      <c r="B315">
        <v>634</v>
      </c>
      <c r="C315">
        <v>3</v>
      </c>
      <c r="D315">
        <v>0</v>
      </c>
      <c r="E315">
        <f>SmtRes!AV634</f>
        <v>0</v>
      </c>
      <c r="F315" t="str">
        <f>SmtRes!I634</f>
        <v>1.1-1-1566</v>
      </c>
      <c r="G315" t="str">
        <f>SmtRes!K634</f>
        <v>Электроды, тип Э-42, 46, 50, диаметр 4 - 6 мм</v>
      </c>
      <c r="H315" t="str">
        <f>SmtRes!O634</f>
        <v>т</v>
      </c>
      <c r="I315">
        <f>SmtRes!Y634*Source!I567</f>
        <v>8.4800000000000001E-4</v>
      </c>
      <c r="J315">
        <f>SmtRes!AO634</f>
        <v>1</v>
      </c>
      <c r="K315">
        <f>SmtRes!AE634</f>
        <v>7191.81</v>
      </c>
      <c r="L315">
        <f>SmtRes!DB634</f>
        <v>1150.69</v>
      </c>
      <c r="M315">
        <f>ROUND(ROUND(L315*Source!I567, 6)*1, 2)</f>
        <v>6.1</v>
      </c>
      <c r="N315">
        <f>SmtRes!AA634</f>
        <v>148985.1</v>
      </c>
      <c r="O315">
        <f>ROUND(ROUND(L315*Source!I567, 6)*SmtRes!DA634, 2)</f>
        <v>123.62</v>
      </c>
      <c r="P315">
        <f>SmtRes!AG634</f>
        <v>0</v>
      </c>
      <c r="Q315">
        <f>SmtRes!DC634</f>
        <v>0</v>
      </c>
      <c r="R315">
        <f>ROUND(ROUND(Q315*Source!I567, 6)*1, 2)</f>
        <v>0</v>
      </c>
      <c r="S315">
        <f>SmtRes!AC634</f>
        <v>0</v>
      </c>
      <c r="T315">
        <f>ROUND(ROUND(Q315*Source!I567, 6)*SmtRes!AK634, 2)</f>
        <v>0</v>
      </c>
      <c r="U315">
        <v>3</v>
      </c>
      <c r="Y315">
        <f>SmtRes!X634</f>
        <v>1310716689</v>
      </c>
      <c r="Z315">
        <v>1563916378</v>
      </c>
      <c r="AA315">
        <v>1334567398</v>
      </c>
    </row>
    <row r="316" spans="1:27" x14ac:dyDescent="0.2">
      <c r="A316">
        <v>20</v>
      </c>
      <c r="B316">
        <v>633</v>
      </c>
      <c r="C316">
        <v>3</v>
      </c>
      <c r="D316">
        <v>0</v>
      </c>
      <c r="E316">
        <f>SmtRes!AV633</f>
        <v>0</v>
      </c>
      <c r="F316" t="str">
        <f>SmtRes!I633</f>
        <v>1.1-1-132</v>
      </c>
      <c r="G316" t="str">
        <f>SmtRes!K633</f>
        <v>Гвозди строительные</v>
      </c>
      <c r="H316" t="str">
        <f>SmtRes!O633</f>
        <v>т</v>
      </c>
      <c r="I316">
        <f>SmtRes!Y633*Source!I567</f>
        <v>1.06E-5</v>
      </c>
      <c r="J316">
        <f>SmtRes!AO633</f>
        <v>1</v>
      </c>
      <c r="K316">
        <f>SmtRes!AE633</f>
        <v>6521.42</v>
      </c>
      <c r="L316">
        <f>SmtRes!DB633</f>
        <v>13.04</v>
      </c>
      <c r="M316">
        <f>ROUND(ROUND(L316*Source!I567, 6)*1, 2)</f>
        <v>7.0000000000000007E-2</v>
      </c>
      <c r="N316">
        <f>SmtRes!AA633</f>
        <v>64516.15</v>
      </c>
      <c r="O316">
        <f>ROUND(ROUND(L316*Source!I567, 6)*SmtRes!DA633, 2)</f>
        <v>0.67</v>
      </c>
      <c r="P316">
        <f>SmtRes!AG633</f>
        <v>0</v>
      </c>
      <c r="Q316">
        <f>SmtRes!DC633</f>
        <v>0</v>
      </c>
      <c r="R316">
        <f>ROUND(ROUND(Q316*Source!I567, 6)*1, 2)</f>
        <v>0</v>
      </c>
      <c r="S316">
        <f>SmtRes!AC633</f>
        <v>0</v>
      </c>
      <c r="T316">
        <f>ROUND(ROUND(Q316*Source!I567, 6)*SmtRes!AK633, 2)</f>
        <v>0</v>
      </c>
      <c r="U316">
        <v>3</v>
      </c>
      <c r="Y316">
        <f>SmtRes!X633</f>
        <v>563176784</v>
      </c>
      <c r="Z316">
        <v>1885883156</v>
      </c>
      <c r="AA316">
        <v>601209444</v>
      </c>
    </row>
    <row r="317" spans="1:27" x14ac:dyDescent="0.2">
      <c r="A317">
        <v>20</v>
      </c>
      <c r="B317">
        <v>632</v>
      </c>
      <c r="C317">
        <v>3</v>
      </c>
      <c r="D317">
        <v>0</v>
      </c>
      <c r="E317">
        <f>SmtRes!AV632</f>
        <v>0</v>
      </c>
      <c r="F317" t="str">
        <f>SmtRes!I632</f>
        <v>1.1-1-118</v>
      </c>
      <c r="G317" t="str">
        <f>SmtRes!K632</f>
        <v>Вода</v>
      </c>
      <c r="H317" t="str">
        <f>SmtRes!O632</f>
        <v>м3</v>
      </c>
      <c r="I317">
        <f>SmtRes!Y632*Source!I567</f>
        <v>3.869E-3</v>
      </c>
      <c r="J317">
        <f>SmtRes!AO632</f>
        <v>1</v>
      </c>
      <c r="K317">
        <f>SmtRes!AE632</f>
        <v>7.07</v>
      </c>
      <c r="L317">
        <f>SmtRes!DB632</f>
        <v>5.16</v>
      </c>
      <c r="M317">
        <f>ROUND(ROUND(L317*Source!I567, 6)*1, 2)</f>
        <v>0.03</v>
      </c>
      <c r="N317">
        <f>SmtRes!AA632</f>
        <v>43.35</v>
      </c>
      <c r="O317">
        <f>ROUND(ROUND(L317*Source!I567, 6)*SmtRes!DA632, 2)</f>
        <v>0.16</v>
      </c>
      <c r="P317">
        <f>SmtRes!AG632</f>
        <v>0</v>
      </c>
      <c r="Q317">
        <f>SmtRes!DC632</f>
        <v>0</v>
      </c>
      <c r="R317">
        <f>ROUND(ROUND(Q317*Source!I567, 6)*1, 2)</f>
        <v>0</v>
      </c>
      <c r="S317">
        <f>SmtRes!AC632</f>
        <v>0</v>
      </c>
      <c r="T317">
        <f>ROUND(ROUND(Q317*Source!I567, 6)*SmtRes!AK632, 2)</f>
        <v>0</v>
      </c>
      <c r="U317">
        <v>3</v>
      </c>
      <c r="Y317">
        <f>SmtRes!X632</f>
        <v>-862991314</v>
      </c>
      <c r="Z317">
        <v>-1421290593</v>
      </c>
      <c r="AA317">
        <v>-635416671</v>
      </c>
    </row>
    <row r="318" spans="1:27" x14ac:dyDescent="0.2">
      <c r="A318">
        <v>20</v>
      </c>
      <c r="B318">
        <v>631</v>
      </c>
      <c r="C318">
        <v>2</v>
      </c>
      <c r="D318">
        <v>0</v>
      </c>
      <c r="E318">
        <f>SmtRes!AV631</f>
        <v>0</v>
      </c>
      <c r="F318" t="str">
        <f>SmtRes!I631</f>
        <v>2.1-6-52</v>
      </c>
      <c r="G318" t="str">
        <f>SmtRes!K631</f>
        <v>Вибраторы глубинные</v>
      </c>
      <c r="H318" t="str">
        <f>SmtRes!O631</f>
        <v>маш.-ч.</v>
      </c>
      <c r="I318">
        <f>SmtRes!Y631*Source!I567</f>
        <v>5.9624999999999997E-2</v>
      </c>
      <c r="J318">
        <f>SmtRes!AO631</f>
        <v>1</v>
      </c>
      <c r="K318">
        <f>SmtRes!AF631</f>
        <v>2.06</v>
      </c>
      <c r="L318">
        <f>SmtRes!DB631</f>
        <v>23.175000000000001</v>
      </c>
      <c r="M318">
        <f>ROUND(ROUND(L318*Source!I567, 6)*1, 2)</f>
        <v>0.12</v>
      </c>
      <c r="N318">
        <f>SmtRes!AB631</f>
        <v>19.78</v>
      </c>
      <c r="O318">
        <f>ROUND(ROUND(L318*Source!I567, 6)*SmtRes!DA631, 2)</f>
        <v>1.1299999999999999</v>
      </c>
      <c r="P318">
        <f>SmtRes!AG631</f>
        <v>0.09</v>
      </c>
      <c r="Q318">
        <f>SmtRes!DC631</f>
        <v>1.0125</v>
      </c>
      <c r="R318">
        <f>ROUND(ROUND(Q318*Source!I567, 6)*1, 2)</f>
        <v>0.01</v>
      </c>
      <c r="S318">
        <f>SmtRes!AC631</f>
        <v>2.74</v>
      </c>
      <c r="T318">
        <f>ROUND(ROUND(Q318*Source!I567, 6)*SmtRes!AK631, 2)</f>
        <v>0.16</v>
      </c>
      <c r="U318">
        <v>2</v>
      </c>
      <c r="Y318">
        <f>SmtRes!X631</f>
        <v>1059521099</v>
      </c>
      <c r="Z318">
        <v>662287361</v>
      </c>
      <c r="AA318">
        <v>-1587501031</v>
      </c>
    </row>
    <row r="319" spans="1:27" x14ac:dyDescent="0.2">
      <c r="A319">
        <v>20</v>
      </c>
      <c r="B319">
        <v>630</v>
      </c>
      <c r="C319">
        <v>2</v>
      </c>
      <c r="D319">
        <v>0</v>
      </c>
      <c r="E319">
        <f>SmtRes!AV630</f>
        <v>0</v>
      </c>
      <c r="F319" t="str">
        <f>SmtRes!I630</f>
        <v>2.1-4-12</v>
      </c>
      <c r="G319" t="str">
        <f>SmtRes!K630</f>
        <v>Погрузчики на автомобильном ходу, грузоподъемность до 5 т</v>
      </c>
      <c r="H319" t="str">
        <f>SmtRes!O630</f>
        <v>маш.-ч.</v>
      </c>
      <c r="I319">
        <f>SmtRes!Y630*Source!I567</f>
        <v>1.65625E-3</v>
      </c>
      <c r="J319">
        <f>SmtRes!AO630</f>
        <v>1</v>
      </c>
      <c r="K319">
        <f>SmtRes!AF630</f>
        <v>73</v>
      </c>
      <c r="L319">
        <f>SmtRes!DB630</f>
        <v>22.8125</v>
      </c>
      <c r="M319">
        <f>ROUND(ROUND(L319*Source!I567, 6)*1, 2)</f>
        <v>0.12</v>
      </c>
      <c r="N319">
        <f>SmtRes!AB630</f>
        <v>865.2</v>
      </c>
      <c r="O319">
        <f>ROUND(ROUND(L319*Source!I567, 6)*SmtRes!DA630, 2)</f>
        <v>1.37</v>
      </c>
      <c r="P319">
        <f>SmtRes!AG630</f>
        <v>16.899999999999999</v>
      </c>
      <c r="Q319">
        <f>SmtRes!DC630</f>
        <v>5.2874999999999996</v>
      </c>
      <c r="R319">
        <f>ROUND(ROUND(Q319*Source!I567, 6)*1, 2)</f>
        <v>0.03</v>
      </c>
      <c r="S319">
        <f>SmtRes!AC630</f>
        <v>513.66999999999996</v>
      </c>
      <c r="T319">
        <f>ROUND(ROUND(Q319*Source!I567, 6)*SmtRes!AK630, 2)</f>
        <v>0.81</v>
      </c>
      <c r="U319">
        <v>2</v>
      </c>
      <c r="Y319">
        <f>SmtRes!X630</f>
        <v>482200787</v>
      </c>
      <c r="Z319">
        <v>1078984063</v>
      </c>
      <c r="AA319">
        <v>-2125115528</v>
      </c>
    </row>
    <row r="320" spans="1:27" x14ac:dyDescent="0.2">
      <c r="A320">
        <v>20</v>
      </c>
      <c r="B320">
        <v>629</v>
      </c>
      <c r="C320">
        <v>2</v>
      </c>
      <c r="D320">
        <v>0</v>
      </c>
      <c r="E320">
        <f>SmtRes!AV629</f>
        <v>0</v>
      </c>
      <c r="F320" t="str">
        <f>SmtRes!I629</f>
        <v>2.1-3-38</v>
      </c>
      <c r="G320" t="str">
        <f>SmtRes!K629</f>
        <v>Краны на автомобильном ходу, грузоподъемность до 16 т</v>
      </c>
      <c r="H320" t="str">
        <f>SmtRes!O629</f>
        <v>маш.-ч.</v>
      </c>
      <c r="I320">
        <f>SmtRes!Y629*Source!I567</f>
        <v>5.9624999999999999E-3</v>
      </c>
      <c r="J320">
        <f>SmtRes!AO629</f>
        <v>1</v>
      </c>
      <c r="K320">
        <f>SmtRes!AF629</f>
        <v>190.93</v>
      </c>
      <c r="L320">
        <f>SmtRes!DB629</f>
        <v>214.8</v>
      </c>
      <c r="M320">
        <f>ROUND(ROUND(L320*Source!I567, 6)*1, 2)</f>
        <v>1.1399999999999999</v>
      </c>
      <c r="N320">
        <f>SmtRes!AB629</f>
        <v>2059.0100000000002</v>
      </c>
      <c r="O320">
        <f>ROUND(ROUND(L320*Source!I567, 6)*SmtRes!DA629, 2)</f>
        <v>11.73</v>
      </c>
      <c r="P320">
        <f>SmtRes!AG629</f>
        <v>18.149999999999999</v>
      </c>
      <c r="Q320">
        <f>SmtRes!DC629</f>
        <v>20.425000000000001</v>
      </c>
      <c r="R320">
        <f>ROUND(ROUND(Q320*Source!I567, 6)*1, 2)</f>
        <v>0.11</v>
      </c>
      <c r="S320">
        <f>SmtRes!AC629</f>
        <v>551.66</v>
      </c>
      <c r="T320">
        <f>ROUND(ROUND(Q320*Source!I567, 6)*SmtRes!AK629, 2)</f>
        <v>3.14</v>
      </c>
      <c r="U320">
        <v>2</v>
      </c>
      <c r="Y320">
        <f>SmtRes!X629</f>
        <v>-266174272</v>
      </c>
      <c r="Z320">
        <v>-2048655808</v>
      </c>
      <c r="AA320">
        <v>2105875465</v>
      </c>
    </row>
    <row r="321" spans="1:27" x14ac:dyDescent="0.2">
      <c r="A321">
        <v>20</v>
      </c>
      <c r="B321">
        <v>628</v>
      </c>
      <c r="C321">
        <v>2</v>
      </c>
      <c r="D321">
        <v>0</v>
      </c>
      <c r="E321">
        <f>SmtRes!AV628</f>
        <v>0</v>
      </c>
      <c r="F321" t="str">
        <f>SmtRes!I628</f>
        <v>2.1-30-26</v>
      </c>
      <c r="G321" t="str">
        <f>SmtRes!K628</f>
        <v>Пилы ручные электрические</v>
      </c>
      <c r="H321" t="str">
        <f>SmtRes!O628</f>
        <v>маш.-ч.</v>
      </c>
      <c r="I321">
        <f>SmtRes!Y628*Source!I567</f>
        <v>6.625E-4</v>
      </c>
      <c r="J321">
        <f>SmtRes!AO628</f>
        <v>1</v>
      </c>
      <c r="K321">
        <f>SmtRes!AF628</f>
        <v>0.53</v>
      </c>
      <c r="L321">
        <f>SmtRes!DB628</f>
        <v>6.25E-2</v>
      </c>
      <c r="M321">
        <f>ROUND(ROUND(L321*Source!I567, 6)*1, 2)</f>
        <v>0</v>
      </c>
      <c r="N321">
        <f>SmtRes!AB628</f>
        <v>0.55000000000000004</v>
      </c>
      <c r="O321">
        <f>ROUND(ROUND(L321*Source!I567, 6)*SmtRes!DA628, 2)</f>
        <v>0</v>
      </c>
      <c r="P321">
        <f>SmtRes!AG628</f>
        <v>0.04</v>
      </c>
      <c r="Q321">
        <f>SmtRes!DC628</f>
        <v>0</v>
      </c>
      <c r="R321">
        <f>ROUND(ROUND(Q321*Source!I567, 6)*1, 2)</f>
        <v>0</v>
      </c>
      <c r="S321">
        <f>SmtRes!AC628</f>
        <v>0.04</v>
      </c>
      <c r="T321">
        <f>ROUND(ROUND(Q321*Source!I567, 6)*SmtRes!AK628, 2)</f>
        <v>0</v>
      </c>
      <c r="U321">
        <v>2</v>
      </c>
      <c r="Y321">
        <f>SmtRes!X628</f>
        <v>1189541023</v>
      </c>
      <c r="Z321">
        <v>-562840550</v>
      </c>
      <c r="AA321">
        <v>923801903</v>
      </c>
    </row>
    <row r="322" spans="1:27" x14ac:dyDescent="0.2">
      <c r="A322">
        <v>20</v>
      </c>
      <c r="B322">
        <v>627</v>
      </c>
      <c r="C322">
        <v>2</v>
      </c>
      <c r="D322">
        <v>0</v>
      </c>
      <c r="E322">
        <f>SmtRes!AV627</f>
        <v>0</v>
      </c>
      <c r="F322" t="str">
        <f>SmtRes!I627</f>
        <v>2.1-18-7</v>
      </c>
      <c r="G322" t="str">
        <f>SmtRes!K627</f>
        <v>Автомобили грузовые бортовые, грузоподъемность до 5 т</v>
      </c>
      <c r="H322" t="str">
        <f>SmtRes!O627</f>
        <v>маш.-ч.</v>
      </c>
      <c r="I322">
        <f>SmtRes!Y627*Source!I567</f>
        <v>8.9437500000000003E-3</v>
      </c>
      <c r="J322">
        <f>SmtRes!AO627</f>
        <v>1</v>
      </c>
      <c r="K322">
        <f>SmtRes!AF627</f>
        <v>76.81</v>
      </c>
      <c r="L322">
        <f>SmtRes!DB627</f>
        <v>129.61250000000001</v>
      </c>
      <c r="M322">
        <f>ROUND(ROUND(L322*Source!I567, 6)*1, 2)</f>
        <v>0.69</v>
      </c>
      <c r="N322">
        <f>SmtRes!AB627</f>
        <v>918.4</v>
      </c>
      <c r="O322">
        <f>ROUND(ROUND(L322*Source!I567, 6)*SmtRes!DA627, 2)</f>
        <v>7.84</v>
      </c>
      <c r="P322">
        <f>SmtRes!AG627</f>
        <v>14.36</v>
      </c>
      <c r="Q322">
        <f>SmtRes!DC627</f>
        <v>24.237500000000001</v>
      </c>
      <c r="R322">
        <f>ROUND(ROUND(Q322*Source!I567, 6)*1, 2)</f>
        <v>0.13</v>
      </c>
      <c r="S322">
        <f>SmtRes!AC627</f>
        <v>436.46</v>
      </c>
      <c r="T322">
        <f>ROUND(ROUND(Q322*Source!I567, 6)*SmtRes!AK627, 2)</f>
        <v>3.73</v>
      </c>
      <c r="U322">
        <v>2</v>
      </c>
      <c r="Y322">
        <f>SmtRes!X627</f>
        <v>-628430174</v>
      </c>
      <c r="Z322">
        <v>-2049064267</v>
      </c>
      <c r="AA322">
        <v>-489591781</v>
      </c>
    </row>
    <row r="323" spans="1:27" x14ac:dyDescent="0.2">
      <c r="A323">
        <v>20</v>
      </c>
      <c r="B323">
        <v>626</v>
      </c>
      <c r="C323">
        <v>2</v>
      </c>
      <c r="D323">
        <v>0</v>
      </c>
      <c r="E323">
        <f>SmtRes!AV626</f>
        <v>0</v>
      </c>
      <c r="F323" t="str">
        <f>SmtRes!I626</f>
        <v>2.1-13-14</v>
      </c>
      <c r="G323" t="str">
        <f>SmtRes!K626</f>
        <v>Аппараты сварочные постоянного тока (выпрямители) для ручной дуговой сварки, сварочный ток до 500 А</v>
      </c>
      <c r="H323" t="str">
        <f>SmtRes!O626</f>
        <v>маш.-ч.</v>
      </c>
      <c r="I323">
        <f>SmtRes!Y626*Source!I567</f>
        <v>0.79500000000000004</v>
      </c>
      <c r="J323">
        <f>SmtRes!AO626</f>
        <v>1</v>
      </c>
      <c r="K323">
        <f>SmtRes!AF626</f>
        <v>6.15</v>
      </c>
      <c r="L323">
        <f>SmtRes!DB626</f>
        <v>922.5</v>
      </c>
      <c r="M323">
        <f>ROUND(ROUND(L323*Source!I567, 6)*1, 2)</f>
        <v>4.8899999999999997</v>
      </c>
      <c r="N323">
        <f>SmtRes!AB626</f>
        <v>65.87</v>
      </c>
      <c r="O323">
        <f>ROUND(ROUND(L323*Source!I567, 6)*SmtRes!DA626, 2)</f>
        <v>50.02</v>
      </c>
      <c r="P323">
        <f>SmtRes!AG626</f>
        <v>0.02</v>
      </c>
      <c r="Q323">
        <f>SmtRes!DC626</f>
        <v>3</v>
      </c>
      <c r="R323">
        <f>ROUND(ROUND(Q323*Source!I567, 6)*1, 2)</f>
        <v>0.02</v>
      </c>
      <c r="S323">
        <f>SmtRes!AC626</f>
        <v>0.61</v>
      </c>
      <c r="T323">
        <f>ROUND(ROUND(Q323*Source!I567, 6)*SmtRes!AK626, 2)</f>
        <v>0.46</v>
      </c>
      <c r="U323">
        <v>2</v>
      </c>
      <c r="Y323">
        <f>SmtRes!X626</f>
        <v>49912578</v>
      </c>
      <c r="Z323">
        <v>-1184234032</v>
      </c>
      <c r="AA323">
        <v>1620354088</v>
      </c>
    </row>
    <row r="324" spans="1:27" x14ac:dyDescent="0.2">
      <c r="A324">
        <v>20</v>
      </c>
      <c r="B324">
        <v>625</v>
      </c>
      <c r="C324">
        <v>1</v>
      </c>
      <c r="D324">
        <v>0</v>
      </c>
      <c r="E324">
        <f>SmtRes!AV625</f>
        <v>1</v>
      </c>
      <c r="F324" t="str">
        <f>SmtRes!I625</f>
        <v>9999990008</v>
      </c>
      <c r="G324" t="str">
        <f>SmtRes!K625</f>
        <v>Трудозатраты рабочих</v>
      </c>
      <c r="H324" t="str">
        <f>SmtRes!O625</f>
        <v>чел.-ч.</v>
      </c>
      <c r="I324">
        <f>SmtRes!Y625*Source!I567</f>
        <v>1.091005</v>
      </c>
      <c r="J324">
        <f>SmtRes!AO625</f>
        <v>1</v>
      </c>
      <c r="K324">
        <f>SmtRes!AH625</f>
        <v>0</v>
      </c>
      <c r="L324">
        <f>SmtRes!DB625</f>
        <v>0</v>
      </c>
      <c r="M324">
        <f>ROUND(ROUND(L324*Source!I567, 6)*1, 2)</f>
        <v>0</v>
      </c>
      <c r="N324">
        <f>SmtRes!AD625</f>
        <v>0</v>
      </c>
      <c r="O324">
        <f>ROUND(ROUND(L324*Source!I567, 6)*SmtRes!DA625, 2)</f>
        <v>0</v>
      </c>
      <c r="P324">
        <f>SmtRes!AG625</f>
        <v>0</v>
      </c>
      <c r="Q324">
        <f>SmtRes!DC625</f>
        <v>0</v>
      </c>
      <c r="R324">
        <f>ROUND(ROUND(Q324*Source!I567, 6)*1, 2)</f>
        <v>0</v>
      </c>
      <c r="S324">
        <f>SmtRes!AC625</f>
        <v>0</v>
      </c>
      <c r="T324">
        <f>ROUND(ROUND(Q324*Source!I567, 6)*SmtRes!AK625, 2)</f>
        <v>0</v>
      </c>
      <c r="U324">
        <v>1</v>
      </c>
      <c r="Y324">
        <f>SmtRes!X625</f>
        <v>476480486</v>
      </c>
      <c r="Z324">
        <v>1499241640</v>
      </c>
      <c r="AA324">
        <v>1499241640</v>
      </c>
    </row>
    <row r="325" spans="1:27" x14ac:dyDescent="0.2">
      <c r="A325">
        <f>Source!A569</f>
        <v>18</v>
      </c>
      <c r="B325">
        <v>569</v>
      </c>
      <c r="C325">
        <v>3</v>
      </c>
      <c r="D325">
        <f>Source!BI569</f>
        <v>1</v>
      </c>
      <c r="E325">
        <f>Source!FS569</f>
        <v>0</v>
      </c>
      <c r="F325" t="str">
        <f>Source!F569</f>
        <v>1.3-4-19</v>
      </c>
      <c r="G325" t="str">
        <f>Source!G569</f>
        <v>Арматурные заготовки (стержни, хомуты и т.п.), не собранные в каркасы или сетки, арматурная сталь периодического профиля, класс А-III, диаметр 6-7 мм</v>
      </c>
      <c r="H325" t="str">
        <f>Source!H569</f>
        <v>т</v>
      </c>
      <c r="I325">
        <f>Source!I569</f>
        <v>4.2929999999999996E-2</v>
      </c>
      <c r="J325">
        <v>1</v>
      </c>
      <c r="K325">
        <f>Source!AC569</f>
        <v>5752.41</v>
      </c>
      <c r="M325">
        <f>ROUND(K325*I325, 2)</f>
        <v>246.95</v>
      </c>
      <c r="N325">
        <f>Source!AC569*IF(Source!BC569&lt;&gt; 0, Source!BC569, 1)</f>
        <v>70294.450200000007</v>
      </c>
      <c r="O325">
        <f>ROUND(N325*I325, 2)</f>
        <v>3017.74</v>
      </c>
      <c r="P325">
        <f>Source!AE569</f>
        <v>0</v>
      </c>
      <c r="R325">
        <f>ROUND(P325*I325, 2)</f>
        <v>0</v>
      </c>
      <c r="S325">
        <f>Source!AE569*IF(Source!BS569&lt;&gt; 0, Source!BS569, 1)</f>
        <v>0</v>
      </c>
      <c r="T325">
        <f>ROUND(S325*I325, 2)</f>
        <v>0</v>
      </c>
      <c r="U325">
        <v>3</v>
      </c>
      <c r="Y325">
        <f>Source!GF569</f>
        <v>-162930227</v>
      </c>
      <c r="Z325">
        <v>-893710922</v>
      </c>
      <c r="AA325">
        <v>35865515</v>
      </c>
    </row>
    <row r="326" spans="1:27" x14ac:dyDescent="0.2">
      <c r="A326">
        <f>Source!A571</f>
        <v>18</v>
      </c>
      <c r="B326">
        <v>571</v>
      </c>
      <c r="C326">
        <v>3</v>
      </c>
      <c r="D326">
        <f>Source!BI571</f>
        <v>1</v>
      </c>
      <c r="E326">
        <f>Source!FS571</f>
        <v>0</v>
      </c>
      <c r="F326" t="str">
        <f>Source!F571</f>
        <v>1.3-1-151</v>
      </c>
      <c r="G326" t="str">
        <f>Source!G571</f>
        <v>Смеси бетонные, БСГ, тяжелого бетона на гранитном щебне, фракция 5-20, класс прочности В20 (М250); П4, F75, W4</v>
      </c>
      <c r="H326" t="str">
        <f>Source!H571</f>
        <v>м3</v>
      </c>
      <c r="I326">
        <f>Source!I571</f>
        <v>0.53795000000000004</v>
      </c>
      <c r="J326">
        <v>1</v>
      </c>
      <c r="K326">
        <f>Source!AC571</f>
        <v>727.31</v>
      </c>
      <c r="M326">
        <f>ROUND(K326*I326, 2)</f>
        <v>391.26</v>
      </c>
      <c r="N326">
        <f>Source!AC571*IF(Source!BC571&lt;&gt; 0, Source!BC571, 1)</f>
        <v>5782.1144999999997</v>
      </c>
      <c r="O326">
        <f>ROUND(N326*I326, 2)</f>
        <v>3110.49</v>
      </c>
      <c r="P326">
        <f>Source!AE571</f>
        <v>0</v>
      </c>
      <c r="R326">
        <f>ROUND(P326*I326, 2)</f>
        <v>0</v>
      </c>
      <c r="S326">
        <f>Source!AE571*IF(Source!BS571&lt;&gt; 0, Source!BS571, 1)</f>
        <v>0</v>
      </c>
      <c r="T326">
        <f>ROUND(S326*I326, 2)</f>
        <v>0</v>
      </c>
      <c r="U326">
        <v>3</v>
      </c>
      <c r="Y326">
        <f>Source!GF571</f>
        <v>1936379870</v>
      </c>
      <c r="Z326">
        <v>-1027186375</v>
      </c>
      <c r="AA326">
        <v>1494792044</v>
      </c>
    </row>
    <row r="327" spans="1:27" x14ac:dyDescent="0.2">
      <c r="A327">
        <v>20</v>
      </c>
      <c r="B327">
        <v>650</v>
      </c>
      <c r="C327">
        <v>3</v>
      </c>
      <c r="D327">
        <v>0</v>
      </c>
      <c r="E327">
        <f>SmtRes!AV650</f>
        <v>0</v>
      </c>
      <c r="F327" t="str">
        <f>SmtRes!I650</f>
        <v>1.1-1-489</v>
      </c>
      <c r="G327" t="str">
        <f>SmtRes!K650</f>
        <v>Ксилол нефтяной, марка А</v>
      </c>
      <c r="H327" t="str">
        <f>SmtRes!O650</f>
        <v>т</v>
      </c>
      <c r="I327">
        <f>SmtRes!Y650*Source!I573</f>
        <v>5.8200000000000005E-4</v>
      </c>
      <c r="J327">
        <f>SmtRes!AO650</f>
        <v>1</v>
      </c>
      <c r="K327">
        <f>SmtRes!AE650</f>
        <v>6303.6</v>
      </c>
      <c r="L327">
        <f>SmtRes!DB650</f>
        <v>9.4600000000000009</v>
      </c>
      <c r="M327">
        <f>ROUND(ROUND(L327*Source!I573, 6)*1, 2)</f>
        <v>3.67</v>
      </c>
      <c r="N327">
        <f>SmtRes!AA650</f>
        <v>121470.37</v>
      </c>
      <c r="O327">
        <f>ROUND(ROUND(L327*Source!I573, 6)*SmtRes!DA650, 2)</f>
        <v>70.73</v>
      </c>
      <c r="P327">
        <f>SmtRes!AG650</f>
        <v>0</v>
      </c>
      <c r="Q327">
        <f>SmtRes!DC650</f>
        <v>0</v>
      </c>
      <c r="R327">
        <f>ROUND(ROUND(Q327*Source!I573, 6)*1, 2)</f>
        <v>0</v>
      </c>
      <c r="S327">
        <f>SmtRes!AC650</f>
        <v>0</v>
      </c>
      <c r="T327">
        <f>ROUND(ROUND(Q327*Source!I573, 6)*SmtRes!AK650, 2)</f>
        <v>0</v>
      </c>
      <c r="U327">
        <v>3</v>
      </c>
      <c r="Y327">
        <f>SmtRes!X650</f>
        <v>-904493642</v>
      </c>
      <c r="Z327">
        <v>-132861835</v>
      </c>
      <c r="AA327">
        <v>252172603</v>
      </c>
    </row>
    <row r="328" spans="1:27" x14ac:dyDescent="0.2">
      <c r="A328">
        <v>20</v>
      </c>
      <c r="B328">
        <v>648</v>
      </c>
      <c r="C328">
        <v>2</v>
      </c>
      <c r="D328">
        <v>0</v>
      </c>
      <c r="E328">
        <f>SmtRes!AV648</f>
        <v>0</v>
      </c>
      <c r="F328" t="str">
        <f>SmtRes!I648</f>
        <v>9999990007</v>
      </c>
      <c r="G328" t="str">
        <f>SmtRes!K648</f>
        <v>Стоимость прочих машин (ЭСН)</v>
      </c>
      <c r="H328" t="str">
        <f>SmtRes!O648</f>
        <v>руб.</v>
      </c>
      <c r="I328">
        <f>SmtRes!Y648*Source!I573</f>
        <v>0.72265000000000001</v>
      </c>
      <c r="J328">
        <f>SmtRes!AO648</f>
        <v>1</v>
      </c>
      <c r="K328">
        <f>SmtRes!AF648</f>
        <v>1</v>
      </c>
      <c r="L328">
        <f>SmtRes!DB648</f>
        <v>1.8625</v>
      </c>
      <c r="M328">
        <f>ROUND(ROUND(L328*Source!I573, 6)*1, 2)</f>
        <v>0.72</v>
      </c>
      <c r="N328">
        <f>SmtRes!AB648</f>
        <v>1.05</v>
      </c>
      <c r="O328">
        <f>ROUND(ROUND(L328*Source!I573, 6)*SmtRes!DA648, 2)</f>
        <v>0.72</v>
      </c>
      <c r="P328">
        <f>SmtRes!AG648</f>
        <v>0</v>
      </c>
      <c r="Q328">
        <f>SmtRes!DC648</f>
        <v>0</v>
      </c>
      <c r="R328">
        <f>ROUND(ROUND(Q328*Source!I573, 6)*1, 2)</f>
        <v>0</v>
      </c>
      <c r="S328">
        <f>SmtRes!AC648</f>
        <v>0</v>
      </c>
      <c r="T328">
        <f>ROUND(ROUND(Q328*Source!I573, 6)*SmtRes!AK648, 2)</f>
        <v>0</v>
      </c>
      <c r="U328">
        <v>2</v>
      </c>
      <c r="Y328">
        <f>SmtRes!X648</f>
        <v>-1180195794</v>
      </c>
      <c r="Z328">
        <v>-595858232</v>
      </c>
      <c r="AA328">
        <v>-314357962</v>
      </c>
    </row>
    <row r="329" spans="1:27" x14ac:dyDescent="0.2">
      <c r="A329">
        <v>20</v>
      </c>
      <c r="B329">
        <v>647</v>
      </c>
      <c r="C329">
        <v>2</v>
      </c>
      <c r="D329">
        <v>0</v>
      </c>
      <c r="E329">
        <f>SmtRes!AV647</f>
        <v>0</v>
      </c>
      <c r="F329" t="str">
        <f>SmtRes!I647</f>
        <v>2.1-10-12</v>
      </c>
      <c r="G329" t="str">
        <f>SmtRes!K647</f>
        <v>Электрокомпрессоры прицепные, производительность до 3,5 м3/мин</v>
      </c>
      <c r="H329" t="str">
        <f>SmtRes!O647</f>
        <v>маш.-ч.</v>
      </c>
      <c r="I329">
        <f>SmtRes!Y647*Source!I573</f>
        <v>0.54320000000000002</v>
      </c>
      <c r="J329">
        <f>SmtRes!AO647</f>
        <v>1</v>
      </c>
      <c r="K329">
        <f>SmtRes!AF647</f>
        <v>17.32</v>
      </c>
      <c r="L329">
        <f>SmtRes!DB647</f>
        <v>24.25</v>
      </c>
      <c r="M329">
        <f>ROUND(ROUND(L329*Source!I573, 6)*1, 2)</f>
        <v>9.41</v>
      </c>
      <c r="N329">
        <f>SmtRes!AB647</f>
        <v>159.58000000000001</v>
      </c>
      <c r="O329">
        <f>ROUND(ROUND(L329*Source!I573, 6)*SmtRes!DA647, 2)</f>
        <v>82.8</v>
      </c>
      <c r="P329">
        <f>SmtRes!AG647</f>
        <v>1.36</v>
      </c>
      <c r="Q329">
        <f>SmtRes!DC647</f>
        <v>1.9</v>
      </c>
      <c r="R329">
        <f>ROUND(ROUND(Q329*Source!I573, 6)*1, 2)</f>
        <v>0.74</v>
      </c>
      <c r="S329">
        <f>SmtRes!AC647</f>
        <v>41.34</v>
      </c>
      <c r="T329">
        <f>ROUND(ROUND(Q329*Source!I573, 6)*SmtRes!AK647, 2)</f>
        <v>21.4</v>
      </c>
      <c r="U329">
        <v>2</v>
      </c>
      <c r="Y329">
        <f>SmtRes!X647</f>
        <v>-421688854</v>
      </c>
      <c r="Z329">
        <v>609365779</v>
      </c>
      <c r="AA329">
        <v>1000784549</v>
      </c>
    </row>
    <row r="330" spans="1:27" x14ac:dyDescent="0.2">
      <c r="A330">
        <v>20</v>
      </c>
      <c r="B330">
        <v>646</v>
      </c>
      <c r="C330">
        <v>1</v>
      </c>
      <c r="D330">
        <v>0</v>
      </c>
      <c r="E330">
        <f>SmtRes!AV646</f>
        <v>1</v>
      </c>
      <c r="F330" t="str">
        <f>SmtRes!I646</f>
        <v>9999990008</v>
      </c>
      <c r="G330" t="str">
        <f>SmtRes!K646</f>
        <v>Трудозатраты рабочих</v>
      </c>
      <c r="H330" t="str">
        <f>SmtRes!O646</f>
        <v>чел.-ч.</v>
      </c>
      <c r="I330">
        <f>SmtRes!Y646*Source!I573</f>
        <v>2.3693219999999995</v>
      </c>
      <c r="J330">
        <f>SmtRes!AO646</f>
        <v>1</v>
      </c>
      <c r="K330">
        <f>SmtRes!AH646</f>
        <v>0</v>
      </c>
      <c r="L330">
        <f>SmtRes!DB646</f>
        <v>0</v>
      </c>
      <c r="M330">
        <f>ROUND(ROUND(L330*Source!I573, 6)*1, 2)</f>
        <v>0</v>
      </c>
      <c r="N330">
        <f>SmtRes!AD646</f>
        <v>0</v>
      </c>
      <c r="O330">
        <f>ROUND(ROUND(L330*Source!I573, 6)*SmtRes!DA646, 2)</f>
        <v>0</v>
      </c>
      <c r="P330">
        <f>SmtRes!AG646</f>
        <v>0</v>
      </c>
      <c r="Q330">
        <f>SmtRes!DC646</f>
        <v>0</v>
      </c>
      <c r="R330">
        <f>ROUND(ROUND(Q330*Source!I573, 6)*1, 2)</f>
        <v>0</v>
      </c>
      <c r="S330">
        <f>SmtRes!AC646</f>
        <v>0</v>
      </c>
      <c r="T330">
        <f>ROUND(ROUND(Q330*Source!I573, 6)*SmtRes!AK646, 2)</f>
        <v>0</v>
      </c>
      <c r="U330">
        <v>1</v>
      </c>
      <c r="Y330">
        <f>SmtRes!X646</f>
        <v>476480486</v>
      </c>
      <c r="Z330">
        <v>1499241640</v>
      </c>
      <c r="AA330">
        <v>1499241640</v>
      </c>
    </row>
    <row r="331" spans="1:27" x14ac:dyDescent="0.2">
      <c r="A331">
        <f>Source!A575</f>
        <v>18</v>
      </c>
      <c r="B331">
        <v>575</v>
      </c>
      <c r="C331">
        <v>3</v>
      </c>
      <c r="D331">
        <f>Source!BI575</f>
        <v>1</v>
      </c>
      <c r="E331">
        <f>Source!FS575</f>
        <v>0</v>
      </c>
      <c r="F331" t="str">
        <f>Source!F575</f>
        <v>1.1-1-165</v>
      </c>
      <c r="G331" t="str">
        <f>Source!G575</f>
        <v>Грунтовка глифталевая, ГФ-021</v>
      </c>
      <c r="H331" t="str">
        <f>Source!H575</f>
        <v>т</v>
      </c>
      <c r="I331">
        <f>Source!I575</f>
        <v>3.4919999999999999E-3</v>
      </c>
      <c r="J331">
        <v>1</v>
      </c>
      <c r="K331">
        <f>Source!AC575</f>
        <v>18660.61</v>
      </c>
      <c r="M331">
        <f>ROUND(K331*I331, 2)</f>
        <v>65.16</v>
      </c>
      <c r="N331">
        <f>Source!AC575*IF(Source!BC575&lt;&gt; 0, Source!BC575, 1)</f>
        <v>69044.257000000012</v>
      </c>
      <c r="O331">
        <f>ROUND(N331*I331, 2)</f>
        <v>241.1</v>
      </c>
      <c r="P331">
        <f>Source!AE575</f>
        <v>0</v>
      </c>
      <c r="R331">
        <f>ROUND(P331*I331, 2)</f>
        <v>0</v>
      </c>
      <c r="S331">
        <f>Source!AE575*IF(Source!BS575&lt;&gt; 0, Source!BS575, 1)</f>
        <v>0</v>
      </c>
      <c r="T331">
        <f>ROUND(S331*I331, 2)</f>
        <v>0</v>
      </c>
      <c r="U331">
        <v>3</v>
      </c>
      <c r="Y331">
        <f>Source!GF575</f>
        <v>1943683001</v>
      </c>
      <c r="Z331">
        <v>1288862949</v>
      </c>
      <c r="AA331">
        <v>-1431978889</v>
      </c>
    </row>
    <row r="332" spans="1:27" x14ac:dyDescent="0.2">
      <c r="A332">
        <v>20</v>
      </c>
      <c r="B332">
        <v>660</v>
      </c>
      <c r="C332">
        <v>3</v>
      </c>
      <c r="D332">
        <v>0</v>
      </c>
      <c r="E332">
        <f>SmtRes!AV660</f>
        <v>0</v>
      </c>
      <c r="F332" t="str">
        <f>SmtRes!I660</f>
        <v>1.1-1-999</v>
      </c>
      <c r="G332" t="str">
        <f>SmtRes!K660</f>
        <v>Растворитель "Уайт-спирит"</v>
      </c>
      <c r="H332" t="str">
        <f>SmtRes!O660</f>
        <v>т</v>
      </c>
      <c r="I332">
        <f>SmtRes!Y660*Source!I577</f>
        <v>5.7424000000000006E-4</v>
      </c>
      <c r="J332">
        <f>SmtRes!AO660</f>
        <v>1</v>
      </c>
      <c r="K332">
        <f>SmtRes!AE660</f>
        <v>12534.98</v>
      </c>
      <c r="L332">
        <f>SmtRes!DB660</f>
        <v>18.55</v>
      </c>
      <c r="M332">
        <f>ROUND(ROUND(L332*Source!I577, 6)*1, 2)</f>
        <v>7.2</v>
      </c>
      <c r="N332">
        <f>SmtRes!AA660</f>
        <v>54151.11</v>
      </c>
      <c r="O332">
        <f>ROUND(ROUND(L332*Source!I577, 6)*SmtRes!DA660, 2)</f>
        <v>31.09</v>
      </c>
      <c r="P332">
        <f>SmtRes!AG660</f>
        <v>0</v>
      </c>
      <c r="Q332">
        <f>SmtRes!DC660</f>
        <v>0</v>
      </c>
      <c r="R332">
        <f>ROUND(ROUND(Q332*Source!I577, 6)*1, 2)</f>
        <v>0</v>
      </c>
      <c r="S332">
        <f>SmtRes!AC660</f>
        <v>0</v>
      </c>
      <c r="T332">
        <f>ROUND(ROUND(Q332*Source!I577, 6)*SmtRes!AK660, 2)</f>
        <v>0</v>
      </c>
      <c r="U332">
        <v>3</v>
      </c>
      <c r="Y332">
        <f>SmtRes!X660</f>
        <v>1320659850</v>
      </c>
      <c r="Z332">
        <v>2114048536</v>
      </c>
      <c r="AA332">
        <v>194092272</v>
      </c>
    </row>
    <row r="333" spans="1:27" x14ac:dyDescent="0.2">
      <c r="A333">
        <v>20</v>
      </c>
      <c r="B333">
        <v>659</v>
      </c>
      <c r="C333">
        <v>3</v>
      </c>
      <c r="D333">
        <v>0</v>
      </c>
      <c r="E333">
        <f>SmtRes!AV659</f>
        <v>0</v>
      </c>
      <c r="F333" t="str">
        <f>SmtRes!I659</f>
        <v>1.1-1-1577</v>
      </c>
      <c r="G333" t="str">
        <f>SmtRes!K659</f>
        <v>Эмаль, марка ПФ-115 (цветная), пентафталевая</v>
      </c>
      <c r="H333" t="str">
        <f>SmtRes!O659</f>
        <v>кг</v>
      </c>
      <c r="I333">
        <f>SmtRes!Y659*Source!I577</f>
        <v>3.492</v>
      </c>
      <c r="J333">
        <f>SmtRes!AO659</f>
        <v>1</v>
      </c>
      <c r="K333">
        <f>SmtRes!AE659</f>
        <v>29.9</v>
      </c>
      <c r="L333">
        <f>SmtRes!DB659</f>
        <v>269.10000000000002</v>
      </c>
      <c r="M333">
        <f>ROUND(ROUND(L333*Source!I577, 6)*1, 2)</f>
        <v>104.41</v>
      </c>
      <c r="N333">
        <f>SmtRes!AA659</f>
        <v>79.239999999999995</v>
      </c>
      <c r="O333">
        <f>ROUND(ROUND(L333*Source!I577, 6)*SmtRes!DA659, 2)</f>
        <v>276.69</v>
      </c>
      <c r="P333">
        <f>SmtRes!AG659</f>
        <v>0</v>
      </c>
      <c r="Q333">
        <f>SmtRes!DC659</f>
        <v>0</v>
      </c>
      <c r="R333">
        <f>ROUND(ROUND(Q333*Source!I577, 6)*1, 2)</f>
        <v>0</v>
      </c>
      <c r="S333">
        <f>SmtRes!AC659</f>
        <v>0</v>
      </c>
      <c r="T333">
        <f>ROUND(ROUND(Q333*Source!I577, 6)*SmtRes!AK659, 2)</f>
        <v>0</v>
      </c>
      <c r="U333">
        <v>3</v>
      </c>
      <c r="Y333">
        <f>SmtRes!X659</f>
        <v>1751843284</v>
      </c>
      <c r="Z333">
        <v>-344439259</v>
      </c>
      <c r="AA333">
        <v>-1823612542</v>
      </c>
    </row>
    <row r="334" spans="1:27" x14ac:dyDescent="0.2">
      <c r="A334">
        <v>20</v>
      </c>
      <c r="B334">
        <v>658</v>
      </c>
      <c r="C334">
        <v>2</v>
      </c>
      <c r="D334">
        <v>0</v>
      </c>
      <c r="E334">
        <f>SmtRes!AV658</f>
        <v>0</v>
      </c>
      <c r="F334" t="str">
        <f>SmtRes!I658</f>
        <v>2.1-4-12</v>
      </c>
      <c r="G334" t="str">
        <f>SmtRes!K658</f>
        <v>Погрузчики на автомобильном ходу, грузоподъемность до 5 т</v>
      </c>
      <c r="H334" t="str">
        <f>SmtRes!O658</f>
        <v>маш.-ч.</v>
      </c>
      <c r="I334">
        <f>SmtRes!Y658*Source!I577</f>
        <v>4.8500000000000001E-3</v>
      </c>
      <c r="J334">
        <f>SmtRes!AO658</f>
        <v>1</v>
      </c>
      <c r="K334">
        <f>SmtRes!AF658</f>
        <v>73</v>
      </c>
      <c r="L334">
        <f>SmtRes!DB658</f>
        <v>0.91249999999999998</v>
      </c>
      <c r="M334">
        <f>ROUND(ROUND(L334*Source!I577, 6)*1, 2)</f>
        <v>0.35</v>
      </c>
      <c r="N334">
        <f>SmtRes!AB658</f>
        <v>865.2</v>
      </c>
      <c r="O334">
        <f>ROUND(ROUND(L334*Source!I577, 6)*SmtRes!DA658, 2)</f>
        <v>4.01</v>
      </c>
      <c r="P334">
        <f>SmtRes!AG658</f>
        <v>16.899999999999999</v>
      </c>
      <c r="Q334">
        <f>SmtRes!DC658</f>
        <v>0.21249999999999999</v>
      </c>
      <c r="R334">
        <f>ROUND(ROUND(Q334*Source!I577, 6)*1, 2)</f>
        <v>0.08</v>
      </c>
      <c r="S334">
        <f>SmtRes!AC658</f>
        <v>513.66999999999996</v>
      </c>
      <c r="T334">
        <f>ROUND(ROUND(Q334*Source!I577, 6)*SmtRes!AK658, 2)</f>
        <v>2.39</v>
      </c>
      <c r="U334">
        <v>2</v>
      </c>
      <c r="Y334">
        <f>SmtRes!X658</f>
        <v>482200787</v>
      </c>
      <c r="Z334">
        <v>1078984063</v>
      </c>
      <c r="AA334">
        <v>-2125115528</v>
      </c>
    </row>
    <row r="335" spans="1:27" x14ac:dyDescent="0.2">
      <c r="A335">
        <v>20</v>
      </c>
      <c r="B335">
        <v>657</v>
      </c>
      <c r="C335">
        <v>2</v>
      </c>
      <c r="D335">
        <v>0</v>
      </c>
      <c r="E335">
        <f>SmtRes!AV657</f>
        <v>0</v>
      </c>
      <c r="F335" t="str">
        <f>SmtRes!I657</f>
        <v>2.1-18-7</v>
      </c>
      <c r="G335" t="str">
        <f>SmtRes!K657</f>
        <v>Автомобили грузовые бортовые, грузоподъемность до 5 т</v>
      </c>
      <c r="H335" t="str">
        <f>SmtRes!O657</f>
        <v>маш.-ч.</v>
      </c>
      <c r="I335">
        <f>SmtRes!Y657*Source!I577</f>
        <v>4.8500000000000001E-3</v>
      </c>
      <c r="J335">
        <f>SmtRes!AO657</f>
        <v>1</v>
      </c>
      <c r="K335">
        <f>SmtRes!AF657</f>
        <v>76.81</v>
      </c>
      <c r="L335">
        <f>SmtRes!DB657</f>
        <v>0.96250000000000002</v>
      </c>
      <c r="M335">
        <f>ROUND(ROUND(L335*Source!I577, 6)*1, 2)</f>
        <v>0.37</v>
      </c>
      <c r="N335">
        <f>SmtRes!AB657</f>
        <v>918.4</v>
      </c>
      <c r="O335">
        <f>ROUND(ROUND(L335*Source!I577, 6)*SmtRes!DA657, 2)</f>
        <v>4.26</v>
      </c>
      <c r="P335">
        <f>SmtRes!AG657</f>
        <v>14.36</v>
      </c>
      <c r="Q335">
        <f>SmtRes!DC657</f>
        <v>0.17499999999999999</v>
      </c>
      <c r="R335">
        <f>ROUND(ROUND(Q335*Source!I577, 6)*1, 2)</f>
        <v>7.0000000000000007E-2</v>
      </c>
      <c r="S335">
        <f>SmtRes!AC657</f>
        <v>436.46</v>
      </c>
      <c r="T335">
        <f>ROUND(ROUND(Q335*Source!I577, 6)*SmtRes!AK657, 2)</f>
        <v>1.97</v>
      </c>
      <c r="U335">
        <v>2</v>
      </c>
      <c r="Y335">
        <f>SmtRes!X657</f>
        <v>-628430174</v>
      </c>
      <c r="Z335">
        <v>-2049064267</v>
      </c>
      <c r="AA335">
        <v>-489591781</v>
      </c>
    </row>
    <row r="336" spans="1:27" x14ac:dyDescent="0.2">
      <c r="A336">
        <v>20</v>
      </c>
      <c r="B336">
        <v>656</v>
      </c>
      <c r="C336">
        <v>1</v>
      </c>
      <c r="D336">
        <v>0</v>
      </c>
      <c r="E336">
        <f>SmtRes!AV656</f>
        <v>1</v>
      </c>
      <c r="F336" t="str">
        <f>SmtRes!I656</f>
        <v>9999990008</v>
      </c>
      <c r="G336" t="str">
        <f>SmtRes!K656</f>
        <v>Трудозатраты рабочих</v>
      </c>
      <c r="H336" t="str">
        <f>SmtRes!O656</f>
        <v>чел.-ч.</v>
      </c>
      <c r="I336">
        <f>SmtRes!Y656*Source!I577</f>
        <v>0.95040599999999986</v>
      </c>
      <c r="J336">
        <f>SmtRes!AO656</f>
        <v>1</v>
      </c>
      <c r="K336">
        <f>SmtRes!AH656</f>
        <v>0</v>
      </c>
      <c r="L336">
        <f>SmtRes!DB656</f>
        <v>0</v>
      </c>
      <c r="M336">
        <f>ROUND(ROUND(L336*Source!I577, 6)*1, 2)</f>
        <v>0</v>
      </c>
      <c r="N336">
        <f>SmtRes!AD656</f>
        <v>0</v>
      </c>
      <c r="O336">
        <f>ROUND(ROUND(L336*Source!I577, 6)*SmtRes!DA656, 2)</f>
        <v>0</v>
      </c>
      <c r="P336">
        <f>SmtRes!AG656</f>
        <v>0</v>
      </c>
      <c r="Q336">
        <f>SmtRes!DC656</f>
        <v>0</v>
      </c>
      <c r="R336">
        <f>ROUND(ROUND(Q336*Source!I577, 6)*1, 2)</f>
        <v>0</v>
      </c>
      <c r="S336">
        <f>SmtRes!AC656</f>
        <v>0</v>
      </c>
      <c r="T336">
        <f>ROUND(ROUND(Q336*Source!I577, 6)*SmtRes!AK656, 2)</f>
        <v>0</v>
      </c>
      <c r="U336">
        <v>1</v>
      </c>
      <c r="Y336">
        <f>SmtRes!X656</f>
        <v>476480486</v>
      </c>
      <c r="Z336">
        <v>1499241640</v>
      </c>
      <c r="AA336">
        <v>1499241640</v>
      </c>
    </row>
    <row r="337" spans="1:27" x14ac:dyDescent="0.2">
      <c r="A337">
        <f>Source!A639</f>
        <v>3</v>
      </c>
      <c r="B337">
        <v>639</v>
      </c>
      <c r="G337" t="str">
        <f>Source!G639</f>
        <v>Система связи</v>
      </c>
    </row>
    <row r="338" spans="1:27" x14ac:dyDescent="0.2">
      <c r="A338">
        <f>Source!A643</f>
        <v>4</v>
      </c>
      <c r="B338">
        <v>643</v>
      </c>
      <c r="G338" t="str">
        <f>Source!G643</f>
        <v>Монтажные работы</v>
      </c>
    </row>
    <row r="339" spans="1:27" x14ac:dyDescent="0.2">
      <c r="A339">
        <v>20</v>
      </c>
      <c r="B339">
        <v>662</v>
      </c>
      <c r="C339">
        <v>1</v>
      </c>
      <c r="D339">
        <v>0</v>
      </c>
      <c r="E339">
        <f>SmtRes!AV662</f>
        <v>1</v>
      </c>
      <c r="F339" t="str">
        <f>SmtRes!I662</f>
        <v>9999990008</v>
      </c>
      <c r="G339" t="str">
        <f>SmtRes!K662</f>
        <v>Трудозатраты рабочих</v>
      </c>
      <c r="H339" t="str">
        <f>SmtRes!O662</f>
        <v>чел.-ч.</v>
      </c>
      <c r="I339">
        <f>SmtRes!Y662*Source!I648</f>
        <v>2.556</v>
      </c>
      <c r="J339">
        <f>SmtRes!AO662</f>
        <v>1</v>
      </c>
      <c r="K339">
        <f>SmtRes!AH662</f>
        <v>0</v>
      </c>
      <c r="L339">
        <f>SmtRes!DB662</f>
        <v>0</v>
      </c>
      <c r="M339">
        <f>ROUND(ROUND(L339*Source!I648, 6)*1, 2)</f>
        <v>0</v>
      </c>
      <c r="N339">
        <f>SmtRes!AD662</f>
        <v>0</v>
      </c>
      <c r="O339">
        <f>ROUND(ROUND(L339*Source!I648, 6)*SmtRes!DA662, 2)</f>
        <v>0</v>
      </c>
      <c r="P339">
        <f>SmtRes!AG662</f>
        <v>0</v>
      </c>
      <c r="Q339">
        <f>SmtRes!DC662</f>
        <v>0</v>
      </c>
      <c r="R339">
        <f>ROUND(ROUND(Q339*Source!I648, 6)*1, 2)</f>
        <v>0</v>
      </c>
      <c r="S339">
        <f>SmtRes!AC662</f>
        <v>0</v>
      </c>
      <c r="T339">
        <f>ROUND(ROUND(Q339*Source!I648, 6)*SmtRes!AK662, 2)</f>
        <v>0</v>
      </c>
      <c r="U339">
        <v>1</v>
      </c>
      <c r="Y339">
        <f>SmtRes!X662</f>
        <v>476480486</v>
      </c>
      <c r="Z339">
        <v>1499241640</v>
      </c>
      <c r="AA339">
        <v>1499241640</v>
      </c>
    </row>
    <row r="340" spans="1:27" x14ac:dyDescent="0.2">
      <c r="A340">
        <v>20</v>
      </c>
      <c r="B340">
        <v>664</v>
      </c>
      <c r="C340">
        <v>1</v>
      </c>
      <c r="D340">
        <v>0</v>
      </c>
      <c r="E340">
        <f>SmtRes!AV664</f>
        <v>1</v>
      </c>
      <c r="F340" t="str">
        <f>SmtRes!I664</f>
        <v>9999990008</v>
      </c>
      <c r="G340" t="str">
        <f>SmtRes!K664</f>
        <v>Трудозатраты рабочих</v>
      </c>
      <c r="H340" t="str">
        <f>SmtRes!O664</f>
        <v>чел.-ч.</v>
      </c>
      <c r="I340">
        <f>SmtRes!Y664*Source!I650</f>
        <v>1.35</v>
      </c>
      <c r="J340">
        <f>SmtRes!AO664</f>
        <v>1</v>
      </c>
      <c r="K340">
        <f>SmtRes!AH664</f>
        <v>0</v>
      </c>
      <c r="L340">
        <f>SmtRes!DB664</f>
        <v>0</v>
      </c>
      <c r="M340">
        <f>ROUND(ROUND(L340*Source!I650, 6)*1, 2)</f>
        <v>0</v>
      </c>
      <c r="N340">
        <f>SmtRes!AD664</f>
        <v>0</v>
      </c>
      <c r="O340">
        <f>ROUND(ROUND(L340*Source!I650, 6)*SmtRes!DA664, 2)</f>
        <v>0</v>
      </c>
      <c r="P340">
        <f>SmtRes!AG664</f>
        <v>0</v>
      </c>
      <c r="Q340">
        <f>SmtRes!DC664</f>
        <v>0</v>
      </c>
      <c r="R340">
        <f>ROUND(ROUND(Q340*Source!I650, 6)*1, 2)</f>
        <v>0</v>
      </c>
      <c r="S340">
        <f>SmtRes!AC664</f>
        <v>0</v>
      </c>
      <c r="T340">
        <f>ROUND(ROUND(Q340*Source!I650, 6)*SmtRes!AK664, 2)</f>
        <v>0</v>
      </c>
      <c r="U340">
        <v>1</v>
      </c>
      <c r="Y340">
        <f>SmtRes!X664</f>
        <v>476480486</v>
      </c>
      <c r="Z340">
        <v>1499241640</v>
      </c>
      <c r="AA340">
        <v>1499241640</v>
      </c>
    </row>
    <row r="341" spans="1:27" x14ac:dyDescent="0.2">
      <c r="A341">
        <v>20</v>
      </c>
      <c r="B341">
        <v>668</v>
      </c>
      <c r="C341">
        <v>3</v>
      </c>
      <c r="D341">
        <v>0</v>
      </c>
      <c r="E341">
        <f>SmtRes!AV668</f>
        <v>0</v>
      </c>
      <c r="F341" t="str">
        <f>SmtRes!I668</f>
        <v>9999990002</v>
      </c>
      <c r="G341" t="str">
        <f>SmtRes!K668</f>
        <v>Масса оборудования</v>
      </c>
      <c r="H341" t="str">
        <f>SmtRes!O668</f>
        <v>т</v>
      </c>
      <c r="I341">
        <f>SmtRes!Y668*Source!I652</f>
        <v>1E-3</v>
      </c>
      <c r="J341">
        <f>SmtRes!AO668</f>
        <v>1</v>
      </c>
      <c r="K341">
        <f>SmtRes!AE668</f>
        <v>0</v>
      </c>
      <c r="L341">
        <f>SmtRes!DB668</f>
        <v>0</v>
      </c>
      <c r="M341">
        <f>ROUND(ROUND(L341*Source!I652, 6)*1, 2)</f>
        <v>0</v>
      </c>
      <c r="N341">
        <f>SmtRes!AA668</f>
        <v>0</v>
      </c>
      <c r="O341">
        <f>ROUND(ROUND(L341*Source!I652, 6)*SmtRes!DA668, 2)</f>
        <v>0</v>
      </c>
      <c r="P341">
        <f>SmtRes!AG668</f>
        <v>0</v>
      </c>
      <c r="Q341">
        <f>SmtRes!DC668</f>
        <v>0</v>
      </c>
      <c r="R341">
        <f>ROUND(ROUND(Q341*Source!I652, 6)*1, 2)</f>
        <v>0</v>
      </c>
      <c r="S341">
        <f>SmtRes!AC668</f>
        <v>0</v>
      </c>
      <c r="T341">
        <f>ROUND(ROUND(Q341*Source!I652, 6)*SmtRes!AK668, 2)</f>
        <v>0</v>
      </c>
      <c r="U341">
        <v>3</v>
      </c>
      <c r="Y341">
        <f>SmtRes!X668</f>
        <v>-783086922</v>
      </c>
      <c r="Z341">
        <v>1715875556</v>
      </c>
      <c r="AA341">
        <v>1715875556</v>
      </c>
    </row>
    <row r="342" spans="1:27" x14ac:dyDescent="0.2">
      <c r="A342">
        <v>20</v>
      </c>
      <c r="B342">
        <v>667</v>
      </c>
      <c r="C342">
        <v>1</v>
      </c>
      <c r="D342">
        <v>0</v>
      </c>
      <c r="E342">
        <f>SmtRes!AV667</f>
        <v>1</v>
      </c>
      <c r="F342" t="str">
        <f>SmtRes!I667</f>
        <v>9999990008</v>
      </c>
      <c r="G342" t="str">
        <f>SmtRes!K667</f>
        <v>Трудозатраты рабочих</v>
      </c>
      <c r="H342" t="str">
        <f>SmtRes!O667</f>
        <v>чел.-ч.</v>
      </c>
      <c r="I342">
        <f>SmtRes!Y667*Source!I652</f>
        <v>9.3000000000000007</v>
      </c>
      <c r="J342">
        <f>SmtRes!AO667</f>
        <v>1</v>
      </c>
      <c r="K342">
        <f>SmtRes!AH667</f>
        <v>0</v>
      </c>
      <c r="L342">
        <f>SmtRes!DB667</f>
        <v>0</v>
      </c>
      <c r="M342">
        <f>ROUND(ROUND(L342*Source!I652, 6)*1, 2)</f>
        <v>0</v>
      </c>
      <c r="N342">
        <f>SmtRes!AD667</f>
        <v>0</v>
      </c>
      <c r="O342">
        <f>ROUND(ROUND(L342*Source!I652, 6)*SmtRes!DA667, 2)</f>
        <v>0</v>
      </c>
      <c r="P342">
        <f>SmtRes!AG667</f>
        <v>0</v>
      </c>
      <c r="Q342">
        <f>SmtRes!DC667</f>
        <v>0</v>
      </c>
      <c r="R342">
        <f>ROUND(ROUND(Q342*Source!I652, 6)*1, 2)</f>
        <v>0</v>
      </c>
      <c r="S342">
        <f>SmtRes!AC667</f>
        <v>0</v>
      </c>
      <c r="T342">
        <f>ROUND(ROUND(Q342*Source!I652, 6)*SmtRes!AK667, 2)</f>
        <v>0</v>
      </c>
      <c r="U342">
        <v>1</v>
      </c>
      <c r="Y342">
        <f>SmtRes!X667</f>
        <v>476480486</v>
      </c>
      <c r="Z342">
        <v>1499241640</v>
      </c>
      <c r="AA342">
        <v>1499241640</v>
      </c>
    </row>
    <row r="343" spans="1:27" x14ac:dyDescent="0.2">
      <c r="A343">
        <v>20</v>
      </c>
      <c r="B343">
        <v>670</v>
      </c>
      <c r="C343">
        <v>1</v>
      </c>
      <c r="D343">
        <v>0</v>
      </c>
      <c r="E343">
        <f>SmtRes!AV670</f>
        <v>1</v>
      </c>
      <c r="F343" t="str">
        <f>SmtRes!I670</f>
        <v>9999990008</v>
      </c>
      <c r="G343" t="str">
        <f>SmtRes!K670</f>
        <v>Трудозатраты рабочих</v>
      </c>
      <c r="H343" t="str">
        <f>SmtRes!O670</f>
        <v>чел.-ч.</v>
      </c>
      <c r="I343">
        <f>SmtRes!Y670*Source!I654</f>
        <v>1.03</v>
      </c>
      <c r="J343">
        <f>SmtRes!AO670</f>
        <v>1</v>
      </c>
      <c r="K343">
        <f>SmtRes!AH670</f>
        <v>0</v>
      </c>
      <c r="L343">
        <f>SmtRes!DB670</f>
        <v>0</v>
      </c>
      <c r="M343">
        <f>ROUND(ROUND(L343*Source!I654, 6)*1, 2)</f>
        <v>0</v>
      </c>
      <c r="N343">
        <f>SmtRes!AD670</f>
        <v>0</v>
      </c>
      <c r="O343">
        <f>ROUND(ROUND(L343*Source!I654, 6)*SmtRes!DA670, 2)</f>
        <v>0</v>
      </c>
      <c r="P343">
        <f>SmtRes!AG670</f>
        <v>0</v>
      </c>
      <c r="Q343">
        <f>SmtRes!DC670</f>
        <v>0</v>
      </c>
      <c r="R343">
        <f>ROUND(ROUND(Q343*Source!I654, 6)*1, 2)</f>
        <v>0</v>
      </c>
      <c r="S343">
        <f>SmtRes!AC670</f>
        <v>0</v>
      </c>
      <c r="T343">
        <f>ROUND(ROUND(Q343*Source!I654, 6)*SmtRes!AK670, 2)</f>
        <v>0</v>
      </c>
      <c r="U343">
        <v>1</v>
      </c>
      <c r="Y343">
        <f>SmtRes!X670</f>
        <v>476480486</v>
      </c>
      <c r="Z343">
        <v>1499241640</v>
      </c>
      <c r="AA343">
        <v>1499241640</v>
      </c>
    </row>
    <row r="344" spans="1:27" x14ac:dyDescent="0.2">
      <c r="A344">
        <v>20</v>
      </c>
      <c r="B344">
        <v>672</v>
      </c>
      <c r="C344">
        <v>1</v>
      </c>
      <c r="D344">
        <v>0</v>
      </c>
      <c r="E344">
        <f>SmtRes!AV672</f>
        <v>1</v>
      </c>
      <c r="F344" t="str">
        <f>SmtRes!I672</f>
        <v>9999990008</v>
      </c>
      <c r="G344" t="str">
        <f>SmtRes!K672</f>
        <v>Трудозатраты рабочих</v>
      </c>
      <c r="H344" t="str">
        <f>SmtRes!O672</f>
        <v>чел.-ч.</v>
      </c>
      <c r="I344">
        <f>SmtRes!Y672*Source!I656</f>
        <v>7.92</v>
      </c>
      <c r="J344">
        <f>SmtRes!AO672</f>
        <v>1</v>
      </c>
      <c r="K344">
        <f>SmtRes!AH672</f>
        <v>0</v>
      </c>
      <c r="L344">
        <f>SmtRes!DB672</f>
        <v>0</v>
      </c>
      <c r="M344">
        <f>ROUND(ROUND(L344*Source!I656, 6)*1, 2)</f>
        <v>0</v>
      </c>
      <c r="N344">
        <f>SmtRes!AD672</f>
        <v>0</v>
      </c>
      <c r="O344">
        <f>ROUND(ROUND(L344*Source!I656, 6)*SmtRes!DA672, 2)</f>
        <v>0</v>
      </c>
      <c r="P344">
        <f>SmtRes!AG672</f>
        <v>0</v>
      </c>
      <c r="Q344">
        <f>SmtRes!DC672</f>
        <v>0</v>
      </c>
      <c r="R344">
        <f>ROUND(ROUND(Q344*Source!I656, 6)*1, 2)</f>
        <v>0</v>
      </c>
      <c r="S344">
        <f>SmtRes!AC672</f>
        <v>0</v>
      </c>
      <c r="T344">
        <f>ROUND(ROUND(Q344*Source!I656, 6)*SmtRes!AK672, 2)</f>
        <v>0</v>
      </c>
      <c r="U344">
        <v>1</v>
      </c>
      <c r="Y344">
        <f>SmtRes!X672</f>
        <v>476480486</v>
      </c>
      <c r="Z344">
        <v>1499241640</v>
      </c>
      <c r="AA344">
        <v>1499241640</v>
      </c>
    </row>
    <row r="345" spans="1:27" x14ac:dyDescent="0.2">
      <c r="A345">
        <v>20</v>
      </c>
      <c r="B345">
        <v>674</v>
      </c>
      <c r="C345">
        <v>1</v>
      </c>
      <c r="D345">
        <v>0</v>
      </c>
      <c r="E345">
        <f>SmtRes!AV674</f>
        <v>1</v>
      </c>
      <c r="F345" t="str">
        <f>SmtRes!I674</f>
        <v>9999990008</v>
      </c>
      <c r="G345" t="str">
        <f>SmtRes!K674</f>
        <v>Трудозатраты рабочих</v>
      </c>
      <c r="H345" t="str">
        <f>SmtRes!O674</f>
        <v>чел.-ч.</v>
      </c>
      <c r="I345">
        <f>SmtRes!Y674*Source!I658</f>
        <v>4</v>
      </c>
      <c r="J345">
        <f>SmtRes!AO674</f>
        <v>1</v>
      </c>
      <c r="K345">
        <f>SmtRes!AH674</f>
        <v>0</v>
      </c>
      <c r="L345">
        <f>SmtRes!DB674</f>
        <v>0</v>
      </c>
      <c r="M345">
        <f>ROUND(ROUND(L345*Source!I658, 6)*1, 2)</f>
        <v>0</v>
      </c>
      <c r="N345">
        <f>SmtRes!AD674</f>
        <v>0</v>
      </c>
      <c r="O345">
        <f>ROUND(ROUND(L345*Source!I658, 6)*SmtRes!DA674, 2)</f>
        <v>0</v>
      </c>
      <c r="P345">
        <f>SmtRes!AG674</f>
        <v>0</v>
      </c>
      <c r="Q345">
        <f>SmtRes!DC674</f>
        <v>0</v>
      </c>
      <c r="R345">
        <f>ROUND(ROUND(Q345*Source!I658, 6)*1, 2)</f>
        <v>0</v>
      </c>
      <c r="S345">
        <f>SmtRes!AC674</f>
        <v>0</v>
      </c>
      <c r="T345">
        <f>ROUND(ROUND(Q345*Source!I658, 6)*SmtRes!AK674, 2)</f>
        <v>0</v>
      </c>
      <c r="U345">
        <v>1</v>
      </c>
      <c r="Y345">
        <f>SmtRes!X674</f>
        <v>476480486</v>
      </c>
      <c r="Z345">
        <v>1499241640</v>
      </c>
      <c r="AA345">
        <v>1499241640</v>
      </c>
    </row>
    <row r="346" spans="1:27" x14ac:dyDescent="0.2">
      <c r="A346">
        <v>20</v>
      </c>
      <c r="B346">
        <v>680</v>
      </c>
      <c r="C346">
        <v>3</v>
      </c>
      <c r="D346">
        <v>0</v>
      </c>
      <c r="E346">
        <f>SmtRes!AV680</f>
        <v>0</v>
      </c>
      <c r="F346" t="str">
        <f>SmtRes!I680</f>
        <v>1.1-1-1615</v>
      </c>
      <c r="G346" t="str">
        <f>SmtRes!K680</f>
        <v>Шурупы с потайной головкой, оцинкованные, длина 13-20 мм</v>
      </c>
      <c r="H346" t="str">
        <f>SmtRes!O680</f>
        <v>т</v>
      </c>
      <c r="I346">
        <f>SmtRes!Y680*Source!I660</f>
        <v>2.0000000000000002E-5</v>
      </c>
      <c r="J346">
        <f>SmtRes!AO680</f>
        <v>1</v>
      </c>
      <c r="K346">
        <f>SmtRes!AE680</f>
        <v>16744.32</v>
      </c>
      <c r="L346">
        <f>SmtRes!DB680</f>
        <v>0.17</v>
      </c>
      <c r="M346">
        <f>ROUND(ROUND(L346*Source!I660, 6)*1, 2)</f>
        <v>0.34</v>
      </c>
      <c r="N346">
        <f>SmtRes!AA680</f>
        <v>199927.18</v>
      </c>
      <c r="O346">
        <f>ROUND(ROUND(L346*Source!I660, 6)*SmtRes!DA680, 2)</f>
        <v>4.0599999999999996</v>
      </c>
      <c r="P346">
        <f>SmtRes!AG680</f>
        <v>0</v>
      </c>
      <c r="Q346">
        <f>SmtRes!DC680</f>
        <v>0</v>
      </c>
      <c r="R346">
        <f>ROUND(ROUND(Q346*Source!I660, 6)*1, 2)</f>
        <v>0</v>
      </c>
      <c r="S346">
        <f>SmtRes!AC680</f>
        <v>0</v>
      </c>
      <c r="T346">
        <f>ROUND(ROUND(Q346*Source!I660, 6)*SmtRes!AK680, 2)</f>
        <v>0</v>
      </c>
      <c r="U346">
        <v>3</v>
      </c>
      <c r="Y346">
        <f>SmtRes!X680</f>
        <v>1398464837</v>
      </c>
      <c r="Z346">
        <v>1475110711</v>
      </c>
      <c r="AA346">
        <v>1130690276</v>
      </c>
    </row>
    <row r="347" spans="1:27" x14ac:dyDescent="0.2">
      <c r="A347">
        <v>20</v>
      </c>
      <c r="B347">
        <v>679</v>
      </c>
      <c r="C347">
        <v>1</v>
      </c>
      <c r="D347">
        <v>0</v>
      </c>
      <c r="E347">
        <f>SmtRes!AV679</f>
        <v>1</v>
      </c>
      <c r="F347" t="str">
        <f>SmtRes!I679</f>
        <v>9999990008</v>
      </c>
      <c r="G347" t="str">
        <f>SmtRes!K679</f>
        <v>Трудозатраты рабочих</v>
      </c>
      <c r="H347" t="str">
        <f>SmtRes!O679</f>
        <v>чел.-ч.</v>
      </c>
      <c r="I347">
        <f>SmtRes!Y679*Source!I660</f>
        <v>0.20699999999999999</v>
      </c>
      <c r="J347">
        <f>SmtRes!AO679</f>
        <v>1</v>
      </c>
      <c r="K347">
        <f>SmtRes!AH679</f>
        <v>0</v>
      </c>
      <c r="L347">
        <f>SmtRes!DB679</f>
        <v>0</v>
      </c>
      <c r="M347">
        <f>ROUND(ROUND(L347*Source!I660, 6)*1, 2)</f>
        <v>0</v>
      </c>
      <c r="N347">
        <f>SmtRes!AD679</f>
        <v>0</v>
      </c>
      <c r="O347">
        <f>ROUND(ROUND(L347*Source!I660, 6)*SmtRes!DA679, 2)</f>
        <v>0</v>
      </c>
      <c r="P347">
        <f>SmtRes!AG679</f>
        <v>0</v>
      </c>
      <c r="Q347">
        <f>SmtRes!DC679</f>
        <v>0</v>
      </c>
      <c r="R347">
        <f>ROUND(ROUND(Q347*Source!I660, 6)*1, 2)</f>
        <v>0</v>
      </c>
      <c r="S347">
        <f>SmtRes!AC679</f>
        <v>0</v>
      </c>
      <c r="T347">
        <f>ROUND(ROUND(Q347*Source!I660, 6)*SmtRes!AK679, 2)</f>
        <v>0</v>
      </c>
      <c r="U347">
        <v>1</v>
      </c>
      <c r="Y347">
        <f>SmtRes!X679</f>
        <v>476480486</v>
      </c>
      <c r="Z347">
        <v>1499241640</v>
      </c>
      <c r="AA347">
        <v>1499241640</v>
      </c>
    </row>
    <row r="348" spans="1:27" x14ac:dyDescent="0.2">
      <c r="A348">
        <f>Source!A662</f>
        <v>18</v>
      </c>
      <c r="B348">
        <v>662</v>
      </c>
      <c r="C348">
        <v>3</v>
      </c>
      <c r="D348">
        <f>Source!BI662</f>
        <v>1</v>
      </c>
      <c r="E348">
        <f>Source!FS662</f>
        <v>0</v>
      </c>
      <c r="F348" t="str">
        <f>Source!F662</f>
        <v>1.1-1-2614</v>
      </c>
      <c r="G348" t="str">
        <f>Source!G662</f>
        <v>Знаки безопасности и эвакуационные указатели из пленки самоклеящейся к светильникам, тип НПУ-3000</v>
      </c>
      <c r="H348" t="str">
        <f>Source!H662</f>
        <v>шт.</v>
      </c>
      <c r="I348">
        <f>Source!I662</f>
        <v>2</v>
      </c>
      <c r="J348">
        <v>1</v>
      </c>
      <c r="K348">
        <f>Source!AC662</f>
        <v>15.36</v>
      </c>
      <c r="M348">
        <f>ROUND(K348*I348, 2)</f>
        <v>30.72</v>
      </c>
      <c r="N348">
        <f>Source!AC662*IF(Source!BC662&lt;&gt; 0, Source!BC662, 1)</f>
        <v>60.5184</v>
      </c>
      <c r="O348">
        <f>ROUND(N348*I348, 2)</f>
        <v>121.04</v>
      </c>
      <c r="P348">
        <f>Source!AE662</f>
        <v>0</v>
      </c>
      <c r="R348">
        <f>ROUND(P348*I348, 2)</f>
        <v>0</v>
      </c>
      <c r="S348">
        <f>Source!AE662*IF(Source!BS662&lt;&gt; 0, Source!BS662, 1)</f>
        <v>0</v>
      </c>
      <c r="T348">
        <f>ROUND(S348*I348, 2)</f>
        <v>0</v>
      </c>
      <c r="U348">
        <v>3</v>
      </c>
      <c r="Y348">
        <f>Source!GF662</f>
        <v>1588752738</v>
      </c>
      <c r="Z348">
        <v>1774062140</v>
      </c>
      <c r="AA348">
        <v>1369064842</v>
      </c>
    </row>
    <row r="349" spans="1:27" x14ac:dyDescent="0.2">
      <c r="A349">
        <f>Source!A664</f>
        <v>18</v>
      </c>
      <c r="B349">
        <v>664</v>
      </c>
      <c r="C349">
        <v>3</v>
      </c>
      <c r="D349">
        <f>Source!BI664</f>
        <v>1</v>
      </c>
      <c r="E349">
        <f>Source!FS664</f>
        <v>0</v>
      </c>
      <c r="F349" t="str">
        <f>Source!F664</f>
        <v>Цена поставщика</v>
      </c>
      <c r="G349" t="str">
        <f>Source!G664</f>
        <v>MP-010R2 Табличка тактильная с пиктограммой "SOS с трубкой" (150x150мм) красный фон</v>
      </c>
      <c r="H349" t="str">
        <f>Source!H664</f>
        <v>шт.</v>
      </c>
      <c r="I349">
        <f>Source!I664</f>
        <v>2</v>
      </c>
      <c r="J349">
        <v>1</v>
      </c>
      <c r="K349">
        <f>Source!AC664</f>
        <v>67.8</v>
      </c>
      <c r="M349">
        <f>ROUND(K349*I349, 2)</f>
        <v>135.6</v>
      </c>
      <c r="N349">
        <f>Source!AC664*IF(Source!BC664&lt;&gt; 0, Source!BC664, 1)</f>
        <v>586.47</v>
      </c>
      <c r="O349">
        <f>ROUND(N349*I349, 2)</f>
        <v>1172.94</v>
      </c>
      <c r="P349">
        <f>Source!AE664</f>
        <v>0</v>
      </c>
      <c r="R349">
        <f>ROUND(P349*I349, 2)</f>
        <v>0</v>
      </c>
      <c r="S349">
        <f>Source!AE664*IF(Source!BS664&lt;&gt; 0, Source!BS664, 1)</f>
        <v>0</v>
      </c>
      <c r="T349">
        <f>ROUND(S349*I349, 2)</f>
        <v>0</v>
      </c>
      <c r="U349">
        <v>3</v>
      </c>
      <c r="Y349">
        <f>Source!GF664</f>
        <v>718993463</v>
      </c>
      <c r="Z349">
        <v>1409780444</v>
      </c>
      <c r="AA349">
        <v>1122085125</v>
      </c>
    </row>
    <row r="350" spans="1:27" x14ac:dyDescent="0.2">
      <c r="A350">
        <v>20</v>
      </c>
      <c r="B350">
        <v>684</v>
      </c>
      <c r="C350">
        <v>1</v>
      </c>
      <c r="D350">
        <v>0</v>
      </c>
      <c r="E350">
        <f>SmtRes!AV684</f>
        <v>1</v>
      </c>
      <c r="F350" t="str">
        <f>SmtRes!I684</f>
        <v>9999990008</v>
      </c>
      <c r="G350" t="str">
        <f>SmtRes!K684</f>
        <v>Трудозатраты рабочих</v>
      </c>
      <c r="H350" t="str">
        <f>SmtRes!O684</f>
        <v>чел.-ч.</v>
      </c>
      <c r="I350">
        <f>SmtRes!Y684*Source!I666</f>
        <v>0.84670000000000001</v>
      </c>
      <c r="J350">
        <f>SmtRes!AO684</f>
        <v>1</v>
      </c>
      <c r="K350">
        <f>SmtRes!AH684</f>
        <v>0</v>
      </c>
      <c r="L350">
        <f>SmtRes!DB684</f>
        <v>0</v>
      </c>
      <c r="M350">
        <f>ROUND(ROUND(L350*Source!I666, 6)*1, 2)</f>
        <v>0</v>
      </c>
      <c r="N350">
        <f>SmtRes!AD684</f>
        <v>0</v>
      </c>
      <c r="O350">
        <f>ROUND(ROUND(L350*Source!I666, 6)*SmtRes!DA684, 2)</f>
        <v>0</v>
      </c>
      <c r="P350">
        <f>SmtRes!AG684</f>
        <v>0</v>
      </c>
      <c r="Q350">
        <f>SmtRes!DC684</f>
        <v>0</v>
      </c>
      <c r="R350">
        <f>ROUND(ROUND(Q350*Source!I666, 6)*1, 2)</f>
        <v>0</v>
      </c>
      <c r="S350">
        <f>SmtRes!AC684</f>
        <v>0</v>
      </c>
      <c r="T350">
        <f>ROUND(ROUND(Q350*Source!I666, 6)*SmtRes!AK684, 2)</f>
        <v>0</v>
      </c>
      <c r="U350">
        <v>1</v>
      </c>
      <c r="Y350">
        <f>SmtRes!X684</f>
        <v>476480486</v>
      </c>
      <c r="Z350">
        <v>1499241640</v>
      </c>
      <c r="AA350">
        <v>1499241640</v>
      </c>
    </row>
    <row r="351" spans="1:27" x14ac:dyDescent="0.2">
      <c r="A351">
        <v>20</v>
      </c>
      <c r="B351">
        <v>686</v>
      </c>
      <c r="C351">
        <v>1</v>
      </c>
      <c r="D351">
        <v>0</v>
      </c>
      <c r="E351">
        <f>SmtRes!AV686</f>
        <v>1</v>
      </c>
      <c r="F351" t="str">
        <f>SmtRes!I686</f>
        <v>9999990008</v>
      </c>
      <c r="G351" t="str">
        <f>SmtRes!K686</f>
        <v>Трудозатраты рабочих</v>
      </c>
      <c r="H351" t="str">
        <f>SmtRes!O686</f>
        <v>чел.-ч.</v>
      </c>
      <c r="I351">
        <f>SmtRes!Y686*Source!I668</f>
        <v>2</v>
      </c>
      <c r="J351">
        <f>SmtRes!AO686</f>
        <v>1</v>
      </c>
      <c r="K351">
        <f>SmtRes!AH686</f>
        <v>0</v>
      </c>
      <c r="L351">
        <f>SmtRes!DB686</f>
        <v>0</v>
      </c>
      <c r="M351">
        <f>ROUND(ROUND(L351*Source!I668, 6)*1, 2)</f>
        <v>0</v>
      </c>
      <c r="N351">
        <f>SmtRes!AD686</f>
        <v>0</v>
      </c>
      <c r="O351">
        <f>ROUND(ROUND(L351*Source!I668, 6)*SmtRes!DA686, 2)</f>
        <v>0</v>
      </c>
      <c r="P351">
        <f>SmtRes!AG686</f>
        <v>0</v>
      </c>
      <c r="Q351">
        <f>SmtRes!DC686</f>
        <v>0</v>
      </c>
      <c r="R351">
        <f>ROUND(ROUND(Q351*Source!I668, 6)*1, 2)</f>
        <v>0</v>
      </c>
      <c r="S351">
        <f>SmtRes!AC686</f>
        <v>0</v>
      </c>
      <c r="T351">
        <f>ROUND(ROUND(Q351*Source!I668, 6)*SmtRes!AK686, 2)</f>
        <v>0</v>
      </c>
      <c r="U351">
        <v>1</v>
      </c>
      <c r="Y351">
        <f>SmtRes!X686</f>
        <v>476480486</v>
      </c>
      <c r="Z351">
        <v>1499241640</v>
      </c>
      <c r="AA351">
        <v>1499241640</v>
      </c>
    </row>
    <row r="352" spans="1:27" x14ac:dyDescent="0.2">
      <c r="A352">
        <v>20</v>
      </c>
      <c r="B352">
        <v>691</v>
      </c>
      <c r="C352">
        <v>3</v>
      </c>
      <c r="D352">
        <v>0</v>
      </c>
      <c r="E352">
        <f>SmtRes!AV691</f>
        <v>0</v>
      </c>
      <c r="F352" t="str">
        <f>SmtRes!I691</f>
        <v>1.1-1-1615</v>
      </c>
      <c r="G352" t="str">
        <f>SmtRes!K691</f>
        <v>Шурупы с потайной головкой, оцинкованные, длина 13-20 мм</v>
      </c>
      <c r="H352" t="str">
        <f>SmtRes!O691</f>
        <v>т</v>
      </c>
      <c r="I352">
        <f>SmtRes!Y691*Source!I670</f>
        <v>1.0000000000000001E-5</v>
      </c>
      <c r="J352">
        <f>SmtRes!AO691</f>
        <v>1</v>
      </c>
      <c r="K352">
        <f>SmtRes!AE691</f>
        <v>16744.32</v>
      </c>
      <c r="L352">
        <f>SmtRes!DB691</f>
        <v>0.17</v>
      </c>
      <c r="M352">
        <f>ROUND(ROUND(L352*Source!I670, 6)*1, 2)</f>
        <v>0.17</v>
      </c>
      <c r="N352">
        <f>SmtRes!AA691</f>
        <v>199927.18</v>
      </c>
      <c r="O352">
        <f>ROUND(ROUND(L352*Source!I670, 6)*SmtRes!DA691, 2)</f>
        <v>2.0299999999999998</v>
      </c>
      <c r="P352">
        <f>SmtRes!AG691</f>
        <v>0</v>
      </c>
      <c r="Q352">
        <f>SmtRes!DC691</f>
        <v>0</v>
      </c>
      <c r="R352">
        <f>ROUND(ROUND(Q352*Source!I670, 6)*1, 2)</f>
        <v>0</v>
      </c>
      <c r="S352">
        <f>SmtRes!AC691</f>
        <v>0</v>
      </c>
      <c r="T352">
        <f>ROUND(ROUND(Q352*Source!I670, 6)*SmtRes!AK691, 2)</f>
        <v>0</v>
      </c>
      <c r="U352">
        <v>3</v>
      </c>
      <c r="Y352">
        <f>SmtRes!X691</f>
        <v>1398464837</v>
      </c>
      <c r="Z352">
        <v>1475110711</v>
      </c>
      <c r="AA352">
        <v>1130690276</v>
      </c>
    </row>
    <row r="353" spans="1:27" x14ac:dyDescent="0.2">
      <c r="A353">
        <v>20</v>
      </c>
      <c r="B353">
        <v>690</v>
      </c>
      <c r="C353">
        <v>1</v>
      </c>
      <c r="D353">
        <v>0</v>
      </c>
      <c r="E353">
        <f>SmtRes!AV690</f>
        <v>1</v>
      </c>
      <c r="F353" t="str">
        <f>SmtRes!I690</f>
        <v>9999990008</v>
      </c>
      <c r="G353" t="str">
        <f>SmtRes!K690</f>
        <v>Трудозатраты рабочих</v>
      </c>
      <c r="H353" t="str">
        <f>SmtRes!O690</f>
        <v>чел.-ч.</v>
      </c>
      <c r="I353">
        <f>SmtRes!Y690*Source!I670</f>
        <v>0.10349999999999999</v>
      </c>
      <c r="J353">
        <f>SmtRes!AO690</f>
        <v>1</v>
      </c>
      <c r="K353">
        <f>SmtRes!AH690</f>
        <v>0</v>
      </c>
      <c r="L353">
        <f>SmtRes!DB690</f>
        <v>0</v>
      </c>
      <c r="M353">
        <f>ROUND(ROUND(L353*Source!I670, 6)*1, 2)</f>
        <v>0</v>
      </c>
      <c r="N353">
        <f>SmtRes!AD690</f>
        <v>0</v>
      </c>
      <c r="O353">
        <f>ROUND(ROUND(L353*Source!I670, 6)*SmtRes!DA690, 2)</f>
        <v>0</v>
      </c>
      <c r="P353">
        <f>SmtRes!AG690</f>
        <v>0</v>
      </c>
      <c r="Q353">
        <f>SmtRes!DC690</f>
        <v>0</v>
      </c>
      <c r="R353">
        <f>ROUND(ROUND(Q353*Source!I670, 6)*1, 2)</f>
        <v>0</v>
      </c>
      <c r="S353">
        <f>SmtRes!AC690</f>
        <v>0</v>
      </c>
      <c r="T353">
        <f>ROUND(ROUND(Q353*Source!I670, 6)*SmtRes!AK690, 2)</f>
        <v>0</v>
      </c>
      <c r="U353">
        <v>1</v>
      </c>
      <c r="Y353">
        <f>SmtRes!X690</f>
        <v>476480486</v>
      </c>
      <c r="Z353">
        <v>1499241640</v>
      </c>
      <c r="AA353">
        <v>1499241640</v>
      </c>
    </row>
    <row r="354" spans="1:27" x14ac:dyDescent="0.2">
      <c r="A354">
        <f>Source!A672</f>
        <v>18</v>
      </c>
      <c r="B354">
        <v>672</v>
      </c>
      <c r="C354">
        <v>3</v>
      </c>
      <c r="D354">
        <f>Source!BI672</f>
        <v>1</v>
      </c>
      <c r="E354">
        <f>Source!FS672</f>
        <v>0</v>
      </c>
      <c r="F354" t="str">
        <f>Source!F672</f>
        <v>Цена поставщика</v>
      </c>
      <c r="G354" t="str">
        <f>Source!G672</f>
        <v>MP-010R1 Табличка тактильная с пиктограммой "SOS" (150x150мм) красный фон</v>
      </c>
      <c r="H354" t="str">
        <f>Source!H672</f>
        <v>шт.</v>
      </c>
      <c r="I354">
        <f>Source!I672</f>
        <v>1</v>
      </c>
      <c r="J354">
        <v>1</v>
      </c>
      <c r="K354">
        <f>Source!AC672</f>
        <v>67.8</v>
      </c>
      <c r="M354">
        <f>ROUND(K354*I354, 2)</f>
        <v>67.8</v>
      </c>
      <c r="N354">
        <f>Source!AC672*IF(Source!BC672&lt;&gt; 0, Source!BC672, 1)</f>
        <v>586.47</v>
      </c>
      <c r="O354">
        <f>ROUND(N354*I354, 2)</f>
        <v>586.47</v>
      </c>
      <c r="P354">
        <f>Source!AE672</f>
        <v>0</v>
      </c>
      <c r="R354">
        <f>ROUND(P354*I354, 2)</f>
        <v>0</v>
      </c>
      <c r="S354">
        <f>Source!AE672*IF(Source!BS672&lt;&gt; 0, Source!BS672, 1)</f>
        <v>0</v>
      </c>
      <c r="T354">
        <f>ROUND(S354*I354, 2)</f>
        <v>0</v>
      </c>
      <c r="U354">
        <v>3</v>
      </c>
      <c r="Y354">
        <f>Source!GF672</f>
        <v>745168912</v>
      </c>
      <c r="Z354">
        <v>196060482</v>
      </c>
      <c r="AA354">
        <v>116550752</v>
      </c>
    </row>
    <row r="355" spans="1:27" x14ac:dyDescent="0.2">
      <c r="A355">
        <v>20</v>
      </c>
      <c r="B355">
        <v>696</v>
      </c>
      <c r="C355">
        <v>3</v>
      </c>
      <c r="D355">
        <v>0</v>
      </c>
      <c r="E355">
        <f>SmtRes!AV696</f>
        <v>0</v>
      </c>
      <c r="F355" t="str">
        <f>SmtRes!I696</f>
        <v>9999990002</v>
      </c>
      <c r="G355" t="str">
        <f>SmtRes!K696</f>
        <v>Масса оборудования</v>
      </c>
      <c r="H355" t="str">
        <f>SmtRes!O696</f>
        <v>т</v>
      </c>
      <c r="I355">
        <f>SmtRes!Y696*Source!I674</f>
        <v>1E-3</v>
      </c>
      <c r="J355">
        <f>SmtRes!AO696</f>
        <v>1</v>
      </c>
      <c r="K355">
        <f>SmtRes!AE696</f>
        <v>0</v>
      </c>
      <c r="L355">
        <f>SmtRes!DB696</f>
        <v>0</v>
      </c>
      <c r="M355">
        <f>ROUND(ROUND(L355*Source!I674, 6)*1, 2)</f>
        <v>0</v>
      </c>
      <c r="N355">
        <f>SmtRes!AA696</f>
        <v>0</v>
      </c>
      <c r="O355">
        <f>ROUND(ROUND(L355*Source!I674, 6)*SmtRes!DA696, 2)</f>
        <v>0</v>
      </c>
      <c r="P355">
        <f>SmtRes!AG696</f>
        <v>0</v>
      </c>
      <c r="Q355">
        <f>SmtRes!DC696</f>
        <v>0</v>
      </c>
      <c r="R355">
        <f>ROUND(ROUND(Q355*Source!I674, 6)*1, 2)</f>
        <v>0</v>
      </c>
      <c r="S355">
        <f>SmtRes!AC696</f>
        <v>0</v>
      </c>
      <c r="T355">
        <f>ROUND(ROUND(Q355*Source!I674, 6)*SmtRes!AK696, 2)</f>
        <v>0</v>
      </c>
      <c r="U355">
        <v>3</v>
      </c>
      <c r="Y355">
        <f>SmtRes!X696</f>
        <v>-783086922</v>
      </c>
      <c r="Z355">
        <v>1715875556</v>
      </c>
      <c r="AA355">
        <v>1715875556</v>
      </c>
    </row>
    <row r="356" spans="1:27" x14ac:dyDescent="0.2">
      <c r="A356">
        <v>20</v>
      </c>
      <c r="B356">
        <v>695</v>
      </c>
      <c r="C356">
        <v>1</v>
      </c>
      <c r="D356">
        <v>0</v>
      </c>
      <c r="E356">
        <f>SmtRes!AV695</f>
        <v>1</v>
      </c>
      <c r="F356" t="str">
        <f>SmtRes!I695</f>
        <v>9999990008</v>
      </c>
      <c r="G356" t="str">
        <f>SmtRes!K695</f>
        <v>Трудозатраты рабочих</v>
      </c>
      <c r="H356" t="str">
        <f>SmtRes!O695</f>
        <v>чел.-ч.</v>
      </c>
      <c r="I356">
        <f>SmtRes!Y695*Source!I674</f>
        <v>9.3000000000000007</v>
      </c>
      <c r="J356">
        <f>SmtRes!AO695</f>
        <v>1</v>
      </c>
      <c r="K356">
        <f>SmtRes!AH695</f>
        <v>0</v>
      </c>
      <c r="L356">
        <f>SmtRes!DB695</f>
        <v>0</v>
      </c>
      <c r="M356">
        <f>ROUND(ROUND(L356*Source!I674, 6)*1, 2)</f>
        <v>0</v>
      </c>
      <c r="N356">
        <f>SmtRes!AD695</f>
        <v>0</v>
      </c>
      <c r="O356">
        <f>ROUND(ROUND(L356*Source!I674, 6)*SmtRes!DA695, 2)</f>
        <v>0</v>
      </c>
      <c r="P356">
        <f>SmtRes!AG695</f>
        <v>0</v>
      </c>
      <c r="Q356">
        <f>SmtRes!DC695</f>
        <v>0</v>
      </c>
      <c r="R356">
        <f>ROUND(ROUND(Q356*Source!I674, 6)*1, 2)</f>
        <v>0</v>
      </c>
      <c r="S356">
        <f>SmtRes!AC695</f>
        <v>0</v>
      </c>
      <c r="T356">
        <f>ROUND(ROUND(Q356*Source!I674, 6)*SmtRes!AK695, 2)</f>
        <v>0</v>
      </c>
      <c r="U356">
        <v>1</v>
      </c>
      <c r="Y356">
        <f>SmtRes!X695</f>
        <v>476480486</v>
      </c>
      <c r="Z356">
        <v>1499241640</v>
      </c>
      <c r="AA356">
        <v>1499241640</v>
      </c>
    </row>
    <row r="357" spans="1:27" x14ac:dyDescent="0.2">
      <c r="A357">
        <v>20</v>
      </c>
      <c r="B357">
        <v>699</v>
      </c>
      <c r="C357">
        <v>1</v>
      </c>
      <c r="D357">
        <v>0</v>
      </c>
      <c r="E357">
        <f>SmtRes!AV699</f>
        <v>1</v>
      </c>
      <c r="F357" t="str">
        <f>SmtRes!I699</f>
        <v>9999990008</v>
      </c>
      <c r="G357" t="str">
        <f>SmtRes!K699</f>
        <v>Трудозатраты рабочих</v>
      </c>
      <c r="H357" t="str">
        <f>SmtRes!O699</f>
        <v>чел.-ч.</v>
      </c>
      <c r="I357">
        <f>SmtRes!Y699*Source!I676</f>
        <v>2.9</v>
      </c>
      <c r="J357">
        <f>SmtRes!AO699</f>
        <v>1</v>
      </c>
      <c r="K357">
        <f>SmtRes!AH699</f>
        <v>0</v>
      </c>
      <c r="L357">
        <f>SmtRes!DB699</f>
        <v>0</v>
      </c>
      <c r="M357">
        <f>ROUND(ROUND(L357*Source!I676, 6)*1, 2)</f>
        <v>0</v>
      </c>
      <c r="N357">
        <f>SmtRes!AD699</f>
        <v>0</v>
      </c>
      <c r="O357">
        <f>ROUND(ROUND(L357*Source!I676, 6)*SmtRes!DA699, 2)</f>
        <v>0</v>
      </c>
      <c r="P357">
        <f>SmtRes!AG699</f>
        <v>0</v>
      </c>
      <c r="Q357">
        <f>SmtRes!DC699</f>
        <v>0</v>
      </c>
      <c r="R357">
        <f>ROUND(ROUND(Q357*Source!I676, 6)*1, 2)</f>
        <v>0</v>
      </c>
      <c r="S357">
        <f>SmtRes!AC699</f>
        <v>0</v>
      </c>
      <c r="T357">
        <f>ROUND(ROUND(Q357*Source!I676, 6)*SmtRes!AK699, 2)</f>
        <v>0</v>
      </c>
      <c r="U357">
        <v>1</v>
      </c>
      <c r="Y357">
        <f>SmtRes!X699</f>
        <v>476480486</v>
      </c>
      <c r="Z357">
        <v>1499241640</v>
      </c>
      <c r="AA357">
        <v>1499241640</v>
      </c>
    </row>
    <row r="358" spans="1:27" x14ac:dyDescent="0.2">
      <c r="A358">
        <f>Source!A678</f>
        <v>18</v>
      </c>
      <c r="B358">
        <v>678</v>
      </c>
      <c r="C358">
        <v>3</v>
      </c>
      <c r="D358">
        <f>Source!BI678</f>
        <v>2</v>
      </c>
      <c r="E358">
        <f>Source!FS678</f>
        <v>0</v>
      </c>
      <c r="F358" t="str">
        <f>Source!F678</f>
        <v>1.21-4-255</v>
      </c>
      <c r="G358" t="str">
        <f>Source!G678</f>
        <v>Щит групповой, навесной, 9 модулей, степень защиты IР40, размер 160х222х93 мм, из АБС-пластика, с дверцей, с монтажной рейкой, с шиной N(PE), без аппаратов</v>
      </c>
      <c r="H358" t="str">
        <f>Source!H678</f>
        <v>шт.</v>
      </c>
      <c r="I358">
        <f>Source!I678</f>
        <v>1</v>
      </c>
      <c r="J358">
        <v>1</v>
      </c>
      <c r="K358">
        <f>Source!AC678</f>
        <v>56.94</v>
      </c>
      <c r="M358">
        <f>ROUND(K358*I358, 2)</f>
        <v>56.94</v>
      </c>
      <c r="N358">
        <f>Source!AC678*IF(Source!BC678&lt;&gt; 0, Source!BC678, 1)</f>
        <v>510.7518</v>
      </c>
      <c r="O358">
        <f>ROUND(N358*I358, 2)</f>
        <v>510.75</v>
      </c>
      <c r="P358">
        <f>Source!AE678</f>
        <v>0</v>
      </c>
      <c r="R358">
        <f>ROUND(P358*I358, 2)</f>
        <v>0</v>
      </c>
      <c r="S358">
        <f>Source!AE678*IF(Source!BS678&lt;&gt; 0, Source!BS678, 1)</f>
        <v>0</v>
      </c>
      <c r="T358">
        <f>ROUND(S358*I358, 2)</f>
        <v>0</v>
      </c>
      <c r="U358">
        <v>3</v>
      </c>
      <c r="Y358">
        <f>Source!GF678</f>
        <v>-935473514</v>
      </c>
      <c r="Z358">
        <v>-612758185</v>
      </c>
      <c r="AA358">
        <v>1412814006</v>
      </c>
    </row>
    <row r="359" spans="1:27" x14ac:dyDescent="0.2">
      <c r="A359">
        <v>20</v>
      </c>
      <c r="B359">
        <v>703</v>
      </c>
      <c r="C359">
        <v>1</v>
      </c>
      <c r="D359">
        <v>0</v>
      </c>
      <c r="E359">
        <f>SmtRes!AV703</f>
        <v>1</v>
      </c>
      <c r="F359" t="str">
        <f>SmtRes!I703</f>
        <v>9999990008</v>
      </c>
      <c r="G359" t="str">
        <f>SmtRes!K703</f>
        <v>Трудозатраты рабочих</v>
      </c>
      <c r="H359" t="str">
        <f>SmtRes!O703</f>
        <v>чел.-ч.</v>
      </c>
      <c r="I359">
        <f>SmtRes!Y703*Source!I680</f>
        <v>20.335000000000001</v>
      </c>
      <c r="J359">
        <f>SmtRes!AO703</f>
        <v>1</v>
      </c>
      <c r="K359">
        <f>SmtRes!AH703</f>
        <v>0</v>
      </c>
      <c r="L359">
        <f>SmtRes!DB703</f>
        <v>0</v>
      </c>
      <c r="M359">
        <f>ROUND(ROUND(L359*Source!I680, 6)*1, 2)</f>
        <v>0</v>
      </c>
      <c r="N359">
        <f>SmtRes!AD703</f>
        <v>0</v>
      </c>
      <c r="O359">
        <f>ROUND(ROUND(L359*Source!I680, 6)*SmtRes!DA703, 2)</f>
        <v>0</v>
      </c>
      <c r="P359">
        <f>SmtRes!AG703</f>
        <v>0</v>
      </c>
      <c r="Q359">
        <f>SmtRes!DC703</f>
        <v>0</v>
      </c>
      <c r="R359">
        <f>ROUND(ROUND(Q359*Source!I680, 6)*1, 2)</f>
        <v>0</v>
      </c>
      <c r="S359">
        <f>SmtRes!AC703</f>
        <v>0</v>
      </c>
      <c r="T359">
        <f>ROUND(ROUND(Q359*Source!I680, 6)*SmtRes!AK703, 2)</f>
        <v>0</v>
      </c>
      <c r="U359">
        <v>1</v>
      </c>
      <c r="Y359">
        <f>SmtRes!X703</f>
        <v>476480486</v>
      </c>
      <c r="Z359">
        <v>1499241640</v>
      </c>
      <c r="AA359">
        <v>1499241640</v>
      </c>
    </row>
    <row r="360" spans="1:27" x14ac:dyDescent="0.2">
      <c r="A360">
        <f>Source!A682</f>
        <v>18</v>
      </c>
      <c r="B360">
        <v>682</v>
      </c>
      <c r="C360">
        <v>3</v>
      </c>
      <c r="D360">
        <f>Source!BI682</f>
        <v>2</v>
      </c>
      <c r="E360">
        <f>Source!FS682</f>
        <v>0</v>
      </c>
      <c r="F360" t="str">
        <f>Source!F682</f>
        <v>1.1-1-3169</v>
      </c>
      <c r="G360" t="str">
        <f>Source!G682</f>
        <v>Кабель-каналы, размер 25х17 мм, кабель-каналы</v>
      </c>
      <c r="H360" t="str">
        <f>Source!H682</f>
        <v>м</v>
      </c>
      <c r="I360">
        <f>Source!I682</f>
        <v>50</v>
      </c>
      <c r="J360">
        <v>1</v>
      </c>
      <c r="K360">
        <f>Source!AC682</f>
        <v>9.74</v>
      </c>
      <c r="M360">
        <f>ROUND(K360*I360, 2)</f>
        <v>487</v>
      </c>
      <c r="N360">
        <f>Source!AC682*IF(Source!BC682&lt;&gt; 0, Source!BC682, 1)</f>
        <v>67.887799999999999</v>
      </c>
      <c r="O360">
        <f>ROUND(N360*I360, 2)</f>
        <v>3394.39</v>
      </c>
      <c r="P360">
        <f>Source!AE682</f>
        <v>0</v>
      </c>
      <c r="R360">
        <f>ROUND(P360*I360, 2)</f>
        <v>0</v>
      </c>
      <c r="S360">
        <f>Source!AE682*IF(Source!BS682&lt;&gt; 0, Source!BS682, 1)</f>
        <v>0</v>
      </c>
      <c r="T360">
        <f>ROUND(S360*I360, 2)</f>
        <v>0</v>
      </c>
      <c r="U360">
        <v>3</v>
      </c>
      <c r="Y360">
        <f>Source!GF682</f>
        <v>-961474962</v>
      </c>
      <c r="Z360">
        <v>1884657491</v>
      </c>
      <c r="AA360">
        <v>-461846731</v>
      </c>
    </row>
    <row r="361" spans="1:27" x14ac:dyDescent="0.2">
      <c r="A361">
        <v>20</v>
      </c>
      <c r="B361">
        <v>707</v>
      </c>
      <c r="C361">
        <v>1</v>
      </c>
      <c r="D361">
        <v>0</v>
      </c>
      <c r="E361">
        <f>SmtRes!AV707</f>
        <v>1</v>
      </c>
      <c r="F361" t="str">
        <f>SmtRes!I707</f>
        <v>9999990008</v>
      </c>
      <c r="G361" t="str">
        <f>SmtRes!K707</f>
        <v>Трудозатраты рабочих</v>
      </c>
      <c r="H361" t="str">
        <f>SmtRes!O707</f>
        <v>чел.-ч.</v>
      </c>
      <c r="I361">
        <f>SmtRes!Y707*Source!I684</f>
        <v>0.22769999999999999</v>
      </c>
      <c r="J361">
        <f>SmtRes!AO707</f>
        <v>1</v>
      </c>
      <c r="K361">
        <f>SmtRes!AH707</f>
        <v>0</v>
      </c>
      <c r="L361">
        <f>SmtRes!DB707</f>
        <v>0</v>
      </c>
      <c r="M361">
        <f>ROUND(ROUND(L361*Source!I684, 6)*1, 2)</f>
        <v>0</v>
      </c>
      <c r="N361">
        <f>SmtRes!AD707</f>
        <v>0</v>
      </c>
      <c r="O361">
        <f>ROUND(ROUND(L361*Source!I684, 6)*SmtRes!DA707, 2)</f>
        <v>0</v>
      </c>
      <c r="P361">
        <f>SmtRes!AG707</f>
        <v>0</v>
      </c>
      <c r="Q361">
        <f>SmtRes!DC707</f>
        <v>0</v>
      </c>
      <c r="R361">
        <f>ROUND(ROUND(Q361*Source!I684, 6)*1, 2)</f>
        <v>0</v>
      </c>
      <c r="S361">
        <f>SmtRes!AC707</f>
        <v>0</v>
      </c>
      <c r="T361">
        <f>ROUND(ROUND(Q361*Source!I684, 6)*SmtRes!AK707, 2)</f>
        <v>0</v>
      </c>
      <c r="U361">
        <v>1</v>
      </c>
      <c r="Y361">
        <f>SmtRes!X707</f>
        <v>476480486</v>
      </c>
      <c r="Z361">
        <v>1499241640</v>
      </c>
      <c r="AA361">
        <v>1499241640</v>
      </c>
    </row>
    <row r="362" spans="1:27" x14ac:dyDescent="0.2">
      <c r="A362">
        <f>Source!A686</f>
        <v>18</v>
      </c>
      <c r="B362">
        <v>686</v>
      </c>
      <c r="C362">
        <v>3</v>
      </c>
      <c r="D362">
        <f>Source!BI686</f>
        <v>2</v>
      </c>
      <c r="E362">
        <f>Source!FS686</f>
        <v>0</v>
      </c>
      <c r="F362" t="str">
        <f>Source!F686</f>
        <v>1.12-5-41</v>
      </c>
      <c r="G362" t="str">
        <f>Source!G686</f>
        <v>Трубы поливинилхлоридные для электропроводок, гладкие, усиленного типа из отходов ПВХ, наружный диаметр 16 мм, толщина стенки 1,2 мм</v>
      </c>
      <c r="H362" t="str">
        <f>Source!H686</f>
        <v>м</v>
      </c>
      <c r="I362">
        <f>Source!I686</f>
        <v>1.1220000000000001</v>
      </c>
      <c r="J362">
        <v>1</v>
      </c>
      <c r="K362">
        <f>Source!AC686</f>
        <v>3.35</v>
      </c>
      <c r="M362">
        <f>ROUND(K362*I362, 2)</f>
        <v>3.76</v>
      </c>
      <c r="N362">
        <f>Source!AC686*IF(Source!BC686&lt;&gt; 0, Source!BC686, 1)</f>
        <v>16.7165</v>
      </c>
      <c r="O362">
        <f>ROUND(N362*I362, 2)</f>
        <v>18.760000000000002</v>
      </c>
      <c r="P362">
        <f>Source!AE686</f>
        <v>0</v>
      </c>
      <c r="R362">
        <f>ROUND(P362*I362, 2)</f>
        <v>0</v>
      </c>
      <c r="S362">
        <f>Source!AE686*IF(Source!BS686&lt;&gt; 0, Source!BS686, 1)</f>
        <v>0</v>
      </c>
      <c r="T362">
        <f>ROUND(S362*I362, 2)</f>
        <v>0</v>
      </c>
      <c r="U362">
        <v>3</v>
      </c>
      <c r="Y362">
        <f>Source!GF686</f>
        <v>-2061019636</v>
      </c>
      <c r="Z362">
        <v>1304199357</v>
      </c>
      <c r="AA362">
        <v>1291776269</v>
      </c>
    </row>
    <row r="363" spans="1:27" x14ac:dyDescent="0.2">
      <c r="A363">
        <v>20</v>
      </c>
      <c r="B363">
        <v>711</v>
      </c>
      <c r="C363">
        <v>1</v>
      </c>
      <c r="D363">
        <v>0</v>
      </c>
      <c r="E363">
        <f>SmtRes!AV711</f>
        <v>1</v>
      </c>
      <c r="F363" t="str">
        <f>SmtRes!I711</f>
        <v>9999990008</v>
      </c>
      <c r="G363" t="str">
        <f>SmtRes!K711</f>
        <v>Трудозатраты рабочих</v>
      </c>
      <c r="H363" t="str">
        <f>SmtRes!O711</f>
        <v>чел.-ч.</v>
      </c>
      <c r="I363">
        <f>SmtRes!Y711*Source!I688</f>
        <v>2.99</v>
      </c>
      <c r="J363">
        <f>SmtRes!AO711</f>
        <v>1</v>
      </c>
      <c r="K363">
        <f>SmtRes!AH711</f>
        <v>0</v>
      </c>
      <c r="L363">
        <f>SmtRes!DB711</f>
        <v>0</v>
      </c>
      <c r="M363">
        <f>ROUND(ROUND(L363*Source!I688, 6)*1, 2)</f>
        <v>0</v>
      </c>
      <c r="N363">
        <f>SmtRes!AD711</f>
        <v>0</v>
      </c>
      <c r="O363">
        <f>ROUND(ROUND(L363*Source!I688, 6)*SmtRes!DA711, 2)</f>
        <v>0</v>
      </c>
      <c r="P363">
        <f>SmtRes!AG711</f>
        <v>0</v>
      </c>
      <c r="Q363">
        <f>SmtRes!DC711</f>
        <v>0</v>
      </c>
      <c r="R363">
        <f>ROUND(ROUND(Q363*Source!I688, 6)*1, 2)</f>
        <v>0</v>
      </c>
      <c r="S363">
        <f>SmtRes!AC711</f>
        <v>0</v>
      </c>
      <c r="T363">
        <f>ROUND(ROUND(Q363*Source!I688, 6)*SmtRes!AK711, 2)</f>
        <v>0</v>
      </c>
      <c r="U363">
        <v>1</v>
      </c>
      <c r="Y363">
        <f>SmtRes!X711</f>
        <v>476480486</v>
      </c>
      <c r="Z363">
        <v>1499241640</v>
      </c>
      <c r="AA363">
        <v>1499241640</v>
      </c>
    </row>
    <row r="364" spans="1:27" x14ac:dyDescent="0.2">
      <c r="A364">
        <f>Source!A690</f>
        <v>18</v>
      </c>
      <c r="B364">
        <v>690</v>
      </c>
      <c r="C364">
        <v>3</v>
      </c>
      <c r="D364">
        <f>Source!BI690</f>
        <v>2</v>
      </c>
      <c r="E364">
        <f>Source!FS690</f>
        <v>0</v>
      </c>
      <c r="F364" t="str">
        <f>Source!F690</f>
        <v>Цена поставщика</v>
      </c>
      <c r="G364" t="str">
        <f>Source!G690</f>
        <v>Металлорукав 10 мм в ПВХ черный (6071-010N) DKC</v>
      </c>
      <c r="H364" t="str">
        <f>Source!H690</f>
        <v>м</v>
      </c>
      <c r="I364">
        <f>Source!I690</f>
        <v>10.3</v>
      </c>
      <c r="J364">
        <v>1</v>
      </c>
      <c r="K364">
        <f>Source!AC690</f>
        <v>12.28</v>
      </c>
      <c r="M364">
        <f>ROUND(K364*I364, 2)</f>
        <v>126.48</v>
      </c>
      <c r="N364">
        <f>Source!AC690*IF(Source!BC690&lt;&gt; 0, Source!BC690, 1)</f>
        <v>106.22199999999999</v>
      </c>
      <c r="O364">
        <f>ROUND(N364*I364, 2)</f>
        <v>1094.0899999999999</v>
      </c>
      <c r="P364">
        <f>Source!AE690</f>
        <v>0</v>
      </c>
      <c r="R364">
        <f>ROUND(P364*I364, 2)</f>
        <v>0</v>
      </c>
      <c r="S364">
        <f>Source!AE690*IF(Source!BS690&lt;&gt; 0, Source!BS690, 1)</f>
        <v>0</v>
      </c>
      <c r="T364">
        <f>ROUND(S364*I364, 2)</f>
        <v>0</v>
      </c>
      <c r="U364">
        <v>3</v>
      </c>
      <c r="Y364">
        <f>Source!GF690</f>
        <v>-1468781135</v>
      </c>
      <c r="Z364">
        <v>962789246</v>
      </c>
      <c r="AA364">
        <v>571023051</v>
      </c>
    </row>
    <row r="365" spans="1:27" x14ac:dyDescent="0.2">
      <c r="A365">
        <v>20</v>
      </c>
      <c r="B365">
        <v>716</v>
      </c>
      <c r="C365">
        <v>1</v>
      </c>
      <c r="D365">
        <v>0</v>
      </c>
      <c r="E365">
        <f>SmtRes!AV716</f>
        <v>1</v>
      </c>
      <c r="F365" t="str">
        <f>SmtRes!I716</f>
        <v>9999990008</v>
      </c>
      <c r="G365" t="str">
        <f>SmtRes!K716</f>
        <v>Трудозатраты рабочих</v>
      </c>
      <c r="H365" t="str">
        <f>SmtRes!O716</f>
        <v>чел.-ч.</v>
      </c>
      <c r="I365">
        <f>SmtRes!Y716*Source!I692</f>
        <v>3.399</v>
      </c>
      <c r="J365">
        <f>SmtRes!AO716</f>
        <v>1</v>
      </c>
      <c r="K365">
        <f>SmtRes!AH716</f>
        <v>0</v>
      </c>
      <c r="L365">
        <f>SmtRes!DB716</f>
        <v>0</v>
      </c>
      <c r="M365">
        <f>ROUND(ROUND(L365*Source!I692, 6)*1, 2)</f>
        <v>0</v>
      </c>
      <c r="N365">
        <f>SmtRes!AD716</f>
        <v>0</v>
      </c>
      <c r="O365">
        <f>ROUND(ROUND(L365*Source!I692, 6)*SmtRes!DA716, 2)</f>
        <v>0</v>
      </c>
      <c r="P365">
        <f>SmtRes!AG716</f>
        <v>0</v>
      </c>
      <c r="Q365">
        <f>SmtRes!DC716</f>
        <v>0</v>
      </c>
      <c r="R365">
        <f>ROUND(ROUND(Q365*Source!I692, 6)*1, 2)</f>
        <v>0</v>
      </c>
      <c r="S365">
        <f>SmtRes!AC716</f>
        <v>0</v>
      </c>
      <c r="T365">
        <f>ROUND(ROUND(Q365*Source!I692, 6)*SmtRes!AK716, 2)</f>
        <v>0</v>
      </c>
      <c r="U365">
        <v>1</v>
      </c>
      <c r="Y365">
        <f>SmtRes!X716</f>
        <v>476480486</v>
      </c>
      <c r="Z365">
        <v>1499241640</v>
      </c>
      <c r="AA365">
        <v>1499241640</v>
      </c>
    </row>
    <row r="366" spans="1:27" x14ac:dyDescent="0.2">
      <c r="A366">
        <f>Source!A694</f>
        <v>18</v>
      </c>
      <c r="B366">
        <v>694</v>
      </c>
      <c r="C366">
        <v>3</v>
      </c>
      <c r="D366">
        <f>Source!BI694</f>
        <v>2</v>
      </c>
      <c r="E366">
        <f>Source!FS694</f>
        <v>0</v>
      </c>
      <c r="F366" t="str">
        <f>Source!F694</f>
        <v>1.23-4-290</v>
      </c>
      <c r="G366" t="str">
        <f>Source!G694</f>
        <v>Кабели высокочастотные с медными жилами с полиэтиленовой изоляцией в оболочке из поливинилхлоридного пластиката, без экрана, марка КВП (ParLan U/UTP) cat 5e, число элементов и диаметр жилы 2х2х0,5 мм</v>
      </c>
      <c r="H366" t="str">
        <f>Source!H694</f>
        <v>км</v>
      </c>
      <c r="I366">
        <f>Source!I694</f>
        <v>9.69E-2</v>
      </c>
      <c r="J366">
        <v>1</v>
      </c>
      <c r="K366">
        <f>Source!AC694</f>
        <v>1223.45</v>
      </c>
      <c r="M366">
        <f>ROUND(K366*I366, 2)</f>
        <v>118.55</v>
      </c>
      <c r="N366">
        <f>Source!AC694*IF(Source!BC694&lt;&gt; 0, Source!BC694, 1)</f>
        <v>17654.3835</v>
      </c>
      <c r="O366">
        <f>ROUND(N366*I366, 2)</f>
        <v>1710.71</v>
      </c>
      <c r="P366">
        <f>Source!AE694</f>
        <v>0</v>
      </c>
      <c r="R366">
        <f>ROUND(P366*I366, 2)</f>
        <v>0</v>
      </c>
      <c r="S366">
        <f>Source!AE694*IF(Source!BS694&lt;&gt; 0, Source!BS694, 1)</f>
        <v>0</v>
      </c>
      <c r="T366">
        <f>ROUND(S366*I366, 2)</f>
        <v>0</v>
      </c>
      <c r="U366">
        <v>3</v>
      </c>
      <c r="Y366">
        <f>Source!GF694</f>
        <v>-202822686</v>
      </c>
      <c r="Z366">
        <v>1947564228</v>
      </c>
      <c r="AA366">
        <v>1544525874</v>
      </c>
    </row>
    <row r="367" spans="1:27" x14ac:dyDescent="0.2">
      <c r="A367">
        <f>Source!A696</f>
        <v>18</v>
      </c>
      <c r="B367">
        <v>696</v>
      </c>
      <c r="C367">
        <v>3</v>
      </c>
      <c r="D367">
        <f>Source!BI696</f>
        <v>2</v>
      </c>
      <c r="E367">
        <f>Source!FS696</f>
        <v>0</v>
      </c>
      <c r="F367" t="str">
        <f>Source!F696</f>
        <v>1.23-4-291</v>
      </c>
      <c r="G367" t="str">
        <f>Source!G696</f>
        <v>Кабели высокочастотные с медными жилами с полиэтиленовой изоляцией в оболочке из поливинилхлоридного пластиката, без экрана, марка КВП (ParLan U/UTP) cat 5e, число элементов и диаметр жилы 4х2х0,5 мм</v>
      </c>
      <c r="H367" t="str">
        <f>Source!H696</f>
        <v>км</v>
      </c>
      <c r="I367">
        <f>Source!I696</f>
        <v>1.5299999999999999E-2</v>
      </c>
      <c r="J367">
        <v>1</v>
      </c>
      <c r="K367">
        <f>Source!AC696</f>
        <v>2839.83</v>
      </c>
      <c r="M367">
        <f>ROUND(K367*I367, 2)</f>
        <v>43.45</v>
      </c>
      <c r="N367">
        <f>Source!AC696*IF(Source!BC696&lt;&gt; 0, Source!BC696, 1)</f>
        <v>31209.7317</v>
      </c>
      <c r="O367">
        <f>ROUND(N367*I367, 2)</f>
        <v>477.51</v>
      </c>
      <c r="P367">
        <f>Source!AE696</f>
        <v>0</v>
      </c>
      <c r="R367">
        <f>ROUND(P367*I367, 2)</f>
        <v>0</v>
      </c>
      <c r="S367">
        <f>Source!AE696*IF(Source!BS696&lt;&gt; 0, Source!BS696, 1)</f>
        <v>0</v>
      </c>
      <c r="T367">
        <f>ROUND(S367*I367, 2)</f>
        <v>0</v>
      </c>
      <c r="U367">
        <v>3</v>
      </c>
      <c r="Y367">
        <f>Source!GF696</f>
        <v>-909786354</v>
      </c>
      <c r="Z367">
        <v>-582285492</v>
      </c>
      <c r="AA367">
        <v>587855829</v>
      </c>
    </row>
    <row r="368" spans="1:27" x14ac:dyDescent="0.2">
      <c r="A368">
        <v>20</v>
      </c>
      <c r="B368">
        <v>721</v>
      </c>
      <c r="C368">
        <v>1</v>
      </c>
      <c r="D368">
        <v>0</v>
      </c>
      <c r="E368">
        <f>SmtRes!AV721</f>
        <v>1</v>
      </c>
      <c r="F368" t="str">
        <f>SmtRes!I721</f>
        <v>9999990008</v>
      </c>
      <c r="G368" t="str">
        <f>SmtRes!K721</f>
        <v>Трудозатраты рабочих</v>
      </c>
      <c r="H368" t="str">
        <f>SmtRes!O721</f>
        <v>чел.-ч.</v>
      </c>
      <c r="I368">
        <f>SmtRes!Y721*Source!I698</f>
        <v>0.61799999999999999</v>
      </c>
      <c r="J368">
        <f>SmtRes!AO721</f>
        <v>1</v>
      </c>
      <c r="K368">
        <f>SmtRes!AH721</f>
        <v>0</v>
      </c>
      <c r="L368">
        <f>SmtRes!DB721</f>
        <v>0</v>
      </c>
      <c r="M368">
        <f>ROUND(ROUND(L368*Source!I698, 6)*1, 2)</f>
        <v>0</v>
      </c>
      <c r="N368">
        <f>SmtRes!AD721</f>
        <v>0</v>
      </c>
      <c r="O368">
        <f>ROUND(ROUND(L368*Source!I698, 6)*SmtRes!DA721, 2)</f>
        <v>0</v>
      </c>
      <c r="P368">
        <f>SmtRes!AG721</f>
        <v>0</v>
      </c>
      <c r="Q368">
        <f>SmtRes!DC721</f>
        <v>0</v>
      </c>
      <c r="R368">
        <f>ROUND(ROUND(Q368*Source!I698, 6)*1, 2)</f>
        <v>0</v>
      </c>
      <c r="S368">
        <f>SmtRes!AC721</f>
        <v>0</v>
      </c>
      <c r="T368">
        <f>ROUND(ROUND(Q368*Source!I698, 6)*SmtRes!AK721, 2)</f>
        <v>0</v>
      </c>
      <c r="U368">
        <v>1</v>
      </c>
      <c r="Y368">
        <f>SmtRes!X721</f>
        <v>476480486</v>
      </c>
      <c r="Z368">
        <v>1499241640</v>
      </c>
      <c r="AA368">
        <v>1499241640</v>
      </c>
    </row>
    <row r="369" spans="1:27" x14ac:dyDescent="0.2">
      <c r="A369">
        <f>Source!A700</f>
        <v>18</v>
      </c>
      <c r="B369">
        <v>700</v>
      </c>
      <c r="C369">
        <v>3</v>
      </c>
      <c r="D369">
        <f>Source!BI700</f>
        <v>2</v>
      </c>
      <c r="E369">
        <f>Source!FS700</f>
        <v>0</v>
      </c>
      <c r="F369" t="str">
        <f>Source!F700</f>
        <v>1.23-4-290</v>
      </c>
      <c r="G369" t="str">
        <f>Source!G700</f>
        <v>Кабели высокочастотные с медными жилами с полиэтиленовой изоляцией в оболочке из поливинилхлоридного пластиката, без экрана, марка КВП (ParLan U/UTP) cat 5e, число элементов и диаметр жилы 2х2х0,5 мм</v>
      </c>
      <c r="H369" t="str">
        <f>Source!H700</f>
        <v>км</v>
      </c>
      <c r="I369">
        <f>Source!I700</f>
        <v>1.0200000000000001E-2</v>
      </c>
      <c r="J369">
        <v>1</v>
      </c>
      <c r="K369">
        <f>Source!AC700</f>
        <v>1223.45</v>
      </c>
      <c r="M369">
        <f>ROUND(K369*I369, 2)</f>
        <v>12.48</v>
      </c>
      <c r="N369">
        <f>Source!AC700*IF(Source!BC700&lt;&gt; 0, Source!BC700, 1)</f>
        <v>17654.3835</v>
      </c>
      <c r="O369">
        <f>ROUND(N369*I369, 2)</f>
        <v>180.07</v>
      </c>
      <c r="P369">
        <f>Source!AE700</f>
        <v>0</v>
      </c>
      <c r="R369">
        <f>ROUND(P369*I369, 2)</f>
        <v>0</v>
      </c>
      <c r="S369">
        <f>Source!AE700*IF(Source!BS700&lt;&gt; 0, Source!BS700, 1)</f>
        <v>0</v>
      </c>
      <c r="T369">
        <f>ROUND(S369*I369, 2)</f>
        <v>0</v>
      </c>
      <c r="U369">
        <v>3</v>
      </c>
      <c r="Y369">
        <f>Source!GF700</f>
        <v>-202822686</v>
      </c>
      <c r="Z369">
        <v>1947564228</v>
      </c>
      <c r="AA369">
        <v>1544525874</v>
      </c>
    </row>
    <row r="370" spans="1:27" x14ac:dyDescent="0.2">
      <c r="A370">
        <f>Source!A732</f>
        <v>4</v>
      </c>
      <c r="B370">
        <v>732</v>
      </c>
      <c r="G370" t="str">
        <f>Source!G732</f>
        <v>Оборудование</v>
      </c>
    </row>
    <row r="371" spans="1:27" x14ac:dyDescent="0.2">
      <c r="A371">
        <f>Source!A737</f>
        <v>17</v>
      </c>
      <c r="B371">
        <v>737</v>
      </c>
      <c r="C371">
        <v>3</v>
      </c>
      <c r="D371">
        <f>Source!BI737</f>
        <v>1</v>
      </c>
      <c r="E371">
        <f>Source!FS737</f>
        <v>0</v>
      </c>
      <c r="F371" t="str">
        <f>Source!F737</f>
        <v>Цена поставщика</v>
      </c>
      <c r="G371" t="str">
        <f>Source!G737</f>
        <v>IP-камера видеонаблюдения уличная в стандартном исполнении RVi-IPC41S V.2 (2.8 мм)</v>
      </c>
      <c r="H371" t="str">
        <f>Source!H737</f>
        <v>шт.</v>
      </c>
      <c r="I371">
        <f>Source!I737</f>
        <v>1</v>
      </c>
      <c r="J371">
        <v>1</v>
      </c>
      <c r="K371">
        <f>Source!AC737</f>
        <v>475.61</v>
      </c>
      <c r="M371">
        <f t="shared" ref="M371:M381" si="8">ROUND(K371*I371, 2)</f>
        <v>475.61</v>
      </c>
      <c r="N371">
        <f>Source!AC737*IF(Source!BC737&lt;&gt; 0, Source!BC737, 1)</f>
        <v>4114.0264999999999</v>
      </c>
      <c r="O371">
        <f t="shared" ref="O371:O381" si="9">ROUND(N371*I371, 2)</f>
        <v>4114.03</v>
      </c>
      <c r="P371">
        <f>Source!AE737</f>
        <v>0</v>
      </c>
      <c r="R371">
        <f t="shared" ref="R371:R381" si="10">ROUND(P371*I371, 2)</f>
        <v>0</v>
      </c>
      <c r="S371">
        <f>Source!AE737*IF(Source!BS737&lt;&gt; 0, Source!BS737, 1)</f>
        <v>0</v>
      </c>
      <c r="T371">
        <f t="shared" ref="T371:T381" si="11">ROUND(S371*I371, 2)</f>
        <v>0</v>
      </c>
      <c r="U371">
        <v>3</v>
      </c>
      <c r="Y371">
        <f>Source!GF737</f>
        <v>1378448032</v>
      </c>
      <c r="Z371">
        <v>1761668934</v>
      </c>
      <c r="AA371">
        <v>-440801626</v>
      </c>
    </row>
    <row r="372" spans="1:27" x14ac:dyDescent="0.2">
      <c r="A372">
        <f>Source!A739</f>
        <v>17</v>
      </c>
      <c r="B372">
        <v>739</v>
      </c>
      <c r="C372">
        <v>3</v>
      </c>
      <c r="D372">
        <f>Source!BI739</f>
        <v>1</v>
      </c>
      <c r="E372">
        <f>Source!FS739</f>
        <v>0</v>
      </c>
      <c r="F372" t="str">
        <f>Source!F739</f>
        <v>Цена поставщика</v>
      </c>
      <c r="G372" t="str">
        <f>Source!G739</f>
        <v>IP видеорегистратор 4 канальный RVi-IPN4/1-4P</v>
      </c>
      <c r="H372" t="str">
        <f>Source!H739</f>
        <v>шт.</v>
      </c>
      <c r="I372">
        <f>Source!I739</f>
        <v>1</v>
      </c>
      <c r="J372">
        <v>1</v>
      </c>
      <c r="K372">
        <f>Source!AC739</f>
        <v>918.79</v>
      </c>
      <c r="M372">
        <f t="shared" si="8"/>
        <v>918.79</v>
      </c>
      <c r="N372">
        <f>Source!AC739*IF(Source!BC739&lt;&gt; 0, Source!BC739, 1)</f>
        <v>7947.5335000000005</v>
      </c>
      <c r="O372">
        <f t="shared" si="9"/>
        <v>7947.53</v>
      </c>
      <c r="P372">
        <f>Source!AE739</f>
        <v>0</v>
      </c>
      <c r="R372">
        <f t="shared" si="10"/>
        <v>0</v>
      </c>
      <c r="S372">
        <f>Source!AE739*IF(Source!BS739&lt;&gt; 0, Source!BS739, 1)</f>
        <v>0</v>
      </c>
      <c r="T372">
        <f t="shared" si="11"/>
        <v>0</v>
      </c>
      <c r="U372">
        <v>3</v>
      </c>
      <c r="Y372">
        <f>Source!GF739</f>
        <v>981478686</v>
      </c>
      <c r="Z372">
        <v>1330480339</v>
      </c>
      <c r="AA372">
        <v>1267304876</v>
      </c>
    </row>
    <row r="373" spans="1:27" x14ac:dyDescent="0.2">
      <c r="A373">
        <f>Source!A741</f>
        <v>17</v>
      </c>
      <c r="B373">
        <v>741</v>
      </c>
      <c r="C373">
        <v>5</v>
      </c>
      <c r="D373">
        <f>Source!BI741</f>
        <v>3</v>
      </c>
      <c r="E373">
        <f>Source!FS741</f>
        <v>0</v>
      </c>
      <c r="F373" t="str">
        <f>Source!F741</f>
        <v>13.1-1-60</v>
      </c>
      <c r="G373" t="str">
        <f>Source!G741</f>
        <v>Источник бесперебойного питания, напольный, мощность 550 ВА/330Вт. Внутренние АКБ, номинальное напряжение 230 В, время автономной работы до 10 мин., рабочая температура от 0 до +40°C, габаритные размеры 140х335х86 мм</v>
      </c>
      <c r="H373" t="str">
        <f>Source!H741</f>
        <v>шт.</v>
      </c>
      <c r="I373">
        <f>Source!I741</f>
        <v>1</v>
      </c>
      <c r="J373">
        <v>1</v>
      </c>
      <c r="K373">
        <f>Source!AC741</f>
        <v>876.18</v>
      </c>
      <c r="M373">
        <f t="shared" si="8"/>
        <v>876.18</v>
      </c>
      <c r="N373">
        <f>Source!AC741*IF(Source!BC741&lt;&gt; 0, Source!BC741, 1)</f>
        <v>7105.8197999999993</v>
      </c>
      <c r="O373">
        <f t="shared" si="9"/>
        <v>7105.82</v>
      </c>
      <c r="P373">
        <f>Source!AE741</f>
        <v>0</v>
      </c>
      <c r="R373">
        <f t="shared" si="10"/>
        <v>0</v>
      </c>
      <c r="S373">
        <f>Source!AE741*IF(Source!BS741&lt;&gt; 0, Source!BS741, 1)</f>
        <v>0</v>
      </c>
      <c r="T373">
        <f t="shared" si="11"/>
        <v>0</v>
      </c>
      <c r="U373">
        <v>3</v>
      </c>
      <c r="Y373">
        <f>Source!GF741</f>
        <v>34364315</v>
      </c>
      <c r="Z373">
        <v>-1699730176</v>
      </c>
      <c r="AA373">
        <v>-779454108</v>
      </c>
    </row>
    <row r="374" spans="1:27" x14ac:dyDescent="0.2">
      <c r="A374">
        <f>Source!A743</f>
        <v>17</v>
      </c>
      <c r="B374">
        <v>743</v>
      </c>
      <c r="C374">
        <v>3</v>
      </c>
      <c r="D374">
        <f>Source!BI743</f>
        <v>1</v>
      </c>
      <c r="E374">
        <f>Source!FS743</f>
        <v>0</v>
      </c>
      <c r="F374" t="str">
        <f>Source!F743</f>
        <v>Цена поставщика</v>
      </c>
      <c r="G374" t="str">
        <f>Source!G743</f>
        <v>Монитор Hikvision DS-D5027FN 27" для видеонаблюдения</v>
      </c>
      <c r="H374" t="str">
        <f>Source!H743</f>
        <v>шт.</v>
      </c>
      <c r="I374">
        <f>Source!I743</f>
        <v>1</v>
      </c>
      <c r="J374">
        <v>1</v>
      </c>
      <c r="K374">
        <f>Source!AC743</f>
        <v>1618.05</v>
      </c>
      <c r="M374">
        <f t="shared" si="8"/>
        <v>1618.05</v>
      </c>
      <c r="N374">
        <f>Source!AC743*IF(Source!BC743&lt;&gt; 0, Source!BC743, 1)</f>
        <v>13996.1325</v>
      </c>
      <c r="O374">
        <f t="shared" si="9"/>
        <v>13996.13</v>
      </c>
      <c r="P374">
        <f>Source!AE743</f>
        <v>0</v>
      </c>
      <c r="R374">
        <f t="shared" si="10"/>
        <v>0</v>
      </c>
      <c r="S374">
        <f>Source!AE743*IF(Source!BS743&lt;&gt; 0, Source!BS743, 1)</f>
        <v>0</v>
      </c>
      <c r="T374">
        <f t="shared" si="11"/>
        <v>0</v>
      </c>
      <c r="U374">
        <v>3</v>
      </c>
      <c r="Y374">
        <f>Source!GF743</f>
        <v>1126031761</v>
      </c>
      <c r="Z374">
        <v>-294107035</v>
      </c>
      <c r="AA374">
        <v>-34095416</v>
      </c>
    </row>
    <row r="375" spans="1:27" x14ac:dyDescent="0.2">
      <c r="A375">
        <f>Source!A745</f>
        <v>17</v>
      </c>
      <c r="B375">
        <v>745</v>
      </c>
      <c r="C375">
        <v>3</v>
      </c>
      <c r="D375">
        <f>Source!BI745</f>
        <v>1</v>
      </c>
      <c r="E375">
        <f>Source!FS745</f>
        <v>0</v>
      </c>
      <c r="F375" t="str">
        <f>Source!F745</f>
        <v>Цена поставщика</v>
      </c>
      <c r="G375" t="str">
        <f>Source!G745</f>
        <v>GC-1006DG Пульт селекторной связи на 6 абонента</v>
      </c>
      <c r="H375" t="str">
        <f>Source!H745</f>
        <v>шт.</v>
      </c>
      <c r="I375">
        <f>Source!I745</f>
        <v>1</v>
      </c>
      <c r="J375">
        <v>1</v>
      </c>
      <c r="K375">
        <f>Source!AC745</f>
        <v>1666.59</v>
      </c>
      <c r="M375">
        <f t="shared" si="8"/>
        <v>1666.59</v>
      </c>
      <c r="N375">
        <f>Source!AC745*IF(Source!BC745&lt;&gt; 0, Source!BC745, 1)</f>
        <v>14416.003500000001</v>
      </c>
      <c r="O375">
        <f t="shared" si="9"/>
        <v>14416</v>
      </c>
      <c r="P375">
        <f>Source!AE745</f>
        <v>0</v>
      </c>
      <c r="R375">
        <f t="shared" si="10"/>
        <v>0</v>
      </c>
      <c r="S375">
        <f>Source!AE745*IF(Source!BS745&lt;&gt; 0, Source!BS745, 1)</f>
        <v>0</v>
      </c>
      <c r="T375">
        <f t="shared" si="11"/>
        <v>0</v>
      </c>
      <c r="U375">
        <v>3</v>
      </c>
      <c r="Y375">
        <f>Source!GF745</f>
        <v>1421918611</v>
      </c>
      <c r="Z375">
        <v>1085708846</v>
      </c>
      <c r="AA375">
        <v>-112457501</v>
      </c>
    </row>
    <row r="376" spans="1:27" x14ac:dyDescent="0.2">
      <c r="A376">
        <f>Source!A747</f>
        <v>17</v>
      </c>
      <c r="B376">
        <v>747</v>
      </c>
      <c r="C376">
        <v>3</v>
      </c>
      <c r="D376">
        <f>Source!BI747</f>
        <v>1</v>
      </c>
      <c r="E376">
        <f>Source!FS747</f>
        <v>0</v>
      </c>
      <c r="F376" t="str">
        <f>Source!F747</f>
        <v>Цена поставщика</v>
      </c>
      <c r="G376" t="str">
        <f>Source!G747</f>
        <v>Абонентское переговорное устройство GC-2001P1</v>
      </c>
      <c r="H376" t="str">
        <f>Source!H747</f>
        <v>шт.</v>
      </c>
      <c r="I376">
        <f>Source!I747</f>
        <v>1</v>
      </c>
      <c r="J376">
        <v>1</v>
      </c>
      <c r="K376">
        <f>Source!AC747</f>
        <v>969.89</v>
      </c>
      <c r="M376">
        <f t="shared" si="8"/>
        <v>969.89</v>
      </c>
      <c r="N376">
        <f>Source!AC747*IF(Source!BC747&lt;&gt; 0, Source!BC747, 1)</f>
        <v>8389.5485000000008</v>
      </c>
      <c r="O376">
        <f t="shared" si="9"/>
        <v>8389.5499999999993</v>
      </c>
      <c r="P376">
        <f>Source!AE747</f>
        <v>0</v>
      </c>
      <c r="R376">
        <f t="shared" si="10"/>
        <v>0</v>
      </c>
      <c r="S376">
        <f>Source!AE747*IF(Source!BS747&lt;&gt; 0, Source!BS747, 1)</f>
        <v>0</v>
      </c>
      <c r="T376">
        <f t="shared" si="11"/>
        <v>0</v>
      </c>
      <c r="U376">
        <v>3</v>
      </c>
      <c r="Y376">
        <f>Source!GF747</f>
        <v>1869868102</v>
      </c>
      <c r="Z376">
        <v>-826288860</v>
      </c>
      <c r="AA376">
        <v>1889243506</v>
      </c>
    </row>
    <row r="377" spans="1:27" x14ac:dyDescent="0.2">
      <c r="A377">
        <f>Source!A749</f>
        <v>17</v>
      </c>
      <c r="B377">
        <v>749</v>
      </c>
      <c r="C377">
        <v>3</v>
      </c>
      <c r="D377">
        <f>Source!BI749</f>
        <v>1</v>
      </c>
      <c r="E377">
        <f>Source!FS749</f>
        <v>0</v>
      </c>
      <c r="F377" t="str">
        <f>Source!F749</f>
        <v>Цена поставщика</v>
      </c>
      <c r="G377" t="str">
        <f>Source!G749</f>
        <v>GC-2001W3 абонентское громкоговорящее устройство</v>
      </c>
      <c r="H377" t="str">
        <f>Source!H749</f>
        <v>шт.</v>
      </c>
      <c r="I377">
        <f>Source!I749</f>
        <v>1</v>
      </c>
      <c r="J377">
        <v>1</v>
      </c>
      <c r="K377">
        <f>Source!AC749</f>
        <v>406.82</v>
      </c>
      <c r="M377">
        <f t="shared" si="8"/>
        <v>406.82</v>
      </c>
      <c r="N377">
        <f>Source!AC749*IF(Source!BC749&lt;&gt; 0, Source!BC749, 1)</f>
        <v>3518.9929999999999</v>
      </c>
      <c r="O377">
        <f t="shared" si="9"/>
        <v>3518.99</v>
      </c>
      <c r="P377">
        <f>Source!AE749</f>
        <v>0</v>
      </c>
      <c r="R377">
        <f t="shared" si="10"/>
        <v>0</v>
      </c>
      <c r="S377">
        <f>Source!AE749*IF(Source!BS749&lt;&gt; 0, Source!BS749, 1)</f>
        <v>0</v>
      </c>
      <c r="T377">
        <f t="shared" si="11"/>
        <v>0</v>
      </c>
      <c r="U377">
        <v>3</v>
      </c>
      <c r="Y377">
        <f>Source!GF749</f>
        <v>-804014629</v>
      </c>
      <c r="Z377">
        <v>-2074048917</v>
      </c>
      <c r="AA377">
        <v>1911154215</v>
      </c>
    </row>
    <row r="378" spans="1:27" x14ac:dyDescent="0.2">
      <c r="A378">
        <f>Source!A751</f>
        <v>17</v>
      </c>
      <c r="B378">
        <v>751</v>
      </c>
      <c r="C378">
        <v>3</v>
      </c>
      <c r="D378">
        <f>Source!BI751</f>
        <v>1</v>
      </c>
      <c r="E378">
        <f>Source!FS751</f>
        <v>0</v>
      </c>
      <c r="F378" t="str">
        <f>Source!F751</f>
        <v>Цена поставщика</v>
      </c>
      <c r="G378" t="str">
        <f>Source!G751</f>
        <v>GC-0611W2 Сигнальная лампа</v>
      </c>
      <c r="H378" t="str">
        <f>Source!H751</f>
        <v>шт.</v>
      </c>
      <c r="I378">
        <f>Source!I751</f>
        <v>4</v>
      </c>
      <c r="J378">
        <v>1</v>
      </c>
      <c r="K378">
        <f>Source!AC751</f>
        <v>395.03</v>
      </c>
      <c r="M378">
        <f t="shared" si="8"/>
        <v>1580.12</v>
      </c>
      <c r="N378">
        <f>Source!AC751*IF(Source!BC751&lt;&gt; 0, Source!BC751, 1)</f>
        <v>3417.0095000000001</v>
      </c>
      <c r="O378">
        <f t="shared" si="9"/>
        <v>13668.04</v>
      </c>
      <c r="P378">
        <f>Source!AE751</f>
        <v>0</v>
      </c>
      <c r="R378">
        <f t="shared" si="10"/>
        <v>0</v>
      </c>
      <c r="S378">
        <f>Source!AE751*IF(Source!BS751&lt;&gt; 0, Source!BS751, 1)</f>
        <v>0</v>
      </c>
      <c r="T378">
        <f t="shared" si="11"/>
        <v>0</v>
      </c>
      <c r="U378">
        <v>3</v>
      </c>
      <c r="Y378">
        <f>Source!GF751</f>
        <v>-983260159</v>
      </c>
      <c r="Z378">
        <v>-514934651</v>
      </c>
      <c r="AA378">
        <v>1751511617</v>
      </c>
    </row>
    <row r="379" spans="1:27" x14ac:dyDescent="0.2">
      <c r="A379">
        <f>Source!A753</f>
        <v>17</v>
      </c>
      <c r="B379">
        <v>753</v>
      </c>
      <c r="C379">
        <v>3</v>
      </c>
      <c r="D379">
        <f>Source!BI753</f>
        <v>1</v>
      </c>
      <c r="E379">
        <f>Source!FS753</f>
        <v>0</v>
      </c>
      <c r="F379" t="str">
        <f>Source!F753</f>
        <v>Цена поставщика</v>
      </c>
      <c r="G379" t="str">
        <f>Source!G753</f>
        <v>GC-0421W1 Кнопка сброса</v>
      </c>
      <c r="H379" t="str">
        <f>Source!H753</f>
        <v>шт.</v>
      </c>
      <c r="I379">
        <f>Source!I753</f>
        <v>2</v>
      </c>
      <c r="J379">
        <v>1</v>
      </c>
      <c r="K379">
        <f>Source!AC753</f>
        <v>118.9</v>
      </c>
      <c r="M379">
        <f t="shared" si="8"/>
        <v>237.8</v>
      </c>
      <c r="N379">
        <f>Source!AC753*IF(Source!BC753&lt;&gt; 0, Source!BC753, 1)</f>
        <v>1028.4850000000001</v>
      </c>
      <c r="O379">
        <f t="shared" si="9"/>
        <v>2056.9699999999998</v>
      </c>
      <c r="P379">
        <f>Source!AE753</f>
        <v>0</v>
      </c>
      <c r="R379">
        <f t="shared" si="10"/>
        <v>0</v>
      </c>
      <c r="S379">
        <f>Source!AE753*IF(Source!BS753&lt;&gt; 0, Source!BS753, 1)</f>
        <v>0</v>
      </c>
      <c r="T379">
        <f t="shared" si="11"/>
        <v>0</v>
      </c>
      <c r="U379">
        <v>3</v>
      </c>
      <c r="Y379">
        <f>Source!GF753</f>
        <v>1363981105</v>
      </c>
      <c r="Z379">
        <v>-387155118</v>
      </c>
      <c r="AA379">
        <v>1644930787</v>
      </c>
    </row>
    <row r="380" spans="1:27" x14ac:dyDescent="0.2">
      <c r="A380">
        <f>Source!A755</f>
        <v>17</v>
      </c>
      <c r="B380">
        <v>755</v>
      </c>
      <c r="C380">
        <v>3</v>
      </c>
      <c r="D380">
        <f>Source!BI755</f>
        <v>1</v>
      </c>
      <c r="E380">
        <f>Source!FS755</f>
        <v>0</v>
      </c>
      <c r="F380" t="str">
        <f>Source!F755</f>
        <v>Цена поставщика</v>
      </c>
      <c r="G380" t="str">
        <f>Source!G755</f>
        <v>GC-0423W1 Проводная влагозащищенная кнопка вызова со шнуром.</v>
      </c>
      <c r="H380" t="str">
        <f>Source!H755</f>
        <v>шт.</v>
      </c>
      <c r="I380">
        <f>Source!I755</f>
        <v>2</v>
      </c>
      <c r="J380">
        <v>1</v>
      </c>
      <c r="K380">
        <f>Source!AC755</f>
        <v>267.27999999999997</v>
      </c>
      <c r="M380">
        <f t="shared" si="8"/>
        <v>534.55999999999995</v>
      </c>
      <c r="N380">
        <f>Source!AC755*IF(Source!BC755&lt;&gt; 0, Source!BC755, 1)</f>
        <v>2311.9719999999998</v>
      </c>
      <c r="O380">
        <f t="shared" si="9"/>
        <v>4623.9399999999996</v>
      </c>
      <c r="P380">
        <f>Source!AE755</f>
        <v>0</v>
      </c>
      <c r="R380">
        <f t="shared" si="10"/>
        <v>0</v>
      </c>
      <c r="S380">
        <f>Source!AE755*IF(Source!BS755&lt;&gt; 0, Source!BS755, 1)</f>
        <v>0</v>
      </c>
      <c r="T380">
        <f t="shared" si="11"/>
        <v>0</v>
      </c>
      <c r="U380">
        <v>3</v>
      </c>
      <c r="Y380">
        <f>Source!GF755</f>
        <v>201501738</v>
      </c>
      <c r="Z380">
        <v>1196040965</v>
      </c>
      <c r="AA380">
        <v>1796011044</v>
      </c>
    </row>
    <row r="381" spans="1:27" x14ac:dyDescent="0.2">
      <c r="A381">
        <f>Source!A757</f>
        <v>17</v>
      </c>
      <c r="B381">
        <v>757</v>
      </c>
      <c r="C381">
        <v>5</v>
      </c>
      <c r="D381">
        <f>Source!BI757</f>
        <v>3</v>
      </c>
      <c r="E381">
        <f>Source!FS757</f>
        <v>0</v>
      </c>
      <c r="F381" t="str">
        <f>Source!F757</f>
        <v>13.1-1-60</v>
      </c>
      <c r="G381" t="str">
        <f>Source!G757</f>
        <v>Источник бесперебойного питания, напольный, мощность 550 ВА/330Вт. Внутренние АКБ, номинальное напряжение 230 В, время автономной работы до 10 мин., рабочая температура от 0 до +40°C, габаритные размеры 140х335х86 мм</v>
      </c>
      <c r="H381" t="str">
        <f>Source!H757</f>
        <v>шт.</v>
      </c>
      <c r="I381">
        <f>Source!I757</f>
        <v>1</v>
      </c>
      <c r="J381">
        <v>1</v>
      </c>
      <c r="K381">
        <f>Source!AC757</f>
        <v>876.18</v>
      </c>
      <c r="M381">
        <f t="shared" si="8"/>
        <v>876.18</v>
      </c>
      <c r="N381">
        <f>Source!AC757*IF(Source!BC757&lt;&gt; 0, Source!BC757, 1)</f>
        <v>7105.8197999999993</v>
      </c>
      <c r="O381">
        <f t="shared" si="9"/>
        <v>7105.82</v>
      </c>
      <c r="P381">
        <f>Source!AE757</f>
        <v>0</v>
      </c>
      <c r="R381">
        <f t="shared" si="10"/>
        <v>0</v>
      </c>
      <c r="S381">
        <f>Source!AE757*IF(Source!BS757&lt;&gt; 0, Source!BS757, 1)</f>
        <v>0</v>
      </c>
      <c r="T381">
        <f t="shared" si="11"/>
        <v>0</v>
      </c>
      <c r="U381">
        <v>3</v>
      </c>
      <c r="Y381">
        <f>Source!GF757</f>
        <v>34364315</v>
      </c>
      <c r="Z381">
        <v>-1699730176</v>
      </c>
      <c r="AA381">
        <v>-779454108</v>
      </c>
    </row>
    <row r="382" spans="1:27" x14ac:dyDescent="0.2">
      <c r="A382">
        <f>Source!A819</f>
        <v>3</v>
      </c>
      <c r="B382">
        <v>819</v>
      </c>
      <c r="G382" t="str">
        <f>Source!G819</f>
        <v>Система электроснабжения</v>
      </c>
    </row>
    <row r="383" spans="1:27" x14ac:dyDescent="0.2">
      <c r="A383">
        <f>Source!A823</f>
        <v>4</v>
      </c>
      <c r="B383">
        <v>823</v>
      </c>
      <c r="G383" t="str">
        <f>Source!G823</f>
        <v>Демонтажные работы</v>
      </c>
    </row>
    <row r="384" spans="1:27" x14ac:dyDescent="0.2">
      <c r="A384">
        <v>20</v>
      </c>
      <c r="B384">
        <v>724</v>
      </c>
      <c r="C384">
        <v>1</v>
      </c>
      <c r="D384">
        <v>0</v>
      </c>
      <c r="E384">
        <f>SmtRes!AV724</f>
        <v>1</v>
      </c>
      <c r="F384" t="str">
        <f>SmtRes!I724</f>
        <v>9999990008</v>
      </c>
      <c r="G384" t="str">
        <f>SmtRes!K724</f>
        <v>Трудозатраты рабочих</v>
      </c>
      <c r="H384" t="str">
        <f>SmtRes!O724</f>
        <v>чел.-ч.</v>
      </c>
      <c r="I384">
        <f>SmtRes!Y724*Source!I828</f>
        <v>0.50560000000000005</v>
      </c>
      <c r="J384">
        <f>SmtRes!AO724</f>
        <v>1</v>
      </c>
      <c r="K384">
        <f>SmtRes!AH724</f>
        <v>0</v>
      </c>
      <c r="L384">
        <f>SmtRes!DB724</f>
        <v>0</v>
      </c>
      <c r="M384">
        <f>ROUND(ROUND(L384*Source!I828, 6)*1, 2)</f>
        <v>0</v>
      </c>
      <c r="N384">
        <f>SmtRes!AD724</f>
        <v>0</v>
      </c>
      <c r="O384">
        <f>ROUND(ROUND(L384*Source!I828, 6)*SmtRes!DA724, 2)</f>
        <v>0</v>
      </c>
      <c r="P384">
        <f>SmtRes!AG724</f>
        <v>0</v>
      </c>
      <c r="Q384">
        <f>SmtRes!DC724</f>
        <v>0</v>
      </c>
      <c r="R384">
        <f>ROUND(ROUND(Q384*Source!I828, 6)*1, 2)</f>
        <v>0</v>
      </c>
      <c r="S384">
        <f>SmtRes!AC724</f>
        <v>0</v>
      </c>
      <c r="T384">
        <f>ROUND(ROUND(Q384*Source!I828, 6)*SmtRes!AK724, 2)</f>
        <v>0</v>
      </c>
      <c r="U384">
        <v>1</v>
      </c>
      <c r="Y384">
        <f>SmtRes!X724</f>
        <v>476480486</v>
      </c>
      <c r="Z384">
        <v>1499241640</v>
      </c>
      <c r="AA384">
        <v>1499241640</v>
      </c>
    </row>
    <row r="385" spans="1:27" x14ac:dyDescent="0.2">
      <c r="A385">
        <v>20</v>
      </c>
      <c r="B385">
        <v>726</v>
      </c>
      <c r="C385">
        <v>1</v>
      </c>
      <c r="D385">
        <v>0</v>
      </c>
      <c r="E385">
        <f>SmtRes!AV726</f>
        <v>1</v>
      </c>
      <c r="F385" t="str">
        <f>SmtRes!I726</f>
        <v>9999990008</v>
      </c>
      <c r="G385" t="str">
        <f>SmtRes!K726</f>
        <v>Трудозатраты рабочих</v>
      </c>
      <c r="H385" t="str">
        <f>SmtRes!O726</f>
        <v>чел.-ч.</v>
      </c>
      <c r="I385">
        <f>SmtRes!Y726*Source!I830</f>
        <v>2.8919999999999999</v>
      </c>
      <c r="J385">
        <f>SmtRes!AO726</f>
        <v>1</v>
      </c>
      <c r="K385">
        <f>SmtRes!AH726</f>
        <v>0</v>
      </c>
      <c r="L385">
        <f>SmtRes!DB726</f>
        <v>0</v>
      </c>
      <c r="M385">
        <f>ROUND(ROUND(L385*Source!I830, 6)*1, 2)</f>
        <v>0</v>
      </c>
      <c r="N385">
        <f>SmtRes!AD726</f>
        <v>0</v>
      </c>
      <c r="O385">
        <f>ROUND(ROUND(L385*Source!I830, 6)*SmtRes!DA726, 2)</f>
        <v>0</v>
      </c>
      <c r="P385">
        <f>SmtRes!AG726</f>
        <v>0</v>
      </c>
      <c r="Q385">
        <f>SmtRes!DC726</f>
        <v>0</v>
      </c>
      <c r="R385">
        <f>ROUND(ROUND(Q385*Source!I830, 6)*1, 2)</f>
        <v>0</v>
      </c>
      <c r="S385">
        <f>SmtRes!AC726</f>
        <v>0</v>
      </c>
      <c r="T385">
        <f>ROUND(ROUND(Q385*Source!I830, 6)*SmtRes!AK726, 2)</f>
        <v>0</v>
      </c>
      <c r="U385">
        <v>1</v>
      </c>
      <c r="Y385">
        <f>SmtRes!X726</f>
        <v>476480486</v>
      </c>
      <c r="Z385">
        <v>1499241640</v>
      </c>
      <c r="AA385">
        <v>1499241640</v>
      </c>
    </row>
    <row r="386" spans="1:27" x14ac:dyDescent="0.2">
      <c r="A386">
        <f>Source!A862</f>
        <v>4</v>
      </c>
      <c r="B386">
        <v>862</v>
      </c>
      <c r="G386" t="str">
        <f>Source!G862</f>
        <v>Монтажные работы</v>
      </c>
    </row>
    <row r="387" spans="1:27" x14ac:dyDescent="0.2">
      <c r="A387">
        <v>20</v>
      </c>
      <c r="B387">
        <v>729</v>
      </c>
      <c r="C387">
        <v>1</v>
      </c>
      <c r="D387">
        <v>0</v>
      </c>
      <c r="E387">
        <f>SmtRes!AV729</f>
        <v>1</v>
      </c>
      <c r="F387" t="str">
        <f>SmtRes!I729</f>
        <v>9999990008</v>
      </c>
      <c r="G387" t="str">
        <f>SmtRes!K729</f>
        <v>Трудозатраты рабочих</v>
      </c>
      <c r="H387" t="str">
        <f>SmtRes!O729</f>
        <v>чел.-ч.</v>
      </c>
      <c r="I387">
        <f>SmtRes!Y729*Source!I867</f>
        <v>1.0720000000000001</v>
      </c>
      <c r="J387">
        <f>SmtRes!AO729</f>
        <v>1</v>
      </c>
      <c r="K387">
        <f>SmtRes!AH729</f>
        <v>0</v>
      </c>
      <c r="L387">
        <f>SmtRes!DB729</f>
        <v>0</v>
      </c>
      <c r="M387">
        <f>ROUND(ROUND(L387*Source!I867, 6)*1, 2)</f>
        <v>0</v>
      </c>
      <c r="N387">
        <f>SmtRes!AD729</f>
        <v>0</v>
      </c>
      <c r="O387">
        <f>ROUND(ROUND(L387*Source!I867, 6)*SmtRes!DA729, 2)</f>
        <v>0</v>
      </c>
      <c r="P387">
        <f>SmtRes!AG729</f>
        <v>0</v>
      </c>
      <c r="Q387">
        <f>SmtRes!DC729</f>
        <v>0</v>
      </c>
      <c r="R387">
        <f>ROUND(ROUND(Q387*Source!I867, 6)*1, 2)</f>
        <v>0</v>
      </c>
      <c r="S387">
        <f>SmtRes!AC729</f>
        <v>0</v>
      </c>
      <c r="T387">
        <f>ROUND(ROUND(Q387*Source!I867, 6)*SmtRes!AK729, 2)</f>
        <v>0</v>
      </c>
      <c r="U387">
        <v>1</v>
      </c>
      <c r="Y387">
        <f>SmtRes!X729</f>
        <v>476480486</v>
      </c>
      <c r="Z387">
        <v>1499241640</v>
      </c>
      <c r="AA387">
        <v>1499241640</v>
      </c>
    </row>
    <row r="388" spans="1:27" x14ac:dyDescent="0.2">
      <c r="A388">
        <f>Source!A869</f>
        <v>18</v>
      </c>
      <c r="B388">
        <v>869</v>
      </c>
      <c r="C388">
        <v>3</v>
      </c>
      <c r="D388">
        <f>Source!BI869</f>
        <v>2</v>
      </c>
      <c r="E388">
        <f>Source!FS869</f>
        <v>0</v>
      </c>
      <c r="F388" t="str">
        <f>Source!F869</f>
        <v>1.21-5-1130</v>
      </c>
      <c r="G388" t="str">
        <f>Source!G869</f>
        <v>Выключатели автоматические, на ток до 100 А, тип ВА 47-100, однополюсные</v>
      </c>
      <c r="H388" t="str">
        <f>Source!H869</f>
        <v>шт.</v>
      </c>
      <c r="I388">
        <f>Source!I869</f>
        <v>1</v>
      </c>
      <c r="J388">
        <v>1</v>
      </c>
      <c r="K388">
        <f>Source!AC869</f>
        <v>37.369999999999997</v>
      </c>
      <c r="M388">
        <f>ROUND(K388*I388, 2)</f>
        <v>37.369999999999997</v>
      </c>
      <c r="N388">
        <f>Source!AC869*IF(Source!BC869&lt;&gt; 0, Source!BC869, 1)</f>
        <v>520.56409999999994</v>
      </c>
      <c r="O388">
        <f>ROUND(N388*I388, 2)</f>
        <v>520.55999999999995</v>
      </c>
      <c r="P388">
        <f>Source!AE869</f>
        <v>0</v>
      </c>
      <c r="R388">
        <f>ROUND(P388*I388, 2)</f>
        <v>0</v>
      </c>
      <c r="S388">
        <f>Source!AE869*IF(Source!BS869&lt;&gt; 0, Source!BS869, 1)</f>
        <v>0</v>
      </c>
      <c r="T388">
        <f>ROUND(S388*I388, 2)</f>
        <v>0</v>
      </c>
      <c r="U388">
        <v>3</v>
      </c>
      <c r="Y388">
        <f>Source!GF869</f>
        <v>1794565900</v>
      </c>
      <c r="Z388">
        <v>-1081728160</v>
      </c>
      <c r="AA388">
        <v>1863058702</v>
      </c>
    </row>
    <row r="389" spans="1:27" x14ac:dyDescent="0.2">
      <c r="A389">
        <v>20</v>
      </c>
      <c r="B389">
        <v>735</v>
      </c>
      <c r="C389">
        <v>1</v>
      </c>
      <c r="D389">
        <v>0</v>
      </c>
      <c r="E389">
        <f>SmtRes!AV735</f>
        <v>1</v>
      </c>
      <c r="F389" t="str">
        <f>SmtRes!I735</f>
        <v>9999990008</v>
      </c>
      <c r="G389" t="str">
        <f>SmtRes!K735</f>
        <v>Трудозатраты рабочих</v>
      </c>
      <c r="H389" t="str">
        <f>SmtRes!O735</f>
        <v>чел.-ч.</v>
      </c>
      <c r="I389">
        <f>SmtRes!Y735*Source!I871</f>
        <v>6.3500000000000005</v>
      </c>
      <c r="J389">
        <f>SmtRes!AO735</f>
        <v>1</v>
      </c>
      <c r="K389">
        <f>SmtRes!AH735</f>
        <v>0</v>
      </c>
      <c r="L389">
        <f>SmtRes!DB735</f>
        <v>0</v>
      </c>
      <c r="M389">
        <f>ROUND(ROUND(L389*Source!I871, 6)*1, 2)</f>
        <v>0</v>
      </c>
      <c r="N389">
        <f>SmtRes!AD735</f>
        <v>0</v>
      </c>
      <c r="O389">
        <f>ROUND(ROUND(L389*Source!I871, 6)*SmtRes!DA735, 2)</f>
        <v>0</v>
      </c>
      <c r="P389">
        <f>SmtRes!AG735</f>
        <v>0</v>
      </c>
      <c r="Q389">
        <f>SmtRes!DC735</f>
        <v>0</v>
      </c>
      <c r="R389">
        <f>ROUND(ROUND(Q389*Source!I871, 6)*1, 2)</f>
        <v>0</v>
      </c>
      <c r="S389">
        <f>SmtRes!AC735</f>
        <v>0</v>
      </c>
      <c r="T389">
        <f>ROUND(ROUND(Q389*Source!I871, 6)*SmtRes!AK735, 2)</f>
        <v>0</v>
      </c>
      <c r="U389">
        <v>1</v>
      </c>
      <c r="Y389">
        <f>SmtRes!X735</f>
        <v>476480486</v>
      </c>
      <c r="Z389">
        <v>1499241640</v>
      </c>
      <c r="AA389">
        <v>1499241640</v>
      </c>
    </row>
    <row r="390" spans="1:27" x14ac:dyDescent="0.2">
      <c r="A390">
        <f>Source!A873</f>
        <v>18</v>
      </c>
      <c r="B390">
        <v>873</v>
      </c>
      <c r="C390">
        <v>3</v>
      </c>
      <c r="D390">
        <f>Source!BI873</f>
        <v>2</v>
      </c>
      <c r="E390">
        <f>Source!FS873</f>
        <v>0</v>
      </c>
      <c r="F390" t="str">
        <f>Source!F873</f>
        <v>Цена поставщика</v>
      </c>
      <c r="G390" t="str">
        <f>Source!G873</f>
        <v>Светодиодный светильник "ВАРТОН" ЖКХ круг IP65 185*70 мм антивандальный 10 ВТ (диод 0,1Вт) 4000К</v>
      </c>
      <c r="H390" t="str">
        <f>Source!H873</f>
        <v>шт.</v>
      </c>
      <c r="I390">
        <f>Source!I873</f>
        <v>3</v>
      </c>
      <c r="J390">
        <v>1</v>
      </c>
      <c r="K390">
        <f>Source!AC873</f>
        <v>163.81</v>
      </c>
      <c r="M390">
        <f>ROUND(K390*I390, 2)</f>
        <v>491.43</v>
      </c>
      <c r="N390">
        <f>Source!AC873*IF(Source!BC873&lt;&gt; 0, Source!BC873, 1)</f>
        <v>1416.9565</v>
      </c>
      <c r="O390">
        <f>ROUND(N390*I390, 2)</f>
        <v>4250.87</v>
      </c>
      <c r="P390">
        <f>Source!AE873</f>
        <v>0</v>
      </c>
      <c r="R390">
        <f>ROUND(P390*I390, 2)</f>
        <v>0</v>
      </c>
      <c r="S390">
        <f>Source!AE873*IF(Source!BS873&lt;&gt; 0, Source!BS873, 1)</f>
        <v>0</v>
      </c>
      <c r="T390">
        <f>ROUND(S390*I390, 2)</f>
        <v>0</v>
      </c>
      <c r="U390">
        <v>3</v>
      </c>
      <c r="Y390">
        <f>Source!GF873</f>
        <v>1673954470</v>
      </c>
      <c r="Z390">
        <v>217875229</v>
      </c>
      <c r="AA390">
        <v>-1791573845</v>
      </c>
    </row>
    <row r="391" spans="1:27" x14ac:dyDescent="0.2">
      <c r="A391">
        <f>Source!A875</f>
        <v>18</v>
      </c>
      <c r="B391">
        <v>875</v>
      </c>
      <c r="C391">
        <v>3</v>
      </c>
      <c r="D391">
        <f>Source!BI875</f>
        <v>2</v>
      </c>
      <c r="E391">
        <f>Source!FS875</f>
        <v>0</v>
      </c>
      <c r="F391" t="str">
        <f>Source!F875</f>
        <v>Цена поставщика</v>
      </c>
      <c r="G391" t="str">
        <f>Source!G875</f>
        <v>Светильник ДБО-85-16-001 Tablette 840, 1407Лм, IP65</v>
      </c>
      <c r="H391" t="str">
        <f>Source!H875</f>
        <v>шт.</v>
      </c>
      <c r="I391">
        <f>Source!I875</f>
        <v>1</v>
      </c>
      <c r="J391">
        <v>1</v>
      </c>
      <c r="K391">
        <f>Source!AC875</f>
        <v>786.91</v>
      </c>
      <c r="M391">
        <f>ROUND(K391*I391, 2)</f>
        <v>786.91</v>
      </c>
      <c r="N391">
        <f>Source!AC875*IF(Source!BC875&lt;&gt; 0, Source!BC875, 1)</f>
        <v>6806.7714999999998</v>
      </c>
      <c r="O391">
        <f>ROUND(N391*I391, 2)</f>
        <v>6806.77</v>
      </c>
      <c r="P391">
        <f>Source!AE875</f>
        <v>0</v>
      </c>
      <c r="R391">
        <f>ROUND(P391*I391, 2)</f>
        <v>0</v>
      </c>
      <c r="S391">
        <f>Source!AE875*IF(Source!BS875&lt;&gt; 0, Source!BS875, 1)</f>
        <v>0</v>
      </c>
      <c r="T391">
        <f>ROUND(S391*I391, 2)</f>
        <v>0</v>
      </c>
      <c r="U391">
        <v>3</v>
      </c>
      <c r="Y391">
        <f>Source!GF875</f>
        <v>-707882540</v>
      </c>
      <c r="Z391">
        <v>-1034442188</v>
      </c>
      <c r="AA391">
        <v>-1752992890</v>
      </c>
    </row>
    <row r="392" spans="1:27" x14ac:dyDescent="0.2">
      <c r="A392">
        <f>Source!A877</f>
        <v>18</v>
      </c>
      <c r="B392">
        <v>877</v>
      </c>
      <c r="C392">
        <v>3</v>
      </c>
      <c r="D392">
        <f>Source!BI877</f>
        <v>2</v>
      </c>
      <c r="E392">
        <f>Source!FS877</f>
        <v>0</v>
      </c>
      <c r="F392" t="str">
        <f>Source!F877</f>
        <v>Цена поставщика</v>
      </c>
      <c r="G392" t="str">
        <f>Source!G877</f>
        <v>Светильник ДБО-85-16-041 Tablette EM1 850, 1407мм, IP65 с блоком аварийного питания</v>
      </c>
      <c r="H392" t="str">
        <f>Source!H877</f>
        <v>шт.</v>
      </c>
      <c r="I392">
        <f>Source!I877</f>
        <v>1</v>
      </c>
      <c r="J392">
        <v>1</v>
      </c>
      <c r="K392">
        <f>Source!AC877</f>
        <v>1152.47</v>
      </c>
      <c r="M392">
        <f>ROUND(K392*I392, 2)</f>
        <v>1152.47</v>
      </c>
      <c r="N392">
        <f>Source!AC877*IF(Source!BC877&lt;&gt; 0, Source!BC877, 1)</f>
        <v>9968.8654999999999</v>
      </c>
      <c r="O392">
        <f>ROUND(N392*I392, 2)</f>
        <v>9968.8700000000008</v>
      </c>
      <c r="P392">
        <f>Source!AE877</f>
        <v>0</v>
      </c>
      <c r="R392">
        <f>ROUND(P392*I392, 2)</f>
        <v>0</v>
      </c>
      <c r="S392">
        <f>Source!AE877*IF(Source!BS877&lt;&gt; 0, Source!BS877, 1)</f>
        <v>0</v>
      </c>
      <c r="T392">
        <f>ROUND(S392*I392, 2)</f>
        <v>0</v>
      </c>
      <c r="U392">
        <v>3</v>
      </c>
      <c r="Y392">
        <f>Source!GF877</f>
        <v>-824144964</v>
      </c>
      <c r="Z392">
        <v>2074345376</v>
      </c>
      <c r="AA392">
        <v>-2063308428</v>
      </c>
    </row>
    <row r="393" spans="1:27" x14ac:dyDescent="0.2">
      <c r="A393">
        <v>20</v>
      </c>
      <c r="B393">
        <v>742</v>
      </c>
      <c r="C393">
        <v>1</v>
      </c>
      <c r="D393">
        <v>0</v>
      </c>
      <c r="E393">
        <f>SmtRes!AV742</f>
        <v>1</v>
      </c>
      <c r="F393" t="str">
        <f>SmtRes!I742</f>
        <v>9999990008</v>
      </c>
      <c r="G393" t="str">
        <f>SmtRes!K742</f>
        <v>Трудозатраты рабочих</v>
      </c>
      <c r="H393" t="str">
        <f>SmtRes!O742</f>
        <v>чел.-ч.</v>
      </c>
      <c r="I393">
        <f>SmtRes!Y742*Source!I879</f>
        <v>2.5400999999999998</v>
      </c>
      <c r="J393">
        <f>SmtRes!AO742</f>
        <v>1</v>
      </c>
      <c r="K393">
        <f>SmtRes!AH742</f>
        <v>0</v>
      </c>
      <c r="L393">
        <f>SmtRes!DB742</f>
        <v>0</v>
      </c>
      <c r="M393">
        <f>ROUND(ROUND(L393*Source!I879, 6)*1, 2)</f>
        <v>0</v>
      </c>
      <c r="N393">
        <f>SmtRes!AD742</f>
        <v>0</v>
      </c>
      <c r="O393">
        <f>ROUND(ROUND(L393*Source!I879, 6)*SmtRes!DA742, 2)</f>
        <v>0</v>
      </c>
      <c r="P393">
        <f>SmtRes!AG742</f>
        <v>0</v>
      </c>
      <c r="Q393">
        <f>SmtRes!DC742</f>
        <v>0</v>
      </c>
      <c r="R393">
        <f>ROUND(ROUND(Q393*Source!I879, 6)*1, 2)</f>
        <v>0</v>
      </c>
      <c r="S393">
        <f>SmtRes!AC742</f>
        <v>0</v>
      </c>
      <c r="T393">
        <f>ROUND(ROUND(Q393*Source!I879, 6)*SmtRes!AK742, 2)</f>
        <v>0</v>
      </c>
      <c r="U393">
        <v>1</v>
      </c>
      <c r="Y393">
        <f>SmtRes!X742</f>
        <v>476480486</v>
      </c>
      <c r="Z393">
        <v>1499241640</v>
      </c>
      <c r="AA393">
        <v>1499241640</v>
      </c>
    </row>
    <row r="394" spans="1:27" x14ac:dyDescent="0.2">
      <c r="A394">
        <f>Source!A881</f>
        <v>18</v>
      </c>
      <c r="B394">
        <v>881</v>
      </c>
      <c r="C394">
        <v>3</v>
      </c>
      <c r="D394">
        <f>Source!BI881</f>
        <v>2</v>
      </c>
      <c r="E394">
        <f>Source!FS881</f>
        <v>0</v>
      </c>
      <c r="F394" t="str">
        <f>Source!F881</f>
        <v>1.22-4-15</v>
      </c>
      <c r="G394" t="str">
        <f>Source!G881</f>
        <v>Указатели световые светодиодные, степень защиты IP20, тип ДБО 02-1-006, с аккумулятором</v>
      </c>
      <c r="H394" t="str">
        <f>Source!H881</f>
        <v>шт.</v>
      </c>
      <c r="I394">
        <f>Source!I881</f>
        <v>3</v>
      </c>
      <c r="J394">
        <v>1</v>
      </c>
      <c r="K394">
        <f>Source!AC881</f>
        <v>347.2</v>
      </c>
      <c r="M394">
        <f>ROUND(K394*I394, 2)</f>
        <v>1041.5999999999999</v>
      </c>
      <c r="N394">
        <f>Source!AC881*IF(Source!BC881&lt;&gt; 0, Source!BC881, 1)</f>
        <v>4565.68</v>
      </c>
      <c r="O394">
        <f>ROUND(N394*I394, 2)</f>
        <v>13697.04</v>
      </c>
      <c r="P394">
        <f>Source!AE881</f>
        <v>0</v>
      </c>
      <c r="R394">
        <f>ROUND(P394*I394, 2)</f>
        <v>0</v>
      </c>
      <c r="S394">
        <f>Source!AE881*IF(Source!BS881&lt;&gt; 0, Source!BS881, 1)</f>
        <v>0</v>
      </c>
      <c r="T394">
        <f>ROUND(S394*I394, 2)</f>
        <v>0</v>
      </c>
      <c r="U394">
        <v>3</v>
      </c>
      <c r="Y394">
        <f>Source!GF881</f>
        <v>-2016539353</v>
      </c>
      <c r="Z394">
        <v>911863227</v>
      </c>
      <c r="AA394">
        <v>830453263</v>
      </c>
    </row>
    <row r="395" spans="1:27" x14ac:dyDescent="0.2">
      <c r="A395">
        <f>Source!A883</f>
        <v>18</v>
      </c>
      <c r="B395">
        <v>883</v>
      </c>
      <c r="C395">
        <v>3</v>
      </c>
      <c r="D395">
        <f>Source!BI883</f>
        <v>2</v>
      </c>
      <c r="E395">
        <f>Source!FS883</f>
        <v>0</v>
      </c>
      <c r="F395" t="str">
        <f>Source!F883</f>
        <v>1.1-1-2614</v>
      </c>
      <c r="G395" t="str">
        <f>Source!G883</f>
        <v>Знаки безопасности и эвакуационные указатели из пленки самоклеящейся к светильникам, тип НПУ-3000</v>
      </c>
      <c r="H395" t="str">
        <f>Source!H883</f>
        <v>шт.</v>
      </c>
      <c r="I395">
        <f>Source!I883</f>
        <v>3</v>
      </c>
      <c r="J395">
        <v>1</v>
      </c>
      <c r="K395">
        <f>Source!AC883</f>
        <v>15.36</v>
      </c>
      <c r="M395">
        <f>ROUND(K395*I395, 2)</f>
        <v>46.08</v>
      </c>
      <c r="N395">
        <f>Source!AC883*IF(Source!BC883&lt;&gt; 0, Source!BC883, 1)</f>
        <v>60.5184</v>
      </c>
      <c r="O395">
        <f>ROUND(N395*I395, 2)</f>
        <v>181.56</v>
      </c>
      <c r="P395">
        <f>Source!AE883</f>
        <v>0</v>
      </c>
      <c r="R395">
        <f>ROUND(P395*I395, 2)</f>
        <v>0</v>
      </c>
      <c r="S395">
        <f>Source!AE883*IF(Source!BS883&lt;&gt; 0, Source!BS883, 1)</f>
        <v>0</v>
      </c>
      <c r="T395">
        <f>ROUND(S395*I395, 2)</f>
        <v>0</v>
      </c>
      <c r="U395">
        <v>3</v>
      </c>
      <c r="Y395">
        <f>Source!GF883</f>
        <v>1588752738</v>
      </c>
      <c r="Z395">
        <v>1774062140</v>
      </c>
      <c r="AA395">
        <v>1369064842</v>
      </c>
    </row>
    <row r="396" spans="1:27" x14ac:dyDescent="0.2">
      <c r="A396">
        <v>20</v>
      </c>
      <c r="B396">
        <v>749</v>
      </c>
      <c r="C396">
        <v>3</v>
      </c>
      <c r="D396">
        <v>0</v>
      </c>
      <c r="E396">
        <f>SmtRes!AV749</f>
        <v>0</v>
      </c>
      <c r="F396" t="str">
        <f>SmtRes!I749</f>
        <v>9999990002</v>
      </c>
      <c r="G396" t="str">
        <f>SmtRes!K749</f>
        <v>Масса оборудования</v>
      </c>
      <c r="H396" t="str">
        <f>SmtRes!O749</f>
        <v>т</v>
      </c>
      <c r="I396">
        <f>SmtRes!Y749*Source!I885</f>
        <v>1E-3</v>
      </c>
      <c r="J396">
        <f>SmtRes!AO749</f>
        <v>1</v>
      </c>
      <c r="K396">
        <f>SmtRes!AE749</f>
        <v>0</v>
      </c>
      <c r="L396">
        <f>SmtRes!DB749</f>
        <v>0</v>
      </c>
      <c r="M396">
        <f>ROUND(ROUND(L396*Source!I885, 6)*1, 2)</f>
        <v>0</v>
      </c>
      <c r="N396">
        <f>SmtRes!AA749</f>
        <v>0</v>
      </c>
      <c r="O396">
        <f>ROUND(ROUND(L396*Source!I885, 6)*SmtRes!DA749, 2)</f>
        <v>0</v>
      </c>
      <c r="P396">
        <f>SmtRes!AG749</f>
        <v>0</v>
      </c>
      <c r="Q396">
        <f>SmtRes!DC749</f>
        <v>0</v>
      </c>
      <c r="R396">
        <f>ROUND(ROUND(Q396*Source!I885, 6)*1, 2)</f>
        <v>0</v>
      </c>
      <c r="S396">
        <f>SmtRes!AC749</f>
        <v>0</v>
      </c>
      <c r="T396">
        <f>ROUND(ROUND(Q396*Source!I885, 6)*SmtRes!AK749, 2)</f>
        <v>0</v>
      </c>
      <c r="U396">
        <v>3</v>
      </c>
      <c r="Y396">
        <f>SmtRes!X749</f>
        <v>-783086922</v>
      </c>
      <c r="Z396">
        <v>1715875556</v>
      </c>
      <c r="AA396">
        <v>1715875556</v>
      </c>
    </row>
    <row r="397" spans="1:27" x14ac:dyDescent="0.2">
      <c r="A397">
        <v>20</v>
      </c>
      <c r="B397">
        <v>748</v>
      </c>
      <c r="C397">
        <v>1</v>
      </c>
      <c r="D397">
        <v>0</v>
      </c>
      <c r="E397">
        <f>SmtRes!AV748</f>
        <v>1</v>
      </c>
      <c r="F397" t="str">
        <f>SmtRes!I748</f>
        <v>9999990008</v>
      </c>
      <c r="G397" t="str">
        <f>SmtRes!K748</f>
        <v>Трудозатраты рабочих</v>
      </c>
      <c r="H397" t="str">
        <f>SmtRes!O748</f>
        <v>чел.-ч.</v>
      </c>
      <c r="I397">
        <f>SmtRes!Y748*Source!I885</f>
        <v>0.5</v>
      </c>
      <c r="J397">
        <f>SmtRes!AO748</f>
        <v>1</v>
      </c>
      <c r="K397">
        <f>SmtRes!AH748</f>
        <v>0</v>
      </c>
      <c r="L397">
        <f>SmtRes!DB748</f>
        <v>0</v>
      </c>
      <c r="M397">
        <f>ROUND(ROUND(L397*Source!I885, 6)*1, 2)</f>
        <v>0</v>
      </c>
      <c r="N397">
        <f>SmtRes!AD748</f>
        <v>0</v>
      </c>
      <c r="O397">
        <f>ROUND(ROUND(L397*Source!I885, 6)*SmtRes!DA748, 2)</f>
        <v>0</v>
      </c>
      <c r="P397">
        <f>SmtRes!AG748</f>
        <v>0</v>
      </c>
      <c r="Q397">
        <f>SmtRes!DC748</f>
        <v>0</v>
      </c>
      <c r="R397">
        <f>ROUND(ROUND(Q397*Source!I885, 6)*1, 2)</f>
        <v>0</v>
      </c>
      <c r="S397">
        <f>SmtRes!AC748</f>
        <v>0</v>
      </c>
      <c r="T397">
        <f>ROUND(ROUND(Q397*Source!I885, 6)*SmtRes!AK748, 2)</f>
        <v>0</v>
      </c>
      <c r="U397">
        <v>1</v>
      </c>
      <c r="Y397">
        <f>SmtRes!X748</f>
        <v>476480486</v>
      </c>
      <c r="Z397">
        <v>1499241640</v>
      </c>
      <c r="AA397">
        <v>1499241640</v>
      </c>
    </row>
    <row r="398" spans="1:27" x14ac:dyDescent="0.2">
      <c r="A398">
        <f>Source!A887</f>
        <v>18</v>
      </c>
      <c r="B398">
        <v>887</v>
      </c>
      <c r="C398">
        <v>3</v>
      </c>
      <c r="D398">
        <f>Source!BI887</f>
        <v>2</v>
      </c>
      <c r="E398">
        <f>Source!FS887</f>
        <v>0</v>
      </c>
      <c r="F398" t="str">
        <f>Source!F887</f>
        <v>Цена поставщика</v>
      </c>
      <c r="G398" t="str">
        <f>Source!G887</f>
        <v>Фотореле ФР601 2200ВА IP44 серый максимальная нагрузка 1100Вт (LFR20-601-2200-003)</v>
      </c>
      <c r="H398" t="str">
        <f>Source!H887</f>
        <v>шт.</v>
      </c>
      <c r="I398">
        <f>Source!I887</f>
        <v>1</v>
      </c>
      <c r="J398">
        <v>1</v>
      </c>
      <c r="K398">
        <f>Source!AC887</f>
        <v>23.38</v>
      </c>
      <c r="M398">
        <f>ROUND(K398*I398, 2)</f>
        <v>23.38</v>
      </c>
      <c r="N398">
        <f>Source!AC887*IF(Source!BC887&lt;&gt; 0, Source!BC887, 1)</f>
        <v>202.23699999999999</v>
      </c>
      <c r="O398">
        <f>ROUND(N398*I398, 2)</f>
        <v>202.24</v>
      </c>
      <c r="P398">
        <f>Source!AE887</f>
        <v>0</v>
      </c>
      <c r="R398">
        <f>ROUND(P398*I398, 2)</f>
        <v>0</v>
      </c>
      <c r="S398">
        <f>Source!AE887*IF(Source!BS887&lt;&gt; 0, Source!BS887, 1)</f>
        <v>0</v>
      </c>
      <c r="T398">
        <f>ROUND(S398*I398, 2)</f>
        <v>0</v>
      </c>
      <c r="U398">
        <v>3</v>
      </c>
      <c r="Y398">
        <f>Source!GF887</f>
        <v>3657451</v>
      </c>
      <c r="Z398">
        <v>1764603835</v>
      </c>
      <c r="AA398">
        <v>59929571</v>
      </c>
    </row>
    <row r="399" spans="1:27" x14ac:dyDescent="0.2">
      <c r="A399">
        <v>20</v>
      </c>
      <c r="B399">
        <v>755</v>
      </c>
      <c r="C399">
        <v>1</v>
      </c>
      <c r="D399">
        <v>0</v>
      </c>
      <c r="E399">
        <f>SmtRes!AV755</f>
        <v>1</v>
      </c>
      <c r="F399" t="str">
        <f>SmtRes!I755</f>
        <v>9999990008</v>
      </c>
      <c r="G399" t="str">
        <f>SmtRes!K755</f>
        <v>Трудозатраты рабочих</v>
      </c>
      <c r="H399" t="str">
        <f>SmtRes!O755</f>
        <v>чел.-ч.</v>
      </c>
      <c r="I399">
        <f>SmtRes!Y755*Source!I889</f>
        <v>36.603000000000002</v>
      </c>
      <c r="J399">
        <f>SmtRes!AO755</f>
        <v>1</v>
      </c>
      <c r="K399">
        <f>SmtRes!AH755</f>
        <v>0</v>
      </c>
      <c r="L399">
        <f>SmtRes!DB755</f>
        <v>0</v>
      </c>
      <c r="M399">
        <f>ROUND(ROUND(L399*Source!I889, 6)*1, 2)</f>
        <v>0</v>
      </c>
      <c r="N399">
        <f>SmtRes!AD755</f>
        <v>0</v>
      </c>
      <c r="O399">
        <f>ROUND(ROUND(L399*Source!I889, 6)*SmtRes!DA755, 2)</f>
        <v>0</v>
      </c>
      <c r="P399">
        <f>SmtRes!AG755</f>
        <v>0</v>
      </c>
      <c r="Q399">
        <f>SmtRes!DC755</f>
        <v>0</v>
      </c>
      <c r="R399">
        <f>ROUND(ROUND(Q399*Source!I889, 6)*1, 2)</f>
        <v>0</v>
      </c>
      <c r="S399">
        <f>SmtRes!AC755</f>
        <v>0</v>
      </c>
      <c r="T399">
        <f>ROUND(ROUND(Q399*Source!I889, 6)*SmtRes!AK755, 2)</f>
        <v>0</v>
      </c>
      <c r="U399">
        <v>1</v>
      </c>
      <c r="Y399">
        <f>SmtRes!X755</f>
        <v>476480486</v>
      </c>
      <c r="Z399">
        <v>1499241640</v>
      </c>
      <c r="AA399">
        <v>1499241640</v>
      </c>
    </row>
    <row r="400" spans="1:27" x14ac:dyDescent="0.2">
      <c r="A400">
        <f>Source!A891</f>
        <v>18</v>
      </c>
      <c r="B400">
        <v>891</v>
      </c>
      <c r="C400">
        <v>3</v>
      </c>
      <c r="D400">
        <f>Source!BI891</f>
        <v>2</v>
      </c>
      <c r="E400">
        <f>Source!FS891</f>
        <v>0</v>
      </c>
      <c r="F400" t="str">
        <f>Source!F891</f>
        <v>1.1-1-3169</v>
      </c>
      <c r="G400" t="str">
        <f>Source!G891</f>
        <v>Кабель-каналы, размер 25х17 мм, кабель-каналы</v>
      </c>
      <c r="H400" t="str">
        <f>Source!H891</f>
        <v>м</v>
      </c>
      <c r="I400">
        <f>Source!I891</f>
        <v>90</v>
      </c>
      <c r="J400">
        <v>1</v>
      </c>
      <c r="K400">
        <f>Source!AC891</f>
        <v>9.74</v>
      </c>
      <c r="M400">
        <f>ROUND(K400*I400, 2)</f>
        <v>876.6</v>
      </c>
      <c r="N400">
        <f>Source!AC891*IF(Source!BC891&lt;&gt; 0, Source!BC891, 1)</f>
        <v>67.887799999999999</v>
      </c>
      <c r="O400">
        <f>ROUND(N400*I400, 2)</f>
        <v>6109.9</v>
      </c>
      <c r="P400">
        <f>Source!AE891</f>
        <v>0</v>
      </c>
      <c r="R400">
        <f>ROUND(P400*I400, 2)</f>
        <v>0</v>
      </c>
      <c r="S400">
        <f>Source!AE891*IF(Source!BS891&lt;&gt; 0, Source!BS891, 1)</f>
        <v>0</v>
      </c>
      <c r="T400">
        <f>ROUND(S400*I400, 2)</f>
        <v>0</v>
      </c>
      <c r="U400">
        <v>3</v>
      </c>
      <c r="Y400">
        <f>Source!GF891</f>
        <v>-961474962</v>
      </c>
      <c r="Z400">
        <v>1884657491</v>
      </c>
      <c r="AA400">
        <v>-461846731</v>
      </c>
    </row>
    <row r="401" spans="1:27" x14ac:dyDescent="0.2">
      <c r="A401">
        <f>Source!A893</f>
        <v>18</v>
      </c>
      <c r="B401">
        <v>893</v>
      </c>
      <c r="C401">
        <v>3</v>
      </c>
      <c r="D401">
        <f>Source!BI893</f>
        <v>2</v>
      </c>
      <c r="E401">
        <f>Source!FS893</f>
        <v>0</v>
      </c>
      <c r="F401" t="str">
        <f>Source!F893</f>
        <v>1.21-5-185</v>
      </c>
      <c r="G401" t="str">
        <f>Source!G893</f>
        <v>Коробки ответвительные, тип КРП-1 УХЛ4, размеры 52х109х109 мм</v>
      </c>
      <c r="H401" t="str">
        <f>Source!H893</f>
        <v>шт.</v>
      </c>
      <c r="I401">
        <f>Source!I893</f>
        <v>7</v>
      </c>
      <c r="J401">
        <v>1</v>
      </c>
      <c r="K401">
        <f>Source!AC893</f>
        <v>26.19</v>
      </c>
      <c r="M401">
        <f>ROUND(K401*I401, 2)</f>
        <v>183.33</v>
      </c>
      <c r="N401">
        <f>Source!AC893*IF(Source!BC893&lt;&gt; 0, Source!BC893, 1)</f>
        <v>285.9948</v>
      </c>
      <c r="O401">
        <f>ROUND(N401*I401, 2)</f>
        <v>2001.96</v>
      </c>
      <c r="P401">
        <f>Source!AE893</f>
        <v>0</v>
      </c>
      <c r="R401">
        <f>ROUND(P401*I401, 2)</f>
        <v>0</v>
      </c>
      <c r="S401">
        <f>Source!AE893*IF(Source!BS893&lt;&gt; 0, Source!BS893, 1)</f>
        <v>0</v>
      </c>
      <c r="T401">
        <f>ROUND(S401*I401, 2)</f>
        <v>0</v>
      </c>
      <c r="U401">
        <v>3</v>
      </c>
      <c r="Y401">
        <f>Source!GF893</f>
        <v>-838499012</v>
      </c>
      <c r="Z401">
        <v>-254726662</v>
      </c>
      <c r="AA401">
        <v>-1024952062</v>
      </c>
    </row>
    <row r="402" spans="1:27" x14ac:dyDescent="0.2">
      <c r="A402">
        <f>Source!A895</f>
        <v>18</v>
      </c>
      <c r="B402">
        <v>895</v>
      </c>
      <c r="C402">
        <v>3</v>
      </c>
      <c r="D402">
        <f>Source!BI895</f>
        <v>2</v>
      </c>
      <c r="E402">
        <f>Source!FS895</f>
        <v>0</v>
      </c>
      <c r="F402" t="str">
        <f>Source!F895</f>
        <v>Цена поставщика</v>
      </c>
      <c r="G402" t="str">
        <f>Source!G895</f>
        <v>Клеммная колодка WAGO 273-503</v>
      </c>
      <c r="H402" t="str">
        <f>Source!H895</f>
        <v>шт.</v>
      </c>
      <c r="I402">
        <f>Source!I895</f>
        <v>21</v>
      </c>
      <c r="J402">
        <v>1</v>
      </c>
      <c r="K402">
        <f>Source!AC895</f>
        <v>3.14</v>
      </c>
      <c r="M402">
        <f>ROUND(K402*I402, 2)</f>
        <v>65.94</v>
      </c>
      <c r="N402">
        <f>Source!AC895*IF(Source!BC895&lt;&gt; 0, Source!BC895, 1)</f>
        <v>27.161000000000001</v>
      </c>
      <c r="O402">
        <f>ROUND(N402*I402, 2)</f>
        <v>570.38</v>
      </c>
      <c r="P402">
        <f>Source!AE895</f>
        <v>0</v>
      </c>
      <c r="R402">
        <f>ROUND(P402*I402, 2)</f>
        <v>0</v>
      </c>
      <c r="S402">
        <f>Source!AE895*IF(Source!BS895&lt;&gt; 0, Source!BS895, 1)</f>
        <v>0</v>
      </c>
      <c r="T402">
        <f>ROUND(S402*I402, 2)</f>
        <v>0</v>
      </c>
      <c r="U402">
        <v>3</v>
      </c>
      <c r="Y402">
        <f>Source!GF895</f>
        <v>1560097417</v>
      </c>
      <c r="Z402">
        <v>103250854</v>
      </c>
      <c r="AA402">
        <v>-565899565</v>
      </c>
    </row>
    <row r="403" spans="1:27" x14ac:dyDescent="0.2">
      <c r="A403">
        <v>20</v>
      </c>
      <c r="B403">
        <v>761</v>
      </c>
      <c r="C403">
        <v>1</v>
      </c>
      <c r="D403">
        <v>0</v>
      </c>
      <c r="E403">
        <f>SmtRes!AV761</f>
        <v>1</v>
      </c>
      <c r="F403" t="str">
        <f>SmtRes!I761</f>
        <v>9999990008</v>
      </c>
      <c r="G403" t="str">
        <f>SmtRes!K761</f>
        <v>Трудозатраты рабочих</v>
      </c>
      <c r="H403" t="str">
        <f>SmtRes!O761</f>
        <v>чел.-ч.</v>
      </c>
      <c r="I403">
        <f>SmtRes!Y761*Source!I897</f>
        <v>0.5796</v>
      </c>
      <c r="J403">
        <f>SmtRes!AO761</f>
        <v>1</v>
      </c>
      <c r="K403">
        <f>SmtRes!AH761</f>
        <v>0</v>
      </c>
      <c r="L403">
        <f>SmtRes!DB761</f>
        <v>0</v>
      </c>
      <c r="M403">
        <f>ROUND(ROUND(L403*Source!I897, 6)*1, 2)</f>
        <v>0</v>
      </c>
      <c r="N403">
        <f>SmtRes!AD761</f>
        <v>0</v>
      </c>
      <c r="O403">
        <f>ROUND(ROUND(L403*Source!I897, 6)*SmtRes!DA761, 2)</f>
        <v>0</v>
      </c>
      <c r="P403">
        <f>SmtRes!AG761</f>
        <v>0</v>
      </c>
      <c r="Q403">
        <f>SmtRes!DC761</f>
        <v>0</v>
      </c>
      <c r="R403">
        <f>ROUND(ROUND(Q403*Source!I897, 6)*1, 2)</f>
        <v>0</v>
      </c>
      <c r="S403">
        <f>SmtRes!AC761</f>
        <v>0</v>
      </c>
      <c r="T403">
        <f>ROUND(ROUND(Q403*Source!I897, 6)*SmtRes!AK761, 2)</f>
        <v>0</v>
      </c>
      <c r="U403">
        <v>1</v>
      </c>
      <c r="Y403">
        <f>SmtRes!X761</f>
        <v>476480486</v>
      </c>
      <c r="Z403">
        <v>1499241640</v>
      </c>
      <c r="AA403">
        <v>1499241640</v>
      </c>
    </row>
    <row r="404" spans="1:27" x14ac:dyDescent="0.2">
      <c r="A404">
        <f>Source!A899</f>
        <v>18</v>
      </c>
      <c r="B404">
        <v>899</v>
      </c>
      <c r="C404">
        <v>3</v>
      </c>
      <c r="D404">
        <f>Source!BI899</f>
        <v>2</v>
      </c>
      <c r="E404">
        <f>Source!FS899</f>
        <v>0</v>
      </c>
      <c r="F404" t="str">
        <f>Source!F899</f>
        <v>1.12-5-42</v>
      </c>
      <c r="G404" t="str">
        <f>Source!G899</f>
        <v>Трубы поливинилхлоридные для электропроводок, гладкие, усиленного типа из отходов ПВХ, наружный диаметр 20 мм, толщина стенки 1,5 мм</v>
      </c>
      <c r="H404" t="str">
        <f>Source!H899</f>
        <v>м</v>
      </c>
      <c r="I404">
        <f>Source!I899</f>
        <v>2.8559999999999999</v>
      </c>
      <c r="J404">
        <v>1</v>
      </c>
      <c r="K404">
        <f>Source!AC899</f>
        <v>4.59</v>
      </c>
      <c r="M404">
        <f>ROUND(K404*I404, 2)</f>
        <v>13.11</v>
      </c>
      <c r="N404">
        <f>Source!AC899*IF(Source!BC899&lt;&gt; 0, Source!BC899, 1)</f>
        <v>22.628699999999998</v>
      </c>
      <c r="O404">
        <f>ROUND(N404*I404, 2)</f>
        <v>64.63</v>
      </c>
      <c r="P404">
        <f>Source!AE899</f>
        <v>0</v>
      </c>
      <c r="R404">
        <f>ROUND(P404*I404, 2)</f>
        <v>0</v>
      </c>
      <c r="S404">
        <f>Source!AE899*IF(Source!BS899&lt;&gt; 0, Source!BS899, 1)</f>
        <v>0</v>
      </c>
      <c r="T404">
        <f>ROUND(S404*I404, 2)</f>
        <v>0</v>
      </c>
      <c r="U404">
        <v>3</v>
      </c>
      <c r="Y404">
        <f>Source!GF899</f>
        <v>-1102095183</v>
      </c>
      <c r="Z404">
        <v>1157582974</v>
      </c>
      <c r="AA404">
        <v>-775572053</v>
      </c>
    </row>
    <row r="405" spans="1:27" x14ac:dyDescent="0.2">
      <c r="A405">
        <v>20</v>
      </c>
      <c r="B405">
        <v>765</v>
      </c>
      <c r="C405">
        <v>1</v>
      </c>
      <c r="D405">
        <v>0</v>
      </c>
      <c r="E405">
        <f>SmtRes!AV765</f>
        <v>1</v>
      </c>
      <c r="F405" t="str">
        <f>SmtRes!I765</f>
        <v>9999990008</v>
      </c>
      <c r="G405" t="str">
        <f>SmtRes!K765</f>
        <v>Трудозатраты рабочих</v>
      </c>
      <c r="H405" t="str">
        <f>SmtRes!O765</f>
        <v>чел.-ч.</v>
      </c>
      <c r="I405">
        <f>SmtRes!Y765*Source!I901</f>
        <v>1.4950000000000001</v>
      </c>
      <c r="J405">
        <f>SmtRes!AO765</f>
        <v>1</v>
      </c>
      <c r="K405">
        <f>SmtRes!AH765</f>
        <v>0</v>
      </c>
      <c r="L405">
        <f>SmtRes!DB765</f>
        <v>0</v>
      </c>
      <c r="M405">
        <f>ROUND(ROUND(L405*Source!I901, 6)*1, 2)</f>
        <v>0</v>
      </c>
      <c r="N405">
        <f>SmtRes!AD765</f>
        <v>0</v>
      </c>
      <c r="O405">
        <f>ROUND(ROUND(L405*Source!I901, 6)*SmtRes!DA765, 2)</f>
        <v>0</v>
      </c>
      <c r="P405">
        <f>SmtRes!AG765</f>
        <v>0</v>
      </c>
      <c r="Q405">
        <f>SmtRes!DC765</f>
        <v>0</v>
      </c>
      <c r="R405">
        <f>ROUND(ROUND(Q405*Source!I901, 6)*1, 2)</f>
        <v>0</v>
      </c>
      <c r="S405">
        <f>SmtRes!AC765</f>
        <v>0</v>
      </c>
      <c r="T405">
        <f>ROUND(ROUND(Q405*Source!I901, 6)*SmtRes!AK765, 2)</f>
        <v>0</v>
      </c>
      <c r="U405">
        <v>1</v>
      </c>
      <c r="Y405">
        <f>SmtRes!X765</f>
        <v>476480486</v>
      </c>
      <c r="Z405">
        <v>1499241640</v>
      </c>
      <c r="AA405">
        <v>1499241640</v>
      </c>
    </row>
    <row r="406" spans="1:27" x14ac:dyDescent="0.2">
      <c r="A406">
        <f>Source!A903</f>
        <v>18</v>
      </c>
      <c r="B406">
        <v>903</v>
      </c>
      <c r="C406">
        <v>3</v>
      </c>
      <c r="D406">
        <f>Source!BI903</f>
        <v>2</v>
      </c>
      <c r="E406">
        <f>Source!FS903</f>
        <v>0</v>
      </c>
      <c r="F406" t="str">
        <f>Source!F903</f>
        <v>Цена поставщика</v>
      </c>
      <c r="G406" t="str">
        <f>Source!G903</f>
        <v>ДКС 6071R-015N Металлорукав DN 15мм в ПВХ изоляции</v>
      </c>
      <c r="H406" t="str">
        <f>Source!H903</f>
        <v>м</v>
      </c>
      <c r="I406">
        <f>Source!I903</f>
        <v>5.15</v>
      </c>
      <c r="J406">
        <v>1</v>
      </c>
      <c r="K406">
        <f>Source!AC903</f>
        <v>14.64</v>
      </c>
      <c r="M406">
        <f>ROUND(K406*I406, 2)</f>
        <v>75.400000000000006</v>
      </c>
      <c r="N406">
        <f>Source!AC903*IF(Source!BC903&lt;&gt; 0, Source!BC903, 1)</f>
        <v>126.63600000000001</v>
      </c>
      <c r="O406">
        <f>ROUND(N406*I406, 2)</f>
        <v>652.17999999999995</v>
      </c>
      <c r="P406">
        <f>Source!AE903</f>
        <v>0</v>
      </c>
      <c r="R406">
        <f>ROUND(P406*I406, 2)</f>
        <v>0</v>
      </c>
      <c r="S406">
        <f>Source!AE903*IF(Source!BS903&lt;&gt; 0, Source!BS903, 1)</f>
        <v>0</v>
      </c>
      <c r="T406">
        <f>ROUND(S406*I406, 2)</f>
        <v>0</v>
      </c>
      <c r="U406">
        <v>3</v>
      </c>
      <c r="Y406">
        <f>Source!GF903</f>
        <v>-473689300</v>
      </c>
      <c r="Z406">
        <v>-58133471</v>
      </c>
      <c r="AA406">
        <v>-1938935149</v>
      </c>
    </row>
    <row r="407" spans="1:27" x14ac:dyDescent="0.2">
      <c r="A407">
        <v>20</v>
      </c>
      <c r="B407">
        <v>769</v>
      </c>
      <c r="C407">
        <v>1</v>
      </c>
      <c r="D407">
        <v>0</v>
      </c>
      <c r="E407">
        <f>SmtRes!AV769</f>
        <v>1</v>
      </c>
      <c r="F407" t="str">
        <f>SmtRes!I769</f>
        <v>9999990008</v>
      </c>
      <c r="G407" t="str">
        <f>SmtRes!K769</f>
        <v>Трудозатраты рабочих</v>
      </c>
      <c r="H407" t="str">
        <f>SmtRes!O769</f>
        <v>чел.-ч.</v>
      </c>
      <c r="I407">
        <f>SmtRes!Y769*Source!I905</f>
        <v>0.309</v>
      </c>
      <c r="J407">
        <f>SmtRes!AO769</f>
        <v>1</v>
      </c>
      <c r="K407">
        <f>SmtRes!AH769</f>
        <v>0</v>
      </c>
      <c r="L407">
        <f>SmtRes!DB769</f>
        <v>0</v>
      </c>
      <c r="M407">
        <f>ROUND(ROUND(L407*Source!I905, 6)*1, 2)</f>
        <v>0</v>
      </c>
      <c r="N407">
        <f>SmtRes!AD769</f>
        <v>0</v>
      </c>
      <c r="O407">
        <f>ROUND(ROUND(L407*Source!I905, 6)*SmtRes!DA769, 2)</f>
        <v>0</v>
      </c>
      <c r="P407">
        <f>SmtRes!AG769</f>
        <v>0</v>
      </c>
      <c r="Q407">
        <f>SmtRes!DC769</f>
        <v>0</v>
      </c>
      <c r="R407">
        <f>ROUND(ROUND(Q407*Source!I905, 6)*1, 2)</f>
        <v>0</v>
      </c>
      <c r="S407">
        <f>SmtRes!AC769</f>
        <v>0</v>
      </c>
      <c r="T407">
        <f>ROUND(ROUND(Q407*Source!I905, 6)*SmtRes!AK769, 2)</f>
        <v>0</v>
      </c>
      <c r="U407">
        <v>1</v>
      </c>
      <c r="Y407">
        <f>SmtRes!X769</f>
        <v>476480486</v>
      </c>
      <c r="Z407">
        <v>1499241640</v>
      </c>
      <c r="AA407">
        <v>1499241640</v>
      </c>
    </row>
    <row r="408" spans="1:27" x14ac:dyDescent="0.2">
      <c r="A408">
        <f>Source!A907</f>
        <v>18</v>
      </c>
      <c r="B408">
        <v>907</v>
      </c>
      <c r="C408">
        <v>3</v>
      </c>
      <c r="D408">
        <f>Source!BI907</f>
        <v>2</v>
      </c>
      <c r="E408">
        <f>Source!FS907</f>
        <v>0</v>
      </c>
      <c r="F408" t="str">
        <f>Source!F907</f>
        <v>1.23-8-755</v>
      </c>
      <c r="G408" t="str">
        <f>Source!G907</f>
        <v>Кабели силовые, с медными жилами, с изоляцией и оболочкой из поливинилхлоридного пластиката пониженной пожарной опасности, не распространяющие горение, с пониженным дымо- и газовыделением и с низкой токсичностью продуктов горения, напряжение 1000 В, марка ВВГнг(А)-LSLTх, число жил и сечение 3х1,5 мм2</v>
      </c>
      <c r="H408" t="str">
        <f>Source!H907</f>
        <v>км</v>
      </c>
      <c r="I408">
        <f>Source!I907</f>
        <v>5.1000000000000004E-3</v>
      </c>
      <c r="J408">
        <v>1</v>
      </c>
      <c r="K408">
        <f>Source!AC907</f>
        <v>9707.41</v>
      </c>
      <c r="M408">
        <f>ROUND(K408*I408, 2)</f>
        <v>49.51</v>
      </c>
      <c r="N408">
        <f>Source!AC907*IF(Source!BC907&lt;&gt; 0, Source!BC907, 1)</f>
        <v>50381.457900000001</v>
      </c>
      <c r="O408">
        <f>ROUND(N408*I408, 2)</f>
        <v>256.95</v>
      </c>
      <c r="P408">
        <f>Source!AE907</f>
        <v>0</v>
      </c>
      <c r="R408">
        <f>ROUND(P408*I408, 2)</f>
        <v>0</v>
      </c>
      <c r="S408">
        <f>Source!AE907*IF(Source!BS907&lt;&gt; 0, Source!BS907, 1)</f>
        <v>0</v>
      </c>
      <c r="T408">
        <f>ROUND(S408*I408, 2)</f>
        <v>0</v>
      </c>
      <c r="U408">
        <v>3</v>
      </c>
      <c r="Y408">
        <f>Source!GF907</f>
        <v>-1303751812</v>
      </c>
      <c r="Z408">
        <v>-1725565044</v>
      </c>
      <c r="AA408">
        <v>883511404</v>
      </c>
    </row>
    <row r="409" spans="1:27" x14ac:dyDescent="0.2">
      <c r="A409">
        <v>20</v>
      </c>
      <c r="B409">
        <v>776</v>
      </c>
      <c r="C409">
        <v>1</v>
      </c>
      <c r="D409">
        <v>0</v>
      </c>
      <c r="E409">
        <f>SmtRes!AV776</f>
        <v>1</v>
      </c>
      <c r="F409" t="str">
        <f>SmtRes!I776</f>
        <v>9999990008</v>
      </c>
      <c r="G409" t="str">
        <f>SmtRes!K776</f>
        <v>Трудозатраты рабочих</v>
      </c>
      <c r="H409" t="str">
        <f>SmtRes!O776</f>
        <v>чел.-ч.</v>
      </c>
      <c r="I409">
        <f>SmtRes!Y776*Source!I909</f>
        <v>1.4214</v>
      </c>
      <c r="J409">
        <f>SmtRes!AO776</f>
        <v>1</v>
      </c>
      <c r="K409">
        <f>SmtRes!AH776</f>
        <v>0</v>
      </c>
      <c r="L409">
        <f>SmtRes!DB776</f>
        <v>0</v>
      </c>
      <c r="M409">
        <f>ROUND(ROUND(L409*Source!I909, 6)*1, 2)</f>
        <v>0</v>
      </c>
      <c r="N409">
        <f>SmtRes!AD776</f>
        <v>0</v>
      </c>
      <c r="O409">
        <f>ROUND(ROUND(L409*Source!I909, 6)*SmtRes!DA776, 2)</f>
        <v>0</v>
      </c>
      <c r="P409">
        <f>SmtRes!AG776</f>
        <v>0</v>
      </c>
      <c r="Q409">
        <f>SmtRes!DC776</f>
        <v>0</v>
      </c>
      <c r="R409">
        <f>ROUND(ROUND(Q409*Source!I909, 6)*1, 2)</f>
        <v>0</v>
      </c>
      <c r="S409">
        <f>SmtRes!AC776</f>
        <v>0</v>
      </c>
      <c r="T409">
        <f>ROUND(ROUND(Q409*Source!I909, 6)*SmtRes!AK776, 2)</f>
        <v>0</v>
      </c>
      <c r="U409">
        <v>1</v>
      </c>
      <c r="Y409">
        <f>SmtRes!X776</f>
        <v>476480486</v>
      </c>
      <c r="Z409">
        <v>1499241640</v>
      </c>
      <c r="AA409">
        <v>1499241640</v>
      </c>
    </row>
    <row r="410" spans="1:27" x14ac:dyDescent="0.2">
      <c r="A410">
        <f>Source!A911</f>
        <v>18</v>
      </c>
      <c r="B410">
        <v>911</v>
      </c>
      <c r="C410">
        <v>3</v>
      </c>
      <c r="D410">
        <f>Source!BI911</f>
        <v>2</v>
      </c>
      <c r="E410">
        <f>Source!FS911</f>
        <v>0</v>
      </c>
      <c r="F410" t="str">
        <f>Source!F911</f>
        <v>Цена поставщика</v>
      </c>
      <c r="G410" t="str">
        <f>Source!G911</f>
        <v>ВВГнг(А)-LSLTx 2х1,5 -1 кВ (ГОСТ)</v>
      </c>
      <c r="H410" t="str">
        <f>Source!H911</f>
        <v>м</v>
      </c>
      <c r="I410">
        <f>Source!I911</f>
        <v>3.06</v>
      </c>
      <c r="J410">
        <v>1</v>
      </c>
      <c r="K410">
        <f>Source!AC911</f>
        <v>5.41</v>
      </c>
      <c r="M410">
        <f>ROUND(K410*I410, 2)</f>
        <v>16.55</v>
      </c>
      <c r="N410">
        <f>Source!AC911*IF(Source!BC911&lt;&gt; 0, Source!BC911, 1)</f>
        <v>46.796500000000002</v>
      </c>
      <c r="O410">
        <f>ROUND(N410*I410, 2)</f>
        <v>143.19999999999999</v>
      </c>
      <c r="P410">
        <f>Source!AE911</f>
        <v>0</v>
      </c>
      <c r="R410">
        <f>ROUND(P410*I410, 2)</f>
        <v>0</v>
      </c>
      <c r="S410">
        <f>Source!AE911*IF(Source!BS911&lt;&gt; 0, Source!BS911, 1)</f>
        <v>0</v>
      </c>
      <c r="T410">
        <f>ROUND(S410*I410, 2)</f>
        <v>0</v>
      </c>
      <c r="U410">
        <v>3</v>
      </c>
      <c r="Y410">
        <f>Source!GF911</f>
        <v>1541029887</v>
      </c>
      <c r="Z410">
        <v>1980688498</v>
      </c>
      <c r="AA410">
        <v>1560220454</v>
      </c>
    </row>
    <row r="411" spans="1:27" x14ac:dyDescent="0.2">
      <c r="A411">
        <f>Source!A913</f>
        <v>18</v>
      </c>
      <c r="B411">
        <v>913</v>
      </c>
      <c r="C411">
        <v>3</v>
      </c>
      <c r="D411">
        <f>Source!BI913</f>
        <v>2</v>
      </c>
      <c r="E411">
        <f>Source!FS913</f>
        <v>0</v>
      </c>
      <c r="F411" t="str">
        <f>Source!F913</f>
        <v>1.23-8-770</v>
      </c>
      <c r="G411" t="str">
        <f>Source!G913</f>
        <v>Кабели силовые с медными жилами, огнестойкие, с изоляцией и оболочкой из поливинилхлоридного пластиката пониженной пожарной опасности, не распространяющие горение, с пониженным дымо- и газовыделением и с низкой токсичностью продуктов горения, напряжение 1000 В, марка ВВГнг(А)-FRLSLTх, число жил и сечение 3х1,5 мм2</v>
      </c>
      <c r="H411" t="str">
        <f>Source!H913</f>
        <v>км</v>
      </c>
      <c r="I411">
        <f>Source!I913</f>
        <v>3.5700000000000003E-2</v>
      </c>
      <c r="J411">
        <v>1</v>
      </c>
      <c r="K411">
        <f>Source!AC913</f>
        <v>19722.349999999999</v>
      </c>
      <c r="M411">
        <f>ROUND(K411*I411, 2)</f>
        <v>704.09</v>
      </c>
      <c r="N411">
        <f>Source!AC913*IF(Source!BC913&lt;&gt; 0, Source!BC913, 1)</f>
        <v>57983.708999999995</v>
      </c>
      <c r="O411">
        <f>ROUND(N411*I411, 2)</f>
        <v>2070.02</v>
      </c>
      <c r="P411">
        <f>Source!AE913</f>
        <v>0</v>
      </c>
      <c r="R411">
        <f>ROUND(P411*I411, 2)</f>
        <v>0</v>
      </c>
      <c r="S411">
        <f>Source!AE913*IF(Source!BS913&lt;&gt; 0, Source!BS913, 1)</f>
        <v>0</v>
      </c>
      <c r="T411">
        <f>ROUND(S411*I411, 2)</f>
        <v>0</v>
      </c>
      <c r="U411">
        <v>3</v>
      </c>
      <c r="Y411">
        <f>Source!GF913</f>
        <v>-198952881</v>
      </c>
      <c r="Z411">
        <v>-1666164742</v>
      </c>
      <c r="AA411">
        <v>774873852</v>
      </c>
    </row>
    <row r="412" spans="1:27" x14ac:dyDescent="0.2">
      <c r="A412">
        <f>Source!A915</f>
        <v>18</v>
      </c>
      <c r="B412">
        <v>915</v>
      </c>
      <c r="C412">
        <v>3</v>
      </c>
      <c r="D412">
        <f>Source!BI915</f>
        <v>2</v>
      </c>
      <c r="E412">
        <f>Source!FS915</f>
        <v>0</v>
      </c>
      <c r="F412" t="str">
        <f>Source!F915</f>
        <v>1.23-8-769</v>
      </c>
      <c r="G412" t="str">
        <f>Source!G915</f>
        <v>Кабели силовые с медными жилами, огнестойкие, с изоляцией и оболочкой из поливинилхлоридного пластиката пониженной пожарной опасности, не распространяющие горение, с пониженным дымо- и газовыделением и с низкой токсичностью продуктов горения, напряжение 1000 В, марка ВВГнг(А)-FRLSLTх, число жил и сечение 2х1,5 мм2</v>
      </c>
      <c r="H412" t="str">
        <f>Source!H915</f>
        <v>км</v>
      </c>
      <c r="I412">
        <f>Source!I915</f>
        <v>3.0599999999999998E-3</v>
      </c>
      <c r="J412">
        <v>1</v>
      </c>
      <c r="K412">
        <f>Source!AC915</f>
        <v>12919.08</v>
      </c>
      <c r="M412">
        <f>ROUND(K412*I412, 2)</f>
        <v>39.53</v>
      </c>
      <c r="N412">
        <f>Source!AC915*IF(Source!BC915&lt;&gt; 0, Source!BC915, 1)</f>
        <v>43795.681199999999</v>
      </c>
      <c r="O412">
        <f>ROUND(N412*I412, 2)</f>
        <v>134.01</v>
      </c>
      <c r="P412">
        <f>Source!AE915</f>
        <v>0</v>
      </c>
      <c r="R412">
        <f>ROUND(P412*I412, 2)</f>
        <v>0</v>
      </c>
      <c r="S412">
        <f>Source!AE915*IF(Source!BS915&lt;&gt; 0, Source!BS915, 1)</f>
        <v>0</v>
      </c>
      <c r="T412">
        <f>ROUND(S412*I412, 2)</f>
        <v>0</v>
      </c>
      <c r="U412">
        <v>3</v>
      </c>
      <c r="Y412">
        <f>Source!GF915</f>
        <v>-1539127029</v>
      </c>
      <c r="Z412">
        <v>1610670968</v>
      </c>
      <c r="AA412">
        <v>338196484</v>
      </c>
    </row>
    <row r="413" spans="1:27" x14ac:dyDescent="0.2">
      <c r="A413">
        <f>Source!A917</f>
        <v>18</v>
      </c>
      <c r="B413">
        <v>917</v>
      </c>
      <c r="C413">
        <v>3</v>
      </c>
      <c r="D413">
        <f>Source!BI917</f>
        <v>2</v>
      </c>
      <c r="E413">
        <f>Source!FS917</f>
        <v>0</v>
      </c>
      <c r="F413" t="str">
        <f>Source!F917</f>
        <v>Цена поставщика</v>
      </c>
      <c r="G413" t="str">
        <f>Source!G917</f>
        <v>ВВГнг(А)-FRLSLTx 4* 1,5 ГОСТ</v>
      </c>
      <c r="H413" t="str">
        <f>Source!H917</f>
        <v>м</v>
      </c>
      <c r="I413">
        <f>Source!I917</f>
        <v>5.0999999999999996</v>
      </c>
      <c r="J413">
        <v>1</v>
      </c>
      <c r="K413">
        <f>Source!AC917</f>
        <v>8.74</v>
      </c>
      <c r="M413">
        <f>ROUND(K413*I413, 2)</f>
        <v>44.57</v>
      </c>
      <c r="N413">
        <f>Source!AC917*IF(Source!BC917&lt;&gt; 0, Source!BC917, 1)</f>
        <v>75.600999999999999</v>
      </c>
      <c r="O413">
        <f>ROUND(N413*I413, 2)</f>
        <v>385.57</v>
      </c>
      <c r="P413">
        <f>Source!AE917</f>
        <v>0</v>
      </c>
      <c r="R413">
        <f>ROUND(P413*I413, 2)</f>
        <v>0</v>
      </c>
      <c r="S413">
        <f>Source!AE917*IF(Source!BS917&lt;&gt; 0, Source!BS917, 1)</f>
        <v>0</v>
      </c>
      <c r="T413">
        <f>ROUND(S413*I413, 2)</f>
        <v>0</v>
      </c>
      <c r="U413">
        <v>3</v>
      </c>
      <c r="Y413">
        <f>Source!GF917</f>
        <v>321724379</v>
      </c>
      <c r="Z413">
        <v>-1405368609</v>
      </c>
      <c r="AA413">
        <v>-1545833074</v>
      </c>
    </row>
    <row r="414" spans="1:27" x14ac:dyDescent="0.2">
      <c r="A414">
        <v>20</v>
      </c>
      <c r="B414">
        <v>783</v>
      </c>
      <c r="C414">
        <v>1</v>
      </c>
      <c r="D414">
        <v>0</v>
      </c>
      <c r="E414">
        <f>SmtRes!AV783</f>
        <v>1</v>
      </c>
      <c r="F414" t="str">
        <f>SmtRes!I783</f>
        <v>9999990008</v>
      </c>
      <c r="G414" t="str">
        <f>SmtRes!K783</f>
        <v>Трудозатраты рабочих</v>
      </c>
      <c r="H414" t="str">
        <f>SmtRes!O783</f>
        <v>чел.-ч.</v>
      </c>
      <c r="I414">
        <f>SmtRes!Y783*Source!I919</f>
        <v>3.2960000000000003</v>
      </c>
      <c r="J414">
        <f>SmtRes!AO783</f>
        <v>1</v>
      </c>
      <c r="K414">
        <f>SmtRes!AH783</f>
        <v>0</v>
      </c>
      <c r="L414">
        <f>SmtRes!DB783</f>
        <v>0</v>
      </c>
      <c r="M414">
        <f>ROUND(ROUND(L414*Source!I919, 6)*1, 2)</f>
        <v>0</v>
      </c>
      <c r="N414">
        <f>SmtRes!AD783</f>
        <v>0</v>
      </c>
      <c r="O414">
        <f>ROUND(ROUND(L414*Source!I919, 6)*SmtRes!DA783, 2)</f>
        <v>0</v>
      </c>
      <c r="P414">
        <f>SmtRes!AG783</f>
        <v>0</v>
      </c>
      <c r="Q414">
        <f>SmtRes!DC783</f>
        <v>0</v>
      </c>
      <c r="R414">
        <f>ROUND(ROUND(Q414*Source!I919, 6)*1, 2)</f>
        <v>0</v>
      </c>
      <c r="S414">
        <f>SmtRes!AC783</f>
        <v>0</v>
      </c>
      <c r="T414">
        <f>ROUND(ROUND(Q414*Source!I919, 6)*SmtRes!AK783, 2)</f>
        <v>0</v>
      </c>
      <c r="U414">
        <v>1</v>
      </c>
      <c r="Y414">
        <f>SmtRes!X783</f>
        <v>476480486</v>
      </c>
      <c r="Z414">
        <v>1499241640</v>
      </c>
      <c r="AA414">
        <v>1499241640</v>
      </c>
    </row>
    <row r="415" spans="1:27" x14ac:dyDescent="0.2">
      <c r="A415">
        <f>Source!A921</f>
        <v>18</v>
      </c>
      <c r="B415">
        <v>921</v>
      </c>
      <c r="C415">
        <v>3</v>
      </c>
      <c r="D415">
        <f>Source!BI921</f>
        <v>2</v>
      </c>
      <c r="E415">
        <f>Source!FS921</f>
        <v>0</v>
      </c>
      <c r="F415" t="str">
        <f>Source!F921</f>
        <v>1.23-8-756</v>
      </c>
      <c r="G415" t="str">
        <f>Source!G921</f>
        <v>Кабели силовые, с медными жилами, с изоляцией и оболочкой из поливинилхлоридного пластиката пониженной пожарной опасности, не распространяющие горение, с пониженным дымо- и газовыделением и с низкой токсичностью продуктов горения, напряжение 1000 В, марка ВВГнг(А)-LSLTх, число жил и сечение 3х2,5 мм2</v>
      </c>
      <c r="H415" t="str">
        <f>Source!H921</f>
        <v>км</v>
      </c>
      <c r="I415">
        <f>Source!I921</f>
        <v>8.1600000000000006E-2</v>
      </c>
      <c r="J415">
        <v>1</v>
      </c>
      <c r="K415">
        <f>Source!AC921</f>
        <v>14788.24</v>
      </c>
      <c r="M415">
        <f>ROUND(K415*I415, 2)</f>
        <v>1206.72</v>
      </c>
      <c r="N415">
        <f>Source!AC921*IF(Source!BC921&lt;&gt; 0, Source!BC921, 1)</f>
        <v>73793.317599999995</v>
      </c>
      <c r="O415">
        <f>ROUND(N415*I415, 2)</f>
        <v>6021.53</v>
      </c>
      <c r="P415">
        <f>Source!AE921</f>
        <v>0</v>
      </c>
      <c r="R415">
        <f>ROUND(P415*I415, 2)</f>
        <v>0</v>
      </c>
      <c r="S415">
        <f>Source!AE921*IF(Source!BS921&lt;&gt; 0, Source!BS921, 1)</f>
        <v>0</v>
      </c>
      <c r="T415">
        <f>ROUND(S415*I415, 2)</f>
        <v>0</v>
      </c>
      <c r="U415">
        <v>3</v>
      </c>
      <c r="Y415">
        <f>Source!GF921</f>
        <v>-1928631878</v>
      </c>
      <c r="Z415">
        <v>-1240191005</v>
      </c>
      <c r="AA415">
        <v>-614576313</v>
      </c>
    </row>
    <row r="416" spans="1:27" x14ac:dyDescent="0.2">
      <c r="A416">
        <v>20</v>
      </c>
      <c r="B416">
        <v>787</v>
      </c>
      <c r="C416">
        <v>1</v>
      </c>
      <c r="D416">
        <v>0</v>
      </c>
      <c r="E416">
        <f>SmtRes!AV787</f>
        <v>1</v>
      </c>
      <c r="F416" t="str">
        <f>SmtRes!I787</f>
        <v>9999990008</v>
      </c>
      <c r="G416" t="str">
        <f>SmtRes!K787</f>
        <v>Трудозатраты рабочих</v>
      </c>
      <c r="H416" t="str">
        <f>SmtRes!O787</f>
        <v>чел.-ч.</v>
      </c>
      <c r="I416">
        <f>SmtRes!Y787*Source!I923</f>
        <v>0.74459999999999993</v>
      </c>
      <c r="J416">
        <f>SmtRes!AO787</f>
        <v>1</v>
      </c>
      <c r="K416">
        <f>SmtRes!AH787</f>
        <v>0</v>
      </c>
      <c r="L416">
        <f>SmtRes!DB787</f>
        <v>0</v>
      </c>
      <c r="M416">
        <f>ROUND(ROUND(L416*Source!I923, 6)*1, 2)</f>
        <v>0</v>
      </c>
      <c r="N416">
        <f>SmtRes!AD787</f>
        <v>0</v>
      </c>
      <c r="O416">
        <f>ROUND(ROUND(L416*Source!I923, 6)*SmtRes!DA787, 2)</f>
        <v>0</v>
      </c>
      <c r="P416">
        <f>SmtRes!AG787</f>
        <v>0</v>
      </c>
      <c r="Q416">
        <f>SmtRes!DC787</f>
        <v>0</v>
      </c>
      <c r="R416">
        <f>ROUND(ROUND(Q416*Source!I923, 6)*1, 2)</f>
        <v>0</v>
      </c>
      <c r="S416">
        <f>SmtRes!AC787</f>
        <v>0</v>
      </c>
      <c r="T416">
        <f>ROUND(ROUND(Q416*Source!I923, 6)*SmtRes!AK787, 2)</f>
        <v>0</v>
      </c>
      <c r="U416">
        <v>1</v>
      </c>
      <c r="Y416">
        <f>SmtRes!X787</f>
        <v>476480486</v>
      </c>
      <c r="Z416">
        <v>1499241640</v>
      </c>
      <c r="AA416">
        <v>1499241640</v>
      </c>
    </row>
    <row r="417" spans="1:27" x14ac:dyDescent="0.2">
      <c r="A417">
        <f>Source!A925</f>
        <v>18</v>
      </c>
      <c r="B417">
        <v>925</v>
      </c>
      <c r="C417">
        <v>3</v>
      </c>
      <c r="D417">
        <f>Source!BI925</f>
        <v>2</v>
      </c>
      <c r="E417">
        <f>Source!FS925</f>
        <v>0</v>
      </c>
      <c r="F417" t="str">
        <f>Source!F925</f>
        <v>1.21-5-382</v>
      </c>
      <c r="G417" t="str">
        <f>Source!G925</f>
        <v>Розетка штепсельная, двухместная открытой установки, 10 А, 250 В, тип РА 10-386</v>
      </c>
      <c r="H417" t="str">
        <f>Source!H925</f>
        <v>шт.</v>
      </c>
      <c r="I417">
        <f>Source!I925</f>
        <v>2</v>
      </c>
      <c r="J417">
        <v>1</v>
      </c>
      <c r="K417">
        <f>Source!AC925</f>
        <v>6.96</v>
      </c>
      <c r="M417">
        <f>ROUND(K417*I417, 2)</f>
        <v>13.92</v>
      </c>
      <c r="N417">
        <f>Source!AC925*IF(Source!BC925&lt;&gt; 0, Source!BC925, 1)</f>
        <v>79.83120000000001</v>
      </c>
      <c r="O417">
        <f>ROUND(N417*I417, 2)</f>
        <v>159.66</v>
      </c>
      <c r="P417">
        <f>Source!AE925</f>
        <v>0</v>
      </c>
      <c r="R417">
        <f>ROUND(P417*I417, 2)</f>
        <v>0</v>
      </c>
      <c r="S417">
        <f>Source!AE925*IF(Source!BS925&lt;&gt; 0, Source!BS925, 1)</f>
        <v>0</v>
      </c>
      <c r="T417">
        <f>ROUND(S417*I417, 2)</f>
        <v>0</v>
      </c>
      <c r="U417">
        <v>3</v>
      </c>
      <c r="Y417">
        <f>Source!GF925</f>
        <v>918488354</v>
      </c>
      <c r="Z417">
        <v>930643356</v>
      </c>
      <c r="AA417">
        <v>1511234722</v>
      </c>
    </row>
    <row r="418" spans="1:27" x14ac:dyDescent="0.2">
      <c r="A418">
        <v>20</v>
      </c>
      <c r="B418">
        <v>791</v>
      </c>
      <c r="C418">
        <v>1</v>
      </c>
      <c r="D418">
        <v>0</v>
      </c>
      <c r="E418">
        <f>SmtRes!AV791</f>
        <v>1</v>
      </c>
      <c r="F418" t="str">
        <f>SmtRes!I791</f>
        <v>9999990008</v>
      </c>
      <c r="G418" t="str">
        <f>SmtRes!K791</f>
        <v>Трудозатраты рабочих</v>
      </c>
      <c r="H418" t="str">
        <f>SmtRes!O791</f>
        <v>чел.-ч.</v>
      </c>
      <c r="I418">
        <f>SmtRes!Y791*Source!I927</f>
        <v>0.68200000000000005</v>
      </c>
      <c r="J418">
        <f>SmtRes!AO791</f>
        <v>1</v>
      </c>
      <c r="K418">
        <f>SmtRes!AH791</f>
        <v>0</v>
      </c>
      <c r="L418">
        <f>SmtRes!DB791</f>
        <v>0</v>
      </c>
      <c r="M418">
        <f>ROUND(ROUND(L418*Source!I927, 6)*1, 2)</f>
        <v>0</v>
      </c>
      <c r="N418">
        <f>SmtRes!AD791</f>
        <v>0</v>
      </c>
      <c r="O418">
        <f>ROUND(ROUND(L418*Source!I927, 6)*SmtRes!DA791, 2)</f>
        <v>0</v>
      </c>
      <c r="P418">
        <f>SmtRes!AG791</f>
        <v>0</v>
      </c>
      <c r="Q418">
        <f>SmtRes!DC791</f>
        <v>0</v>
      </c>
      <c r="R418">
        <f>ROUND(ROUND(Q418*Source!I927, 6)*1, 2)</f>
        <v>0</v>
      </c>
      <c r="S418">
        <f>SmtRes!AC791</f>
        <v>0</v>
      </c>
      <c r="T418">
        <f>ROUND(ROUND(Q418*Source!I927, 6)*SmtRes!AK791, 2)</f>
        <v>0</v>
      </c>
      <c r="U418">
        <v>1</v>
      </c>
      <c r="Y418">
        <f>SmtRes!X791</f>
        <v>476480486</v>
      </c>
      <c r="Z418">
        <v>1499241640</v>
      </c>
      <c r="AA418">
        <v>1499241640</v>
      </c>
    </row>
    <row r="419" spans="1:27" x14ac:dyDescent="0.2">
      <c r="A419">
        <f>Source!A929</f>
        <v>18</v>
      </c>
      <c r="B419">
        <v>929</v>
      </c>
      <c r="C419">
        <v>3</v>
      </c>
      <c r="D419">
        <f>Source!BI929</f>
        <v>2</v>
      </c>
      <c r="E419">
        <f>Source!FS929</f>
        <v>0</v>
      </c>
      <c r="F419" t="str">
        <f>Source!F929</f>
        <v>1.21-5-1060</v>
      </c>
      <c r="G419" t="str">
        <f>Source!G929</f>
        <v>Выключатель, напряжение 250 В, сила тока 10 А, открытой установки, степень защиты IP44, одноклавишный, тип ВА10-041</v>
      </c>
      <c r="H419" t="str">
        <f>Source!H929</f>
        <v>шт.</v>
      </c>
      <c r="I419">
        <f>Source!I929</f>
        <v>2</v>
      </c>
      <c r="J419">
        <v>1</v>
      </c>
      <c r="K419">
        <f>Source!AC929</f>
        <v>31.42</v>
      </c>
      <c r="M419">
        <f>ROUND(K419*I419, 2)</f>
        <v>62.84</v>
      </c>
      <c r="N419">
        <f>Source!AC929*IF(Source!BC929&lt;&gt; 0, Source!BC929, 1)</f>
        <v>175.3236</v>
      </c>
      <c r="O419">
        <f>ROUND(N419*I419, 2)</f>
        <v>350.65</v>
      </c>
      <c r="P419">
        <f>Source!AE929</f>
        <v>0</v>
      </c>
      <c r="R419">
        <f>ROUND(P419*I419, 2)</f>
        <v>0</v>
      </c>
      <c r="S419">
        <f>Source!AE929*IF(Source!BS929&lt;&gt; 0, Source!BS929, 1)</f>
        <v>0</v>
      </c>
      <c r="T419">
        <f>ROUND(S419*I419, 2)</f>
        <v>0</v>
      </c>
      <c r="U419">
        <v>3</v>
      </c>
      <c r="Y419">
        <f>Source!GF929</f>
        <v>308295664</v>
      </c>
      <c r="Z419">
        <v>-2026387691</v>
      </c>
      <c r="AA419">
        <v>680806381</v>
      </c>
    </row>
    <row r="420" spans="1:27" x14ac:dyDescent="0.2">
      <c r="A420">
        <f>Source!A991</f>
        <v>3</v>
      </c>
      <c r="B420">
        <v>991</v>
      </c>
      <c r="G420" t="str">
        <f>Source!G991</f>
        <v>Система водоснабжения и водоотведения</v>
      </c>
    </row>
    <row r="421" spans="1:27" x14ac:dyDescent="0.2">
      <c r="A421">
        <f>Source!A995</f>
        <v>4</v>
      </c>
      <c r="B421">
        <v>995</v>
      </c>
      <c r="G421" t="str">
        <f>Source!G995</f>
        <v>Демонтажные работы</v>
      </c>
    </row>
    <row r="422" spans="1:27" x14ac:dyDescent="0.2">
      <c r="A422">
        <v>20</v>
      </c>
      <c r="B422">
        <v>796</v>
      </c>
      <c r="C422">
        <v>3</v>
      </c>
      <c r="D422">
        <v>0</v>
      </c>
      <c r="E422">
        <f>SmtRes!AV796</f>
        <v>0</v>
      </c>
      <c r="F422" t="str">
        <f>SmtRes!I796</f>
        <v>9999990001</v>
      </c>
      <c r="G422" t="str">
        <f>SmtRes!K796</f>
        <v>Масса мусора</v>
      </c>
      <c r="H422" t="str">
        <f>SmtRes!O796</f>
        <v>т</v>
      </c>
      <c r="I422">
        <f>SmtRes!Y796*Source!I1000</f>
        <v>1.66E-2</v>
      </c>
      <c r="J422">
        <f>SmtRes!AO796</f>
        <v>1</v>
      </c>
      <c r="K422">
        <f>SmtRes!AE796</f>
        <v>0</v>
      </c>
      <c r="L422">
        <f>SmtRes!DB796</f>
        <v>0</v>
      </c>
      <c r="M422">
        <f>ROUND(ROUND(L422*Source!I1000, 6)*1, 2)</f>
        <v>0</v>
      </c>
      <c r="N422">
        <f>SmtRes!AA796</f>
        <v>0</v>
      </c>
      <c r="O422">
        <f>ROUND(ROUND(L422*Source!I1000, 6)*SmtRes!DA796, 2)</f>
        <v>0</v>
      </c>
      <c r="P422">
        <f>SmtRes!AG796</f>
        <v>0</v>
      </c>
      <c r="Q422">
        <f>SmtRes!DC796</f>
        <v>0</v>
      </c>
      <c r="R422">
        <f>ROUND(ROUND(Q422*Source!I1000, 6)*1, 2)</f>
        <v>0</v>
      </c>
      <c r="S422">
        <f>SmtRes!AC796</f>
        <v>0</v>
      </c>
      <c r="T422">
        <f>ROUND(ROUND(Q422*Source!I1000, 6)*SmtRes!AK796, 2)</f>
        <v>0</v>
      </c>
      <c r="U422">
        <v>3</v>
      </c>
      <c r="Y422">
        <f>SmtRes!X796</f>
        <v>1489638031</v>
      </c>
      <c r="Z422">
        <v>1745548096</v>
      </c>
      <c r="AA422">
        <v>1745548096</v>
      </c>
    </row>
    <row r="423" spans="1:27" x14ac:dyDescent="0.2">
      <c r="A423">
        <v>20</v>
      </c>
      <c r="B423">
        <v>795</v>
      </c>
      <c r="C423">
        <v>1</v>
      </c>
      <c r="D423">
        <v>0</v>
      </c>
      <c r="E423">
        <f>SmtRes!AV795</f>
        <v>1</v>
      </c>
      <c r="F423" t="str">
        <f>SmtRes!I795</f>
        <v>9999990008</v>
      </c>
      <c r="G423" t="str">
        <f>SmtRes!K795</f>
        <v>Трудозатраты рабочих</v>
      </c>
      <c r="H423" t="str">
        <f>SmtRes!O795</f>
        <v>чел.-ч.</v>
      </c>
      <c r="I423">
        <f>SmtRes!Y795*Source!I1000</f>
        <v>0.60799999999999998</v>
      </c>
      <c r="J423">
        <f>SmtRes!AO795</f>
        <v>1</v>
      </c>
      <c r="K423">
        <f>SmtRes!AH795</f>
        <v>0</v>
      </c>
      <c r="L423">
        <f>SmtRes!DB795</f>
        <v>0</v>
      </c>
      <c r="M423">
        <f>ROUND(ROUND(L423*Source!I1000, 6)*1, 2)</f>
        <v>0</v>
      </c>
      <c r="N423">
        <f>SmtRes!AD795</f>
        <v>0</v>
      </c>
      <c r="O423">
        <f>ROUND(ROUND(L423*Source!I1000, 6)*SmtRes!DA795, 2)</f>
        <v>0</v>
      </c>
      <c r="P423">
        <f>SmtRes!AG795</f>
        <v>0</v>
      </c>
      <c r="Q423">
        <f>SmtRes!DC795</f>
        <v>0</v>
      </c>
      <c r="R423">
        <f>ROUND(ROUND(Q423*Source!I1000, 6)*1, 2)</f>
        <v>0</v>
      </c>
      <c r="S423">
        <f>SmtRes!AC795</f>
        <v>0</v>
      </c>
      <c r="T423">
        <f>ROUND(ROUND(Q423*Source!I1000, 6)*SmtRes!AK795, 2)</f>
        <v>0</v>
      </c>
      <c r="U423">
        <v>1</v>
      </c>
      <c r="Y423">
        <f>SmtRes!X795</f>
        <v>476480486</v>
      </c>
      <c r="Z423">
        <v>1499241640</v>
      </c>
      <c r="AA423">
        <v>1499241640</v>
      </c>
    </row>
    <row r="424" spans="1:27" x14ac:dyDescent="0.2">
      <c r="A424">
        <v>20</v>
      </c>
      <c r="B424">
        <v>800</v>
      </c>
      <c r="C424">
        <v>3</v>
      </c>
      <c r="D424">
        <v>0</v>
      </c>
      <c r="E424">
        <f>SmtRes!AV800</f>
        <v>0</v>
      </c>
      <c r="F424" t="str">
        <f>SmtRes!I800</f>
        <v>9999990001</v>
      </c>
      <c r="G424" t="str">
        <f>SmtRes!K800</f>
        <v>Масса мусора</v>
      </c>
      <c r="H424" t="str">
        <f>SmtRes!O800</f>
        <v>т</v>
      </c>
      <c r="I424">
        <f>SmtRes!Y800*Source!I1002</f>
        <v>3.2300000000000002E-2</v>
      </c>
      <c r="J424">
        <f>SmtRes!AO800</f>
        <v>1</v>
      </c>
      <c r="K424">
        <f>SmtRes!AE800</f>
        <v>0</v>
      </c>
      <c r="L424">
        <f>SmtRes!DB800</f>
        <v>0</v>
      </c>
      <c r="M424">
        <f>ROUND(ROUND(L424*Source!I1002, 6)*1, 2)</f>
        <v>0</v>
      </c>
      <c r="N424">
        <f>SmtRes!AA800</f>
        <v>0</v>
      </c>
      <c r="O424">
        <f>ROUND(ROUND(L424*Source!I1002, 6)*SmtRes!DA800, 2)</f>
        <v>0</v>
      </c>
      <c r="P424">
        <f>SmtRes!AG800</f>
        <v>0</v>
      </c>
      <c r="Q424">
        <f>SmtRes!DC800</f>
        <v>0</v>
      </c>
      <c r="R424">
        <f>ROUND(ROUND(Q424*Source!I1002, 6)*1, 2)</f>
        <v>0</v>
      </c>
      <c r="S424">
        <f>SmtRes!AC800</f>
        <v>0</v>
      </c>
      <c r="T424">
        <f>ROUND(ROUND(Q424*Source!I1002, 6)*SmtRes!AK800, 2)</f>
        <v>0</v>
      </c>
      <c r="U424">
        <v>3</v>
      </c>
      <c r="Y424">
        <f>SmtRes!X800</f>
        <v>1489638031</v>
      </c>
      <c r="Z424">
        <v>1745548096</v>
      </c>
      <c r="AA424">
        <v>1745548096</v>
      </c>
    </row>
    <row r="425" spans="1:27" x14ac:dyDescent="0.2">
      <c r="A425">
        <v>20</v>
      </c>
      <c r="B425">
        <v>799</v>
      </c>
      <c r="C425">
        <v>1</v>
      </c>
      <c r="D425">
        <v>0</v>
      </c>
      <c r="E425">
        <f>SmtRes!AV799</f>
        <v>1</v>
      </c>
      <c r="F425" t="str">
        <f>SmtRes!I799</f>
        <v>9999990008</v>
      </c>
      <c r="G425" t="str">
        <f>SmtRes!K799</f>
        <v>Трудозатраты рабочих</v>
      </c>
      <c r="H425" t="str">
        <f>SmtRes!O799</f>
        <v>чел.-ч.</v>
      </c>
      <c r="I425">
        <f>SmtRes!Y799*Source!I1002</f>
        <v>1.43</v>
      </c>
      <c r="J425">
        <f>SmtRes!AO799</f>
        <v>1</v>
      </c>
      <c r="K425">
        <f>SmtRes!AH799</f>
        <v>0</v>
      </c>
      <c r="L425">
        <f>SmtRes!DB799</f>
        <v>0</v>
      </c>
      <c r="M425">
        <f>ROUND(ROUND(L425*Source!I1002, 6)*1, 2)</f>
        <v>0</v>
      </c>
      <c r="N425">
        <f>SmtRes!AD799</f>
        <v>0</v>
      </c>
      <c r="O425">
        <f>ROUND(ROUND(L425*Source!I1002, 6)*SmtRes!DA799, 2)</f>
        <v>0</v>
      </c>
      <c r="P425">
        <f>SmtRes!AG799</f>
        <v>0</v>
      </c>
      <c r="Q425">
        <f>SmtRes!DC799</f>
        <v>0</v>
      </c>
      <c r="R425">
        <f>ROUND(ROUND(Q425*Source!I1002, 6)*1, 2)</f>
        <v>0</v>
      </c>
      <c r="S425">
        <f>SmtRes!AC799</f>
        <v>0</v>
      </c>
      <c r="T425">
        <f>ROUND(ROUND(Q425*Source!I1002, 6)*SmtRes!AK799, 2)</f>
        <v>0</v>
      </c>
      <c r="U425">
        <v>1</v>
      </c>
      <c r="Y425">
        <f>SmtRes!X799</f>
        <v>476480486</v>
      </c>
      <c r="Z425">
        <v>1499241640</v>
      </c>
      <c r="AA425">
        <v>1499241640</v>
      </c>
    </row>
    <row r="426" spans="1:27" x14ac:dyDescent="0.2">
      <c r="A426">
        <v>20</v>
      </c>
      <c r="B426">
        <v>824</v>
      </c>
      <c r="C426">
        <v>3</v>
      </c>
      <c r="D426">
        <v>0</v>
      </c>
      <c r="E426">
        <f>SmtRes!AV824</f>
        <v>0</v>
      </c>
      <c r="F426" t="str">
        <f>SmtRes!I824</f>
        <v>9999990006</v>
      </c>
      <c r="G426" t="str">
        <f>SmtRes!K824</f>
        <v>Стоимость прочих материалов (ЭСН)</v>
      </c>
      <c r="H426" t="str">
        <f>SmtRes!O824</f>
        <v>руб.</v>
      </c>
      <c r="I426">
        <f>SmtRes!Y824*Source!I1004</f>
        <v>0</v>
      </c>
      <c r="J426">
        <f>SmtRes!AO824</f>
        <v>1</v>
      </c>
      <c r="K426">
        <f>SmtRes!AE824</f>
        <v>1</v>
      </c>
      <c r="L426">
        <f>SmtRes!DB824</f>
        <v>0</v>
      </c>
      <c r="M426">
        <f>ROUND(ROUND(L426*Source!I1004, 6)*1, 2)</f>
        <v>0</v>
      </c>
      <c r="N426">
        <f>SmtRes!AA824</f>
        <v>8.65</v>
      </c>
      <c r="O426">
        <f>ROUND(ROUND(L426*Source!I1004, 6)*SmtRes!DA824, 2)</f>
        <v>0</v>
      </c>
      <c r="P426">
        <f>SmtRes!AG824</f>
        <v>0</v>
      </c>
      <c r="Q426">
        <f>SmtRes!DC824</f>
        <v>0</v>
      </c>
      <c r="R426">
        <f>ROUND(ROUND(Q426*Source!I1004, 6)*1, 2)</f>
        <v>0</v>
      </c>
      <c r="S426">
        <f>SmtRes!AC824</f>
        <v>0</v>
      </c>
      <c r="T426">
        <f>ROUND(ROUND(Q426*Source!I1004, 6)*SmtRes!AK824, 2)</f>
        <v>0</v>
      </c>
      <c r="U426">
        <v>3</v>
      </c>
      <c r="Y426">
        <f>SmtRes!X824</f>
        <v>-94250534</v>
      </c>
      <c r="Z426">
        <v>-1771809642</v>
      </c>
      <c r="AA426">
        <v>19367311</v>
      </c>
    </row>
    <row r="427" spans="1:27" x14ac:dyDescent="0.2">
      <c r="A427">
        <v>20</v>
      </c>
      <c r="B427">
        <v>823</v>
      </c>
      <c r="C427">
        <v>3</v>
      </c>
      <c r="D427">
        <v>0</v>
      </c>
      <c r="E427">
        <f>SmtRes!AV823</f>
        <v>0</v>
      </c>
      <c r="F427" t="str">
        <f>SmtRes!I823</f>
        <v>1.1-1-399</v>
      </c>
      <c r="G427" t="str">
        <f>SmtRes!K823</f>
        <v>Клей 88НП, 88-Н</v>
      </c>
      <c r="H427" t="str">
        <f>SmtRes!O823</f>
        <v>кг</v>
      </c>
      <c r="I427">
        <f>SmtRes!Y823*Source!I1004</f>
        <v>0</v>
      </c>
      <c r="J427">
        <f>SmtRes!AO823</f>
        <v>1</v>
      </c>
      <c r="K427">
        <f>SmtRes!AE823</f>
        <v>43.74</v>
      </c>
      <c r="L427">
        <f>SmtRes!DB823</f>
        <v>0</v>
      </c>
      <c r="M427">
        <f>ROUND(ROUND(L427*Source!I1004, 6)*1, 2)</f>
        <v>0</v>
      </c>
      <c r="N427">
        <f>SmtRes!AA823</f>
        <v>241.88</v>
      </c>
      <c r="O427">
        <f>ROUND(ROUND(L427*Source!I1004, 6)*SmtRes!DA823, 2)</f>
        <v>0</v>
      </c>
      <c r="P427">
        <f>SmtRes!AG823</f>
        <v>0</v>
      </c>
      <c r="Q427">
        <f>SmtRes!DC823</f>
        <v>0</v>
      </c>
      <c r="R427">
        <f>ROUND(ROUND(Q427*Source!I1004, 6)*1, 2)</f>
        <v>0</v>
      </c>
      <c r="S427">
        <f>SmtRes!AC823</f>
        <v>0</v>
      </c>
      <c r="T427">
        <f>ROUND(ROUND(Q427*Source!I1004, 6)*SmtRes!AK823, 2)</f>
        <v>0</v>
      </c>
      <c r="U427">
        <v>3</v>
      </c>
      <c r="Y427">
        <f>SmtRes!X823</f>
        <v>-291619796</v>
      </c>
      <c r="Z427">
        <v>-2114707208</v>
      </c>
      <c r="AA427">
        <v>858483407</v>
      </c>
    </row>
    <row r="428" spans="1:27" x14ac:dyDescent="0.2">
      <c r="A428">
        <v>20</v>
      </c>
      <c r="B428">
        <v>822</v>
      </c>
      <c r="C428">
        <v>3</v>
      </c>
      <c r="D428">
        <v>0</v>
      </c>
      <c r="E428">
        <f>SmtRes!AV822</f>
        <v>0</v>
      </c>
      <c r="F428" t="str">
        <f>SmtRes!I822</f>
        <v>1.1-1-2838</v>
      </c>
      <c r="G428" t="str">
        <f>SmtRes!K822</f>
        <v>Шурупы-саморезы с полусферической головкой, с прессшайбой, наконечник острый, оцинкованные, размер 4,2х14 мм, для крепления листового металла</v>
      </c>
      <c r="H428" t="str">
        <f>SmtRes!O822</f>
        <v>кг</v>
      </c>
      <c r="I428">
        <f>SmtRes!Y822*Source!I1004</f>
        <v>0</v>
      </c>
      <c r="J428">
        <f>SmtRes!AO822</f>
        <v>1</v>
      </c>
      <c r="K428">
        <f>SmtRes!AE822</f>
        <v>45.16</v>
      </c>
      <c r="L428">
        <f>SmtRes!DB822</f>
        <v>0</v>
      </c>
      <c r="M428">
        <f>ROUND(ROUND(L428*Source!I1004, 6)*1, 2)</f>
        <v>0</v>
      </c>
      <c r="N428">
        <f>SmtRes!AA822</f>
        <v>99.35</v>
      </c>
      <c r="O428">
        <f>ROUND(ROUND(L428*Source!I1004, 6)*SmtRes!DA822, 2)</f>
        <v>0</v>
      </c>
      <c r="P428">
        <f>SmtRes!AG822</f>
        <v>0</v>
      </c>
      <c r="Q428">
        <f>SmtRes!DC822</f>
        <v>0</v>
      </c>
      <c r="R428">
        <f>ROUND(ROUND(Q428*Source!I1004, 6)*1, 2)</f>
        <v>0</v>
      </c>
      <c r="S428">
        <f>SmtRes!AC822</f>
        <v>0</v>
      </c>
      <c r="T428">
        <f>ROUND(ROUND(Q428*Source!I1004, 6)*SmtRes!AK822, 2)</f>
        <v>0</v>
      </c>
      <c r="U428">
        <v>3</v>
      </c>
      <c r="Y428">
        <f>SmtRes!X822</f>
        <v>1061104562</v>
      </c>
      <c r="Z428">
        <v>-1818760579</v>
      </c>
      <c r="AA428">
        <v>-1964072372</v>
      </c>
    </row>
    <row r="429" spans="1:27" x14ac:dyDescent="0.2">
      <c r="A429">
        <v>20</v>
      </c>
      <c r="B429">
        <v>821</v>
      </c>
      <c r="C429">
        <v>3</v>
      </c>
      <c r="D429">
        <v>0</v>
      </c>
      <c r="E429">
        <f>SmtRes!AV821</f>
        <v>0</v>
      </c>
      <c r="F429" t="str">
        <f>SmtRes!I821</f>
        <v>1.1-1-258</v>
      </c>
      <c r="G429" t="str">
        <f>SmtRes!K821</f>
        <v>Известь хлорная</v>
      </c>
      <c r="H429" t="str">
        <f>SmtRes!O821</f>
        <v>т</v>
      </c>
      <c r="I429">
        <f>SmtRes!Y821*Source!I1004</f>
        <v>0</v>
      </c>
      <c r="J429">
        <f>SmtRes!AO821</f>
        <v>1</v>
      </c>
      <c r="K429">
        <f>SmtRes!AE821</f>
        <v>3246.35</v>
      </c>
      <c r="L429">
        <f>SmtRes!DB821</f>
        <v>0</v>
      </c>
      <c r="M429">
        <f>ROUND(ROUND(L429*Source!I1004, 6)*1, 2)</f>
        <v>0</v>
      </c>
      <c r="N429">
        <f>SmtRes!AA821</f>
        <v>68238.28</v>
      </c>
      <c r="O429">
        <f>ROUND(ROUND(L429*Source!I1004, 6)*SmtRes!DA821, 2)</f>
        <v>0</v>
      </c>
      <c r="P429">
        <f>SmtRes!AG821</f>
        <v>0</v>
      </c>
      <c r="Q429">
        <f>SmtRes!DC821</f>
        <v>0</v>
      </c>
      <c r="R429">
        <f>ROUND(ROUND(Q429*Source!I1004, 6)*1, 2)</f>
        <v>0</v>
      </c>
      <c r="S429">
        <f>SmtRes!AC821</f>
        <v>0</v>
      </c>
      <c r="T429">
        <f>ROUND(ROUND(Q429*Source!I1004, 6)*SmtRes!AK821, 2)</f>
        <v>0</v>
      </c>
      <c r="U429">
        <v>3</v>
      </c>
      <c r="Y429">
        <f>SmtRes!X821</f>
        <v>-1837888431</v>
      </c>
      <c r="Z429">
        <v>1139941617</v>
      </c>
      <c r="AA429">
        <v>1167124668</v>
      </c>
    </row>
    <row r="430" spans="1:27" x14ac:dyDescent="0.2">
      <c r="A430">
        <v>20</v>
      </c>
      <c r="B430">
        <v>820</v>
      </c>
      <c r="C430">
        <v>3</v>
      </c>
      <c r="D430">
        <v>0</v>
      </c>
      <c r="E430">
        <f>SmtRes!AV820</f>
        <v>0</v>
      </c>
      <c r="F430" t="str">
        <f>SmtRes!I820</f>
        <v>1.1-1-2569</v>
      </c>
      <c r="G430" t="str">
        <f>SmtRes!K820</f>
        <v>Метилен хлористый технический</v>
      </c>
      <c r="H430" t="str">
        <f>SmtRes!O820</f>
        <v>кг</v>
      </c>
      <c r="I430">
        <f>SmtRes!Y820*Source!I1004</f>
        <v>0</v>
      </c>
      <c r="J430">
        <f>SmtRes!AO820</f>
        <v>1</v>
      </c>
      <c r="K430">
        <f>SmtRes!AE820</f>
        <v>16.22</v>
      </c>
      <c r="L430">
        <f>SmtRes!DB820</f>
        <v>0</v>
      </c>
      <c r="M430">
        <f>ROUND(ROUND(L430*Source!I1004, 6)*1, 2)</f>
        <v>0</v>
      </c>
      <c r="N430">
        <f>SmtRes!AA820</f>
        <v>212.48</v>
      </c>
      <c r="O430">
        <f>ROUND(ROUND(L430*Source!I1004, 6)*SmtRes!DA820, 2)</f>
        <v>0</v>
      </c>
      <c r="P430">
        <f>SmtRes!AG820</f>
        <v>0</v>
      </c>
      <c r="Q430">
        <f>SmtRes!DC820</f>
        <v>0</v>
      </c>
      <c r="R430">
        <f>ROUND(ROUND(Q430*Source!I1004, 6)*1, 2)</f>
        <v>0</v>
      </c>
      <c r="S430">
        <f>SmtRes!AC820</f>
        <v>0</v>
      </c>
      <c r="T430">
        <f>ROUND(ROUND(Q430*Source!I1004, 6)*SmtRes!AK820, 2)</f>
        <v>0</v>
      </c>
      <c r="U430">
        <v>3</v>
      </c>
      <c r="Y430">
        <f>SmtRes!X820</f>
        <v>-675737513</v>
      </c>
      <c r="Z430">
        <v>1776648825</v>
      </c>
      <c r="AA430">
        <v>388029671</v>
      </c>
    </row>
    <row r="431" spans="1:27" x14ac:dyDescent="0.2">
      <c r="A431">
        <v>20</v>
      </c>
      <c r="B431">
        <v>819</v>
      </c>
      <c r="C431">
        <v>3</v>
      </c>
      <c r="D431">
        <v>0</v>
      </c>
      <c r="E431">
        <f>SmtRes!AV819</f>
        <v>0</v>
      </c>
      <c r="F431" t="str">
        <f>SmtRes!I819</f>
        <v>1.1-1-236</v>
      </c>
      <c r="G431" t="str">
        <f>SmtRes!K819</f>
        <v>Дюбели с насаженными шайбами</v>
      </c>
      <c r="H431" t="str">
        <f>SmtRes!O819</f>
        <v>т</v>
      </c>
      <c r="I431">
        <f>SmtRes!Y819*Source!I1004</f>
        <v>0</v>
      </c>
      <c r="J431">
        <f>SmtRes!AO819</f>
        <v>1</v>
      </c>
      <c r="K431">
        <f>SmtRes!AE819</f>
        <v>20166.439999999999</v>
      </c>
      <c r="L431">
        <f>SmtRes!DB819</f>
        <v>0</v>
      </c>
      <c r="M431">
        <f>ROUND(ROUND(L431*Source!I1004, 6)*1, 2)</f>
        <v>0</v>
      </c>
      <c r="N431">
        <f>SmtRes!AA819</f>
        <v>222435.83</v>
      </c>
      <c r="O431">
        <f>ROUND(ROUND(L431*Source!I1004, 6)*SmtRes!DA819, 2)</f>
        <v>0</v>
      </c>
      <c r="P431">
        <f>SmtRes!AG819</f>
        <v>0</v>
      </c>
      <c r="Q431">
        <f>SmtRes!DC819</f>
        <v>0</v>
      </c>
      <c r="R431">
        <f>ROUND(ROUND(Q431*Source!I1004, 6)*1, 2)</f>
        <v>0</v>
      </c>
      <c r="S431">
        <f>SmtRes!AC819</f>
        <v>0</v>
      </c>
      <c r="T431">
        <f>ROUND(ROUND(Q431*Source!I1004, 6)*SmtRes!AK819, 2)</f>
        <v>0</v>
      </c>
      <c r="U431">
        <v>3</v>
      </c>
      <c r="Y431">
        <f>SmtRes!X819</f>
        <v>1693650758</v>
      </c>
      <c r="Z431">
        <v>-1997001503</v>
      </c>
      <c r="AA431">
        <v>-551341549</v>
      </c>
    </row>
    <row r="432" spans="1:27" x14ac:dyDescent="0.2">
      <c r="A432">
        <v>20</v>
      </c>
      <c r="B432">
        <v>818</v>
      </c>
      <c r="C432">
        <v>3</v>
      </c>
      <c r="D432">
        <v>0</v>
      </c>
      <c r="E432">
        <f>SmtRes!AV818</f>
        <v>0</v>
      </c>
      <c r="F432" t="str">
        <f>SmtRes!I818</f>
        <v>1.1-1-1622</v>
      </c>
      <c r="G432" t="str">
        <f>SmtRes!K818</f>
        <v>Патроны для пороховых монтажных пистолетов, калибр 6,8х18 мм, сверхвысокая мощность (703-846 Дж)</v>
      </c>
      <c r="H432" t="str">
        <f>SmtRes!O818</f>
        <v>100 шт.</v>
      </c>
      <c r="I432">
        <f>SmtRes!Y818*Source!I1004</f>
        <v>0</v>
      </c>
      <c r="J432">
        <f>SmtRes!AO818</f>
        <v>1</v>
      </c>
      <c r="K432">
        <f>SmtRes!AE818</f>
        <v>180.35</v>
      </c>
      <c r="L432">
        <f>SmtRes!DB818</f>
        <v>0</v>
      </c>
      <c r="M432">
        <f>ROUND(ROUND(L432*Source!I1004, 6)*1, 2)</f>
        <v>0</v>
      </c>
      <c r="N432">
        <f>SmtRes!AA818</f>
        <v>2198.4699999999998</v>
      </c>
      <c r="O432">
        <f>ROUND(ROUND(L432*Source!I1004, 6)*SmtRes!DA818, 2)</f>
        <v>0</v>
      </c>
      <c r="P432">
        <f>SmtRes!AG818</f>
        <v>0</v>
      </c>
      <c r="Q432">
        <f>SmtRes!DC818</f>
        <v>0</v>
      </c>
      <c r="R432">
        <f>ROUND(ROUND(Q432*Source!I1004, 6)*1, 2)</f>
        <v>0</v>
      </c>
      <c r="S432">
        <f>SmtRes!AC818</f>
        <v>0</v>
      </c>
      <c r="T432">
        <f>ROUND(ROUND(Q432*Source!I1004, 6)*SmtRes!AK818, 2)</f>
        <v>0</v>
      </c>
      <c r="U432">
        <v>3</v>
      </c>
      <c r="Y432">
        <f>SmtRes!X818</f>
        <v>1356090561</v>
      </c>
      <c r="Z432">
        <v>1149527520</v>
      </c>
      <c r="AA432">
        <v>1839231</v>
      </c>
    </row>
    <row r="433" spans="1:27" x14ac:dyDescent="0.2">
      <c r="A433">
        <v>20</v>
      </c>
      <c r="B433">
        <v>817</v>
      </c>
      <c r="C433">
        <v>3</v>
      </c>
      <c r="D433">
        <v>0</v>
      </c>
      <c r="E433">
        <f>SmtRes!AV817</f>
        <v>0</v>
      </c>
      <c r="F433" t="str">
        <f>SmtRes!I817</f>
        <v>1.1-1-118</v>
      </c>
      <c r="G433" t="str">
        <f>SmtRes!K817</f>
        <v>Вода</v>
      </c>
      <c r="H433" t="str">
        <f>SmtRes!O817</f>
        <v>м3</v>
      </c>
      <c r="I433">
        <f>SmtRes!Y817*Source!I1004</f>
        <v>0</v>
      </c>
      <c r="J433">
        <f>SmtRes!AO817</f>
        <v>1</v>
      </c>
      <c r="K433">
        <f>SmtRes!AE817</f>
        <v>7.07</v>
      </c>
      <c r="L433">
        <f>SmtRes!DB817</f>
        <v>0</v>
      </c>
      <c r="M433">
        <f>ROUND(ROUND(L433*Source!I1004, 6)*1, 2)</f>
        <v>0</v>
      </c>
      <c r="N433">
        <f>SmtRes!AA817</f>
        <v>42.42</v>
      </c>
      <c r="O433">
        <f>ROUND(ROUND(L433*Source!I1004, 6)*SmtRes!DA817, 2)</f>
        <v>0</v>
      </c>
      <c r="P433">
        <f>SmtRes!AG817</f>
        <v>0</v>
      </c>
      <c r="Q433">
        <f>SmtRes!DC817</f>
        <v>0</v>
      </c>
      <c r="R433">
        <f>ROUND(ROUND(Q433*Source!I1004, 6)*1, 2)</f>
        <v>0</v>
      </c>
      <c r="S433">
        <f>SmtRes!AC817</f>
        <v>0</v>
      </c>
      <c r="T433">
        <f>ROUND(ROUND(Q433*Source!I1004, 6)*SmtRes!AK817, 2)</f>
        <v>0</v>
      </c>
      <c r="U433">
        <v>3</v>
      </c>
      <c r="Y433">
        <f>SmtRes!X817</f>
        <v>-862991314</v>
      </c>
      <c r="Z433">
        <v>-1421290593</v>
      </c>
      <c r="AA433">
        <v>-1279710304</v>
      </c>
    </row>
    <row r="434" spans="1:27" x14ac:dyDescent="0.2">
      <c r="A434">
        <v>20</v>
      </c>
      <c r="B434">
        <v>816</v>
      </c>
      <c r="C434">
        <v>2</v>
      </c>
      <c r="D434">
        <v>0</v>
      </c>
      <c r="E434">
        <f>SmtRes!AV816</f>
        <v>0</v>
      </c>
      <c r="F434" t="str">
        <f>SmtRes!I816</f>
        <v>2.1-3-38</v>
      </c>
      <c r="G434" t="str">
        <f>SmtRes!K816</f>
        <v>Краны на автомобильном ходу, грузоподъемность до 16 т</v>
      </c>
      <c r="H434" t="str">
        <f>SmtRes!O816</f>
        <v>маш.-ч.</v>
      </c>
      <c r="I434">
        <f>SmtRes!Y816*Source!I1004</f>
        <v>1.8E-3</v>
      </c>
      <c r="J434">
        <f>SmtRes!AO816</f>
        <v>1</v>
      </c>
      <c r="K434">
        <f>SmtRes!AF816</f>
        <v>190.93</v>
      </c>
      <c r="L434">
        <f>SmtRes!DB816</f>
        <v>3.4380000000000002</v>
      </c>
      <c r="M434">
        <f>ROUND(ROUND(L434*Source!I1004, 6)*1, 2)</f>
        <v>0.34</v>
      </c>
      <c r="N434">
        <f>SmtRes!AB816</f>
        <v>2098.34</v>
      </c>
      <c r="O434">
        <f>ROUND(ROUND(L434*Source!I1004, 6)*SmtRes!DA816, 2)</f>
        <v>3.54</v>
      </c>
      <c r="P434">
        <f>SmtRes!AG816</f>
        <v>18.149999999999999</v>
      </c>
      <c r="Q434">
        <f>SmtRes!DC816</f>
        <v>0.32400000000000001</v>
      </c>
      <c r="R434">
        <f>ROUND(ROUND(Q434*Source!I1004, 6)*1, 2)</f>
        <v>0.03</v>
      </c>
      <c r="S434">
        <f>SmtRes!AC816</f>
        <v>562.20000000000005</v>
      </c>
      <c r="T434">
        <f>ROUND(ROUND(Q434*Source!I1004, 6)*SmtRes!AK816, 2)</f>
        <v>0.94</v>
      </c>
      <c r="U434">
        <v>2</v>
      </c>
      <c r="Y434">
        <f>SmtRes!X816</f>
        <v>-266174272</v>
      </c>
      <c r="Z434">
        <v>-2048655808</v>
      </c>
      <c r="AA434">
        <v>1536045345</v>
      </c>
    </row>
    <row r="435" spans="1:27" x14ac:dyDescent="0.2">
      <c r="A435">
        <v>20</v>
      </c>
      <c r="B435">
        <v>815</v>
      </c>
      <c r="C435">
        <v>2</v>
      </c>
      <c r="D435">
        <v>0</v>
      </c>
      <c r="E435">
        <f>SmtRes!AV815</f>
        <v>0</v>
      </c>
      <c r="F435" t="str">
        <f>SmtRes!I815</f>
        <v>2.1-18-7</v>
      </c>
      <c r="G435" t="str">
        <f>SmtRes!K815</f>
        <v>Автомобили грузовые бортовые, грузоподъемность до 5 т</v>
      </c>
      <c r="H435" t="str">
        <f>SmtRes!O815</f>
        <v>маш.-ч.</v>
      </c>
      <c r="I435">
        <f>SmtRes!Y815*Source!I1004</f>
        <v>1.2E-2</v>
      </c>
      <c r="J435">
        <f>SmtRes!AO815</f>
        <v>1</v>
      </c>
      <c r="K435">
        <f>SmtRes!AF815</f>
        <v>76.81</v>
      </c>
      <c r="L435">
        <f>SmtRes!DB815</f>
        <v>9.2159999999999993</v>
      </c>
      <c r="M435">
        <f>ROUND(ROUND(L435*Source!I1004, 6)*1, 2)</f>
        <v>0.92</v>
      </c>
      <c r="N435">
        <f>SmtRes!AB815</f>
        <v>935.94</v>
      </c>
      <c r="O435">
        <f>ROUND(ROUND(L435*Source!I1004, 6)*SmtRes!DA815, 2)</f>
        <v>10.52</v>
      </c>
      <c r="P435">
        <f>SmtRes!AG815</f>
        <v>14.36</v>
      </c>
      <c r="Q435">
        <f>SmtRes!DC815</f>
        <v>1.722</v>
      </c>
      <c r="R435">
        <f>ROUND(ROUND(Q435*Source!I1004, 6)*1, 2)</f>
        <v>0.17</v>
      </c>
      <c r="S435">
        <f>SmtRes!AC815</f>
        <v>444.8</v>
      </c>
      <c r="T435">
        <f>ROUND(ROUND(Q435*Source!I1004, 6)*SmtRes!AK815, 2)</f>
        <v>5</v>
      </c>
      <c r="U435">
        <v>2</v>
      </c>
      <c r="Y435">
        <f>SmtRes!X815</f>
        <v>-628430174</v>
      </c>
      <c r="Z435">
        <v>-2049064267</v>
      </c>
      <c r="AA435">
        <v>1144387144</v>
      </c>
    </row>
    <row r="436" spans="1:27" x14ac:dyDescent="0.2">
      <c r="A436">
        <v>20</v>
      </c>
      <c r="B436">
        <v>814</v>
      </c>
      <c r="C436">
        <v>2</v>
      </c>
      <c r="D436">
        <v>0</v>
      </c>
      <c r="E436">
        <f>SmtRes!AV814</f>
        <v>0</v>
      </c>
      <c r="F436" t="str">
        <f>SmtRes!I814</f>
        <v>2.1-13-38</v>
      </c>
      <c r="G436" t="str">
        <f>SmtRes!K814</f>
        <v>Аппараты для раструбной сварки труб из термопластов диаметром 16-110 мм</v>
      </c>
      <c r="H436" t="str">
        <f>SmtRes!O814</f>
        <v>маш.-ч.</v>
      </c>
      <c r="I436">
        <f>SmtRes!Y814*Source!I1004</f>
        <v>0.68579999999999997</v>
      </c>
      <c r="J436">
        <f>SmtRes!AO814</f>
        <v>1</v>
      </c>
      <c r="K436">
        <f>SmtRes!AF814</f>
        <v>1.42</v>
      </c>
      <c r="L436">
        <f>SmtRes!DB814</f>
        <v>9.7379999999999995</v>
      </c>
      <c r="M436">
        <f>ROUND(ROUND(L436*Source!I1004, 6)*1, 2)</f>
        <v>0.97</v>
      </c>
      <c r="N436">
        <f>SmtRes!AB814</f>
        <v>14.65</v>
      </c>
      <c r="O436">
        <f>ROUND(ROUND(L436*Source!I1004, 6)*SmtRes!DA814, 2)</f>
        <v>9.42</v>
      </c>
      <c r="P436">
        <f>SmtRes!AG814</f>
        <v>0.01</v>
      </c>
      <c r="Q436">
        <f>SmtRes!DC814</f>
        <v>6.6000000000000003E-2</v>
      </c>
      <c r="R436">
        <f>ROUND(ROUND(Q436*Source!I1004, 6)*1, 2)</f>
        <v>0.01</v>
      </c>
      <c r="S436">
        <f>SmtRes!AC814</f>
        <v>0.31</v>
      </c>
      <c r="T436">
        <f>ROUND(ROUND(Q436*Source!I1004, 6)*SmtRes!AK814, 2)</f>
        <v>0.19</v>
      </c>
      <c r="U436">
        <v>2</v>
      </c>
      <c r="Y436">
        <f>SmtRes!X814</f>
        <v>162885925</v>
      </c>
      <c r="Z436">
        <v>1346751864</v>
      </c>
      <c r="AA436">
        <v>969662417</v>
      </c>
    </row>
    <row r="437" spans="1:27" x14ac:dyDescent="0.2">
      <c r="A437">
        <v>20</v>
      </c>
      <c r="B437">
        <v>813</v>
      </c>
      <c r="C437">
        <v>1</v>
      </c>
      <c r="D437">
        <v>0</v>
      </c>
      <c r="E437">
        <f>SmtRes!AV813</f>
        <v>1</v>
      </c>
      <c r="F437" t="str">
        <f>SmtRes!I813</f>
        <v>9999990008</v>
      </c>
      <c r="G437" t="str">
        <f>SmtRes!K813</f>
        <v>Трудозатраты рабочих</v>
      </c>
      <c r="H437" t="str">
        <f>SmtRes!O813</f>
        <v>чел.-ч.</v>
      </c>
      <c r="I437">
        <f>SmtRes!Y813*Source!I1004</f>
        <v>9.84</v>
      </c>
      <c r="J437">
        <f>SmtRes!AO813</f>
        <v>1</v>
      </c>
      <c r="K437">
        <f>SmtRes!AH813</f>
        <v>0</v>
      </c>
      <c r="L437">
        <f>SmtRes!DB813</f>
        <v>0</v>
      </c>
      <c r="M437">
        <f>ROUND(ROUND(L437*Source!I1004, 6)*1, 2)</f>
        <v>0</v>
      </c>
      <c r="N437">
        <f>SmtRes!AD813</f>
        <v>0</v>
      </c>
      <c r="O437">
        <f>ROUND(ROUND(L437*Source!I1004, 6)*SmtRes!DA813, 2)</f>
        <v>0</v>
      </c>
      <c r="P437">
        <f>SmtRes!AG813</f>
        <v>0</v>
      </c>
      <c r="Q437">
        <f>SmtRes!DC813</f>
        <v>0</v>
      </c>
      <c r="R437">
        <f>ROUND(ROUND(Q437*Source!I1004, 6)*1, 2)</f>
        <v>0</v>
      </c>
      <c r="S437">
        <f>SmtRes!AC813</f>
        <v>0</v>
      </c>
      <c r="T437">
        <f>ROUND(ROUND(Q437*Source!I1004, 6)*SmtRes!AK813, 2)</f>
        <v>0</v>
      </c>
      <c r="U437">
        <v>1</v>
      </c>
      <c r="Y437">
        <f>SmtRes!X813</f>
        <v>476480486</v>
      </c>
      <c r="Z437">
        <v>1499241640</v>
      </c>
      <c r="AA437">
        <v>1499241640</v>
      </c>
    </row>
    <row r="438" spans="1:27" x14ac:dyDescent="0.2">
      <c r="A438">
        <v>20</v>
      </c>
      <c r="B438">
        <v>830</v>
      </c>
      <c r="C438">
        <v>3</v>
      </c>
      <c r="D438">
        <v>0</v>
      </c>
      <c r="E438">
        <f>SmtRes!AV830</f>
        <v>0</v>
      </c>
      <c r="F438" t="str">
        <f>SmtRes!I830</f>
        <v>9999990006</v>
      </c>
      <c r="G438" t="str">
        <f>SmtRes!K830</f>
        <v>Стоимость прочих материалов (ЭСН)</v>
      </c>
      <c r="H438" t="str">
        <f>SmtRes!O830</f>
        <v>руб.</v>
      </c>
      <c r="I438">
        <f>SmtRes!Y830*Source!I1006</f>
        <v>0</v>
      </c>
      <c r="J438">
        <f>SmtRes!AO830</f>
        <v>1</v>
      </c>
      <c r="K438">
        <f>SmtRes!AE830</f>
        <v>1</v>
      </c>
      <c r="L438">
        <f>SmtRes!DB830</f>
        <v>0</v>
      </c>
      <c r="M438">
        <f>ROUND(ROUND(L438*Source!I1006, 6)*1, 2)</f>
        <v>0</v>
      </c>
      <c r="N438">
        <f>SmtRes!AA830</f>
        <v>8.65</v>
      </c>
      <c r="O438">
        <f>ROUND(ROUND(L438*Source!I1006, 6)*SmtRes!DA830, 2)</f>
        <v>0</v>
      </c>
      <c r="P438">
        <f>SmtRes!AG830</f>
        <v>0</v>
      </c>
      <c r="Q438">
        <f>SmtRes!DC830</f>
        <v>0</v>
      </c>
      <c r="R438">
        <f>ROUND(ROUND(Q438*Source!I1006, 6)*1, 2)</f>
        <v>0</v>
      </c>
      <c r="S438">
        <f>SmtRes!AC830</f>
        <v>0</v>
      </c>
      <c r="T438">
        <f>ROUND(ROUND(Q438*Source!I1006, 6)*SmtRes!AK830, 2)</f>
        <v>0</v>
      </c>
      <c r="U438">
        <v>3</v>
      </c>
      <c r="Y438">
        <f>SmtRes!X830</f>
        <v>-94250534</v>
      </c>
      <c r="Z438">
        <v>-1771809642</v>
      </c>
      <c r="AA438">
        <v>19367311</v>
      </c>
    </row>
    <row r="439" spans="1:27" x14ac:dyDescent="0.2">
      <c r="A439">
        <v>20</v>
      </c>
      <c r="B439">
        <v>829</v>
      </c>
      <c r="C439">
        <v>2</v>
      </c>
      <c r="D439">
        <v>0</v>
      </c>
      <c r="E439">
        <f>SmtRes!AV829</f>
        <v>0</v>
      </c>
      <c r="F439" t="str">
        <f>SmtRes!I829</f>
        <v>9999990007</v>
      </c>
      <c r="G439" t="str">
        <f>SmtRes!K829</f>
        <v>Стоимость прочих машин (ЭСН)</v>
      </c>
      <c r="H439" t="str">
        <f>SmtRes!O829</f>
        <v>руб.</v>
      </c>
      <c r="I439">
        <f>SmtRes!Y829*Source!I1006</f>
        <v>0.81264000000000003</v>
      </c>
      <c r="J439">
        <f>SmtRes!AO829</f>
        <v>1</v>
      </c>
      <c r="K439">
        <f>SmtRes!AF829</f>
        <v>1</v>
      </c>
      <c r="L439">
        <f>SmtRes!DB829</f>
        <v>10.157999999999999</v>
      </c>
      <c r="M439">
        <f>ROUND(ROUND(L439*Source!I1006, 6)*1, 2)</f>
        <v>0.81</v>
      </c>
      <c r="N439">
        <f>SmtRes!AB829</f>
        <v>1.07</v>
      </c>
      <c r="O439">
        <f>ROUND(ROUND(L439*Source!I1006, 6)*SmtRes!DA829, 2)</f>
        <v>0.81</v>
      </c>
      <c r="P439">
        <f>SmtRes!AG829</f>
        <v>0</v>
      </c>
      <c r="Q439">
        <f>SmtRes!DC829</f>
        <v>0</v>
      </c>
      <c r="R439">
        <f>ROUND(ROUND(Q439*Source!I1006, 6)*1, 2)</f>
        <v>0</v>
      </c>
      <c r="S439">
        <f>SmtRes!AC829</f>
        <v>0</v>
      </c>
      <c r="T439">
        <f>ROUND(ROUND(Q439*Source!I1006, 6)*SmtRes!AK829, 2)</f>
        <v>0</v>
      </c>
      <c r="U439">
        <v>2</v>
      </c>
      <c r="Y439">
        <f>SmtRes!X829</f>
        <v>-1180195794</v>
      </c>
      <c r="Z439">
        <v>-595858232</v>
      </c>
      <c r="AA439">
        <v>55387674</v>
      </c>
    </row>
    <row r="440" spans="1:27" x14ac:dyDescent="0.2">
      <c r="A440">
        <v>20</v>
      </c>
      <c r="B440">
        <v>828</v>
      </c>
      <c r="C440">
        <v>1</v>
      </c>
      <c r="D440">
        <v>0</v>
      </c>
      <c r="E440">
        <f>SmtRes!AV828</f>
        <v>1</v>
      </c>
      <c r="F440" t="str">
        <f>SmtRes!I828</f>
        <v>9999990008</v>
      </c>
      <c r="G440" t="str">
        <f>SmtRes!K828</f>
        <v>Трудозатраты рабочих</v>
      </c>
      <c r="H440" t="str">
        <f>SmtRes!O828</f>
        <v>чел.-ч.</v>
      </c>
      <c r="I440">
        <f>SmtRes!Y828*Source!I1006</f>
        <v>2.6880000000000002</v>
      </c>
      <c r="J440">
        <f>SmtRes!AO828</f>
        <v>1</v>
      </c>
      <c r="K440">
        <f>SmtRes!AH828</f>
        <v>0</v>
      </c>
      <c r="L440">
        <f>SmtRes!DB828</f>
        <v>0</v>
      </c>
      <c r="M440">
        <f>ROUND(ROUND(L440*Source!I1006, 6)*1, 2)</f>
        <v>0</v>
      </c>
      <c r="N440">
        <f>SmtRes!AD828</f>
        <v>0</v>
      </c>
      <c r="O440">
        <f>ROUND(ROUND(L440*Source!I1006, 6)*SmtRes!DA828, 2)</f>
        <v>0</v>
      </c>
      <c r="P440">
        <f>SmtRes!AG828</f>
        <v>0</v>
      </c>
      <c r="Q440">
        <f>SmtRes!DC828</f>
        <v>0</v>
      </c>
      <c r="R440">
        <f>ROUND(ROUND(Q440*Source!I1006, 6)*1, 2)</f>
        <v>0</v>
      </c>
      <c r="S440">
        <f>SmtRes!AC828</f>
        <v>0</v>
      </c>
      <c r="T440">
        <f>ROUND(ROUND(Q440*Source!I1006, 6)*SmtRes!AK828, 2)</f>
        <v>0</v>
      </c>
      <c r="U440">
        <v>1</v>
      </c>
      <c r="Y440">
        <f>SmtRes!X828</f>
        <v>476480486</v>
      </c>
      <c r="Z440">
        <v>1499241640</v>
      </c>
      <c r="AA440">
        <v>1499241640</v>
      </c>
    </row>
    <row r="441" spans="1:27" x14ac:dyDescent="0.2">
      <c r="A441">
        <f>Source!A1038</f>
        <v>4</v>
      </c>
      <c r="B441">
        <v>1038</v>
      </c>
      <c r="G441" t="str">
        <f>Source!G1038</f>
        <v>Внутренние сети В1, Т3, В2</v>
      </c>
    </row>
    <row r="442" spans="1:27" x14ac:dyDescent="0.2">
      <c r="A442">
        <v>20</v>
      </c>
      <c r="B442">
        <v>872</v>
      </c>
      <c r="C442">
        <v>3</v>
      </c>
      <c r="D442">
        <v>0</v>
      </c>
      <c r="E442">
        <f>SmtRes!AV872</f>
        <v>0</v>
      </c>
      <c r="F442" t="str">
        <f>SmtRes!I872</f>
        <v>9999990006</v>
      </c>
      <c r="G442" t="str">
        <f>SmtRes!K872</f>
        <v>Стоимость прочих материалов (ЭСН)</v>
      </c>
      <c r="H442" t="str">
        <f>SmtRes!O872</f>
        <v>руб.</v>
      </c>
      <c r="I442">
        <f>SmtRes!Y872*Source!I1043</f>
        <v>8.0000000000000002E-3</v>
      </c>
      <c r="J442">
        <f>SmtRes!AO872</f>
        <v>1</v>
      </c>
      <c r="K442">
        <f>SmtRes!AE872</f>
        <v>1</v>
      </c>
      <c r="L442">
        <f>SmtRes!DB872</f>
        <v>0.04</v>
      </c>
      <c r="M442">
        <f>ROUND(ROUND(L442*Source!I1043, 6)*1, 2)</f>
        <v>0.01</v>
      </c>
      <c r="N442">
        <f>SmtRes!AA872</f>
        <v>8.65</v>
      </c>
      <c r="O442">
        <f>ROUND(ROUND(L442*Source!I1043, 6)*SmtRes!DA872, 2)</f>
        <v>7.0000000000000007E-2</v>
      </c>
      <c r="P442">
        <f>SmtRes!AG872</f>
        <v>0</v>
      </c>
      <c r="Q442">
        <f>SmtRes!DC872</f>
        <v>0</v>
      </c>
      <c r="R442">
        <f>ROUND(ROUND(Q442*Source!I1043, 6)*1, 2)</f>
        <v>0</v>
      </c>
      <c r="S442">
        <f>SmtRes!AC872</f>
        <v>0</v>
      </c>
      <c r="T442">
        <f>ROUND(ROUND(Q442*Source!I1043, 6)*SmtRes!AK872, 2)</f>
        <v>0</v>
      </c>
      <c r="U442">
        <v>3</v>
      </c>
      <c r="Y442">
        <f>SmtRes!X872</f>
        <v>-94250534</v>
      </c>
      <c r="Z442">
        <v>-1771809642</v>
      </c>
      <c r="AA442">
        <v>19367311</v>
      </c>
    </row>
    <row r="443" spans="1:27" x14ac:dyDescent="0.2">
      <c r="A443">
        <v>20</v>
      </c>
      <c r="B443">
        <v>862</v>
      </c>
      <c r="C443">
        <v>3</v>
      </c>
      <c r="D443">
        <v>0</v>
      </c>
      <c r="E443">
        <f>SmtRes!AV862</f>
        <v>0</v>
      </c>
      <c r="F443" t="str">
        <f>SmtRes!I862</f>
        <v>1.1-1-399</v>
      </c>
      <c r="G443" t="str">
        <f>SmtRes!K862</f>
        <v>Клей 88НП, 88-Н</v>
      </c>
      <c r="H443" t="str">
        <f>SmtRes!O862</f>
        <v>кг</v>
      </c>
      <c r="I443">
        <f>SmtRes!Y862*Source!I1043</f>
        <v>0.05</v>
      </c>
      <c r="J443">
        <f>SmtRes!AO862</f>
        <v>1</v>
      </c>
      <c r="K443">
        <f>SmtRes!AE862</f>
        <v>43.74</v>
      </c>
      <c r="L443">
        <f>SmtRes!DB862</f>
        <v>10.94</v>
      </c>
      <c r="M443">
        <f>ROUND(ROUND(L443*Source!I1043, 6)*1, 2)</f>
        <v>2.19</v>
      </c>
      <c r="N443">
        <f>SmtRes!AA862</f>
        <v>241.88</v>
      </c>
      <c r="O443">
        <f>ROUND(ROUND(L443*Source!I1043, 6)*SmtRes!DA862, 2)</f>
        <v>12.1</v>
      </c>
      <c r="P443">
        <f>SmtRes!AG862</f>
        <v>0</v>
      </c>
      <c r="Q443">
        <f>SmtRes!DC862</f>
        <v>0</v>
      </c>
      <c r="R443">
        <f>ROUND(ROUND(Q443*Source!I1043, 6)*1, 2)</f>
        <v>0</v>
      </c>
      <c r="S443">
        <f>SmtRes!AC862</f>
        <v>0</v>
      </c>
      <c r="T443">
        <f>ROUND(ROUND(Q443*Source!I1043, 6)*SmtRes!AK862, 2)</f>
        <v>0</v>
      </c>
      <c r="U443">
        <v>3</v>
      </c>
      <c r="Y443">
        <f>SmtRes!X862</f>
        <v>-291619796</v>
      </c>
      <c r="Z443">
        <v>-2114707208</v>
      </c>
      <c r="AA443">
        <v>858483407</v>
      </c>
    </row>
    <row r="444" spans="1:27" x14ac:dyDescent="0.2">
      <c r="A444">
        <v>20</v>
      </c>
      <c r="B444">
        <v>861</v>
      </c>
      <c r="C444">
        <v>3</v>
      </c>
      <c r="D444">
        <v>0</v>
      </c>
      <c r="E444">
        <f>SmtRes!AV861</f>
        <v>0</v>
      </c>
      <c r="F444" t="str">
        <f>SmtRes!I861</f>
        <v>1.1-1-2838</v>
      </c>
      <c r="G444" t="str">
        <f>SmtRes!K861</f>
        <v>Шурупы-саморезы с полусферической головкой, с прессшайбой, наконечник острый, оцинкованные, размер 4,2х14 мм, для крепления листового металла</v>
      </c>
      <c r="H444" t="str">
        <f>SmtRes!O861</f>
        <v>кг</v>
      </c>
      <c r="I444">
        <f>SmtRes!Y861*Source!I1043</f>
        <v>0.11000000000000001</v>
      </c>
      <c r="J444">
        <f>SmtRes!AO861</f>
        <v>1</v>
      </c>
      <c r="K444">
        <f>SmtRes!AE861</f>
        <v>45.16</v>
      </c>
      <c r="L444">
        <f>SmtRes!DB861</f>
        <v>24.84</v>
      </c>
      <c r="M444">
        <f>ROUND(ROUND(L444*Source!I1043, 6)*1, 2)</f>
        <v>4.97</v>
      </c>
      <c r="N444">
        <f>SmtRes!AA861</f>
        <v>99.35</v>
      </c>
      <c r="O444">
        <f>ROUND(ROUND(L444*Source!I1043, 6)*SmtRes!DA861, 2)</f>
        <v>10.93</v>
      </c>
      <c r="P444">
        <f>SmtRes!AG861</f>
        <v>0</v>
      </c>
      <c r="Q444">
        <f>SmtRes!DC861</f>
        <v>0</v>
      </c>
      <c r="R444">
        <f>ROUND(ROUND(Q444*Source!I1043, 6)*1, 2)</f>
        <v>0</v>
      </c>
      <c r="S444">
        <f>SmtRes!AC861</f>
        <v>0</v>
      </c>
      <c r="T444">
        <f>ROUND(ROUND(Q444*Source!I1043, 6)*SmtRes!AK861, 2)</f>
        <v>0</v>
      </c>
      <c r="U444">
        <v>3</v>
      </c>
      <c r="Y444">
        <f>SmtRes!X861</f>
        <v>1061104562</v>
      </c>
      <c r="Z444">
        <v>-1818760579</v>
      </c>
      <c r="AA444">
        <v>-1964072372</v>
      </c>
    </row>
    <row r="445" spans="1:27" x14ac:dyDescent="0.2">
      <c r="A445">
        <v>20</v>
      </c>
      <c r="B445">
        <v>860</v>
      </c>
      <c r="C445">
        <v>3</v>
      </c>
      <c r="D445">
        <v>0</v>
      </c>
      <c r="E445">
        <f>SmtRes!AV860</f>
        <v>0</v>
      </c>
      <c r="F445" t="str">
        <f>SmtRes!I860</f>
        <v>1.1-1-258</v>
      </c>
      <c r="G445" t="str">
        <f>SmtRes!K860</f>
        <v>Известь хлорная</v>
      </c>
      <c r="H445" t="str">
        <f>SmtRes!O860</f>
        <v>т</v>
      </c>
      <c r="I445">
        <f>SmtRes!Y860*Source!I1043</f>
        <v>3.2000000000000001E-7</v>
      </c>
      <c r="J445">
        <f>SmtRes!AO860</f>
        <v>1</v>
      </c>
      <c r="K445">
        <f>SmtRes!AE860</f>
        <v>3246.35</v>
      </c>
      <c r="L445">
        <f>SmtRes!DB860</f>
        <v>0.01</v>
      </c>
      <c r="M445">
        <f>ROUND(ROUND(L445*Source!I1043, 6)*1, 2)</f>
        <v>0</v>
      </c>
      <c r="N445">
        <f>SmtRes!AA860</f>
        <v>68238.28</v>
      </c>
      <c r="O445">
        <f>ROUND(ROUND(L445*Source!I1043, 6)*SmtRes!DA860, 2)</f>
        <v>0.04</v>
      </c>
      <c r="P445">
        <f>SmtRes!AG860</f>
        <v>0</v>
      </c>
      <c r="Q445">
        <f>SmtRes!DC860</f>
        <v>0</v>
      </c>
      <c r="R445">
        <f>ROUND(ROUND(Q445*Source!I1043, 6)*1, 2)</f>
        <v>0</v>
      </c>
      <c r="S445">
        <f>SmtRes!AC860</f>
        <v>0</v>
      </c>
      <c r="T445">
        <f>ROUND(ROUND(Q445*Source!I1043, 6)*SmtRes!AK860, 2)</f>
        <v>0</v>
      </c>
      <c r="U445">
        <v>3</v>
      </c>
      <c r="Y445">
        <f>SmtRes!X860</f>
        <v>-1837888431</v>
      </c>
      <c r="Z445">
        <v>1139941617</v>
      </c>
      <c r="AA445">
        <v>1167124668</v>
      </c>
    </row>
    <row r="446" spans="1:27" x14ac:dyDescent="0.2">
      <c r="A446">
        <v>20</v>
      </c>
      <c r="B446">
        <v>859</v>
      </c>
      <c r="C446">
        <v>3</v>
      </c>
      <c r="D446">
        <v>0</v>
      </c>
      <c r="E446">
        <f>SmtRes!AV859</f>
        <v>0</v>
      </c>
      <c r="F446" t="str">
        <f>SmtRes!I859</f>
        <v>1.1-1-2569</v>
      </c>
      <c r="G446" t="str">
        <f>SmtRes!K859</f>
        <v>Метилен хлористый технический</v>
      </c>
      <c r="H446" t="str">
        <f>SmtRes!O859</f>
        <v>кг</v>
      </c>
      <c r="I446">
        <f>SmtRes!Y859*Source!I1043</f>
        <v>0.05</v>
      </c>
      <c r="J446">
        <f>SmtRes!AO859</f>
        <v>1</v>
      </c>
      <c r="K446">
        <f>SmtRes!AE859</f>
        <v>16.22</v>
      </c>
      <c r="L446">
        <f>SmtRes!DB859</f>
        <v>4.0599999999999996</v>
      </c>
      <c r="M446">
        <f>ROUND(ROUND(L446*Source!I1043, 6)*1, 2)</f>
        <v>0.81</v>
      </c>
      <c r="N446">
        <f>SmtRes!AA859</f>
        <v>212.48</v>
      </c>
      <c r="O446">
        <f>ROUND(ROUND(L446*Source!I1043, 6)*SmtRes!DA859, 2)</f>
        <v>10.64</v>
      </c>
      <c r="P446">
        <f>SmtRes!AG859</f>
        <v>0</v>
      </c>
      <c r="Q446">
        <f>SmtRes!DC859</f>
        <v>0</v>
      </c>
      <c r="R446">
        <f>ROUND(ROUND(Q446*Source!I1043, 6)*1, 2)</f>
        <v>0</v>
      </c>
      <c r="S446">
        <f>SmtRes!AC859</f>
        <v>0</v>
      </c>
      <c r="T446">
        <f>ROUND(ROUND(Q446*Source!I1043, 6)*SmtRes!AK859, 2)</f>
        <v>0</v>
      </c>
      <c r="U446">
        <v>3</v>
      </c>
      <c r="Y446">
        <f>SmtRes!X859</f>
        <v>-675737513</v>
      </c>
      <c r="Z446">
        <v>1776648825</v>
      </c>
      <c r="AA446">
        <v>388029671</v>
      </c>
    </row>
    <row r="447" spans="1:27" x14ac:dyDescent="0.2">
      <c r="A447">
        <v>20</v>
      </c>
      <c r="B447">
        <v>858</v>
      </c>
      <c r="C447">
        <v>3</v>
      </c>
      <c r="D447">
        <v>0</v>
      </c>
      <c r="E447">
        <f>SmtRes!AV858</f>
        <v>0</v>
      </c>
      <c r="F447" t="str">
        <f>SmtRes!I858</f>
        <v>1.1-1-236</v>
      </c>
      <c r="G447" t="str">
        <f>SmtRes!K858</f>
        <v>Дюбели с насаженными шайбами</v>
      </c>
      <c r="H447" t="str">
        <f>SmtRes!O858</f>
        <v>т</v>
      </c>
      <c r="I447">
        <f>SmtRes!Y858*Source!I1043</f>
        <v>1.7000000000000001E-4</v>
      </c>
      <c r="J447">
        <f>SmtRes!AO858</f>
        <v>1</v>
      </c>
      <c r="K447">
        <f>SmtRes!AE858</f>
        <v>20166.439999999999</v>
      </c>
      <c r="L447">
        <f>SmtRes!DB858</f>
        <v>17.14</v>
      </c>
      <c r="M447">
        <f>ROUND(ROUND(L447*Source!I1043, 6)*1, 2)</f>
        <v>3.43</v>
      </c>
      <c r="N447">
        <f>SmtRes!AA858</f>
        <v>222435.83</v>
      </c>
      <c r="O447">
        <f>ROUND(ROUND(L447*Source!I1043, 6)*SmtRes!DA858, 2)</f>
        <v>37.81</v>
      </c>
      <c r="P447">
        <f>SmtRes!AG858</f>
        <v>0</v>
      </c>
      <c r="Q447">
        <f>SmtRes!DC858</f>
        <v>0</v>
      </c>
      <c r="R447">
        <f>ROUND(ROUND(Q447*Source!I1043, 6)*1, 2)</f>
        <v>0</v>
      </c>
      <c r="S447">
        <f>SmtRes!AC858</f>
        <v>0</v>
      </c>
      <c r="T447">
        <f>ROUND(ROUND(Q447*Source!I1043, 6)*SmtRes!AK858, 2)</f>
        <v>0</v>
      </c>
      <c r="U447">
        <v>3</v>
      </c>
      <c r="Y447">
        <f>SmtRes!X858</f>
        <v>1693650758</v>
      </c>
      <c r="Z447">
        <v>-1997001503</v>
      </c>
      <c r="AA447">
        <v>-551341549</v>
      </c>
    </row>
    <row r="448" spans="1:27" x14ac:dyDescent="0.2">
      <c r="A448">
        <v>20</v>
      </c>
      <c r="B448">
        <v>857</v>
      </c>
      <c r="C448">
        <v>3</v>
      </c>
      <c r="D448">
        <v>0</v>
      </c>
      <c r="E448">
        <f>SmtRes!AV857</f>
        <v>0</v>
      </c>
      <c r="F448" t="str">
        <f>SmtRes!I857</f>
        <v>1.1-1-1622</v>
      </c>
      <c r="G448" t="str">
        <f>SmtRes!K857</f>
        <v>Патроны для пороховых монтажных пистолетов, калибр 6,8х18 мм, сверхвысокая мощность (703-846 Дж)</v>
      </c>
      <c r="H448" t="str">
        <f>SmtRes!O857</f>
        <v>100 шт.</v>
      </c>
      <c r="I448">
        <f>SmtRes!Y857*Source!I1043</f>
        <v>0.2</v>
      </c>
      <c r="J448">
        <f>SmtRes!AO857</f>
        <v>1</v>
      </c>
      <c r="K448">
        <f>SmtRes!AE857</f>
        <v>180.35</v>
      </c>
      <c r="L448">
        <f>SmtRes!DB857</f>
        <v>180.35</v>
      </c>
      <c r="M448">
        <f>ROUND(ROUND(L448*Source!I1043, 6)*1, 2)</f>
        <v>36.07</v>
      </c>
      <c r="N448">
        <f>SmtRes!AA857</f>
        <v>2198.4699999999998</v>
      </c>
      <c r="O448">
        <f>ROUND(ROUND(L448*Source!I1043, 6)*SmtRes!DA857, 2)</f>
        <v>439.69</v>
      </c>
      <c r="P448">
        <f>SmtRes!AG857</f>
        <v>0</v>
      </c>
      <c r="Q448">
        <f>SmtRes!DC857</f>
        <v>0</v>
      </c>
      <c r="R448">
        <f>ROUND(ROUND(Q448*Source!I1043, 6)*1, 2)</f>
        <v>0</v>
      </c>
      <c r="S448">
        <f>SmtRes!AC857</f>
        <v>0</v>
      </c>
      <c r="T448">
        <f>ROUND(ROUND(Q448*Source!I1043, 6)*SmtRes!AK857, 2)</f>
        <v>0</v>
      </c>
      <c r="U448">
        <v>3</v>
      </c>
      <c r="Y448">
        <f>SmtRes!X857</f>
        <v>1356090561</v>
      </c>
      <c r="Z448">
        <v>1149527520</v>
      </c>
      <c r="AA448">
        <v>1839231</v>
      </c>
    </row>
    <row r="449" spans="1:27" x14ac:dyDescent="0.2">
      <c r="A449">
        <v>20</v>
      </c>
      <c r="B449">
        <v>856</v>
      </c>
      <c r="C449">
        <v>3</v>
      </c>
      <c r="D449">
        <v>0</v>
      </c>
      <c r="E449">
        <f>SmtRes!AV856</f>
        <v>0</v>
      </c>
      <c r="F449" t="str">
        <f>SmtRes!I856</f>
        <v>1.1-1-118</v>
      </c>
      <c r="G449" t="str">
        <f>SmtRes!K856</f>
        <v>Вода</v>
      </c>
      <c r="H449" t="str">
        <f>SmtRes!O856</f>
        <v>м3</v>
      </c>
      <c r="I449">
        <f>SmtRes!Y856*Source!I1043</f>
        <v>1.26E-2</v>
      </c>
      <c r="J449">
        <f>SmtRes!AO856</f>
        <v>1</v>
      </c>
      <c r="K449">
        <f>SmtRes!AE856</f>
        <v>7.07</v>
      </c>
      <c r="L449">
        <f>SmtRes!DB856</f>
        <v>0.45</v>
      </c>
      <c r="M449">
        <f>ROUND(ROUND(L449*Source!I1043, 6)*1, 2)</f>
        <v>0.09</v>
      </c>
      <c r="N449">
        <f>SmtRes!AA856</f>
        <v>42.42</v>
      </c>
      <c r="O449">
        <f>ROUND(ROUND(L449*Source!I1043, 6)*SmtRes!DA856, 2)</f>
        <v>0.54</v>
      </c>
      <c r="P449">
        <f>SmtRes!AG856</f>
        <v>0</v>
      </c>
      <c r="Q449">
        <f>SmtRes!DC856</f>
        <v>0</v>
      </c>
      <c r="R449">
        <f>ROUND(ROUND(Q449*Source!I1043, 6)*1, 2)</f>
        <v>0</v>
      </c>
      <c r="S449">
        <f>SmtRes!AC856</f>
        <v>0</v>
      </c>
      <c r="T449">
        <f>ROUND(ROUND(Q449*Source!I1043, 6)*SmtRes!AK856, 2)</f>
        <v>0</v>
      </c>
      <c r="U449">
        <v>3</v>
      </c>
      <c r="Y449">
        <f>SmtRes!X856</f>
        <v>-862991314</v>
      </c>
      <c r="Z449">
        <v>-1421290593</v>
      </c>
      <c r="AA449">
        <v>-1279710304</v>
      </c>
    </row>
    <row r="450" spans="1:27" x14ac:dyDescent="0.2">
      <c r="A450">
        <v>20</v>
      </c>
      <c r="B450">
        <v>855</v>
      </c>
      <c r="C450">
        <v>2</v>
      </c>
      <c r="D450">
        <v>0</v>
      </c>
      <c r="E450">
        <f>SmtRes!AV855</f>
        <v>0</v>
      </c>
      <c r="F450" t="str">
        <f>SmtRes!I855</f>
        <v>2.1-3-38</v>
      </c>
      <c r="G450" t="str">
        <f>SmtRes!K855</f>
        <v>Краны на автомобильном ходу, грузоподъемность до 16 т</v>
      </c>
      <c r="H450" t="str">
        <f>SmtRes!O855</f>
        <v>маш.-ч.</v>
      </c>
      <c r="I450">
        <f>SmtRes!Y855*Source!I1043</f>
        <v>7.4999999999999997E-3</v>
      </c>
      <c r="J450">
        <f>SmtRes!AO855</f>
        <v>1</v>
      </c>
      <c r="K450">
        <f>SmtRes!AF855</f>
        <v>190.93</v>
      </c>
      <c r="L450">
        <f>SmtRes!DB855</f>
        <v>7.1624999999999996</v>
      </c>
      <c r="M450">
        <f>ROUND(ROUND(L450*Source!I1043, 6)*1, 2)</f>
        <v>1.43</v>
      </c>
      <c r="N450">
        <f>SmtRes!AB855</f>
        <v>2098.34</v>
      </c>
      <c r="O450">
        <f>ROUND(ROUND(L450*Source!I1043, 6)*SmtRes!DA855, 2)</f>
        <v>14.75</v>
      </c>
      <c r="P450">
        <f>SmtRes!AG855</f>
        <v>18.149999999999999</v>
      </c>
      <c r="Q450">
        <f>SmtRes!DC855</f>
        <v>0.67500000000000004</v>
      </c>
      <c r="R450">
        <f>ROUND(ROUND(Q450*Source!I1043, 6)*1, 2)</f>
        <v>0.14000000000000001</v>
      </c>
      <c r="S450">
        <f>SmtRes!AC855</f>
        <v>562.20000000000005</v>
      </c>
      <c r="T450">
        <f>ROUND(ROUND(Q450*Source!I1043, 6)*SmtRes!AK855, 2)</f>
        <v>3.92</v>
      </c>
      <c r="U450">
        <v>2</v>
      </c>
      <c r="Y450">
        <f>SmtRes!X855</f>
        <v>-266174272</v>
      </c>
      <c r="Z450">
        <v>-2048655808</v>
      </c>
      <c r="AA450">
        <v>1536045345</v>
      </c>
    </row>
    <row r="451" spans="1:27" x14ac:dyDescent="0.2">
      <c r="A451">
        <v>20</v>
      </c>
      <c r="B451">
        <v>854</v>
      </c>
      <c r="C451">
        <v>2</v>
      </c>
      <c r="D451">
        <v>0</v>
      </c>
      <c r="E451">
        <f>SmtRes!AV854</f>
        <v>0</v>
      </c>
      <c r="F451" t="str">
        <f>SmtRes!I854</f>
        <v>2.1-18-7</v>
      </c>
      <c r="G451" t="str">
        <f>SmtRes!K854</f>
        <v>Автомобили грузовые бортовые, грузоподъемность до 5 т</v>
      </c>
      <c r="H451" t="str">
        <f>SmtRes!O854</f>
        <v>маш.-ч.</v>
      </c>
      <c r="I451">
        <f>SmtRes!Y854*Source!I1043</f>
        <v>0.05</v>
      </c>
      <c r="J451">
        <f>SmtRes!AO854</f>
        <v>1</v>
      </c>
      <c r="K451">
        <f>SmtRes!AF854</f>
        <v>76.81</v>
      </c>
      <c r="L451">
        <f>SmtRes!DB854</f>
        <v>19.2</v>
      </c>
      <c r="M451">
        <f>ROUND(ROUND(L451*Source!I1043, 6)*1, 2)</f>
        <v>3.84</v>
      </c>
      <c r="N451">
        <f>SmtRes!AB854</f>
        <v>935.94</v>
      </c>
      <c r="O451">
        <f>ROUND(ROUND(L451*Source!I1043, 6)*SmtRes!DA854, 2)</f>
        <v>43.85</v>
      </c>
      <c r="P451">
        <f>SmtRes!AG854</f>
        <v>14.36</v>
      </c>
      <c r="Q451">
        <f>SmtRes!DC854</f>
        <v>3.5874999999999999</v>
      </c>
      <c r="R451">
        <f>ROUND(ROUND(Q451*Source!I1043, 6)*1, 2)</f>
        <v>0.72</v>
      </c>
      <c r="S451">
        <f>SmtRes!AC854</f>
        <v>444.8</v>
      </c>
      <c r="T451">
        <f>ROUND(ROUND(Q451*Source!I1043, 6)*SmtRes!AK854, 2)</f>
        <v>20.83</v>
      </c>
      <c r="U451">
        <v>2</v>
      </c>
      <c r="Y451">
        <f>SmtRes!X854</f>
        <v>-628430174</v>
      </c>
      <c r="Z451">
        <v>-2049064267</v>
      </c>
      <c r="AA451">
        <v>1144387144</v>
      </c>
    </row>
    <row r="452" spans="1:27" x14ac:dyDescent="0.2">
      <c r="A452">
        <v>20</v>
      </c>
      <c r="B452">
        <v>853</v>
      </c>
      <c r="C452">
        <v>2</v>
      </c>
      <c r="D452">
        <v>0</v>
      </c>
      <c r="E452">
        <f>SmtRes!AV853</f>
        <v>0</v>
      </c>
      <c r="F452" t="str">
        <f>SmtRes!I853</f>
        <v>2.1-13-38</v>
      </c>
      <c r="G452" t="str">
        <f>SmtRes!K853</f>
        <v>Аппараты для раструбной сварки труб из термопластов диаметром 16-110 мм</v>
      </c>
      <c r="H452" t="str">
        <f>SmtRes!O853</f>
        <v>маш.-ч.</v>
      </c>
      <c r="I452">
        <f>SmtRes!Y853*Source!I1043</f>
        <v>2.8574999999999999</v>
      </c>
      <c r="J452">
        <f>SmtRes!AO853</f>
        <v>1</v>
      </c>
      <c r="K452">
        <f>SmtRes!AF853</f>
        <v>1.42</v>
      </c>
      <c r="L452">
        <f>SmtRes!DB853</f>
        <v>20.287500000000001</v>
      </c>
      <c r="M452">
        <f>ROUND(ROUND(L452*Source!I1043, 6)*1, 2)</f>
        <v>4.0599999999999996</v>
      </c>
      <c r="N452">
        <f>SmtRes!AB853</f>
        <v>14.65</v>
      </c>
      <c r="O452">
        <f>ROUND(ROUND(L452*Source!I1043, 6)*SmtRes!DA853, 2)</f>
        <v>39.24</v>
      </c>
      <c r="P452">
        <f>SmtRes!AG853</f>
        <v>0.01</v>
      </c>
      <c r="Q452">
        <f>SmtRes!DC853</f>
        <v>0.13750000000000001</v>
      </c>
      <c r="R452">
        <f>ROUND(ROUND(Q452*Source!I1043, 6)*1, 2)</f>
        <v>0.03</v>
      </c>
      <c r="S452">
        <f>SmtRes!AC853</f>
        <v>0.31</v>
      </c>
      <c r="T452">
        <f>ROUND(ROUND(Q452*Source!I1043, 6)*SmtRes!AK853, 2)</f>
        <v>0.8</v>
      </c>
      <c r="U452">
        <v>2</v>
      </c>
      <c r="Y452">
        <f>SmtRes!X853</f>
        <v>162885925</v>
      </c>
      <c r="Z452">
        <v>1346751864</v>
      </c>
      <c r="AA452">
        <v>969662417</v>
      </c>
    </row>
    <row r="453" spans="1:27" x14ac:dyDescent="0.2">
      <c r="A453">
        <v>20</v>
      </c>
      <c r="B453">
        <v>852</v>
      </c>
      <c r="C453">
        <v>1</v>
      </c>
      <c r="D453">
        <v>0</v>
      </c>
      <c r="E453">
        <f>SmtRes!AV852</f>
        <v>1</v>
      </c>
      <c r="F453" t="str">
        <f>SmtRes!I852</f>
        <v>9999990008</v>
      </c>
      <c r="G453" t="str">
        <f>SmtRes!K852</f>
        <v>Трудозатраты рабочих</v>
      </c>
      <c r="H453" t="str">
        <f>SmtRes!O852</f>
        <v>чел.-ч.</v>
      </c>
      <c r="I453">
        <f>SmtRes!Y852*Source!I1043</f>
        <v>37.72</v>
      </c>
      <c r="J453">
        <f>SmtRes!AO852</f>
        <v>1</v>
      </c>
      <c r="K453">
        <f>SmtRes!AH852</f>
        <v>0</v>
      </c>
      <c r="L453">
        <f>SmtRes!DB852</f>
        <v>0</v>
      </c>
      <c r="M453">
        <f>ROUND(ROUND(L453*Source!I1043, 6)*1, 2)</f>
        <v>0</v>
      </c>
      <c r="N453">
        <f>SmtRes!AD852</f>
        <v>0</v>
      </c>
      <c r="O453">
        <f>ROUND(ROUND(L453*Source!I1043, 6)*SmtRes!DA852, 2)</f>
        <v>0</v>
      </c>
      <c r="P453">
        <f>SmtRes!AG852</f>
        <v>0</v>
      </c>
      <c r="Q453">
        <f>SmtRes!DC852</f>
        <v>0</v>
      </c>
      <c r="R453">
        <f>ROUND(ROUND(Q453*Source!I1043, 6)*1, 2)</f>
        <v>0</v>
      </c>
      <c r="S453">
        <f>SmtRes!AC852</f>
        <v>0</v>
      </c>
      <c r="T453">
        <f>ROUND(ROUND(Q453*Source!I1043, 6)*SmtRes!AK852, 2)</f>
        <v>0</v>
      </c>
      <c r="U453">
        <v>1</v>
      </c>
      <c r="Y453">
        <f>SmtRes!X852</f>
        <v>476480486</v>
      </c>
      <c r="Z453">
        <v>1499241640</v>
      </c>
      <c r="AA453">
        <v>1499241640</v>
      </c>
    </row>
    <row r="454" spans="1:27" x14ac:dyDescent="0.2">
      <c r="A454">
        <f>Source!A1045</f>
        <v>18</v>
      </c>
      <c r="B454">
        <v>1045</v>
      </c>
      <c r="C454">
        <v>3</v>
      </c>
      <c r="D454">
        <f>Source!BI1045</f>
        <v>1</v>
      </c>
      <c r="E454">
        <f>Source!FS1045</f>
        <v>0</v>
      </c>
      <c r="F454" t="str">
        <f>Source!F1045</f>
        <v>1.12-5-159</v>
      </c>
      <c r="G454" t="str">
        <f>Source!G1045</f>
        <v>Трубы напорные PN20 (номинальное давление 20 атм) из полипропилена PPRC, наружный диаметр 20 мм</v>
      </c>
      <c r="H454" t="str">
        <f>Source!H1045</f>
        <v>м</v>
      </c>
      <c r="I454">
        <f>Source!I1045</f>
        <v>17.98</v>
      </c>
      <c r="J454">
        <v>1</v>
      </c>
      <c r="K454">
        <f>Source!AC1045</f>
        <v>0</v>
      </c>
      <c r="M454">
        <f t="shared" ref="M454:M462" si="12">ROUND(K454*I454, 2)</f>
        <v>0</v>
      </c>
      <c r="N454">
        <f>Source!AC1045*IF(Source!BC1045&lt;&gt; 0, Source!BC1045, 1)</f>
        <v>0</v>
      </c>
      <c r="O454">
        <f t="shared" ref="O454:O462" si="13">ROUND(N454*I454, 2)</f>
        <v>0</v>
      </c>
      <c r="P454">
        <f>Source!AE1045</f>
        <v>0</v>
      </c>
      <c r="R454">
        <f t="shared" ref="R454:R462" si="14">ROUND(P454*I454, 2)</f>
        <v>0</v>
      </c>
      <c r="S454">
        <f>Source!AE1045*IF(Source!BS1045&lt;&gt; 0, Source!BS1045, 1)</f>
        <v>0</v>
      </c>
      <c r="T454">
        <f t="shared" ref="T454:T462" si="15">ROUND(S454*I454, 2)</f>
        <v>0</v>
      </c>
      <c r="U454">
        <v>3</v>
      </c>
      <c r="Y454">
        <f>Source!GF1045</f>
        <v>1418106712</v>
      </c>
      <c r="Z454">
        <v>1704042702</v>
      </c>
      <c r="AA454">
        <v>1704042702</v>
      </c>
    </row>
    <row r="455" spans="1:27" x14ac:dyDescent="0.2">
      <c r="A455">
        <f>Source!A1047</f>
        <v>18</v>
      </c>
      <c r="B455">
        <v>1047</v>
      </c>
      <c r="C455">
        <v>3</v>
      </c>
      <c r="D455">
        <f>Source!BI1047</f>
        <v>1</v>
      </c>
      <c r="E455">
        <f>Source!FS1047</f>
        <v>0</v>
      </c>
      <c r="F455" t="str">
        <f>Source!F1047</f>
        <v>1.12-5-204</v>
      </c>
      <c r="G455" t="str">
        <f>Source!G1047</f>
        <v>Тройник переходной из сополимера полипропилена "Рандом Сополимер" PP-R тип 3 (PRC-R), диаметр 20-16-20 мм</v>
      </c>
      <c r="H455" t="str">
        <f>Source!H1047</f>
        <v>шт.</v>
      </c>
      <c r="I455">
        <f>Source!I1047</f>
        <v>5</v>
      </c>
      <c r="J455">
        <v>1</v>
      </c>
      <c r="K455">
        <f>Source!AC1047</f>
        <v>0</v>
      </c>
      <c r="M455">
        <f t="shared" si="12"/>
        <v>0</v>
      </c>
      <c r="N455">
        <f>Source!AC1047*IF(Source!BC1047&lt;&gt; 0, Source!BC1047, 1)</f>
        <v>0</v>
      </c>
      <c r="O455">
        <f t="shared" si="13"/>
        <v>0</v>
      </c>
      <c r="P455">
        <f>Source!AE1047</f>
        <v>0</v>
      </c>
      <c r="R455">
        <f t="shared" si="14"/>
        <v>0</v>
      </c>
      <c r="S455">
        <f>Source!AE1047*IF(Source!BS1047&lt;&gt; 0, Source!BS1047, 1)</f>
        <v>0</v>
      </c>
      <c r="T455">
        <f t="shared" si="15"/>
        <v>0</v>
      </c>
      <c r="U455">
        <v>3</v>
      </c>
      <c r="Y455">
        <f>Source!GF1047</f>
        <v>-1782072134</v>
      </c>
      <c r="Z455">
        <v>-2027209743</v>
      </c>
      <c r="AA455">
        <v>-2027209743</v>
      </c>
    </row>
    <row r="456" spans="1:27" x14ac:dyDescent="0.2">
      <c r="A456">
        <f>Source!A1049</f>
        <v>18</v>
      </c>
      <c r="B456">
        <v>1049</v>
      </c>
      <c r="C456">
        <v>3</v>
      </c>
      <c r="D456">
        <f>Source!BI1049</f>
        <v>1</v>
      </c>
      <c r="E456">
        <f>Source!FS1049</f>
        <v>0</v>
      </c>
      <c r="F456" t="str">
        <f>Source!F1049</f>
        <v>1.12-5-178</v>
      </c>
      <c r="G456" t="str">
        <f>Source!G1049</f>
        <v>Угольник 90° из сополимера полипропилена "Рандом Сополимер" PP-R тип 3 (PRC-R), наружный диаметр 20 мм</v>
      </c>
      <c r="H456" t="str">
        <f>Source!H1049</f>
        <v>шт.</v>
      </c>
      <c r="I456">
        <f>Source!I1049</f>
        <v>12</v>
      </c>
      <c r="J456">
        <v>1</v>
      </c>
      <c r="K456">
        <f>Source!AC1049</f>
        <v>0</v>
      </c>
      <c r="M456">
        <f t="shared" si="12"/>
        <v>0</v>
      </c>
      <c r="N456">
        <f>Source!AC1049*IF(Source!BC1049&lt;&gt; 0, Source!BC1049, 1)</f>
        <v>0</v>
      </c>
      <c r="O456">
        <f t="shared" si="13"/>
        <v>0</v>
      </c>
      <c r="P456">
        <f>Source!AE1049</f>
        <v>0</v>
      </c>
      <c r="R456">
        <f t="shared" si="14"/>
        <v>0</v>
      </c>
      <c r="S456">
        <f>Source!AE1049*IF(Source!BS1049&lt;&gt; 0, Source!BS1049, 1)</f>
        <v>0</v>
      </c>
      <c r="T456">
        <f t="shared" si="15"/>
        <v>0</v>
      </c>
      <c r="U456">
        <v>3</v>
      </c>
      <c r="Y456">
        <f>Source!GF1049</f>
        <v>197807928</v>
      </c>
      <c r="Z456">
        <v>-277803108</v>
      </c>
      <c r="AA456">
        <v>-277803108</v>
      </c>
    </row>
    <row r="457" spans="1:27" x14ac:dyDescent="0.2">
      <c r="A457">
        <f>Source!A1051</f>
        <v>18</v>
      </c>
      <c r="B457">
        <v>1051</v>
      </c>
      <c r="C457">
        <v>3</v>
      </c>
      <c r="D457">
        <f>Source!BI1051</f>
        <v>1</v>
      </c>
      <c r="E457">
        <f>Source!FS1051</f>
        <v>0</v>
      </c>
      <c r="F457" t="str">
        <f>Source!F1051</f>
        <v>1.12-5-169</v>
      </c>
      <c r="G457" t="str">
        <f>Source!G1051</f>
        <v>Муфта соединительная из сополимера полипропилена "Рандом Сополимер" PP-R тип 3 (PRC-R), наружный диаметр 20 мм</v>
      </c>
      <c r="H457" t="str">
        <f>Source!H1051</f>
        <v>шт.</v>
      </c>
      <c r="I457">
        <f>Source!I1051</f>
        <v>4</v>
      </c>
      <c r="J457">
        <v>1</v>
      </c>
      <c r="K457">
        <f>Source!AC1051</f>
        <v>0</v>
      </c>
      <c r="M457">
        <f t="shared" si="12"/>
        <v>0</v>
      </c>
      <c r="N457">
        <f>Source!AC1051*IF(Source!BC1051&lt;&gt; 0, Source!BC1051, 1)</f>
        <v>0</v>
      </c>
      <c r="O457">
        <f t="shared" si="13"/>
        <v>0</v>
      </c>
      <c r="P457">
        <f>Source!AE1051</f>
        <v>0</v>
      </c>
      <c r="R457">
        <f t="shared" si="14"/>
        <v>0</v>
      </c>
      <c r="S457">
        <f>Source!AE1051*IF(Source!BS1051&lt;&gt; 0, Source!BS1051, 1)</f>
        <v>0</v>
      </c>
      <c r="T457">
        <f t="shared" si="15"/>
        <v>0</v>
      </c>
      <c r="U457">
        <v>3</v>
      </c>
      <c r="Y457">
        <f>Source!GF1051</f>
        <v>-1495509255</v>
      </c>
      <c r="Z457">
        <v>918453572</v>
      </c>
      <c r="AA457">
        <v>918453572</v>
      </c>
    </row>
    <row r="458" spans="1:27" x14ac:dyDescent="0.2">
      <c r="A458">
        <f>Source!A1053</f>
        <v>18</v>
      </c>
      <c r="B458">
        <v>1053</v>
      </c>
      <c r="C458">
        <v>3</v>
      </c>
      <c r="D458">
        <f>Source!BI1053</f>
        <v>1</v>
      </c>
      <c r="E458">
        <f>Source!FS1053</f>
        <v>0</v>
      </c>
      <c r="F458" t="str">
        <f>Source!F1053</f>
        <v>1.12-5-194</v>
      </c>
      <c r="G458" t="str">
        <f>Source!G1053</f>
        <v>Муфта комбинированная из сополимера полипропилена "Рандом Сополимер" PP-R тип 3 (PRC-R), наружная резьба, диаметр 20-32 мм</v>
      </c>
      <c r="H458" t="str">
        <f>Source!H1053</f>
        <v>шт.</v>
      </c>
      <c r="I458">
        <f>Source!I1053</f>
        <v>7</v>
      </c>
      <c r="J458">
        <v>1</v>
      </c>
      <c r="K458">
        <f>Source!AC1053</f>
        <v>0</v>
      </c>
      <c r="M458">
        <f t="shared" si="12"/>
        <v>0</v>
      </c>
      <c r="N458">
        <f>Source!AC1053*IF(Source!BC1053&lt;&gt; 0, Source!BC1053, 1)</f>
        <v>0</v>
      </c>
      <c r="O458">
        <f t="shared" si="13"/>
        <v>0</v>
      </c>
      <c r="P458">
        <f>Source!AE1053</f>
        <v>0</v>
      </c>
      <c r="R458">
        <f t="shared" si="14"/>
        <v>0</v>
      </c>
      <c r="S458">
        <f>Source!AE1053*IF(Source!BS1053&lt;&gt; 0, Source!BS1053, 1)</f>
        <v>0</v>
      </c>
      <c r="T458">
        <f t="shared" si="15"/>
        <v>0</v>
      </c>
      <c r="U458">
        <v>3</v>
      </c>
      <c r="Y458">
        <f>Source!GF1053</f>
        <v>1942050970</v>
      </c>
      <c r="Z458">
        <v>-2002416186</v>
      </c>
      <c r="AA458">
        <v>-2002416186</v>
      </c>
    </row>
    <row r="459" spans="1:27" x14ac:dyDescent="0.2">
      <c r="A459">
        <f>Source!A1055</f>
        <v>18</v>
      </c>
      <c r="B459">
        <v>1055</v>
      </c>
      <c r="C459">
        <v>3</v>
      </c>
      <c r="D459">
        <f>Source!BI1055</f>
        <v>1</v>
      </c>
      <c r="E459">
        <f>Source!FS1055</f>
        <v>0</v>
      </c>
      <c r="F459" t="str">
        <f>Source!F1055</f>
        <v>1.12-5-200</v>
      </c>
      <c r="G459" t="str">
        <f>Source!G1055</f>
        <v>Муфта комбинированная разъемная из сополимера полипропилена "Рандом Сополимер" PP-R тип 3 (PRC-R), наружная резьба, диаметр 20-32 мм</v>
      </c>
      <c r="H459" t="str">
        <f>Source!H1055</f>
        <v>шт.</v>
      </c>
      <c r="I459">
        <f>Source!I1055</f>
        <v>2</v>
      </c>
      <c r="J459">
        <v>1</v>
      </c>
      <c r="K459">
        <f>Source!AC1055</f>
        <v>0</v>
      </c>
      <c r="M459">
        <f t="shared" si="12"/>
        <v>0</v>
      </c>
      <c r="N459">
        <f>Source!AC1055*IF(Source!BC1055&lt;&gt; 0, Source!BC1055, 1)</f>
        <v>0</v>
      </c>
      <c r="O459">
        <f t="shared" si="13"/>
        <v>0</v>
      </c>
      <c r="P459">
        <f>Source!AE1055</f>
        <v>0</v>
      </c>
      <c r="R459">
        <f t="shared" si="14"/>
        <v>0</v>
      </c>
      <c r="S459">
        <f>Source!AE1055*IF(Source!BS1055&lt;&gt; 0, Source!BS1055, 1)</f>
        <v>0</v>
      </c>
      <c r="T459">
        <f t="shared" si="15"/>
        <v>0</v>
      </c>
      <c r="U459">
        <v>3</v>
      </c>
      <c r="Y459">
        <f>Source!GF1055</f>
        <v>-729385371</v>
      </c>
      <c r="Z459">
        <v>757713676</v>
      </c>
      <c r="AA459">
        <v>757713676</v>
      </c>
    </row>
    <row r="460" spans="1:27" x14ac:dyDescent="0.2">
      <c r="A460">
        <f>Source!A1057</f>
        <v>18</v>
      </c>
      <c r="B460">
        <v>1057</v>
      </c>
      <c r="C460">
        <v>3</v>
      </c>
      <c r="D460">
        <f>Source!BI1057</f>
        <v>1</v>
      </c>
      <c r="E460">
        <f>Source!FS1057</f>
        <v>0</v>
      </c>
      <c r="F460" t="str">
        <f>Source!F1057</f>
        <v>1.12-5-939</v>
      </c>
      <c r="G460" t="str">
        <f>Source!G1057</f>
        <v>Уголок полипропиленовый PP-R, комбинированный с металлом, с настенным креплением, для полипропиленовых труб, наружная резьба, PN 25, диаметр 20 мм - 1/2"</v>
      </c>
      <c r="H460" t="str">
        <f>Source!H1057</f>
        <v>шт.</v>
      </c>
      <c r="I460">
        <f>Source!I1057</f>
        <v>2</v>
      </c>
      <c r="J460">
        <v>1</v>
      </c>
      <c r="K460">
        <f>Source!AC1057</f>
        <v>0</v>
      </c>
      <c r="M460">
        <f t="shared" si="12"/>
        <v>0</v>
      </c>
      <c r="N460">
        <f>Source!AC1057*IF(Source!BC1057&lt;&gt; 0, Source!BC1057, 1)</f>
        <v>0</v>
      </c>
      <c r="O460">
        <f t="shared" si="13"/>
        <v>0</v>
      </c>
      <c r="P460">
        <f>Source!AE1057</f>
        <v>0</v>
      </c>
      <c r="R460">
        <f t="shared" si="14"/>
        <v>0</v>
      </c>
      <c r="S460">
        <f>Source!AE1057*IF(Source!BS1057&lt;&gt; 0, Source!BS1057, 1)</f>
        <v>0</v>
      </c>
      <c r="T460">
        <f t="shared" si="15"/>
        <v>0</v>
      </c>
      <c r="U460">
        <v>3</v>
      </c>
      <c r="Y460">
        <f>Source!GF1057</f>
        <v>1773581639</v>
      </c>
      <c r="Z460">
        <v>672616335</v>
      </c>
      <c r="AA460">
        <v>672616335</v>
      </c>
    </row>
    <row r="461" spans="1:27" x14ac:dyDescent="0.2">
      <c r="A461">
        <f>Source!A1059</f>
        <v>18</v>
      </c>
      <c r="B461">
        <v>1059</v>
      </c>
      <c r="C461">
        <v>3</v>
      </c>
      <c r="D461">
        <f>Source!BI1059</f>
        <v>1</v>
      </c>
      <c r="E461">
        <f>Source!FS1059</f>
        <v>0</v>
      </c>
      <c r="F461" t="str">
        <f>Source!F1059</f>
        <v>1.12-5-351</v>
      </c>
      <c r="G461" t="str">
        <f>Source!G1059</f>
        <v>Колена обводные из полипропилена PP-R80, для трубопроводов холодного и горячего водоснабжения, отопления, диаметр 20 мм</v>
      </c>
      <c r="H461" t="str">
        <f>Source!H1059</f>
        <v>шт.</v>
      </c>
      <c r="I461">
        <f>Source!I1059</f>
        <v>4</v>
      </c>
      <c r="J461">
        <v>1</v>
      </c>
      <c r="K461">
        <f>Source!AC1059</f>
        <v>0</v>
      </c>
      <c r="M461">
        <f t="shared" si="12"/>
        <v>0</v>
      </c>
      <c r="N461">
        <f>Source!AC1059*IF(Source!BC1059&lt;&gt; 0, Source!BC1059, 1)</f>
        <v>0</v>
      </c>
      <c r="O461">
        <f t="shared" si="13"/>
        <v>0</v>
      </c>
      <c r="P461">
        <f>Source!AE1059</f>
        <v>0</v>
      </c>
      <c r="R461">
        <f t="shared" si="14"/>
        <v>0</v>
      </c>
      <c r="S461">
        <f>Source!AE1059*IF(Source!BS1059&lt;&gt; 0, Source!BS1059, 1)</f>
        <v>0</v>
      </c>
      <c r="T461">
        <f t="shared" si="15"/>
        <v>0</v>
      </c>
      <c r="U461">
        <v>3</v>
      </c>
      <c r="Y461">
        <f>Source!GF1059</f>
        <v>1698173573</v>
      </c>
      <c r="Z461">
        <v>-2110072689</v>
      </c>
      <c r="AA461">
        <v>-2110072689</v>
      </c>
    </row>
    <row r="462" spans="1:27" x14ac:dyDescent="0.2">
      <c r="A462">
        <f>Source!A1061</f>
        <v>18</v>
      </c>
      <c r="B462">
        <v>1061</v>
      </c>
      <c r="C462">
        <v>3</v>
      </c>
      <c r="D462">
        <f>Source!BI1061</f>
        <v>1</v>
      </c>
      <c r="E462">
        <f>Source!FS1061</f>
        <v>0</v>
      </c>
      <c r="F462" t="str">
        <f>Source!F1061</f>
        <v>1.12-5-970</v>
      </c>
      <c r="G462" t="str">
        <f>Source!G1061</f>
        <v>Крепление-клипса полипропиленовая PP-R, одинарная (опора), для полипропиленовых труб, PN 25, диаметр 20 мм</v>
      </c>
      <c r="H462" t="str">
        <f>Source!H1061</f>
        <v>шт.</v>
      </c>
      <c r="I462">
        <f>Source!I1061</f>
        <v>20</v>
      </c>
      <c r="J462">
        <v>1</v>
      </c>
      <c r="K462">
        <f>Source!AC1061</f>
        <v>0</v>
      </c>
      <c r="M462">
        <f t="shared" si="12"/>
        <v>0</v>
      </c>
      <c r="N462">
        <f>Source!AC1061*IF(Source!BC1061&lt;&gt; 0, Source!BC1061, 1)</f>
        <v>0</v>
      </c>
      <c r="O462">
        <f t="shared" si="13"/>
        <v>0</v>
      </c>
      <c r="P462">
        <f>Source!AE1061</f>
        <v>0</v>
      </c>
      <c r="R462">
        <f t="shared" si="14"/>
        <v>0</v>
      </c>
      <c r="S462">
        <f>Source!AE1061*IF(Source!BS1061&lt;&gt; 0, Source!BS1061, 1)</f>
        <v>0</v>
      </c>
      <c r="T462">
        <f t="shared" si="15"/>
        <v>0</v>
      </c>
      <c r="U462">
        <v>3</v>
      </c>
      <c r="Y462">
        <f>Source!GF1061</f>
        <v>71534593</v>
      </c>
      <c r="Z462">
        <v>348333905</v>
      </c>
      <c r="AA462">
        <v>348333905</v>
      </c>
    </row>
    <row r="463" spans="1:27" x14ac:dyDescent="0.2">
      <c r="A463">
        <v>20</v>
      </c>
      <c r="B463">
        <v>888</v>
      </c>
      <c r="C463">
        <v>3</v>
      </c>
      <c r="D463">
        <v>0</v>
      </c>
      <c r="E463">
        <f>SmtRes!AV888</f>
        <v>0</v>
      </c>
      <c r="F463" t="str">
        <f>SmtRes!I888</f>
        <v>9999990006</v>
      </c>
      <c r="G463" t="str">
        <f>SmtRes!K888</f>
        <v>Стоимость прочих материалов (ЭСН)</v>
      </c>
      <c r="H463" t="str">
        <f>SmtRes!O888</f>
        <v>руб.</v>
      </c>
      <c r="I463">
        <f>SmtRes!Y888*Source!I1063</f>
        <v>8</v>
      </c>
      <c r="J463">
        <f>SmtRes!AO888</f>
        <v>1</v>
      </c>
      <c r="K463">
        <f>SmtRes!AE888</f>
        <v>1</v>
      </c>
      <c r="L463">
        <f>SmtRes!DB888</f>
        <v>5</v>
      </c>
      <c r="M463">
        <f>ROUND(ROUND(L463*Source!I1063, 6)*1, 2)</f>
        <v>8</v>
      </c>
      <c r="N463">
        <f>SmtRes!AA888</f>
        <v>8.81</v>
      </c>
      <c r="O463">
        <f>ROUND(ROUND(L463*Source!I1063, 6)*SmtRes!DA888, 2)</f>
        <v>69.2</v>
      </c>
      <c r="P463">
        <f>SmtRes!AG888</f>
        <v>0</v>
      </c>
      <c r="Q463">
        <f>SmtRes!DC888</f>
        <v>0</v>
      </c>
      <c r="R463">
        <f>ROUND(ROUND(Q463*Source!I1063, 6)*1, 2)</f>
        <v>0</v>
      </c>
      <c r="S463">
        <f>SmtRes!AC888</f>
        <v>0</v>
      </c>
      <c r="T463">
        <f>ROUND(ROUND(Q463*Source!I1063, 6)*SmtRes!AK888, 2)</f>
        <v>0</v>
      </c>
      <c r="U463">
        <v>3</v>
      </c>
      <c r="Y463">
        <f>SmtRes!X888</f>
        <v>-94250534</v>
      </c>
      <c r="Z463">
        <v>-1771809642</v>
      </c>
      <c r="AA463">
        <v>-1731630056</v>
      </c>
    </row>
    <row r="464" spans="1:27" x14ac:dyDescent="0.2">
      <c r="A464">
        <v>20</v>
      </c>
      <c r="B464">
        <v>886</v>
      </c>
      <c r="C464">
        <v>3</v>
      </c>
      <c r="D464">
        <v>0</v>
      </c>
      <c r="E464">
        <f>SmtRes!AV886</f>
        <v>0</v>
      </c>
      <c r="F464" t="str">
        <f>SmtRes!I886</f>
        <v>1.1-1-464</v>
      </c>
      <c r="G464" t="str">
        <f>SmtRes!K886</f>
        <v>Краска на водной основе, эластичная, для защиты теплоизоляции из вспененного синтетического каучука, для наружных и внутренних работ</v>
      </c>
      <c r="H464" t="str">
        <f>SmtRes!O886</f>
        <v>л</v>
      </c>
      <c r="I464">
        <f>SmtRes!Y886*Source!I1063</f>
        <v>1.4880000000000002</v>
      </c>
      <c r="J464">
        <f>SmtRes!AO886</f>
        <v>1</v>
      </c>
      <c r="K464">
        <f>SmtRes!AE886</f>
        <v>34.75</v>
      </c>
      <c r="L464">
        <f>SmtRes!DB886</f>
        <v>32.32</v>
      </c>
      <c r="M464">
        <f>ROUND(ROUND(L464*Source!I1063, 6)*1, 2)</f>
        <v>51.71</v>
      </c>
      <c r="N464">
        <f>SmtRes!AA886</f>
        <v>1077.8900000000001</v>
      </c>
      <c r="O464">
        <f>ROUND(ROUND(L464*Source!I1063, 6)*SmtRes!DA886, 2)</f>
        <v>1574.11</v>
      </c>
      <c r="P464">
        <f>SmtRes!AG886</f>
        <v>0</v>
      </c>
      <c r="Q464">
        <f>SmtRes!DC886</f>
        <v>0</v>
      </c>
      <c r="R464">
        <f>ROUND(ROUND(Q464*Source!I1063, 6)*1, 2)</f>
        <v>0</v>
      </c>
      <c r="S464">
        <f>SmtRes!AC886</f>
        <v>0</v>
      </c>
      <c r="T464">
        <f>ROUND(ROUND(Q464*Source!I1063, 6)*SmtRes!AK886, 2)</f>
        <v>0</v>
      </c>
      <c r="U464">
        <v>3</v>
      </c>
      <c r="Y464">
        <f>SmtRes!X886</f>
        <v>-61452450</v>
      </c>
      <c r="Z464">
        <v>1003769678</v>
      </c>
      <c r="AA464">
        <v>-1995223551</v>
      </c>
    </row>
    <row r="465" spans="1:27" x14ac:dyDescent="0.2">
      <c r="A465">
        <v>20</v>
      </c>
      <c r="B465">
        <v>885</v>
      </c>
      <c r="C465">
        <v>3</v>
      </c>
      <c r="D465">
        <v>0</v>
      </c>
      <c r="E465">
        <f>SmtRes!AV885</f>
        <v>0</v>
      </c>
      <c r="F465" t="str">
        <f>SmtRes!I885</f>
        <v>1.1-1-406</v>
      </c>
      <c r="G465" t="str">
        <f>SmtRes!K885</f>
        <v>Клипсы пластиковые, для соединения продольных и поперечных швов теплоизоляции на основе вспененного полиэтилена</v>
      </c>
      <c r="H465" t="str">
        <f>SmtRes!O885</f>
        <v>шт.</v>
      </c>
      <c r="I465">
        <f>SmtRes!Y885*Source!I1063</f>
        <v>48</v>
      </c>
      <c r="J465">
        <f>SmtRes!AO885</f>
        <v>1</v>
      </c>
      <c r="K465">
        <f>SmtRes!AE885</f>
        <v>0.75</v>
      </c>
      <c r="L465">
        <f>SmtRes!DB885</f>
        <v>22.5</v>
      </c>
      <c r="M465">
        <f>ROUND(ROUND(L465*Source!I1063, 6)*1, 2)</f>
        <v>36</v>
      </c>
      <c r="N465">
        <f>SmtRes!AA885</f>
        <v>2.3199999999999998</v>
      </c>
      <c r="O465">
        <f>ROUND(ROUND(L465*Source!I1063, 6)*SmtRes!DA885, 2)</f>
        <v>109.44</v>
      </c>
      <c r="P465">
        <f>SmtRes!AG885</f>
        <v>0</v>
      </c>
      <c r="Q465">
        <f>SmtRes!DC885</f>
        <v>0</v>
      </c>
      <c r="R465">
        <f>ROUND(ROUND(Q465*Source!I1063, 6)*1, 2)</f>
        <v>0</v>
      </c>
      <c r="S465">
        <f>SmtRes!AC885</f>
        <v>0</v>
      </c>
      <c r="T465">
        <f>ROUND(ROUND(Q465*Source!I1063, 6)*SmtRes!AK885, 2)</f>
        <v>0</v>
      </c>
      <c r="U465">
        <v>3</v>
      </c>
      <c r="Y465">
        <f>SmtRes!X885</f>
        <v>-799916466</v>
      </c>
      <c r="Z465">
        <v>-1848167360</v>
      </c>
      <c r="AA465">
        <v>-1042895764</v>
      </c>
    </row>
    <row r="466" spans="1:27" x14ac:dyDescent="0.2">
      <c r="A466">
        <v>20</v>
      </c>
      <c r="B466">
        <v>882</v>
      </c>
      <c r="C466">
        <v>2</v>
      </c>
      <c r="D466">
        <v>0</v>
      </c>
      <c r="E466">
        <f>SmtRes!AV882</f>
        <v>0</v>
      </c>
      <c r="F466" t="str">
        <f>SmtRes!I882</f>
        <v>9999990007</v>
      </c>
      <c r="G466" t="str">
        <f>SmtRes!K882</f>
        <v>Стоимость прочих машин (ЭСН)</v>
      </c>
      <c r="H466" t="str">
        <f>SmtRes!O882</f>
        <v>руб.</v>
      </c>
      <c r="I466">
        <f>SmtRes!Y882*Source!I1063</f>
        <v>26.400000000000002</v>
      </c>
      <c r="J466">
        <f>SmtRes!AO882</f>
        <v>1</v>
      </c>
      <c r="K466">
        <f>SmtRes!AF882</f>
        <v>1</v>
      </c>
      <c r="L466">
        <f>SmtRes!DB882</f>
        <v>16.5</v>
      </c>
      <c r="M466">
        <f>ROUND(ROUND(L466*Source!I1063, 6)*1, 2)</f>
        <v>26.4</v>
      </c>
      <c r="N466">
        <f>SmtRes!AB882</f>
        <v>1.05</v>
      </c>
      <c r="O466">
        <f>ROUND(ROUND(L466*Source!I1063, 6)*SmtRes!DA882, 2)</f>
        <v>26.4</v>
      </c>
      <c r="P466">
        <f>SmtRes!AG882</f>
        <v>0</v>
      </c>
      <c r="Q466">
        <f>SmtRes!DC882</f>
        <v>0</v>
      </c>
      <c r="R466">
        <f>ROUND(ROUND(Q466*Source!I1063, 6)*1, 2)</f>
        <v>0</v>
      </c>
      <c r="S466">
        <f>SmtRes!AC882</f>
        <v>0</v>
      </c>
      <c r="T466">
        <f>ROUND(ROUND(Q466*Source!I1063, 6)*SmtRes!AK882, 2)</f>
        <v>0</v>
      </c>
      <c r="U466">
        <v>2</v>
      </c>
      <c r="Y466">
        <f>SmtRes!X882</f>
        <v>-1180195794</v>
      </c>
      <c r="Z466">
        <v>-595858232</v>
      </c>
      <c r="AA466">
        <v>-314357962</v>
      </c>
    </row>
    <row r="467" spans="1:27" x14ac:dyDescent="0.2">
      <c r="A467">
        <v>20</v>
      </c>
      <c r="B467">
        <v>881</v>
      </c>
      <c r="C467">
        <v>1</v>
      </c>
      <c r="D467">
        <v>0</v>
      </c>
      <c r="E467">
        <f>SmtRes!AV881</f>
        <v>1</v>
      </c>
      <c r="F467" t="str">
        <f>SmtRes!I881</f>
        <v>9999990008</v>
      </c>
      <c r="G467" t="str">
        <f>SmtRes!K881</f>
        <v>Трудозатраты рабочих</v>
      </c>
      <c r="H467" t="str">
        <f>SmtRes!O881</f>
        <v>чел.-ч.</v>
      </c>
      <c r="I467">
        <f>SmtRes!Y881*Source!I1063</f>
        <v>4.048</v>
      </c>
      <c r="J467">
        <f>SmtRes!AO881</f>
        <v>1</v>
      </c>
      <c r="K467">
        <f>SmtRes!AH881</f>
        <v>0</v>
      </c>
      <c r="L467">
        <f>SmtRes!DB881</f>
        <v>0</v>
      </c>
      <c r="M467">
        <f>ROUND(ROUND(L467*Source!I1063, 6)*1, 2)</f>
        <v>0</v>
      </c>
      <c r="N467">
        <f>SmtRes!AD881</f>
        <v>0</v>
      </c>
      <c r="O467">
        <f>ROUND(ROUND(L467*Source!I1063, 6)*SmtRes!DA881, 2)</f>
        <v>0</v>
      </c>
      <c r="P467">
        <f>SmtRes!AG881</f>
        <v>0</v>
      </c>
      <c r="Q467">
        <f>SmtRes!DC881</f>
        <v>0</v>
      </c>
      <c r="R467">
        <f>ROUND(ROUND(Q467*Source!I1063, 6)*1, 2)</f>
        <v>0</v>
      </c>
      <c r="S467">
        <f>SmtRes!AC881</f>
        <v>0</v>
      </c>
      <c r="T467">
        <f>ROUND(ROUND(Q467*Source!I1063, 6)*SmtRes!AK881, 2)</f>
        <v>0</v>
      </c>
      <c r="U467">
        <v>1</v>
      </c>
      <c r="Y467">
        <f>SmtRes!X881</f>
        <v>476480486</v>
      </c>
      <c r="Z467">
        <v>1499241640</v>
      </c>
      <c r="AA467">
        <v>1499241640</v>
      </c>
    </row>
    <row r="468" spans="1:27" x14ac:dyDescent="0.2">
      <c r="A468">
        <f>Source!A1065</f>
        <v>18</v>
      </c>
      <c r="B468">
        <v>1065</v>
      </c>
      <c r="C468">
        <v>3</v>
      </c>
      <c r="D468">
        <f>Source!BI1065</f>
        <v>1</v>
      </c>
      <c r="E468">
        <f>Source!FS1065</f>
        <v>0</v>
      </c>
      <c r="F468" t="str">
        <f>Source!F1065</f>
        <v>1.1-1-516</v>
      </c>
      <c r="G468" t="str">
        <f>Source!G1065</f>
        <v>Лента из вспененного синтетического каучука, самоклеящаяся, для продольных и поперечных швов теплоизоляции, ширина 50 мм, толщина 3 мм</v>
      </c>
      <c r="H468" t="str">
        <f>Source!H1065</f>
        <v>м</v>
      </c>
      <c r="I468">
        <f>Source!I1065</f>
        <v>24</v>
      </c>
      <c r="J468">
        <v>1</v>
      </c>
      <c r="K468">
        <f>Source!AC1065</f>
        <v>6.29</v>
      </c>
      <c r="M468">
        <f>ROUND(K468*I468, 2)</f>
        <v>150.96</v>
      </c>
      <c r="N468">
        <f>Source!AC1065*IF(Source!BC1065&lt;&gt; 0, Source!BC1065, 1)</f>
        <v>52.710200000000007</v>
      </c>
      <c r="O468">
        <f>ROUND(N468*I468, 2)</f>
        <v>1265.04</v>
      </c>
      <c r="P468">
        <f>Source!AE1065</f>
        <v>0</v>
      </c>
      <c r="R468">
        <f>ROUND(P468*I468, 2)</f>
        <v>0</v>
      </c>
      <c r="S468">
        <f>Source!AE1065*IF(Source!BS1065&lt;&gt; 0, Source!BS1065, 1)</f>
        <v>0</v>
      </c>
      <c r="T468">
        <f>ROUND(S468*I468, 2)</f>
        <v>0</v>
      </c>
      <c r="U468">
        <v>3</v>
      </c>
      <c r="Y468">
        <f>Source!GF1065</f>
        <v>846456849</v>
      </c>
      <c r="Z468">
        <v>-660715289</v>
      </c>
      <c r="AA468">
        <v>2046340051</v>
      </c>
    </row>
    <row r="469" spans="1:27" x14ac:dyDescent="0.2">
      <c r="A469">
        <f>Source!A1067</f>
        <v>18</v>
      </c>
      <c r="B469">
        <v>1067</v>
      </c>
      <c r="C469">
        <v>3</v>
      </c>
      <c r="D469">
        <f>Source!BI1067</f>
        <v>1</v>
      </c>
      <c r="E469">
        <f>Source!FS1067</f>
        <v>0</v>
      </c>
      <c r="F469" t="str">
        <f>Source!F1067</f>
        <v>1.1-1-3132</v>
      </c>
      <c r="G469" t="str">
        <f>Source!G1067</f>
        <v>Трубки теплоизоляционные из вспененного полиэтилена с закрытой ячеистой структурой, для тепло- и шумоизоляции внутренних инженерных систем, температура применения до +95°C, коэффициент теплопроводности при температуре 10°C не более 0,038 Вт/(м х °C), группа горючести Г1, внутренний диаметр 22 мм, толщина 9 мм</v>
      </c>
      <c r="H469" t="str">
        <f>Source!H1067</f>
        <v>м</v>
      </c>
      <c r="I469">
        <f>Source!I1067</f>
        <v>16.8</v>
      </c>
      <c r="J469">
        <v>1</v>
      </c>
      <c r="K469">
        <f>Source!AC1067</f>
        <v>4.9000000000000004</v>
      </c>
      <c r="M469">
        <f>ROUND(K469*I469, 2)</f>
        <v>82.32</v>
      </c>
      <c r="N469">
        <f>Source!AC1067*IF(Source!BC1067&lt;&gt; 0, Source!BC1067, 1)</f>
        <v>24.402000000000005</v>
      </c>
      <c r="O469">
        <f>ROUND(N469*I469, 2)</f>
        <v>409.95</v>
      </c>
      <c r="P469">
        <f>Source!AE1067</f>
        <v>0</v>
      </c>
      <c r="R469">
        <f>ROUND(P469*I469, 2)</f>
        <v>0</v>
      </c>
      <c r="S469">
        <f>Source!AE1067*IF(Source!BS1067&lt;&gt; 0, Source!BS1067, 1)</f>
        <v>0</v>
      </c>
      <c r="T469">
        <f>ROUND(S469*I469, 2)</f>
        <v>0</v>
      </c>
      <c r="U469">
        <v>3</v>
      </c>
      <c r="Y469">
        <f>Source!GF1067</f>
        <v>-1102853522</v>
      </c>
      <c r="Z469">
        <v>-1947104316</v>
      </c>
      <c r="AA469">
        <v>-1361586493</v>
      </c>
    </row>
    <row r="470" spans="1:27" x14ac:dyDescent="0.2">
      <c r="A470">
        <f>Source!A1069</f>
        <v>18</v>
      </c>
      <c r="B470">
        <v>1069</v>
      </c>
      <c r="C470">
        <v>3</v>
      </c>
      <c r="D470">
        <f>Source!BI1069</f>
        <v>1</v>
      </c>
      <c r="E470">
        <f>Source!FS1069</f>
        <v>0</v>
      </c>
      <c r="F470" t="str">
        <f>Source!F1069</f>
        <v>1.1-1-386</v>
      </c>
      <c r="G470" t="str">
        <f>Source!G1069</f>
        <v>Клей контактный, на основе полихлоропренового каучука, без ароматических растворителей, температура эксплуатации от -50 до +105°С, для склеивания гибких теплоизоляционных материалов</v>
      </c>
      <c r="H470" t="str">
        <f>Source!H1069</f>
        <v>л</v>
      </c>
      <c r="I470">
        <f>Source!I1069</f>
        <v>0.2</v>
      </c>
      <c r="J470">
        <v>1</v>
      </c>
      <c r="K470">
        <f>Source!AC1069</f>
        <v>144.94</v>
      </c>
      <c r="M470">
        <f>ROUND(K470*I470, 2)</f>
        <v>28.99</v>
      </c>
      <c r="N470">
        <f>Source!AC1069*IF(Source!BC1069&lt;&gt; 0, Source!BC1069, 1)</f>
        <v>950.80639999999994</v>
      </c>
      <c r="O470">
        <f>ROUND(N470*I470, 2)</f>
        <v>190.16</v>
      </c>
      <c r="P470">
        <f>Source!AE1069</f>
        <v>0</v>
      </c>
      <c r="R470">
        <f>ROUND(P470*I470, 2)</f>
        <v>0</v>
      </c>
      <c r="S470">
        <f>Source!AE1069*IF(Source!BS1069&lt;&gt; 0, Source!BS1069, 1)</f>
        <v>0</v>
      </c>
      <c r="T470">
        <f>ROUND(S470*I470, 2)</f>
        <v>0</v>
      </c>
      <c r="U470">
        <v>3</v>
      </c>
      <c r="Y470">
        <f>Source!GF1069</f>
        <v>1055545440</v>
      </c>
      <c r="Z470">
        <v>617739970</v>
      </c>
      <c r="AA470">
        <v>366292133</v>
      </c>
    </row>
    <row r="471" spans="1:27" x14ac:dyDescent="0.2">
      <c r="A471">
        <v>20</v>
      </c>
      <c r="B471">
        <v>892</v>
      </c>
      <c r="C471">
        <v>1</v>
      </c>
      <c r="D471">
        <v>0</v>
      </c>
      <c r="E471">
        <f>SmtRes!AV892</f>
        <v>1</v>
      </c>
      <c r="F471" t="str">
        <f>SmtRes!I892</f>
        <v>9999990008</v>
      </c>
      <c r="G471" t="str">
        <f>SmtRes!K892</f>
        <v>Трудозатраты рабочих</v>
      </c>
      <c r="H471" t="str">
        <f>SmtRes!O892</f>
        <v>чел.-ч.</v>
      </c>
      <c r="I471">
        <f>SmtRes!Y892*Source!I1071</f>
        <v>0.19377500000000003</v>
      </c>
      <c r="J471">
        <f>SmtRes!AO892</f>
        <v>1</v>
      </c>
      <c r="K471">
        <f>SmtRes!AH892</f>
        <v>0</v>
      </c>
      <c r="L471">
        <f>SmtRes!DB892</f>
        <v>0</v>
      </c>
      <c r="M471">
        <f>ROUND(ROUND(L471*Source!I1071, 6)*1, 2)</f>
        <v>0</v>
      </c>
      <c r="N471">
        <f>SmtRes!AD892</f>
        <v>0</v>
      </c>
      <c r="O471">
        <f>ROUND(ROUND(L471*Source!I1071, 6)*SmtRes!DA892, 2)</f>
        <v>0</v>
      </c>
      <c r="P471">
        <f>SmtRes!AG892</f>
        <v>0</v>
      </c>
      <c r="Q471">
        <f>SmtRes!DC892</f>
        <v>0</v>
      </c>
      <c r="R471">
        <f>ROUND(ROUND(Q471*Source!I1071, 6)*1, 2)</f>
        <v>0</v>
      </c>
      <c r="S471">
        <f>SmtRes!AC892</f>
        <v>0</v>
      </c>
      <c r="T471">
        <f>ROUND(ROUND(Q471*Source!I1071, 6)*SmtRes!AK892, 2)</f>
        <v>0</v>
      </c>
      <c r="U471">
        <v>1</v>
      </c>
      <c r="Y471">
        <f>SmtRes!X892</f>
        <v>476480486</v>
      </c>
      <c r="Z471">
        <v>1499241640</v>
      </c>
      <c r="AA471">
        <v>1499241640</v>
      </c>
    </row>
    <row r="472" spans="1:27" x14ac:dyDescent="0.2">
      <c r="A472">
        <f>Source!A1073</f>
        <v>18</v>
      </c>
      <c r="B472">
        <v>1073</v>
      </c>
      <c r="C472">
        <v>3</v>
      </c>
      <c r="D472">
        <f>Source!BI1073</f>
        <v>1</v>
      </c>
      <c r="E472">
        <f>Source!FS1073</f>
        <v>0</v>
      </c>
      <c r="F472" t="str">
        <f>Source!F1073</f>
        <v>1.12-5-1</v>
      </c>
      <c r="G472" t="str">
        <f>Source!G1073</f>
        <v>Подводки к водоразборной арматуре, с двумя латунными накидными гайками, длина 500 мм</v>
      </c>
      <c r="H472" t="str">
        <f>Source!H1073</f>
        <v>КОМПЛЕКТ</v>
      </c>
      <c r="I472">
        <f>Source!I1073</f>
        <v>1</v>
      </c>
      <c r="J472">
        <v>1</v>
      </c>
      <c r="K472">
        <f>Source!AC1073</f>
        <v>15.74</v>
      </c>
      <c r="M472">
        <f>ROUND(K472*I472, 2)</f>
        <v>15.74</v>
      </c>
      <c r="N472">
        <f>Source!AC1073*IF(Source!BC1073&lt;&gt; 0, Source!BC1073, 1)</f>
        <v>81.218400000000003</v>
      </c>
      <c r="O472">
        <f>ROUND(N472*I472, 2)</f>
        <v>81.22</v>
      </c>
      <c r="P472">
        <f>Source!AE1073</f>
        <v>0</v>
      </c>
      <c r="R472">
        <f>ROUND(P472*I472, 2)</f>
        <v>0</v>
      </c>
      <c r="S472">
        <f>Source!AE1073*IF(Source!BS1073&lt;&gt; 0, Source!BS1073, 1)</f>
        <v>0</v>
      </c>
      <c r="T472">
        <f>ROUND(S472*I472, 2)</f>
        <v>0</v>
      </c>
      <c r="U472">
        <v>3</v>
      </c>
      <c r="Y472">
        <f>Source!GF1073</f>
        <v>-711005652</v>
      </c>
      <c r="Z472">
        <v>-1351064017</v>
      </c>
      <c r="AA472">
        <v>-31245099</v>
      </c>
    </row>
    <row r="473" spans="1:27" x14ac:dyDescent="0.2">
      <c r="A473">
        <f>Source!A1075</f>
        <v>18</v>
      </c>
      <c r="B473">
        <v>1075</v>
      </c>
      <c r="C473">
        <v>3</v>
      </c>
      <c r="D473">
        <f>Source!BI1075</f>
        <v>1</v>
      </c>
      <c r="E473">
        <f>Source!FS1075</f>
        <v>0</v>
      </c>
      <c r="F473" t="str">
        <f>Source!F1075</f>
        <v>1.13-4-125</v>
      </c>
      <c r="G473" t="str">
        <f>Source!G1075</f>
        <v>Краны муфтовые шаровые полнопроходные, марка 11б27п1, давление 1,0 (10) МПа (кгс/см2), диаметр 15 мм</v>
      </c>
      <c r="H473" t="str">
        <f>Source!H1075</f>
        <v>шт.</v>
      </c>
      <c r="I473">
        <f>Source!I1075</f>
        <v>3</v>
      </c>
      <c r="J473">
        <v>1</v>
      </c>
      <c r="K473">
        <f>Source!AC1075</f>
        <v>17.59</v>
      </c>
      <c r="M473">
        <f>ROUND(K473*I473, 2)</f>
        <v>52.77</v>
      </c>
      <c r="N473">
        <f>Source!AC1075*IF(Source!BC1075&lt;&gt; 0, Source!BC1075, 1)</f>
        <v>80.562200000000004</v>
      </c>
      <c r="O473">
        <f>ROUND(N473*I473, 2)</f>
        <v>241.69</v>
      </c>
      <c r="P473">
        <f>Source!AE1075</f>
        <v>0</v>
      </c>
      <c r="R473">
        <f>ROUND(P473*I473, 2)</f>
        <v>0</v>
      </c>
      <c r="S473">
        <f>Source!AE1075*IF(Source!BS1075&lt;&gt; 0, Source!BS1075, 1)</f>
        <v>0</v>
      </c>
      <c r="T473">
        <f>ROUND(S473*I473, 2)</f>
        <v>0</v>
      </c>
      <c r="U473">
        <v>3</v>
      </c>
      <c r="Y473">
        <f>Source!GF1075</f>
        <v>1306956936</v>
      </c>
      <c r="Z473">
        <v>577379837</v>
      </c>
      <c r="AA473">
        <v>632026139</v>
      </c>
    </row>
    <row r="474" spans="1:27" x14ac:dyDescent="0.2">
      <c r="A474">
        <v>20</v>
      </c>
      <c r="B474">
        <v>919</v>
      </c>
      <c r="C474">
        <v>3</v>
      </c>
      <c r="D474">
        <v>0</v>
      </c>
      <c r="E474">
        <f>SmtRes!AV919</f>
        <v>0</v>
      </c>
      <c r="F474" t="str">
        <f>SmtRes!I919</f>
        <v>1.1-1-969</v>
      </c>
      <c r="G474" t="str">
        <f>SmtRes!K919</f>
        <v>Проволока электродная порошковая для дуговой сварки</v>
      </c>
      <c r="H474" t="str">
        <f>SmtRes!O919</f>
        <v>т</v>
      </c>
      <c r="I474">
        <f>SmtRes!Y919*Source!I1077</f>
        <v>4.0000000000000007E-6</v>
      </c>
      <c r="J474">
        <f>SmtRes!AO919</f>
        <v>1</v>
      </c>
      <c r="K474">
        <f>SmtRes!AE919</f>
        <v>35451.18</v>
      </c>
      <c r="L474">
        <f>SmtRes!DB919</f>
        <v>14.18</v>
      </c>
      <c r="M474">
        <f>ROUND(ROUND(L474*Source!I1077, 6)*1, 2)</f>
        <v>0.14000000000000001</v>
      </c>
      <c r="N474">
        <f>SmtRes!AA919</f>
        <v>56367.38</v>
      </c>
      <c r="O474">
        <f>ROUND(ROUND(L474*Source!I1077, 6)*SmtRes!DA919, 2)</f>
        <v>0.23</v>
      </c>
      <c r="P474">
        <f>SmtRes!AG919</f>
        <v>0</v>
      </c>
      <c r="Q474">
        <f>SmtRes!DC919</f>
        <v>0</v>
      </c>
      <c r="R474">
        <f>ROUND(ROUND(Q474*Source!I1077, 6)*1, 2)</f>
        <v>0</v>
      </c>
      <c r="S474">
        <f>SmtRes!AC919</f>
        <v>0</v>
      </c>
      <c r="T474">
        <f>ROUND(ROUND(Q474*Source!I1077, 6)*SmtRes!AK919, 2)</f>
        <v>0</v>
      </c>
      <c r="U474">
        <v>3</v>
      </c>
      <c r="Y474">
        <f>SmtRes!X919</f>
        <v>1703733581</v>
      </c>
      <c r="Z474">
        <v>-2091796409</v>
      </c>
      <c r="AA474">
        <v>959372395</v>
      </c>
    </row>
    <row r="475" spans="1:27" x14ac:dyDescent="0.2">
      <c r="A475">
        <v>20</v>
      </c>
      <c r="B475">
        <v>918</v>
      </c>
      <c r="C475">
        <v>3</v>
      </c>
      <c r="D475">
        <v>0</v>
      </c>
      <c r="E475">
        <f>SmtRes!AV918</f>
        <v>0</v>
      </c>
      <c r="F475" t="str">
        <f>SmtRes!I918</f>
        <v>1.1-1-732</v>
      </c>
      <c r="G475" t="str">
        <f>SmtRes!K918</f>
        <v>Олифа для окраски комбинированная "Оксоль"</v>
      </c>
      <c r="H475" t="str">
        <f>SmtRes!O918</f>
        <v>кг</v>
      </c>
      <c r="I475">
        <f>SmtRes!Y918*Source!I1077</f>
        <v>1.1999999999999999E-3</v>
      </c>
      <c r="J475">
        <f>SmtRes!AO918</f>
        <v>1</v>
      </c>
      <c r="K475">
        <f>SmtRes!AE918</f>
        <v>20.190000000000001</v>
      </c>
      <c r="L475">
        <f>SmtRes!DB918</f>
        <v>2.42</v>
      </c>
      <c r="M475">
        <f>ROUND(ROUND(L475*Source!I1077, 6)*1, 2)</f>
        <v>0.02</v>
      </c>
      <c r="N475">
        <f>SmtRes!AA918</f>
        <v>73.69</v>
      </c>
      <c r="O475">
        <f>ROUND(ROUND(L475*Source!I1077, 6)*SmtRes!DA918, 2)</f>
        <v>0.09</v>
      </c>
      <c r="P475">
        <f>SmtRes!AG918</f>
        <v>0</v>
      </c>
      <c r="Q475">
        <f>SmtRes!DC918</f>
        <v>0</v>
      </c>
      <c r="R475">
        <f>ROUND(ROUND(Q475*Source!I1077, 6)*1, 2)</f>
        <v>0</v>
      </c>
      <c r="S475">
        <f>SmtRes!AC918</f>
        <v>0</v>
      </c>
      <c r="T475">
        <f>ROUND(ROUND(Q475*Source!I1077, 6)*SmtRes!AK918, 2)</f>
        <v>0</v>
      </c>
      <c r="U475">
        <v>3</v>
      </c>
      <c r="Y475">
        <f>SmtRes!X918</f>
        <v>-1082935818</v>
      </c>
      <c r="Z475">
        <v>-1462638745</v>
      </c>
      <c r="AA475">
        <v>1036341566</v>
      </c>
    </row>
    <row r="476" spans="1:27" x14ac:dyDescent="0.2">
      <c r="A476">
        <v>20</v>
      </c>
      <c r="B476">
        <v>917</v>
      </c>
      <c r="C476">
        <v>3</v>
      </c>
      <c r="D476">
        <v>0</v>
      </c>
      <c r="E476">
        <f>SmtRes!AV917</f>
        <v>0</v>
      </c>
      <c r="F476" t="str">
        <f>SmtRes!I917</f>
        <v>1.1-1-467</v>
      </c>
      <c r="G476" t="str">
        <f>SmtRes!K917</f>
        <v>Краски масляные жидкотертые цветные (готовые к употреблению) для наружных и внутренних работ, марка МА-15, сурик железный для окраски по металлу</v>
      </c>
      <c r="H476" t="str">
        <f>SmtRes!O917</f>
        <v>т</v>
      </c>
      <c r="I476">
        <f>SmtRes!Y917*Source!I1077</f>
        <v>1.0399999999999999E-5</v>
      </c>
      <c r="J476">
        <f>SmtRes!AO917</f>
        <v>1</v>
      </c>
      <c r="K476">
        <f>SmtRes!AE917</f>
        <v>16222.39</v>
      </c>
      <c r="L476">
        <f>SmtRes!DB917</f>
        <v>16.87</v>
      </c>
      <c r="M476">
        <f>ROUND(ROUND(L476*Source!I1077, 6)*1, 2)</f>
        <v>0.17</v>
      </c>
      <c r="N476">
        <f>SmtRes!AA917</f>
        <v>48667.17</v>
      </c>
      <c r="O476">
        <f>ROUND(ROUND(L476*Source!I1077, 6)*SmtRes!DA917, 2)</f>
        <v>0.51</v>
      </c>
      <c r="P476">
        <f>SmtRes!AG917</f>
        <v>0</v>
      </c>
      <c r="Q476">
        <f>SmtRes!DC917</f>
        <v>0</v>
      </c>
      <c r="R476">
        <f>ROUND(ROUND(Q476*Source!I1077, 6)*1, 2)</f>
        <v>0</v>
      </c>
      <c r="S476">
        <f>SmtRes!AC917</f>
        <v>0</v>
      </c>
      <c r="T476">
        <f>ROUND(ROUND(Q476*Source!I1077, 6)*SmtRes!AK917, 2)</f>
        <v>0</v>
      </c>
      <c r="U476">
        <v>3</v>
      </c>
      <c r="Y476">
        <f>SmtRes!X917</f>
        <v>-434568416</v>
      </c>
      <c r="Z476">
        <v>1329284574</v>
      </c>
      <c r="AA476">
        <v>-609916026</v>
      </c>
    </row>
    <row r="477" spans="1:27" x14ac:dyDescent="0.2">
      <c r="A477">
        <v>20</v>
      </c>
      <c r="B477">
        <v>916</v>
      </c>
      <c r="C477">
        <v>3</v>
      </c>
      <c r="D477">
        <v>0</v>
      </c>
      <c r="E477">
        <f>SmtRes!AV916</f>
        <v>0</v>
      </c>
      <c r="F477" t="str">
        <f>SmtRes!I916</f>
        <v>1.1-1-376</v>
      </c>
      <c r="G477" t="str">
        <f>SmtRes!K916</f>
        <v>Кислород технический газообразный</v>
      </c>
      <c r="H477" t="str">
        <f>SmtRes!O916</f>
        <v>м3</v>
      </c>
      <c r="I477">
        <f>SmtRes!Y916*Source!I1077</f>
        <v>6.4600000000000005E-3</v>
      </c>
      <c r="J477">
        <f>SmtRes!AO916</f>
        <v>1</v>
      </c>
      <c r="K477">
        <f>SmtRes!AE916</f>
        <v>5.91</v>
      </c>
      <c r="L477">
        <f>SmtRes!DB916</f>
        <v>3.82</v>
      </c>
      <c r="M477">
        <f>ROUND(ROUND(L477*Source!I1077, 6)*1, 2)</f>
        <v>0.04</v>
      </c>
      <c r="N477">
        <f>SmtRes!AA916</f>
        <v>76.95</v>
      </c>
      <c r="O477">
        <f>ROUND(ROUND(L477*Source!I1077, 6)*SmtRes!DA916, 2)</f>
        <v>0.5</v>
      </c>
      <c r="P477">
        <f>SmtRes!AG916</f>
        <v>0</v>
      </c>
      <c r="Q477">
        <f>SmtRes!DC916</f>
        <v>0</v>
      </c>
      <c r="R477">
        <f>ROUND(ROUND(Q477*Source!I1077, 6)*1, 2)</f>
        <v>0</v>
      </c>
      <c r="S477">
        <f>SmtRes!AC916</f>
        <v>0</v>
      </c>
      <c r="T477">
        <f>ROUND(ROUND(Q477*Source!I1077, 6)*SmtRes!AK916, 2)</f>
        <v>0</v>
      </c>
      <c r="U477">
        <v>3</v>
      </c>
      <c r="Y477">
        <f>SmtRes!X916</f>
        <v>-1236741395</v>
      </c>
      <c r="Z477">
        <v>113990930</v>
      </c>
      <c r="AA477">
        <v>-530669901</v>
      </c>
    </row>
    <row r="478" spans="1:27" x14ac:dyDescent="0.2">
      <c r="A478">
        <v>20</v>
      </c>
      <c r="B478">
        <v>915</v>
      </c>
      <c r="C478">
        <v>3</v>
      </c>
      <c r="D478">
        <v>0</v>
      </c>
      <c r="E478">
        <f>SmtRes!AV915</f>
        <v>0</v>
      </c>
      <c r="F478" t="str">
        <f>SmtRes!I915</f>
        <v>1.1-1-26</v>
      </c>
      <c r="G478" t="str">
        <f>SmtRes!K915</f>
        <v>Ацетилен технический</v>
      </c>
      <c r="H478" t="str">
        <f>SmtRes!O915</f>
        <v>м3</v>
      </c>
      <c r="I478">
        <f>SmtRes!Y915*Source!I1077</f>
        <v>3.8E-3</v>
      </c>
      <c r="J478">
        <f>SmtRes!AO915</f>
        <v>1</v>
      </c>
      <c r="K478">
        <f>SmtRes!AE915</f>
        <v>53.57</v>
      </c>
      <c r="L478">
        <f>SmtRes!DB915</f>
        <v>20.36</v>
      </c>
      <c r="M478">
        <f>ROUND(ROUND(L478*Source!I1077, 6)*1, 2)</f>
        <v>0.2</v>
      </c>
      <c r="N478">
        <f>SmtRes!AA915</f>
        <v>474.09</v>
      </c>
      <c r="O478">
        <f>ROUND(ROUND(L478*Source!I1077, 6)*SmtRes!DA915, 2)</f>
        <v>1.8</v>
      </c>
      <c r="P478">
        <f>SmtRes!AG915</f>
        <v>0</v>
      </c>
      <c r="Q478">
        <f>SmtRes!DC915</f>
        <v>0</v>
      </c>
      <c r="R478">
        <f>ROUND(ROUND(Q478*Source!I1077, 6)*1, 2)</f>
        <v>0</v>
      </c>
      <c r="S478">
        <f>SmtRes!AC915</f>
        <v>0</v>
      </c>
      <c r="T478">
        <f>ROUND(ROUND(Q478*Source!I1077, 6)*SmtRes!AK915, 2)</f>
        <v>0</v>
      </c>
      <c r="U478">
        <v>3</v>
      </c>
      <c r="Y478">
        <f>SmtRes!X915</f>
        <v>-1326519054</v>
      </c>
      <c r="Z478">
        <v>-458715237</v>
      </c>
      <c r="AA478">
        <v>502890987</v>
      </c>
    </row>
    <row r="479" spans="1:27" x14ac:dyDescent="0.2">
      <c r="A479">
        <v>20</v>
      </c>
      <c r="B479">
        <v>914</v>
      </c>
      <c r="C479">
        <v>3</v>
      </c>
      <c r="D479">
        <v>0</v>
      </c>
      <c r="E479">
        <f>SmtRes!AV914</f>
        <v>0</v>
      </c>
      <c r="F479" t="str">
        <f>SmtRes!I914</f>
        <v>1.1-1-258</v>
      </c>
      <c r="G479" t="str">
        <f>SmtRes!K914</f>
        <v>Известь хлорная</v>
      </c>
      <c r="H479" t="str">
        <f>SmtRes!O914</f>
        <v>т</v>
      </c>
      <c r="I479">
        <f>SmtRes!Y914*Source!I1077</f>
        <v>9.9E-8</v>
      </c>
      <c r="J479">
        <f>SmtRes!AO914</f>
        <v>1</v>
      </c>
      <c r="K479">
        <f>SmtRes!AE914</f>
        <v>3246.35</v>
      </c>
      <c r="L479">
        <f>SmtRes!DB914</f>
        <v>0.03</v>
      </c>
      <c r="M479">
        <f>ROUND(ROUND(L479*Source!I1077, 6)*1, 2)</f>
        <v>0</v>
      </c>
      <c r="N479">
        <f>SmtRes!AA914</f>
        <v>68238.28</v>
      </c>
      <c r="O479">
        <f>ROUND(ROUND(L479*Source!I1077, 6)*SmtRes!DA914, 2)</f>
        <v>0.01</v>
      </c>
      <c r="P479">
        <f>SmtRes!AG914</f>
        <v>0</v>
      </c>
      <c r="Q479">
        <f>SmtRes!DC914</f>
        <v>0</v>
      </c>
      <c r="R479">
        <f>ROUND(ROUND(Q479*Source!I1077, 6)*1, 2)</f>
        <v>0</v>
      </c>
      <c r="S479">
        <f>SmtRes!AC914</f>
        <v>0</v>
      </c>
      <c r="T479">
        <f>ROUND(ROUND(Q479*Source!I1077, 6)*SmtRes!AK914, 2)</f>
        <v>0</v>
      </c>
      <c r="U479">
        <v>3</v>
      </c>
      <c r="Y479">
        <f>SmtRes!X914</f>
        <v>-1837888431</v>
      </c>
      <c r="Z479">
        <v>1139941617</v>
      </c>
      <c r="AA479">
        <v>1167124668</v>
      </c>
    </row>
    <row r="480" spans="1:27" x14ac:dyDescent="0.2">
      <c r="A480">
        <v>20</v>
      </c>
      <c r="B480">
        <v>913</v>
      </c>
      <c r="C480">
        <v>3</v>
      </c>
      <c r="D480">
        <v>0</v>
      </c>
      <c r="E480">
        <f>SmtRes!AV913</f>
        <v>0</v>
      </c>
      <c r="F480" t="str">
        <f>SmtRes!I913</f>
        <v>1.1-1-2481</v>
      </c>
      <c r="G480" t="str">
        <f>SmtRes!K913</f>
        <v>Волокно льняное №11 для уплотнения резьбовых соединений при монтаже систем водоснабжения и отопления</v>
      </c>
      <c r="H480" t="str">
        <f>SmtRes!O913</f>
        <v>кг</v>
      </c>
      <c r="I480">
        <f>SmtRes!Y913*Source!I1077</f>
        <v>2.0000000000000001E-4</v>
      </c>
      <c r="J480">
        <f>SmtRes!AO913</f>
        <v>1</v>
      </c>
      <c r="K480">
        <f>SmtRes!AE913</f>
        <v>38</v>
      </c>
      <c r="L480">
        <f>SmtRes!DB913</f>
        <v>0.76</v>
      </c>
      <c r="M480">
        <f>ROUND(ROUND(L480*Source!I1077, 6)*1, 2)</f>
        <v>0.01</v>
      </c>
      <c r="N480">
        <f>SmtRes!AA913</f>
        <v>214.7</v>
      </c>
      <c r="O480">
        <f>ROUND(ROUND(L480*Source!I1077, 6)*SmtRes!DA913, 2)</f>
        <v>0.04</v>
      </c>
      <c r="P480">
        <f>SmtRes!AG913</f>
        <v>0</v>
      </c>
      <c r="Q480">
        <f>SmtRes!DC913</f>
        <v>0</v>
      </c>
      <c r="R480">
        <f>ROUND(ROUND(Q480*Source!I1077, 6)*1, 2)</f>
        <v>0</v>
      </c>
      <c r="S480">
        <f>SmtRes!AC913</f>
        <v>0</v>
      </c>
      <c r="T480">
        <f>ROUND(ROUND(Q480*Source!I1077, 6)*SmtRes!AK913, 2)</f>
        <v>0</v>
      </c>
      <c r="U480">
        <v>3</v>
      </c>
      <c r="Y480">
        <f>SmtRes!X913</f>
        <v>1037702096</v>
      </c>
      <c r="Z480">
        <v>-1319032529</v>
      </c>
      <c r="AA480">
        <v>1344664460</v>
      </c>
    </row>
    <row r="481" spans="1:27" x14ac:dyDescent="0.2">
      <c r="A481">
        <v>20</v>
      </c>
      <c r="B481">
        <v>912</v>
      </c>
      <c r="C481">
        <v>3</v>
      </c>
      <c r="D481">
        <v>0</v>
      </c>
      <c r="E481">
        <f>SmtRes!AV912</f>
        <v>0</v>
      </c>
      <c r="F481" t="str">
        <f>SmtRes!I912</f>
        <v>1.1-1-118</v>
      </c>
      <c r="G481" t="str">
        <f>SmtRes!K912</f>
        <v>Вода</v>
      </c>
      <c r="H481" t="str">
        <f>SmtRes!O912</f>
        <v>м3</v>
      </c>
      <c r="I481">
        <f>SmtRes!Y912*Source!I1077</f>
        <v>3.6667000000000002E-3</v>
      </c>
      <c r="J481">
        <f>SmtRes!AO912</f>
        <v>1</v>
      </c>
      <c r="K481">
        <f>SmtRes!AE912</f>
        <v>7.07</v>
      </c>
      <c r="L481">
        <f>SmtRes!DB912</f>
        <v>2.59</v>
      </c>
      <c r="M481">
        <f>ROUND(ROUND(L481*Source!I1077, 6)*1, 2)</f>
        <v>0.03</v>
      </c>
      <c r="N481">
        <f>SmtRes!AA912</f>
        <v>42.42</v>
      </c>
      <c r="O481">
        <f>ROUND(ROUND(L481*Source!I1077, 6)*SmtRes!DA912, 2)</f>
        <v>0.16</v>
      </c>
      <c r="P481">
        <f>SmtRes!AG912</f>
        <v>0</v>
      </c>
      <c r="Q481">
        <f>SmtRes!DC912</f>
        <v>0</v>
      </c>
      <c r="R481">
        <f>ROUND(ROUND(Q481*Source!I1077, 6)*1, 2)</f>
        <v>0</v>
      </c>
      <c r="S481">
        <f>SmtRes!AC912</f>
        <v>0</v>
      </c>
      <c r="T481">
        <f>ROUND(ROUND(Q481*Source!I1077, 6)*SmtRes!AK912, 2)</f>
        <v>0</v>
      </c>
      <c r="U481">
        <v>3</v>
      </c>
      <c r="Y481">
        <f>SmtRes!X912</f>
        <v>-862991314</v>
      </c>
      <c r="Z481">
        <v>-1421290593</v>
      </c>
      <c r="AA481">
        <v>-1279710304</v>
      </c>
    </row>
    <row r="482" spans="1:27" x14ac:dyDescent="0.2">
      <c r="A482">
        <v>20</v>
      </c>
      <c r="B482">
        <v>911</v>
      </c>
      <c r="C482">
        <v>2</v>
      </c>
      <c r="D482">
        <v>0</v>
      </c>
      <c r="E482">
        <f>SmtRes!AV911</f>
        <v>0</v>
      </c>
      <c r="F482" t="str">
        <f>SmtRes!I911</f>
        <v>2.1-3-38</v>
      </c>
      <c r="G482" t="str">
        <f>SmtRes!K911</f>
        <v>Краны на автомобильном ходу, грузоподъемность до 16 т</v>
      </c>
      <c r="H482" t="str">
        <f>SmtRes!O911</f>
        <v>маш.-ч.</v>
      </c>
      <c r="I482">
        <f>SmtRes!Y911*Source!I1077</f>
        <v>7.5000000000000002E-4</v>
      </c>
      <c r="J482">
        <f>SmtRes!AO911</f>
        <v>1</v>
      </c>
      <c r="K482">
        <f>SmtRes!AF911</f>
        <v>190.93</v>
      </c>
      <c r="L482">
        <f>SmtRes!DB911</f>
        <v>14.324999999999999</v>
      </c>
      <c r="M482">
        <f>ROUND(ROUND(L482*Source!I1077, 6)*1, 2)</f>
        <v>0.14000000000000001</v>
      </c>
      <c r="N482">
        <f>SmtRes!AB911</f>
        <v>2098.34</v>
      </c>
      <c r="O482">
        <f>ROUND(ROUND(L482*Source!I1077, 6)*SmtRes!DA911, 2)</f>
        <v>1.48</v>
      </c>
      <c r="P482">
        <f>SmtRes!AG911</f>
        <v>18.149999999999999</v>
      </c>
      <c r="Q482">
        <f>SmtRes!DC911</f>
        <v>1.3625</v>
      </c>
      <c r="R482">
        <f>ROUND(ROUND(Q482*Source!I1077, 6)*1, 2)</f>
        <v>0.01</v>
      </c>
      <c r="S482">
        <f>SmtRes!AC911</f>
        <v>562.20000000000005</v>
      </c>
      <c r="T482">
        <f>ROUND(ROUND(Q482*Source!I1077, 6)*SmtRes!AK911, 2)</f>
        <v>0.4</v>
      </c>
      <c r="U482">
        <v>2</v>
      </c>
      <c r="Y482">
        <f>SmtRes!X911</f>
        <v>-266174272</v>
      </c>
      <c r="Z482">
        <v>-2048655808</v>
      </c>
      <c r="AA482">
        <v>1536045345</v>
      </c>
    </row>
    <row r="483" spans="1:27" x14ac:dyDescent="0.2">
      <c r="A483">
        <v>20</v>
      </c>
      <c r="B483">
        <v>910</v>
      </c>
      <c r="C483">
        <v>2</v>
      </c>
      <c r="D483">
        <v>0</v>
      </c>
      <c r="E483">
        <f>SmtRes!AV910</f>
        <v>0</v>
      </c>
      <c r="F483" t="str">
        <f>SmtRes!I910</f>
        <v>2.1-18-7</v>
      </c>
      <c r="G483" t="str">
        <f>SmtRes!K910</f>
        <v>Автомобили грузовые бортовые, грузоподъемность до 5 т</v>
      </c>
      <c r="H483" t="str">
        <f>SmtRes!O910</f>
        <v>маш.-ч.</v>
      </c>
      <c r="I483">
        <f>SmtRes!Y910*Source!I1077</f>
        <v>9.8750000000000001E-3</v>
      </c>
      <c r="J483">
        <f>SmtRes!AO910</f>
        <v>1</v>
      </c>
      <c r="K483">
        <f>SmtRes!AF910</f>
        <v>76.81</v>
      </c>
      <c r="L483">
        <f>SmtRes!DB910</f>
        <v>75.849999999999994</v>
      </c>
      <c r="M483">
        <f>ROUND(ROUND(L483*Source!I1077, 6)*1, 2)</f>
        <v>0.76</v>
      </c>
      <c r="N483">
        <f>SmtRes!AB910</f>
        <v>935.94</v>
      </c>
      <c r="O483">
        <f>ROUND(ROUND(L483*Source!I1077, 6)*SmtRes!DA910, 2)</f>
        <v>8.66</v>
      </c>
      <c r="P483">
        <f>SmtRes!AG910</f>
        <v>14.36</v>
      </c>
      <c r="Q483">
        <f>SmtRes!DC910</f>
        <v>14.175000000000001</v>
      </c>
      <c r="R483">
        <f>ROUND(ROUND(Q483*Source!I1077, 6)*1, 2)</f>
        <v>0.14000000000000001</v>
      </c>
      <c r="S483">
        <f>SmtRes!AC910</f>
        <v>444.8</v>
      </c>
      <c r="T483">
        <f>ROUND(ROUND(Q483*Source!I1077, 6)*SmtRes!AK910, 2)</f>
        <v>4.12</v>
      </c>
      <c r="U483">
        <v>2</v>
      </c>
      <c r="Y483">
        <f>SmtRes!X910</f>
        <v>-628430174</v>
      </c>
      <c r="Z483">
        <v>-2049064267</v>
      </c>
      <c r="AA483">
        <v>1144387144</v>
      </c>
    </row>
    <row r="484" spans="1:27" x14ac:dyDescent="0.2">
      <c r="A484">
        <v>20</v>
      </c>
      <c r="B484">
        <v>909</v>
      </c>
      <c r="C484">
        <v>2</v>
      </c>
      <c r="D484">
        <v>0</v>
      </c>
      <c r="E484">
        <f>SmtRes!AV909</f>
        <v>0</v>
      </c>
      <c r="F484" t="str">
        <f>SmtRes!I909</f>
        <v>2.1-13-10</v>
      </c>
      <c r="G484" t="str">
        <f>SmtRes!K909</f>
        <v>Инверторы для ручной дуговой сварки, сварочный ток до 400 А</v>
      </c>
      <c r="H484" t="str">
        <f>SmtRes!O909</f>
        <v>маш.-ч.</v>
      </c>
      <c r="I484">
        <f>SmtRes!Y909*Source!I1077</f>
        <v>2.1124999999999998E-2</v>
      </c>
      <c r="J484">
        <f>SmtRes!AO909</f>
        <v>1</v>
      </c>
      <c r="K484">
        <f>SmtRes!AF909</f>
        <v>4.8600000000000003</v>
      </c>
      <c r="L484">
        <f>SmtRes!DB909</f>
        <v>10.262499999999999</v>
      </c>
      <c r="M484">
        <f>ROUND(ROUND(L484*Source!I1077, 6)*1, 2)</f>
        <v>0.1</v>
      </c>
      <c r="N484">
        <f>SmtRes!AB909</f>
        <v>53.88</v>
      </c>
      <c r="O484">
        <f>ROUND(ROUND(L484*Source!I1077, 6)*SmtRes!DA909, 2)</f>
        <v>1.07</v>
      </c>
      <c r="P484">
        <f>SmtRes!AG909</f>
        <v>0</v>
      </c>
      <c r="Q484">
        <f>SmtRes!DC909</f>
        <v>0</v>
      </c>
      <c r="R484">
        <f>ROUND(ROUND(Q484*Source!I1077, 6)*1, 2)</f>
        <v>0</v>
      </c>
      <c r="S484">
        <f>SmtRes!AC909</f>
        <v>0</v>
      </c>
      <c r="T484">
        <f>ROUND(ROUND(Q484*Source!I1077, 6)*SmtRes!AK909, 2)</f>
        <v>0</v>
      </c>
      <c r="U484">
        <v>2</v>
      </c>
      <c r="Y484">
        <f>SmtRes!X909</f>
        <v>1295654915</v>
      </c>
      <c r="Z484">
        <v>-537705207</v>
      </c>
      <c r="AA484">
        <v>867521705</v>
      </c>
    </row>
    <row r="485" spans="1:27" x14ac:dyDescent="0.2">
      <c r="A485">
        <v>20</v>
      </c>
      <c r="B485">
        <v>908</v>
      </c>
      <c r="C485">
        <v>1</v>
      </c>
      <c r="D485">
        <v>0</v>
      </c>
      <c r="E485">
        <f>SmtRes!AV908</f>
        <v>1</v>
      </c>
      <c r="F485" t="str">
        <f>SmtRes!I908</f>
        <v>9999990008</v>
      </c>
      <c r="G485" t="str">
        <f>SmtRes!K908</f>
        <v>Трудозатраты рабочих</v>
      </c>
      <c r="H485" t="str">
        <f>SmtRes!O908</f>
        <v>чел.-ч.</v>
      </c>
      <c r="I485">
        <f>SmtRes!Y908*Source!I1077</f>
        <v>0.49794999999999995</v>
      </c>
      <c r="J485">
        <f>SmtRes!AO908</f>
        <v>1</v>
      </c>
      <c r="K485">
        <f>SmtRes!AH908</f>
        <v>0</v>
      </c>
      <c r="L485">
        <f>SmtRes!DB908</f>
        <v>0</v>
      </c>
      <c r="M485">
        <f>ROUND(ROUND(L485*Source!I1077, 6)*1, 2)</f>
        <v>0</v>
      </c>
      <c r="N485">
        <f>SmtRes!AD908</f>
        <v>0</v>
      </c>
      <c r="O485">
        <f>ROUND(ROUND(L485*Source!I1077, 6)*SmtRes!DA908, 2)</f>
        <v>0</v>
      </c>
      <c r="P485">
        <f>SmtRes!AG908</f>
        <v>0</v>
      </c>
      <c r="Q485">
        <f>SmtRes!DC908</f>
        <v>0</v>
      </c>
      <c r="R485">
        <f>ROUND(ROUND(Q485*Source!I1077, 6)*1, 2)</f>
        <v>0</v>
      </c>
      <c r="S485">
        <f>SmtRes!AC908</f>
        <v>0</v>
      </c>
      <c r="T485">
        <f>ROUND(ROUND(Q485*Source!I1077, 6)*SmtRes!AK908, 2)</f>
        <v>0</v>
      </c>
      <c r="U485">
        <v>1</v>
      </c>
      <c r="Y485">
        <f>SmtRes!X908</f>
        <v>476480486</v>
      </c>
      <c r="Z485">
        <v>1499241640</v>
      </c>
      <c r="AA485">
        <v>1499241640</v>
      </c>
    </row>
    <row r="486" spans="1:27" x14ac:dyDescent="0.2">
      <c r="A486">
        <f>Source!A1079</f>
        <v>18</v>
      </c>
      <c r="B486">
        <v>1079</v>
      </c>
      <c r="C486">
        <v>3</v>
      </c>
      <c r="D486">
        <f>Source!BI1079</f>
        <v>1</v>
      </c>
      <c r="E486">
        <f>Source!FS1079</f>
        <v>0</v>
      </c>
      <c r="F486" t="str">
        <f>Source!F1079</f>
        <v>1.12-1-53</v>
      </c>
      <c r="G486" t="str">
        <f>Source!G1079</f>
        <v>Узлы трубопроводов из стальных водогазопроводных оцинкованных труб с гильзами для водоснабжения, диаметр условного прохода 20 мм</v>
      </c>
      <c r="H486" t="str">
        <f>Source!H1079</f>
        <v>м</v>
      </c>
      <c r="I486">
        <f>Source!I1079</f>
        <v>1</v>
      </c>
      <c r="J486">
        <v>1</v>
      </c>
      <c r="K486">
        <f>Source!AC1079</f>
        <v>31.42</v>
      </c>
      <c r="M486">
        <f>ROUND(K486*I486, 2)</f>
        <v>31.42</v>
      </c>
      <c r="N486">
        <f>Source!AC1079*IF(Source!BC1079&lt;&gt; 0, Source!BC1079, 1)</f>
        <v>580.95579999999995</v>
      </c>
      <c r="O486">
        <f>ROUND(N486*I486, 2)</f>
        <v>580.96</v>
      </c>
      <c r="P486">
        <f>Source!AE1079</f>
        <v>0</v>
      </c>
      <c r="R486">
        <f>ROUND(P486*I486, 2)</f>
        <v>0</v>
      </c>
      <c r="S486">
        <f>Source!AE1079*IF(Source!BS1079&lt;&gt; 0, Source!BS1079, 1)</f>
        <v>0</v>
      </c>
      <c r="T486">
        <f>ROUND(S486*I486, 2)</f>
        <v>0</v>
      </c>
      <c r="U486">
        <v>3</v>
      </c>
      <c r="Y486">
        <f>Source!GF1079</f>
        <v>1721147367</v>
      </c>
      <c r="Z486">
        <v>334281642</v>
      </c>
      <c r="AA486">
        <v>-1916645326</v>
      </c>
    </row>
    <row r="487" spans="1:27" x14ac:dyDescent="0.2">
      <c r="A487">
        <v>20</v>
      </c>
      <c r="B487">
        <v>942</v>
      </c>
      <c r="C487">
        <v>3</v>
      </c>
      <c r="D487">
        <v>0</v>
      </c>
      <c r="E487">
        <f>SmtRes!AV942</f>
        <v>0</v>
      </c>
      <c r="F487" t="str">
        <f>SmtRes!I942</f>
        <v>1.3-2-5</v>
      </c>
      <c r="G487" t="str">
        <f>SmtRes!K942</f>
        <v>Растворы цементные, марка 100</v>
      </c>
      <c r="H487" t="str">
        <f>SmtRes!O942</f>
        <v>м3</v>
      </c>
      <c r="I487">
        <f>SmtRes!Y942*Source!I1081</f>
        <v>5.6000000000000006E-4</v>
      </c>
      <c r="J487">
        <f>SmtRes!AO942</f>
        <v>1</v>
      </c>
      <c r="K487">
        <f>SmtRes!AE942</f>
        <v>451.14</v>
      </c>
      <c r="L487">
        <f>SmtRes!DB942</f>
        <v>3.16</v>
      </c>
      <c r="M487">
        <f>ROUND(ROUND(L487*Source!I1081, 6)*1, 2)</f>
        <v>0.25</v>
      </c>
      <c r="N487">
        <f>SmtRes!AA942</f>
        <v>3929.43</v>
      </c>
      <c r="O487">
        <f>ROUND(ROUND(L487*Source!I1081, 6)*SmtRes!DA942, 2)</f>
        <v>2.2000000000000002</v>
      </c>
      <c r="P487">
        <f>SmtRes!AG942</f>
        <v>0</v>
      </c>
      <c r="Q487">
        <f>SmtRes!DC942</f>
        <v>0</v>
      </c>
      <c r="R487">
        <f>ROUND(ROUND(Q487*Source!I1081, 6)*1, 2)</f>
        <v>0</v>
      </c>
      <c r="S487">
        <f>SmtRes!AC942</f>
        <v>0</v>
      </c>
      <c r="T487">
        <f>ROUND(ROUND(Q487*Source!I1081, 6)*SmtRes!AK942, 2)</f>
        <v>0</v>
      </c>
      <c r="U487">
        <v>3</v>
      </c>
      <c r="Y487">
        <f>SmtRes!X942</f>
        <v>-718781615</v>
      </c>
      <c r="Z487">
        <v>419082255</v>
      </c>
      <c r="AA487">
        <v>2072607249</v>
      </c>
    </row>
    <row r="488" spans="1:27" x14ac:dyDescent="0.2">
      <c r="A488">
        <v>20</v>
      </c>
      <c r="B488">
        <v>940</v>
      </c>
      <c r="C488">
        <v>3</v>
      </c>
      <c r="D488">
        <v>0</v>
      </c>
      <c r="E488">
        <f>SmtRes!AV940</f>
        <v>0</v>
      </c>
      <c r="F488" t="str">
        <f>SmtRes!I940</f>
        <v>1.1-1-969</v>
      </c>
      <c r="G488" t="str">
        <f>SmtRes!K940</f>
        <v>Проволока электродная порошковая для дуговой сварки</v>
      </c>
      <c r="H488" t="str">
        <f>SmtRes!O940</f>
        <v>т</v>
      </c>
      <c r="I488">
        <f>SmtRes!Y940*Source!I1081</f>
        <v>8.0000000000000007E-5</v>
      </c>
      <c r="J488">
        <f>SmtRes!AO940</f>
        <v>1</v>
      </c>
      <c r="K488">
        <f>SmtRes!AE940</f>
        <v>35451.18</v>
      </c>
      <c r="L488">
        <f>SmtRes!DB940</f>
        <v>35.450000000000003</v>
      </c>
      <c r="M488">
        <f>ROUND(ROUND(L488*Source!I1081, 6)*1, 2)</f>
        <v>2.84</v>
      </c>
      <c r="N488">
        <f>SmtRes!AA940</f>
        <v>56367.38</v>
      </c>
      <c r="O488">
        <f>ROUND(ROUND(L488*Source!I1081, 6)*SmtRes!DA940, 2)</f>
        <v>4.51</v>
      </c>
      <c r="P488">
        <f>SmtRes!AG940</f>
        <v>0</v>
      </c>
      <c r="Q488">
        <f>SmtRes!DC940</f>
        <v>0</v>
      </c>
      <c r="R488">
        <f>ROUND(ROUND(Q488*Source!I1081, 6)*1, 2)</f>
        <v>0</v>
      </c>
      <c r="S488">
        <f>SmtRes!AC940</f>
        <v>0</v>
      </c>
      <c r="T488">
        <f>ROUND(ROUND(Q488*Source!I1081, 6)*SmtRes!AK940, 2)</f>
        <v>0</v>
      </c>
      <c r="U488">
        <v>3</v>
      </c>
      <c r="Y488">
        <f>SmtRes!X940</f>
        <v>1703733581</v>
      </c>
      <c r="Z488">
        <v>-2091796409</v>
      </c>
      <c r="AA488">
        <v>959372395</v>
      </c>
    </row>
    <row r="489" spans="1:27" x14ac:dyDescent="0.2">
      <c r="A489">
        <v>20</v>
      </c>
      <c r="B489">
        <v>939</v>
      </c>
      <c r="C489">
        <v>3</v>
      </c>
      <c r="D489">
        <v>0</v>
      </c>
      <c r="E489">
        <f>SmtRes!AV939</f>
        <v>0</v>
      </c>
      <c r="F489" t="str">
        <f>SmtRes!I939</f>
        <v>1.1-1-376</v>
      </c>
      <c r="G489" t="str">
        <f>SmtRes!K939</f>
        <v>Кислород технический газообразный</v>
      </c>
      <c r="H489" t="str">
        <f>SmtRes!O939</f>
        <v>м3</v>
      </c>
      <c r="I489">
        <f>SmtRes!Y939*Source!I1081</f>
        <v>0.13439999999999999</v>
      </c>
      <c r="J489">
        <f>SmtRes!AO939</f>
        <v>1</v>
      </c>
      <c r="K489">
        <f>SmtRes!AE939</f>
        <v>5.91</v>
      </c>
      <c r="L489">
        <f>SmtRes!DB939</f>
        <v>9.93</v>
      </c>
      <c r="M489">
        <f>ROUND(ROUND(L489*Source!I1081, 6)*1, 2)</f>
        <v>0.79</v>
      </c>
      <c r="N489">
        <f>SmtRes!AA939</f>
        <v>76.95</v>
      </c>
      <c r="O489">
        <f>ROUND(ROUND(L489*Source!I1081, 6)*SmtRes!DA939, 2)</f>
        <v>10.34</v>
      </c>
      <c r="P489">
        <f>SmtRes!AG939</f>
        <v>0</v>
      </c>
      <c r="Q489">
        <f>SmtRes!DC939</f>
        <v>0</v>
      </c>
      <c r="R489">
        <f>ROUND(ROUND(Q489*Source!I1081, 6)*1, 2)</f>
        <v>0</v>
      </c>
      <c r="S489">
        <f>SmtRes!AC939</f>
        <v>0</v>
      </c>
      <c r="T489">
        <f>ROUND(ROUND(Q489*Source!I1081, 6)*SmtRes!AK939, 2)</f>
        <v>0</v>
      </c>
      <c r="U489">
        <v>3</v>
      </c>
      <c r="Y489">
        <f>SmtRes!X939</f>
        <v>-1236741395</v>
      </c>
      <c r="Z489">
        <v>113990930</v>
      </c>
      <c r="AA489">
        <v>-530669901</v>
      </c>
    </row>
    <row r="490" spans="1:27" x14ac:dyDescent="0.2">
      <c r="A490">
        <v>20</v>
      </c>
      <c r="B490">
        <v>938</v>
      </c>
      <c r="C490">
        <v>3</v>
      </c>
      <c r="D490">
        <v>0</v>
      </c>
      <c r="E490">
        <f>SmtRes!AV938</f>
        <v>0</v>
      </c>
      <c r="F490" t="str">
        <f>SmtRes!I938</f>
        <v>1.1-1-26</v>
      </c>
      <c r="G490" t="str">
        <f>SmtRes!K938</f>
        <v>Ацетилен технический</v>
      </c>
      <c r="H490" t="str">
        <f>SmtRes!O938</f>
        <v>м3</v>
      </c>
      <c r="I490">
        <f>SmtRes!Y938*Source!I1081</f>
        <v>0.13600000000000001</v>
      </c>
      <c r="J490">
        <f>SmtRes!AO938</f>
        <v>1</v>
      </c>
      <c r="K490">
        <f>SmtRes!AE938</f>
        <v>53.57</v>
      </c>
      <c r="L490">
        <f>SmtRes!DB938</f>
        <v>91.07</v>
      </c>
      <c r="M490">
        <f>ROUND(ROUND(L490*Source!I1081, 6)*1, 2)</f>
        <v>7.29</v>
      </c>
      <c r="N490">
        <f>SmtRes!AA938</f>
        <v>474.09</v>
      </c>
      <c r="O490">
        <f>ROUND(ROUND(L490*Source!I1081, 6)*SmtRes!DA938, 2)</f>
        <v>64.48</v>
      </c>
      <c r="P490">
        <f>SmtRes!AG938</f>
        <v>0</v>
      </c>
      <c r="Q490">
        <f>SmtRes!DC938</f>
        <v>0</v>
      </c>
      <c r="R490">
        <f>ROUND(ROUND(Q490*Source!I1081, 6)*1, 2)</f>
        <v>0</v>
      </c>
      <c r="S490">
        <f>SmtRes!AC938</f>
        <v>0</v>
      </c>
      <c r="T490">
        <f>ROUND(ROUND(Q490*Source!I1081, 6)*SmtRes!AK938, 2)</f>
        <v>0</v>
      </c>
      <c r="U490">
        <v>3</v>
      </c>
      <c r="Y490">
        <f>SmtRes!X938</f>
        <v>-1326519054</v>
      </c>
      <c r="Z490">
        <v>-458715237</v>
      </c>
      <c r="AA490">
        <v>502890987</v>
      </c>
    </row>
    <row r="491" spans="1:27" x14ac:dyDescent="0.2">
      <c r="A491">
        <v>20</v>
      </c>
      <c r="B491">
        <v>937</v>
      </c>
      <c r="C491">
        <v>3</v>
      </c>
      <c r="D491">
        <v>0</v>
      </c>
      <c r="E491">
        <f>SmtRes!AV937</f>
        <v>0</v>
      </c>
      <c r="F491" t="str">
        <f>SmtRes!I937</f>
        <v>1.1-1-258</v>
      </c>
      <c r="G491" t="str">
        <f>SmtRes!K937</f>
        <v>Известь хлорная</v>
      </c>
      <c r="H491" t="str">
        <f>SmtRes!O937</f>
        <v>т</v>
      </c>
      <c r="I491">
        <f>SmtRes!Y937*Source!I1081</f>
        <v>2.0080000000000001E-6</v>
      </c>
      <c r="J491">
        <f>SmtRes!AO937</f>
        <v>1</v>
      </c>
      <c r="K491">
        <f>SmtRes!AE937</f>
        <v>3246.35</v>
      </c>
      <c r="L491">
        <f>SmtRes!DB937</f>
        <v>0.08</v>
      </c>
      <c r="M491">
        <f>ROUND(ROUND(L491*Source!I1081, 6)*1, 2)</f>
        <v>0.01</v>
      </c>
      <c r="N491">
        <f>SmtRes!AA937</f>
        <v>68238.28</v>
      </c>
      <c r="O491">
        <f>ROUND(ROUND(L491*Source!I1081, 6)*SmtRes!DA937, 2)</f>
        <v>0.13</v>
      </c>
      <c r="P491">
        <f>SmtRes!AG937</f>
        <v>0</v>
      </c>
      <c r="Q491">
        <f>SmtRes!DC937</f>
        <v>0</v>
      </c>
      <c r="R491">
        <f>ROUND(ROUND(Q491*Source!I1081, 6)*1, 2)</f>
        <v>0</v>
      </c>
      <c r="S491">
        <f>SmtRes!AC937</f>
        <v>0</v>
      </c>
      <c r="T491">
        <f>ROUND(ROUND(Q491*Source!I1081, 6)*SmtRes!AK937, 2)</f>
        <v>0</v>
      </c>
      <c r="U491">
        <v>3</v>
      </c>
      <c r="Y491">
        <f>SmtRes!X937</f>
        <v>-1837888431</v>
      </c>
      <c r="Z491">
        <v>1139941617</v>
      </c>
      <c r="AA491">
        <v>1167124668</v>
      </c>
    </row>
    <row r="492" spans="1:27" x14ac:dyDescent="0.2">
      <c r="A492">
        <v>20</v>
      </c>
      <c r="B492">
        <v>936</v>
      </c>
      <c r="C492">
        <v>3</v>
      </c>
      <c r="D492">
        <v>0</v>
      </c>
      <c r="E492">
        <f>SmtRes!AV936</f>
        <v>0</v>
      </c>
      <c r="F492" t="str">
        <f>SmtRes!I936</f>
        <v>1.1-1-118</v>
      </c>
      <c r="G492" t="str">
        <f>SmtRes!K936</f>
        <v>Вода</v>
      </c>
      <c r="H492" t="str">
        <f>SmtRes!O936</f>
        <v>м3</v>
      </c>
      <c r="I492">
        <f>SmtRes!Y936*Source!I1081</f>
        <v>7.4986399999999995E-2</v>
      </c>
      <c r="J492">
        <f>SmtRes!AO936</f>
        <v>1</v>
      </c>
      <c r="K492">
        <f>SmtRes!AE936</f>
        <v>7.07</v>
      </c>
      <c r="L492">
        <f>SmtRes!DB936</f>
        <v>6.63</v>
      </c>
      <c r="M492">
        <f>ROUND(ROUND(L492*Source!I1081, 6)*1, 2)</f>
        <v>0.53</v>
      </c>
      <c r="N492">
        <f>SmtRes!AA936</f>
        <v>42.42</v>
      </c>
      <c r="O492">
        <f>ROUND(ROUND(L492*Source!I1081, 6)*SmtRes!DA936, 2)</f>
        <v>3.18</v>
      </c>
      <c r="P492">
        <f>SmtRes!AG936</f>
        <v>0</v>
      </c>
      <c r="Q492">
        <f>SmtRes!DC936</f>
        <v>0</v>
      </c>
      <c r="R492">
        <f>ROUND(ROUND(Q492*Source!I1081, 6)*1, 2)</f>
        <v>0</v>
      </c>
      <c r="S492">
        <f>SmtRes!AC936</f>
        <v>0</v>
      </c>
      <c r="T492">
        <f>ROUND(ROUND(Q492*Source!I1081, 6)*SmtRes!AK936, 2)</f>
        <v>0</v>
      </c>
      <c r="U492">
        <v>3</v>
      </c>
      <c r="Y492">
        <f>SmtRes!X936</f>
        <v>-862991314</v>
      </c>
      <c r="Z492">
        <v>-1421290593</v>
      </c>
      <c r="AA492">
        <v>-1279710304</v>
      </c>
    </row>
    <row r="493" spans="1:27" x14ac:dyDescent="0.2">
      <c r="A493">
        <v>20</v>
      </c>
      <c r="B493">
        <v>935</v>
      </c>
      <c r="C493">
        <v>2</v>
      </c>
      <c r="D493">
        <v>0</v>
      </c>
      <c r="E493">
        <f>SmtRes!AV935</f>
        <v>0</v>
      </c>
      <c r="F493" t="str">
        <f>SmtRes!I935</f>
        <v>2.1-3-38</v>
      </c>
      <c r="G493" t="str">
        <f>SmtRes!K935</f>
        <v>Краны на автомобильном ходу, грузоподъемность до 16 т</v>
      </c>
      <c r="H493" t="str">
        <f>SmtRes!O935</f>
        <v>маш.-ч.</v>
      </c>
      <c r="I493">
        <f>SmtRes!Y935*Source!I1081</f>
        <v>8.9999999999999993E-3</v>
      </c>
      <c r="J493">
        <f>SmtRes!AO935</f>
        <v>1</v>
      </c>
      <c r="K493">
        <f>SmtRes!AF935</f>
        <v>190.93</v>
      </c>
      <c r="L493">
        <f>SmtRes!DB935</f>
        <v>21.475000000000001</v>
      </c>
      <c r="M493">
        <f>ROUND(ROUND(L493*Source!I1081, 6)*1, 2)</f>
        <v>1.72</v>
      </c>
      <c r="N493">
        <f>SmtRes!AB935</f>
        <v>2098.34</v>
      </c>
      <c r="O493">
        <f>ROUND(ROUND(L493*Source!I1081, 6)*SmtRes!DA935, 2)</f>
        <v>17.7</v>
      </c>
      <c r="P493">
        <f>SmtRes!AG935</f>
        <v>18.149999999999999</v>
      </c>
      <c r="Q493">
        <f>SmtRes!DC935</f>
        <v>2.0375000000000001</v>
      </c>
      <c r="R493">
        <f>ROUND(ROUND(Q493*Source!I1081, 6)*1, 2)</f>
        <v>0.16</v>
      </c>
      <c r="S493">
        <f>SmtRes!AC935</f>
        <v>562.20000000000005</v>
      </c>
      <c r="T493">
        <f>ROUND(ROUND(Q493*Source!I1081, 6)*SmtRes!AK935, 2)</f>
        <v>4.7300000000000004</v>
      </c>
      <c r="U493">
        <v>2</v>
      </c>
      <c r="Y493">
        <f>SmtRes!X935</f>
        <v>-266174272</v>
      </c>
      <c r="Z493">
        <v>-2048655808</v>
      </c>
      <c r="AA493">
        <v>1536045345</v>
      </c>
    </row>
    <row r="494" spans="1:27" x14ac:dyDescent="0.2">
      <c r="A494">
        <v>20</v>
      </c>
      <c r="B494">
        <v>934</v>
      </c>
      <c r="C494">
        <v>2</v>
      </c>
      <c r="D494">
        <v>0</v>
      </c>
      <c r="E494">
        <f>SmtRes!AV934</f>
        <v>0</v>
      </c>
      <c r="F494" t="str">
        <f>SmtRes!I934</f>
        <v>2.1-18-7</v>
      </c>
      <c r="G494" t="str">
        <f>SmtRes!K934</f>
        <v>Автомобили грузовые бортовые, грузоподъемность до 5 т</v>
      </c>
      <c r="H494" t="str">
        <f>SmtRes!O934</f>
        <v>маш.-ч.</v>
      </c>
      <c r="I494">
        <f>SmtRes!Y934*Source!I1081</f>
        <v>0.10400000000000001</v>
      </c>
      <c r="J494">
        <f>SmtRes!AO934</f>
        <v>1</v>
      </c>
      <c r="K494">
        <f>SmtRes!AF934</f>
        <v>76.81</v>
      </c>
      <c r="L494">
        <f>SmtRes!DB934</f>
        <v>99.85</v>
      </c>
      <c r="M494">
        <f>ROUND(ROUND(L494*Source!I1081, 6)*1, 2)</f>
        <v>7.99</v>
      </c>
      <c r="N494">
        <f>SmtRes!AB934</f>
        <v>935.94</v>
      </c>
      <c r="O494">
        <f>ROUND(ROUND(L494*Source!I1081, 6)*SmtRes!DA934, 2)</f>
        <v>91.22</v>
      </c>
      <c r="P494">
        <f>SmtRes!AG934</f>
        <v>14.36</v>
      </c>
      <c r="Q494">
        <f>SmtRes!DC934</f>
        <v>18.662500000000001</v>
      </c>
      <c r="R494">
        <f>ROUND(ROUND(Q494*Source!I1081, 6)*1, 2)</f>
        <v>1.49</v>
      </c>
      <c r="S494">
        <f>SmtRes!AC934</f>
        <v>444.8</v>
      </c>
      <c r="T494">
        <f>ROUND(ROUND(Q494*Source!I1081, 6)*SmtRes!AK934, 2)</f>
        <v>43.34</v>
      </c>
      <c r="U494">
        <v>2</v>
      </c>
      <c r="Y494">
        <f>SmtRes!X934</f>
        <v>-628430174</v>
      </c>
      <c r="Z494">
        <v>-2049064267</v>
      </c>
      <c r="AA494">
        <v>1144387144</v>
      </c>
    </row>
    <row r="495" spans="1:27" x14ac:dyDescent="0.2">
      <c r="A495">
        <v>20</v>
      </c>
      <c r="B495">
        <v>933</v>
      </c>
      <c r="C495">
        <v>2</v>
      </c>
      <c r="D495">
        <v>0</v>
      </c>
      <c r="E495">
        <f>SmtRes!AV933</f>
        <v>0</v>
      </c>
      <c r="F495" t="str">
        <f>SmtRes!I933</f>
        <v>2.1-13-10</v>
      </c>
      <c r="G495" t="str">
        <f>SmtRes!K933</f>
        <v>Инверторы для ручной дуговой сварки, сварочный ток до 400 А</v>
      </c>
      <c r="H495" t="str">
        <f>SmtRes!O933</f>
        <v>маш.-ч.</v>
      </c>
      <c r="I495">
        <f>SmtRes!Y933*Source!I1081</f>
        <v>0.35000000000000003</v>
      </c>
      <c r="J495">
        <f>SmtRes!AO933</f>
        <v>1</v>
      </c>
      <c r="K495">
        <f>SmtRes!AF933</f>
        <v>4.8600000000000003</v>
      </c>
      <c r="L495">
        <f>SmtRes!DB933</f>
        <v>21.262499999999999</v>
      </c>
      <c r="M495">
        <f>ROUND(ROUND(L495*Source!I1081, 6)*1, 2)</f>
        <v>1.7</v>
      </c>
      <c r="N495">
        <f>SmtRes!AB933</f>
        <v>53.88</v>
      </c>
      <c r="O495">
        <f>ROUND(ROUND(L495*Source!I1081, 6)*SmtRes!DA933, 2)</f>
        <v>17.670000000000002</v>
      </c>
      <c r="P495">
        <f>SmtRes!AG933</f>
        <v>0</v>
      </c>
      <c r="Q495">
        <f>SmtRes!DC933</f>
        <v>0</v>
      </c>
      <c r="R495">
        <f>ROUND(ROUND(Q495*Source!I1081, 6)*1, 2)</f>
        <v>0</v>
      </c>
      <c r="S495">
        <f>SmtRes!AC933</f>
        <v>0</v>
      </c>
      <c r="T495">
        <f>ROUND(ROUND(Q495*Source!I1081, 6)*SmtRes!AK933, 2)</f>
        <v>0</v>
      </c>
      <c r="U495">
        <v>2</v>
      </c>
      <c r="Y495">
        <f>SmtRes!X933</f>
        <v>1295654915</v>
      </c>
      <c r="Z495">
        <v>-537705207</v>
      </c>
      <c r="AA495">
        <v>867521705</v>
      </c>
    </row>
    <row r="496" spans="1:27" x14ac:dyDescent="0.2">
      <c r="A496">
        <v>20</v>
      </c>
      <c r="B496">
        <v>932</v>
      </c>
      <c r="C496">
        <v>1</v>
      </c>
      <c r="D496">
        <v>0</v>
      </c>
      <c r="E496">
        <f>SmtRes!AV932</f>
        <v>1</v>
      </c>
      <c r="F496" t="str">
        <f>SmtRes!I932</f>
        <v>9999990008</v>
      </c>
      <c r="G496" t="str">
        <f>SmtRes!K932</f>
        <v>Трудозатраты рабочих</v>
      </c>
      <c r="H496" t="str">
        <f>SmtRes!O932</f>
        <v>чел.-ч.</v>
      </c>
      <c r="I496">
        <f>SmtRes!Y932*Source!I1081</f>
        <v>5.1059999999999999</v>
      </c>
      <c r="J496">
        <f>SmtRes!AO932</f>
        <v>1</v>
      </c>
      <c r="K496">
        <f>SmtRes!AH932</f>
        <v>0</v>
      </c>
      <c r="L496">
        <f>SmtRes!DB932</f>
        <v>0</v>
      </c>
      <c r="M496">
        <f>ROUND(ROUND(L496*Source!I1081, 6)*1, 2)</f>
        <v>0</v>
      </c>
      <c r="N496">
        <f>SmtRes!AD932</f>
        <v>0</v>
      </c>
      <c r="O496">
        <f>ROUND(ROUND(L496*Source!I1081, 6)*SmtRes!DA932, 2)</f>
        <v>0</v>
      </c>
      <c r="P496">
        <f>SmtRes!AG932</f>
        <v>0</v>
      </c>
      <c r="Q496">
        <f>SmtRes!DC932</f>
        <v>0</v>
      </c>
      <c r="R496">
        <f>ROUND(ROUND(Q496*Source!I1081, 6)*1, 2)</f>
        <v>0</v>
      </c>
      <c r="S496">
        <f>SmtRes!AC932</f>
        <v>0</v>
      </c>
      <c r="T496">
        <f>ROUND(ROUND(Q496*Source!I1081, 6)*SmtRes!AK932, 2)</f>
        <v>0</v>
      </c>
      <c r="U496">
        <v>1</v>
      </c>
      <c r="Y496">
        <f>SmtRes!X932</f>
        <v>476480486</v>
      </c>
      <c r="Z496">
        <v>1499241640</v>
      </c>
      <c r="AA496">
        <v>1499241640</v>
      </c>
    </row>
    <row r="497" spans="1:27" x14ac:dyDescent="0.2">
      <c r="A497">
        <f>Source!A1083</f>
        <v>18</v>
      </c>
      <c r="B497">
        <v>1083</v>
      </c>
      <c r="C497">
        <v>3</v>
      </c>
      <c r="D497">
        <f>Source!BI1083</f>
        <v>1</v>
      </c>
      <c r="E497">
        <f>Source!FS1083</f>
        <v>0</v>
      </c>
      <c r="F497" t="str">
        <f>Source!F1083</f>
        <v>1.12-1-59</v>
      </c>
      <c r="G497" t="str">
        <f>Source!G1083</f>
        <v>Узлы трубопроводов из стальных водогазопроводных оцинкованных труб с гильзами для водоснабжения, диаметр условного прохода 80 мм</v>
      </c>
      <c r="H497" t="str">
        <f>Source!H1083</f>
        <v>м</v>
      </c>
      <c r="I497">
        <f>Source!I1083</f>
        <v>8</v>
      </c>
      <c r="J497">
        <v>1</v>
      </c>
      <c r="K497">
        <f>Source!AC1083</f>
        <v>111.92</v>
      </c>
      <c r="M497">
        <f>ROUND(K497*I497, 2)</f>
        <v>895.36</v>
      </c>
      <c r="N497">
        <f>Source!AC1083*IF(Source!BC1083&lt;&gt; 0, Source!BC1083, 1)</f>
        <v>1508.6816000000001</v>
      </c>
      <c r="O497">
        <f>ROUND(N497*I497, 2)</f>
        <v>12069.45</v>
      </c>
      <c r="P497">
        <f>Source!AE1083</f>
        <v>0</v>
      </c>
      <c r="R497">
        <f>ROUND(P497*I497, 2)</f>
        <v>0</v>
      </c>
      <c r="S497">
        <f>Source!AE1083*IF(Source!BS1083&lt;&gt; 0, Source!BS1083, 1)</f>
        <v>0</v>
      </c>
      <c r="T497">
        <f>ROUND(S497*I497, 2)</f>
        <v>0</v>
      </c>
      <c r="U497">
        <v>3</v>
      </c>
      <c r="Y497">
        <f>Source!GF1083</f>
        <v>-675544823</v>
      </c>
      <c r="Z497">
        <v>1934164478</v>
      </c>
      <c r="AA497">
        <v>-393763925</v>
      </c>
    </row>
    <row r="498" spans="1:27" x14ac:dyDescent="0.2">
      <c r="A498">
        <v>20</v>
      </c>
      <c r="B498">
        <v>958</v>
      </c>
      <c r="C498">
        <v>3</v>
      </c>
      <c r="D498">
        <v>0</v>
      </c>
      <c r="E498">
        <f>SmtRes!AV958</f>
        <v>0</v>
      </c>
      <c r="F498" t="str">
        <f>SmtRes!I958</f>
        <v>9999990006</v>
      </c>
      <c r="G498" t="str">
        <f>SmtRes!K958</f>
        <v>Стоимость прочих материалов (ЭСН)</v>
      </c>
      <c r="H498" t="str">
        <f>SmtRes!O958</f>
        <v>руб.</v>
      </c>
      <c r="I498">
        <f>SmtRes!Y958*Source!I1085</f>
        <v>17.5</v>
      </c>
      <c r="J498">
        <f>SmtRes!AO958</f>
        <v>1</v>
      </c>
      <c r="K498">
        <f>SmtRes!AE958</f>
        <v>1</v>
      </c>
      <c r="L498">
        <f>SmtRes!DB958</f>
        <v>8.75</v>
      </c>
      <c r="M498">
        <f>ROUND(ROUND(L498*Source!I1085, 6)*1, 2)</f>
        <v>17.5</v>
      </c>
      <c r="N498">
        <f>SmtRes!AA958</f>
        <v>8.65</v>
      </c>
      <c r="O498">
        <f>ROUND(ROUND(L498*Source!I1085, 6)*SmtRes!DA958, 2)</f>
        <v>151.38</v>
      </c>
      <c r="P498">
        <f>SmtRes!AG958</f>
        <v>0</v>
      </c>
      <c r="Q498">
        <f>SmtRes!DC958</f>
        <v>0</v>
      </c>
      <c r="R498">
        <f>ROUND(ROUND(Q498*Source!I1085, 6)*1, 2)</f>
        <v>0</v>
      </c>
      <c r="S498">
        <f>SmtRes!AC958</f>
        <v>0</v>
      </c>
      <c r="T498">
        <f>ROUND(ROUND(Q498*Source!I1085, 6)*SmtRes!AK958, 2)</f>
        <v>0</v>
      </c>
      <c r="U498">
        <v>3</v>
      </c>
      <c r="Y498">
        <f>SmtRes!X958</f>
        <v>-94250534</v>
      </c>
      <c r="Z498">
        <v>-1771809642</v>
      </c>
      <c r="AA498">
        <v>19367311</v>
      </c>
    </row>
    <row r="499" spans="1:27" x14ac:dyDescent="0.2">
      <c r="A499">
        <v>20</v>
      </c>
      <c r="B499">
        <v>956</v>
      </c>
      <c r="C499">
        <v>3</v>
      </c>
      <c r="D499">
        <v>0</v>
      </c>
      <c r="E499">
        <f>SmtRes!AV956</f>
        <v>0</v>
      </c>
      <c r="F499" t="str">
        <f>SmtRes!I956</f>
        <v>1.17-7-8</v>
      </c>
      <c r="G499" t="str">
        <f>SmtRes!K956</f>
        <v>Головки для пожарных рукавов соединительные, напорные, марка ГР, давление 1,2 (12) МПа (кгс/см2), рукавные, диаметр 50 мм</v>
      </c>
      <c r="H499" t="str">
        <f>SmtRes!O956</f>
        <v>шт.</v>
      </c>
      <c r="I499">
        <f>SmtRes!Y956*Source!I1085</f>
        <v>6</v>
      </c>
      <c r="J499">
        <f>SmtRes!AO956</f>
        <v>1</v>
      </c>
      <c r="K499">
        <f>SmtRes!AE956</f>
        <v>46.87</v>
      </c>
      <c r="L499">
        <f>SmtRes!DB956</f>
        <v>140.61000000000001</v>
      </c>
      <c r="M499">
        <f>ROUND(ROUND(L499*Source!I1085, 6)*1, 2)</f>
        <v>281.22000000000003</v>
      </c>
      <c r="N499">
        <f>SmtRes!AA956</f>
        <v>82.96</v>
      </c>
      <c r="O499">
        <f>ROUND(ROUND(L499*Source!I1085, 6)*SmtRes!DA956, 2)</f>
        <v>497.76</v>
      </c>
      <c r="P499">
        <f>SmtRes!AG956</f>
        <v>0</v>
      </c>
      <c r="Q499">
        <f>SmtRes!DC956</f>
        <v>0</v>
      </c>
      <c r="R499">
        <f>ROUND(ROUND(Q499*Source!I1085, 6)*1, 2)</f>
        <v>0</v>
      </c>
      <c r="S499">
        <f>SmtRes!AC956</f>
        <v>0</v>
      </c>
      <c r="T499">
        <f>ROUND(ROUND(Q499*Source!I1085, 6)*SmtRes!AK956, 2)</f>
        <v>0</v>
      </c>
      <c r="U499">
        <v>3</v>
      </c>
      <c r="Y499">
        <f>SmtRes!X956</f>
        <v>-929995469</v>
      </c>
      <c r="Z499">
        <v>1554182636</v>
      </c>
      <c r="AA499">
        <v>2016184941</v>
      </c>
    </row>
    <row r="500" spans="1:27" x14ac:dyDescent="0.2">
      <c r="A500">
        <v>20</v>
      </c>
      <c r="B500">
        <v>955</v>
      </c>
      <c r="C500">
        <v>3</v>
      </c>
      <c r="D500">
        <v>0</v>
      </c>
      <c r="E500">
        <f>SmtRes!AV955</f>
        <v>0</v>
      </c>
      <c r="F500" t="str">
        <f>SmtRes!I955</f>
        <v>1.17-7-33</v>
      </c>
      <c r="G500" t="str">
        <f>SmtRes!K955</f>
        <v>Стволы пожарные ручные, марка РС-50, диаметр 106 мм</v>
      </c>
      <c r="H500" t="str">
        <f>SmtRes!O955</f>
        <v>шт.</v>
      </c>
      <c r="I500">
        <f>SmtRes!Y955*Source!I1085</f>
        <v>2</v>
      </c>
      <c r="J500">
        <f>SmtRes!AO955</f>
        <v>1</v>
      </c>
      <c r="K500">
        <f>SmtRes!AE955</f>
        <v>62.05</v>
      </c>
      <c r="L500">
        <f>SmtRes!DB955</f>
        <v>62.05</v>
      </c>
      <c r="M500">
        <f>ROUND(ROUND(L500*Source!I1085, 6)*1, 2)</f>
        <v>124.1</v>
      </c>
      <c r="N500">
        <f>SmtRes!AA955</f>
        <v>140.85</v>
      </c>
      <c r="O500">
        <f>ROUND(ROUND(L500*Source!I1085, 6)*SmtRes!DA955, 2)</f>
        <v>281.70999999999998</v>
      </c>
      <c r="P500">
        <f>SmtRes!AG955</f>
        <v>0</v>
      </c>
      <c r="Q500">
        <f>SmtRes!DC955</f>
        <v>0</v>
      </c>
      <c r="R500">
        <f>ROUND(ROUND(Q500*Source!I1085, 6)*1, 2)</f>
        <v>0</v>
      </c>
      <c r="S500">
        <f>SmtRes!AC955</f>
        <v>0</v>
      </c>
      <c r="T500">
        <f>ROUND(ROUND(Q500*Source!I1085, 6)*SmtRes!AK955, 2)</f>
        <v>0</v>
      </c>
      <c r="U500">
        <v>3</v>
      </c>
      <c r="Y500">
        <f>SmtRes!X955</f>
        <v>1423054617</v>
      </c>
      <c r="Z500">
        <v>1393095078</v>
      </c>
      <c r="AA500">
        <v>-1823527708</v>
      </c>
    </row>
    <row r="501" spans="1:27" x14ac:dyDescent="0.2">
      <c r="A501">
        <v>20</v>
      </c>
      <c r="B501">
        <v>952</v>
      </c>
      <c r="C501">
        <v>2</v>
      </c>
      <c r="D501">
        <v>0</v>
      </c>
      <c r="E501">
        <f>SmtRes!AV952</f>
        <v>0</v>
      </c>
      <c r="F501" t="str">
        <f>SmtRes!I952</f>
        <v>9999990007</v>
      </c>
      <c r="G501" t="str">
        <f>SmtRes!K952</f>
        <v>Стоимость прочих машин (ЭСН)</v>
      </c>
      <c r="H501" t="str">
        <f>SmtRes!O952</f>
        <v>руб.</v>
      </c>
      <c r="I501">
        <f>SmtRes!Y952*Source!I1085</f>
        <v>5.5750000000000002</v>
      </c>
      <c r="J501">
        <f>SmtRes!AO952</f>
        <v>1</v>
      </c>
      <c r="K501">
        <f>SmtRes!AF952</f>
        <v>1</v>
      </c>
      <c r="L501">
        <f>SmtRes!DB952</f>
        <v>2.7875000000000001</v>
      </c>
      <c r="M501">
        <f>ROUND(ROUND(L501*Source!I1085, 6)*1, 2)</f>
        <v>5.58</v>
      </c>
      <c r="N501">
        <f>SmtRes!AB952</f>
        <v>1.07</v>
      </c>
      <c r="O501">
        <f>ROUND(ROUND(L501*Source!I1085, 6)*SmtRes!DA952, 2)</f>
        <v>5.58</v>
      </c>
      <c r="P501">
        <f>SmtRes!AG952</f>
        <v>0</v>
      </c>
      <c r="Q501">
        <f>SmtRes!DC952</f>
        <v>0</v>
      </c>
      <c r="R501">
        <f>ROUND(ROUND(Q501*Source!I1085, 6)*1, 2)</f>
        <v>0</v>
      </c>
      <c r="S501">
        <f>SmtRes!AC952</f>
        <v>0</v>
      </c>
      <c r="T501">
        <f>ROUND(ROUND(Q501*Source!I1085, 6)*SmtRes!AK952, 2)</f>
        <v>0</v>
      </c>
      <c r="U501">
        <v>2</v>
      </c>
      <c r="Y501">
        <f>SmtRes!X952</f>
        <v>-1180195794</v>
      </c>
      <c r="Z501">
        <v>-595858232</v>
      </c>
      <c r="AA501">
        <v>55387674</v>
      </c>
    </row>
    <row r="502" spans="1:27" x14ac:dyDescent="0.2">
      <c r="A502">
        <v>20</v>
      </c>
      <c r="B502">
        <v>951</v>
      </c>
      <c r="C502">
        <v>1</v>
      </c>
      <c r="D502">
        <v>0</v>
      </c>
      <c r="E502">
        <f>SmtRes!AV951</f>
        <v>1</v>
      </c>
      <c r="F502" t="str">
        <f>SmtRes!I951</f>
        <v>9999990008</v>
      </c>
      <c r="G502" t="str">
        <f>SmtRes!K951</f>
        <v>Трудозатраты рабочих</v>
      </c>
      <c r="H502" t="str">
        <f>SmtRes!O951</f>
        <v>чел.-ч.</v>
      </c>
      <c r="I502">
        <f>SmtRes!Y951*Source!I1085</f>
        <v>2.0699999999999998</v>
      </c>
      <c r="J502">
        <f>SmtRes!AO951</f>
        <v>1</v>
      </c>
      <c r="K502">
        <f>SmtRes!AH951</f>
        <v>0</v>
      </c>
      <c r="L502">
        <f>SmtRes!DB951</f>
        <v>0</v>
      </c>
      <c r="M502">
        <f>ROUND(ROUND(L502*Source!I1085, 6)*1, 2)</f>
        <v>0</v>
      </c>
      <c r="N502">
        <f>SmtRes!AD951</f>
        <v>0</v>
      </c>
      <c r="O502">
        <f>ROUND(ROUND(L502*Source!I1085, 6)*SmtRes!DA951, 2)</f>
        <v>0</v>
      </c>
      <c r="P502">
        <f>SmtRes!AG951</f>
        <v>0</v>
      </c>
      <c r="Q502">
        <f>SmtRes!DC951</f>
        <v>0</v>
      </c>
      <c r="R502">
        <f>ROUND(ROUND(Q502*Source!I1085, 6)*1, 2)</f>
        <v>0</v>
      </c>
      <c r="S502">
        <f>SmtRes!AC951</f>
        <v>0</v>
      </c>
      <c r="T502">
        <f>ROUND(ROUND(Q502*Source!I1085, 6)*SmtRes!AK951, 2)</f>
        <v>0</v>
      </c>
      <c r="U502">
        <v>1</v>
      </c>
      <c r="Y502">
        <f>SmtRes!X951</f>
        <v>476480486</v>
      </c>
      <c r="Z502">
        <v>1499241640</v>
      </c>
      <c r="AA502">
        <v>1499241640</v>
      </c>
    </row>
    <row r="503" spans="1:27" x14ac:dyDescent="0.2">
      <c r="A503">
        <f>Source!A1087</f>
        <v>18</v>
      </c>
      <c r="B503">
        <v>1087</v>
      </c>
      <c r="C503">
        <v>3</v>
      </c>
      <c r="D503">
        <f>Source!BI1087</f>
        <v>1</v>
      </c>
      <c r="E503">
        <f>Source!FS1087</f>
        <v>0</v>
      </c>
      <c r="F503" t="str">
        <f>Source!F1087</f>
        <v>1.13-1-19</v>
      </c>
      <c r="G503" t="str">
        <f>Source!G1087</f>
        <v>Клапан латунный, запорный, проходной, с муфтой и цапкой, давление номинальное PN 1,6 МПа, диаметр номинальный DN 50 мм, для пожарных кранов</v>
      </c>
      <c r="H503" t="str">
        <f>Source!H1087</f>
        <v>шт.</v>
      </c>
      <c r="I503">
        <f>Source!I1087</f>
        <v>2</v>
      </c>
      <c r="J503">
        <v>1</v>
      </c>
      <c r="K503">
        <f>Source!AC1087</f>
        <v>0</v>
      </c>
      <c r="M503">
        <f>ROUND(K503*I503, 2)</f>
        <v>0</v>
      </c>
      <c r="N503">
        <f>Source!AC1087*IF(Source!BC1087&lt;&gt; 0, Source!BC1087, 1)</f>
        <v>0</v>
      </c>
      <c r="O503">
        <f>ROUND(N503*I503, 2)</f>
        <v>0</v>
      </c>
      <c r="P503">
        <f>Source!AE1087</f>
        <v>0</v>
      </c>
      <c r="R503">
        <f>ROUND(P503*I503, 2)</f>
        <v>0</v>
      </c>
      <c r="S503">
        <f>Source!AE1087*IF(Source!BS1087&lt;&gt; 0, Source!BS1087, 1)</f>
        <v>0</v>
      </c>
      <c r="T503">
        <f>ROUND(S503*I503, 2)</f>
        <v>0</v>
      </c>
      <c r="U503">
        <v>3</v>
      </c>
      <c r="Y503">
        <f>Source!GF1087</f>
        <v>-1188360614</v>
      </c>
      <c r="Z503">
        <v>-2142545408</v>
      </c>
      <c r="AA503">
        <v>-2142545408</v>
      </c>
    </row>
    <row r="504" spans="1:27" x14ac:dyDescent="0.2">
      <c r="A504">
        <f>Source!A1089</f>
        <v>18</v>
      </c>
      <c r="B504">
        <v>1089</v>
      </c>
      <c r="C504">
        <v>3</v>
      </c>
      <c r="D504">
        <f>Source!BI1089</f>
        <v>1</v>
      </c>
      <c r="E504">
        <f>Source!FS1089</f>
        <v>0</v>
      </c>
      <c r="F504" t="str">
        <f>Source!F1089</f>
        <v>1.17-7-30</v>
      </c>
      <c r="G504" t="str">
        <f>Source!G1089</f>
        <v>Рукава пожарные напорные, льняные, диаметр 51 мм</v>
      </c>
      <c r="H504" t="str">
        <f>Source!H1089</f>
        <v>м</v>
      </c>
      <c r="I504">
        <f>Source!I1089</f>
        <v>40</v>
      </c>
      <c r="J504">
        <v>1</v>
      </c>
      <c r="K504">
        <f>Source!AC1089</f>
        <v>0</v>
      </c>
      <c r="M504">
        <f>ROUND(K504*I504, 2)</f>
        <v>0</v>
      </c>
      <c r="N504">
        <f>Source!AC1089*IF(Source!BC1089&lt;&gt; 0, Source!BC1089, 1)</f>
        <v>0</v>
      </c>
      <c r="O504">
        <f>ROUND(N504*I504, 2)</f>
        <v>0</v>
      </c>
      <c r="P504">
        <f>Source!AE1089</f>
        <v>0</v>
      </c>
      <c r="R504">
        <f>ROUND(P504*I504, 2)</f>
        <v>0</v>
      </c>
      <c r="S504">
        <f>Source!AE1089*IF(Source!BS1089&lt;&gt; 0, Source!BS1089, 1)</f>
        <v>0</v>
      </c>
      <c r="T504">
        <f>ROUND(S504*I504, 2)</f>
        <v>0</v>
      </c>
      <c r="U504">
        <v>3</v>
      </c>
      <c r="Y504">
        <f>Source!GF1089</f>
        <v>-566754181</v>
      </c>
      <c r="Z504">
        <v>354455286</v>
      </c>
      <c r="AA504">
        <v>354455286</v>
      </c>
    </row>
    <row r="505" spans="1:27" x14ac:dyDescent="0.2">
      <c r="A505">
        <f>Source!A1091</f>
        <v>18</v>
      </c>
      <c r="B505">
        <v>1091</v>
      </c>
      <c r="C505">
        <v>3</v>
      </c>
      <c r="D505">
        <f>Source!BI1091</f>
        <v>1</v>
      </c>
      <c r="E505">
        <f>Source!FS1091</f>
        <v>0</v>
      </c>
      <c r="F505" t="str">
        <f>Source!F1091</f>
        <v>1.7-8-5</v>
      </c>
      <c r="G505" t="str">
        <f>Source!G1091</f>
        <v>Корзина поворотная для пожарного рукава</v>
      </c>
      <c r="H505" t="str">
        <f>Source!H1091</f>
        <v>шт.</v>
      </c>
      <c r="I505">
        <f>Source!I1091</f>
        <v>2</v>
      </c>
      <c r="J505">
        <v>1</v>
      </c>
      <c r="K505">
        <f>Source!AC1091</f>
        <v>0</v>
      </c>
      <c r="M505">
        <f>ROUND(K505*I505, 2)</f>
        <v>0</v>
      </c>
      <c r="N505">
        <f>Source!AC1091*IF(Source!BC1091&lt;&gt; 0, Source!BC1091, 1)</f>
        <v>0</v>
      </c>
      <c r="O505">
        <f>ROUND(N505*I505, 2)</f>
        <v>0</v>
      </c>
      <c r="P505">
        <f>Source!AE1091</f>
        <v>0</v>
      </c>
      <c r="R505">
        <f>ROUND(P505*I505, 2)</f>
        <v>0</v>
      </c>
      <c r="S505">
        <f>Source!AE1091*IF(Source!BS1091&lt;&gt; 0, Source!BS1091, 1)</f>
        <v>0</v>
      </c>
      <c r="T505">
        <f>ROUND(S505*I505, 2)</f>
        <v>0</v>
      </c>
      <c r="U505">
        <v>3</v>
      </c>
      <c r="Y505">
        <f>Source!GF1091</f>
        <v>-846618015</v>
      </c>
      <c r="Z505">
        <v>1978224808</v>
      </c>
      <c r="AA505">
        <v>1978224808</v>
      </c>
    </row>
    <row r="506" spans="1:27" x14ac:dyDescent="0.2">
      <c r="A506">
        <f>Source!A1123</f>
        <v>4</v>
      </c>
      <c r="B506">
        <v>1123</v>
      </c>
      <c r="G506" t="str">
        <f>Source!G1123</f>
        <v>Внутренние сети  К1</v>
      </c>
    </row>
    <row r="507" spans="1:27" x14ac:dyDescent="0.2">
      <c r="A507">
        <v>20</v>
      </c>
      <c r="B507">
        <v>971</v>
      </c>
      <c r="C507">
        <v>3</v>
      </c>
      <c r="D507">
        <v>0</v>
      </c>
      <c r="E507">
        <f>SmtRes!AV971</f>
        <v>0</v>
      </c>
      <c r="F507" t="str">
        <f>SmtRes!I971</f>
        <v>9999990006</v>
      </c>
      <c r="G507" t="str">
        <f>SmtRes!K971</f>
        <v>Стоимость прочих материалов (ЭСН)</v>
      </c>
      <c r="H507" t="str">
        <f>SmtRes!O971</f>
        <v>руб.</v>
      </c>
      <c r="I507">
        <f>SmtRes!Y971*Source!I1128</f>
        <v>5.6763000000000003</v>
      </c>
      <c r="J507">
        <f>SmtRes!AO971</f>
        <v>1</v>
      </c>
      <c r="K507">
        <f>SmtRes!AE971</f>
        <v>1</v>
      </c>
      <c r="L507">
        <f>SmtRes!DB971</f>
        <v>189.21</v>
      </c>
      <c r="M507">
        <f>ROUND(ROUND(L507*Source!I1128, 6)*1, 2)</f>
        <v>5.68</v>
      </c>
      <c r="N507">
        <f>SmtRes!AA971</f>
        <v>8.65</v>
      </c>
      <c r="O507">
        <f>ROUND(ROUND(L507*Source!I1128, 6)*SmtRes!DA971, 2)</f>
        <v>49.1</v>
      </c>
      <c r="P507">
        <f>SmtRes!AG971</f>
        <v>0</v>
      </c>
      <c r="Q507">
        <f>SmtRes!DC971</f>
        <v>0</v>
      </c>
      <c r="R507">
        <f>ROUND(ROUND(Q507*Source!I1128, 6)*1, 2)</f>
        <v>0</v>
      </c>
      <c r="S507">
        <f>SmtRes!AC971</f>
        <v>0</v>
      </c>
      <c r="T507">
        <f>ROUND(ROUND(Q507*Source!I1128, 6)*SmtRes!AK971, 2)</f>
        <v>0</v>
      </c>
      <c r="U507">
        <v>3</v>
      </c>
      <c r="Y507">
        <f>SmtRes!X971</f>
        <v>-94250534</v>
      </c>
      <c r="Z507">
        <v>-1771809642</v>
      </c>
      <c r="AA507">
        <v>19367311</v>
      </c>
    </row>
    <row r="508" spans="1:27" x14ac:dyDescent="0.2">
      <c r="A508">
        <v>20</v>
      </c>
      <c r="B508">
        <v>967</v>
      </c>
      <c r="C508">
        <v>2</v>
      </c>
      <c r="D508">
        <v>0</v>
      </c>
      <c r="E508">
        <f>SmtRes!AV967</f>
        <v>0</v>
      </c>
      <c r="F508" t="str">
        <f>SmtRes!I967</f>
        <v>9999990007</v>
      </c>
      <c r="G508" t="str">
        <f>SmtRes!K967</f>
        <v>Стоимость прочих машин (ЭСН)</v>
      </c>
      <c r="H508" t="str">
        <f>SmtRes!O967</f>
        <v>руб.</v>
      </c>
      <c r="I508">
        <f>SmtRes!Y967*Source!I1128</f>
        <v>0.31762499999999999</v>
      </c>
      <c r="J508">
        <f>SmtRes!AO967</f>
        <v>1</v>
      </c>
      <c r="K508">
        <f>SmtRes!AF967</f>
        <v>1</v>
      </c>
      <c r="L508">
        <f>SmtRes!DB967</f>
        <v>10.5875</v>
      </c>
      <c r="M508">
        <f>ROUND(ROUND(L508*Source!I1128, 6)*1, 2)</f>
        <v>0.32</v>
      </c>
      <c r="N508">
        <f>SmtRes!AB967</f>
        <v>1.07</v>
      </c>
      <c r="O508">
        <f>ROUND(ROUND(L508*Source!I1128, 6)*SmtRes!DA967, 2)</f>
        <v>0.32</v>
      </c>
      <c r="P508">
        <f>SmtRes!AG967</f>
        <v>0</v>
      </c>
      <c r="Q508">
        <f>SmtRes!DC967</f>
        <v>0</v>
      </c>
      <c r="R508">
        <f>ROUND(ROUND(Q508*Source!I1128, 6)*1, 2)</f>
        <v>0</v>
      </c>
      <c r="S508">
        <f>SmtRes!AC967</f>
        <v>0</v>
      </c>
      <c r="T508">
        <f>ROUND(ROUND(Q508*Source!I1128, 6)*SmtRes!AK967, 2)</f>
        <v>0</v>
      </c>
      <c r="U508">
        <v>2</v>
      </c>
      <c r="Y508">
        <f>SmtRes!X967</f>
        <v>-1180195794</v>
      </c>
      <c r="Z508">
        <v>-595858232</v>
      </c>
      <c r="AA508">
        <v>55387674</v>
      </c>
    </row>
    <row r="509" spans="1:27" x14ac:dyDescent="0.2">
      <c r="A509">
        <v>20</v>
      </c>
      <c r="B509">
        <v>966</v>
      </c>
      <c r="C509">
        <v>1</v>
      </c>
      <c r="D509">
        <v>0</v>
      </c>
      <c r="E509">
        <f>SmtRes!AV966</f>
        <v>1</v>
      </c>
      <c r="F509" t="str">
        <f>SmtRes!I966</f>
        <v>9999990008</v>
      </c>
      <c r="G509" t="str">
        <f>SmtRes!K966</f>
        <v>Трудозатраты рабочих</v>
      </c>
      <c r="H509" t="str">
        <f>SmtRes!O966</f>
        <v>чел.-ч.</v>
      </c>
      <c r="I509">
        <f>SmtRes!Y966*Source!I1128</f>
        <v>2.0147999999999997</v>
      </c>
      <c r="J509">
        <f>SmtRes!AO966</f>
        <v>1</v>
      </c>
      <c r="K509">
        <f>SmtRes!AH966</f>
        <v>0</v>
      </c>
      <c r="L509">
        <f>SmtRes!DB966</f>
        <v>0</v>
      </c>
      <c r="M509">
        <f>ROUND(ROUND(L509*Source!I1128, 6)*1, 2)</f>
        <v>0</v>
      </c>
      <c r="N509">
        <f>SmtRes!AD966</f>
        <v>0</v>
      </c>
      <c r="O509">
        <f>ROUND(ROUND(L509*Source!I1128, 6)*SmtRes!DA966, 2)</f>
        <v>0</v>
      </c>
      <c r="P509">
        <f>SmtRes!AG966</f>
        <v>0</v>
      </c>
      <c r="Q509">
        <f>SmtRes!DC966</f>
        <v>0</v>
      </c>
      <c r="R509">
        <f>ROUND(ROUND(Q509*Source!I1128, 6)*1, 2)</f>
        <v>0</v>
      </c>
      <c r="S509">
        <f>SmtRes!AC966</f>
        <v>0</v>
      </c>
      <c r="T509">
        <f>ROUND(ROUND(Q509*Source!I1128, 6)*SmtRes!AK966, 2)</f>
        <v>0</v>
      </c>
      <c r="U509">
        <v>1</v>
      </c>
      <c r="Y509">
        <f>SmtRes!X966</f>
        <v>476480486</v>
      </c>
      <c r="Z509">
        <v>1499241640</v>
      </c>
      <c r="AA509">
        <v>1499241640</v>
      </c>
    </row>
    <row r="510" spans="1:27" x14ac:dyDescent="0.2">
      <c r="A510">
        <f>Source!A1130</f>
        <v>18</v>
      </c>
      <c r="B510">
        <v>1130</v>
      </c>
      <c r="C510">
        <v>3</v>
      </c>
      <c r="D510">
        <f>Source!BI1130</f>
        <v>1</v>
      </c>
      <c r="E510">
        <f>Source!FS1130</f>
        <v>0</v>
      </c>
      <c r="F510" t="str">
        <f>Source!F1130</f>
        <v>1.12-5-33</v>
      </c>
      <c r="G510" t="str">
        <f>Source!G1130</f>
        <v>Трубы из непластифицированного поливинилхлорида напорные, тип тяжелый, наружный диаметр 50 мм, толщина стенки 2,4 мм</v>
      </c>
      <c r="H510" t="str">
        <f>Source!H1130</f>
        <v>м</v>
      </c>
      <c r="I510">
        <f>Source!I1130</f>
        <v>2.9940000000000002</v>
      </c>
      <c r="J510">
        <v>1</v>
      </c>
      <c r="K510">
        <f>Source!AC1130</f>
        <v>16.45</v>
      </c>
      <c r="M510">
        <f>ROUND(K510*I510, 2)</f>
        <v>49.25</v>
      </c>
      <c r="N510">
        <f>Source!AC1130*IF(Source!BC1130&lt;&gt; 0, Source!BC1130, 1)</f>
        <v>130.4485</v>
      </c>
      <c r="O510">
        <f>ROUND(N510*I510, 2)</f>
        <v>390.56</v>
      </c>
      <c r="P510">
        <f>Source!AE1130</f>
        <v>0</v>
      </c>
      <c r="R510">
        <f>ROUND(P510*I510, 2)</f>
        <v>0</v>
      </c>
      <c r="S510">
        <f>Source!AE1130*IF(Source!BS1130&lt;&gt; 0, Source!BS1130, 1)</f>
        <v>0</v>
      </c>
      <c r="T510">
        <f>ROUND(S510*I510, 2)</f>
        <v>0</v>
      </c>
      <c r="U510">
        <v>3</v>
      </c>
      <c r="Y510">
        <f>Source!GF1130</f>
        <v>-2135944692</v>
      </c>
      <c r="Z510">
        <v>-1549213843</v>
      </c>
      <c r="AA510">
        <v>-844296131</v>
      </c>
    </row>
    <row r="511" spans="1:27" x14ac:dyDescent="0.2">
      <c r="A511">
        <f>Source!A1132</f>
        <v>18</v>
      </c>
      <c r="B511">
        <v>1132</v>
      </c>
      <c r="C511">
        <v>3</v>
      </c>
      <c r="D511">
        <f>Source!BI1132</f>
        <v>1</v>
      </c>
      <c r="E511">
        <f>Source!FS1132</f>
        <v>0</v>
      </c>
      <c r="F511" t="str">
        <f>Source!F1132</f>
        <v>1.12-5-76</v>
      </c>
      <c r="G511" t="str">
        <f>Source!G1132</f>
        <v>Отводы для канализации из полиэтилена низкого давления, диаметр 50 мм, 45°</v>
      </c>
      <c r="H511" t="str">
        <f>Source!H1132</f>
        <v>шт.</v>
      </c>
      <c r="I511">
        <f>Source!I1132</f>
        <v>3</v>
      </c>
      <c r="J511">
        <v>1</v>
      </c>
      <c r="K511">
        <f>Source!AC1132</f>
        <v>0</v>
      </c>
      <c r="M511">
        <f>ROUND(K511*I511, 2)</f>
        <v>0</v>
      </c>
      <c r="N511">
        <f>Source!AC1132*IF(Source!BC1132&lt;&gt; 0, Source!BC1132, 1)</f>
        <v>0</v>
      </c>
      <c r="O511">
        <f>ROUND(N511*I511, 2)</f>
        <v>0</v>
      </c>
      <c r="P511">
        <f>Source!AE1132</f>
        <v>0</v>
      </c>
      <c r="R511">
        <f>ROUND(P511*I511, 2)</f>
        <v>0</v>
      </c>
      <c r="S511">
        <f>Source!AE1132*IF(Source!BS1132&lt;&gt; 0, Source!BS1132, 1)</f>
        <v>0</v>
      </c>
      <c r="T511">
        <f>ROUND(S511*I511, 2)</f>
        <v>0</v>
      </c>
      <c r="U511">
        <v>3</v>
      </c>
      <c r="Y511">
        <f>Source!GF1132</f>
        <v>1044711563</v>
      </c>
      <c r="Z511">
        <v>-547148127</v>
      </c>
      <c r="AA511">
        <v>-547148127</v>
      </c>
    </row>
    <row r="512" spans="1:27" x14ac:dyDescent="0.2">
      <c r="A512">
        <f>Source!A1134</f>
        <v>18</v>
      </c>
      <c r="B512">
        <v>1134</v>
      </c>
      <c r="C512">
        <v>3</v>
      </c>
      <c r="D512">
        <f>Source!BI1134</f>
        <v>1</v>
      </c>
      <c r="E512">
        <f>Source!FS1134</f>
        <v>0</v>
      </c>
      <c r="F512" t="str">
        <f>Source!F1134</f>
        <v>1.12-5-77</v>
      </c>
      <c r="G512" t="str">
        <f>Source!G1134</f>
        <v>Отводы для канализации из полиэтилена низкого давления, диаметр 50 мм, 90°</v>
      </c>
      <c r="H512" t="str">
        <f>Source!H1134</f>
        <v>шт.</v>
      </c>
      <c r="I512">
        <f>Source!I1134</f>
        <v>1</v>
      </c>
      <c r="J512">
        <v>1</v>
      </c>
      <c r="K512">
        <f>Source!AC1134</f>
        <v>0</v>
      </c>
      <c r="M512">
        <f>ROUND(K512*I512, 2)</f>
        <v>0</v>
      </c>
      <c r="N512">
        <f>Source!AC1134*IF(Source!BC1134&lt;&gt; 0, Source!BC1134, 1)</f>
        <v>0</v>
      </c>
      <c r="O512">
        <f>ROUND(N512*I512, 2)</f>
        <v>0</v>
      </c>
      <c r="P512">
        <f>Source!AE1134</f>
        <v>0</v>
      </c>
      <c r="R512">
        <f>ROUND(P512*I512, 2)</f>
        <v>0</v>
      </c>
      <c r="S512">
        <f>Source!AE1134*IF(Source!BS1134&lt;&gt; 0, Source!BS1134, 1)</f>
        <v>0</v>
      </c>
      <c r="T512">
        <f>ROUND(S512*I512, 2)</f>
        <v>0</v>
      </c>
      <c r="U512">
        <v>3</v>
      </c>
      <c r="Y512">
        <f>Source!GF1134</f>
        <v>1633249833</v>
      </c>
      <c r="Z512">
        <v>-832116742</v>
      </c>
      <c r="AA512">
        <v>-832116742</v>
      </c>
    </row>
    <row r="513" spans="1:27" x14ac:dyDescent="0.2">
      <c r="A513">
        <f>Source!A1136</f>
        <v>18</v>
      </c>
      <c r="B513">
        <v>1136</v>
      </c>
      <c r="C513">
        <v>3</v>
      </c>
      <c r="D513">
        <f>Source!BI1136</f>
        <v>1</v>
      </c>
      <c r="E513">
        <f>Source!FS1136</f>
        <v>0</v>
      </c>
      <c r="F513" t="str">
        <f>Source!F1136</f>
        <v>Цена поставщика</v>
      </c>
      <c r="G513" t="str">
        <f>Source!G1136</f>
        <v>Хомут сантехнический 1.1/4 (42-45 мм) со шпилькой и дюбелем</v>
      </c>
      <c r="H513" t="str">
        <f>Source!H1136</f>
        <v>шт.</v>
      </c>
      <c r="I513">
        <f>Source!I1136</f>
        <v>6</v>
      </c>
      <c r="J513">
        <v>1</v>
      </c>
      <c r="K513">
        <f>Source!AC1136</f>
        <v>3.62</v>
      </c>
      <c r="M513">
        <f>ROUND(K513*I513, 2)</f>
        <v>21.72</v>
      </c>
      <c r="N513">
        <f>Source!AC1136*IF(Source!BC1136&lt;&gt; 0, Source!BC1136, 1)</f>
        <v>31.313000000000002</v>
      </c>
      <c r="O513">
        <f>ROUND(N513*I513, 2)</f>
        <v>187.88</v>
      </c>
      <c r="P513">
        <f>Source!AE1136</f>
        <v>0</v>
      </c>
      <c r="R513">
        <f>ROUND(P513*I513, 2)</f>
        <v>0</v>
      </c>
      <c r="S513">
        <f>Source!AE1136*IF(Source!BS1136&lt;&gt; 0, Source!BS1136, 1)</f>
        <v>0</v>
      </c>
      <c r="T513">
        <f>ROUND(S513*I513, 2)</f>
        <v>0</v>
      </c>
      <c r="U513">
        <v>3</v>
      </c>
      <c r="Y513">
        <f>Source!GF1136</f>
        <v>-606886621</v>
      </c>
      <c r="Z513">
        <v>1216828259</v>
      </c>
      <c r="AA513">
        <v>586189321</v>
      </c>
    </row>
    <row r="514" spans="1:27" x14ac:dyDescent="0.2">
      <c r="A514">
        <v>20</v>
      </c>
      <c r="B514">
        <v>992</v>
      </c>
      <c r="C514">
        <v>3</v>
      </c>
      <c r="D514">
        <v>0</v>
      </c>
      <c r="E514">
        <f>SmtRes!AV992</f>
        <v>0</v>
      </c>
      <c r="F514" t="str">
        <f>SmtRes!I992</f>
        <v>9999990006</v>
      </c>
      <c r="G514" t="str">
        <f>SmtRes!K992</f>
        <v>Стоимость прочих материалов (ЭСН)</v>
      </c>
      <c r="H514" t="str">
        <f>SmtRes!O992</f>
        <v>руб.</v>
      </c>
      <c r="I514">
        <f>SmtRes!Y992*Source!I1138</f>
        <v>6.3140000000000001</v>
      </c>
      <c r="J514">
        <f>SmtRes!AO992</f>
        <v>1</v>
      </c>
      <c r="K514">
        <f>SmtRes!AE992</f>
        <v>1</v>
      </c>
      <c r="L514">
        <f>SmtRes!DB992</f>
        <v>252.56</v>
      </c>
      <c r="M514">
        <f>ROUND(ROUND(L514*Source!I1138, 6)*1, 2)</f>
        <v>6.31</v>
      </c>
      <c r="N514">
        <f>SmtRes!AA992</f>
        <v>8.65</v>
      </c>
      <c r="O514">
        <f>ROUND(ROUND(L514*Source!I1138, 6)*SmtRes!DA992, 2)</f>
        <v>54.62</v>
      </c>
      <c r="P514">
        <f>SmtRes!AG992</f>
        <v>0</v>
      </c>
      <c r="Q514">
        <f>SmtRes!DC992</f>
        <v>0</v>
      </c>
      <c r="R514">
        <f>ROUND(ROUND(Q514*Source!I1138, 6)*1, 2)</f>
        <v>0</v>
      </c>
      <c r="S514">
        <f>SmtRes!AC992</f>
        <v>0</v>
      </c>
      <c r="T514">
        <f>ROUND(ROUND(Q514*Source!I1138, 6)*SmtRes!AK992, 2)</f>
        <v>0</v>
      </c>
      <c r="U514">
        <v>3</v>
      </c>
      <c r="Y514">
        <f>SmtRes!X992</f>
        <v>-94250534</v>
      </c>
      <c r="Z514">
        <v>-1771809642</v>
      </c>
      <c r="AA514">
        <v>19367311</v>
      </c>
    </row>
    <row r="515" spans="1:27" x14ac:dyDescent="0.2">
      <c r="A515">
        <v>20</v>
      </c>
      <c r="B515">
        <v>985</v>
      </c>
      <c r="C515">
        <v>2</v>
      </c>
      <c r="D515">
        <v>0</v>
      </c>
      <c r="E515">
        <f>SmtRes!AV985</f>
        <v>0</v>
      </c>
      <c r="F515" t="str">
        <f>SmtRes!I985</f>
        <v>9999990007</v>
      </c>
      <c r="G515" t="str">
        <f>SmtRes!K985</f>
        <v>Стоимость прочих машин (ЭСН)</v>
      </c>
      <c r="H515" t="str">
        <f>SmtRes!O985</f>
        <v>руб.</v>
      </c>
      <c r="I515">
        <f>SmtRes!Y985*Source!I1138</f>
        <v>0.5290625000000001</v>
      </c>
      <c r="J515">
        <f>SmtRes!AO985</f>
        <v>1</v>
      </c>
      <c r="K515">
        <f>SmtRes!AF985</f>
        <v>1</v>
      </c>
      <c r="L515">
        <f>SmtRes!DB985</f>
        <v>21.162500000000001</v>
      </c>
      <c r="M515">
        <f>ROUND(ROUND(L515*Source!I1138, 6)*1, 2)</f>
        <v>0.53</v>
      </c>
      <c r="N515">
        <f>SmtRes!AB985</f>
        <v>1.07</v>
      </c>
      <c r="O515">
        <f>ROUND(ROUND(L515*Source!I1138, 6)*SmtRes!DA985, 2)</f>
        <v>0.53</v>
      </c>
      <c r="P515">
        <f>SmtRes!AG985</f>
        <v>0</v>
      </c>
      <c r="Q515">
        <f>SmtRes!DC985</f>
        <v>0</v>
      </c>
      <c r="R515">
        <f>ROUND(ROUND(Q515*Source!I1138, 6)*1, 2)</f>
        <v>0</v>
      </c>
      <c r="S515">
        <f>SmtRes!AC985</f>
        <v>0</v>
      </c>
      <c r="T515">
        <f>ROUND(ROUND(Q515*Source!I1138, 6)*SmtRes!AK985, 2)</f>
        <v>0</v>
      </c>
      <c r="U515">
        <v>2</v>
      </c>
      <c r="Y515">
        <f>SmtRes!X985</f>
        <v>-1180195794</v>
      </c>
      <c r="Z515">
        <v>-595858232</v>
      </c>
      <c r="AA515">
        <v>55387674</v>
      </c>
    </row>
    <row r="516" spans="1:27" x14ac:dyDescent="0.2">
      <c r="A516">
        <v>20</v>
      </c>
      <c r="B516">
        <v>984</v>
      </c>
      <c r="C516">
        <v>1</v>
      </c>
      <c r="D516">
        <v>0</v>
      </c>
      <c r="E516">
        <f>SmtRes!AV984</f>
        <v>1</v>
      </c>
      <c r="F516" t="str">
        <f>SmtRes!I984</f>
        <v>9999990008</v>
      </c>
      <c r="G516" t="str">
        <f>SmtRes!K984</f>
        <v>Трудозатраты рабочих</v>
      </c>
      <c r="H516" t="str">
        <f>SmtRes!O984</f>
        <v>чел.-ч.</v>
      </c>
      <c r="I516">
        <f>SmtRes!Y984*Source!I1138</f>
        <v>1.6099999999999999</v>
      </c>
      <c r="J516">
        <f>SmtRes!AO984</f>
        <v>1</v>
      </c>
      <c r="K516">
        <f>SmtRes!AH984</f>
        <v>0</v>
      </c>
      <c r="L516">
        <f>SmtRes!DB984</f>
        <v>0</v>
      </c>
      <c r="M516">
        <f>ROUND(ROUND(L516*Source!I1138, 6)*1, 2)</f>
        <v>0</v>
      </c>
      <c r="N516">
        <f>SmtRes!AD984</f>
        <v>0</v>
      </c>
      <c r="O516">
        <f>ROUND(ROUND(L516*Source!I1138, 6)*SmtRes!DA984, 2)</f>
        <v>0</v>
      </c>
      <c r="P516">
        <f>SmtRes!AG984</f>
        <v>0</v>
      </c>
      <c r="Q516">
        <f>SmtRes!DC984</f>
        <v>0</v>
      </c>
      <c r="R516">
        <f>ROUND(ROUND(Q516*Source!I1138, 6)*1, 2)</f>
        <v>0</v>
      </c>
      <c r="S516">
        <f>SmtRes!AC984</f>
        <v>0</v>
      </c>
      <c r="T516">
        <f>ROUND(ROUND(Q516*Source!I1138, 6)*SmtRes!AK984, 2)</f>
        <v>0</v>
      </c>
      <c r="U516">
        <v>1</v>
      </c>
      <c r="Y516">
        <f>SmtRes!X984</f>
        <v>476480486</v>
      </c>
      <c r="Z516">
        <v>1499241640</v>
      </c>
      <c r="AA516">
        <v>1499241640</v>
      </c>
    </row>
    <row r="517" spans="1:27" x14ac:dyDescent="0.2">
      <c r="A517">
        <f>Source!A1140</f>
        <v>18</v>
      </c>
      <c r="B517">
        <v>1140</v>
      </c>
      <c r="C517">
        <v>3</v>
      </c>
      <c r="D517">
        <f>Source!BI1140</f>
        <v>1</v>
      </c>
      <c r="E517">
        <f>Source!FS1140</f>
        <v>0</v>
      </c>
      <c r="F517" t="str">
        <f>Source!F1140</f>
        <v>1.12-5-37</v>
      </c>
      <c r="G517" t="str">
        <f>Source!G1140</f>
        <v>Трубы поливинилхлоридные для канализации, наружный диаметр 110 мм, толщина стенки 3,2 мм</v>
      </c>
      <c r="H517" t="str">
        <f>Source!H1140</f>
        <v>м</v>
      </c>
      <c r="I517">
        <f>Source!I1140</f>
        <v>2.4950000000000001</v>
      </c>
      <c r="J517">
        <v>1</v>
      </c>
      <c r="K517">
        <f>Source!AC1140</f>
        <v>64.3</v>
      </c>
      <c r="M517">
        <f t="shared" ref="M517:M524" si="16">ROUND(K517*I517, 2)</f>
        <v>160.43</v>
      </c>
      <c r="N517">
        <f>Source!AC1140*IF(Source!BC1140&lt;&gt; 0, Source!BC1140, 1)</f>
        <v>273.27499999999998</v>
      </c>
      <c r="O517">
        <f t="shared" ref="O517:O524" si="17">ROUND(N517*I517, 2)</f>
        <v>681.82</v>
      </c>
      <c r="P517">
        <f>Source!AE1140</f>
        <v>0</v>
      </c>
      <c r="R517">
        <f t="shared" ref="R517:R524" si="18">ROUND(P517*I517, 2)</f>
        <v>0</v>
      </c>
      <c r="S517">
        <f>Source!AE1140*IF(Source!BS1140&lt;&gt; 0, Source!BS1140, 1)</f>
        <v>0</v>
      </c>
      <c r="T517">
        <f t="shared" ref="T517:T524" si="19">ROUND(S517*I517, 2)</f>
        <v>0</v>
      </c>
      <c r="U517">
        <v>3</v>
      </c>
      <c r="Y517">
        <f>Source!GF1140</f>
        <v>1389394290</v>
      </c>
      <c r="Z517">
        <v>86700294</v>
      </c>
      <c r="AA517">
        <v>1419442241</v>
      </c>
    </row>
    <row r="518" spans="1:27" x14ac:dyDescent="0.2">
      <c r="A518">
        <f>Source!A1142</f>
        <v>18</v>
      </c>
      <c r="B518">
        <v>1142</v>
      </c>
      <c r="C518">
        <v>3</v>
      </c>
      <c r="D518">
        <f>Source!BI1142</f>
        <v>1</v>
      </c>
      <c r="E518">
        <f>Source!FS1142</f>
        <v>0</v>
      </c>
      <c r="F518" t="str">
        <f>Source!F1142</f>
        <v>1.12-5-83</v>
      </c>
      <c r="G518" t="str">
        <f>Source!G1142</f>
        <v>Отводы для канализации из полиэтилена низкого давления, диаметр 108 мм, 45°</v>
      </c>
      <c r="H518" t="str">
        <f>Source!H1142</f>
        <v>шт.</v>
      </c>
      <c r="I518">
        <f>Source!I1142</f>
        <v>1</v>
      </c>
      <c r="J518">
        <v>1</v>
      </c>
      <c r="K518">
        <f>Source!AC1142</f>
        <v>28.21</v>
      </c>
      <c r="M518">
        <f t="shared" si="16"/>
        <v>28.21</v>
      </c>
      <c r="N518">
        <f>Source!AC1142*IF(Source!BC1142&lt;&gt; 0, Source!BC1142, 1)</f>
        <v>181.3903</v>
      </c>
      <c r="O518">
        <f t="shared" si="17"/>
        <v>181.39</v>
      </c>
      <c r="P518">
        <f>Source!AE1142</f>
        <v>0</v>
      </c>
      <c r="R518">
        <f t="shared" si="18"/>
        <v>0</v>
      </c>
      <c r="S518">
        <f>Source!AE1142*IF(Source!BS1142&lt;&gt; 0, Source!BS1142, 1)</f>
        <v>0</v>
      </c>
      <c r="T518">
        <f t="shared" si="19"/>
        <v>0</v>
      </c>
      <c r="U518">
        <v>3</v>
      </c>
      <c r="Y518">
        <f>Source!GF1142</f>
        <v>143574440</v>
      </c>
      <c r="Z518">
        <v>1462087355</v>
      </c>
      <c r="AA518">
        <v>1123611552</v>
      </c>
    </row>
    <row r="519" spans="1:27" x14ac:dyDescent="0.2">
      <c r="A519">
        <f>Source!A1144</f>
        <v>18</v>
      </c>
      <c r="B519">
        <v>1144</v>
      </c>
      <c r="C519">
        <v>3</v>
      </c>
      <c r="D519">
        <f>Source!BI1144</f>
        <v>1</v>
      </c>
      <c r="E519">
        <f>Source!FS1144</f>
        <v>0</v>
      </c>
      <c r="F519" t="str">
        <f>Source!F1144</f>
        <v>1.12-5-90</v>
      </c>
      <c r="G519" t="str">
        <f>Source!G1144</f>
        <v>Тройники для канализации из полиэтилена низкого давления, диаметр 50х50 мм, 90°</v>
      </c>
      <c r="H519" t="str">
        <f>Source!H1144</f>
        <v>шт.</v>
      </c>
      <c r="I519">
        <f>Source!I1144</f>
        <v>2</v>
      </c>
      <c r="J519">
        <v>1</v>
      </c>
      <c r="K519">
        <f>Source!AC1144</f>
        <v>18.399999999999999</v>
      </c>
      <c r="M519">
        <f t="shared" si="16"/>
        <v>36.799999999999997</v>
      </c>
      <c r="N519">
        <f>Source!AC1144*IF(Source!BC1144&lt;&gt; 0, Source!BC1144, 1)</f>
        <v>157.32</v>
      </c>
      <c r="O519">
        <f t="shared" si="17"/>
        <v>314.64</v>
      </c>
      <c r="P519">
        <f>Source!AE1144</f>
        <v>0</v>
      </c>
      <c r="R519">
        <f t="shared" si="18"/>
        <v>0</v>
      </c>
      <c r="S519">
        <f>Source!AE1144*IF(Source!BS1144&lt;&gt; 0, Source!BS1144, 1)</f>
        <v>0</v>
      </c>
      <c r="T519">
        <f t="shared" si="19"/>
        <v>0</v>
      </c>
      <c r="U519">
        <v>3</v>
      </c>
      <c r="Y519">
        <f>Source!GF1144</f>
        <v>-1706121595</v>
      </c>
      <c r="Z519">
        <v>-828768139</v>
      </c>
      <c r="AA519">
        <v>1116767105</v>
      </c>
    </row>
    <row r="520" spans="1:27" x14ac:dyDescent="0.2">
      <c r="A520">
        <f>Source!A1146</f>
        <v>18</v>
      </c>
      <c r="B520">
        <v>1146</v>
      </c>
      <c r="C520">
        <v>3</v>
      </c>
      <c r="D520">
        <f>Source!BI1146</f>
        <v>1</v>
      </c>
      <c r="E520">
        <f>Source!FS1146</f>
        <v>0</v>
      </c>
      <c r="F520" t="str">
        <f>Source!F1146</f>
        <v>1.12-5-121</v>
      </c>
      <c r="G520" t="str">
        <f>Source!G1146</f>
        <v>Тройники из непластифицированного поливинилхлорида, диаметр, 110х50 мм, 90°</v>
      </c>
      <c r="H520" t="str">
        <f>Source!H1146</f>
        <v>шт.</v>
      </c>
      <c r="I520">
        <f>Source!I1146</f>
        <v>1</v>
      </c>
      <c r="J520">
        <v>1</v>
      </c>
      <c r="K520">
        <f>Source!AC1146</f>
        <v>45.47</v>
      </c>
      <c r="M520">
        <f t="shared" si="16"/>
        <v>45.47</v>
      </c>
      <c r="N520">
        <f>Source!AC1146*IF(Source!BC1146&lt;&gt; 0, Source!BC1146, 1)</f>
        <v>135.04590000000002</v>
      </c>
      <c r="O520">
        <f t="shared" si="17"/>
        <v>135.05000000000001</v>
      </c>
      <c r="P520">
        <f>Source!AE1146</f>
        <v>0</v>
      </c>
      <c r="R520">
        <f t="shared" si="18"/>
        <v>0</v>
      </c>
      <c r="S520">
        <f>Source!AE1146*IF(Source!BS1146&lt;&gt; 0, Source!BS1146, 1)</f>
        <v>0</v>
      </c>
      <c r="T520">
        <f t="shared" si="19"/>
        <v>0</v>
      </c>
      <c r="U520">
        <v>3</v>
      </c>
      <c r="Y520">
        <f>Source!GF1146</f>
        <v>-223219986</v>
      </c>
      <c r="Z520">
        <v>283481450</v>
      </c>
      <c r="AA520">
        <v>2058318937</v>
      </c>
    </row>
    <row r="521" spans="1:27" x14ac:dyDescent="0.2">
      <c r="A521">
        <f>Source!A1148</f>
        <v>18</v>
      </c>
      <c r="B521">
        <v>1148</v>
      </c>
      <c r="C521">
        <v>3</v>
      </c>
      <c r="D521">
        <f>Source!BI1148</f>
        <v>1</v>
      </c>
      <c r="E521">
        <f>Source!FS1148</f>
        <v>0</v>
      </c>
      <c r="F521" t="str">
        <f>Source!F1148</f>
        <v>1.12-5-132</v>
      </c>
      <c r="G521" t="str">
        <f>Source!G1148</f>
        <v>Детали из полиэтилена для труб, переходы, диаметр 50х110 мм</v>
      </c>
      <c r="H521" t="str">
        <f>Source!H1148</f>
        <v>шт.</v>
      </c>
      <c r="I521">
        <f>Source!I1148</f>
        <v>1</v>
      </c>
      <c r="J521">
        <v>1</v>
      </c>
      <c r="K521">
        <f>Source!AC1148</f>
        <v>26.59</v>
      </c>
      <c r="M521">
        <f t="shared" si="16"/>
        <v>26.59</v>
      </c>
      <c r="N521">
        <f>Source!AC1148*IF(Source!BC1148&lt;&gt; 0, Source!BC1148, 1)</f>
        <v>78.4405</v>
      </c>
      <c r="O521">
        <f t="shared" si="17"/>
        <v>78.44</v>
      </c>
      <c r="P521">
        <f>Source!AE1148</f>
        <v>0</v>
      </c>
      <c r="R521">
        <f t="shared" si="18"/>
        <v>0</v>
      </c>
      <c r="S521">
        <f>Source!AE1148*IF(Source!BS1148&lt;&gt; 0, Source!BS1148, 1)</f>
        <v>0</v>
      </c>
      <c r="T521">
        <f t="shared" si="19"/>
        <v>0</v>
      </c>
      <c r="U521">
        <v>3</v>
      </c>
      <c r="Y521">
        <f>Source!GF1148</f>
        <v>-1435451611</v>
      </c>
      <c r="Z521">
        <v>-1245201894</v>
      </c>
      <c r="AA521">
        <v>-1948037312</v>
      </c>
    </row>
    <row r="522" spans="1:27" x14ac:dyDescent="0.2">
      <c r="A522">
        <f>Source!A1150</f>
        <v>18</v>
      </c>
      <c r="B522">
        <v>1150</v>
      </c>
      <c r="C522">
        <v>3</v>
      </c>
      <c r="D522">
        <f>Source!BI1150</f>
        <v>1</v>
      </c>
      <c r="E522">
        <f>Source!FS1150</f>
        <v>0</v>
      </c>
      <c r="F522" t="str">
        <f>Source!F1150</f>
        <v>Цена поставщика</v>
      </c>
      <c r="G522" t="str">
        <f>Source!G1150</f>
        <v>Манжета для унитаза гофрированная прямая d = 110 мм.</v>
      </c>
      <c r="H522" t="str">
        <f>Source!H1150</f>
        <v>шт.</v>
      </c>
      <c r="I522">
        <f>Source!I1150</f>
        <v>1</v>
      </c>
      <c r="J522">
        <v>1</v>
      </c>
      <c r="K522">
        <f>Source!AC1150</f>
        <v>16.8</v>
      </c>
      <c r="M522">
        <f t="shared" si="16"/>
        <v>16.8</v>
      </c>
      <c r="N522">
        <f>Source!AC1150*IF(Source!BC1150&lt;&gt; 0, Source!BC1150, 1)</f>
        <v>145.32000000000002</v>
      </c>
      <c r="O522">
        <f t="shared" si="17"/>
        <v>145.32</v>
      </c>
      <c r="P522">
        <f>Source!AE1150</f>
        <v>0</v>
      </c>
      <c r="R522">
        <f t="shared" si="18"/>
        <v>0</v>
      </c>
      <c r="S522">
        <f>Source!AE1150*IF(Source!BS1150&lt;&gt; 0, Source!BS1150, 1)</f>
        <v>0</v>
      </c>
      <c r="T522">
        <f t="shared" si="19"/>
        <v>0</v>
      </c>
      <c r="U522">
        <v>3</v>
      </c>
      <c r="Y522">
        <f>Source!GF1150</f>
        <v>1471293546</v>
      </c>
      <c r="Z522">
        <v>1862984346</v>
      </c>
      <c r="AA522">
        <v>-198055848</v>
      </c>
    </row>
    <row r="523" spans="1:27" x14ac:dyDescent="0.2">
      <c r="A523">
        <f>Source!A1152</f>
        <v>18</v>
      </c>
      <c r="B523">
        <v>1152</v>
      </c>
      <c r="C523">
        <v>3</v>
      </c>
      <c r="D523">
        <f>Source!BI1152</f>
        <v>1</v>
      </c>
      <c r="E523">
        <f>Source!FS1152</f>
        <v>0</v>
      </c>
      <c r="F523" t="str">
        <f>Source!F1152</f>
        <v>1.12-8-50</v>
      </c>
      <c r="G523" t="str">
        <f>Source!G1152</f>
        <v>Манжеты резиновые ступенчатые или конусные для унитазов</v>
      </c>
      <c r="H523" t="str">
        <f>Source!H1152</f>
        <v>шт.</v>
      </c>
      <c r="I523">
        <f>Source!I1152</f>
        <v>1</v>
      </c>
      <c r="J523">
        <v>1</v>
      </c>
      <c r="K523">
        <f>Source!AC1152</f>
        <v>3.35</v>
      </c>
      <c r="M523">
        <f t="shared" si="16"/>
        <v>3.35</v>
      </c>
      <c r="N523">
        <f>Source!AC1152*IF(Source!BC1152&lt;&gt; 0, Source!BC1152, 1)</f>
        <v>14.170500000000002</v>
      </c>
      <c r="O523">
        <f t="shared" si="17"/>
        <v>14.17</v>
      </c>
      <c r="P523">
        <f>Source!AE1152</f>
        <v>0</v>
      </c>
      <c r="R523">
        <f t="shared" si="18"/>
        <v>0</v>
      </c>
      <c r="S523">
        <f>Source!AE1152*IF(Source!BS1152&lt;&gt; 0, Source!BS1152, 1)</f>
        <v>0</v>
      </c>
      <c r="T523">
        <f t="shared" si="19"/>
        <v>0</v>
      </c>
      <c r="U523">
        <v>3</v>
      </c>
      <c r="Y523">
        <f>Source!GF1152</f>
        <v>-155671744</v>
      </c>
      <c r="Z523">
        <v>2088125731</v>
      </c>
      <c r="AA523">
        <v>1278953856</v>
      </c>
    </row>
    <row r="524" spans="1:27" x14ac:dyDescent="0.2">
      <c r="A524">
        <f>Source!A1154</f>
        <v>18</v>
      </c>
      <c r="B524">
        <v>1154</v>
      </c>
      <c r="C524">
        <v>3</v>
      </c>
      <c r="D524">
        <f>Source!BI1154</f>
        <v>1</v>
      </c>
      <c r="E524">
        <f>Source!FS1154</f>
        <v>0</v>
      </c>
      <c r="F524" t="str">
        <f>Source!F1154</f>
        <v>Цена поставщика</v>
      </c>
      <c r="G524" t="str">
        <f>Source!G1154</f>
        <v>Хомут сантехнический 4" (108-114 мм) со шпилькой и дюбелем</v>
      </c>
      <c r="H524" t="str">
        <f>Source!H1154</f>
        <v>шт.</v>
      </c>
      <c r="I524">
        <f>Source!I1154</f>
        <v>8</v>
      </c>
      <c r="J524">
        <v>1</v>
      </c>
      <c r="K524">
        <f>Source!AC1154</f>
        <v>10.81</v>
      </c>
      <c r="M524">
        <f t="shared" si="16"/>
        <v>86.48</v>
      </c>
      <c r="N524">
        <f>Source!AC1154*IF(Source!BC1154&lt;&gt; 0, Source!BC1154, 1)</f>
        <v>93.506500000000003</v>
      </c>
      <c r="O524">
        <f t="shared" si="17"/>
        <v>748.05</v>
      </c>
      <c r="P524">
        <f>Source!AE1154</f>
        <v>0</v>
      </c>
      <c r="R524">
        <f t="shared" si="18"/>
        <v>0</v>
      </c>
      <c r="S524">
        <f>Source!AE1154*IF(Source!BS1154&lt;&gt; 0, Source!BS1154, 1)</f>
        <v>0</v>
      </c>
      <c r="T524">
        <f t="shared" si="19"/>
        <v>0</v>
      </c>
      <c r="U524">
        <v>3</v>
      </c>
      <c r="Y524">
        <f>Source!GF1154</f>
        <v>-507524884</v>
      </c>
      <c r="Z524">
        <v>-1885554128</v>
      </c>
      <c r="AA524">
        <v>743910007</v>
      </c>
    </row>
    <row r="525" spans="1:27" x14ac:dyDescent="0.2">
      <c r="A525">
        <f>Source!A1186</f>
        <v>4</v>
      </c>
      <c r="B525">
        <v>1186</v>
      </c>
      <c r="G525" t="str">
        <f>Source!G1186</f>
        <v>Приборы и оборудование</v>
      </c>
    </row>
    <row r="526" spans="1:27" x14ac:dyDescent="0.2">
      <c r="A526">
        <v>20</v>
      </c>
      <c r="B526">
        <v>1019</v>
      </c>
      <c r="C526">
        <v>3</v>
      </c>
      <c r="D526">
        <v>0</v>
      </c>
      <c r="E526">
        <f>SmtRes!AV1019</f>
        <v>0</v>
      </c>
      <c r="F526" t="str">
        <f>SmtRes!I1019</f>
        <v>1.1-1-923</v>
      </c>
      <c r="G526" t="str">
        <f>SmtRes!K1019</f>
        <v>Поковки строительные (скобы, закрепы, хомуты) простые, масса 1,8 кг</v>
      </c>
      <c r="H526" t="str">
        <f>SmtRes!O1019</f>
        <v>т</v>
      </c>
      <c r="I526">
        <f>SmtRes!Y1019*Source!I1191</f>
        <v>7.2000000000000005E-4</v>
      </c>
      <c r="J526">
        <f>SmtRes!AO1019</f>
        <v>1</v>
      </c>
      <c r="K526">
        <f>SmtRes!AE1019</f>
        <v>6870.66</v>
      </c>
      <c r="L526">
        <f>SmtRes!DB1019</f>
        <v>2.4700000000000002</v>
      </c>
      <c r="M526">
        <f>ROUND(ROUND(L526*Source!I1191, 6)*1, 2)</f>
        <v>4.9400000000000004</v>
      </c>
      <c r="N526">
        <f>SmtRes!AA1019</f>
        <v>54553.04</v>
      </c>
      <c r="O526">
        <f>ROUND(ROUND(L526*Source!I1191, 6)*SmtRes!DA1019, 2)</f>
        <v>39.22</v>
      </c>
      <c r="P526">
        <f>SmtRes!AG1019</f>
        <v>0</v>
      </c>
      <c r="Q526">
        <f>SmtRes!DC1019</f>
        <v>0</v>
      </c>
      <c r="R526">
        <f>ROUND(ROUND(Q526*Source!I1191, 6)*1, 2)</f>
        <v>0</v>
      </c>
      <c r="S526">
        <f>SmtRes!AC1019</f>
        <v>0</v>
      </c>
      <c r="T526">
        <f>ROUND(ROUND(Q526*Source!I1191, 6)*SmtRes!AK1019, 2)</f>
        <v>0</v>
      </c>
      <c r="U526">
        <v>3</v>
      </c>
      <c r="Y526">
        <f>SmtRes!X1019</f>
        <v>-1557622869</v>
      </c>
      <c r="Z526">
        <v>-1525124193</v>
      </c>
      <c r="AA526">
        <v>271911067</v>
      </c>
    </row>
    <row r="527" spans="1:27" x14ac:dyDescent="0.2">
      <c r="A527">
        <v>20</v>
      </c>
      <c r="B527">
        <v>1018</v>
      </c>
      <c r="C527">
        <v>3</v>
      </c>
      <c r="D527">
        <v>0</v>
      </c>
      <c r="E527">
        <f>SmtRes!AV1018</f>
        <v>0</v>
      </c>
      <c r="F527" t="str">
        <f>SmtRes!I1018</f>
        <v>1.1-1-732</v>
      </c>
      <c r="G527" t="str">
        <f>SmtRes!K1018</f>
        <v>Олифа для окраски комбинированная "Оксоль"</v>
      </c>
      <c r="H527" t="str">
        <f>SmtRes!O1018</f>
        <v>кг</v>
      </c>
      <c r="I527">
        <f>SmtRes!Y1018*Source!I1191</f>
        <v>0.08</v>
      </c>
      <c r="J527">
        <f>SmtRes!AO1018</f>
        <v>1</v>
      </c>
      <c r="K527">
        <f>SmtRes!AE1018</f>
        <v>20.190000000000001</v>
      </c>
      <c r="L527">
        <f>SmtRes!DB1018</f>
        <v>0.81</v>
      </c>
      <c r="M527">
        <f>ROUND(ROUND(L527*Source!I1191, 6)*1, 2)</f>
        <v>1.62</v>
      </c>
      <c r="N527">
        <f>SmtRes!AA1018</f>
        <v>73.69</v>
      </c>
      <c r="O527">
        <f>ROUND(ROUND(L527*Source!I1191, 6)*SmtRes!DA1018, 2)</f>
        <v>5.91</v>
      </c>
      <c r="P527">
        <f>SmtRes!AG1018</f>
        <v>0</v>
      </c>
      <c r="Q527">
        <f>SmtRes!DC1018</f>
        <v>0</v>
      </c>
      <c r="R527">
        <f>ROUND(ROUND(Q527*Source!I1191, 6)*1, 2)</f>
        <v>0</v>
      </c>
      <c r="S527">
        <f>SmtRes!AC1018</f>
        <v>0</v>
      </c>
      <c r="T527">
        <f>ROUND(ROUND(Q527*Source!I1191, 6)*SmtRes!AK1018, 2)</f>
        <v>0</v>
      </c>
      <c r="U527">
        <v>3</v>
      </c>
      <c r="Y527">
        <f>SmtRes!X1018</f>
        <v>-1082935818</v>
      </c>
      <c r="Z527">
        <v>-1462638745</v>
      </c>
      <c r="AA527">
        <v>1036341566</v>
      </c>
    </row>
    <row r="528" spans="1:27" x14ac:dyDescent="0.2">
      <c r="A528">
        <v>20</v>
      </c>
      <c r="B528">
        <v>1017</v>
      </c>
      <c r="C528">
        <v>3</v>
      </c>
      <c r="D528">
        <v>0</v>
      </c>
      <c r="E528">
        <f>SmtRes!AV1017</f>
        <v>0</v>
      </c>
      <c r="F528" t="str">
        <f>SmtRes!I1017</f>
        <v>1.1-1-467</v>
      </c>
      <c r="G528" t="str">
        <f>SmtRes!K1017</f>
        <v>Краски масляные жидкотертые цветные (готовые к употреблению) для наружных и внутренних работ, марка МА-15, сурик железный для окраски по металлу</v>
      </c>
      <c r="H528" t="str">
        <f>SmtRes!O1017</f>
        <v>т</v>
      </c>
      <c r="I528">
        <f>SmtRes!Y1017*Source!I1191</f>
        <v>7.6000000000000004E-4</v>
      </c>
      <c r="J528">
        <f>SmtRes!AO1017</f>
        <v>1</v>
      </c>
      <c r="K528">
        <f>SmtRes!AE1017</f>
        <v>16222.39</v>
      </c>
      <c r="L528">
        <f>SmtRes!DB1017</f>
        <v>6.16</v>
      </c>
      <c r="M528">
        <f>ROUND(ROUND(L528*Source!I1191, 6)*1, 2)</f>
        <v>12.32</v>
      </c>
      <c r="N528">
        <f>SmtRes!AA1017</f>
        <v>48667.17</v>
      </c>
      <c r="O528">
        <f>ROUND(ROUND(L528*Source!I1191, 6)*SmtRes!DA1017, 2)</f>
        <v>36.96</v>
      </c>
      <c r="P528">
        <f>SmtRes!AG1017</f>
        <v>0</v>
      </c>
      <c r="Q528">
        <f>SmtRes!DC1017</f>
        <v>0</v>
      </c>
      <c r="R528">
        <f>ROUND(ROUND(Q528*Source!I1191, 6)*1, 2)</f>
        <v>0</v>
      </c>
      <c r="S528">
        <f>SmtRes!AC1017</f>
        <v>0</v>
      </c>
      <c r="T528">
        <f>ROUND(ROUND(Q528*Source!I1191, 6)*SmtRes!AK1017, 2)</f>
        <v>0</v>
      </c>
      <c r="U528">
        <v>3</v>
      </c>
      <c r="Y528">
        <f>SmtRes!X1017</f>
        <v>-434568416</v>
      </c>
      <c r="Z528">
        <v>1329284574</v>
      </c>
      <c r="AA528">
        <v>-609916026</v>
      </c>
    </row>
    <row r="529" spans="1:27" x14ac:dyDescent="0.2">
      <c r="A529">
        <v>20</v>
      </c>
      <c r="B529">
        <v>1016</v>
      </c>
      <c r="C529">
        <v>3</v>
      </c>
      <c r="D529">
        <v>0</v>
      </c>
      <c r="E529">
        <f>SmtRes!AV1016</f>
        <v>0</v>
      </c>
      <c r="F529" t="str">
        <f>SmtRes!I1016</f>
        <v>1.1-1-253</v>
      </c>
      <c r="G529" t="str">
        <f>SmtRes!K1016</f>
        <v>Замазка суриковая</v>
      </c>
      <c r="H529" t="str">
        <f>SmtRes!O1016</f>
        <v>т</v>
      </c>
      <c r="I529">
        <f>SmtRes!Y1016*Source!I1191</f>
        <v>4.0000000000000002E-4</v>
      </c>
      <c r="J529">
        <f>SmtRes!AO1016</f>
        <v>1</v>
      </c>
      <c r="K529">
        <f>SmtRes!AE1016</f>
        <v>10865.5</v>
      </c>
      <c r="L529">
        <f>SmtRes!DB1016</f>
        <v>2.17</v>
      </c>
      <c r="M529">
        <f>ROUND(ROUND(L529*Source!I1191, 6)*1, 2)</f>
        <v>4.34</v>
      </c>
      <c r="N529">
        <f>SmtRes!AA1016</f>
        <v>93986.58</v>
      </c>
      <c r="O529">
        <f>ROUND(ROUND(L529*Source!I1191, 6)*SmtRes!DA1016, 2)</f>
        <v>37.54</v>
      </c>
      <c r="P529">
        <f>SmtRes!AG1016</f>
        <v>0</v>
      </c>
      <c r="Q529">
        <f>SmtRes!DC1016</f>
        <v>0</v>
      </c>
      <c r="R529">
        <f>ROUND(ROUND(Q529*Source!I1191, 6)*1, 2)</f>
        <v>0</v>
      </c>
      <c r="S529">
        <f>SmtRes!AC1016</f>
        <v>0</v>
      </c>
      <c r="T529">
        <f>ROUND(ROUND(Q529*Source!I1191, 6)*SmtRes!AK1016, 2)</f>
        <v>0</v>
      </c>
      <c r="U529">
        <v>3</v>
      </c>
      <c r="Y529">
        <f>SmtRes!X1016</f>
        <v>1202249175</v>
      </c>
      <c r="Z529">
        <v>1288955689</v>
      </c>
      <c r="AA529">
        <v>1009442714</v>
      </c>
    </row>
    <row r="530" spans="1:27" x14ac:dyDescent="0.2">
      <c r="A530">
        <v>20</v>
      </c>
      <c r="B530">
        <v>1015</v>
      </c>
      <c r="C530">
        <v>3</v>
      </c>
      <c r="D530">
        <v>0</v>
      </c>
      <c r="E530">
        <f>SmtRes!AV1015</f>
        <v>0</v>
      </c>
      <c r="F530" t="str">
        <f>SmtRes!I1015</f>
        <v>1.1-1-2481</v>
      </c>
      <c r="G530" t="str">
        <f>SmtRes!K1015</f>
        <v>Волокно льняное №11 для уплотнения резьбовых соединений при монтаже систем водоснабжения и отопления</v>
      </c>
      <c r="H530" t="str">
        <f>SmtRes!O1015</f>
        <v>кг</v>
      </c>
      <c r="I530">
        <f>SmtRes!Y1015*Source!I1191</f>
        <v>0.06</v>
      </c>
      <c r="J530">
        <f>SmtRes!AO1015</f>
        <v>1</v>
      </c>
      <c r="K530">
        <f>SmtRes!AE1015</f>
        <v>38</v>
      </c>
      <c r="L530">
        <f>SmtRes!DB1015</f>
        <v>1.1399999999999999</v>
      </c>
      <c r="M530">
        <f>ROUND(ROUND(L530*Source!I1191, 6)*1, 2)</f>
        <v>2.2799999999999998</v>
      </c>
      <c r="N530">
        <f>SmtRes!AA1015</f>
        <v>214.7</v>
      </c>
      <c r="O530">
        <f>ROUND(ROUND(L530*Source!I1191, 6)*SmtRes!DA1015, 2)</f>
        <v>12.88</v>
      </c>
      <c r="P530">
        <f>SmtRes!AG1015</f>
        <v>0</v>
      </c>
      <c r="Q530">
        <f>SmtRes!DC1015</f>
        <v>0</v>
      </c>
      <c r="R530">
        <f>ROUND(ROUND(Q530*Source!I1191, 6)*1, 2)</f>
        <v>0</v>
      </c>
      <c r="S530">
        <f>SmtRes!AC1015</f>
        <v>0</v>
      </c>
      <c r="T530">
        <f>ROUND(ROUND(Q530*Source!I1191, 6)*SmtRes!AK1015, 2)</f>
        <v>0</v>
      </c>
      <c r="U530">
        <v>3</v>
      </c>
      <c r="Y530">
        <f>SmtRes!X1015</f>
        <v>1037702096</v>
      </c>
      <c r="Z530">
        <v>-1319032529</v>
      </c>
      <c r="AA530">
        <v>1344664460</v>
      </c>
    </row>
    <row r="531" spans="1:27" x14ac:dyDescent="0.2">
      <c r="A531">
        <v>20</v>
      </c>
      <c r="B531">
        <v>1014</v>
      </c>
      <c r="C531">
        <v>3</v>
      </c>
      <c r="D531">
        <v>0</v>
      </c>
      <c r="E531">
        <f>SmtRes!AV1014</f>
        <v>0</v>
      </c>
      <c r="F531" t="str">
        <f>SmtRes!I1014</f>
        <v>1.1-1-238</v>
      </c>
      <c r="G531" t="str">
        <f>SmtRes!K1014</f>
        <v>Дюбели пластмассовые</v>
      </c>
      <c r="H531" t="str">
        <f>SmtRes!O1014</f>
        <v>шт.</v>
      </c>
      <c r="I531">
        <f>SmtRes!Y1014*Source!I1191</f>
        <v>8</v>
      </c>
      <c r="J531">
        <f>SmtRes!AO1014</f>
        <v>1</v>
      </c>
      <c r="K531">
        <f>SmtRes!AE1014</f>
        <v>0.89</v>
      </c>
      <c r="L531">
        <f>SmtRes!DB1014</f>
        <v>3.56</v>
      </c>
      <c r="M531">
        <f>ROUND(ROUND(L531*Source!I1191, 6)*1, 2)</f>
        <v>7.12</v>
      </c>
      <c r="N531">
        <f>SmtRes!AA1014</f>
        <v>0.95</v>
      </c>
      <c r="O531">
        <f>ROUND(ROUND(L531*Source!I1191, 6)*SmtRes!DA1014, 2)</f>
        <v>7.62</v>
      </c>
      <c r="P531">
        <f>SmtRes!AG1014</f>
        <v>0</v>
      </c>
      <c r="Q531">
        <f>SmtRes!DC1014</f>
        <v>0</v>
      </c>
      <c r="R531">
        <f>ROUND(ROUND(Q531*Source!I1191, 6)*1, 2)</f>
        <v>0</v>
      </c>
      <c r="S531">
        <f>SmtRes!AC1014</f>
        <v>0</v>
      </c>
      <c r="T531">
        <f>ROUND(ROUND(Q531*Source!I1191, 6)*SmtRes!AK1014, 2)</f>
        <v>0</v>
      </c>
      <c r="U531">
        <v>3</v>
      </c>
      <c r="Y531">
        <f>SmtRes!X1014</f>
        <v>-141829900</v>
      </c>
      <c r="Z531">
        <v>-139263295</v>
      </c>
      <c r="AA531">
        <v>-417431637</v>
      </c>
    </row>
    <row r="532" spans="1:27" x14ac:dyDescent="0.2">
      <c r="A532">
        <v>20</v>
      </c>
      <c r="B532">
        <v>1013</v>
      </c>
      <c r="C532">
        <v>3</v>
      </c>
      <c r="D532">
        <v>0</v>
      </c>
      <c r="E532">
        <f>SmtRes!AV1013</f>
        <v>0</v>
      </c>
      <c r="F532" t="str">
        <f>SmtRes!I1013</f>
        <v>1.1-1-1502</v>
      </c>
      <c r="G532" t="str">
        <f>SmtRes!K1013</f>
        <v>Шурупы с потайной головкой, черные, размер 8,0х100 мм</v>
      </c>
      <c r="H532" t="str">
        <f>SmtRes!O1013</f>
        <v>т</v>
      </c>
      <c r="I532">
        <f>SmtRes!Y1013*Source!I1191</f>
        <v>1.3999999999999999E-4</v>
      </c>
      <c r="J532">
        <f>SmtRes!AO1013</f>
        <v>1</v>
      </c>
      <c r="K532">
        <f>SmtRes!AE1013</f>
        <v>17750.86</v>
      </c>
      <c r="L532">
        <f>SmtRes!DB1013</f>
        <v>1.24</v>
      </c>
      <c r="M532">
        <f>ROUND(ROUND(L532*Source!I1191, 6)*1, 2)</f>
        <v>2.48</v>
      </c>
      <c r="N532">
        <f>SmtRes!AA1013</f>
        <v>104730.07</v>
      </c>
      <c r="O532">
        <f>ROUND(ROUND(L532*Source!I1191, 6)*SmtRes!DA1013, 2)</f>
        <v>14.63</v>
      </c>
      <c r="P532">
        <f>SmtRes!AG1013</f>
        <v>0</v>
      </c>
      <c r="Q532">
        <f>SmtRes!DC1013</f>
        <v>0</v>
      </c>
      <c r="R532">
        <f>ROUND(ROUND(Q532*Source!I1191, 6)*1, 2)</f>
        <v>0</v>
      </c>
      <c r="S532">
        <f>SmtRes!AC1013</f>
        <v>0</v>
      </c>
      <c r="T532">
        <f>ROUND(ROUND(Q532*Source!I1191, 6)*SmtRes!AK1013, 2)</f>
        <v>0</v>
      </c>
      <c r="U532">
        <v>3</v>
      </c>
      <c r="Y532">
        <f>SmtRes!X1013</f>
        <v>-2096099888</v>
      </c>
      <c r="Z532">
        <v>103063022</v>
      </c>
      <c r="AA532">
        <v>1274293554</v>
      </c>
    </row>
    <row r="533" spans="1:27" x14ac:dyDescent="0.2">
      <c r="A533">
        <v>20</v>
      </c>
      <c r="B533">
        <v>1012</v>
      </c>
      <c r="C533">
        <v>2</v>
      </c>
      <c r="D533">
        <v>0</v>
      </c>
      <c r="E533">
        <f>SmtRes!AV1012</f>
        <v>0</v>
      </c>
      <c r="F533" t="str">
        <f>SmtRes!I1012</f>
        <v>9999990007</v>
      </c>
      <c r="G533" t="str">
        <f>SmtRes!K1012</f>
        <v>Стоимость прочих машин (ЭСН)</v>
      </c>
      <c r="H533" t="str">
        <f>SmtRes!O1012</f>
        <v>руб.</v>
      </c>
      <c r="I533">
        <f>SmtRes!Y1012*Source!I1191</f>
        <v>2.5000000000000001E-2</v>
      </c>
      <c r="J533">
        <f>SmtRes!AO1012</f>
        <v>1</v>
      </c>
      <c r="K533">
        <f>SmtRes!AF1012</f>
        <v>1</v>
      </c>
      <c r="L533">
        <f>SmtRes!DB1012</f>
        <v>1.2500000000000001E-2</v>
      </c>
      <c r="M533">
        <f>ROUND(ROUND(L533*Source!I1191, 6)*1, 2)</f>
        <v>0.03</v>
      </c>
      <c r="N533">
        <f>SmtRes!AB1012</f>
        <v>1.07</v>
      </c>
      <c r="O533">
        <f>ROUND(ROUND(L533*Source!I1191, 6)*SmtRes!DA1012, 2)</f>
        <v>0.03</v>
      </c>
      <c r="P533">
        <f>SmtRes!AG1012</f>
        <v>0</v>
      </c>
      <c r="Q533">
        <f>SmtRes!DC1012</f>
        <v>0</v>
      </c>
      <c r="R533">
        <f>ROUND(ROUND(Q533*Source!I1191, 6)*1, 2)</f>
        <v>0</v>
      </c>
      <c r="S533">
        <f>SmtRes!AC1012</f>
        <v>0</v>
      </c>
      <c r="T533">
        <f>ROUND(ROUND(Q533*Source!I1191, 6)*SmtRes!AK1012, 2)</f>
        <v>0</v>
      </c>
      <c r="U533">
        <v>2</v>
      </c>
      <c r="Y533">
        <f>SmtRes!X1012</f>
        <v>-1180195794</v>
      </c>
      <c r="Z533">
        <v>-595858232</v>
      </c>
      <c r="AA533">
        <v>55387674</v>
      </c>
    </row>
    <row r="534" spans="1:27" x14ac:dyDescent="0.2">
      <c r="A534">
        <v>20</v>
      </c>
      <c r="B534">
        <v>1011</v>
      </c>
      <c r="C534">
        <v>2</v>
      </c>
      <c r="D534">
        <v>0</v>
      </c>
      <c r="E534">
        <f>SmtRes!AV1011</f>
        <v>0</v>
      </c>
      <c r="F534" t="str">
        <f>SmtRes!I1011</f>
        <v>2.1-30-6</v>
      </c>
      <c r="G534" t="str">
        <f>SmtRes!K1011</f>
        <v>Дрели электрические</v>
      </c>
      <c r="H534" t="str">
        <f>SmtRes!O1011</f>
        <v>маш.-ч.</v>
      </c>
      <c r="I534">
        <f>SmtRes!Y1011*Source!I1191</f>
        <v>0.05</v>
      </c>
      <c r="J534">
        <f>SmtRes!AO1011</f>
        <v>1</v>
      </c>
      <c r="K534">
        <f>SmtRes!AF1011</f>
        <v>2.36</v>
      </c>
      <c r="L534">
        <f>SmtRes!DB1011</f>
        <v>6.25E-2</v>
      </c>
      <c r="M534">
        <f>ROUND(ROUND(L534*Source!I1191, 6)*1, 2)</f>
        <v>0.13</v>
      </c>
      <c r="N534">
        <f>SmtRes!AB1011</f>
        <v>2.52</v>
      </c>
      <c r="O534">
        <f>ROUND(ROUND(L534*Source!I1191, 6)*SmtRes!DA1011, 2)</f>
        <v>0.13</v>
      </c>
      <c r="P534">
        <f>SmtRes!AG1011</f>
        <v>0.1</v>
      </c>
      <c r="Q534">
        <f>SmtRes!DC1011</f>
        <v>0</v>
      </c>
      <c r="R534">
        <f>ROUND(ROUND(Q534*Source!I1191, 6)*1, 2)</f>
        <v>0</v>
      </c>
      <c r="S534">
        <f>SmtRes!AC1011</f>
        <v>0.11</v>
      </c>
      <c r="T534">
        <f>ROUND(ROUND(Q534*Source!I1191, 6)*SmtRes!AK1011, 2)</f>
        <v>0</v>
      </c>
      <c r="U534">
        <v>2</v>
      </c>
      <c r="Y534">
        <f>SmtRes!X1011</f>
        <v>950854334</v>
      </c>
      <c r="Z534">
        <v>-216995753</v>
      </c>
      <c r="AA534">
        <v>-1574466616</v>
      </c>
    </row>
    <row r="535" spans="1:27" x14ac:dyDescent="0.2">
      <c r="A535">
        <v>20</v>
      </c>
      <c r="B535">
        <v>1010</v>
      </c>
      <c r="C535">
        <v>2</v>
      </c>
      <c r="D535">
        <v>0</v>
      </c>
      <c r="E535">
        <f>SmtRes!AV1010</f>
        <v>0</v>
      </c>
      <c r="F535" t="str">
        <f>SmtRes!I1010</f>
        <v>2.1-18-7</v>
      </c>
      <c r="G535" t="str">
        <f>SmtRes!K1010</f>
        <v>Автомобили грузовые бортовые, грузоподъемность до 5 т</v>
      </c>
      <c r="H535" t="str">
        <f>SmtRes!O1010</f>
        <v>маш.-ч.</v>
      </c>
      <c r="I535">
        <f>SmtRes!Y1010*Source!I1191</f>
        <v>0.05</v>
      </c>
      <c r="J535">
        <f>SmtRes!AO1010</f>
        <v>1</v>
      </c>
      <c r="K535">
        <f>SmtRes!AF1010</f>
        <v>76.81</v>
      </c>
      <c r="L535">
        <f>SmtRes!DB1010</f>
        <v>1.925</v>
      </c>
      <c r="M535">
        <f>ROUND(ROUND(L535*Source!I1191, 6)*1, 2)</f>
        <v>3.85</v>
      </c>
      <c r="N535">
        <f>SmtRes!AB1010</f>
        <v>935.94</v>
      </c>
      <c r="O535">
        <f>ROUND(ROUND(L535*Source!I1191, 6)*SmtRes!DA1010, 2)</f>
        <v>43.97</v>
      </c>
      <c r="P535">
        <f>SmtRes!AG1010</f>
        <v>14.36</v>
      </c>
      <c r="Q535">
        <f>SmtRes!DC1010</f>
        <v>0.36249999999999999</v>
      </c>
      <c r="R535">
        <f>ROUND(ROUND(Q535*Source!I1191, 6)*1, 2)</f>
        <v>0.73</v>
      </c>
      <c r="S535">
        <f>SmtRes!AC1010</f>
        <v>444.8</v>
      </c>
      <c r="T535">
        <f>ROUND(ROUND(Q535*Source!I1191, 6)*SmtRes!AK1010, 2)</f>
        <v>21.05</v>
      </c>
      <c r="U535">
        <v>2</v>
      </c>
      <c r="Y535">
        <f>SmtRes!X1010</f>
        <v>-628430174</v>
      </c>
      <c r="Z535">
        <v>-2049064267</v>
      </c>
      <c r="AA535">
        <v>1144387144</v>
      </c>
    </row>
    <row r="536" spans="1:27" x14ac:dyDescent="0.2">
      <c r="A536">
        <v>20</v>
      </c>
      <c r="B536">
        <v>1009</v>
      </c>
      <c r="C536">
        <v>1</v>
      </c>
      <c r="D536">
        <v>0</v>
      </c>
      <c r="E536">
        <f>SmtRes!AV1009</f>
        <v>1</v>
      </c>
      <c r="F536" t="str">
        <f>SmtRes!I1009</f>
        <v>9999990008</v>
      </c>
      <c r="G536" t="str">
        <f>SmtRes!K1009</f>
        <v>Трудозатраты рабочих</v>
      </c>
      <c r="H536" t="str">
        <f>SmtRes!O1009</f>
        <v>чел.-ч.</v>
      </c>
      <c r="I536">
        <f>SmtRes!Y1009*Source!I1191</f>
        <v>4.4849999999999994</v>
      </c>
      <c r="J536">
        <f>SmtRes!AO1009</f>
        <v>1</v>
      </c>
      <c r="K536">
        <f>SmtRes!AH1009</f>
        <v>0</v>
      </c>
      <c r="L536">
        <f>SmtRes!DB1009</f>
        <v>0</v>
      </c>
      <c r="M536">
        <f>ROUND(ROUND(L536*Source!I1191, 6)*1, 2)</f>
        <v>0</v>
      </c>
      <c r="N536">
        <f>SmtRes!AD1009</f>
        <v>0</v>
      </c>
      <c r="O536">
        <f>ROUND(ROUND(L536*Source!I1191, 6)*SmtRes!DA1009, 2)</f>
        <v>0</v>
      </c>
      <c r="P536">
        <f>SmtRes!AG1009</f>
        <v>0</v>
      </c>
      <c r="Q536">
        <f>SmtRes!DC1009</f>
        <v>0</v>
      </c>
      <c r="R536">
        <f>ROUND(ROUND(Q536*Source!I1191, 6)*1, 2)</f>
        <v>0</v>
      </c>
      <c r="S536">
        <f>SmtRes!AC1009</f>
        <v>0</v>
      </c>
      <c r="T536">
        <f>ROUND(ROUND(Q536*Source!I1191, 6)*SmtRes!AK1009, 2)</f>
        <v>0</v>
      </c>
      <c r="U536">
        <v>1</v>
      </c>
      <c r="Y536">
        <f>SmtRes!X1009</f>
        <v>476480486</v>
      </c>
      <c r="Z536">
        <v>1499241640</v>
      </c>
      <c r="AA536">
        <v>1499241640</v>
      </c>
    </row>
    <row r="537" spans="1:27" x14ac:dyDescent="0.2">
      <c r="A537">
        <f>Source!A1193</f>
        <v>18</v>
      </c>
      <c r="B537">
        <v>1193</v>
      </c>
      <c r="C537">
        <v>3</v>
      </c>
      <c r="D537">
        <f>Source!BI1193</f>
        <v>1</v>
      </c>
      <c r="E537">
        <f>Source!FS1193</f>
        <v>0</v>
      </c>
      <c r="F537" t="str">
        <f>Source!F1193</f>
        <v>Цена поставщика</v>
      </c>
      <c r="G537" t="str">
        <f>Source!G1193</f>
        <v>Раковина Jika Mio 8137140001049 для людей с ограниченными возможностями (медицинская)</v>
      </c>
      <c r="H537" t="str">
        <f>Source!H1193</f>
        <v>шт.</v>
      </c>
      <c r="I537">
        <f>Source!I1193</f>
        <v>2</v>
      </c>
      <c r="J537">
        <v>1</v>
      </c>
      <c r="K537">
        <f>Source!AC1193</f>
        <v>856.19</v>
      </c>
      <c r="M537">
        <f>ROUND(K537*I537, 2)</f>
        <v>1712.38</v>
      </c>
      <c r="N537">
        <f>Source!AC1193*IF(Source!BC1193&lt;&gt; 0, Source!BC1193, 1)</f>
        <v>7406.0435000000007</v>
      </c>
      <c r="O537">
        <f>ROUND(N537*I537, 2)</f>
        <v>14812.09</v>
      </c>
      <c r="P537">
        <f>Source!AE1193</f>
        <v>0</v>
      </c>
      <c r="R537">
        <f>ROUND(P537*I537, 2)</f>
        <v>0</v>
      </c>
      <c r="S537">
        <f>Source!AE1193*IF(Source!BS1193&lt;&gt; 0, Source!BS1193, 1)</f>
        <v>0</v>
      </c>
      <c r="T537">
        <f>ROUND(S537*I537, 2)</f>
        <v>0</v>
      </c>
      <c r="U537">
        <v>3</v>
      </c>
      <c r="Y537">
        <f>Source!GF1193</f>
        <v>333791719</v>
      </c>
      <c r="Z537">
        <v>1080386105</v>
      </c>
      <c r="AA537">
        <v>145010897</v>
      </c>
    </row>
    <row r="538" spans="1:27" x14ac:dyDescent="0.2">
      <c r="A538">
        <f>Source!A1195</f>
        <v>18</v>
      </c>
      <c r="B538">
        <v>1195</v>
      </c>
      <c r="C538">
        <v>3</v>
      </c>
      <c r="D538">
        <f>Source!BI1195</f>
        <v>1</v>
      </c>
      <c r="E538">
        <f>Source!FS1195</f>
        <v>0</v>
      </c>
      <c r="F538" t="str">
        <f>Source!F1195</f>
        <v>Цена поставщика</v>
      </c>
      <c r="G538" t="str">
        <f>Source!G1195</f>
        <v>Смеситель для умывальника с локтевой рукояткой,PROJECT LM4611C, LEMARK, излив 200</v>
      </c>
      <c r="H538" t="str">
        <f>Source!H1195</f>
        <v>шт.</v>
      </c>
      <c r="I538">
        <f>Source!I1195</f>
        <v>2</v>
      </c>
      <c r="J538">
        <v>1</v>
      </c>
      <c r="K538">
        <f>Source!AC1195</f>
        <v>540.96</v>
      </c>
      <c r="M538">
        <f>ROUND(K538*I538, 2)</f>
        <v>1081.92</v>
      </c>
      <c r="N538">
        <f>Source!AC1195*IF(Source!BC1195&lt;&gt; 0, Source!BC1195, 1)</f>
        <v>4679.3040000000001</v>
      </c>
      <c r="O538">
        <f>ROUND(N538*I538, 2)</f>
        <v>9358.61</v>
      </c>
      <c r="P538">
        <f>Source!AE1195</f>
        <v>0</v>
      </c>
      <c r="R538">
        <f>ROUND(P538*I538, 2)</f>
        <v>0</v>
      </c>
      <c r="S538">
        <f>Source!AE1195*IF(Source!BS1195&lt;&gt; 0, Source!BS1195, 1)</f>
        <v>0</v>
      </c>
      <c r="T538">
        <f>ROUND(S538*I538, 2)</f>
        <v>0</v>
      </c>
      <c r="U538">
        <v>3</v>
      </c>
      <c r="Y538">
        <f>Source!GF1195</f>
        <v>-178680846</v>
      </c>
      <c r="Z538">
        <v>-2084161652</v>
      </c>
      <c r="AA538">
        <v>530349452</v>
      </c>
    </row>
    <row r="539" spans="1:27" x14ac:dyDescent="0.2">
      <c r="A539">
        <f>Source!A1197</f>
        <v>18</v>
      </c>
      <c r="B539">
        <v>1197</v>
      </c>
      <c r="C539">
        <v>3</v>
      </c>
      <c r="D539">
        <f>Source!BI1197</f>
        <v>1</v>
      </c>
      <c r="E539">
        <f>Source!FS1197</f>
        <v>0</v>
      </c>
      <c r="F539" t="str">
        <f>Source!F1197</f>
        <v>1.17-1-43</v>
      </c>
      <c r="G539" t="str">
        <f>Source!G1197</f>
        <v>Умывальники специального назначения, хирургические в комплекте со смесителем настенным локтевым, кронштейнами, латунным сифоном и выпуском, размер 650х590х190 мм</v>
      </c>
      <c r="H539" t="str">
        <f>Source!H1197</f>
        <v>шт.</v>
      </c>
      <c r="I539">
        <f>Source!I1197</f>
        <v>0</v>
      </c>
      <c r="J539">
        <v>1</v>
      </c>
      <c r="K539">
        <f>Source!AC1197</f>
        <v>465.12</v>
      </c>
      <c r="M539">
        <f>ROUND(K539*I539, 2)</f>
        <v>0</v>
      </c>
      <c r="N539">
        <f>Source!AC1197*IF(Source!BC1197&lt;&gt; 0, Source!BC1197, 1)</f>
        <v>4939.5743999999995</v>
      </c>
      <c r="O539">
        <f>ROUND(N539*I539, 2)</f>
        <v>0</v>
      </c>
      <c r="P539">
        <f>Source!AE1197</f>
        <v>0</v>
      </c>
      <c r="R539">
        <f>ROUND(P539*I539, 2)</f>
        <v>0</v>
      </c>
      <c r="S539">
        <f>Source!AE1197*IF(Source!BS1197&lt;&gt; 0, Source!BS1197, 1)</f>
        <v>0</v>
      </c>
      <c r="T539">
        <f>ROUND(S539*I539, 2)</f>
        <v>0</v>
      </c>
      <c r="U539">
        <v>3</v>
      </c>
      <c r="Y539">
        <f>Source!GF1197</f>
        <v>-1353685850</v>
      </c>
      <c r="Z539">
        <v>-1330922537</v>
      </c>
      <c r="AA539">
        <v>1715788903</v>
      </c>
    </row>
    <row r="540" spans="1:27" x14ac:dyDescent="0.2">
      <c r="A540">
        <v>20</v>
      </c>
      <c r="B540">
        <v>1037</v>
      </c>
      <c r="C540">
        <v>3</v>
      </c>
      <c r="D540">
        <v>0</v>
      </c>
      <c r="E540">
        <f>SmtRes!AV1037</f>
        <v>0</v>
      </c>
      <c r="F540" t="str">
        <f>SmtRes!I1037</f>
        <v>9999990006</v>
      </c>
      <c r="G540" t="str">
        <f>SmtRes!K1037</f>
        <v>Стоимость прочих материалов (ЭСН)</v>
      </c>
      <c r="H540" t="str">
        <f>SmtRes!O1037</f>
        <v>руб.</v>
      </c>
      <c r="I540">
        <f>SmtRes!Y1037*Source!I1199</f>
        <v>11.48</v>
      </c>
      <c r="J540">
        <f>SmtRes!AO1037</f>
        <v>1</v>
      </c>
      <c r="K540">
        <f>SmtRes!AE1037</f>
        <v>1</v>
      </c>
      <c r="L540">
        <f>SmtRes!DB1037</f>
        <v>11.48</v>
      </c>
      <c r="M540">
        <f>ROUND(ROUND(L540*Source!I1199, 6)*1, 2)</f>
        <v>11.48</v>
      </c>
      <c r="N540">
        <f>SmtRes!AA1037</f>
        <v>8.65</v>
      </c>
      <c r="O540">
        <f>ROUND(ROUND(L540*Source!I1199, 6)*SmtRes!DA1037, 2)</f>
        <v>99.3</v>
      </c>
      <c r="P540">
        <f>SmtRes!AG1037</f>
        <v>0</v>
      </c>
      <c r="Q540">
        <f>SmtRes!DC1037</f>
        <v>0</v>
      </c>
      <c r="R540">
        <f>ROUND(ROUND(Q540*Source!I1199, 6)*1, 2)</f>
        <v>0</v>
      </c>
      <c r="S540">
        <f>SmtRes!AC1037</f>
        <v>0</v>
      </c>
      <c r="T540">
        <f>ROUND(ROUND(Q540*Source!I1199, 6)*SmtRes!AK1037, 2)</f>
        <v>0</v>
      </c>
      <c r="U540">
        <v>3</v>
      </c>
      <c r="Y540">
        <f>SmtRes!X1037</f>
        <v>-94250534</v>
      </c>
      <c r="Z540">
        <v>-1771809642</v>
      </c>
      <c r="AA540">
        <v>19367311</v>
      </c>
    </row>
    <row r="541" spans="1:27" x14ac:dyDescent="0.2">
      <c r="A541">
        <v>20</v>
      </c>
      <c r="B541">
        <v>1032</v>
      </c>
      <c r="C541">
        <v>2</v>
      </c>
      <c r="D541">
        <v>0</v>
      </c>
      <c r="E541">
        <f>SmtRes!AV1032</f>
        <v>0</v>
      </c>
      <c r="F541" t="str">
        <f>SmtRes!I1032</f>
        <v>9999990007</v>
      </c>
      <c r="G541" t="str">
        <f>SmtRes!K1032</f>
        <v>Стоимость прочих машин (ЭСН)</v>
      </c>
      <c r="H541" t="str">
        <f>SmtRes!O1032</f>
        <v>руб.</v>
      </c>
      <c r="I541">
        <f>SmtRes!Y1032*Source!I1199</f>
        <v>4.6500000000000004</v>
      </c>
      <c r="J541">
        <f>SmtRes!AO1032</f>
        <v>1</v>
      </c>
      <c r="K541">
        <f>SmtRes!AF1032</f>
        <v>1</v>
      </c>
      <c r="L541">
        <f>SmtRes!DB1032</f>
        <v>4.6500000000000004</v>
      </c>
      <c r="M541">
        <f>ROUND(ROUND(L541*Source!I1199, 6)*1, 2)</f>
        <v>4.6500000000000004</v>
      </c>
      <c r="N541">
        <f>SmtRes!AB1032</f>
        <v>1.07</v>
      </c>
      <c r="O541">
        <f>ROUND(ROUND(L541*Source!I1199, 6)*SmtRes!DA1032, 2)</f>
        <v>4.6500000000000004</v>
      </c>
      <c r="P541">
        <f>SmtRes!AG1032</f>
        <v>0</v>
      </c>
      <c r="Q541">
        <f>SmtRes!DC1032</f>
        <v>0</v>
      </c>
      <c r="R541">
        <f>ROUND(ROUND(Q541*Source!I1199, 6)*1, 2)</f>
        <v>0</v>
      </c>
      <c r="S541">
        <f>SmtRes!AC1032</f>
        <v>0</v>
      </c>
      <c r="T541">
        <f>ROUND(ROUND(Q541*Source!I1199, 6)*SmtRes!AK1032, 2)</f>
        <v>0</v>
      </c>
      <c r="U541">
        <v>2</v>
      </c>
      <c r="Y541">
        <f>SmtRes!X1032</f>
        <v>-1180195794</v>
      </c>
      <c r="Z541">
        <v>-595858232</v>
      </c>
      <c r="AA541">
        <v>55387674</v>
      </c>
    </row>
    <row r="542" spans="1:27" x14ac:dyDescent="0.2">
      <c r="A542">
        <v>20</v>
      </c>
      <c r="B542">
        <v>1031</v>
      </c>
      <c r="C542">
        <v>1</v>
      </c>
      <c r="D542">
        <v>0</v>
      </c>
      <c r="E542">
        <f>SmtRes!AV1031</f>
        <v>1</v>
      </c>
      <c r="F542" t="str">
        <f>SmtRes!I1031</f>
        <v>9999990008</v>
      </c>
      <c r="G542" t="str">
        <f>SmtRes!K1031</f>
        <v>Трудозатраты рабочих</v>
      </c>
      <c r="H542" t="str">
        <f>SmtRes!O1031</f>
        <v>чел.-ч.</v>
      </c>
      <c r="I542">
        <f>SmtRes!Y1031*Source!I1199</f>
        <v>2.5529999999999999</v>
      </c>
      <c r="J542">
        <f>SmtRes!AO1031</f>
        <v>1</v>
      </c>
      <c r="K542">
        <f>SmtRes!AH1031</f>
        <v>0</v>
      </c>
      <c r="L542">
        <f>SmtRes!DB1031</f>
        <v>0</v>
      </c>
      <c r="M542">
        <f>ROUND(ROUND(L542*Source!I1199, 6)*1, 2)</f>
        <v>0</v>
      </c>
      <c r="N542">
        <f>SmtRes!AD1031</f>
        <v>0</v>
      </c>
      <c r="O542">
        <f>ROUND(ROUND(L542*Source!I1199, 6)*SmtRes!DA1031, 2)</f>
        <v>0</v>
      </c>
      <c r="P542">
        <f>SmtRes!AG1031</f>
        <v>0</v>
      </c>
      <c r="Q542">
        <f>SmtRes!DC1031</f>
        <v>0</v>
      </c>
      <c r="R542">
        <f>ROUND(ROUND(Q542*Source!I1199, 6)*1, 2)</f>
        <v>0</v>
      </c>
      <c r="S542">
        <f>SmtRes!AC1031</f>
        <v>0</v>
      </c>
      <c r="T542">
        <f>ROUND(ROUND(Q542*Source!I1199, 6)*SmtRes!AK1031, 2)</f>
        <v>0</v>
      </c>
      <c r="U542">
        <v>1</v>
      </c>
      <c r="Y542">
        <f>SmtRes!X1031</f>
        <v>476480486</v>
      </c>
      <c r="Z542">
        <v>1499241640</v>
      </c>
      <c r="AA542">
        <v>1499241640</v>
      </c>
    </row>
    <row r="543" spans="1:27" x14ac:dyDescent="0.2">
      <c r="A543">
        <f>Source!A1201</f>
        <v>18</v>
      </c>
      <c r="B543">
        <v>1201</v>
      </c>
      <c r="C543">
        <v>3</v>
      </c>
      <c r="D543">
        <f>Source!BI1201</f>
        <v>1</v>
      </c>
      <c r="E543">
        <f>Source!FS1201</f>
        <v>0</v>
      </c>
      <c r="F543" t="str">
        <f>Source!F1201</f>
        <v>Цена поставщика</v>
      </c>
      <c r="G543" t="str">
        <f>Source!G1201</f>
        <v>Унитаз-компакт VitrA Conforma 9832B003-7204 для людей с ограниченными возможностями</v>
      </c>
      <c r="H543" t="str">
        <f>Source!H1201</f>
        <v>компл.</v>
      </c>
      <c r="I543">
        <f>Source!I1201</f>
        <v>1</v>
      </c>
      <c r="J543">
        <v>1</v>
      </c>
      <c r="K543">
        <f>Source!AC1201</f>
        <v>4833.7</v>
      </c>
      <c r="M543">
        <f>ROUND(K543*I543, 2)</f>
        <v>4833.7</v>
      </c>
      <c r="N543">
        <f>Source!AC1201*IF(Source!BC1201&lt;&gt; 0, Source!BC1201, 1)</f>
        <v>41811.504999999997</v>
      </c>
      <c r="O543">
        <f>ROUND(N543*I543, 2)</f>
        <v>41811.51</v>
      </c>
      <c r="P543">
        <f>Source!AE1201</f>
        <v>0</v>
      </c>
      <c r="R543">
        <f>ROUND(P543*I543, 2)</f>
        <v>0</v>
      </c>
      <c r="S543">
        <f>Source!AE1201*IF(Source!BS1201&lt;&gt; 0, Source!BS1201, 1)</f>
        <v>0</v>
      </c>
      <c r="T543">
        <f>ROUND(S543*I543, 2)</f>
        <v>0</v>
      </c>
      <c r="U543">
        <v>3</v>
      </c>
      <c r="Y543">
        <f>Source!GF1201</f>
        <v>-99313333</v>
      </c>
      <c r="Z543">
        <v>-488320334</v>
      </c>
      <c r="AA543">
        <v>-917517650</v>
      </c>
    </row>
    <row r="544" spans="1:27" x14ac:dyDescent="0.2">
      <c r="A544">
        <f>Source!A1203</f>
        <v>18</v>
      </c>
      <c r="B544">
        <v>1203</v>
      </c>
      <c r="C544">
        <v>3</v>
      </c>
      <c r="D544">
        <f>Source!BI1203</f>
        <v>1</v>
      </c>
      <c r="E544">
        <f>Source!FS1203</f>
        <v>0</v>
      </c>
      <c r="F544" t="str">
        <f>Source!F1203</f>
        <v>1.17-1-79</v>
      </c>
      <c r="G544" t="str">
        <f>Source!G1203</f>
        <v>Унитазы-компакт керамические нестандартной высоты для людей с ограниченными физическими возможностями, размеры 360х670х480 мм, с горизонтальным выпуском</v>
      </c>
      <c r="H544" t="str">
        <f>Source!H1203</f>
        <v>КОМПЛЕКТ</v>
      </c>
      <c r="I544">
        <f>Source!I1203</f>
        <v>0</v>
      </c>
      <c r="J544">
        <v>1</v>
      </c>
      <c r="K544">
        <f>Source!AC1203</f>
        <v>2019.68</v>
      </c>
      <c r="M544">
        <f>ROUND(K544*I544, 2)</f>
        <v>0</v>
      </c>
      <c r="N544">
        <f>Source!AC1203*IF(Source!BC1203&lt;&gt; 0, Source!BC1203, 1)</f>
        <v>12158.473599999999</v>
      </c>
      <c r="O544">
        <f>ROUND(N544*I544, 2)</f>
        <v>0</v>
      </c>
      <c r="P544">
        <f>Source!AE1203</f>
        <v>0</v>
      </c>
      <c r="R544">
        <f>ROUND(P544*I544, 2)</f>
        <v>0</v>
      </c>
      <c r="S544">
        <f>Source!AE1203*IF(Source!BS1203&lt;&gt; 0, Source!BS1203, 1)</f>
        <v>0</v>
      </c>
      <c r="T544">
        <f>ROUND(S544*I544, 2)</f>
        <v>0</v>
      </c>
      <c r="U544">
        <v>3</v>
      </c>
      <c r="Y544">
        <f>Source!GF1203</f>
        <v>-917542971</v>
      </c>
      <c r="Z544">
        <v>1717984700</v>
      </c>
      <c r="AA544">
        <v>2023011119</v>
      </c>
    </row>
    <row r="545" spans="1:27" x14ac:dyDescent="0.2">
      <c r="A545">
        <f>Source!A1205</f>
        <v>18</v>
      </c>
      <c r="B545">
        <v>1205</v>
      </c>
      <c r="C545">
        <v>3</v>
      </c>
      <c r="D545">
        <f>Source!BI1205</f>
        <v>1</v>
      </c>
      <c r="E545">
        <f>Source!FS1205</f>
        <v>0</v>
      </c>
      <c r="F545" t="str">
        <f>Source!F1205</f>
        <v>1.17-2-2</v>
      </c>
      <c r="G545" t="str">
        <f>Source!G1205</f>
        <v>Бачок смывной керамический к унитазу напольному, с комплектом арматуры</v>
      </c>
      <c r="H545" t="str">
        <f>Source!H1205</f>
        <v>шт.</v>
      </c>
      <c r="I545">
        <f>Source!I1205</f>
        <v>0</v>
      </c>
      <c r="J545">
        <v>1</v>
      </c>
      <c r="K545">
        <f>Source!AC1205</f>
        <v>209.67</v>
      </c>
      <c r="M545">
        <f>ROUND(K545*I545, 2)</f>
        <v>0</v>
      </c>
      <c r="N545">
        <f>Source!AC1205*IF(Source!BC1205&lt;&gt; 0, Source!BC1205, 1)</f>
        <v>1522.2041999999999</v>
      </c>
      <c r="O545">
        <f>ROUND(N545*I545, 2)</f>
        <v>0</v>
      </c>
      <c r="P545">
        <f>Source!AE1205</f>
        <v>0</v>
      </c>
      <c r="R545">
        <f>ROUND(P545*I545, 2)</f>
        <v>0</v>
      </c>
      <c r="S545">
        <f>Source!AE1205*IF(Source!BS1205&lt;&gt; 0, Source!BS1205, 1)</f>
        <v>0</v>
      </c>
      <c r="T545">
        <f>ROUND(S545*I545, 2)</f>
        <v>0</v>
      </c>
      <c r="U545">
        <v>3</v>
      </c>
      <c r="Y545">
        <f>Source!GF1205</f>
        <v>-1457686447</v>
      </c>
      <c r="Z545">
        <v>-716878719</v>
      </c>
      <c r="AA545">
        <v>1164058656</v>
      </c>
    </row>
    <row r="546" spans="1:27" x14ac:dyDescent="0.2">
      <c r="A546">
        <f>Source!A1207</f>
        <v>18</v>
      </c>
      <c r="B546">
        <v>1207</v>
      </c>
      <c r="C546">
        <v>3</v>
      </c>
      <c r="D546">
        <f>Source!BI1207</f>
        <v>1</v>
      </c>
      <c r="E546">
        <f>Source!FS1207</f>
        <v>0</v>
      </c>
      <c r="F546" t="str">
        <f>Source!F1207</f>
        <v>1.17-3-1</v>
      </c>
      <c r="G546" t="str">
        <f>Source!G1207</f>
        <v>Сиденье пластиковое с крышкой к унитазам</v>
      </c>
      <c r="H546" t="str">
        <f>Source!H1207</f>
        <v>шт.</v>
      </c>
      <c r="I546">
        <f>Source!I1207</f>
        <v>0</v>
      </c>
      <c r="J546">
        <v>1</v>
      </c>
      <c r="K546">
        <f>Source!AC1207</f>
        <v>32.979999999999997</v>
      </c>
      <c r="M546">
        <f>ROUND(K546*I546, 2)</f>
        <v>0</v>
      </c>
      <c r="N546">
        <f>Source!AC1207*IF(Source!BC1207&lt;&gt; 0, Source!BC1207, 1)</f>
        <v>143.46299999999997</v>
      </c>
      <c r="O546">
        <f>ROUND(N546*I546, 2)</f>
        <v>0</v>
      </c>
      <c r="P546">
        <f>Source!AE1207</f>
        <v>0</v>
      </c>
      <c r="R546">
        <f>ROUND(P546*I546, 2)</f>
        <v>0</v>
      </c>
      <c r="S546">
        <f>Source!AE1207*IF(Source!BS1207&lt;&gt; 0, Source!BS1207, 1)</f>
        <v>0</v>
      </c>
      <c r="T546">
        <f>ROUND(S546*I546, 2)</f>
        <v>0</v>
      </c>
      <c r="U546">
        <v>3</v>
      </c>
      <c r="Y546">
        <f>Source!GF1207</f>
        <v>-681315971</v>
      </c>
      <c r="Z546">
        <v>2045081252</v>
      </c>
      <c r="AA546">
        <v>-910976461</v>
      </c>
    </row>
    <row r="547" spans="1:27" x14ac:dyDescent="0.2">
      <c r="A547">
        <f>Source!A1209</f>
        <v>18</v>
      </c>
      <c r="B547">
        <v>1209</v>
      </c>
      <c r="C547">
        <v>3</v>
      </c>
      <c r="D547">
        <f>Source!BI1209</f>
        <v>1</v>
      </c>
      <c r="E547">
        <f>Source!FS1209</f>
        <v>0</v>
      </c>
      <c r="F547" t="str">
        <f>Source!F1209</f>
        <v>1.17-2-46</v>
      </c>
      <c r="G547" t="str">
        <f>Source!G1209</f>
        <v>Патрубок полипропиленовый, отводящий, для унитазов, с эксцентриком 15 мм, губчатой прокладкой, для керамического штуцера, длина 160 мм, диаметр 110 мм</v>
      </c>
      <c r="H547" t="str">
        <f>Source!H1209</f>
        <v>шт.</v>
      </c>
      <c r="I547">
        <f>Source!I1209</f>
        <v>1</v>
      </c>
      <c r="J547">
        <v>1</v>
      </c>
      <c r="K547">
        <f>Source!AC1209</f>
        <v>218.12</v>
      </c>
      <c r="M547">
        <f>ROUND(K547*I547, 2)</f>
        <v>218.12</v>
      </c>
      <c r="N547">
        <f>Source!AC1209*IF(Source!BC1209&lt;&gt; 0, Source!BC1209, 1)</f>
        <v>1908.55</v>
      </c>
      <c r="O547">
        <f>ROUND(N547*I547, 2)</f>
        <v>1908.55</v>
      </c>
      <c r="P547">
        <f>Source!AE1209</f>
        <v>0</v>
      </c>
      <c r="R547">
        <f>ROUND(P547*I547, 2)</f>
        <v>0</v>
      </c>
      <c r="S547">
        <f>Source!AE1209*IF(Source!BS1209&lt;&gt; 0, Source!BS1209, 1)</f>
        <v>0</v>
      </c>
      <c r="T547">
        <f>ROUND(S547*I547, 2)</f>
        <v>0</v>
      </c>
      <c r="U547">
        <v>3</v>
      </c>
      <c r="Y547">
        <f>Source!GF1209</f>
        <v>-383638002</v>
      </c>
      <c r="Z547">
        <v>-948095983</v>
      </c>
      <c r="AA547">
        <v>-2016820363</v>
      </c>
    </row>
    <row r="548" spans="1:27" x14ac:dyDescent="0.2">
      <c r="A548">
        <v>20</v>
      </c>
      <c r="B548">
        <v>1058</v>
      </c>
      <c r="C548">
        <v>3</v>
      </c>
      <c r="D548">
        <v>0</v>
      </c>
      <c r="E548">
        <f>SmtRes!AV1058</f>
        <v>0</v>
      </c>
      <c r="F548" t="str">
        <f>SmtRes!I1058</f>
        <v>1.1-1-732</v>
      </c>
      <c r="G548" t="str">
        <f>SmtRes!K1058</f>
        <v>Олифа для окраски комбинированная "Оксоль"</v>
      </c>
      <c r="H548" t="str">
        <f>SmtRes!O1058</f>
        <v>кг</v>
      </c>
      <c r="I548">
        <f>SmtRes!Y1058*Source!I1211</f>
        <v>0.02</v>
      </c>
      <c r="J548">
        <f>SmtRes!AO1058</f>
        <v>1</v>
      </c>
      <c r="K548">
        <f>SmtRes!AE1058</f>
        <v>20.190000000000001</v>
      </c>
      <c r="L548">
        <f>SmtRes!DB1058</f>
        <v>0.4</v>
      </c>
      <c r="M548">
        <f>ROUND(ROUND(L548*Source!I1211, 6)*1, 2)</f>
        <v>0.4</v>
      </c>
      <c r="N548">
        <f>SmtRes!AA1058</f>
        <v>73.69</v>
      </c>
      <c r="O548">
        <f>ROUND(ROUND(L548*Source!I1211, 6)*SmtRes!DA1058, 2)</f>
        <v>1.46</v>
      </c>
      <c r="P548">
        <f>SmtRes!AG1058</f>
        <v>0</v>
      </c>
      <c r="Q548">
        <f>SmtRes!DC1058</f>
        <v>0</v>
      </c>
      <c r="R548">
        <f>ROUND(ROUND(Q548*Source!I1211, 6)*1, 2)</f>
        <v>0</v>
      </c>
      <c r="S548">
        <f>SmtRes!AC1058</f>
        <v>0</v>
      </c>
      <c r="T548">
        <f>ROUND(ROUND(Q548*Source!I1211, 6)*SmtRes!AK1058, 2)</f>
        <v>0</v>
      </c>
      <c r="U548">
        <v>3</v>
      </c>
      <c r="Y548">
        <f>SmtRes!X1058</f>
        <v>-1082935818</v>
      </c>
      <c r="Z548">
        <v>-1462638745</v>
      </c>
      <c r="AA548">
        <v>1036341566</v>
      </c>
    </row>
    <row r="549" spans="1:27" x14ac:dyDescent="0.2">
      <c r="A549">
        <v>20</v>
      </c>
      <c r="B549">
        <v>1057</v>
      </c>
      <c r="C549">
        <v>3</v>
      </c>
      <c r="D549">
        <v>0</v>
      </c>
      <c r="E549">
        <f>SmtRes!AV1057</f>
        <v>0</v>
      </c>
      <c r="F549" t="str">
        <f>SmtRes!I1057</f>
        <v>1.1-1-57</v>
      </c>
      <c r="G549" t="str">
        <f>SmtRes!K1057</f>
        <v>Болты строительные черные с гайками и шайбами (10х100 мм)</v>
      </c>
      <c r="H549" t="str">
        <f>SmtRes!O1057</f>
        <v>т</v>
      </c>
      <c r="I549">
        <f>SmtRes!Y1057*Source!I1211</f>
        <v>1.0000000000000001E-5</v>
      </c>
      <c r="J549">
        <f>SmtRes!AO1057</f>
        <v>1</v>
      </c>
      <c r="K549">
        <f>SmtRes!AE1057</f>
        <v>17876.91</v>
      </c>
      <c r="L549">
        <f>SmtRes!DB1057</f>
        <v>0.18</v>
      </c>
      <c r="M549">
        <f>ROUND(ROUND(L549*Source!I1211, 6)*1, 2)</f>
        <v>0.18</v>
      </c>
      <c r="N549">
        <f>SmtRes!AA1057</f>
        <v>128713.75</v>
      </c>
      <c r="O549">
        <f>ROUND(ROUND(L549*Source!I1211, 6)*SmtRes!DA1057, 2)</f>
        <v>1.3</v>
      </c>
      <c r="P549">
        <f>SmtRes!AG1057</f>
        <v>0</v>
      </c>
      <c r="Q549">
        <f>SmtRes!DC1057</f>
        <v>0</v>
      </c>
      <c r="R549">
        <f>ROUND(ROUND(Q549*Source!I1211, 6)*1, 2)</f>
        <v>0</v>
      </c>
      <c r="S549">
        <f>SmtRes!AC1057</f>
        <v>0</v>
      </c>
      <c r="T549">
        <f>ROUND(ROUND(Q549*Source!I1211, 6)*SmtRes!AK1057, 2)</f>
        <v>0</v>
      </c>
      <c r="U549">
        <v>3</v>
      </c>
      <c r="Y549">
        <f>SmtRes!X1057</f>
        <v>-1798553121</v>
      </c>
      <c r="Z549">
        <v>1247950312</v>
      </c>
      <c r="AA549">
        <v>-1809354639</v>
      </c>
    </row>
    <row r="550" spans="1:27" x14ac:dyDescent="0.2">
      <c r="A550">
        <v>20</v>
      </c>
      <c r="B550">
        <v>1056</v>
      </c>
      <c r="C550">
        <v>3</v>
      </c>
      <c r="D550">
        <v>0</v>
      </c>
      <c r="E550">
        <f>SmtRes!AV1056</f>
        <v>0</v>
      </c>
      <c r="F550" t="str">
        <f>SmtRes!I1056</f>
        <v>1.1-1-467</v>
      </c>
      <c r="G550" t="str">
        <f>SmtRes!K1056</f>
        <v>Краски масляные жидкотертые цветные (готовые к употреблению) для наружных и внутренних работ, марка МА-15, сурик железный для окраски по металлу</v>
      </c>
      <c r="H550" t="str">
        <f>SmtRes!O1056</f>
        <v>т</v>
      </c>
      <c r="I550">
        <f>SmtRes!Y1056*Source!I1211</f>
        <v>1.9000000000000001E-4</v>
      </c>
      <c r="J550">
        <f>SmtRes!AO1056</f>
        <v>1</v>
      </c>
      <c r="K550">
        <f>SmtRes!AE1056</f>
        <v>16222.39</v>
      </c>
      <c r="L550">
        <f>SmtRes!DB1056</f>
        <v>3.08</v>
      </c>
      <c r="M550">
        <f>ROUND(ROUND(L550*Source!I1211, 6)*1, 2)</f>
        <v>3.08</v>
      </c>
      <c r="N550">
        <f>SmtRes!AA1056</f>
        <v>48667.17</v>
      </c>
      <c r="O550">
        <f>ROUND(ROUND(L550*Source!I1211, 6)*SmtRes!DA1056, 2)</f>
        <v>9.24</v>
      </c>
      <c r="P550">
        <f>SmtRes!AG1056</f>
        <v>0</v>
      </c>
      <c r="Q550">
        <f>SmtRes!DC1056</f>
        <v>0</v>
      </c>
      <c r="R550">
        <f>ROUND(ROUND(Q550*Source!I1211, 6)*1, 2)</f>
        <v>0</v>
      </c>
      <c r="S550">
        <f>SmtRes!AC1056</f>
        <v>0</v>
      </c>
      <c r="T550">
        <f>ROUND(ROUND(Q550*Source!I1211, 6)*SmtRes!AK1056, 2)</f>
        <v>0</v>
      </c>
      <c r="U550">
        <v>3</v>
      </c>
      <c r="Y550">
        <f>SmtRes!X1056</f>
        <v>-434568416</v>
      </c>
      <c r="Z550">
        <v>1329284574</v>
      </c>
      <c r="AA550">
        <v>-609916026</v>
      </c>
    </row>
    <row r="551" spans="1:27" x14ac:dyDescent="0.2">
      <c r="A551">
        <v>20</v>
      </c>
      <c r="B551">
        <v>1055</v>
      </c>
      <c r="C551">
        <v>3</v>
      </c>
      <c r="D551">
        <v>0</v>
      </c>
      <c r="E551">
        <f>SmtRes!AV1055</f>
        <v>0</v>
      </c>
      <c r="F551" t="str">
        <f>SmtRes!I1055</f>
        <v>1.1-1-296</v>
      </c>
      <c r="G551" t="str">
        <f>SmtRes!K1055</f>
        <v>Каболка</v>
      </c>
      <c r="H551" t="str">
        <f>SmtRes!O1055</f>
        <v>т</v>
      </c>
      <c r="I551">
        <f>SmtRes!Y1055*Source!I1211</f>
        <v>6.9999999999999994E-5</v>
      </c>
      <c r="J551">
        <f>SmtRes!AO1055</f>
        <v>1</v>
      </c>
      <c r="K551">
        <f>SmtRes!AE1055</f>
        <v>25769.56</v>
      </c>
      <c r="L551">
        <f>SmtRes!DB1055</f>
        <v>1.8</v>
      </c>
      <c r="M551">
        <f>ROUND(ROUND(L551*Source!I1211, 6)*1, 2)</f>
        <v>1.8</v>
      </c>
      <c r="N551">
        <f>SmtRes!AA1055</f>
        <v>180902.31</v>
      </c>
      <c r="O551">
        <f>ROUND(ROUND(L551*Source!I1211, 6)*SmtRes!DA1055, 2)</f>
        <v>12.64</v>
      </c>
      <c r="P551">
        <f>SmtRes!AG1055</f>
        <v>0</v>
      </c>
      <c r="Q551">
        <f>SmtRes!DC1055</f>
        <v>0</v>
      </c>
      <c r="R551">
        <f>ROUND(ROUND(Q551*Source!I1211, 6)*1, 2)</f>
        <v>0</v>
      </c>
      <c r="S551">
        <f>SmtRes!AC1055</f>
        <v>0</v>
      </c>
      <c r="T551">
        <f>ROUND(ROUND(Q551*Source!I1211, 6)*SmtRes!AK1055, 2)</f>
        <v>0</v>
      </c>
      <c r="U551">
        <v>3</v>
      </c>
      <c r="Y551">
        <f>SmtRes!X1055</f>
        <v>887832628</v>
      </c>
      <c r="Z551">
        <v>-1367819067</v>
      </c>
      <c r="AA551">
        <v>760424988</v>
      </c>
    </row>
    <row r="552" spans="1:27" x14ac:dyDescent="0.2">
      <c r="A552">
        <v>20</v>
      </c>
      <c r="B552">
        <v>1054</v>
      </c>
      <c r="C552">
        <v>3</v>
      </c>
      <c r="D552">
        <v>0</v>
      </c>
      <c r="E552">
        <f>SmtRes!AV1054</f>
        <v>0</v>
      </c>
      <c r="F552" t="str">
        <f>SmtRes!I1054</f>
        <v>1.1-1-2481</v>
      </c>
      <c r="G552" t="str">
        <f>SmtRes!K1054</f>
        <v>Волокно льняное №11 для уплотнения резьбовых соединений при монтаже систем водоснабжения и отопления</v>
      </c>
      <c r="H552" t="str">
        <f>SmtRes!O1054</f>
        <v>кг</v>
      </c>
      <c r="I552">
        <f>SmtRes!Y1054*Source!I1211</f>
        <v>0.06</v>
      </c>
      <c r="J552">
        <f>SmtRes!AO1054</f>
        <v>1</v>
      </c>
      <c r="K552">
        <f>SmtRes!AE1054</f>
        <v>38</v>
      </c>
      <c r="L552">
        <f>SmtRes!DB1054</f>
        <v>2.2799999999999998</v>
      </c>
      <c r="M552">
        <f>ROUND(ROUND(L552*Source!I1211, 6)*1, 2)</f>
        <v>2.2799999999999998</v>
      </c>
      <c r="N552">
        <f>SmtRes!AA1054</f>
        <v>214.7</v>
      </c>
      <c r="O552">
        <f>ROUND(ROUND(L552*Source!I1211, 6)*SmtRes!DA1054, 2)</f>
        <v>12.88</v>
      </c>
      <c r="P552">
        <f>SmtRes!AG1054</f>
        <v>0</v>
      </c>
      <c r="Q552">
        <f>SmtRes!DC1054</f>
        <v>0</v>
      </c>
      <c r="R552">
        <f>ROUND(ROUND(Q552*Source!I1211, 6)*1, 2)</f>
        <v>0</v>
      </c>
      <c r="S552">
        <f>SmtRes!AC1054</f>
        <v>0</v>
      </c>
      <c r="T552">
        <f>ROUND(ROUND(Q552*Source!I1211, 6)*SmtRes!AK1054, 2)</f>
        <v>0</v>
      </c>
      <c r="U552">
        <v>3</v>
      </c>
      <c r="Y552">
        <f>SmtRes!X1054</f>
        <v>1037702096</v>
      </c>
      <c r="Z552">
        <v>-1319032529</v>
      </c>
      <c r="AA552">
        <v>1344664460</v>
      </c>
    </row>
    <row r="553" spans="1:27" x14ac:dyDescent="0.2">
      <c r="A553">
        <v>20</v>
      </c>
      <c r="B553">
        <v>1053</v>
      </c>
      <c r="C553">
        <v>3</v>
      </c>
      <c r="D553">
        <v>0</v>
      </c>
      <c r="E553">
        <f>SmtRes!AV1053</f>
        <v>0</v>
      </c>
      <c r="F553" t="str">
        <f>SmtRes!I1053</f>
        <v>1.1-1-1669</v>
      </c>
      <c r="G553" t="str">
        <f>SmtRes!K1053</f>
        <v>Электроды, тип Э-42А, диаметр 4-6 мм</v>
      </c>
      <c r="H553" t="str">
        <f>SmtRes!O1053</f>
        <v>т</v>
      </c>
      <c r="I553">
        <f>SmtRes!Y1053*Source!I1211</f>
        <v>3.0000000000000001E-5</v>
      </c>
      <c r="J553">
        <f>SmtRes!AO1053</f>
        <v>1</v>
      </c>
      <c r="K553">
        <f>SmtRes!AE1053</f>
        <v>8596.85</v>
      </c>
      <c r="L553">
        <f>SmtRes!DB1053</f>
        <v>0.26</v>
      </c>
      <c r="M553">
        <f>ROUND(ROUND(L553*Source!I1211, 6)*1, 2)</f>
        <v>0.26</v>
      </c>
      <c r="N553">
        <f>SmtRes!AA1053</f>
        <v>147006.14000000001</v>
      </c>
      <c r="O553">
        <f>ROUND(ROUND(L553*Source!I1211, 6)*SmtRes!DA1053, 2)</f>
        <v>4.45</v>
      </c>
      <c r="P553">
        <f>SmtRes!AG1053</f>
        <v>0</v>
      </c>
      <c r="Q553">
        <f>SmtRes!DC1053</f>
        <v>0</v>
      </c>
      <c r="R553">
        <f>ROUND(ROUND(Q553*Source!I1211, 6)*1, 2)</f>
        <v>0</v>
      </c>
      <c r="S553">
        <f>SmtRes!AC1053</f>
        <v>0</v>
      </c>
      <c r="T553">
        <f>ROUND(ROUND(Q553*Source!I1211, 6)*SmtRes!AK1053, 2)</f>
        <v>0</v>
      </c>
      <c r="U553">
        <v>3</v>
      </c>
      <c r="Y553">
        <f>SmtRes!X1053</f>
        <v>-1951435217</v>
      </c>
      <c r="Z553">
        <v>-1378019838</v>
      </c>
      <c r="AA553">
        <v>-796581828</v>
      </c>
    </row>
    <row r="554" spans="1:27" x14ac:dyDescent="0.2">
      <c r="A554">
        <v>20</v>
      </c>
      <c r="B554">
        <v>1052</v>
      </c>
      <c r="C554">
        <v>3</v>
      </c>
      <c r="D554">
        <v>0</v>
      </c>
      <c r="E554">
        <f>SmtRes!AV1052</f>
        <v>0</v>
      </c>
      <c r="F554" t="str">
        <f>SmtRes!I1052</f>
        <v>1.1-1-1338</v>
      </c>
      <c r="G554" t="str">
        <f>SmtRes!K1052</f>
        <v>Цемент гипсоглиноземистый расширяющийся</v>
      </c>
      <c r="H554" t="str">
        <f>SmtRes!O1052</f>
        <v>т</v>
      </c>
      <c r="I554">
        <f>SmtRes!Y1052*Source!I1211</f>
        <v>2.0000000000000001E-4</v>
      </c>
      <c r="J554">
        <f>SmtRes!AO1052</f>
        <v>1</v>
      </c>
      <c r="K554">
        <f>SmtRes!AE1052</f>
        <v>483.86</v>
      </c>
      <c r="L554">
        <f>SmtRes!DB1052</f>
        <v>0.1</v>
      </c>
      <c r="M554">
        <f>ROUND(ROUND(L554*Source!I1211, 6)*1, 2)</f>
        <v>0.1</v>
      </c>
      <c r="N554">
        <f>SmtRes!AA1052</f>
        <v>33096.019999999997</v>
      </c>
      <c r="O554">
        <f>ROUND(ROUND(L554*Source!I1211, 6)*SmtRes!DA1052, 2)</f>
        <v>6.84</v>
      </c>
      <c r="P554">
        <f>SmtRes!AG1052</f>
        <v>0</v>
      </c>
      <c r="Q554">
        <f>SmtRes!DC1052</f>
        <v>0</v>
      </c>
      <c r="R554">
        <f>ROUND(ROUND(Q554*Source!I1211, 6)*1, 2)</f>
        <v>0</v>
      </c>
      <c r="S554">
        <f>SmtRes!AC1052</f>
        <v>0</v>
      </c>
      <c r="T554">
        <f>ROUND(ROUND(Q554*Source!I1211, 6)*SmtRes!AK1052, 2)</f>
        <v>0</v>
      </c>
      <c r="U554">
        <v>3</v>
      </c>
      <c r="Y554">
        <f>SmtRes!X1052</f>
        <v>2051816571</v>
      </c>
      <c r="Z554">
        <v>1416732481</v>
      </c>
      <c r="AA554">
        <v>144881478</v>
      </c>
    </row>
    <row r="555" spans="1:27" x14ac:dyDescent="0.2">
      <c r="A555">
        <v>20</v>
      </c>
      <c r="B555">
        <v>1051</v>
      </c>
      <c r="C555">
        <v>2</v>
      </c>
      <c r="D555">
        <v>0</v>
      </c>
      <c r="E555">
        <f>SmtRes!AV1051</f>
        <v>0</v>
      </c>
      <c r="F555" t="str">
        <f>SmtRes!I1051</f>
        <v>2.1-18-7</v>
      </c>
      <c r="G555" t="str">
        <f>SmtRes!K1051</f>
        <v>Автомобили грузовые бортовые, грузоподъемность до 5 т</v>
      </c>
      <c r="H555" t="str">
        <f>SmtRes!O1051</f>
        <v>маш.-ч.</v>
      </c>
      <c r="I555">
        <f>SmtRes!Y1051*Source!I1211</f>
        <v>7.4999999999999997E-2</v>
      </c>
      <c r="J555">
        <f>SmtRes!AO1051</f>
        <v>1</v>
      </c>
      <c r="K555">
        <f>SmtRes!AF1051</f>
        <v>76.81</v>
      </c>
      <c r="L555">
        <f>SmtRes!DB1051</f>
        <v>5.7625000000000002</v>
      </c>
      <c r="M555">
        <f>ROUND(ROUND(L555*Source!I1211, 6)*1, 2)</f>
        <v>5.76</v>
      </c>
      <c r="N555">
        <f>SmtRes!AB1051</f>
        <v>935.94</v>
      </c>
      <c r="O555">
        <f>ROUND(ROUND(L555*Source!I1211, 6)*SmtRes!DA1051, 2)</f>
        <v>65.81</v>
      </c>
      <c r="P555">
        <f>SmtRes!AG1051</f>
        <v>14.36</v>
      </c>
      <c r="Q555">
        <f>SmtRes!DC1051</f>
        <v>1.075</v>
      </c>
      <c r="R555">
        <f>ROUND(ROUND(Q555*Source!I1211, 6)*1, 2)</f>
        <v>1.08</v>
      </c>
      <c r="S555">
        <f>SmtRes!AC1051</f>
        <v>444.8</v>
      </c>
      <c r="T555">
        <f>ROUND(ROUND(Q555*Source!I1211, 6)*SmtRes!AK1051, 2)</f>
        <v>31.21</v>
      </c>
      <c r="U555">
        <v>2</v>
      </c>
      <c r="Y555">
        <f>SmtRes!X1051</f>
        <v>-628430174</v>
      </c>
      <c r="Z555">
        <v>-2049064267</v>
      </c>
      <c r="AA555">
        <v>1144387144</v>
      </c>
    </row>
    <row r="556" spans="1:27" x14ac:dyDescent="0.2">
      <c r="A556">
        <v>20</v>
      </c>
      <c r="B556">
        <v>1050</v>
      </c>
      <c r="C556">
        <v>1</v>
      </c>
      <c r="D556">
        <v>0</v>
      </c>
      <c r="E556">
        <f>SmtRes!AV1050</f>
        <v>1</v>
      </c>
      <c r="F556" t="str">
        <f>SmtRes!I1050</f>
        <v>9999990008</v>
      </c>
      <c r="G556" t="str">
        <f>SmtRes!K1050</f>
        <v>Трудозатраты рабочих</v>
      </c>
      <c r="H556" t="str">
        <f>SmtRes!O1050</f>
        <v>чел.-ч.</v>
      </c>
      <c r="I556">
        <f>SmtRes!Y1050*Source!I1211</f>
        <v>1.1384999999999998</v>
      </c>
      <c r="J556">
        <f>SmtRes!AO1050</f>
        <v>1</v>
      </c>
      <c r="K556">
        <f>SmtRes!AH1050</f>
        <v>0</v>
      </c>
      <c r="L556">
        <f>SmtRes!DB1050</f>
        <v>0</v>
      </c>
      <c r="M556">
        <f>ROUND(ROUND(L556*Source!I1211, 6)*1, 2)</f>
        <v>0</v>
      </c>
      <c r="N556">
        <f>SmtRes!AD1050</f>
        <v>0</v>
      </c>
      <c r="O556">
        <f>ROUND(ROUND(L556*Source!I1211, 6)*SmtRes!DA1050, 2)</f>
        <v>0</v>
      </c>
      <c r="P556">
        <f>SmtRes!AG1050</f>
        <v>0</v>
      </c>
      <c r="Q556">
        <f>SmtRes!DC1050</f>
        <v>0</v>
      </c>
      <c r="R556">
        <f>ROUND(ROUND(Q556*Source!I1211, 6)*1, 2)</f>
        <v>0</v>
      </c>
      <c r="S556">
        <f>SmtRes!AC1050</f>
        <v>0</v>
      </c>
      <c r="T556">
        <f>ROUND(ROUND(Q556*Source!I1211, 6)*SmtRes!AK1050, 2)</f>
        <v>0</v>
      </c>
      <c r="U556">
        <v>1</v>
      </c>
      <c r="Y556">
        <f>SmtRes!X1050</f>
        <v>476480486</v>
      </c>
      <c r="Z556">
        <v>1499241640</v>
      </c>
      <c r="AA556">
        <v>1499241640</v>
      </c>
    </row>
    <row r="557" spans="1:27" x14ac:dyDescent="0.2">
      <c r="A557">
        <f>Source!A1213</f>
        <v>18</v>
      </c>
      <c r="B557">
        <v>1213</v>
      </c>
      <c r="C557">
        <v>3</v>
      </c>
      <c r="D557">
        <f>Source!BI1213</f>
        <v>1</v>
      </c>
      <c r="E557">
        <f>Source!FS1213</f>
        <v>0</v>
      </c>
      <c r="F557" t="str">
        <f>Source!F1213</f>
        <v>Цена поставщика</v>
      </c>
      <c r="G557" t="str">
        <f>Source!G1213</f>
        <v>Поддоны душевые чугунные эмалированные, размер 800х800х167 мм</v>
      </c>
      <c r="H557" t="str">
        <f>Source!H1213</f>
        <v>компл.</v>
      </c>
      <c r="I557">
        <f>Source!I1213</f>
        <v>0</v>
      </c>
      <c r="J557">
        <v>1</v>
      </c>
      <c r="K557">
        <f>Source!AC1213</f>
        <v>1095.8599999999999</v>
      </c>
      <c r="M557">
        <f>ROUND(K557*I557, 2)</f>
        <v>0</v>
      </c>
      <c r="N557">
        <f>Source!AC1213*IF(Source!BC1213&lt;&gt; 0, Source!BC1213, 1)</f>
        <v>9479.1890000000003</v>
      </c>
      <c r="O557">
        <f>ROUND(N557*I557, 2)</f>
        <v>0</v>
      </c>
      <c r="P557">
        <f>Source!AE1213</f>
        <v>0</v>
      </c>
      <c r="R557">
        <f>ROUND(P557*I557, 2)</f>
        <v>0</v>
      </c>
      <c r="S557">
        <f>Source!AE1213*IF(Source!BS1213&lt;&gt; 0, Source!BS1213, 1)</f>
        <v>0</v>
      </c>
      <c r="T557">
        <f>ROUND(S557*I557, 2)</f>
        <v>0</v>
      </c>
      <c r="U557">
        <v>3</v>
      </c>
      <c r="Y557">
        <f>Source!GF1213</f>
        <v>1659530557</v>
      </c>
      <c r="Z557">
        <v>886308572</v>
      </c>
      <c r="AA557">
        <v>1263832914</v>
      </c>
    </row>
    <row r="558" spans="1:27" x14ac:dyDescent="0.2">
      <c r="A558">
        <f>Source!A1215</f>
        <v>18</v>
      </c>
      <c r="B558">
        <v>1215</v>
      </c>
      <c r="C558">
        <v>3</v>
      </c>
      <c r="D558">
        <f>Source!BI1215</f>
        <v>1</v>
      </c>
      <c r="E558">
        <f>Source!FS1215</f>
        <v>0</v>
      </c>
      <c r="F558" t="str">
        <f>Source!F1215</f>
        <v>1.17-1-22</v>
      </c>
      <c r="G558" t="str">
        <f>Source!G1215</f>
        <v>Поддоны душевые чугунные эмалированные, размер 800х800х167 мм, мелкие, в комплекте с сифоном СПРЧПМ (СПРППМ) и выпуском ВСЛВН (ВСПВН),</v>
      </c>
      <c r="H558" t="str">
        <f>Source!H1215</f>
        <v>КОМПЛЕКТ</v>
      </c>
      <c r="I558">
        <f>Source!I1215</f>
        <v>1</v>
      </c>
      <c r="J558">
        <v>1</v>
      </c>
      <c r="K558">
        <f>Source!AC1215</f>
        <v>674</v>
      </c>
      <c r="M558">
        <f>ROUND(K558*I558, 2)</f>
        <v>674</v>
      </c>
      <c r="N558">
        <f>Source!AC1215*IF(Source!BC1215&lt;&gt; 0, Source!BC1215, 1)</f>
        <v>11801.740000000002</v>
      </c>
      <c r="O558">
        <f>ROUND(N558*I558, 2)</f>
        <v>11801.74</v>
      </c>
      <c r="P558">
        <f>Source!AE1215</f>
        <v>0</v>
      </c>
      <c r="R558">
        <f>ROUND(P558*I558, 2)</f>
        <v>0</v>
      </c>
      <c r="S558">
        <f>Source!AE1215*IF(Source!BS1215&lt;&gt; 0, Source!BS1215, 1)</f>
        <v>0</v>
      </c>
      <c r="T558">
        <f>ROUND(S558*I558, 2)</f>
        <v>0</v>
      </c>
      <c r="U558">
        <v>3</v>
      </c>
      <c r="Y558">
        <f>Source!GF1215</f>
        <v>-603467724</v>
      </c>
      <c r="Z558">
        <v>1385210743</v>
      </c>
      <c r="AA558">
        <v>-803878384</v>
      </c>
    </row>
    <row r="559" spans="1:27" x14ac:dyDescent="0.2">
      <c r="A559">
        <v>20</v>
      </c>
      <c r="B559">
        <v>1067</v>
      </c>
      <c r="C559">
        <v>3</v>
      </c>
      <c r="D559">
        <v>0</v>
      </c>
      <c r="E559">
        <f>SmtRes!AV1067</f>
        <v>0</v>
      </c>
      <c r="F559" t="str">
        <f>SmtRes!I1067</f>
        <v>9999990006</v>
      </c>
      <c r="G559" t="str">
        <f>SmtRes!K1067</f>
        <v>Стоимость прочих материалов (ЭСН)</v>
      </c>
      <c r="H559" t="str">
        <f>SmtRes!O1067</f>
        <v>руб.</v>
      </c>
      <c r="I559">
        <f>SmtRes!Y1067*Source!I1217</f>
        <v>0.84</v>
      </c>
      <c r="J559">
        <f>SmtRes!AO1067</f>
        <v>1</v>
      </c>
      <c r="K559">
        <f>SmtRes!AE1067</f>
        <v>1</v>
      </c>
      <c r="L559">
        <f>SmtRes!DB1067</f>
        <v>0.84</v>
      </c>
      <c r="M559">
        <f>ROUND(ROUND(L559*Source!I1217, 6)*1, 2)</f>
        <v>0.84</v>
      </c>
      <c r="N559">
        <f>SmtRes!AA1067</f>
        <v>8.65</v>
      </c>
      <c r="O559">
        <f>ROUND(ROUND(L559*Source!I1217, 6)*SmtRes!DA1067, 2)</f>
        <v>7.27</v>
      </c>
      <c r="P559">
        <f>SmtRes!AG1067</f>
        <v>0</v>
      </c>
      <c r="Q559">
        <f>SmtRes!DC1067</f>
        <v>0</v>
      </c>
      <c r="R559">
        <f>ROUND(ROUND(Q559*Source!I1217, 6)*1, 2)</f>
        <v>0</v>
      </c>
      <c r="S559">
        <f>SmtRes!AC1067</f>
        <v>0</v>
      </c>
      <c r="T559">
        <f>ROUND(ROUND(Q559*Source!I1217, 6)*SmtRes!AK1067, 2)</f>
        <v>0</v>
      </c>
      <c r="U559">
        <v>3</v>
      </c>
      <c r="Y559">
        <f>SmtRes!X1067</f>
        <v>-94250534</v>
      </c>
      <c r="Z559">
        <v>-1771809642</v>
      </c>
      <c r="AA559">
        <v>19367311</v>
      </c>
    </row>
    <row r="560" spans="1:27" x14ac:dyDescent="0.2">
      <c r="A560">
        <v>20</v>
      </c>
      <c r="B560">
        <v>1065</v>
      </c>
      <c r="C560">
        <v>1</v>
      </c>
      <c r="D560">
        <v>0</v>
      </c>
      <c r="E560">
        <f>SmtRes!AV1065</f>
        <v>1</v>
      </c>
      <c r="F560" t="str">
        <f>SmtRes!I1065</f>
        <v>9999990008</v>
      </c>
      <c r="G560" t="str">
        <f>SmtRes!K1065</f>
        <v>Трудозатраты рабочих</v>
      </c>
      <c r="H560" t="str">
        <f>SmtRes!O1065</f>
        <v>чел.-ч.</v>
      </c>
      <c r="I560">
        <f>SmtRes!Y1065*Source!I1217</f>
        <v>0.80499999999999994</v>
      </c>
      <c r="J560">
        <f>SmtRes!AO1065</f>
        <v>1</v>
      </c>
      <c r="K560">
        <f>SmtRes!AH1065</f>
        <v>0</v>
      </c>
      <c r="L560">
        <f>SmtRes!DB1065</f>
        <v>0</v>
      </c>
      <c r="M560">
        <f>ROUND(ROUND(L560*Source!I1217, 6)*1, 2)</f>
        <v>0</v>
      </c>
      <c r="N560">
        <f>SmtRes!AD1065</f>
        <v>0</v>
      </c>
      <c r="O560">
        <f>ROUND(ROUND(L560*Source!I1217, 6)*SmtRes!DA1065, 2)</f>
        <v>0</v>
      </c>
      <c r="P560">
        <f>SmtRes!AG1065</f>
        <v>0</v>
      </c>
      <c r="Q560">
        <f>SmtRes!DC1065</f>
        <v>0</v>
      </c>
      <c r="R560">
        <f>ROUND(ROUND(Q560*Source!I1217, 6)*1, 2)</f>
        <v>0</v>
      </c>
      <c r="S560">
        <f>SmtRes!AC1065</f>
        <v>0</v>
      </c>
      <c r="T560">
        <f>ROUND(ROUND(Q560*Source!I1217, 6)*SmtRes!AK1065, 2)</f>
        <v>0</v>
      </c>
      <c r="U560">
        <v>1</v>
      </c>
      <c r="Y560">
        <f>SmtRes!X1065</f>
        <v>476480486</v>
      </c>
      <c r="Z560">
        <v>1499241640</v>
      </c>
      <c r="AA560">
        <v>1499241640</v>
      </c>
    </row>
    <row r="561" spans="1:27" x14ac:dyDescent="0.2">
      <c r="A561">
        <f>Source!A1219</f>
        <v>18</v>
      </c>
      <c r="B561">
        <v>1219</v>
      </c>
      <c r="C561">
        <v>3</v>
      </c>
      <c r="D561">
        <f>Source!BI1219</f>
        <v>1</v>
      </c>
      <c r="E561">
        <f>Source!FS1219</f>
        <v>0</v>
      </c>
      <c r="F561" t="str">
        <f>Source!F1219</f>
        <v>Цена поставщика</v>
      </c>
      <c r="G561" t="str">
        <f>Source!G1219</f>
        <v>Смеситель для ванны Grohe BauEdge New хром</v>
      </c>
      <c r="H561" t="str">
        <f>Source!H1219</f>
        <v>шт.</v>
      </c>
      <c r="I561">
        <f>Source!I1219</f>
        <v>1</v>
      </c>
      <c r="J561">
        <v>1</v>
      </c>
      <c r="K561">
        <f>Source!AC1219</f>
        <v>1186.1500000000001</v>
      </c>
      <c r="M561">
        <f>ROUND(K561*I561, 2)</f>
        <v>1186.1500000000001</v>
      </c>
      <c r="N561">
        <f>Source!AC1219*IF(Source!BC1219&lt;&gt; 0, Source!BC1219, 1)</f>
        <v>10260.197500000002</v>
      </c>
      <c r="O561">
        <f>ROUND(N561*I561, 2)</f>
        <v>10260.200000000001</v>
      </c>
      <c r="P561">
        <f>Source!AE1219</f>
        <v>0</v>
      </c>
      <c r="R561">
        <f>ROUND(P561*I561, 2)</f>
        <v>0</v>
      </c>
      <c r="S561">
        <f>Source!AE1219*IF(Source!BS1219&lt;&gt; 0, Source!BS1219, 1)</f>
        <v>0</v>
      </c>
      <c r="T561">
        <f>ROUND(S561*I561, 2)</f>
        <v>0</v>
      </c>
      <c r="U561">
        <v>3</v>
      </c>
      <c r="Y561">
        <f>Source!GF1219</f>
        <v>-190557573</v>
      </c>
      <c r="Z561">
        <v>1168958285</v>
      </c>
      <c r="AA561">
        <v>629357615</v>
      </c>
    </row>
    <row r="562" spans="1:27" x14ac:dyDescent="0.2">
      <c r="A562">
        <f>Source!A1221</f>
        <v>18</v>
      </c>
      <c r="B562">
        <v>1221</v>
      </c>
      <c r="C562">
        <v>3</v>
      </c>
      <c r="D562">
        <f>Source!BI1221</f>
        <v>1</v>
      </c>
      <c r="E562">
        <f>Source!FS1221</f>
        <v>0</v>
      </c>
      <c r="F562" t="str">
        <f>Source!F1221</f>
        <v>1.17-2-58</v>
      </c>
      <c r="G562" t="str">
        <f>Source!G1221</f>
        <v>Смеситель для ванны настенный, хромированный, однорукояточный, подводка в раздельных отверстиях, душевая сетка на гибком шланге с кронштейном, излив неповоротный, вылет излива до 200 мм, картридж с керамическими запорными элементами</v>
      </c>
      <c r="H562" t="str">
        <f>Source!H1221</f>
        <v>шт.</v>
      </c>
      <c r="I562">
        <f>Source!I1221</f>
        <v>0</v>
      </c>
      <c r="J562">
        <v>1</v>
      </c>
      <c r="K562">
        <f>Source!AC1221</f>
        <v>599.24</v>
      </c>
      <c r="M562">
        <f>ROUND(K562*I562, 2)</f>
        <v>0</v>
      </c>
      <c r="N562">
        <f>Source!AC1221*IF(Source!BC1221&lt;&gt; 0, Source!BC1221, 1)</f>
        <v>2966.2380000000003</v>
      </c>
      <c r="O562">
        <f>ROUND(N562*I562, 2)</f>
        <v>0</v>
      </c>
      <c r="P562">
        <f>Source!AE1221</f>
        <v>0</v>
      </c>
      <c r="R562">
        <f>ROUND(P562*I562, 2)</f>
        <v>0</v>
      </c>
      <c r="S562">
        <f>Source!AE1221*IF(Source!BS1221&lt;&gt; 0, Source!BS1221, 1)</f>
        <v>0</v>
      </c>
      <c r="T562">
        <f>ROUND(S562*I562, 2)</f>
        <v>0</v>
      </c>
      <c r="U562">
        <v>3</v>
      </c>
      <c r="Y562">
        <f>Source!GF1221</f>
        <v>-1220905460</v>
      </c>
      <c r="Z562">
        <v>-1455619145</v>
      </c>
      <c r="AA562">
        <v>-894081192</v>
      </c>
    </row>
    <row r="563" spans="1:27" x14ac:dyDescent="0.2">
      <c r="A563">
        <f>Source!A1253</f>
        <v>4</v>
      </c>
      <c r="B563">
        <v>1253</v>
      </c>
      <c r="G563" t="str">
        <f>Source!G1253</f>
        <v>Прочие работы</v>
      </c>
    </row>
    <row r="564" spans="1:27" x14ac:dyDescent="0.2">
      <c r="A564">
        <v>20</v>
      </c>
      <c r="B564">
        <v>1070</v>
      </c>
      <c r="C564">
        <v>2</v>
      </c>
      <c r="D564">
        <v>0</v>
      </c>
      <c r="E564">
        <f>SmtRes!AV1070</f>
        <v>0</v>
      </c>
      <c r="F564" t="str">
        <f>SmtRes!I1070</f>
        <v>9999990007</v>
      </c>
      <c r="G564" t="str">
        <f>SmtRes!K1070</f>
        <v>Стоимость прочих машин (ЭСН)</v>
      </c>
      <c r="H564" t="str">
        <f>SmtRes!O1070</f>
        <v>руб.</v>
      </c>
      <c r="I564">
        <f>SmtRes!Y1070*Source!I1258</f>
        <v>0.43325399999999997</v>
      </c>
      <c r="J564">
        <f>SmtRes!AO1070</f>
        <v>1</v>
      </c>
      <c r="K564">
        <f>SmtRes!AF1070</f>
        <v>1</v>
      </c>
      <c r="L564">
        <f>SmtRes!DB1070</f>
        <v>8.86</v>
      </c>
      <c r="M564">
        <f>ROUND(ROUND(L564*Source!I1258, 6)*1, 2)</f>
        <v>0.43</v>
      </c>
      <c r="N564">
        <f>SmtRes!AB1070</f>
        <v>1.05</v>
      </c>
      <c r="O564">
        <f>ROUND(ROUND(L564*Source!I1258, 6)*SmtRes!DA1070, 2)</f>
        <v>0.43</v>
      </c>
      <c r="P564">
        <f>SmtRes!AG1070</f>
        <v>0</v>
      </c>
      <c r="Q564">
        <f>SmtRes!DC1070</f>
        <v>0</v>
      </c>
      <c r="R564">
        <f>ROUND(ROUND(Q564*Source!I1258, 6)*1, 2)</f>
        <v>0</v>
      </c>
      <c r="S564">
        <f>SmtRes!AC1070</f>
        <v>0</v>
      </c>
      <c r="T564">
        <f>ROUND(ROUND(Q564*Source!I1258, 6)*SmtRes!AK1070, 2)</f>
        <v>0</v>
      </c>
      <c r="U564">
        <v>2</v>
      </c>
      <c r="Y564">
        <f>SmtRes!X1070</f>
        <v>-1180195794</v>
      </c>
      <c r="Z564">
        <v>-595858232</v>
      </c>
      <c r="AA564">
        <v>-314357962</v>
      </c>
    </row>
    <row r="565" spans="1:27" x14ac:dyDescent="0.2">
      <c r="A565">
        <v>20</v>
      </c>
      <c r="B565">
        <v>1072</v>
      </c>
      <c r="C565">
        <v>2</v>
      </c>
      <c r="D565">
        <v>0</v>
      </c>
      <c r="E565">
        <f>SmtRes!AV1072</f>
        <v>0</v>
      </c>
      <c r="F565" t="str">
        <f>SmtRes!I1072</f>
        <v>2.1-18-41</v>
      </c>
      <c r="G565" t="str">
        <f>SmtRes!K1072</f>
        <v>Автомобили-самосвалы для перевозки строительного мусора, грузоподъемность до 8 т</v>
      </c>
      <c r="H565" t="str">
        <f>SmtRes!O1072</f>
        <v>маш.-ч.</v>
      </c>
      <c r="I565">
        <f>SmtRes!Y1072*Source!I1260</f>
        <v>4.8899999999999999E-2</v>
      </c>
      <c r="J565">
        <f>SmtRes!AO1072</f>
        <v>1</v>
      </c>
      <c r="K565">
        <f>SmtRes!AF1072</f>
        <v>115.66</v>
      </c>
      <c r="L565">
        <f>SmtRes!DB1072</f>
        <v>115.66</v>
      </c>
      <c r="M565">
        <f>ROUND(ROUND(L565*Source!I1260, 6)*1, 2)</f>
        <v>5.66</v>
      </c>
      <c r="N565">
        <f>SmtRes!AB1072</f>
        <v>1279.2</v>
      </c>
      <c r="O565">
        <f>ROUND(ROUND(L565*Source!I1260, 6)*SmtRes!DA1072, 2)</f>
        <v>62.55</v>
      </c>
      <c r="P565">
        <f>SmtRes!AG1072</f>
        <v>14.4</v>
      </c>
      <c r="Q565">
        <f>SmtRes!DC1072</f>
        <v>14.4</v>
      </c>
      <c r="R565">
        <f>ROUND(ROUND(Q565*Source!I1260, 6)*1, 2)</f>
        <v>0.7</v>
      </c>
      <c r="S565">
        <f>SmtRes!AC1072</f>
        <v>418.03</v>
      </c>
      <c r="T565">
        <f>ROUND(ROUND(Q565*Source!I1260, 6)*SmtRes!AK1072, 2)</f>
        <v>20.440000000000001</v>
      </c>
      <c r="U565">
        <v>2</v>
      </c>
      <c r="Y565">
        <f>SmtRes!X1072</f>
        <v>-1132105959</v>
      </c>
      <c r="Z565">
        <v>1811076501</v>
      </c>
      <c r="AA565">
        <v>737556631</v>
      </c>
    </row>
    <row r="566" spans="1:27" x14ac:dyDescent="0.2">
      <c r="A566">
        <v>20</v>
      </c>
      <c r="B566">
        <v>1074</v>
      </c>
      <c r="C566">
        <v>2</v>
      </c>
      <c r="D566">
        <v>0</v>
      </c>
      <c r="E566">
        <f>SmtRes!AV1074</f>
        <v>0</v>
      </c>
      <c r="F566" t="str">
        <f>SmtRes!I1074</f>
        <v>9999990007</v>
      </c>
      <c r="G566" t="str">
        <f>SmtRes!K1074</f>
        <v>Стоимость прочих машин (ЭСН)</v>
      </c>
      <c r="H566" t="str">
        <f>SmtRes!O1074</f>
        <v>руб.</v>
      </c>
      <c r="I566">
        <f>SmtRes!Y1074*Source!I1262</f>
        <v>1.5486630000000001</v>
      </c>
      <c r="J566">
        <f>SmtRes!AO1074</f>
        <v>1</v>
      </c>
      <c r="K566">
        <f>SmtRes!AF1074</f>
        <v>1</v>
      </c>
      <c r="L566">
        <f>SmtRes!DB1074</f>
        <v>31.67</v>
      </c>
      <c r="M566">
        <f>ROUND(ROUND(L566*Source!I1262, 6)*1, 2)</f>
        <v>1.55</v>
      </c>
      <c r="N566">
        <f>SmtRes!AB1074</f>
        <v>1</v>
      </c>
      <c r="O566">
        <f>ROUND(ROUND(L566*Source!I1262, 6)*SmtRes!DA1074, 2)</f>
        <v>1.55</v>
      </c>
      <c r="P566">
        <f>SmtRes!AG1074</f>
        <v>0</v>
      </c>
      <c r="Q566">
        <f>SmtRes!DC1074</f>
        <v>0</v>
      </c>
      <c r="R566">
        <f>ROUND(ROUND(Q566*Source!I1262, 6)*1, 2)</f>
        <v>0</v>
      </c>
      <c r="S566">
        <f>SmtRes!AC1074</f>
        <v>0</v>
      </c>
      <c r="T566">
        <f>ROUND(ROUND(Q566*Source!I1262, 6)*SmtRes!AK1074, 2)</f>
        <v>0</v>
      </c>
      <c r="U566">
        <v>2</v>
      </c>
      <c r="Y566">
        <f>SmtRes!X1074</f>
        <v>-1180195794</v>
      </c>
      <c r="Z566">
        <v>-595858232</v>
      </c>
      <c r="AA566">
        <v>-595858232</v>
      </c>
    </row>
    <row r="567" spans="1:27" x14ac:dyDescent="0.2">
      <c r="A567">
        <f>Source!A1324</f>
        <v>3</v>
      </c>
      <c r="B567">
        <v>1324</v>
      </c>
      <c r="G567" t="str">
        <f>Source!G1324</f>
        <v>Мероприятия по обеспечению доступа инвалидов</v>
      </c>
    </row>
    <row r="568" spans="1:27" x14ac:dyDescent="0.2">
      <c r="A568">
        <f>Source!A1328</f>
        <v>4</v>
      </c>
      <c r="B568">
        <v>1328</v>
      </c>
      <c r="G568" t="str">
        <f>Source!G1328</f>
        <v>Монтажные работы</v>
      </c>
    </row>
    <row r="569" spans="1:27" x14ac:dyDescent="0.2">
      <c r="A569">
        <v>20</v>
      </c>
      <c r="B569">
        <v>1083</v>
      </c>
      <c r="C569">
        <v>3</v>
      </c>
      <c r="D569">
        <v>0</v>
      </c>
      <c r="E569">
        <f>SmtRes!AV1083</f>
        <v>0</v>
      </c>
      <c r="F569" t="str">
        <f>SmtRes!I1083</f>
        <v>9999990006</v>
      </c>
      <c r="G569" t="str">
        <f>SmtRes!K1083</f>
        <v>Стоимость прочих материалов (ЭСН)</v>
      </c>
      <c r="H569" t="str">
        <f>SmtRes!O1083</f>
        <v>руб.</v>
      </c>
      <c r="I569">
        <f>SmtRes!Y1083*Source!I1333</f>
        <v>8.8199999999999997E-4</v>
      </c>
      <c r="J569">
        <f>SmtRes!AO1083</f>
        <v>1</v>
      </c>
      <c r="K569">
        <f>SmtRes!AE1083</f>
        <v>1</v>
      </c>
      <c r="L569">
        <f>SmtRes!DB1083</f>
        <v>0.98</v>
      </c>
      <c r="M569">
        <f>ROUND(ROUND(L569*Source!I1333, 6)*1, 2)</f>
        <v>0</v>
      </c>
      <c r="N569">
        <f>SmtRes!AA1083</f>
        <v>8.65</v>
      </c>
      <c r="O569">
        <f>ROUND(ROUND(L569*Source!I1333, 6)*SmtRes!DA1083, 2)</f>
        <v>0.01</v>
      </c>
      <c r="P569">
        <f>SmtRes!AG1083</f>
        <v>0</v>
      </c>
      <c r="Q569">
        <f>SmtRes!DC1083</f>
        <v>0</v>
      </c>
      <c r="R569">
        <f>ROUND(ROUND(Q569*Source!I1333, 6)*1, 2)</f>
        <v>0</v>
      </c>
      <c r="S569">
        <f>SmtRes!AC1083</f>
        <v>0</v>
      </c>
      <c r="T569">
        <f>ROUND(ROUND(Q569*Source!I1333, 6)*SmtRes!AK1083, 2)</f>
        <v>0</v>
      </c>
      <c r="U569">
        <v>3</v>
      </c>
      <c r="Y569">
        <f>SmtRes!X1083</f>
        <v>-94250534</v>
      </c>
      <c r="Z569">
        <v>-1771809642</v>
      </c>
      <c r="AA569">
        <v>19367311</v>
      </c>
    </row>
    <row r="570" spans="1:27" x14ac:dyDescent="0.2">
      <c r="A570">
        <v>20</v>
      </c>
      <c r="B570">
        <v>1081</v>
      </c>
      <c r="C570">
        <v>2</v>
      </c>
      <c r="D570">
        <v>0</v>
      </c>
      <c r="E570">
        <f>SmtRes!AV1081</f>
        <v>0</v>
      </c>
      <c r="F570" t="str">
        <f>SmtRes!I1081</f>
        <v>9999990007</v>
      </c>
      <c r="G570" t="str">
        <f>SmtRes!K1081</f>
        <v>Стоимость прочих машин (ЭСН)</v>
      </c>
      <c r="H570" t="str">
        <f>SmtRes!O1081</f>
        <v>руб.</v>
      </c>
      <c r="I570">
        <f>SmtRes!Y1081*Source!I1333</f>
        <v>7.2022499999999989E-2</v>
      </c>
      <c r="J570">
        <f>SmtRes!AO1081</f>
        <v>1</v>
      </c>
      <c r="K570">
        <f>SmtRes!AF1081</f>
        <v>1</v>
      </c>
      <c r="L570">
        <f>SmtRes!DB1081</f>
        <v>80.025000000000006</v>
      </c>
      <c r="M570">
        <f>ROUND(ROUND(L570*Source!I1333, 6)*1, 2)</f>
        <v>7.0000000000000007E-2</v>
      </c>
      <c r="N570">
        <f>SmtRes!AB1081</f>
        <v>1.05</v>
      </c>
      <c r="O570">
        <f>ROUND(ROUND(L570*Source!I1333, 6)*SmtRes!DA1081, 2)</f>
        <v>7.0000000000000007E-2</v>
      </c>
      <c r="P570">
        <f>SmtRes!AG1081</f>
        <v>0</v>
      </c>
      <c r="Q570">
        <f>SmtRes!DC1081</f>
        <v>0</v>
      </c>
      <c r="R570">
        <f>ROUND(ROUND(Q570*Source!I1333, 6)*1, 2)</f>
        <v>0</v>
      </c>
      <c r="S570">
        <f>SmtRes!AC1081</f>
        <v>0</v>
      </c>
      <c r="T570">
        <f>ROUND(ROUND(Q570*Source!I1333, 6)*SmtRes!AK1081, 2)</f>
        <v>0</v>
      </c>
      <c r="U570">
        <v>2</v>
      </c>
      <c r="Y570">
        <f>SmtRes!X1081</f>
        <v>-1180195794</v>
      </c>
      <c r="Z570">
        <v>-595858232</v>
      </c>
      <c r="AA570">
        <v>-314357962</v>
      </c>
    </row>
    <row r="571" spans="1:27" x14ac:dyDescent="0.2">
      <c r="A571">
        <v>20</v>
      </c>
      <c r="B571">
        <v>1080</v>
      </c>
      <c r="C571">
        <v>1</v>
      </c>
      <c r="D571">
        <v>0</v>
      </c>
      <c r="E571">
        <f>SmtRes!AV1080</f>
        <v>1</v>
      </c>
      <c r="F571" t="str">
        <f>SmtRes!I1080</f>
        <v>9999990008</v>
      </c>
      <c r="G571" t="str">
        <f>SmtRes!K1080</f>
        <v>Трудозатраты рабочих</v>
      </c>
      <c r="H571" t="str">
        <f>SmtRes!O1080</f>
        <v>чел.-ч.</v>
      </c>
      <c r="I571">
        <f>SmtRes!Y1080*Source!I1333</f>
        <v>3.9536999999999996E-2</v>
      </c>
      <c r="J571">
        <f>SmtRes!AO1080</f>
        <v>1</v>
      </c>
      <c r="K571">
        <f>SmtRes!AH1080</f>
        <v>0</v>
      </c>
      <c r="L571">
        <f>SmtRes!DB1080</f>
        <v>0</v>
      </c>
      <c r="M571">
        <f>ROUND(ROUND(L571*Source!I1333, 6)*1, 2)</f>
        <v>0</v>
      </c>
      <c r="N571">
        <f>SmtRes!AD1080</f>
        <v>0</v>
      </c>
      <c r="O571">
        <f>ROUND(ROUND(L571*Source!I1333, 6)*SmtRes!DA1080, 2)</f>
        <v>0</v>
      </c>
      <c r="P571">
        <f>SmtRes!AG1080</f>
        <v>0</v>
      </c>
      <c r="Q571">
        <f>SmtRes!DC1080</f>
        <v>0</v>
      </c>
      <c r="R571">
        <f>ROUND(ROUND(Q571*Source!I1333, 6)*1, 2)</f>
        <v>0</v>
      </c>
      <c r="S571">
        <f>SmtRes!AC1080</f>
        <v>0</v>
      </c>
      <c r="T571">
        <f>ROUND(ROUND(Q571*Source!I1333, 6)*SmtRes!AK1080, 2)</f>
        <v>0</v>
      </c>
      <c r="U571">
        <v>1</v>
      </c>
      <c r="Y571">
        <f>SmtRes!X1080</f>
        <v>476480486</v>
      </c>
      <c r="Z571">
        <v>1499241640</v>
      </c>
      <c r="AA571">
        <v>1499241640</v>
      </c>
    </row>
    <row r="572" spans="1:27" x14ac:dyDescent="0.2">
      <c r="A572">
        <f>Source!A1335</f>
        <v>18</v>
      </c>
      <c r="B572">
        <v>1335</v>
      </c>
      <c r="C572">
        <v>3</v>
      </c>
      <c r="D572">
        <f>Source!BI1335</f>
        <v>1</v>
      </c>
      <c r="E572">
        <f>Source!FS1335</f>
        <v>0</v>
      </c>
      <c r="F572" t="str">
        <f>Source!F1335</f>
        <v>1.1-1-389</v>
      </c>
      <c r="G572" t="str">
        <f>Source!G1335</f>
        <v>Клей на основе акриловой дисперсии, АДМ-К</v>
      </c>
      <c r="H572" t="str">
        <f>Source!H1335</f>
        <v>т</v>
      </c>
      <c r="I572">
        <f>Source!I1335</f>
        <v>4.1999999999999998E-5</v>
      </c>
      <c r="J572">
        <v>1</v>
      </c>
      <c r="K572">
        <f>Source!AC1335</f>
        <v>43326.77</v>
      </c>
      <c r="M572">
        <f>ROUND(K572*I572, 2)</f>
        <v>1.82</v>
      </c>
      <c r="N572">
        <f>Source!AC1335*IF(Source!BC1335&lt;&gt; 0, Source!BC1335, 1)</f>
        <v>64990.154999999999</v>
      </c>
      <c r="O572">
        <f>ROUND(N572*I572, 2)</f>
        <v>2.73</v>
      </c>
      <c r="P572">
        <f>Source!AE1335</f>
        <v>0</v>
      </c>
      <c r="R572">
        <f>ROUND(P572*I572, 2)</f>
        <v>0</v>
      </c>
      <c r="S572">
        <f>Source!AE1335*IF(Source!BS1335&lt;&gt; 0, Source!BS1335, 1)</f>
        <v>0</v>
      </c>
      <c r="T572">
        <f>ROUND(S572*I572, 2)</f>
        <v>0</v>
      </c>
      <c r="U572">
        <v>3</v>
      </c>
      <c r="Y572">
        <f>Source!GF1335</f>
        <v>1030234511</v>
      </c>
      <c r="Z572">
        <v>-873668492</v>
      </c>
      <c r="AA572">
        <v>-2140334103</v>
      </c>
    </row>
    <row r="573" spans="1:27" x14ac:dyDescent="0.2">
      <c r="A573">
        <f>Source!A1337</f>
        <v>18</v>
      </c>
      <c r="B573">
        <v>1337</v>
      </c>
      <c r="C573">
        <v>3</v>
      </c>
      <c r="D573">
        <f>Source!BI1337</f>
        <v>1</v>
      </c>
      <c r="E573">
        <f>Source!FS1337</f>
        <v>0</v>
      </c>
      <c r="F573" t="str">
        <f>Source!F1337</f>
        <v>Цена поставщика</v>
      </c>
      <c r="G573" t="str">
        <f>Source!G1337</f>
        <v>Цветная нескользящая лента Л-25, светонакопительная. 25мм</v>
      </c>
      <c r="H573" t="str">
        <f>Source!H1337</f>
        <v>м</v>
      </c>
      <c r="I573">
        <f>Source!I1337</f>
        <v>3.6</v>
      </c>
      <c r="J573">
        <v>1</v>
      </c>
      <c r="K573">
        <f>Source!AC1337</f>
        <v>9.82</v>
      </c>
      <c r="M573">
        <f>ROUND(K573*I573, 2)</f>
        <v>35.35</v>
      </c>
      <c r="N573">
        <f>Source!AC1337*IF(Source!BC1337&lt;&gt; 0, Source!BC1337, 1)</f>
        <v>84.943000000000012</v>
      </c>
      <c r="O573">
        <f>ROUND(N573*I573, 2)</f>
        <v>305.79000000000002</v>
      </c>
      <c r="P573">
        <f>Source!AE1337</f>
        <v>0</v>
      </c>
      <c r="R573">
        <f>ROUND(P573*I573, 2)</f>
        <v>0</v>
      </c>
      <c r="S573">
        <f>Source!AE1337*IF(Source!BS1337&lt;&gt; 0, Source!BS1337, 1)</f>
        <v>0</v>
      </c>
      <c r="T573">
        <f>ROUND(S573*I573, 2)</f>
        <v>0</v>
      </c>
      <c r="U573">
        <v>3</v>
      </c>
      <c r="Y573">
        <f>Source!GF1337</f>
        <v>-91798768</v>
      </c>
      <c r="Z573">
        <v>2032291319</v>
      </c>
      <c r="AA573">
        <v>1582404516</v>
      </c>
    </row>
    <row r="574" spans="1:27" x14ac:dyDescent="0.2">
      <c r="A574">
        <v>20</v>
      </c>
      <c r="B574">
        <v>1095</v>
      </c>
      <c r="C574">
        <v>3</v>
      </c>
      <c r="D574">
        <v>0</v>
      </c>
      <c r="E574">
        <f>SmtRes!AV1095</f>
        <v>0</v>
      </c>
      <c r="F574" t="str">
        <f>SmtRes!I1095</f>
        <v>1.1-1-118</v>
      </c>
      <c r="G574" t="str">
        <f>SmtRes!K1095</f>
        <v>Вода</v>
      </c>
      <c r="H574" t="str">
        <f>SmtRes!O1095</f>
        <v>м3</v>
      </c>
      <c r="I574">
        <f>SmtRes!Y1095*Source!I1339</f>
        <v>0.39250000000000002</v>
      </c>
      <c r="J574">
        <f>SmtRes!AO1095</f>
        <v>1</v>
      </c>
      <c r="K574">
        <f>SmtRes!AE1095</f>
        <v>7.07</v>
      </c>
      <c r="L574">
        <f>SmtRes!DB1095</f>
        <v>0.18</v>
      </c>
      <c r="M574">
        <f>ROUND(ROUND(L574*Source!I1339, 6)*1, 2)</f>
        <v>2.83</v>
      </c>
      <c r="N574">
        <f>SmtRes!AA1095</f>
        <v>42.42</v>
      </c>
      <c r="O574">
        <f>ROUND(ROUND(L574*Source!I1339, 6)*SmtRes!DA1095, 2)</f>
        <v>16.96</v>
      </c>
      <c r="P574">
        <f>SmtRes!AG1095</f>
        <v>0</v>
      </c>
      <c r="Q574">
        <f>SmtRes!DC1095</f>
        <v>0</v>
      </c>
      <c r="R574">
        <f>ROUND(ROUND(Q574*Source!I1339, 6)*1, 2)</f>
        <v>0</v>
      </c>
      <c r="S574">
        <f>SmtRes!AC1095</f>
        <v>0</v>
      </c>
      <c r="T574">
        <f>ROUND(ROUND(Q574*Source!I1339, 6)*SmtRes!AK1095, 2)</f>
        <v>0</v>
      </c>
      <c r="U574">
        <v>3</v>
      </c>
      <c r="Y574">
        <f>SmtRes!X1095</f>
        <v>-862991314</v>
      </c>
      <c r="Z574">
        <v>-1421290593</v>
      </c>
      <c r="AA574">
        <v>-1279710304</v>
      </c>
    </row>
    <row r="575" spans="1:27" x14ac:dyDescent="0.2">
      <c r="A575">
        <v>20</v>
      </c>
      <c r="B575">
        <v>1094</v>
      </c>
      <c r="C575">
        <v>2</v>
      </c>
      <c r="D575">
        <v>0</v>
      </c>
      <c r="E575">
        <f>SmtRes!AV1094</f>
        <v>0</v>
      </c>
      <c r="F575" t="str">
        <f>SmtRes!I1094</f>
        <v>2.1-18-7</v>
      </c>
      <c r="G575" t="str">
        <f>SmtRes!K1094</f>
        <v>Автомобили грузовые бортовые, грузоподъемность до 5 т</v>
      </c>
      <c r="H575" t="str">
        <f>SmtRes!O1094</f>
        <v>маш.-ч.</v>
      </c>
      <c r="I575">
        <f>SmtRes!Y1094*Source!I1339</f>
        <v>1.37375</v>
      </c>
      <c r="J575">
        <f>SmtRes!AO1094</f>
        <v>1</v>
      </c>
      <c r="K575">
        <f>SmtRes!AF1094</f>
        <v>76.81</v>
      </c>
      <c r="L575">
        <f>SmtRes!DB1094</f>
        <v>6.7249999999999996</v>
      </c>
      <c r="M575">
        <f>ROUND(ROUND(L575*Source!I1339, 6)*1, 2)</f>
        <v>105.58</v>
      </c>
      <c r="N575">
        <f>SmtRes!AB1094</f>
        <v>877.17</v>
      </c>
      <c r="O575">
        <f>ROUND(ROUND(L575*Source!I1339, 6)*SmtRes!DA1094, 2)</f>
        <v>1205.75</v>
      </c>
      <c r="P575">
        <f>SmtRes!AG1094</f>
        <v>14.36</v>
      </c>
      <c r="Q575">
        <f>SmtRes!DC1094</f>
        <v>1.2625</v>
      </c>
      <c r="R575">
        <f>ROUND(ROUND(Q575*Source!I1339, 6)*1, 2)</f>
        <v>19.82</v>
      </c>
      <c r="S575">
        <f>SmtRes!AC1094</f>
        <v>416.87</v>
      </c>
      <c r="T575">
        <f>ROUND(ROUND(Q575*Source!I1339, 6)*SmtRes!AK1094, 2)</f>
        <v>575.41</v>
      </c>
      <c r="U575">
        <v>2</v>
      </c>
      <c r="Y575">
        <f>SmtRes!X1094</f>
        <v>-628430174</v>
      </c>
      <c r="Z575">
        <v>-2049064267</v>
      </c>
      <c r="AA575">
        <v>-2127523820</v>
      </c>
    </row>
    <row r="576" spans="1:27" x14ac:dyDescent="0.2">
      <c r="A576">
        <v>20</v>
      </c>
      <c r="B576">
        <v>1093</v>
      </c>
      <c r="C576">
        <v>2</v>
      </c>
      <c r="D576">
        <v>0</v>
      </c>
      <c r="E576">
        <f>SmtRes!AV1093</f>
        <v>0</v>
      </c>
      <c r="F576" t="str">
        <f>SmtRes!I1093</f>
        <v>2.1-18-24</v>
      </c>
      <c r="G576" t="str">
        <f>SmtRes!K1093</f>
        <v>Автомобили грузопассажирские, грузоподъемность до 2 т</v>
      </c>
      <c r="H576" t="str">
        <f>SmtRes!O1093</f>
        <v>маш.-ч.</v>
      </c>
      <c r="I576">
        <f>SmtRes!Y1093*Source!I1339</f>
        <v>0.98124999999999996</v>
      </c>
      <c r="J576">
        <f>SmtRes!AO1093</f>
        <v>1</v>
      </c>
      <c r="K576">
        <f>SmtRes!AF1093</f>
        <v>42.2</v>
      </c>
      <c r="L576">
        <f>SmtRes!DB1093</f>
        <v>2.6375000000000002</v>
      </c>
      <c r="M576">
        <f>ROUND(ROUND(L576*Source!I1339, 6)*1, 2)</f>
        <v>41.41</v>
      </c>
      <c r="N576">
        <f>SmtRes!AB1093</f>
        <v>585.30999999999995</v>
      </c>
      <c r="O576">
        <f>ROUND(ROUND(L576*Source!I1339, 6)*SmtRes!DA1093, 2)</f>
        <v>574.34</v>
      </c>
      <c r="P576">
        <f>SmtRes!AG1093</f>
        <v>18.38</v>
      </c>
      <c r="Q576">
        <f>SmtRes!DC1093</f>
        <v>1.1499999999999999</v>
      </c>
      <c r="R576">
        <f>ROUND(ROUND(Q576*Source!I1339, 6)*1, 2)</f>
        <v>18.059999999999999</v>
      </c>
      <c r="S576">
        <f>SmtRes!AC1093</f>
        <v>533.57000000000005</v>
      </c>
      <c r="T576">
        <f>ROUND(ROUND(Q576*Source!I1339, 6)*SmtRes!AK1093, 2)</f>
        <v>524.14</v>
      </c>
      <c r="U576">
        <v>2</v>
      </c>
      <c r="Y576">
        <f>SmtRes!X1093</f>
        <v>-646062659</v>
      </c>
      <c r="Z576">
        <v>441309737</v>
      </c>
      <c r="AA576">
        <v>2087294194</v>
      </c>
    </row>
    <row r="577" spans="1:27" x14ac:dyDescent="0.2">
      <c r="A577">
        <v>20</v>
      </c>
      <c r="B577">
        <v>1092</v>
      </c>
      <c r="C577">
        <v>1</v>
      </c>
      <c r="D577">
        <v>0</v>
      </c>
      <c r="E577">
        <f>SmtRes!AV1092</f>
        <v>1</v>
      </c>
      <c r="F577" t="str">
        <f>SmtRes!I1092</f>
        <v>9999990008</v>
      </c>
      <c r="G577" t="str">
        <f>SmtRes!K1092</f>
        <v>Трудозатраты рабочих</v>
      </c>
      <c r="H577" t="str">
        <f>SmtRes!O1092</f>
        <v>чел.-ч.</v>
      </c>
      <c r="I577">
        <f>SmtRes!Y1092*Source!I1339</f>
        <v>70.053399999999996</v>
      </c>
      <c r="J577">
        <f>SmtRes!AO1092</f>
        <v>1</v>
      </c>
      <c r="K577">
        <f>SmtRes!AH1092</f>
        <v>0</v>
      </c>
      <c r="L577">
        <f>SmtRes!DB1092</f>
        <v>0</v>
      </c>
      <c r="M577">
        <f>ROUND(ROUND(L577*Source!I1339, 6)*1, 2)</f>
        <v>0</v>
      </c>
      <c r="N577">
        <f>SmtRes!AD1092</f>
        <v>0</v>
      </c>
      <c r="O577">
        <f>ROUND(ROUND(L577*Source!I1339, 6)*SmtRes!DA1092, 2)</f>
        <v>0</v>
      </c>
      <c r="P577">
        <f>SmtRes!AG1092</f>
        <v>0</v>
      </c>
      <c r="Q577">
        <f>SmtRes!DC1092</f>
        <v>0</v>
      </c>
      <c r="R577">
        <f>ROUND(ROUND(Q577*Source!I1339, 6)*1, 2)</f>
        <v>0</v>
      </c>
      <c r="S577">
        <f>SmtRes!AC1092</f>
        <v>0</v>
      </c>
      <c r="T577">
        <f>ROUND(ROUND(Q577*Source!I1339, 6)*SmtRes!AK1092, 2)</f>
        <v>0</v>
      </c>
      <c r="U577">
        <v>1</v>
      </c>
      <c r="Y577">
        <f>SmtRes!X1092</f>
        <v>476480486</v>
      </c>
      <c r="Z577">
        <v>1499241640</v>
      </c>
      <c r="AA577">
        <v>1499241640</v>
      </c>
    </row>
    <row r="578" spans="1:27" x14ac:dyDescent="0.2">
      <c r="A578">
        <f>Source!A1341</f>
        <v>18</v>
      </c>
      <c r="B578">
        <v>1341</v>
      </c>
      <c r="C578">
        <v>3</v>
      </c>
      <c r="D578">
        <f>Source!BI1341</f>
        <v>1</v>
      </c>
      <c r="E578">
        <f>Source!FS1341</f>
        <v>0</v>
      </c>
      <c r="F578" t="str">
        <f>Source!F1341</f>
        <v>1.3-2-18</v>
      </c>
      <c r="G578" t="str">
        <f>Source!G1341</f>
        <v>Смеси сухие монтажно-кладочные цементно-песчаные, В7,5 (М100), F50, крупность заполнителя не более 3,5 мм</v>
      </c>
      <c r="H578" t="str">
        <f>Source!H1341</f>
        <v>т</v>
      </c>
      <c r="I578">
        <f>Source!I1341</f>
        <v>2.2529499999999998</v>
      </c>
      <c r="J578">
        <v>1</v>
      </c>
      <c r="K578">
        <f>Source!AC1341</f>
        <v>438.37</v>
      </c>
      <c r="M578">
        <f>ROUND(K578*I578, 2)</f>
        <v>987.63</v>
      </c>
      <c r="N578">
        <f>Source!AC1341*IF(Source!BC1341&lt;&gt; 0, Source!BC1341, 1)</f>
        <v>6961.3156000000008</v>
      </c>
      <c r="O578">
        <f>ROUND(N578*I578, 2)</f>
        <v>15683.5</v>
      </c>
      <c r="P578">
        <f>Source!AE1341</f>
        <v>0</v>
      </c>
      <c r="R578">
        <f>ROUND(P578*I578, 2)</f>
        <v>0</v>
      </c>
      <c r="S578">
        <f>Source!AE1341*IF(Source!BS1341&lt;&gt; 0, Source!BS1341, 1)</f>
        <v>0</v>
      </c>
      <c r="T578">
        <f>ROUND(S578*I578, 2)</f>
        <v>0</v>
      </c>
      <c r="U578">
        <v>3</v>
      </c>
      <c r="Y578">
        <f>Source!GF1341</f>
        <v>2029920186</v>
      </c>
      <c r="Z578">
        <v>652244382</v>
      </c>
      <c r="AA578">
        <v>-1891683617</v>
      </c>
    </row>
    <row r="579" spans="1:27" x14ac:dyDescent="0.2">
      <c r="A579">
        <f>Source!A1343</f>
        <v>18</v>
      </c>
      <c r="B579">
        <v>1343</v>
      </c>
      <c r="C579">
        <v>3</v>
      </c>
      <c r="D579">
        <f>Source!BI1343</f>
        <v>1</v>
      </c>
      <c r="E579">
        <f>Source!FS1343</f>
        <v>0</v>
      </c>
      <c r="F579" t="str">
        <f>Source!F1343</f>
        <v>Цена поставщика</v>
      </c>
      <c r="G579" t="str">
        <f>Source!G1343</f>
        <v>Плиты бетонные тротуарные тактильные, толщина 100 мм, цвет серый</v>
      </c>
      <c r="H579" t="str">
        <f>Source!H1343</f>
        <v>шт.</v>
      </c>
      <c r="I579">
        <f>Source!I1343</f>
        <v>157</v>
      </c>
      <c r="J579">
        <v>1</v>
      </c>
      <c r="K579">
        <f>Source!AC1343</f>
        <v>54.05</v>
      </c>
      <c r="M579">
        <f>ROUND(K579*I579, 2)</f>
        <v>8485.85</v>
      </c>
      <c r="N579">
        <f>Source!AC1343*IF(Source!BC1343&lt;&gt; 0, Source!BC1343, 1)</f>
        <v>467.53249999999997</v>
      </c>
      <c r="O579">
        <f>ROUND(N579*I579, 2)</f>
        <v>73402.600000000006</v>
      </c>
      <c r="P579">
        <f>Source!AE1343</f>
        <v>0</v>
      </c>
      <c r="R579">
        <f>ROUND(P579*I579, 2)</f>
        <v>0</v>
      </c>
      <c r="S579">
        <f>Source!AE1343*IF(Source!BS1343&lt;&gt; 0, Source!BS1343, 1)</f>
        <v>0</v>
      </c>
      <c r="T579">
        <f>ROUND(S579*I579, 2)</f>
        <v>0</v>
      </c>
      <c r="U579">
        <v>3</v>
      </c>
      <c r="Y579">
        <f>Source!GF1343</f>
        <v>-1761652633</v>
      </c>
      <c r="Z579">
        <v>1920853756</v>
      </c>
      <c r="AA579">
        <v>1876252872</v>
      </c>
    </row>
    <row r="580" spans="1:27" x14ac:dyDescent="0.2">
      <c r="A580">
        <f>Source!A1345</f>
        <v>18</v>
      </c>
      <c r="B580">
        <v>1345</v>
      </c>
      <c r="C580">
        <v>3</v>
      </c>
      <c r="D580">
        <f>Source!BI1345</f>
        <v>1</v>
      </c>
      <c r="E580">
        <f>Source!FS1345</f>
        <v>0</v>
      </c>
      <c r="F580" t="str">
        <f>Source!F1345</f>
        <v>1.5-3-494</v>
      </c>
      <c r="G580" t="str">
        <f>Source!G1345</f>
        <v>Плиты бетонные тротуарные тактильные, толщина 100 мм, цвет серый</v>
      </c>
      <c r="H580" t="str">
        <f>Source!H1345</f>
        <v>м2</v>
      </c>
      <c r="I580">
        <f>Source!I1345</f>
        <v>0</v>
      </c>
      <c r="J580">
        <v>1</v>
      </c>
      <c r="K580">
        <f>Source!AC1345</f>
        <v>264.54000000000002</v>
      </c>
      <c r="M580">
        <f>ROUND(K580*I580, 2)</f>
        <v>0</v>
      </c>
      <c r="N580">
        <f>Source!AC1345*IF(Source!BC1345&lt;&gt; 0, Source!BC1345, 1)</f>
        <v>2891.4222</v>
      </c>
      <c r="O580">
        <f>ROUND(N580*I580, 2)</f>
        <v>0</v>
      </c>
      <c r="P580">
        <f>Source!AE1345</f>
        <v>0</v>
      </c>
      <c r="R580">
        <f>ROUND(P580*I580, 2)</f>
        <v>0</v>
      </c>
      <c r="S580">
        <f>Source!AE1345*IF(Source!BS1345&lt;&gt; 0, Source!BS1345, 1)</f>
        <v>0</v>
      </c>
      <c r="T580">
        <f>ROUND(S580*I580, 2)</f>
        <v>0</v>
      </c>
      <c r="U580">
        <v>3</v>
      </c>
      <c r="Y580">
        <f>Source!GF1345</f>
        <v>-354716323</v>
      </c>
      <c r="Z580">
        <v>-406295596</v>
      </c>
      <c r="AA580">
        <v>-1025892420</v>
      </c>
    </row>
    <row r="581" spans="1:27" x14ac:dyDescent="0.2">
      <c r="A581">
        <v>20</v>
      </c>
      <c r="B581">
        <v>1100</v>
      </c>
      <c r="C581">
        <v>1</v>
      </c>
      <c r="D581">
        <v>0</v>
      </c>
      <c r="E581">
        <f>SmtRes!AV1100</f>
        <v>1</v>
      </c>
      <c r="F581" t="str">
        <f>SmtRes!I1100</f>
        <v>9999990008</v>
      </c>
      <c r="G581" t="str">
        <f>SmtRes!K1100</f>
        <v>Трудозатраты рабочих</v>
      </c>
      <c r="H581" t="str">
        <f>SmtRes!O1100</f>
        <v>чел.-ч.</v>
      </c>
      <c r="I581">
        <f>SmtRes!Y1100*Source!I1347</f>
        <v>122</v>
      </c>
      <c r="J581">
        <f>SmtRes!AO1100</f>
        <v>1</v>
      </c>
      <c r="K581">
        <f>SmtRes!AH1100</f>
        <v>0</v>
      </c>
      <c r="L581">
        <f>SmtRes!DB1100</f>
        <v>0</v>
      </c>
      <c r="M581">
        <f>ROUND(ROUND(L581*Source!I1347, 6)*1, 2)</f>
        <v>0</v>
      </c>
      <c r="N581">
        <f>SmtRes!AD1100</f>
        <v>0</v>
      </c>
      <c r="O581">
        <f>ROUND(ROUND(L581*Source!I1347, 6)*SmtRes!DA1100, 2)</f>
        <v>0</v>
      </c>
      <c r="P581">
        <f>SmtRes!AG1100</f>
        <v>0</v>
      </c>
      <c r="Q581">
        <f>SmtRes!DC1100</f>
        <v>0</v>
      </c>
      <c r="R581">
        <f>ROUND(ROUND(Q581*Source!I1347, 6)*1, 2)</f>
        <v>0</v>
      </c>
      <c r="S581">
        <f>SmtRes!AC1100</f>
        <v>0</v>
      </c>
      <c r="T581">
        <f>ROUND(ROUND(Q581*Source!I1347, 6)*SmtRes!AK1100, 2)</f>
        <v>0</v>
      </c>
      <c r="U581">
        <v>1</v>
      </c>
      <c r="Y581">
        <f>SmtRes!X1100</f>
        <v>476480486</v>
      </c>
      <c r="Z581">
        <v>1499241640</v>
      </c>
      <c r="AA581">
        <v>1499241640</v>
      </c>
    </row>
    <row r="582" spans="1:27" x14ac:dyDescent="0.2">
      <c r="A582">
        <v>20</v>
      </c>
      <c r="B582">
        <v>1106</v>
      </c>
      <c r="C582">
        <v>3</v>
      </c>
      <c r="D582">
        <v>0</v>
      </c>
      <c r="E582">
        <f>SmtRes!AV1106</f>
        <v>0</v>
      </c>
      <c r="F582" t="str">
        <f>SmtRes!I1106</f>
        <v>1.1-1-1615</v>
      </c>
      <c r="G582" t="str">
        <f>SmtRes!K1106</f>
        <v>Шурупы с потайной головкой, оцинкованные, длина 13-20 мм</v>
      </c>
      <c r="H582" t="str">
        <f>SmtRes!O1106</f>
        <v>т</v>
      </c>
      <c r="I582">
        <f>SmtRes!Y1106*Source!I1349</f>
        <v>1.7000000000000001E-4</v>
      </c>
      <c r="J582">
        <f>SmtRes!AO1106</f>
        <v>1</v>
      </c>
      <c r="K582">
        <f>SmtRes!AE1106</f>
        <v>16744.32</v>
      </c>
      <c r="L582">
        <f>SmtRes!DB1106</f>
        <v>0.17</v>
      </c>
      <c r="M582">
        <f>ROUND(ROUND(L582*Source!I1349, 6)*1, 2)</f>
        <v>2.89</v>
      </c>
      <c r="N582">
        <f>SmtRes!AA1106</f>
        <v>199927.18</v>
      </c>
      <c r="O582">
        <f>ROUND(ROUND(L582*Source!I1349, 6)*SmtRes!DA1106, 2)</f>
        <v>34.51</v>
      </c>
      <c r="P582">
        <f>SmtRes!AG1106</f>
        <v>0</v>
      </c>
      <c r="Q582">
        <f>SmtRes!DC1106</f>
        <v>0</v>
      </c>
      <c r="R582">
        <f>ROUND(ROUND(Q582*Source!I1349, 6)*1, 2)</f>
        <v>0</v>
      </c>
      <c r="S582">
        <f>SmtRes!AC1106</f>
        <v>0</v>
      </c>
      <c r="T582">
        <f>ROUND(ROUND(Q582*Source!I1349, 6)*SmtRes!AK1106, 2)</f>
        <v>0</v>
      </c>
      <c r="U582">
        <v>3</v>
      </c>
      <c r="Y582">
        <f>SmtRes!X1106</f>
        <v>1398464837</v>
      </c>
      <c r="Z582">
        <v>1475110711</v>
      </c>
      <c r="AA582">
        <v>1130690276</v>
      </c>
    </row>
    <row r="583" spans="1:27" x14ac:dyDescent="0.2">
      <c r="A583">
        <v>20</v>
      </c>
      <c r="B583">
        <v>1105</v>
      </c>
      <c r="C583">
        <v>1</v>
      </c>
      <c r="D583">
        <v>0</v>
      </c>
      <c r="E583">
        <f>SmtRes!AV1105</f>
        <v>1</v>
      </c>
      <c r="F583" t="str">
        <f>SmtRes!I1105</f>
        <v>9999990008</v>
      </c>
      <c r="G583" t="str">
        <f>SmtRes!K1105</f>
        <v>Трудозатраты рабочих</v>
      </c>
      <c r="H583" t="str">
        <f>SmtRes!O1105</f>
        <v>чел.-ч.</v>
      </c>
      <c r="I583">
        <f>SmtRes!Y1105*Source!I1349</f>
        <v>1.7594999999999998</v>
      </c>
      <c r="J583">
        <f>SmtRes!AO1105</f>
        <v>1</v>
      </c>
      <c r="K583">
        <f>SmtRes!AH1105</f>
        <v>0</v>
      </c>
      <c r="L583">
        <f>SmtRes!DB1105</f>
        <v>0</v>
      </c>
      <c r="M583">
        <f>ROUND(ROUND(L583*Source!I1349, 6)*1, 2)</f>
        <v>0</v>
      </c>
      <c r="N583">
        <f>SmtRes!AD1105</f>
        <v>0</v>
      </c>
      <c r="O583">
        <f>ROUND(ROUND(L583*Source!I1349, 6)*SmtRes!DA1105, 2)</f>
        <v>0</v>
      </c>
      <c r="P583">
        <f>SmtRes!AG1105</f>
        <v>0</v>
      </c>
      <c r="Q583">
        <f>SmtRes!DC1105</f>
        <v>0</v>
      </c>
      <c r="R583">
        <f>ROUND(ROUND(Q583*Source!I1349, 6)*1, 2)</f>
        <v>0</v>
      </c>
      <c r="S583">
        <f>SmtRes!AC1105</f>
        <v>0</v>
      </c>
      <c r="T583">
        <f>ROUND(ROUND(Q583*Source!I1349, 6)*SmtRes!AK1105, 2)</f>
        <v>0</v>
      </c>
      <c r="U583">
        <v>1</v>
      </c>
      <c r="Y583">
        <f>SmtRes!X1105</f>
        <v>476480486</v>
      </c>
      <c r="Z583">
        <v>1499241640</v>
      </c>
      <c r="AA583">
        <v>1499241640</v>
      </c>
    </row>
    <row r="584" spans="1:27" x14ac:dyDescent="0.2">
      <c r="A584">
        <f>Source!A1351</f>
        <v>18</v>
      </c>
      <c r="B584">
        <v>1351</v>
      </c>
      <c r="C584">
        <v>3</v>
      </c>
      <c r="D584">
        <f>Source!BI1351</f>
        <v>1</v>
      </c>
      <c r="E584">
        <f>Source!FS1351</f>
        <v>0</v>
      </c>
      <c r="F584" t="str">
        <f>Source!F1351</f>
        <v>Цена поставщика</v>
      </c>
      <c r="G584" t="str">
        <f>Source!G1351</f>
        <v>Пиктограмма тактильная</v>
      </c>
      <c r="H584" t="str">
        <f>Source!H1351</f>
        <v>шт.</v>
      </c>
      <c r="I584">
        <f>Source!I1351</f>
        <v>14</v>
      </c>
      <c r="J584">
        <v>1</v>
      </c>
      <c r="K584">
        <f>Source!AC1351</f>
        <v>29.48</v>
      </c>
      <c r="M584">
        <f>ROUND(K584*I584, 2)</f>
        <v>412.72</v>
      </c>
      <c r="N584">
        <f>Source!AC1351*IF(Source!BC1351&lt;&gt; 0, Source!BC1351, 1)</f>
        <v>255.00200000000001</v>
      </c>
      <c r="O584">
        <f>ROUND(N584*I584, 2)</f>
        <v>3570.03</v>
      </c>
      <c r="P584">
        <f>Source!AE1351</f>
        <v>0</v>
      </c>
      <c r="R584">
        <f>ROUND(P584*I584, 2)</f>
        <v>0</v>
      </c>
      <c r="S584">
        <f>Source!AE1351*IF(Source!BS1351&lt;&gt; 0, Source!BS1351, 1)</f>
        <v>0</v>
      </c>
      <c r="T584">
        <f>ROUND(S584*I584, 2)</f>
        <v>0</v>
      </c>
      <c r="U584">
        <v>3</v>
      </c>
      <c r="Y584">
        <f>Source!GF1351</f>
        <v>-1221607113</v>
      </c>
      <c r="Z584">
        <v>1289258735</v>
      </c>
      <c r="AA584">
        <v>184150818</v>
      </c>
    </row>
    <row r="585" spans="1:27" x14ac:dyDescent="0.2">
      <c r="A585">
        <f>Source!A1353</f>
        <v>18</v>
      </c>
      <c r="B585">
        <v>1353</v>
      </c>
      <c r="C585">
        <v>3</v>
      </c>
      <c r="D585">
        <f>Source!BI1353</f>
        <v>1</v>
      </c>
      <c r="E585">
        <f>Source!FS1353</f>
        <v>0</v>
      </c>
      <c r="F585" t="str">
        <f>Source!F1353</f>
        <v>Цена поставщика</v>
      </c>
      <c r="G585" t="str">
        <f>Source!G1353</f>
        <v>Таблички с шрифтом Брайля</v>
      </c>
      <c r="H585" t="str">
        <f>Source!H1353</f>
        <v>шт.</v>
      </c>
      <c r="I585">
        <f>Source!I1353</f>
        <v>3</v>
      </c>
      <c r="J585">
        <v>1</v>
      </c>
      <c r="K585">
        <f>Source!AC1353</f>
        <v>48.15</v>
      </c>
      <c r="M585">
        <f>ROUND(K585*I585, 2)</f>
        <v>144.44999999999999</v>
      </c>
      <c r="N585">
        <f>Source!AC1353*IF(Source!BC1353&lt;&gt; 0, Source!BC1353, 1)</f>
        <v>416.4975</v>
      </c>
      <c r="O585">
        <f>ROUND(N585*I585, 2)</f>
        <v>1249.49</v>
      </c>
      <c r="P585">
        <f>Source!AE1353</f>
        <v>0</v>
      </c>
      <c r="R585">
        <f>ROUND(P585*I585, 2)</f>
        <v>0</v>
      </c>
      <c r="S585">
        <f>Source!AE1353*IF(Source!BS1353&lt;&gt; 0, Source!BS1353, 1)</f>
        <v>0</v>
      </c>
      <c r="T585">
        <f>ROUND(S585*I585, 2)</f>
        <v>0</v>
      </c>
      <c r="U585">
        <v>3</v>
      </c>
      <c r="Y585">
        <f>Source!GF1353</f>
        <v>672477041</v>
      </c>
      <c r="Z585">
        <v>352264700</v>
      </c>
      <c r="AA585">
        <v>404046764</v>
      </c>
    </row>
    <row r="586" spans="1:27" x14ac:dyDescent="0.2">
      <c r="A586">
        <v>20</v>
      </c>
      <c r="B586">
        <v>1112</v>
      </c>
      <c r="C586">
        <v>3</v>
      </c>
      <c r="D586">
        <v>0</v>
      </c>
      <c r="E586">
        <f>SmtRes!AV1112</f>
        <v>0</v>
      </c>
      <c r="F586" t="str">
        <f>SmtRes!I1112</f>
        <v>9999990006</v>
      </c>
      <c r="G586" t="str">
        <f>SmtRes!K1112</f>
        <v>Стоимость прочих материалов (ЭСН)</v>
      </c>
      <c r="H586" t="str">
        <f>SmtRes!O1112</f>
        <v>руб.</v>
      </c>
      <c r="I586">
        <f>SmtRes!Y1112*Source!I1355</f>
        <v>2.8000000000000003</v>
      </c>
      <c r="J586">
        <f>SmtRes!AO1112</f>
        <v>1</v>
      </c>
      <c r="K586">
        <f>SmtRes!AE1112</f>
        <v>1</v>
      </c>
      <c r="L586">
        <f>SmtRes!DB1112</f>
        <v>0.28000000000000003</v>
      </c>
      <c r="M586">
        <f>ROUND(ROUND(L586*Source!I1355, 6)*1, 2)</f>
        <v>2.8</v>
      </c>
      <c r="N586">
        <f>SmtRes!AA1112</f>
        <v>8.65</v>
      </c>
      <c r="O586">
        <f>ROUND(ROUND(L586*Source!I1355, 6)*SmtRes!DA1112, 2)</f>
        <v>24.22</v>
      </c>
      <c r="P586">
        <f>SmtRes!AG1112</f>
        <v>0</v>
      </c>
      <c r="Q586">
        <f>SmtRes!DC1112</f>
        <v>0</v>
      </c>
      <c r="R586">
        <f>ROUND(ROUND(Q586*Source!I1355, 6)*1, 2)</f>
        <v>0</v>
      </c>
      <c r="S586">
        <f>SmtRes!AC1112</f>
        <v>0</v>
      </c>
      <c r="T586">
        <f>ROUND(ROUND(Q586*Source!I1355, 6)*SmtRes!AK1112, 2)</f>
        <v>0</v>
      </c>
      <c r="U586">
        <v>3</v>
      </c>
      <c r="Y586">
        <f>SmtRes!X1112</f>
        <v>-94250534</v>
      </c>
      <c r="Z586">
        <v>-1771809642</v>
      </c>
      <c r="AA586">
        <v>19367311</v>
      </c>
    </row>
    <row r="587" spans="1:27" x14ac:dyDescent="0.2">
      <c r="A587">
        <v>20</v>
      </c>
      <c r="B587">
        <v>1111</v>
      </c>
      <c r="C587">
        <v>1</v>
      </c>
      <c r="D587">
        <v>0</v>
      </c>
      <c r="E587">
        <f>SmtRes!AV1111</f>
        <v>1</v>
      </c>
      <c r="F587" t="str">
        <f>SmtRes!I1111</f>
        <v>9999990008</v>
      </c>
      <c r="G587" t="str">
        <f>SmtRes!K1111</f>
        <v>Трудозатраты рабочих</v>
      </c>
      <c r="H587" t="str">
        <f>SmtRes!O1111</f>
        <v>чел.-ч.</v>
      </c>
      <c r="I587">
        <f>SmtRes!Y1111*Source!I1355</f>
        <v>3.22</v>
      </c>
      <c r="J587">
        <f>SmtRes!AO1111</f>
        <v>1</v>
      </c>
      <c r="K587">
        <f>SmtRes!AH1111</f>
        <v>0</v>
      </c>
      <c r="L587">
        <f>SmtRes!DB1111</f>
        <v>0</v>
      </c>
      <c r="M587">
        <f>ROUND(ROUND(L587*Source!I1355, 6)*1, 2)</f>
        <v>0</v>
      </c>
      <c r="N587">
        <f>SmtRes!AD1111</f>
        <v>0</v>
      </c>
      <c r="O587">
        <f>ROUND(ROUND(L587*Source!I1355, 6)*SmtRes!DA1111, 2)</f>
        <v>0</v>
      </c>
      <c r="P587">
        <f>SmtRes!AG1111</f>
        <v>0</v>
      </c>
      <c r="Q587">
        <f>SmtRes!DC1111</f>
        <v>0</v>
      </c>
      <c r="R587">
        <f>ROUND(ROUND(Q587*Source!I1355, 6)*1, 2)</f>
        <v>0</v>
      </c>
      <c r="S587">
        <f>SmtRes!AC1111</f>
        <v>0</v>
      </c>
      <c r="T587">
        <f>ROUND(ROUND(Q587*Source!I1355, 6)*SmtRes!AK1111, 2)</f>
        <v>0</v>
      </c>
      <c r="U587">
        <v>1</v>
      </c>
      <c r="Y587">
        <f>SmtRes!X1111</f>
        <v>476480486</v>
      </c>
      <c r="Z587">
        <v>1499241640</v>
      </c>
      <c r="AA587">
        <v>1499241640</v>
      </c>
    </row>
    <row r="588" spans="1:27" x14ac:dyDescent="0.2">
      <c r="A588">
        <f>Source!A1387</f>
        <v>4</v>
      </c>
      <c r="B588">
        <v>1387</v>
      </c>
      <c r="G588" t="str">
        <f>Source!G1387</f>
        <v>Оборудование</v>
      </c>
    </row>
    <row r="589" spans="1:27" x14ac:dyDescent="0.2">
      <c r="A589">
        <f>Source!A1394</f>
        <v>17</v>
      </c>
      <c r="B589">
        <v>1394</v>
      </c>
      <c r="C589">
        <v>5</v>
      </c>
      <c r="D589">
        <f>Source!BI1394</f>
        <v>3</v>
      </c>
      <c r="E589">
        <f>Source!FS1394</f>
        <v>0</v>
      </c>
      <c r="F589" t="str">
        <f>Source!F1394</f>
        <v>13.3-11-67</v>
      </c>
      <c r="G589" t="str">
        <f>Source!G1394</f>
        <v>Крючок для подвески костылей, размеры 120х32 мм. Материал сталь нержавеющая с полировкой, крепление стена одна точка, в комплекте: прокладки-амортизаторы резиновые, крепежные элементы</v>
      </c>
      <c r="H589" t="str">
        <f>Source!H1394</f>
        <v>КОМПЛЕКТ</v>
      </c>
      <c r="I589">
        <f>Source!I1394</f>
        <v>1</v>
      </c>
      <c r="J589">
        <v>1</v>
      </c>
      <c r="K589">
        <f>Source!AC1394</f>
        <v>573.29999999999995</v>
      </c>
      <c r="M589">
        <f t="shared" ref="M589:M595" si="20">ROUND(K589*I589, 2)</f>
        <v>573.29999999999995</v>
      </c>
      <c r="N589">
        <f>Source!AC1394*IF(Source!BC1394&lt;&gt; 0, Source!BC1394, 1)</f>
        <v>1926.2879999999998</v>
      </c>
      <c r="O589">
        <f t="shared" ref="O589:O595" si="21">ROUND(N589*I589, 2)</f>
        <v>1926.29</v>
      </c>
      <c r="P589">
        <f>Source!AE1394</f>
        <v>0</v>
      </c>
      <c r="R589">
        <f t="shared" ref="R589:R595" si="22">ROUND(P589*I589, 2)</f>
        <v>0</v>
      </c>
      <c r="S589">
        <f>Source!AE1394*IF(Source!BS1394&lt;&gt; 0, Source!BS1394, 1)</f>
        <v>0</v>
      </c>
      <c r="T589">
        <f t="shared" ref="T589:T595" si="23">ROUND(S589*I589, 2)</f>
        <v>0</v>
      </c>
      <c r="U589">
        <v>3</v>
      </c>
      <c r="Y589">
        <f>Source!GF1394</f>
        <v>970619288</v>
      </c>
      <c r="Z589">
        <v>269654317</v>
      </c>
      <c r="AA589">
        <v>-1180756007</v>
      </c>
    </row>
    <row r="590" spans="1:27" x14ac:dyDescent="0.2">
      <c r="A590">
        <f>Source!A1406</f>
        <v>17</v>
      </c>
      <c r="B590">
        <v>1406</v>
      </c>
      <c r="C590">
        <v>5</v>
      </c>
      <c r="D590">
        <f>Source!BI1406</f>
        <v>3</v>
      </c>
      <c r="E590">
        <f>Source!FS1406</f>
        <v>0</v>
      </c>
      <c r="F590" t="str">
        <f>Source!F1406</f>
        <v>Цена поставщика</v>
      </c>
      <c r="G590" t="str">
        <f>Source!G1406</f>
        <v>Вертикальный подъемник ПТУ – 001Б</v>
      </c>
      <c r="H590" t="str">
        <f>Source!H1406</f>
        <v>шт.</v>
      </c>
      <c r="I590">
        <f>Source!I1406</f>
        <v>1</v>
      </c>
      <c r="J590">
        <v>1</v>
      </c>
      <c r="K590">
        <f>Source!AC1406</f>
        <v>18058.89</v>
      </c>
      <c r="M590">
        <f t="shared" si="20"/>
        <v>18058.89</v>
      </c>
      <c r="N590">
        <f>Source!AC1406*IF(Source!BC1406&lt;&gt; 0, Source!BC1406, 1)</f>
        <v>115576.89600000001</v>
      </c>
      <c r="O590">
        <f t="shared" si="21"/>
        <v>115576.9</v>
      </c>
      <c r="P590">
        <f>Source!AE1406</f>
        <v>0</v>
      </c>
      <c r="R590">
        <f t="shared" si="22"/>
        <v>0</v>
      </c>
      <c r="S590">
        <f>Source!AE1406*IF(Source!BS1406&lt;&gt; 0, Source!BS1406, 1)</f>
        <v>0</v>
      </c>
      <c r="T590">
        <f t="shared" si="23"/>
        <v>0</v>
      </c>
      <c r="U590">
        <v>3</v>
      </c>
      <c r="Y590">
        <f>Source!GF1406</f>
        <v>-1949465799</v>
      </c>
      <c r="Z590">
        <v>1107300298</v>
      </c>
      <c r="AA590">
        <v>-1062124097</v>
      </c>
    </row>
    <row r="591" spans="1:27" x14ac:dyDescent="0.2">
      <c r="A591">
        <f>Source!A1408</f>
        <v>17</v>
      </c>
      <c r="B591">
        <v>1408</v>
      </c>
      <c r="C591">
        <v>3</v>
      </c>
      <c r="D591">
        <f>Source!BI1408</f>
        <v>1</v>
      </c>
      <c r="E591">
        <f>Source!FS1408</f>
        <v>0</v>
      </c>
      <c r="F591" t="str">
        <f>Source!F1408</f>
        <v>Цена поставщика</v>
      </c>
      <c r="G591" t="str">
        <f>Source!G1408</f>
        <v>Штанга с навесными рукоятками</v>
      </c>
      <c r="H591" t="str">
        <f>Source!H1408</f>
        <v>шт.</v>
      </c>
      <c r="I591">
        <f>Source!I1408</f>
        <v>4</v>
      </c>
      <c r="J591">
        <v>1</v>
      </c>
      <c r="K591">
        <f>Source!AC1408</f>
        <v>1955.49</v>
      </c>
      <c r="M591">
        <f t="shared" si="20"/>
        <v>7821.96</v>
      </c>
      <c r="N591">
        <f>Source!AC1408*IF(Source!BC1408&lt;&gt; 0, Source!BC1408, 1)</f>
        <v>16914.988499999999</v>
      </c>
      <c r="O591">
        <f t="shared" si="21"/>
        <v>67659.95</v>
      </c>
      <c r="P591">
        <f>Source!AE1408</f>
        <v>0</v>
      </c>
      <c r="R591">
        <f t="shared" si="22"/>
        <v>0</v>
      </c>
      <c r="S591">
        <f>Source!AE1408*IF(Source!BS1408&lt;&gt; 0, Source!BS1408, 1)</f>
        <v>0</v>
      </c>
      <c r="T591">
        <f t="shared" si="23"/>
        <v>0</v>
      </c>
      <c r="U591">
        <v>3</v>
      </c>
      <c r="Y591">
        <f>Source!GF1408</f>
        <v>-2014318175</v>
      </c>
      <c r="Z591">
        <v>-1633847175</v>
      </c>
      <c r="AA591">
        <v>1696725148</v>
      </c>
    </row>
    <row r="592" spans="1:27" x14ac:dyDescent="0.2">
      <c r="A592">
        <f>Source!A1410</f>
        <v>17</v>
      </c>
      <c r="B592">
        <v>1410</v>
      </c>
      <c r="C592">
        <v>3</v>
      </c>
      <c r="D592">
        <f>Source!BI1410</f>
        <v>1</v>
      </c>
      <c r="E592">
        <f>Source!FS1410</f>
        <v>0</v>
      </c>
      <c r="F592" t="str">
        <f>Source!F1410</f>
        <v>Цена поставщика</v>
      </c>
      <c r="G592" t="str">
        <f>Source!G1410</f>
        <v>Поручень откидной</v>
      </c>
      <c r="H592" t="str">
        <f>Source!H1410</f>
        <v>шт.</v>
      </c>
      <c r="I592">
        <f>Source!I1410</f>
        <v>2</v>
      </c>
      <c r="J592">
        <v>1</v>
      </c>
      <c r="K592">
        <f>Source!AC1410</f>
        <v>1213.3900000000001</v>
      </c>
      <c r="M592">
        <f t="shared" si="20"/>
        <v>2426.7800000000002</v>
      </c>
      <c r="N592">
        <f>Source!AC1410*IF(Source!BC1410&lt;&gt; 0, Source!BC1410, 1)</f>
        <v>10495.8235</v>
      </c>
      <c r="O592">
        <f t="shared" si="21"/>
        <v>20991.65</v>
      </c>
      <c r="P592">
        <f>Source!AE1410</f>
        <v>0</v>
      </c>
      <c r="R592">
        <f t="shared" si="22"/>
        <v>0</v>
      </c>
      <c r="S592">
        <f>Source!AE1410*IF(Source!BS1410&lt;&gt; 0, Source!BS1410, 1)</f>
        <v>0</v>
      </c>
      <c r="T592">
        <f t="shared" si="23"/>
        <v>0</v>
      </c>
      <c r="U592">
        <v>3</v>
      </c>
      <c r="Y592">
        <f>Source!GF1410</f>
        <v>1182484338</v>
      </c>
      <c r="Z592">
        <v>-1911789452</v>
      </c>
      <c r="AA592">
        <v>833579440</v>
      </c>
    </row>
    <row r="593" spans="1:27" x14ac:dyDescent="0.2">
      <c r="A593">
        <f>Source!A1412</f>
        <v>17</v>
      </c>
      <c r="B593">
        <v>1412</v>
      </c>
      <c r="C593">
        <v>3</v>
      </c>
      <c r="D593">
        <f>Source!BI1412</f>
        <v>1</v>
      </c>
      <c r="E593">
        <f>Source!FS1412</f>
        <v>0</v>
      </c>
      <c r="F593" t="str">
        <f>Source!F1412</f>
        <v>Цена поставщика</v>
      </c>
      <c r="G593" t="str">
        <f>Source!G1412</f>
        <v>Поручень опорный настенный прямой</v>
      </c>
      <c r="H593" t="str">
        <f>Source!H1412</f>
        <v>шт.</v>
      </c>
      <c r="I593">
        <f>Source!I1412</f>
        <v>1</v>
      </c>
      <c r="J593">
        <v>1</v>
      </c>
      <c r="K593">
        <f>Source!AC1412</f>
        <v>354.94</v>
      </c>
      <c r="M593">
        <f t="shared" si="20"/>
        <v>354.94</v>
      </c>
      <c r="N593">
        <f>Source!AC1412*IF(Source!BC1412&lt;&gt; 0, Source!BC1412, 1)</f>
        <v>3070.2310000000002</v>
      </c>
      <c r="O593">
        <f t="shared" si="21"/>
        <v>3070.23</v>
      </c>
      <c r="P593">
        <f>Source!AE1412</f>
        <v>0</v>
      </c>
      <c r="R593">
        <f t="shared" si="22"/>
        <v>0</v>
      </c>
      <c r="S593">
        <f>Source!AE1412*IF(Source!BS1412&lt;&gt; 0, Source!BS1412, 1)</f>
        <v>0</v>
      </c>
      <c r="T593">
        <f t="shared" si="23"/>
        <v>0</v>
      </c>
      <c r="U593">
        <v>3</v>
      </c>
      <c r="Y593">
        <f>Source!GF1412</f>
        <v>-901027117</v>
      </c>
      <c r="Z593">
        <v>164103526</v>
      </c>
      <c r="AA593">
        <v>-1252541946</v>
      </c>
    </row>
    <row r="594" spans="1:27" x14ac:dyDescent="0.2">
      <c r="A594">
        <f>Source!A1414</f>
        <v>17</v>
      </c>
      <c r="B594">
        <v>1414</v>
      </c>
      <c r="C594">
        <v>3</v>
      </c>
      <c r="D594">
        <f>Source!BI1414</f>
        <v>1</v>
      </c>
      <c r="E594">
        <f>Source!FS1414</f>
        <v>0</v>
      </c>
      <c r="F594" t="str">
        <f>Source!F1414</f>
        <v>Цена поставщика</v>
      </c>
      <c r="G594" t="str">
        <f>Source!G1414</f>
        <v>Поручень реабилитационный настенный, размеры 1500х90 мм, в комплекте с креплением</v>
      </c>
      <c r="H594" t="str">
        <f>Source!H1414</f>
        <v>шт.</v>
      </c>
      <c r="I594">
        <f>Source!I1414</f>
        <v>1</v>
      </c>
      <c r="J594">
        <v>1</v>
      </c>
      <c r="K594">
        <f>Source!AC1414</f>
        <v>601.39</v>
      </c>
      <c r="M594">
        <f t="shared" si="20"/>
        <v>601.39</v>
      </c>
      <c r="N594">
        <f>Source!AC1414*IF(Source!BC1414&lt;&gt; 0, Source!BC1414, 1)</f>
        <v>5202.0235000000002</v>
      </c>
      <c r="O594">
        <f t="shared" si="21"/>
        <v>5202.0200000000004</v>
      </c>
      <c r="P594">
        <f>Source!AE1414</f>
        <v>0</v>
      </c>
      <c r="R594">
        <f t="shared" si="22"/>
        <v>0</v>
      </c>
      <c r="S594">
        <f>Source!AE1414*IF(Source!BS1414&lt;&gt; 0, Source!BS1414, 1)</f>
        <v>0</v>
      </c>
      <c r="T594">
        <f t="shared" si="23"/>
        <v>0</v>
      </c>
      <c r="U594">
        <v>3</v>
      </c>
      <c r="Y594">
        <f>Source!GF1414</f>
        <v>1655977302</v>
      </c>
      <c r="Z594">
        <v>-37647444</v>
      </c>
      <c r="AA594">
        <v>-440712546</v>
      </c>
    </row>
    <row r="595" spans="1:27" x14ac:dyDescent="0.2">
      <c r="A595">
        <f>Source!A1416</f>
        <v>17</v>
      </c>
      <c r="B595">
        <v>1416</v>
      </c>
      <c r="C595">
        <v>3</v>
      </c>
      <c r="D595">
        <f>Source!BI1416</f>
        <v>1</v>
      </c>
      <c r="E595">
        <f>Source!FS1416</f>
        <v>0</v>
      </c>
      <c r="F595" t="str">
        <f>Source!F1416</f>
        <v>Цена поставщика</v>
      </c>
      <c r="G595" t="str">
        <f>Source!G1416</f>
        <v>Поручень для раковины для инвалидов</v>
      </c>
      <c r="H595" t="str">
        <f>Source!H1416</f>
        <v>шт.</v>
      </c>
      <c r="I595">
        <f>Source!I1416</f>
        <v>1</v>
      </c>
      <c r="J595">
        <v>1</v>
      </c>
      <c r="K595">
        <f>Source!AC1416</f>
        <v>853.93</v>
      </c>
      <c r="M595">
        <f t="shared" si="20"/>
        <v>853.93</v>
      </c>
      <c r="N595">
        <f>Source!AC1416*IF(Source!BC1416&lt;&gt; 0, Source!BC1416, 1)</f>
        <v>7386.4944999999998</v>
      </c>
      <c r="O595">
        <f t="shared" si="21"/>
        <v>7386.49</v>
      </c>
      <c r="P595">
        <f>Source!AE1416</f>
        <v>0</v>
      </c>
      <c r="R595">
        <f t="shared" si="22"/>
        <v>0</v>
      </c>
      <c r="S595">
        <f>Source!AE1416*IF(Source!BS1416&lt;&gt; 0, Source!BS1416, 1)</f>
        <v>0</v>
      </c>
      <c r="T595">
        <f t="shared" si="23"/>
        <v>0</v>
      </c>
      <c r="U595">
        <v>3</v>
      </c>
      <c r="Y595">
        <f>Source!GF1416</f>
        <v>1329924251</v>
      </c>
      <c r="Z595">
        <v>-20839342</v>
      </c>
      <c r="AA595">
        <v>-887668869</v>
      </c>
    </row>
    <row r="596" spans="1:27" x14ac:dyDescent="0.2">
      <c r="A596">
        <f>Source!A1478</f>
        <v>3</v>
      </c>
      <c r="B596">
        <v>1478</v>
      </c>
      <c r="G596" t="str">
        <f>Source!G1478</f>
        <v>Возврат материалов</v>
      </c>
    </row>
    <row r="597" spans="1:27" x14ac:dyDescent="0.2">
      <c r="A597">
        <v>999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Q554"/>
  <sheetViews>
    <sheetView workbookViewId="0"/>
  </sheetViews>
  <sheetFormatPr defaultRowHeight="12.75" x14ac:dyDescent="0.2"/>
  <cols>
    <col min="1" max="1" width="18.7109375" customWidth="1"/>
    <col min="2" max="2" width="40.7109375" customWidth="1"/>
    <col min="3" max="6" width="12.7109375" customWidth="1"/>
    <col min="15" max="18" width="0" hidden="1" customWidth="1"/>
  </cols>
  <sheetData>
    <row r="2" spans="1:17" ht="16.5" x14ac:dyDescent="0.2">
      <c r="A2" s="136" t="s">
        <v>1792</v>
      </c>
      <c r="B2" s="137"/>
      <c r="C2" s="137"/>
      <c r="D2" s="137"/>
      <c r="E2" s="137"/>
      <c r="F2" s="137"/>
    </row>
    <row r="3" spans="1:17" ht="16.5" x14ac:dyDescent="0.2">
      <c r="A3" s="136" t="str">
        <f>CONCATENATE("Объект: ",IF(Source!G1515&lt;&gt;"Новый объект", Source!G1515, ""))</f>
        <v>Объект: Ерамешанцева_(Копия)</v>
      </c>
      <c r="B3" s="137"/>
      <c r="C3" s="137"/>
      <c r="D3" s="137"/>
      <c r="E3" s="137"/>
      <c r="F3" s="137"/>
    </row>
    <row r="4" spans="1:17" x14ac:dyDescent="0.2">
      <c r="A4" s="123" t="s">
        <v>1793</v>
      </c>
      <c r="B4" s="123" t="s">
        <v>1794</v>
      </c>
      <c r="C4" s="123" t="s">
        <v>1722</v>
      </c>
      <c r="D4" s="123" t="s">
        <v>1795</v>
      </c>
      <c r="E4" s="141" t="s">
        <v>1796</v>
      </c>
      <c r="F4" s="142"/>
    </row>
    <row r="5" spans="1:17" x14ac:dyDescent="0.2">
      <c r="A5" s="140"/>
      <c r="B5" s="140"/>
      <c r="C5" s="140"/>
      <c r="D5" s="140"/>
      <c r="E5" s="143"/>
      <c r="F5" s="144"/>
    </row>
    <row r="6" spans="1:17" ht="14.25" x14ac:dyDescent="0.2">
      <c r="A6" s="124"/>
      <c r="B6" s="124"/>
      <c r="C6" s="124"/>
      <c r="D6" s="124"/>
      <c r="E6" s="24" t="s">
        <v>1797</v>
      </c>
      <c r="F6" s="24" t="s">
        <v>1798</v>
      </c>
    </row>
    <row r="7" spans="1:17" ht="14.25" x14ac:dyDescent="0.2">
      <c r="A7" s="24">
        <v>1</v>
      </c>
      <c r="B7" s="24">
        <v>2</v>
      </c>
      <c r="C7" s="24">
        <v>3</v>
      </c>
      <c r="D7" s="24">
        <v>4</v>
      </c>
      <c r="E7" s="24">
        <v>5</v>
      </c>
      <c r="F7" s="24">
        <v>6</v>
      </c>
    </row>
    <row r="8" spans="1:17" ht="16.5" x14ac:dyDescent="0.2">
      <c r="A8" s="136" t="str">
        <f>CONCATENATE("Локальная смета: ",IF(Source!G22&lt;&gt;"Новая локальная смета", Source!G22, ""))</f>
        <v>Локальная смета: ПЗУ</v>
      </c>
      <c r="B8" s="137"/>
      <c r="C8" s="137"/>
      <c r="D8" s="137"/>
      <c r="E8" s="137"/>
      <c r="F8" s="137"/>
    </row>
    <row r="9" spans="1:17" ht="16.5" x14ac:dyDescent="0.2">
      <c r="A9" s="136" t="str">
        <f>CONCATENATE("Раздел: ",IF(Source!G26&lt;&gt;"Новый раздел", Source!G26, ""))</f>
        <v>Раздел: Демонтажные работы</v>
      </c>
      <c r="B9" s="137"/>
      <c r="C9" s="137"/>
      <c r="D9" s="137"/>
      <c r="E9" s="137"/>
      <c r="F9" s="137"/>
    </row>
    <row r="10" spans="1:17" ht="14.25" x14ac:dyDescent="0.2">
      <c r="A10" s="138" t="s">
        <v>1799</v>
      </c>
      <c r="B10" s="139"/>
      <c r="C10" s="139"/>
      <c r="D10" s="139"/>
      <c r="E10" s="139"/>
      <c r="F10" s="139"/>
    </row>
    <row r="11" spans="1:17" ht="14.25" x14ac:dyDescent="0.2">
      <c r="A11" s="96" t="s">
        <v>1096</v>
      </c>
      <c r="B11" s="55" t="s">
        <v>1097</v>
      </c>
      <c r="C11" s="55" t="s">
        <v>1098</v>
      </c>
      <c r="D11" s="56">
        <f>ROUND(SUMIF(RV_DATA!AA8:'RV_DATA'!AA8, 1499241640, RV_DATA!I8:'RV_DATA'!I8), 6)</f>
        <v>5.0102000000000002</v>
      </c>
      <c r="E11" s="84">
        <f>ROUND(RV_DATA!N8, 6)</f>
        <v>0</v>
      </c>
      <c r="F11" s="84">
        <f>ROUND(SUMIF(RV_DATA!AA8:'RV_DATA'!AA8, 1499241640, RV_DATA!O8:'RV_DATA'!O8), 6)</f>
        <v>0</v>
      </c>
      <c r="Q11">
        <v>1</v>
      </c>
    </row>
    <row r="12" spans="1:17" ht="15" x14ac:dyDescent="0.25">
      <c r="A12" s="131" t="s">
        <v>1800</v>
      </c>
      <c r="B12" s="131"/>
      <c r="C12" s="131"/>
      <c r="D12" s="131"/>
      <c r="E12" s="132">
        <f>SUMIF(Q11:Q11, 1, F11:F11)</f>
        <v>0</v>
      </c>
      <c r="F12" s="131"/>
    </row>
    <row r="13" spans="1:17" ht="16.5" x14ac:dyDescent="0.2">
      <c r="A13" s="136" t="str">
        <f>CONCATENATE("Раздел: ",IF(Source!G63&lt;&gt;"Новый раздел", Source!G63, ""))</f>
        <v>Раздел: Монтажные работы</v>
      </c>
      <c r="B13" s="137"/>
      <c r="C13" s="137"/>
      <c r="D13" s="137"/>
      <c r="E13" s="137"/>
      <c r="F13" s="137"/>
    </row>
    <row r="14" spans="1:17" ht="14.25" x14ac:dyDescent="0.2">
      <c r="A14" s="138" t="s">
        <v>1799</v>
      </c>
      <c r="B14" s="139"/>
      <c r="C14" s="139"/>
      <c r="D14" s="139"/>
      <c r="E14" s="139"/>
      <c r="F14" s="139"/>
    </row>
    <row r="15" spans="1:17" ht="14.25" x14ac:dyDescent="0.2">
      <c r="A15" s="96" t="s">
        <v>1096</v>
      </c>
      <c r="B15" s="55" t="s">
        <v>1097</v>
      </c>
      <c r="C15" s="55" t="s">
        <v>1098</v>
      </c>
      <c r="D15" s="56">
        <f>ROUND(SUMIF(RV_DATA!AA10:'RV_DATA'!AA38, 1499241640, RV_DATA!I10:'RV_DATA'!I38), 6)</f>
        <v>14.600353999999999</v>
      </c>
      <c r="E15" s="84">
        <f>ROUND(RV_DATA!N16, 6)</f>
        <v>0</v>
      </c>
      <c r="F15" s="84">
        <f>ROUND(SUMIF(RV_DATA!AA10:'RV_DATA'!AA38, 1499241640, RV_DATA!O10:'RV_DATA'!O38), 6)</f>
        <v>0</v>
      </c>
      <c r="Q15">
        <v>1</v>
      </c>
    </row>
    <row r="16" spans="1:17" ht="15" x14ac:dyDescent="0.25">
      <c r="A16" s="131" t="s">
        <v>1800</v>
      </c>
      <c r="B16" s="131"/>
      <c r="C16" s="131"/>
      <c r="D16" s="131"/>
      <c r="E16" s="132">
        <f>SUMIF(Q15:Q15, 1, F15:F15)</f>
        <v>0</v>
      </c>
      <c r="F16" s="131"/>
    </row>
    <row r="17" spans="1:17" ht="14.25" x14ac:dyDescent="0.2">
      <c r="A17" s="138" t="s">
        <v>1801</v>
      </c>
      <c r="B17" s="139"/>
      <c r="C17" s="139"/>
      <c r="D17" s="139"/>
      <c r="E17" s="139"/>
      <c r="F17" s="139"/>
    </row>
    <row r="18" spans="1:17" ht="28.5" x14ac:dyDescent="0.2">
      <c r="A18" s="96" t="s">
        <v>1115</v>
      </c>
      <c r="B18" s="55" t="s">
        <v>1117</v>
      </c>
      <c r="C18" s="55" t="s">
        <v>1102</v>
      </c>
      <c r="D18" s="56">
        <f>ROUND(SUMIF(RV_DATA!AA10:'RV_DATA'!AA38, -877601771, RV_DATA!I10:'RV_DATA'!I38), 6)</f>
        <v>5.8162999999999999E-2</v>
      </c>
      <c r="E18" s="84">
        <f>ROUND(RV_DATA!N24, 6)</f>
        <v>1857.12</v>
      </c>
      <c r="F18" s="84">
        <f>ROUND(SUMIF(RV_DATA!AA10:'RV_DATA'!AA38, -877601771, RV_DATA!O10:'RV_DATA'!O38), 6)</f>
        <v>103.17</v>
      </c>
      <c r="Q18">
        <v>2</v>
      </c>
    </row>
    <row r="19" spans="1:17" ht="28.5" x14ac:dyDescent="0.2">
      <c r="A19" s="96" t="s">
        <v>1099</v>
      </c>
      <c r="B19" s="55" t="s">
        <v>1101</v>
      </c>
      <c r="C19" s="55" t="s">
        <v>1102</v>
      </c>
      <c r="D19" s="56">
        <f>ROUND(SUMIF(RV_DATA!AA10:'RV_DATA'!AA38, -937377343, RV_DATA!I10:'RV_DATA'!I38), 6)</f>
        <v>5.4780000000000002E-2</v>
      </c>
      <c r="E19" s="84">
        <f>ROUND(RV_DATA!N15, 6)</f>
        <v>1335.21</v>
      </c>
      <c r="F19" s="84">
        <f>ROUND(SUMIF(RV_DATA!AA10:'RV_DATA'!AA38, -937377343, RV_DATA!O10:'RV_DATA'!O38), 6)</f>
        <v>69.86</v>
      </c>
      <c r="Q19">
        <v>2</v>
      </c>
    </row>
    <row r="20" spans="1:17" ht="28.5" x14ac:dyDescent="0.2">
      <c r="A20" s="96" t="s">
        <v>1127</v>
      </c>
      <c r="B20" s="55" t="s">
        <v>1129</v>
      </c>
      <c r="C20" s="55" t="s">
        <v>1102</v>
      </c>
      <c r="D20" s="56">
        <f>ROUND(SUMIF(RV_DATA!AA10:'RV_DATA'!AA38, 2105875465, RV_DATA!I10:'RV_DATA'!I38), 6)</f>
        <v>7.8537999999999997E-2</v>
      </c>
      <c r="E20" s="84">
        <f>ROUND(RV_DATA!N36, 6)</f>
        <v>2059.0100000000002</v>
      </c>
      <c r="F20" s="84">
        <f>ROUND(SUMIF(RV_DATA!AA10:'RV_DATA'!AA38, 2105875465, RV_DATA!O10:'RV_DATA'!O38), 6)</f>
        <v>154.44999999999999</v>
      </c>
      <c r="Q20">
        <v>2</v>
      </c>
    </row>
    <row r="21" spans="1:17" ht="28.5" x14ac:dyDescent="0.2">
      <c r="A21" s="96" t="s">
        <v>1103</v>
      </c>
      <c r="B21" s="55" t="s">
        <v>1105</v>
      </c>
      <c r="C21" s="55" t="s">
        <v>1102</v>
      </c>
      <c r="D21" s="56">
        <f>ROUND(SUMIF(RV_DATA!AA10:'RV_DATA'!AA38, -1966971311, RV_DATA!I10:'RV_DATA'!I38), 6)</f>
        <v>5.4780000000000002E-2</v>
      </c>
      <c r="E21" s="84">
        <f>ROUND(RV_DATA!N14, 6)</f>
        <v>65.930000000000007</v>
      </c>
      <c r="F21" s="84">
        <f>ROUND(SUMIF(RV_DATA!AA10:'RV_DATA'!AA38, -1966971311, RV_DATA!O10:'RV_DATA'!O38), 6)</f>
        <v>3.45</v>
      </c>
      <c r="Q21">
        <v>2</v>
      </c>
    </row>
    <row r="22" spans="1:17" ht="28.5" x14ac:dyDescent="0.2">
      <c r="A22" s="96" t="s">
        <v>1106</v>
      </c>
      <c r="B22" s="55" t="s">
        <v>1108</v>
      </c>
      <c r="C22" s="55" t="s">
        <v>1102</v>
      </c>
      <c r="D22" s="56">
        <f>ROUND(SUMIF(RV_DATA!AA10:'RV_DATA'!AA38, 1582930142, RV_DATA!I10:'RV_DATA'!I38), 6)</f>
        <v>4.3972999999999998E-2</v>
      </c>
      <c r="E22" s="84">
        <f>ROUND(RV_DATA!N13, 6)</f>
        <v>2693.8</v>
      </c>
      <c r="F22" s="84">
        <f>ROUND(SUMIF(RV_DATA!AA10:'RV_DATA'!AA38, 1582930142, RV_DATA!O10:'RV_DATA'!O38), 6)</f>
        <v>113.14</v>
      </c>
      <c r="Q22">
        <v>2</v>
      </c>
    </row>
    <row r="23" spans="1:17" ht="28.5" x14ac:dyDescent="0.2">
      <c r="A23" s="96" t="s">
        <v>1118</v>
      </c>
      <c r="B23" s="55" t="s">
        <v>1120</v>
      </c>
      <c r="C23" s="55" t="s">
        <v>1102</v>
      </c>
      <c r="D23" s="56">
        <f>ROUND(SUMIF(RV_DATA!AA10:'RV_DATA'!AA38, 2121464141, RV_DATA!I10:'RV_DATA'!I38), 6)</f>
        <v>0.177458</v>
      </c>
      <c r="E23" s="84">
        <f>ROUND(RV_DATA!N22, 6)</f>
        <v>1899.99</v>
      </c>
      <c r="F23" s="84">
        <f>ROUND(SUMIF(RV_DATA!AA10:'RV_DATA'!AA38, 2121464141, RV_DATA!O10:'RV_DATA'!O38), 6)</f>
        <v>322.02999999999997</v>
      </c>
      <c r="Q23">
        <v>2</v>
      </c>
    </row>
    <row r="24" spans="1:17" ht="28.5" x14ac:dyDescent="0.2">
      <c r="A24" s="96" t="s">
        <v>1121</v>
      </c>
      <c r="B24" s="55" t="s">
        <v>1123</v>
      </c>
      <c r="C24" s="55" t="s">
        <v>1102</v>
      </c>
      <c r="D24" s="56">
        <f>ROUND(SUMIF(RV_DATA!AA10:'RV_DATA'!AA38, -1025915691, RV_DATA!I10:'RV_DATA'!I38), 6)</f>
        <v>0.36135</v>
      </c>
      <c r="E24" s="84">
        <f>ROUND(RV_DATA!N21, 6)</f>
        <v>2376.3000000000002</v>
      </c>
      <c r="F24" s="84">
        <f>ROUND(SUMIF(RV_DATA!AA10:'RV_DATA'!AA38, -1025915691, RV_DATA!O10:'RV_DATA'!O38), 6)</f>
        <v>820.13</v>
      </c>
      <c r="Q24">
        <v>2</v>
      </c>
    </row>
    <row r="25" spans="1:17" ht="28.5" x14ac:dyDescent="0.2">
      <c r="A25" s="96" t="s">
        <v>1109</v>
      </c>
      <c r="B25" s="55" t="s">
        <v>1111</v>
      </c>
      <c r="C25" s="55" t="s">
        <v>1102</v>
      </c>
      <c r="D25" s="56">
        <f>ROUND(SUMIF(RV_DATA!AA10:'RV_DATA'!AA38, 1772781083, RV_DATA!I10:'RV_DATA'!I38), 6)</f>
        <v>9.5452999999999996E-2</v>
      </c>
      <c r="E25" s="84">
        <f>ROUND(RV_DATA!N12, 6)</f>
        <v>1407.06</v>
      </c>
      <c r="F25" s="84">
        <f>ROUND(SUMIF(RV_DATA!AA10:'RV_DATA'!AA38, 1772781083, RV_DATA!O10:'RV_DATA'!O38), 6)</f>
        <v>128.28</v>
      </c>
      <c r="Q25">
        <v>2</v>
      </c>
    </row>
    <row r="26" spans="1:17" ht="28.5" x14ac:dyDescent="0.2">
      <c r="A26" s="96" t="s">
        <v>1112</v>
      </c>
      <c r="B26" s="55" t="s">
        <v>1114</v>
      </c>
      <c r="C26" s="55" t="s">
        <v>1102</v>
      </c>
      <c r="D26" s="56">
        <f>ROUND(SUMIF(RV_DATA!AA10:'RV_DATA'!AA38, -1385780307, RV_DATA!I10:'RV_DATA'!I38), 6)</f>
        <v>3.0030000000000001E-2</v>
      </c>
      <c r="E26" s="84">
        <f>ROUND(RV_DATA!N11, 6)</f>
        <v>2026.14</v>
      </c>
      <c r="F26" s="84">
        <f>ROUND(SUMIF(RV_DATA!AA10:'RV_DATA'!AA38, -1385780307, RV_DATA!O10:'RV_DATA'!O38), 6)</f>
        <v>58.12</v>
      </c>
      <c r="Q26">
        <v>2</v>
      </c>
    </row>
    <row r="27" spans="1:17" ht="15" x14ac:dyDescent="0.25">
      <c r="A27" s="131" t="s">
        <v>1802</v>
      </c>
      <c r="B27" s="131"/>
      <c r="C27" s="131"/>
      <c r="D27" s="131"/>
      <c r="E27" s="132">
        <f>SUMIF(Q18:Q26, 2, F18:F26)</f>
        <v>1772.6299999999999</v>
      </c>
      <c r="F27" s="131"/>
    </row>
    <row r="28" spans="1:17" ht="14.25" x14ac:dyDescent="0.2">
      <c r="A28" s="138" t="s">
        <v>1803</v>
      </c>
      <c r="B28" s="139"/>
      <c r="C28" s="139"/>
      <c r="D28" s="139"/>
      <c r="E28" s="139"/>
      <c r="F28" s="139"/>
    </row>
    <row r="29" spans="1:17" ht="14.25" x14ac:dyDescent="0.2">
      <c r="A29" s="96" t="s">
        <v>348</v>
      </c>
      <c r="B29" s="55" t="s">
        <v>349</v>
      </c>
      <c r="C29" s="55" t="s">
        <v>94</v>
      </c>
      <c r="D29" s="56">
        <f>ROUND(SUMIF(RV_DATA!AA10:'RV_DATA'!AA38, -1489187206, RV_DATA!I10:'RV_DATA'!I38), 6)</f>
        <v>0.27060000000000001</v>
      </c>
      <c r="E29" s="84">
        <f>ROUND(RV_DATA!N10, 6)</f>
        <v>42.5</v>
      </c>
      <c r="F29" s="84">
        <f>ROUND(SUMIF(RV_DATA!AA10:'RV_DATA'!AA38, -1489187206, RV_DATA!O10:'RV_DATA'!O38), 6)</f>
        <v>11.48</v>
      </c>
      <c r="Q29">
        <v>3</v>
      </c>
    </row>
    <row r="30" spans="1:17" ht="42.75" x14ac:dyDescent="0.2">
      <c r="A30" s="96" t="s">
        <v>101</v>
      </c>
      <c r="B30" s="55" t="s">
        <v>102</v>
      </c>
      <c r="C30" s="55" t="s">
        <v>94</v>
      </c>
      <c r="D30" s="56">
        <f>ROUND(SUMIF(RV_DATA!AA10:'RV_DATA'!AA38, -597181493, RV_DATA!I10:'RV_DATA'!I38), 6)</f>
        <v>2.4948000000000001</v>
      </c>
      <c r="E30" s="84">
        <f>ROUND(RV_DATA!N26, 6)</f>
        <v>3478.4839999999999</v>
      </c>
      <c r="F30" s="84">
        <f>ROUND(SUMIF(RV_DATA!AA10:'RV_DATA'!AA38, -597181493, RV_DATA!O10:'RV_DATA'!O38), 6)</f>
        <v>8678.1200000000008</v>
      </c>
      <c r="Q30">
        <v>3</v>
      </c>
    </row>
    <row r="31" spans="1:17" ht="28.5" x14ac:dyDescent="0.2">
      <c r="A31" s="96" t="s">
        <v>1124</v>
      </c>
      <c r="B31" s="55" t="s">
        <v>1126</v>
      </c>
      <c r="C31" s="55" t="s">
        <v>114</v>
      </c>
      <c r="D31" s="56">
        <f>ROUND(SUMIF(RV_DATA!AA10:'RV_DATA'!AA38, -1320521069, RV_DATA!I10:'RV_DATA'!I38), 6)</f>
        <v>7.92E-3</v>
      </c>
      <c r="E31" s="84">
        <f>ROUND(RV_DATA!N28, 6)</f>
        <v>37258.94</v>
      </c>
      <c r="F31" s="84">
        <f>ROUND(SUMIF(RV_DATA!AA10:'RV_DATA'!AA38, -1320521069, RV_DATA!O10:'RV_DATA'!O38), 6)</f>
        <v>295.10000000000002</v>
      </c>
      <c r="Q31">
        <v>3</v>
      </c>
    </row>
    <row r="32" spans="1:17" ht="28.5" x14ac:dyDescent="0.2">
      <c r="A32" s="96" t="s">
        <v>92</v>
      </c>
      <c r="B32" s="55" t="s">
        <v>93</v>
      </c>
      <c r="C32" s="55" t="s">
        <v>94</v>
      </c>
      <c r="D32" s="56">
        <f>ROUND(SUMIF(RV_DATA!AA10:'RV_DATA'!AA38, -2049674672, RV_DATA!I10:'RV_DATA'!I38), 6)</f>
        <v>2.9039999999999999</v>
      </c>
      <c r="E32" s="84">
        <f>ROUND(RV_DATA!N17, 6)</f>
        <v>722.33119999999997</v>
      </c>
      <c r="F32" s="84">
        <f>ROUND(SUMIF(RV_DATA!AA10:'RV_DATA'!AA38, -2049674672, RV_DATA!O10:'RV_DATA'!O38), 6)</f>
        <v>2097.65</v>
      </c>
      <c r="Q32">
        <v>3</v>
      </c>
    </row>
    <row r="33" spans="1:17" ht="28.5" x14ac:dyDescent="0.2">
      <c r="A33" s="96" t="s">
        <v>92</v>
      </c>
      <c r="B33" s="55" t="s">
        <v>93</v>
      </c>
      <c r="C33" s="55" t="s">
        <v>94</v>
      </c>
      <c r="D33" s="56">
        <f>ROUND(SUMIF(RV_DATA!AA10:'RV_DATA'!AA38, 746727013, RV_DATA!I10:'RV_DATA'!I38), 6)</f>
        <v>6.6000000000000003E-2</v>
      </c>
      <c r="E33" s="84">
        <f>ROUND(RV_DATA!N27, 6)</f>
        <v>722.33</v>
      </c>
      <c r="F33" s="84">
        <f>ROUND(SUMIF(RV_DATA!AA10:'RV_DATA'!AA38, 746727013, RV_DATA!O10:'RV_DATA'!O38), 6)</f>
        <v>47.68</v>
      </c>
      <c r="Q33">
        <v>3</v>
      </c>
    </row>
    <row r="34" spans="1:17" ht="57" x14ac:dyDescent="0.2">
      <c r="A34" s="96" t="s">
        <v>1130</v>
      </c>
      <c r="B34" s="55" t="s">
        <v>1132</v>
      </c>
      <c r="C34" s="55" t="s">
        <v>94</v>
      </c>
      <c r="D34" s="56">
        <f>ROUND(SUMIF(RV_DATA!AA10:'RV_DATA'!AA38, 2010091897, RV_DATA!I10:'RV_DATA'!I38), 6)</f>
        <v>0.60770000000000002</v>
      </c>
      <c r="E34" s="84">
        <f>ROUND(RV_DATA!N35, 6)</f>
        <v>5899.87</v>
      </c>
      <c r="F34" s="84">
        <f>ROUND(SUMIF(RV_DATA!AA10:'RV_DATA'!AA38, 2010091897, RV_DATA!O10:'RV_DATA'!O38), 6)</f>
        <v>3563.97</v>
      </c>
      <c r="Q34">
        <v>3</v>
      </c>
    </row>
    <row r="35" spans="1:17" ht="14.25" x14ac:dyDescent="0.2">
      <c r="A35" s="96" t="s">
        <v>1133</v>
      </c>
      <c r="B35" s="55" t="s">
        <v>1135</v>
      </c>
      <c r="C35" s="55" t="s">
        <v>94</v>
      </c>
      <c r="D35" s="56">
        <f>ROUND(SUMIF(RV_DATA!AA10:'RV_DATA'!AA38, 745988685, RV_DATA!I10:'RV_DATA'!I38), 6)</f>
        <v>6.1799999999999997E-3</v>
      </c>
      <c r="E35" s="84">
        <f>ROUND(RV_DATA!N34, 6)</f>
        <v>3953.01</v>
      </c>
      <c r="F35" s="84">
        <f>ROUND(SUMIF(RV_DATA!AA10:'RV_DATA'!AA38, 745988685, RV_DATA!O10:'RV_DATA'!O38), 6)</f>
        <v>24.29</v>
      </c>
      <c r="Q35">
        <v>3</v>
      </c>
    </row>
    <row r="36" spans="1:17" ht="42.75" x14ac:dyDescent="0.2">
      <c r="A36" s="96" t="s">
        <v>112</v>
      </c>
      <c r="B36" s="55" t="s">
        <v>113</v>
      </c>
      <c r="C36" s="55" t="s">
        <v>114</v>
      </c>
      <c r="D36" s="56">
        <f>ROUND(SUMIF(RV_DATA!AA10:'RV_DATA'!AA38, 1192786114, RV_DATA!I10:'RV_DATA'!I38), 6)</f>
        <v>2.4017400000000002</v>
      </c>
      <c r="E36" s="84">
        <f>ROUND(RV_DATA!N30, 6)</f>
        <v>3772.5781000000002</v>
      </c>
      <c r="F36" s="84">
        <f>ROUND(SUMIF(RV_DATA!AA10:'RV_DATA'!AA38, 1192786114, RV_DATA!O10:'RV_DATA'!O38), 6)</f>
        <v>9060.75</v>
      </c>
      <c r="Q36">
        <v>3</v>
      </c>
    </row>
    <row r="37" spans="1:17" ht="28.5" x14ac:dyDescent="0.2">
      <c r="A37" s="96" t="s">
        <v>132</v>
      </c>
      <c r="B37" s="55" t="s">
        <v>133</v>
      </c>
      <c r="C37" s="55" t="s">
        <v>94</v>
      </c>
      <c r="D37" s="56">
        <f>ROUND(SUMIF(RV_DATA!AA10:'RV_DATA'!AA38, -1089126221, RV_DATA!I10:'RV_DATA'!I38), 6)</f>
        <v>0.44290000000000002</v>
      </c>
      <c r="E37" s="84">
        <f>ROUND(RV_DATA!N38, 6)</f>
        <v>12310.2636</v>
      </c>
      <c r="F37" s="84">
        <f>ROUND(SUMIF(RV_DATA!AA10:'RV_DATA'!AA38, -1089126221, RV_DATA!O10:'RV_DATA'!O38), 6)</f>
        <v>5452.22</v>
      </c>
      <c r="Q37">
        <v>3</v>
      </c>
    </row>
    <row r="38" spans="1:17" ht="14.25" x14ac:dyDescent="0.2">
      <c r="A38" s="96" t="s">
        <v>1136</v>
      </c>
      <c r="B38" s="55" t="s">
        <v>1137</v>
      </c>
      <c r="C38" s="55" t="s">
        <v>1138</v>
      </c>
      <c r="D38" s="56">
        <f>ROUND(SUMIF(RV_DATA!AA10:'RV_DATA'!AA38, -2070296124, RV_DATA!I10:'RV_DATA'!I38), 6)</f>
        <v>11.98302</v>
      </c>
      <c r="E38" s="84">
        <f>ROUND(RV_DATA!N33, 6)</f>
        <v>8.6999999999999993</v>
      </c>
      <c r="F38" s="84">
        <f>ROUND(SUMIF(RV_DATA!AA10:'RV_DATA'!AA38, -2070296124, RV_DATA!O10:'RV_DATA'!O38), 6)</f>
        <v>103.65</v>
      </c>
      <c r="Q38">
        <v>3</v>
      </c>
    </row>
    <row r="39" spans="1:17" ht="15" x14ac:dyDescent="0.25">
      <c r="A39" s="131" t="s">
        <v>1804</v>
      </c>
      <c r="B39" s="131"/>
      <c r="C39" s="131"/>
      <c r="D39" s="131"/>
      <c r="E39" s="132">
        <f>SUMIF(Q29:Q38, 3, F29:F38)</f>
        <v>29334.910000000003</v>
      </c>
      <c r="F39" s="131"/>
    </row>
    <row r="41" spans="1:17" ht="16.5" x14ac:dyDescent="0.2">
      <c r="A41" s="133" t="str">
        <f>CONCATENATE("Итого по локальной смете:",IF(Source!G116&lt;&gt;"Новая локальная смета", Source!G116, ""))</f>
        <v>Итого по локальной смете:ПЗУ</v>
      </c>
      <c r="B41" s="134"/>
      <c r="C41" s="134"/>
      <c r="D41" s="134"/>
      <c r="E41" s="134"/>
      <c r="F41" s="135"/>
    </row>
    <row r="42" spans="1:17" ht="14.25" hidden="1" customHeight="1" x14ac:dyDescent="0.25">
      <c r="A42" s="131" t="s">
        <v>1800</v>
      </c>
      <c r="B42" s="131"/>
      <c r="C42" s="131"/>
      <c r="D42" s="131"/>
      <c r="E42" s="132">
        <f>SUMIF(Q1:Q41, 1, F1:F41)</f>
        <v>0</v>
      </c>
      <c r="F42" s="131"/>
    </row>
    <row r="43" spans="1:17" ht="15" x14ac:dyDescent="0.25">
      <c r="A43" s="131" t="s">
        <v>1802</v>
      </c>
      <c r="B43" s="131"/>
      <c r="C43" s="131"/>
      <c r="D43" s="131"/>
      <c r="E43" s="132">
        <f>SUMIF(Q1:Q42, 2, F1:F42)</f>
        <v>1772.6299999999999</v>
      </c>
      <c r="F43" s="131"/>
    </row>
    <row r="44" spans="1:17" ht="15" x14ac:dyDescent="0.25">
      <c r="A44" s="131" t="s">
        <v>1804</v>
      </c>
      <c r="B44" s="131"/>
      <c r="C44" s="131"/>
      <c r="D44" s="131"/>
      <c r="E44" s="132">
        <f>SUMIF(Q1:Q43, 3, F1:F43)</f>
        <v>29334.910000000003</v>
      </c>
      <c r="F44" s="131"/>
    </row>
    <row r="45" spans="1:17" ht="14.25" hidden="1" customHeight="1" x14ac:dyDescent="0.25">
      <c r="A45" s="131" t="s">
        <v>1805</v>
      </c>
      <c r="B45" s="131"/>
      <c r="C45" s="131"/>
      <c r="D45" s="131"/>
      <c r="E45" s="132">
        <f>SUMIF(Q1:Q44, 4, F1:F44)</f>
        <v>0</v>
      </c>
      <c r="F45" s="131"/>
    </row>
    <row r="46" spans="1:17" ht="14.25" hidden="1" customHeight="1" x14ac:dyDescent="0.25">
      <c r="A46" s="131" t="s">
        <v>1806</v>
      </c>
      <c r="B46" s="131"/>
      <c r="C46" s="131"/>
      <c r="D46" s="131"/>
      <c r="E46" s="132">
        <f>SUMIF(Q1:Q45, 5, F1:F45)</f>
        <v>0</v>
      </c>
      <c r="F46" s="131"/>
    </row>
    <row r="48" spans="1:17" ht="16.5" x14ac:dyDescent="0.2">
      <c r="A48" s="136" t="str">
        <f>CONCATENATE("Локальная смета: ",IF(Source!G148&lt;&gt;"Новая локальная смета", Source!G148, ""))</f>
        <v>Локальная смета: Архитектурные решения</v>
      </c>
      <c r="B48" s="137"/>
      <c r="C48" s="137"/>
      <c r="D48" s="137"/>
      <c r="E48" s="137"/>
      <c r="F48" s="137"/>
    </row>
    <row r="49" spans="1:17" ht="16.5" x14ac:dyDescent="0.2">
      <c r="A49" s="136" t="str">
        <f>CONCATENATE("Раздел: ",IF(Source!G152&lt;&gt;"Новый раздел", Source!G152, ""))</f>
        <v>Раздел: Демонтажные работы</v>
      </c>
      <c r="B49" s="137"/>
      <c r="C49" s="137"/>
      <c r="D49" s="137"/>
      <c r="E49" s="137"/>
      <c r="F49" s="137"/>
    </row>
    <row r="50" spans="1:17" ht="14.25" x14ac:dyDescent="0.2">
      <c r="A50" s="138" t="s">
        <v>1799</v>
      </c>
      <c r="B50" s="139"/>
      <c r="C50" s="139"/>
      <c r="D50" s="139"/>
      <c r="E50" s="139"/>
      <c r="F50" s="139"/>
    </row>
    <row r="51" spans="1:17" ht="14.25" x14ac:dyDescent="0.2">
      <c r="A51" s="96" t="s">
        <v>1096</v>
      </c>
      <c r="B51" s="55" t="s">
        <v>1097</v>
      </c>
      <c r="C51" s="55" t="s">
        <v>1098</v>
      </c>
      <c r="D51" s="56">
        <f>ROUND(SUMIF(RV_DATA!AA41:'RV_DATA'!AA67, 1499241640, RV_DATA!I41:'RV_DATA'!I67), 6)</f>
        <v>288.509478</v>
      </c>
      <c r="E51" s="84">
        <f>ROUND(RV_DATA!N46, 6)</f>
        <v>0</v>
      </c>
      <c r="F51" s="84">
        <f>ROUND(SUMIF(RV_DATA!AA41:'RV_DATA'!AA67, 1499241640, RV_DATA!O41:'RV_DATA'!O67), 6)</f>
        <v>0</v>
      </c>
      <c r="Q51">
        <v>1</v>
      </c>
    </row>
    <row r="52" spans="1:17" ht="15" x14ac:dyDescent="0.25">
      <c r="A52" s="131" t="s">
        <v>1800</v>
      </c>
      <c r="B52" s="131"/>
      <c r="C52" s="131"/>
      <c r="D52" s="131"/>
      <c r="E52" s="132">
        <f>SUMIF(Q51:Q51, 1, F51:F51)</f>
        <v>0</v>
      </c>
      <c r="F52" s="131"/>
    </row>
    <row r="53" spans="1:17" ht="14.25" x14ac:dyDescent="0.2">
      <c r="A53" s="138" t="s">
        <v>1801</v>
      </c>
      <c r="B53" s="139"/>
      <c r="C53" s="139"/>
      <c r="D53" s="139"/>
      <c r="E53" s="139"/>
      <c r="F53" s="139"/>
    </row>
    <row r="54" spans="1:17" ht="71.25" x14ac:dyDescent="0.2">
      <c r="A54" s="96" t="s">
        <v>1153</v>
      </c>
      <c r="B54" s="55" t="s">
        <v>1155</v>
      </c>
      <c r="C54" s="55" t="s">
        <v>1102</v>
      </c>
      <c r="D54" s="56">
        <f>ROUND(SUMIF(RV_DATA!AA41:'RV_DATA'!AA67, -2002567974, RV_DATA!I41:'RV_DATA'!I67), 6)</f>
        <v>0.71992</v>
      </c>
      <c r="E54" s="84">
        <f>ROUND(RV_DATA!N59, 6)</f>
        <v>721.62</v>
      </c>
      <c r="F54" s="84">
        <f>ROUND(SUMIF(RV_DATA!AA41:'RV_DATA'!AA67, -2002567974, RV_DATA!O41:'RV_DATA'!O67), 6)</f>
        <v>496.19</v>
      </c>
      <c r="Q54">
        <v>2</v>
      </c>
    </row>
    <row r="55" spans="1:17" ht="57" x14ac:dyDescent="0.2">
      <c r="A55" s="96" t="s">
        <v>1139</v>
      </c>
      <c r="B55" s="55" t="s">
        <v>1141</v>
      </c>
      <c r="C55" s="55" t="s">
        <v>1102</v>
      </c>
      <c r="D55" s="56">
        <f>ROUND(SUMIF(RV_DATA!AA41:'RV_DATA'!AA67, 102445925, RV_DATA!I41:'RV_DATA'!I67), 6)</f>
        <v>6.2500000000000003E-3</v>
      </c>
      <c r="E55" s="84">
        <f>ROUND(RV_DATA!N45, 6)</f>
        <v>77.03</v>
      </c>
      <c r="F55" s="84">
        <f>ROUND(SUMIF(RV_DATA!AA41:'RV_DATA'!AA67, 102445925, RV_DATA!O41:'RV_DATA'!O67), 6)</f>
        <v>0.44</v>
      </c>
      <c r="Q55">
        <v>2</v>
      </c>
    </row>
    <row r="56" spans="1:17" ht="28.5" x14ac:dyDescent="0.2">
      <c r="A56" s="96" t="s">
        <v>1142</v>
      </c>
      <c r="B56" s="55" t="s">
        <v>1144</v>
      </c>
      <c r="C56" s="55" t="s">
        <v>1102</v>
      </c>
      <c r="D56" s="56">
        <f>ROUND(SUMIF(RV_DATA!AA41:'RV_DATA'!AA67, 1233659793, RV_DATA!I41:'RV_DATA'!I67), 6)</f>
        <v>7.9161999999999996E-2</v>
      </c>
      <c r="E56" s="84">
        <f>ROUND(RV_DATA!N44, 6)</f>
        <v>33.54</v>
      </c>
      <c r="F56" s="84">
        <f>ROUND(SUMIF(RV_DATA!AA41:'RV_DATA'!AA67, 1233659793, RV_DATA!O41:'RV_DATA'!O67), 6)</f>
        <v>2.44</v>
      </c>
      <c r="Q56">
        <v>2</v>
      </c>
    </row>
    <row r="57" spans="1:17" ht="14.25" x14ac:dyDescent="0.2">
      <c r="A57" s="96" t="s">
        <v>1156</v>
      </c>
      <c r="B57" s="55" t="s">
        <v>1158</v>
      </c>
      <c r="C57" s="55" t="s">
        <v>1102</v>
      </c>
      <c r="D57" s="56">
        <f>ROUND(SUMIF(RV_DATA!AA41:'RV_DATA'!AA67, -675024831, RV_DATA!I41:'RV_DATA'!I67), 6)</f>
        <v>0.71992</v>
      </c>
      <c r="E57" s="84">
        <f>ROUND(RV_DATA!N58, 6)</f>
        <v>25.61</v>
      </c>
      <c r="F57" s="84">
        <f>ROUND(SUMIF(RV_DATA!AA41:'RV_DATA'!AA67, -675024831, RV_DATA!O41:'RV_DATA'!O67), 6)</f>
        <v>17.600000000000001</v>
      </c>
      <c r="Q57">
        <v>2</v>
      </c>
    </row>
    <row r="58" spans="1:17" ht="28.5" x14ac:dyDescent="0.2">
      <c r="A58" s="96" t="s">
        <v>1150</v>
      </c>
      <c r="B58" s="55" t="s">
        <v>1152</v>
      </c>
      <c r="C58" s="55" t="s">
        <v>1102</v>
      </c>
      <c r="D58" s="56">
        <f>ROUND(SUMIF(RV_DATA!AA41:'RV_DATA'!AA67, -1782595156, RV_DATA!I41:'RV_DATA'!I67), 6)</f>
        <v>0.69599999999999995</v>
      </c>
      <c r="E58" s="84">
        <f>ROUND(RV_DATA!N56, 6)</f>
        <v>24.96</v>
      </c>
      <c r="F58" s="84">
        <f>ROUND(SUMIF(RV_DATA!AA41:'RV_DATA'!AA67, -1782595156, RV_DATA!O41:'RV_DATA'!O67), 6)</f>
        <v>15.98</v>
      </c>
      <c r="Q58">
        <v>2</v>
      </c>
    </row>
    <row r="59" spans="1:17" ht="14.25" x14ac:dyDescent="0.2">
      <c r="A59" s="96" t="s">
        <v>1145</v>
      </c>
      <c r="B59" s="55" t="s">
        <v>1146</v>
      </c>
      <c r="C59" s="55" t="s">
        <v>1138</v>
      </c>
      <c r="D59" s="56">
        <f>ROUND(SUMIF(RV_DATA!AA41:'RV_DATA'!AA67, -453702883, RV_DATA!I41:'RV_DATA'!I67), 6)</f>
        <v>24.19116</v>
      </c>
      <c r="E59" s="84">
        <f>ROUND(RV_DATA!N43, 6)</f>
        <v>1.0900000000000001</v>
      </c>
      <c r="F59" s="84">
        <f>ROUND(SUMIF(RV_DATA!AA41:'RV_DATA'!AA67, -453702883, RV_DATA!O41:'RV_DATA'!O67), 6)</f>
        <v>24.19</v>
      </c>
      <c r="Q59">
        <v>2</v>
      </c>
    </row>
    <row r="60" spans="1:17" ht="14.25" x14ac:dyDescent="0.2">
      <c r="A60" s="96" t="s">
        <v>1145</v>
      </c>
      <c r="B60" s="55" t="s">
        <v>1146</v>
      </c>
      <c r="C60" s="55" t="s">
        <v>1138</v>
      </c>
      <c r="D60" s="56">
        <f>ROUND(SUMIF(RV_DATA!AA41:'RV_DATA'!AA67, -314357962, RV_DATA!I41:'RV_DATA'!I67), 6)</f>
        <v>2429.9148</v>
      </c>
      <c r="E60" s="84">
        <f>ROUND(RV_DATA!N50, 6)</f>
        <v>1.05</v>
      </c>
      <c r="F60" s="84">
        <f>ROUND(SUMIF(RV_DATA!AA41:'RV_DATA'!AA67, -314357962, RV_DATA!O41:'RV_DATA'!O67), 6)</f>
        <v>2429.92</v>
      </c>
      <c r="Q60">
        <v>2</v>
      </c>
    </row>
    <row r="61" spans="1:17" ht="15" x14ac:dyDescent="0.25">
      <c r="A61" s="131" t="s">
        <v>1802</v>
      </c>
      <c r="B61" s="131"/>
      <c r="C61" s="131"/>
      <c r="D61" s="131"/>
      <c r="E61" s="132">
        <f>SUMIF(Q54:Q60, 2, F54:F60)</f>
        <v>2986.76</v>
      </c>
      <c r="F61" s="131"/>
    </row>
    <row r="62" spans="1:17" ht="14.25" x14ac:dyDescent="0.2">
      <c r="A62" s="138" t="s">
        <v>1803</v>
      </c>
      <c r="B62" s="139"/>
      <c r="C62" s="139"/>
      <c r="D62" s="139"/>
      <c r="E62" s="139"/>
      <c r="F62" s="139"/>
    </row>
    <row r="63" spans="1:17" ht="28.5" x14ac:dyDescent="0.2">
      <c r="A63" s="96" t="s">
        <v>1147</v>
      </c>
      <c r="B63" s="55" t="s">
        <v>1149</v>
      </c>
      <c r="C63" s="55" t="s">
        <v>114</v>
      </c>
      <c r="D63" s="56">
        <f>ROUND(SUMIF(RV_DATA!AA41:'RV_DATA'!AA67, 2138865355, RV_DATA!I41:'RV_DATA'!I67), 6)</f>
        <v>1.63E-4</v>
      </c>
      <c r="E63" s="84">
        <f>ROUND(RV_DATA!N42, 6)</f>
        <v>145777.99</v>
      </c>
      <c r="F63" s="84">
        <f>ROUND(SUMIF(RV_DATA!AA41:'RV_DATA'!AA67, 2138865355, RV_DATA!O41:'RV_DATA'!O67), 6)</f>
        <v>23.74</v>
      </c>
      <c r="Q63">
        <v>3</v>
      </c>
    </row>
    <row r="64" spans="1:17" ht="14.25" x14ac:dyDescent="0.2">
      <c r="A64" s="96" t="s">
        <v>1136</v>
      </c>
      <c r="B64" s="55" t="s">
        <v>1137</v>
      </c>
      <c r="C64" s="55" t="s">
        <v>1138</v>
      </c>
      <c r="D64" s="56">
        <f>ROUND(SUMIF(RV_DATA!AA41:'RV_DATA'!AA67, 19367311, RV_DATA!I41:'RV_DATA'!I67), 6)</f>
        <v>5.2966369999999996</v>
      </c>
      <c r="E64" s="84">
        <f>ROUND(RV_DATA!N41, 6)</f>
        <v>8.65</v>
      </c>
      <c r="F64" s="84">
        <f>ROUND(SUMIF(RV_DATA!AA41:'RV_DATA'!AA67, 19367311, RV_DATA!O41:'RV_DATA'!O67), 6)</f>
        <v>45.82</v>
      </c>
      <c r="Q64">
        <v>3</v>
      </c>
    </row>
    <row r="65" spans="1:17" ht="15" x14ac:dyDescent="0.25">
      <c r="A65" s="131" t="s">
        <v>1804</v>
      </c>
      <c r="B65" s="131"/>
      <c r="C65" s="131"/>
      <c r="D65" s="131"/>
      <c r="E65" s="132">
        <f>SUMIF(Q63:Q64, 3, F63:F64)</f>
        <v>69.56</v>
      </c>
      <c r="F65" s="131"/>
    </row>
    <row r="66" spans="1:17" ht="16.5" x14ac:dyDescent="0.2">
      <c r="A66" s="136" t="str">
        <f>CONCATENATE("Раздел: ",IF(Source!G225&lt;&gt;"Новый раздел", Source!G225, ""))</f>
        <v>Раздел: Монтажные работы</v>
      </c>
      <c r="B66" s="137"/>
      <c r="C66" s="137"/>
      <c r="D66" s="137"/>
      <c r="E66" s="137"/>
      <c r="F66" s="137"/>
    </row>
    <row r="67" spans="1:17" ht="14.25" x14ac:dyDescent="0.2">
      <c r="A67" s="138" t="s">
        <v>1799</v>
      </c>
      <c r="B67" s="139"/>
      <c r="C67" s="139"/>
      <c r="D67" s="139"/>
      <c r="E67" s="139"/>
      <c r="F67" s="139"/>
    </row>
    <row r="68" spans="1:17" ht="14.25" x14ac:dyDescent="0.2">
      <c r="A68" s="96" t="s">
        <v>1096</v>
      </c>
      <c r="B68" s="55" t="s">
        <v>1097</v>
      </c>
      <c r="C68" s="55" t="s">
        <v>1098</v>
      </c>
      <c r="D68" s="56">
        <f>ROUND(SUMIF(RV_DATA!AA69:'RV_DATA'!AA209, 1499241640, RV_DATA!I69:'RV_DATA'!I209), 6)</f>
        <v>341.94448899999998</v>
      </c>
      <c r="E68" s="84">
        <f>ROUND(RV_DATA!N75, 6)</f>
        <v>0</v>
      </c>
      <c r="F68" s="84">
        <f>ROUND(SUMIF(RV_DATA!AA69:'RV_DATA'!AA209, 1499241640, RV_DATA!O69:'RV_DATA'!O209), 6)</f>
        <v>0</v>
      </c>
      <c r="Q68">
        <v>1</v>
      </c>
    </row>
    <row r="69" spans="1:17" ht="15" x14ac:dyDescent="0.25">
      <c r="A69" s="131" t="s">
        <v>1800</v>
      </c>
      <c r="B69" s="131"/>
      <c r="C69" s="131"/>
      <c r="D69" s="131"/>
      <c r="E69" s="132">
        <f>SUMIF(Q68:Q68, 1, F68:F68)</f>
        <v>0</v>
      </c>
      <c r="F69" s="131"/>
    </row>
    <row r="70" spans="1:17" ht="14.25" x14ac:dyDescent="0.2">
      <c r="A70" s="138" t="s">
        <v>1801</v>
      </c>
      <c r="B70" s="139"/>
      <c r="C70" s="139"/>
      <c r="D70" s="139"/>
      <c r="E70" s="139"/>
      <c r="F70" s="139"/>
    </row>
    <row r="71" spans="1:17" ht="42.75" x14ac:dyDescent="0.2">
      <c r="A71" s="96" t="s">
        <v>1174</v>
      </c>
      <c r="B71" s="55" t="s">
        <v>1176</v>
      </c>
      <c r="C71" s="55" t="s">
        <v>1102</v>
      </c>
      <c r="D71" s="56">
        <f>ROUND(SUMIF(RV_DATA!AA69:'RV_DATA'!AA209, 1620354088, RV_DATA!I69:'RV_DATA'!I209), 6)</f>
        <v>0.32500000000000001</v>
      </c>
      <c r="E71" s="84">
        <f>ROUND(RV_DATA!N82, 6)</f>
        <v>65.87</v>
      </c>
      <c r="F71" s="84">
        <f>ROUND(SUMIF(RV_DATA!AA69:'RV_DATA'!AA209, 1620354088, RV_DATA!O69:'RV_DATA'!O209), 6)</f>
        <v>20.46</v>
      </c>
      <c r="Q71">
        <v>2</v>
      </c>
    </row>
    <row r="72" spans="1:17" ht="42.75" x14ac:dyDescent="0.2">
      <c r="A72" s="96" t="s">
        <v>1174</v>
      </c>
      <c r="B72" s="55" t="s">
        <v>1176</v>
      </c>
      <c r="C72" s="55" t="s">
        <v>1102</v>
      </c>
      <c r="D72" s="56">
        <f>ROUND(SUMIF(RV_DATA!AA69:'RV_DATA'!AA209, 473043955, RV_DATA!I69:'RV_DATA'!I209), 6)</f>
        <v>0.67500000000000004</v>
      </c>
      <c r="E72" s="84">
        <f>ROUND(RV_DATA!N121, 6)</f>
        <v>67.13</v>
      </c>
      <c r="F72" s="84">
        <f>ROUND(SUMIF(RV_DATA!AA69:'RV_DATA'!AA209, 473043955, RV_DATA!O69:'RV_DATA'!O209), 6)</f>
        <v>42.45</v>
      </c>
      <c r="Q72">
        <v>2</v>
      </c>
    </row>
    <row r="73" spans="1:17" ht="14.25" x14ac:dyDescent="0.2">
      <c r="A73" s="96" t="s">
        <v>1159</v>
      </c>
      <c r="B73" s="55" t="s">
        <v>1161</v>
      </c>
      <c r="C73" s="55" t="s">
        <v>1102</v>
      </c>
      <c r="D73" s="56">
        <f>ROUND(SUMIF(RV_DATA!AA69:'RV_DATA'!AA209, -1031006293, RV_DATA!I69:'RV_DATA'!I209), 6)</f>
        <v>1.02312</v>
      </c>
      <c r="E73" s="84">
        <f>ROUND(RV_DATA!N74, 6)</f>
        <v>421.28</v>
      </c>
      <c r="F73" s="84">
        <f>ROUND(SUMIF(RV_DATA!AA69:'RV_DATA'!AA209, -1031006293, RV_DATA!O69:'RV_DATA'!O209), 6)</f>
        <v>396.46</v>
      </c>
      <c r="Q73">
        <v>2</v>
      </c>
    </row>
    <row r="74" spans="1:17" ht="14.25" x14ac:dyDescent="0.2">
      <c r="A74" s="96" t="s">
        <v>1276</v>
      </c>
      <c r="B74" s="55" t="s">
        <v>1278</v>
      </c>
      <c r="C74" s="55" t="s">
        <v>1102</v>
      </c>
      <c r="D74" s="56">
        <f>ROUND(SUMIF(RV_DATA!AA69:'RV_DATA'!AA209, 1437890844, RV_DATA!I69:'RV_DATA'!I209), 6)</f>
        <v>0.21</v>
      </c>
      <c r="E74" s="84">
        <f>ROUND(RV_DATA!N187, 6)</f>
        <v>75.8</v>
      </c>
      <c r="F74" s="84">
        <f>ROUND(SUMIF(RV_DATA!AA69:'RV_DATA'!AA209, 1437890844, RV_DATA!O69:'RV_DATA'!O209), 6)</f>
        <v>15.2</v>
      </c>
      <c r="Q74">
        <v>2</v>
      </c>
    </row>
    <row r="75" spans="1:17" ht="28.5" x14ac:dyDescent="0.2">
      <c r="A75" s="96" t="s">
        <v>1189</v>
      </c>
      <c r="B75" s="55" t="s">
        <v>1191</v>
      </c>
      <c r="C75" s="55" t="s">
        <v>1102</v>
      </c>
      <c r="D75" s="56">
        <f>ROUND(SUMIF(RV_DATA!AA69:'RV_DATA'!AA209, -489591781, RV_DATA!I69:'RV_DATA'!I209), 6)</f>
        <v>0.29118300000000003</v>
      </c>
      <c r="E75" s="84">
        <f>ROUND(RV_DATA!N96, 6)</f>
        <v>918.4</v>
      </c>
      <c r="F75" s="84">
        <f>ROUND(SUMIF(RV_DATA!AA69:'RV_DATA'!AA209, -489591781, RV_DATA!O69:'RV_DATA'!O209), 6)</f>
        <v>255.42</v>
      </c>
      <c r="Q75">
        <v>2</v>
      </c>
    </row>
    <row r="76" spans="1:17" ht="28.5" x14ac:dyDescent="0.2">
      <c r="A76" s="96" t="s">
        <v>1189</v>
      </c>
      <c r="B76" s="55" t="s">
        <v>1191</v>
      </c>
      <c r="C76" s="55" t="s">
        <v>1102</v>
      </c>
      <c r="D76" s="56">
        <f>ROUND(SUMIF(RV_DATA!AA69:'RV_DATA'!AA209, 1144387144, RV_DATA!I69:'RV_DATA'!I209), 6)</f>
        <v>7.4999999999999997E-2</v>
      </c>
      <c r="E76" s="84">
        <f>ROUND(RV_DATA!N120, 6)</f>
        <v>935.94</v>
      </c>
      <c r="F76" s="84">
        <f>ROUND(SUMIF(RV_DATA!AA69:'RV_DATA'!AA209, 1144387144, RV_DATA!O69:'RV_DATA'!O209), 6)</f>
        <v>65.81</v>
      </c>
      <c r="Q76">
        <v>2</v>
      </c>
    </row>
    <row r="77" spans="1:17" ht="28.5" x14ac:dyDescent="0.2">
      <c r="A77" s="96" t="s">
        <v>1162</v>
      </c>
      <c r="B77" s="55" t="s">
        <v>1164</v>
      </c>
      <c r="C77" s="55" t="s">
        <v>1102</v>
      </c>
      <c r="D77" s="56">
        <f>ROUND(SUMIF(RV_DATA!AA69:'RV_DATA'!AA209, -1848034222, RV_DATA!I69:'RV_DATA'!I209), 6)</f>
        <v>1.38852</v>
      </c>
      <c r="E77" s="84">
        <f>ROUND(RV_DATA!N73, 6)</f>
        <v>13.67</v>
      </c>
      <c r="F77" s="84">
        <f>ROUND(SUMIF(RV_DATA!AA69:'RV_DATA'!AA209, -1848034222, RV_DATA!O69:'RV_DATA'!O209), 6)</f>
        <v>17.34</v>
      </c>
      <c r="Q77">
        <v>2</v>
      </c>
    </row>
    <row r="78" spans="1:17" ht="28.5" x14ac:dyDescent="0.2">
      <c r="A78" s="96" t="s">
        <v>1162</v>
      </c>
      <c r="B78" s="55" t="s">
        <v>1164</v>
      </c>
      <c r="C78" s="55" t="s">
        <v>1102</v>
      </c>
      <c r="D78" s="56">
        <f>ROUND(SUMIF(RV_DATA!AA69:'RV_DATA'!AA209, -560420203, RV_DATA!I69:'RV_DATA'!I209), 6)</f>
        <v>0.76607999999999998</v>
      </c>
      <c r="E78" s="84">
        <f>ROUND(RV_DATA!N103, 6)</f>
        <v>13.17</v>
      </c>
      <c r="F78" s="84">
        <f>ROUND(SUMIF(RV_DATA!AA69:'RV_DATA'!AA209, -560420203, RV_DATA!O69:'RV_DATA'!O209), 6)</f>
        <v>9.6300000000000008</v>
      </c>
      <c r="Q78">
        <v>2</v>
      </c>
    </row>
    <row r="79" spans="1:17" ht="28.5" x14ac:dyDescent="0.2">
      <c r="A79" s="96" t="s">
        <v>1279</v>
      </c>
      <c r="B79" s="55" t="s">
        <v>1281</v>
      </c>
      <c r="C79" s="55" t="s">
        <v>1102</v>
      </c>
      <c r="D79" s="56">
        <f>ROUND(SUMIF(RV_DATA!AA69:'RV_DATA'!AA209, 2049690426, RV_DATA!I69:'RV_DATA'!I209), 6)</f>
        <v>0.29049999999999998</v>
      </c>
      <c r="E79" s="84">
        <f>ROUND(RV_DATA!N185, 6)</f>
        <v>19.52</v>
      </c>
      <c r="F79" s="84">
        <f>ROUND(SUMIF(RV_DATA!AA69:'RV_DATA'!AA209, 2049690426, RV_DATA!O69:'RV_DATA'!O209), 6)</f>
        <v>5.42</v>
      </c>
      <c r="Q79">
        <v>2</v>
      </c>
    </row>
    <row r="80" spans="1:17" ht="28.5" x14ac:dyDescent="0.2">
      <c r="A80" s="96" t="s">
        <v>1177</v>
      </c>
      <c r="B80" s="55" t="s">
        <v>1179</v>
      </c>
      <c r="C80" s="55" t="s">
        <v>1102</v>
      </c>
      <c r="D80" s="56">
        <f>ROUND(SUMIF(RV_DATA!AA69:'RV_DATA'!AA209, 1230137050, RV_DATA!I69:'RV_DATA'!I209), 6)</f>
        <v>2.5000000000000001E-2</v>
      </c>
      <c r="E80" s="84">
        <f>ROUND(RV_DATA!N81, 6)</f>
        <v>3.72</v>
      </c>
      <c r="F80" s="84">
        <f>ROUND(SUMIF(RV_DATA!AA69:'RV_DATA'!AA209, 1230137050, RV_DATA!O69:'RV_DATA'!O209), 6)</f>
        <v>0.1</v>
      </c>
      <c r="Q80">
        <v>2</v>
      </c>
    </row>
    <row r="81" spans="1:17" ht="14.25" x14ac:dyDescent="0.2">
      <c r="A81" s="96" t="s">
        <v>1180</v>
      </c>
      <c r="B81" s="55" t="s">
        <v>1182</v>
      </c>
      <c r="C81" s="55" t="s">
        <v>1102</v>
      </c>
      <c r="D81" s="56">
        <f>ROUND(SUMIF(RV_DATA!AA69:'RV_DATA'!AA209, -1628962247, RV_DATA!I69:'RV_DATA'!I209), 6)</f>
        <v>2.1847539999999999</v>
      </c>
      <c r="E81" s="84">
        <f>ROUND(RV_DATA!N80, 6)</f>
        <v>5.36</v>
      </c>
      <c r="F81" s="84">
        <f>ROUND(SUMIF(RV_DATA!AA69:'RV_DATA'!AA209, -1628962247, RV_DATA!O69:'RV_DATA'!O209), 6)</f>
        <v>11.35</v>
      </c>
      <c r="Q81">
        <v>2</v>
      </c>
    </row>
    <row r="82" spans="1:17" ht="14.25" x14ac:dyDescent="0.2">
      <c r="A82" s="96" t="s">
        <v>1183</v>
      </c>
      <c r="B82" s="55" t="s">
        <v>1185</v>
      </c>
      <c r="C82" s="55" t="s">
        <v>1102</v>
      </c>
      <c r="D82" s="56">
        <f>ROUND(SUMIF(RV_DATA!AA69:'RV_DATA'!AA209, -883536378, RV_DATA!I69:'RV_DATA'!I209), 6)</f>
        <v>4.5734880000000002</v>
      </c>
      <c r="E82" s="84">
        <f>ROUND(RV_DATA!N79, 6)</f>
        <v>2.4700000000000002</v>
      </c>
      <c r="F82" s="84">
        <f>ROUND(SUMIF(RV_DATA!AA69:'RV_DATA'!AA209, -883536378, RV_DATA!O69:'RV_DATA'!O209), 6)</f>
        <v>10.79</v>
      </c>
      <c r="Q82">
        <v>2</v>
      </c>
    </row>
    <row r="83" spans="1:17" ht="14.25" x14ac:dyDescent="0.2">
      <c r="A83" s="96" t="s">
        <v>1261</v>
      </c>
      <c r="B83" s="55" t="s">
        <v>1263</v>
      </c>
      <c r="C83" s="55" t="s">
        <v>1102</v>
      </c>
      <c r="D83" s="56">
        <f>ROUND(SUMIF(RV_DATA!AA69:'RV_DATA'!AA209, 1918652249, RV_DATA!I69:'RV_DATA'!I209), 6)</f>
        <v>5.0763000000000003E-2</v>
      </c>
      <c r="E83" s="84">
        <f>ROUND(RV_DATA!N169, 6)</f>
        <v>33.35</v>
      </c>
      <c r="F83" s="84">
        <f>ROUND(SUMIF(RV_DATA!AA69:'RV_DATA'!AA209, 1918652249, RV_DATA!O69:'RV_DATA'!O209), 6)</f>
        <v>1.61</v>
      </c>
      <c r="Q83">
        <v>2</v>
      </c>
    </row>
    <row r="84" spans="1:17" ht="28.5" x14ac:dyDescent="0.2">
      <c r="A84" s="96" t="s">
        <v>1127</v>
      </c>
      <c r="B84" s="55" t="s">
        <v>1129</v>
      </c>
      <c r="C84" s="55" t="s">
        <v>1102</v>
      </c>
      <c r="D84" s="56">
        <f>ROUND(SUMIF(RV_DATA!AA69:'RV_DATA'!AA209, 2105875465, RV_DATA!I69:'RV_DATA'!I209), 6)</f>
        <v>7.1819999999999995E-2</v>
      </c>
      <c r="E84" s="84">
        <f>ROUND(RV_DATA!N95, 6)</f>
        <v>2059.0100000000002</v>
      </c>
      <c r="F84" s="84">
        <f>ROUND(SUMIF(RV_DATA!AA69:'RV_DATA'!AA209, 2105875465, RV_DATA!O69:'RV_DATA'!O209), 6)</f>
        <v>141.24</v>
      </c>
      <c r="Q84">
        <v>2</v>
      </c>
    </row>
    <row r="85" spans="1:17" ht="28.5" x14ac:dyDescent="0.2">
      <c r="A85" s="96" t="s">
        <v>1127</v>
      </c>
      <c r="B85" s="55" t="s">
        <v>1129</v>
      </c>
      <c r="C85" s="55" t="s">
        <v>1102</v>
      </c>
      <c r="D85" s="56">
        <f>ROUND(SUMIF(RV_DATA!AA69:'RV_DATA'!AA209, 1719619468, RV_DATA!I69:'RV_DATA'!I209), 6)</f>
        <v>0.03</v>
      </c>
      <c r="E85" s="84">
        <f>ROUND(RV_DATA!N115, 6)</f>
        <v>2137.67</v>
      </c>
      <c r="F85" s="84">
        <f>ROUND(SUMIF(RV_DATA!AA69:'RV_DATA'!AA209, 1719619468, RV_DATA!O69:'RV_DATA'!O209), 6)</f>
        <v>59</v>
      </c>
      <c r="Q85">
        <v>2</v>
      </c>
    </row>
    <row r="86" spans="1:17" ht="42.75" x14ac:dyDescent="0.2">
      <c r="A86" s="96" t="s">
        <v>1282</v>
      </c>
      <c r="B86" s="55" t="s">
        <v>1284</v>
      </c>
      <c r="C86" s="55" t="s">
        <v>1102</v>
      </c>
      <c r="D86" s="56">
        <f>ROUND(SUMIF(RV_DATA!AA69:'RV_DATA'!AA209, -1898207473, RV_DATA!I69:'RV_DATA'!I209), 6)</f>
        <v>1.75E-3</v>
      </c>
      <c r="E86" s="84">
        <f>ROUND(RV_DATA!N184, 6)</f>
        <v>759.85</v>
      </c>
      <c r="F86" s="84">
        <f>ROUND(SUMIF(RV_DATA!AA69:'RV_DATA'!AA209, -1898207473, RV_DATA!O69:'RV_DATA'!O209), 6)</f>
        <v>1.27</v>
      </c>
      <c r="Q86">
        <v>2</v>
      </c>
    </row>
    <row r="87" spans="1:17" ht="28.5" x14ac:dyDescent="0.2">
      <c r="A87" s="96" t="s">
        <v>1225</v>
      </c>
      <c r="B87" s="55" t="s">
        <v>1227</v>
      </c>
      <c r="C87" s="55" t="s">
        <v>1102</v>
      </c>
      <c r="D87" s="56">
        <f>ROUND(SUMIF(RV_DATA!AA69:'RV_DATA'!AA209, 434635663, RV_DATA!I69:'RV_DATA'!I209), 6)</f>
        <v>0.78500000000000003</v>
      </c>
      <c r="E87" s="84">
        <f>ROUND(RV_DATA!N114, 6)</f>
        <v>7.34</v>
      </c>
      <c r="F87" s="84">
        <f>ROUND(SUMIF(RV_DATA!AA69:'RV_DATA'!AA209, 434635663, RV_DATA!O69:'RV_DATA'!O209), 6)</f>
        <v>5.3</v>
      </c>
      <c r="Q87">
        <v>2</v>
      </c>
    </row>
    <row r="88" spans="1:17" ht="42.75" x14ac:dyDescent="0.2">
      <c r="A88" s="96" t="s">
        <v>1192</v>
      </c>
      <c r="B88" s="55" t="s">
        <v>1194</v>
      </c>
      <c r="C88" s="55" t="s">
        <v>1102</v>
      </c>
      <c r="D88" s="56">
        <f>ROUND(SUMIF(RV_DATA!AA69:'RV_DATA'!AA209, -1323582756, RV_DATA!I69:'RV_DATA'!I209), 6)</f>
        <v>8.4578E-2</v>
      </c>
      <c r="E88" s="84">
        <f>ROUND(RV_DATA!N94, 6)</f>
        <v>136.88999999999999</v>
      </c>
      <c r="F88" s="84">
        <f>ROUND(SUMIF(RV_DATA!AA69:'RV_DATA'!AA209, -1323582756, RV_DATA!O69:'RV_DATA'!O209), 6)</f>
        <v>11.06</v>
      </c>
      <c r="Q88">
        <v>2</v>
      </c>
    </row>
    <row r="89" spans="1:17" ht="28.5" x14ac:dyDescent="0.2">
      <c r="A89" s="96" t="s">
        <v>1243</v>
      </c>
      <c r="B89" s="55" t="s">
        <v>1245</v>
      </c>
      <c r="C89" s="55" t="s">
        <v>1102</v>
      </c>
      <c r="D89" s="56">
        <f>ROUND(SUMIF(RV_DATA!AA69:'RV_DATA'!AA209, -1307641130, RV_DATA!I69:'RV_DATA'!I209), 6)</f>
        <v>0.72262499999999996</v>
      </c>
      <c r="E89" s="84">
        <f>ROUND(RV_DATA!N140, 6)</f>
        <v>482.88</v>
      </c>
      <c r="F89" s="84">
        <f>ROUND(SUMIF(RV_DATA!AA69:'RV_DATA'!AA209, -1307641130, RV_DATA!O69:'RV_DATA'!O209), 6)</f>
        <v>340.42</v>
      </c>
      <c r="Q89">
        <v>2</v>
      </c>
    </row>
    <row r="90" spans="1:17" ht="14.25" x14ac:dyDescent="0.2">
      <c r="A90" s="96" t="s">
        <v>1145</v>
      </c>
      <c r="B90" s="55" t="s">
        <v>1146</v>
      </c>
      <c r="C90" s="55" t="s">
        <v>1138</v>
      </c>
      <c r="D90" s="56">
        <f>ROUND(SUMIF(RV_DATA!AA69:'RV_DATA'!AA209, -314357962, RV_DATA!I69:'RV_DATA'!I209), 6)</f>
        <v>39.901825000000002</v>
      </c>
      <c r="E90" s="84">
        <f>ROUND(RV_DATA!N78, 6)</f>
        <v>1.05</v>
      </c>
      <c r="F90" s="84">
        <f>ROUND(SUMIF(RV_DATA!AA69:'RV_DATA'!AA209, -314357962, RV_DATA!O69:'RV_DATA'!O209), 6)</f>
        <v>39.9</v>
      </c>
      <c r="Q90">
        <v>2</v>
      </c>
    </row>
    <row r="91" spans="1:17" ht="14.25" x14ac:dyDescent="0.2">
      <c r="A91" s="96" t="s">
        <v>1145</v>
      </c>
      <c r="B91" s="55" t="s">
        <v>1146</v>
      </c>
      <c r="C91" s="55" t="s">
        <v>1138</v>
      </c>
      <c r="D91" s="56">
        <f>ROUND(SUMIF(RV_DATA!AA69:'RV_DATA'!AA209, 69263875, RV_DATA!I69:'RV_DATA'!I209), 6)</f>
        <v>45.118752999999998</v>
      </c>
      <c r="E91" s="84">
        <f>ROUND(RV_DATA!N134, 6)</f>
        <v>1.03</v>
      </c>
      <c r="F91" s="84">
        <f>ROUND(SUMIF(RV_DATA!AA69:'RV_DATA'!AA209, 69263875, RV_DATA!O69:'RV_DATA'!O209), 6)</f>
        <v>45.11</v>
      </c>
      <c r="Q91">
        <v>2</v>
      </c>
    </row>
    <row r="92" spans="1:17" ht="14.25" x14ac:dyDescent="0.2">
      <c r="A92" s="96" t="s">
        <v>1145</v>
      </c>
      <c r="B92" s="55" t="s">
        <v>1146</v>
      </c>
      <c r="C92" s="55" t="s">
        <v>1138</v>
      </c>
      <c r="D92" s="56">
        <f>ROUND(SUMIF(RV_DATA!AA69:'RV_DATA'!AA209, -453702883, RV_DATA!I69:'RV_DATA'!I209), 6)</f>
        <v>0.1333</v>
      </c>
      <c r="E92" s="84">
        <f>ROUND(RV_DATA!N207, 6)</f>
        <v>1.0900000000000001</v>
      </c>
      <c r="F92" s="84">
        <f>ROUND(SUMIF(RV_DATA!AA69:'RV_DATA'!AA209, -453702883, RV_DATA!O69:'RV_DATA'!O209), 6)</f>
        <v>0.13</v>
      </c>
      <c r="Q92">
        <v>2</v>
      </c>
    </row>
    <row r="93" spans="1:17" ht="15" x14ac:dyDescent="0.25">
      <c r="A93" s="131" t="s">
        <v>1802</v>
      </c>
      <c r="B93" s="131"/>
      <c r="C93" s="131"/>
      <c r="D93" s="131"/>
      <c r="E93" s="132">
        <f>SUMIF(Q71:Q92, 2, F71:F92)</f>
        <v>1495.47</v>
      </c>
      <c r="F93" s="131"/>
    </row>
    <row r="94" spans="1:17" ht="14.25" x14ac:dyDescent="0.2">
      <c r="A94" s="138" t="s">
        <v>1803</v>
      </c>
      <c r="B94" s="139"/>
      <c r="C94" s="139"/>
      <c r="D94" s="139"/>
      <c r="E94" s="139"/>
      <c r="F94" s="139"/>
    </row>
    <row r="95" spans="1:17" ht="42.75" x14ac:dyDescent="0.2">
      <c r="A95" s="96" t="s">
        <v>427</v>
      </c>
      <c r="B95" s="55" t="s">
        <v>428</v>
      </c>
      <c r="C95" s="55" t="s">
        <v>258</v>
      </c>
      <c r="D95" s="56">
        <f>ROUND(SUMIF(RV_DATA!AA69:'RV_DATA'!AA209, -1138910961, RV_DATA!I69:'RV_DATA'!I209), 6)</f>
        <v>7.84</v>
      </c>
      <c r="E95" s="84">
        <f>ROUND(RV_DATA!N181, 6)</f>
        <v>60.55</v>
      </c>
      <c r="F95" s="84">
        <f>ROUND(SUMIF(RV_DATA!AA69:'RV_DATA'!AA209, -1138910961, RV_DATA!O69:'RV_DATA'!O209), 6)</f>
        <v>474.71</v>
      </c>
      <c r="Q95">
        <v>3</v>
      </c>
    </row>
    <row r="96" spans="1:17" ht="42.75" x14ac:dyDescent="0.2">
      <c r="A96" s="96" t="s">
        <v>1246</v>
      </c>
      <c r="B96" s="55" t="s">
        <v>1248</v>
      </c>
      <c r="C96" s="55" t="s">
        <v>258</v>
      </c>
      <c r="D96" s="56">
        <f>ROUND(SUMIF(RV_DATA!AA69:'RV_DATA'!AA209, -431973575, RV_DATA!I69:'RV_DATA'!I209), 6)</f>
        <v>0.34071000000000001</v>
      </c>
      <c r="E96" s="84">
        <f>ROUND(RV_DATA!N138, 6)</f>
        <v>793.36</v>
      </c>
      <c r="F96" s="84">
        <f>ROUND(SUMIF(RV_DATA!AA69:'RV_DATA'!AA209, -431973575, RV_DATA!O69:'RV_DATA'!O209), 6)</f>
        <v>270.3</v>
      </c>
      <c r="Q96">
        <v>3</v>
      </c>
    </row>
    <row r="97" spans="1:17" ht="14.25" x14ac:dyDescent="0.2">
      <c r="A97" s="96" t="s">
        <v>1195</v>
      </c>
      <c r="B97" s="55" t="s">
        <v>1197</v>
      </c>
      <c r="C97" s="55" t="s">
        <v>114</v>
      </c>
      <c r="D97" s="56">
        <f>ROUND(SUMIF(RV_DATA!AA69:'RV_DATA'!AA209, -1311215350, RV_DATA!I69:'RV_DATA'!I209), 6)</f>
        <v>8.92E-4</v>
      </c>
      <c r="E97" s="84">
        <f>ROUND(RV_DATA!N93, 6)</f>
        <v>17312.61</v>
      </c>
      <c r="F97" s="84">
        <f>ROUND(SUMIF(RV_DATA!AA69:'RV_DATA'!AA209, -1311215350, RV_DATA!O69:'RV_DATA'!O209), 6)</f>
        <v>15.45</v>
      </c>
      <c r="Q97">
        <v>3</v>
      </c>
    </row>
    <row r="98" spans="1:17" ht="28.5" x14ac:dyDescent="0.2">
      <c r="A98" s="96" t="s">
        <v>464</v>
      </c>
      <c r="B98" s="55" t="s">
        <v>465</v>
      </c>
      <c r="C98" s="55" t="s">
        <v>114</v>
      </c>
      <c r="D98" s="56">
        <f>ROUND(SUMIF(RV_DATA!AA69:'RV_DATA'!AA209, 1326408835, RV_DATA!I69:'RV_DATA'!I209), 6)</f>
        <v>1.6218E-2</v>
      </c>
      <c r="E98" s="84">
        <f>ROUND(RV_DATA!N205, 6)</f>
        <v>69897.868799999997</v>
      </c>
      <c r="F98" s="84">
        <f>ROUND(SUMIF(RV_DATA!AA69:'RV_DATA'!AA209, 1326408835, RV_DATA!O69:'RV_DATA'!O209), 6)</f>
        <v>1133.5999999999999</v>
      </c>
      <c r="Q98">
        <v>3</v>
      </c>
    </row>
    <row r="99" spans="1:17" ht="42.75" x14ac:dyDescent="0.2">
      <c r="A99" s="96" t="s">
        <v>1165</v>
      </c>
      <c r="B99" s="55" t="s">
        <v>1167</v>
      </c>
      <c r="C99" s="55" t="s">
        <v>114</v>
      </c>
      <c r="D99" s="56">
        <f>ROUND(SUMIF(RV_DATA!AA69:'RV_DATA'!AA209, 894768414, RV_DATA!I69:'RV_DATA'!I209), 6)</f>
        <v>1.864E-3</v>
      </c>
      <c r="E99" s="84">
        <f>ROUND(RV_DATA!N72, 6)</f>
        <v>64549.29</v>
      </c>
      <c r="F99" s="84">
        <f>ROUND(SUMIF(RV_DATA!AA69:'RV_DATA'!AA209, 894768414, RV_DATA!O69:'RV_DATA'!O209), 6)</f>
        <v>120.2</v>
      </c>
      <c r="Q99">
        <v>3</v>
      </c>
    </row>
    <row r="100" spans="1:17" ht="14.25" x14ac:dyDescent="0.2">
      <c r="A100" s="96" t="s">
        <v>348</v>
      </c>
      <c r="B100" s="55" t="s">
        <v>349</v>
      </c>
      <c r="C100" s="55" t="s">
        <v>94</v>
      </c>
      <c r="D100" s="56">
        <f>ROUND(SUMIF(RV_DATA!AA69:'RV_DATA'!AA209, -338647589, RV_DATA!I69:'RV_DATA'!I209), 6)</f>
        <v>8.9999999999999993E-3</v>
      </c>
      <c r="E100" s="84">
        <f>ROUND(RV_DATA!N126, 6)</f>
        <v>43.48</v>
      </c>
      <c r="F100" s="84">
        <f>ROUND(SUMIF(RV_DATA!AA69:'RV_DATA'!AA209, -338647589, RV_DATA!O69:'RV_DATA'!O209), 6)</f>
        <v>0.38</v>
      </c>
      <c r="Q100">
        <v>3</v>
      </c>
    </row>
    <row r="101" spans="1:17" ht="14.25" x14ac:dyDescent="0.2">
      <c r="A101" s="96" t="s">
        <v>348</v>
      </c>
      <c r="B101" s="55" t="s">
        <v>349</v>
      </c>
      <c r="C101" s="55" t="s">
        <v>94</v>
      </c>
      <c r="D101" s="56">
        <f>ROUND(SUMIF(RV_DATA!AA69:'RV_DATA'!AA209, -1279710304, RV_DATA!I69:'RV_DATA'!I209), 6)</f>
        <v>6.4975000000000005E-2</v>
      </c>
      <c r="E101" s="84">
        <f>ROUND(RV_DATA!N142, 6)</f>
        <v>42.42</v>
      </c>
      <c r="F101" s="84">
        <f>ROUND(SUMIF(RV_DATA!AA69:'RV_DATA'!AA209, -1279710304, RV_DATA!O69:'RV_DATA'!O209), 6)</f>
        <v>2.75</v>
      </c>
      <c r="Q101">
        <v>3</v>
      </c>
    </row>
    <row r="102" spans="1:17" ht="14.25" x14ac:dyDescent="0.2">
      <c r="A102" s="96" t="s">
        <v>1198</v>
      </c>
      <c r="B102" s="55" t="s">
        <v>1200</v>
      </c>
      <c r="C102" s="55" t="s">
        <v>114</v>
      </c>
      <c r="D102" s="56">
        <f>ROUND(SUMIF(RV_DATA!AA69:'RV_DATA'!AA209, -1328956981, RV_DATA!I69:'RV_DATA'!I209), 6)</f>
        <v>1.56E-4</v>
      </c>
      <c r="E102" s="84">
        <f>ROUND(RV_DATA!N92, 6)</f>
        <v>63127.35</v>
      </c>
      <c r="F102" s="84">
        <f>ROUND(SUMIF(RV_DATA!AA69:'RV_DATA'!AA209, -1328956981, RV_DATA!O69:'RV_DATA'!O209), 6)</f>
        <v>9.85</v>
      </c>
      <c r="Q102">
        <v>3</v>
      </c>
    </row>
    <row r="103" spans="1:17" ht="14.25" x14ac:dyDescent="0.2">
      <c r="A103" s="96" t="s">
        <v>1198</v>
      </c>
      <c r="B103" s="55" t="s">
        <v>1200</v>
      </c>
      <c r="C103" s="55" t="s">
        <v>114</v>
      </c>
      <c r="D103" s="56">
        <f>ROUND(SUMIF(RV_DATA!AA69:'RV_DATA'!AA209, -75413624, RV_DATA!I69:'RV_DATA'!I209), 6)</f>
        <v>1.06E-4</v>
      </c>
      <c r="E103" s="84">
        <f>ROUND(RV_DATA!N202, 6)</f>
        <v>63190.47</v>
      </c>
      <c r="F103" s="84">
        <f>ROUND(SUMIF(RV_DATA!AA69:'RV_DATA'!AA209, -75413624, RV_DATA!O69:'RV_DATA'!O209), 6)</f>
        <v>6.69</v>
      </c>
      <c r="Q103">
        <v>3</v>
      </c>
    </row>
    <row r="104" spans="1:17" ht="14.25" x14ac:dyDescent="0.2">
      <c r="A104" s="96" t="s">
        <v>1201</v>
      </c>
      <c r="B104" s="55" t="s">
        <v>1203</v>
      </c>
      <c r="C104" s="55" t="s">
        <v>114</v>
      </c>
      <c r="D104" s="56">
        <f>ROUND(SUMIF(RV_DATA!AA69:'RV_DATA'!AA209, -44344998, RV_DATA!I69:'RV_DATA'!I209), 6)</f>
        <v>7.8999999999999996E-5</v>
      </c>
      <c r="E104" s="84">
        <f>ROUND(RV_DATA!N91, 6)</f>
        <v>84028.81</v>
      </c>
      <c r="F104" s="84">
        <f>ROUND(SUMIF(RV_DATA!AA69:'RV_DATA'!AA209, -44344998, RV_DATA!O69:'RV_DATA'!O209), 6)</f>
        <v>6.67</v>
      </c>
      <c r="Q104">
        <v>3</v>
      </c>
    </row>
    <row r="105" spans="1:17" ht="28.5" x14ac:dyDescent="0.2">
      <c r="A105" s="96" t="s">
        <v>1204</v>
      </c>
      <c r="B105" s="55" t="s">
        <v>1206</v>
      </c>
      <c r="C105" s="55" t="s">
        <v>114</v>
      </c>
      <c r="D105" s="56">
        <f>ROUND(SUMIF(RV_DATA!AA69:'RV_DATA'!AA209, 2009956732, RV_DATA!I69:'RV_DATA'!I209), 6)</f>
        <v>6.0499999999999996E-4</v>
      </c>
      <c r="E105" s="84">
        <f>ROUND(RV_DATA!N90, 6)</f>
        <v>5351.38</v>
      </c>
      <c r="F105" s="84">
        <f>ROUND(SUMIF(RV_DATA!AA69:'RV_DATA'!AA209, 2009956732, RV_DATA!O69:'RV_DATA'!O209), 6)</f>
        <v>3.24</v>
      </c>
      <c r="Q105">
        <v>3</v>
      </c>
    </row>
    <row r="106" spans="1:17" ht="28.5" x14ac:dyDescent="0.2">
      <c r="A106" s="96" t="s">
        <v>1249</v>
      </c>
      <c r="B106" s="55" t="s">
        <v>1251</v>
      </c>
      <c r="C106" s="55" t="s">
        <v>258</v>
      </c>
      <c r="D106" s="56">
        <f>ROUND(SUMIF(RV_DATA!AA69:'RV_DATA'!AA209, -1624005022, RV_DATA!I69:'RV_DATA'!I209), 6)</f>
        <v>0.1072</v>
      </c>
      <c r="E106" s="84">
        <f>ROUND(RV_DATA!N154, 6)</f>
        <v>188.24</v>
      </c>
      <c r="F106" s="84">
        <f>ROUND(SUMIF(RV_DATA!AA69:'RV_DATA'!AA209, -1624005022, RV_DATA!O69:'RV_DATA'!O209), 6)</f>
        <v>20.18</v>
      </c>
      <c r="Q106">
        <v>3</v>
      </c>
    </row>
    <row r="107" spans="1:17" ht="28.5" x14ac:dyDescent="0.2">
      <c r="A107" s="96" t="s">
        <v>363</v>
      </c>
      <c r="B107" s="55" t="s">
        <v>364</v>
      </c>
      <c r="C107" s="55" t="s">
        <v>114</v>
      </c>
      <c r="D107" s="56">
        <f>ROUND(SUMIF(RV_DATA!AA69:'RV_DATA'!AA209, 1924411406, RV_DATA!I69:'RV_DATA'!I209), 6)</f>
        <v>8.6669999999999994E-3</v>
      </c>
      <c r="E107" s="84">
        <f>ROUND(RV_DATA!N148, 6)</f>
        <v>18959.948799999998</v>
      </c>
      <c r="F107" s="84">
        <f>ROUND(SUMIF(RV_DATA!AA69:'RV_DATA'!AA209, 1924411406, RV_DATA!O69:'RV_DATA'!O209), 6)</f>
        <v>164.33</v>
      </c>
      <c r="Q107">
        <v>3</v>
      </c>
    </row>
    <row r="108" spans="1:17" ht="28.5" x14ac:dyDescent="0.2">
      <c r="A108" s="96" t="s">
        <v>1147</v>
      </c>
      <c r="B108" s="55" t="s">
        <v>1149</v>
      </c>
      <c r="C108" s="55" t="s">
        <v>114</v>
      </c>
      <c r="D108" s="56">
        <f>ROUND(SUMIF(RV_DATA!AA69:'RV_DATA'!AA209, 2138865355, RV_DATA!I69:'RV_DATA'!I209), 6)</f>
        <v>3.6499999999999998E-4</v>
      </c>
      <c r="E108" s="84">
        <f>ROUND(RV_DATA!N71, 6)</f>
        <v>145777.99</v>
      </c>
      <c r="F108" s="84">
        <f>ROUND(SUMIF(RV_DATA!AA69:'RV_DATA'!AA209, 2138865355, RV_DATA!O69:'RV_DATA'!O209), 6)</f>
        <v>53.33</v>
      </c>
      <c r="Q108">
        <v>3</v>
      </c>
    </row>
    <row r="109" spans="1:17" ht="14.25" x14ac:dyDescent="0.2">
      <c r="A109" s="96" t="s">
        <v>1228</v>
      </c>
      <c r="B109" s="55" t="s">
        <v>1230</v>
      </c>
      <c r="C109" s="55" t="s">
        <v>114</v>
      </c>
      <c r="D109" s="56">
        <f>ROUND(SUMIF(RV_DATA!AA69:'RV_DATA'!AA209, -796581828, RV_DATA!I69:'RV_DATA'!I209), 6)</f>
        <v>5.4000000000000001E-4</v>
      </c>
      <c r="E109" s="84">
        <f>ROUND(RV_DATA!N119, 6)</f>
        <v>147006.14000000001</v>
      </c>
      <c r="F109" s="84">
        <f>ROUND(SUMIF(RV_DATA!AA69:'RV_DATA'!AA209, -796581828, RV_DATA!O69:'RV_DATA'!O209), 6)</f>
        <v>79.34</v>
      </c>
      <c r="Q109">
        <v>3</v>
      </c>
    </row>
    <row r="110" spans="1:17" ht="171" x14ac:dyDescent="0.2">
      <c r="A110" s="96" t="s">
        <v>372</v>
      </c>
      <c r="B110" s="55" t="s">
        <v>1564</v>
      </c>
      <c r="C110" s="55" t="s">
        <v>114</v>
      </c>
      <c r="D110" s="56">
        <f>ROUND(SUMIF(RV_DATA!AA69:'RV_DATA'!AA209, -880533445, RV_DATA!I69:'RV_DATA'!I209), 6)</f>
        <v>1.0142999999999999E-2</v>
      </c>
      <c r="E110" s="84">
        <f>ROUND(RV_DATA!N150, 6)</f>
        <v>125845.82399999999</v>
      </c>
      <c r="F110" s="84">
        <f>ROUND(SUMIF(RV_DATA!AA69:'RV_DATA'!AA209, -880533445, RV_DATA!O69:'RV_DATA'!O209), 6)</f>
        <v>1276.45</v>
      </c>
      <c r="Q110">
        <v>3</v>
      </c>
    </row>
    <row r="111" spans="1:17" ht="28.5" x14ac:dyDescent="0.2">
      <c r="A111" s="96" t="s">
        <v>1207</v>
      </c>
      <c r="B111" s="55" t="s">
        <v>1209</v>
      </c>
      <c r="C111" s="55" t="s">
        <v>94</v>
      </c>
      <c r="D111" s="56">
        <f>ROUND(SUMIF(RV_DATA!AA69:'RV_DATA'!AA209, -2028977637, RV_DATA!I69:'RV_DATA'!I209), 6)</f>
        <v>3.0240000000000002E-3</v>
      </c>
      <c r="E111" s="84">
        <f>ROUND(RV_DATA!N89, 6)</f>
        <v>7222.81</v>
      </c>
      <c r="F111" s="84">
        <f>ROUND(SUMIF(RV_DATA!AA69:'RV_DATA'!AA209, -2028977637, RV_DATA!O69:'RV_DATA'!O209), 6)</f>
        <v>21.84</v>
      </c>
      <c r="Q111">
        <v>3</v>
      </c>
    </row>
    <row r="112" spans="1:17" ht="71.25" x14ac:dyDescent="0.2">
      <c r="A112" s="96" t="s">
        <v>416</v>
      </c>
      <c r="B112" s="55" t="s">
        <v>417</v>
      </c>
      <c r="C112" s="55" t="s">
        <v>258</v>
      </c>
      <c r="D112" s="56">
        <f>ROUND(SUMIF(RV_DATA!AA69:'RV_DATA'!AA209, 401440268, RV_DATA!I69:'RV_DATA'!I209), 6)</f>
        <v>0</v>
      </c>
      <c r="E112" s="84">
        <f>ROUND(RV_DATA!N175, 6)</f>
        <v>690.15</v>
      </c>
      <c r="F112" s="84">
        <f>ROUND(SUMIF(RV_DATA!AA69:'RV_DATA'!AA209, 401440268, RV_DATA!O69:'RV_DATA'!O209), 6)</f>
        <v>0</v>
      </c>
      <c r="Q112">
        <v>3</v>
      </c>
    </row>
    <row r="113" spans="1:17" ht="71.25" x14ac:dyDescent="0.2">
      <c r="A113" s="96" t="s">
        <v>416</v>
      </c>
      <c r="B113" s="55" t="s">
        <v>450</v>
      </c>
      <c r="C113" s="55" t="s">
        <v>258</v>
      </c>
      <c r="D113" s="56">
        <f>ROUND(SUMIF(RV_DATA!AA69:'RV_DATA'!AA209, -2010794420, RV_DATA!I69:'RV_DATA'!I209), 6)</f>
        <v>0</v>
      </c>
      <c r="E113" s="84">
        <f>ROUND(RV_DATA!N200, 6)</f>
        <v>690.15</v>
      </c>
      <c r="F113" s="84">
        <f>ROUND(SUMIF(RV_DATA!AA69:'RV_DATA'!AA209, -2010794420, RV_DATA!O69:'RV_DATA'!O209), 6)</f>
        <v>0</v>
      </c>
      <c r="Q113">
        <v>3</v>
      </c>
    </row>
    <row r="114" spans="1:17" ht="14.25" x14ac:dyDescent="0.2">
      <c r="A114" s="96" t="s">
        <v>1222</v>
      </c>
      <c r="B114" s="55" t="s">
        <v>1224</v>
      </c>
      <c r="C114" s="55" t="s">
        <v>250</v>
      </c>
      <c r="D114" s="56">
        <f>ROUND(SUMIF(RV_DATA!AA69:'RV_DATA'!AA209, -1053035890, RV_DATA!I69:'RV_DATA'!I209), 6)</f>
        <v>12.408899999999999</v>
      </c>
      <c r="E114" s="84">
        <f>ROUND(RV_DATA!N101, 6)</f>
        <v>10.66</v>
      </c>
      <c r="F114" s="84">
        <f>ROUND(SUMIF(RV_DATA!AA69:'RV_DATA'!AA209, -1053035890, RV_DATA!O69:'RV_DATA'!O209), 6)</f>
        <v>132.22999999999999</v>
      </c>
      <c r="Q114">
        <v>3</v>
      </c>
    </row>
    <row r="115" spans="1:17" ht="71.25" x14ac:dyDescent="0.2">
      <c r="A115" s="96" t="s">
        <v>1264</v>
      </c>
      <c r="B115" s="55" t="s">
        <v>1266</v>
      </c>
      <c r="C115" s="55" t="s">
        <v>114</v>
      </c>
      <c r="D115" s="56">
        <f>ROUND(SUMIF(RV_DATA!AA69:'RV_DATA'!AA209, 2053038425, RV_DATA!I69:'RV_DATA'!I209), 6)</f>
        <v>1.31E-3</v>
      </c>
      <c r="E115" s="84">
        <f>ROUND(RV_DATA!N166, 6)</f>
        <v>224326.52</v>
      </c>
      <c r="F115" s="84">
        <f>ROUND(SUMIF(RV_DATA!AA69:'RV_DATA'!AA209, 2053038425, RV_DATA!O69:'RV_DATA'!O209), 6)</f>
        <v>293.87</v>
      </c>
      <c r="Q115">
        <v>3</v>
      </c>
    </row>
    <row r="116" spans="1:17" ht="28.5" x14ac:dyDescent="0.2">
      <c r="A116" s="96" t="s">
        <v>1285</v>
      </c>
      <c r="B116" s="55" t="s">
        <v>1287</v>
      </c>
      <c r="C116" s="55" t="s">
        <v>258</v>
      </c>
      <c r="D116" s="56">
        <f>ROUND(SUMIF(RV_DATA!AA69:'RV_DATA'!AA209, -1739370054, RV_DATA!I69:'RV_DATA'!I209), 6)</f>
        <v>0.7</v>
      </c>
      <c r="E116" s="84">
        <f>ROUND(RV_DATA!N182, 6)</f>
        <v>7.83</v>
      </c>
      <c r="F116" s="84">
        <f>ROUND(SUMIF(RV_DATA!AA69:'RV_DATA'!AA209, -1739370054, RV_DATA!O69:'RV_DATA'!O209), 6)</f>
        <v>5.48</v>
      </c>
      <c r="Q116">
        <v>3</v>
      </c>
    </row>
    <row r="117" spans="1:17" ht="28.5" x14ac:dyDescent="0.2">
      <c r="A117" s="96" t="s">
        <v>1186</v>
      </c>
      <c r="B117" s="55" t="s">
        <v>1188</v>
      </c>
      <c r="C117" s="55" t="s">
        <v>369</v>
      </c>
      <c r="D117" s="56">
        <f>ROUND(SUMIF(RV_DATA!AA69:'RV_DATA'!AA209, 1239765437, RV_DATA!I69:'RV_DATA'!I209), 6)</f>
        <v>0.02</v>
      </c>
      <c r="E117" s="84">
        <f>ROUND(RV_DATA!N77, 6)</f>
        <v>118.03</v>
      </c>
      <c r="F117" s="84">
        <f>ROUND(SUMIF(RV_DATA!AA69:'RV_DATA'!AA209, 1239765437, RV_DATA!O69:'RV_DATA'!O209), 6)</f>
        <v>2.34</v>
      </c>
      <c r="Q117">
        <v>3</v>
      </c>
    </row>
    <row r="118" spans="1:17" ht="57" x14ac:dyDescent="0.2">
      <c r="A118" s="96" t="s">
        <v>367</v>
      </c>
      <c r="B118" s="55" t="s">
        <v>368</v>
      </c>
      <c r="C118" s="55" t="s">
        <v>369</v>
      </c>
      <c r="D118" s="56">
        <f>ROUND(SUMIF(RV_DATA!AA69:'RV_DATA'!AA209, -671505445, RV_DATA!I69:'RV_DATA'!I209), 6)</f>
        <v>8.2000519999999995</v>
      </c>
      <c r="E118" s="84">
        <f>ROUND(RV_DATA!N149, 6)</f>
        <v>103.7484</v>
      </c>
      <c r="F118" s="84">
        <f>ROUND(SUMIF(RV_DATA!AA69:'RV_DATA'!AA209, -671505445, RV_DATA!O69:'RV_DATA'!O209), 6)</f>
        <v>850.74</v>
      </c>
      <c r="Q118">
        <v>3</v>
      </c>
    </row>
    <row r="119" spans="1:17" ht="185.25" x14ac:dyDescent="0.2">
      <c r="A119" s="96" t="s">
        <v>269</v>
      </c>
      <c r="B119" s="55" t="s">
        <v>1561</v>
      </c>
      <c r="C119" s="55" t="s">
        <v>270</v>
      </c>
      <c r="D119" s="56">
        <f>ROUND(SUMIF(RV_DATA!AA69:'RV_DATA'!AA209, -337826950, RV_DATA!I69:'RV_DATA'!I209), 6)</f>
        <v>8.6981999999999999</v>
      </c>
      <c r="E119" s="84">
        <f>ROUND(RV_DATA!N106, 6)</f>
        <v>12.929399999999999</v>
      </c>
      <c r="F119" s="84">
        <f>ROUND(SUMIF(RV_DATA!AA69:'RV_DATA'!AA209, -337826950, RV_DATA!O69:'RV_DATA'!O209), 6)</f>
        <v>112.46</v>
      </c>
      <c r="Q119">
        <v>3</v>
      </c>
    </row>
    <row r="120" spans="1:17" ht="213.75" x14ac:dyDescent="0.2">
      <c r="A120" s="96" t="s">
        <v>273</v>
      </c>
      <c r="B120" s="55" t="s">
        <v>1562</v>
      </c>
      <c r="C120" s="55" t="s">
        <v>270</v>
      </c>
      <c r="D120" s="56">
        <f>ROUND(SUMIF(RV_DATA!AA69:'RV_DATA'!AA209, 1135357084, RV_DATA!I69:'RV_DATA'!I209), 6)</f>
        <v>1.5960000000000001</v>
      </c>
      <c r="E120" s="84">
        <f>ROUND(RV_DATA!N107, 6)</f>
        <v>8.5555000000000003</v>
      </c>
      <c r="F120" s="84">
        <f>ROUND(SUMIF(RV_DATA!AA69:'RV_DATA'!AA209, 1135357084, RV_DATA!O69:'RV_DATA'!O209), 6)</f>
        <v>13.65</v>
      </c>
      <c r="Q120">
        <v>3</v>
      </c>
    </row>
    <row r="121" spans="1:17" ht="42.75" x14ac:dyDescent="0.2">
      <c r="A121" s="96" t="s">
        <v>438</v>
      </c>
      <c r="B121" s="55" t="s">
        <v>439</v>
      </c>
      <c r="C121" s="55" t="s">
        <v>369</v>
      </c>
      <c r="D121" s="56">
        <f>ROUND(SUMIF(RV_DATA!AA69:'RV_DATA'!AA209, -1838121836, RV_DATA!I69:'RV_DATA'!I209), 6)</f>
        <v>1.4</v>
      </c>
      <c r="E121" s="84">
        <f>ROUND(RV_DATA!N189, 6)</f>
        <v>744.57600000000002</v>
      </c>
      <c r="F121" s="84">
        <f>ROUND(SUMIF(RV_DATA!AA69:'RV_DATA'!AA209, -1838121836, RV_DATA!O69:'RV_DATA'!O209), 6)</f>
        <v>1042.4100000000001</v>
      </c>
      <c r="Q121">
        <v>3</v>
      </c>
    </row>
    <row r="122" spans="1:17" ht="14.25" x14ac:dyDescent="0.2">
      <c r="A122" s="96" t="s">
        <v>1267</v>
      </c>
      <c r="B122" s="55" t="s">
        <v>1269</v>
      </c>
      <c r="C122" s="55" t="s">
        <v>114</v>
      </c>
      <c r="D122" s="56">
        <f>ROUND(SUMIF(RV_DATA!AA69:'RV_DATA'!AA209, 1013717763, RV_DATA!I69:'RV_DATA'!I209), 6)</f>
        <v>3.8500000000000001E-3</v>
      </c>
      <c r="E122" s="84">
        <f>ROUND(RV_DATA!N178, 6)</f>
        <v>51002.79</v>
      </c>
      <c r="F122" s="84">
        <f>ROUND(SUMIF(RV_DATA!AA69:'RV_DATA'!AA209, 1013717763, RV_DATA!O69:'RV_DATA'!O209), 6)</f>
        <v>196.36</v>
      </c>
      <c r="Q122">
        <v>3</v>
      </c>
    </row>
    <row r="123" spans="1:17" ht="28.5" x14ac:dyDescent="0.2">
      <c r="A123" s="96" t="s">
        <v>314</v>
      </c>
      <c r="B123" s="55" t="s">
        <v>315</v>
      </c>
      <c r="C123" s="55" t="s">
        <v>316</v>
      </c>
      <c r="D123" s="56">
        <f>ROUND(SUMIF(RV_DATA!AA69:'RV_DATA'!AA209, -902385021, RV_DATA!I69:'RV_DATA'!I209), 6)</f>
        <v>0.15</v>
      </c>
      <c r="E123" s="84">
        <f>ROUND(RV_DATA!N128, 6)</f>
        <v>16608.696</v>
      </c>
      <c r="F123" s="84">
        <f>ROUND(SUMIF(RV_DATA!AA69:'RV_DATA'!AA209, -902385021, RV_DATA!O69:'RV_DATA'!O209), 6)</f>
        <v>2491.3000000000002</v>
      </c>
      <c r="Q123">
        <v>3</v>
      </c>
    </row>
    <row r="124" spans="1:17" ht="14.25" x14ac:dyDescent="0.2">
      <c r="A124" s="96" t="s">
        <v>1252</v>
      </c>
      <c r="B124" s="55" t="s">
        <v>1254</v>
      </c>
      <c r="C124" s="55" t="s">
        <v>114</v>
      </c>
      <c r="D124" s="56">
        <f>ROUND(SUMIF(RV_DATA!AA69:'RV_DATA'!AA209, -1271073593, RV_DATA!I69:'RV_DATA'!I209), 6)</f>
        <v>1.63E-4</v>
      </c>
      <c r="E124" s="84">
        <f>ROUND(RV_DATA!N153, 6)</f>
        <v>525853.11</v>
      </c>
      <c r="F124" s="84">
        <f>ROUND(SUMIF(RV_DATA!AA69:'RV_DATA'!AA209, -1271073593, RV_DATA!O69:'RV_DATA'!O209), 6)</f>
        <v>85.62</v>
      </c>
      <c r="Q124">
        <v>3</v>
      </c>
    </row>
    <row r="125" spans="1:17" ht="28.5" x14ac:dyDescent="0.2">
      <c r="A125" s="96" t="s">
        <v>337</v>
      </c>
      <c r="B125" s="55" t="s">
        <v>338</v>
      </c>
      <c r="C125" s="55" t="s">
        <v>258</v>
      </c>
      <c r="D125" s="56">
        <f>ROUND(SUMIF(RV_DATA!AA69:'RV_DATA'!AA209, -1288350965, RV_DATA!I69:'RV_DATA'!I209), 6)</f>
        <v>42.2</v>
      </c>
      <c r="E125" s="84">
        <f>ROUND(RV_DATA!N136, 6)</f>
        <v>841.08640000000003</v>
      </c>
      <c r="F125" s="84">
        <f>ROUND(SUMIF(RV_DATA!AA69:'RV_DATA'!AA209, -1288350965, RV_DATA!O69:'RV_DATA'!O209), 6)</f>
        <v>35493.85</v>
      </c>
      <c r="Q125">
        <v>3</v>
      </c>
    </row>
    <row r="126" spans="1:17" ht="14.25" x14ac:dyDescent="0.2">
      <c r="A126" s="96" t="s">
        <v>1288</v>
      </c>
      <c r="B126" s="55" t="s">
        <v>1290</v>
      </c>
      <c r="C126" s="55" t="s">
        <v>114</v>
      </c>
      <c r="D126" s="56">
        <f>ROUND(SUMIF(RV_DATA!AA69:'RV_DATA'!AA209, 2106530455, RV_DATA!I69:'RV_DATA'!I209), 6)</f>
        <v>2.7079999999999999E-3</v>
      </c>
      <c r="E126" s="84">
        <f>ROUND(RV_DATA!N201, 6)</f>
        <v>893747.75</v>
      </c>
      <c r="F126" s="84">
        <f>ROUND(SUMIF(RV_DATA!AA69:'RV_DATA'!AA209, 2106530455, RV_DATA!O69:'RV_DATA'!O209), 6)</f>
        <v>2418.11</v>
      </c>
      <c r="Q126">
        <v>3</v>
      </c>
    </row>
    <row r="127" spans="1:17" ht="42.75" x14ac:dyDescent="0.2">
      <c r="A127" s="96" t="s">
        <v>382</v>
      </c>
      <c r="B127" s="55" t="s">
        <v>383</v>
      </c>
      <c r="C127" s="55" t="s">
        <v>114</v>
      </c>
      <c r="D127" s="56">
        <f>ROUND(SUMIF(RV_DATA!AA69:'RV_DATA'!AA209, 111548492, RV_DATA!I69:'RV_DATA'!I209), 6)</f>
        <v>4.4889999999999999E-3</v>
      </c>
      <c r="E127" s="84">
        <f>ROUND(RV_DATA!N159, 6)</f>
        <v>46663.387799999997</v>
      </c>
      <c r="F127" s="84">
        <f>ROUND(SUMIF(RV_DATA!AA69:'RV_DATA'!AA209, 111548492, RV_DATA!O69:'RV_DATA'!O209), 6)</f>
        <v>209.47</v>
      </c>
      <c r="Q127">
        <v>3</v>
      </c>
    </row>
    <row r="128" spans="1:17" ht="28.5" x14ac:dyDescent="0.2">
      <c r="A128" s="96" t="s">
        <v>1270</v>
      </c>
      <c r="B128" s="55" t="s">
        <v>1272</v>
      </c>
      <c r="C128" s="55" t="s">
        <v>114</v>
      </c>
      <c r="D128" s="56">
        <f>ROUND(SUMIF(RV_DATA!AA69:'RV_DATA'!AA209, -1689811678, RV_DATA!I69:'RV_DATA'!I209), 6)</f>
        <v>1.6800000000000001E-3</v>
      </c>
      <c r="E128" s="84">
        <f>ROUND(RV_DATA!N177, 6)</f>
        <v>18982.54</v>
      </c>
      <c r="F128" s="84">
        <f>ROUND(SUMIF(RV_DATA!AA69:'RV_DATA'!AA209, -1689811678, RV_DATA!O69:'RV_DATA'!O209), 6)</f>
        <v>31.89</v>
      </c>
      <c r="Q128">
        <v>3</v>
      </c>
    </row>
    <row r="129" spans="1:17" ht="28.5" x14ac:dyDescent="0.2">
      <c r="A129" s="96" t="s">
        <v>1231</v>
      </c>
      <c r="B129" s="55" t="s">
        <v>1233</v>
      </c>
      <c r="C129" s="55" t="s">
        <v>114</v>
      </c>
      <c r="D129" s="56">
        <f>ROUND(SUMIF(RV_DATA!AA69:'RV_DATA'!AA209, -1809354639, RV_DATA!I69:'RV_DATA'!I209), 6)</f>
        <v>5.7800000000000004E-3</v>
      </c>
      <c r="E129" s="84">
        <f>ROUND(RV_DATA!N118, 6)</f>
        <v>128713.75</v>
      </c>
      <c r="F129" s="84">
        <f>ROUND(SUMIF(RV_DATA!AA69:'RV_DATA'!AA209, -1809354639, RV_DATA!O69:'RV_DATA'!O209), 6)</f>
        <v>743.97</v>
      </c>
      <c r="Q129">
        <v>3</v>
      </c>
    </row>
    <row r="130" spans="1:17" ht="42.75" x14ac:dyDescent="0.2">
      <c r="A130" s="96" t="s">
        <v>1273</v>
      </c>
      <c r="B130" s="55" t="s">
        <v>1275</v>
      </c>
      <c r="C130" s="55" t="s">
        <v>114</v>
      </c>
      <c r="D130" s="56">
        <f>ROUND(SUMIF(RV_DATA!AA69:'RV_DATA'!AA209, -1336618475, RV_DATA!I69:'RV_DATA'!I209), 6)</f>
        <v>3.7100000000000001E-2</v>
      </c>
      <c r="E130" s="84">
        <f>ROUND(RV_DATA!N176, 6)</f>
        <v>72239.259999999995</v>
      </c>
      <c r="F130" s="84">
        <f>ROUND(SUMIF(RV_DATA!AA69:'RV_DATA'!AA209, -1336618475, RV_DATA!O69:'RV_DATA'!O209), 6)</f>
        <v>2680.08</v>
      </c>
      <c r="Q130">
        <v>3</v>
      </c>
    </row>
    <row r="131" spans="1:17" ht="14.25" x14ac:dyDescent="0.2">
      <c r="A131" s="96" t="s">
        <v>1255</v>
      </c>
      <c r="B131" s="55" t="s">
        <v>1257</v>
      </c>
      <c r="C131" s="55" t="s">
        <v>114</v>
      </c>
      <c r="D131" s="56">
        <f>ROUND(SUMIF(RV_DATA!AA69:'RV_DATA'!AA209, 1293836363, RV_DATA!I69:'RV_DATA'!I209), 6)</f>
        <v>8.0400000000000003E-4</v>
      </c>
      <c r="E131" s="84">
        <f>ROUND(RV_DATA!N152, 6)</f>
        <v>6460.74</v>
      </c>
      <c r="F131" s="84">
        <f>ROUND(SUMIF(RV_DATA!AA69:'RV_DATA'!AA209, 1293836363, RV_DATA!O69:'RV_DATA'!O209), 6)</f>
        <v>5.19</v>
      </c>
      <c r="Q131">
        <v>3</v>
      </c>
    </row>
    <row r="132" spans="1:17" ht="14.25" x14ac:dyDescent="0.2">
      <c r="A132" s="96" t="s">
        <v>1258</v>
      </c>
      <c r="B132" s="55" t="s">
        <v>1260</v>
      </c>
      <c r="C132" s="55" t="s">
        <v>114</v>
      </c>
      <c r="D132" s="56">
        <f>ROUND(SUMIF(RV_DATA!AA69:'RV_DATA'!AA209, -240268513, RV_DATA!I69:'RV_DATA'!I209), 6)</f>
        <v>4.3000000000000002E-5</v>
      </c>
      <c r="E132" s="84">
        <f>ROUND(RV_DATA!N151, 6)</f>
        <v>23124.37</v>
      </c>
      <c r="F132" s="84">
        <f>ROUND(SUMIF(RV_DATA!AA69:'RV_DATA'!AA209, -240268513, RV_DATA!O69:'RV_DATA'!O209), 6)</f>
        <v>0.99</v>
      </c>
      <c r="Q132">
        <v>3</v>
      </c>
    </row>
    <row r="133" spans="1:17" ht="14.25" x14ac:dyDescent="0.2">
      <c r="A133" s="96" t="s">
        <v>1210</v>
      </c>
      <c r="B133" s="55" t="s">
        <v>1212</v>
      </c>
      <c r="C133" s="55" t="s">
        <v>369</v>
      </c>
      <c r="D133" s="56">
        <f>ROUND(SUMIF(RV_DATA!AA69:'RV_DATA'!AA209, -1592772059, RV_DATA!I69:'RV_DATA'!I209), 6)</f>
        <v>4.0823999999999998</v>
      </c>
      <c r="E133" s="84">
        <f>ROUND(RV_DATA!N88, 6)</f>
        <v>98.3</v>
      </c>
      <c r="F133" s="84">
        <f>ROUND(SUMIF(RV_DATA!AA69:'RV_DATA'!AA209, -1592772059, RV_DATA!O69:'RV_DATA'!O209), 6)</f>
        <v>401.32</v>
      </c>
      <c r="Q133">
        <v>3</v>
      </c>
    </row>
    <row r="134" spans="1:17" ht="14.25" x14ac:dyDescent="0.2">
      <c r="A134" s="96" t="s">
        <v>1168</v>
      </c>
      <c r="B134" s="55" t="s">
        <v>1170</v>
      </c>
      <c r="C134" s="55" t="s">
        <v>870</v>
      </c>
      <c r="D134" s="56">
        <f>ROUND(SUMIF(RV_DATA!AA69:'RV_DATA'!AA209, -2013463193, RV_DATA!I69:'RV_DATA'!I209), 6)</f>
        <v>3.1635870000000001</v>
      </c>
      <c r="E134" s="84">
        <f>ROUND(RV_DATA!N70, 6)</f>
        <v>268.02999999999997</v>
      </c>
      <c r="F134" s="84">
        <f>ROUND(SUMIF(RV_DATA!AA69:'RV_DATA'!AA209, -2013463193, RV_DATA!O69:'RV_DATA'!O209), 6)</f>
        <v>847.89</v>
      </c>
      <c r="Q134">
        <v>3</v>
      </c>
    </row>
    <row r="135" spans="1:17" ht="28.5" x14ac:dyDescent="0.2">
      <c r="A135" s="96" t="s">
        <v>1213</v>
      </c>
      <c r="B135" s="55" t="s">
        <v>1215</v>
      </c>
      <c r="C135" s="55" t="s">
        <v>258</v>
      </c>
      <c r="D135" s="56">
        <f>ROUND(SUMIF(RV_DATA!AA69:'RV_DATA'!AA209, -23180890, RV_DATA!I69:'RV_DATA'!I209), 6)</f>
        <v>3.3641999999999999</v>
      </c>
      <c r="E135" s="84">
        <f>ROUND(RV_DATA!N87, 6)</f>
        <v>14.66</v>
      </c>
      <c r="F135" s="84">
        <f>ROUND(SUMIF(RV_DATA!AA69:'RV_DATA'!AA209, -23180890, RV_DATA!O69:'RV_DATA'!O209), 6)</f>
        <v>49.31</v>
      </c>
      <c r="Q135">
        <v>3</v>
      </c>
    </row>
    <row r="136" spans="1:17" ht="42.75" x14ac:dyDescent="0.2">
      <c r="A136" s="96" t="s">
        <v>1234</v>
      </c>
      <c r="B136" s="55" t="s">
        <v>1236</v>
      </c>
      <c r="C136" s="55" t="s">
        <v>94</v>
      </c>
      <c r="D136" s="56">
        <f>ROUND(SUMIF(RV_DATA!AA69:'RV_DATA'!AA209, -659171869, RV_DATA!I69:'RV_DATA'!I209), 6)</f>
        <v>4.8000000000000001E-4</v>
      </c>
      <c r="E136" s="84">
        <f>ROUND(RV_DATA!N125, 6)</f>
        <v>9628.9500000000007</v>
      </c>
      <c r="F136" s="84">
        <f>ROUND(SUMIF(RV_DATA!AA69:'RV_DATA'!AA209, -659171869, RV_DATA!O69:'RV_DATA'!O209), 6)</f>
        <v>4.51</v>
      </c>
      <c r="Q136">
        <v>3</v>
      </c>
    </row>
    <row r="137" spans="1:17" ht="42.75" x14ac:dyDescent="0.2">
      <c r="A137" s="96" t="s">
        <v>1237</v>
      </c>
      <c r="B137" s="55" t="s">
        <v>1239</v>
      </c>
      <c r="C137" s="55" t="s">
        <v>114</v>
      </c>
      <c r="D137" s="56">
        <f>ROUND(SUMIF(RV_DATA!AA69:'RV_DATA'!AA209, 1376669204, RV_DATA!I69:'RV_DATA'!I209), 6)</f>
        <v>6.8999999999999997E-5</v>
      </c>
      <c r="E137" s="84">
        <f>ROUND(RV_DATA!N124, 6)</f>
        <v>55916.87</v>
      </c>
      <c r="F137" s="84">
        <f>ROUND(SUMIF(RV_DATA!AA69:'RV_DATA'!AA209, 1376669204, RV_DATA!O69:'RV_DATA'!O209), 6)</f>
        <v>3.76</v>
      </c>
      <c r="Q137">
        <v>3</v>
      </c>
    </row>
    <row r="138" spans="1:17" ht="42.75" x14ac:dyDescent="0.2">
      <c r="A138" s="96" t="s">
        <v>1237</v>
      </c>
      <c r="B138" s="55" t="s">
        <v>1239</v>
      </c>
      <c r="C138" s="55" t="s">
        <v>114</v>
      </c>
      <c r="D138" s="56">
        <f>ROUND(SUMIF(RV_DATA!AA69:'RV_DATA'!AA209, -756684054, RV_DATA!I69:'RV_DATA'!I209), 6)</f>
        <v>5.8900000000000003E-3</v>
      </c>
      <c r="E138" s="84">
        <f>ROUND(RV_DATA!N206, 6)</f>
        <v>54607.59</v>
      </c>
      <c r="F138" s="84">
        <f>ROUND(SUMIF(RV_DATA!AA69:'RV_DATA'!AA209, -756684054, RV_DATA!O69:'RV_DATA'!O209), 6)</f>
        <v>321.32</v>
      </c>
      <c r="Q138">
        <v>3</v>
      </c>
    </row>
    <row r="139" spans="1:17" ht="42.75" x14ac:dyDescent="0.2">
      <c r="A139" s="96" t="s">
        <v>460</v>
      </c>
      <c r="B139" s="55" t="s">
        <v>461</v>
      </c>
      <c r="C139" s="55" t="s">
        <v>114</v>
      </c>
      <c r="D139" s="56">
        <f>ROUND(SUMIF(RV_DATA!AA69:'RV_DATA'!AA209, 629686513, RV_DATA!I69:'RV_DATA'!I209), 6)</f>
        <v>3.4979999999999998E-3</v>
      </c>
      <c r="E139" s="84">
        <f>ROUND(RV_DATA!N204, 6)</f>
        <v>54553.040399999998</v>
      </c>
      <c r="F139" s="84">
        <f>ROUND(SUMIF(RV_DATA!AA69:'RV_DATA'!AA209, 629686513, RV_DATA!O69:'RV_DATA'!O209), 6)</f>
        <v>190.83</v>
      </c>
      <c r="Q139">
        <v>3</v>
      </c>
    </row>
    <row r="140" spans="1:17" ht="28.5" x14ac:dyDescent="0.2">
      <c r="A140" s="96" t="s">
        <v>319</v>
      </c>
      <c r="B140" s="55" t="s">
        <v>320</v>
      </c>
      <c r="C140" s="55" t="s">
        <v>94</v>
      </c>
      <c r="D140" s="56">
        <f>ROUND(SUMIF(RV_DATA!AA69:'RV_DATA'!AA209, -603031038, RV_DATA!I69:'RV_DATA'!I209), 6)</f>
        <v>0.44124400000000003</v>
      </c>
      <c r="E140" s="84">
        <f>ROUND(RV_DATA!N129, 6)</f>
        <v>4542.3366999999998</v>
      </c>
      <c r="F140" s="84">
        <f>ROUND(SUMIF(RV_DATA!AA69:'RV_DATA'!AA209, -603031038, RV_DATA!O69:'RV_DATA'!O209), 6)</f>
        <v>2004.28</v>
      </c>
      <c r="Q140">
        <v>3</v>
      </c>
    </row>
    <row r="141" spans="1:17" ht="42.75" x14ac:dyDescent="0.2">
      <c r="A141" s="96" t="s">
        <v>409</v>
      </c>
      <c r="B141" s="55" t="s">
        <v>410</v>
      </c>
      <c r="C141" s="55" t="s">
        <v>114</v>
      </c>
      <c r="D141" s="56">
        <f>ROUND(SUMIF(RV_DATA!AA69:'RV_DATA'!AA209, -446712842, RV_DATA!I69:'RV_DATA'!I209), 6)</f>
        <v>6.157E-2</v>
      </c>
      <c r="E141" s="84">
        <f>ROUND(RV_DATA!N173, 6)</f>
        <v>27054.4833</v>
      </c>
      <c r="F141" s="84">
        <f>ROUND(SUMIF(RV_DATA!AA69:'RV_DATA'!AA209, -446712842, RV_DATA!O69:'RV_DATA'!O209), 6)</f>
        <v>1665.74</v>
      </c>
      <c r="Q141">
        <v>3</v>
      </c>
    </row>
    <row r="142" spans="1:17" ht="28.5" x14ac:dyDescent="0.2">
      <c r="A142" s="96" t="s">
        <v>405</v>
      </c>
      <c r="B142" s="55" t="s">
        <v>406</v>
      </c>
      <c r="C142" s="55" t="s">
        <v>114</v>
      </c>
      <c r="D142" s="56">
        <f>ROUND(SUMIF(RV_DATA!AA69:'RV_DATA'!AA209, 1666833858, RV_DATA!I69:'RV_DATA'!I209), 6)</f>
        <v>1.3100000000000001E-2</v>
      </c>
      <c r="E142" s="84">
        <f>ROUND(RV_DATA!N172, 6)</f>
        <v>63481.394399999997</v>
      </c>
      <c r="F142" s="84">
        <f>ROUND(SUMIF(RV_DATA!AA69:'RV_DATA'!AA209, 1666833858, RV_DATA!O69:'RV_DATA'!O209), 6)</f>
        <v>831.61</v>
      </c>
      <c r="Q142">
        <v>3</v>
      </c>
    </row>
    <row r="143" spans="1:17" ht="14.25" x14ac:dyDescent="0.2">
      <c r="A143" s="96" t="s">
        <v>1216</v>
      </c>
      <c r="B143" s="55" t="s">
        <v>1218</v>
      </c>
      <c r="C143" s="55" t="s">
        <v>94</v>
      </c>
      <c r="D143" s="56">
        <f>ROUND(SUMIF(RV_DATA!AA69:'RV_DATA'!AA209, 1227562306, RV_DATA!I69:'RV_DATA'!I209), 6)</f>
        <v>3.9690000000000003E-3</v>
      </c>
      <c r="E143" s="84">
        <f>ROUND(RV_DATA!N86, 6)</f>
        <v>4712.46</v>
      </c>
      <c r="F143" s="84">
        <f>ROUND(SUMIF(RV_DATA!AA69:'RV_DATA'!AA209, 1227562306, RV_DATA!O69:'RV_DATA'!O209), 6)</f>
        <v>18.7</v>
      </c>
      <c r="Q143">
        <v>3</v>
      </c>
    </row>
    <row r="144" spans="1:17" ht="242.25" x14ac:dyDescent="0.2">
      <c r="A144" s="96" t="s">
        <v>352</v>
      </c>
      <c r="B144" s="55" t="s">
        <v>1563</v>
      </c>
      <c r="C144" s="55" t="s">
        <v>114</v>
      </c>
      <c r="D144" s="56">
        <f>ROUND(SUMIF(RV_DATA!AA69:'RV_DATA'!AA209, -1628290636, RV_DATA!I69:'RV_DATA'!I209), 6)</f>
        <v>5.9040000000000002E-2</v>
      </c>
      <c r="E144" s="84">
        <f>ROUND(RV_DATA!N143, 6)</f>
        <v>8935.3950000000004</v>
      </c>
      <c r="F144" s="84">
        <f>ROUND(SUMIF(RV_DATA!AA69:'RV_DATA'!AA209, -1628290636, RV_DATA!O69:'RV_DATA'!O209), 6)</f>
        <v>527.54999999999995</v>
      </c>
      <c r="Q144">
        <v>3</v>
      </c>
    </row>
    <row r="145" spans="1:17" ht="57" x14ac:dyDescent="0.2">
      <c r="A145" s="96" t="s">
        <v>442</v>
      </c>
      <c r="B145" s="55" t="s">
        <v>443</v>
      </c>
      <c r="C145" s="55" t="s">
        <v>114</v>
      </c>
      <c r="D145" s="56">
        <f>ROUND(SUMIF(RV_DATA!AA69:'RV_DATA'!AA209, 1869617654, RV_DATA!I69:'RV_DATA'!I209), 6)</f>
        <v>5.8939999999999999E-2</v>
      </c>
      <c r="E145" s="84">
        <f>ROUND(RV_DATA!N190, 6)</f>
        <v>38194.470999999998</v>
      </c>
      <c r="F145" s="84">
        <f>ROUND(SUMIF(RV_DATA!AA69:'RV_DATA'!AA209, 1869617654, RV_DATA!O69:'RV_DATA'!O209), 6)</f>
        <v>2251.1799999999998</v>
      </c>
      <c r="Q145">
        <v>3</v>
      </c>
    </row>
    <row r="146" spans="1:17" ht="14.25" x14ac:dyDescent="0.2">
      <c r="A146" s="96" t="s">
        <v>1240</v>
      </c>
      <c r="B146" s="55" t="s">
        <v>1242</v>
      </c>
      <c r="C146" s="55" t="s">
        <v>94</v>
      </c>
      <c r="D146" s="56">
        <f>ROUND(SUMIF(RV_DATA!AA69:'RV_DATA'!AA209, 605072707, RV_DATA!I69:'RV_DATA'!I209), 6)</f>
        <v>0.63300000000000001</v>
      </c>
      <c r="E146" s="84">
        <f>ROUND(RV_DATA!N133, 6)</f>
        <v>4071.16</v>
      </c>
      <c r="F146" s="84">
        <f>ROUND(SUMIF(RV_DATA!AA69:'RV_DATA'!AA209, 605072707, RV_DATA!O69:'RV_DATA'!O209), 6)</f>
        <v>2577.04</v>
      </c>
      <c r="Q146">
        <v>3</v>
      </c>
    </row>
    <row r="147" spans="1:17" ht="42.75" x14ac:dyDescent="0.2">
      <c r="A147" s="96" t="s">
        <v>473</v>
      </c>
      <c r="B147" s="55" t="s">
        <v>474</v>
      </c>
      <c r="C147" s="55" t="s">
        <v>270</v>
      </c>
      <c r="D147" s="56">
        <f>ROUND(SUMIF(RV_DATA!AA69:'RV_DATA'!AA209, -521950818, RV_DATA!I69:'RV_DATA'!I209), 6)</f>
        <v>6.2</v>
      </c>
      <c r="E147" s="84">
        <f>ROUND(RV_DATA!N209, 6)</f>
        <v>493.2</v>
      </c>
      <c r="F147" s="84">
        <f>ROUND(SUMIF(RV_DATA!AA69:'RV_DATA'!AA209, -521950818, RV_DATA!O69:'RV_DATA'!O209), 6)</f>
        <v>3057.84</v>
      </c>
      <c r="Q147">
        <v>3</v>
      </c>
    </row>
    <row r="148" spans="1:17" ht="142.5" x14ac:dyDescent="0.2">
      <c r="A148" s="96" t="s">
        <v>226</v>
      </c>
      <c r="B148" s="55" t="s">
        <v>1560</v>
      </c>
      <c r="C148" s="55" t="s">
        <v>114</v>
      </c>
      <c r="D148" s="56">
        <f>ROUND(SUMIF(RV_DATA!AA69:'RV_DATA'!AA209, -840657471, RV_DATA!I69:'RV_DATA'!I209), 6)</f>
        <v>0.1353</v>
      </c>
      <c r="E148" s="84">
        <f>ROUND(RV_DATA!N76, 6)</f>
        <v>224426.50719999999</v>
      </c>
      <c r="F148" s="84">
        <f>ROUND(SUMIF(RV_DATA!AA69:'RV_DATA'!AA209, -840657471, RV_DATA!O69:'RV_DATA'!O209), 6)</f>
        <v>30364.91</v>
      </c>
      <c r="Q148">
        <v>3</v>
      </c>
    </row>
    <row r="149" spans="1:17" ht="28.5" x14ac:dyDescent="0.2">
      <c r="A149" s="96" t="s">
        <v>1171</v>
      </c>
      <c r="B149" s="55" t="s">
        <v>1173</v>
      </c>
      <c r="C149" s="55" t="s">
        <v>250</v>
      </c>
      <c r="D149" s="56">
        <f>ROUND(SUMIF(RV_DATA!AA69:'RV_DATA'!AA209, 1438104494, RV_DATA!I69:'RV_DATA'!I209), 6)</f>
        <v>1.0962000000000001</v>
      </c>
      <c r="E149" s="84">
        <f>ROUND(RV_DATA!N69, 6)</f>
        <v>85.1</v>
      </c>
      <c r="F149" s="84">
        <f>ROUND(SUMIF(RV_DATA!AA69:'RV_DATA'!AA209, 1438104494, RV_DATA!O69:'RV_DATA'!O209), 6)</f>
        <v>93.4</v>
      </c>
      <c r="Q149">
        <v>3</v>
      </c>
    </row>
    <row r="150" spans="1:17" ht="14.25" x14ac:dyDescent="0.2">
      <c r="A150" s="96" t="s">
        <v>1219</v>
      </c>
      <c r="B150" s="55" t="s">
        <v>1221</v>
      </c>
      <c r="C150" s="55" t="s">
        <v>369</v>
      </c>
      <c r="D150" s="56">
        <f>ROUND(SUMIF(RV_DATA!AA69:'RV_DATA'!AA209, -1211019624, RV_DATA!I69:'RV_DATA'!I209), 6)</f>
        <v>1.4175</v>
      </c>
      <c r="E150" s="84">
        <f>ROUND(RV_DATA!N85, 6)</f>
        <v>37.799999999999997</v>
      </c>
      <c r="F150" s="84">
        <f>ROUND(SUMIF(RV_DATA!AA69:'RV_DATA'!AA209, -1211019624, RV_DATA!O69:'RV_DATA'!O209), 6)</f>
        <v>53.58</v>
      </c>
      <c r="Q150">
        <v>3</v>
      </c>
    </row>
    <row r="151" spans="1:17" ht="28.5" x14ac:dyDescent="0.2">
      <c r="A151" s="96" t="s">
        <v>287</v>
      </c>
      <c r="B151" s="55" t="s">
        <v>288</v>
      </c>
      <c r="C151" s="55" t="s">
        <v>250</v>
      </c>
      <c r="D151" s="56">
        <f>ROUND(SUMIF(RV_DATA!AA69:'RV_DATA'!AA209, -707991663, RV_DATA!I69:'RV_DATA'!I209), 6)</f>
        <v>6</v>
      </c>
      <c r="E151" s="84">
        <f>ROUND(RV_DATA!N112, 6)</f>
        <v>1602.2213999999999</v>
      </c>
      <c r="F151" s="84">
        <f>ROUND(SUMIF(RV_DATA!AA69:'RV_DATA'!AA209, -707991663, RV_DATA!O69:'RV_DATA'!O209), 6)</f>
        <v>9613.33</v>
      </c>
      <c r="Q151">
        <v>3</v>
      </c>
    </row>
    <row r="152" spans="1:17" ht="42.75" x14ac:dyDescent="0.2">
      <c r="A152" s="96" t="s">
        <v>236</v>
      </c>
      <c r="B152" s="55" t="s">
        <v>237</v>
      </c>
      <c r="C152" s="55" t="s">
        <v>238</v>
      </c>
      <c r="D152" s="56">
        <f>ROUND(SUMIF(RV_DATA!AA69:'RV_DATA'!AA209, -1933913748, RV_DATA!I69:'RV_DATA'!I209), 6)</f>
        <v>1</v>
      </c>
      <c r="E152" s="84">
        <f>ROUND(RV_DATA!N84, 6)</f>
        <v>9235.9079999999994</v>
      </c>
      <c r="F152" s="84">
        <f>ROUND(SUMIF(RV_DATA!AA69:'RV_DATA'!AA209, -1933913748, RV_DATA!O69:'RV_DATA'!O209), 6)</f>
        <v>9235.91</v>
      </c>
      <c r="Q152">
        <v>3</v>
      </c>
    </row>
    <row r="153" spans="1:17" ht="85.5" x14ac:dyDescent="0.2">
      <c r="A153" s="96" t="s">
        <v>276</v>
      </c>
      <c r="B153" s="55" t="s">
        <v>277</v>
      </c>
      <c r="C153" s="55" t="s">
        <v>258</v>
      </c>
      <c r="D153" s="56">
        <f>ROUND(SUMIF(RV_DATA!AA69:'RV_DATA'!AA209, 498604248, RV_DATA!I69:'RV_DATA'!I209), 6)</f>
        <v>3.99</v>
      </c>
      <c r="E153" s="84">
        <f>ROUND(RV_DATA!N108, 6)</f>
        <v>26882.124</v>
      </c>
      <c r="F153" s="84">
        <f>ROUND(SUMIF(RV_DATA!AA69:'RV_DATA'!AA209, 498604248, RV_DATA!O69:'RV_DATA'!O209), 6)</f>
        <v>107259.67</v>
      </c>
      <c r="Q153">
        <v>3</v>
      </c>
    </row>
    <row r="154" spans="1:17" ht="28.5" x14ac:dyDescent="0.2">
      <c r="A154" s="96" t="s">
        <v>392</v>
      </c>
      <c r="B154" s="55" t="s">
        <v>393</v>
      </c>
      <c r="C154" s="55" t="s">
        <v>238</v>
      </c>
      <c r="D154" s="56">
        <f>ROUND(SUMIF(RV_DATA!AA69:'RV_DATA'!AA209, -665984903, RV_DATA!I69:'RV_DATA'!I209), 6)</f>
        <v>80</v>
      </c>
      <c r="E154" s="84">
        <f>ROUND(RV_DATA!N164, 6)</f>
        <v>0</v>
      </c>
      <c r="F154" s="84">
        <f>ROUND(SUMIF(RV_DATA!AA69:'RV_DATA'!AA209, -665984903, RV_DATA!O69:'RV_DATA'!O209), 6)</f>
        <v>0</v>
      </c>
      <c r="Q154">
        <v>3</v>
      </c>
    </row>
    <row r="155" spans="1:17" ht="14.25" x14ac:dyDescent="0.2">
      <c r="A155" s="96" t="s">
        <v>395</v>
      </c>
      <c r="B155" s="55" t="s">
        <v>396</v>
      </c>
      <c r="C155" s="55" t="s">
        <v>258</v>
      </c>
      <c r="D155" s="56">
        <f>ROUND(SUMIF(RV_DATA!AA69:'RV_DATA'!AA209, -1532172236, RV_DATA!I69:'RV_DATA'!I209), 6)</f>
        <v>0</v>
      </c>
      <c r="E155" s="84">
        <f>ROUND(RV_DATA!N165, 6)</f>
        <v>0</v>
      </c>
      <c r="F155" s="84">
        <f>ROUND(SUMIF(RV_DATA!AA69:'RV_DATA'!AA209, -1532172236, RV_DATA!O69:'RV_DATA'!O209), 6)</f>
        <v>0</v>
      </c>
      <c r="Q155">
        <v>3</v>
      </c>
    </row>
    <row r="156" spans="1:17" ht="14.25" x14ac:dyDescent="0.2">
      <c r="A156" s="96" t="s">
        <v>1136</v>
      </c>
      <c r="B156" s="55" t="s">
        <v>1137</v>
      </c>
      <c r="C156" s="55" t="s">
        <v>1138</v>
      </c>
      <c r="D156" s="56">
        <f>ROUND(SUMIF(RV_DATA!AA69:'RV_DATA'!AA209, 19367311, RV_DATA!I69:'RV_DATA'!I209), 6)</f>
        <v>6.1571199999999999</v>
      </c>
      <c r="E156" s="84">
        <f>ROUND(RV_DATA!N113, 6)</f>
        <v>8.65</v>
      </c>
      <c r="F156" s="84">
        <f>ROUND(SUMIF(RV_DATA!AA69:'RV_DATA'!AA209, 19367311, RV_DATA!O69:'RV_DATA'!O209), 6)</f>
        <v>53.25</v>
      </c>
      <c r="Q156">
        <v>3</v>
      </c>
    </row>
    <row r="157" spans="1:17" ht="42.75" x14ac:dyDescent="0.2">
      <c r="A157" s="96" t="s">
        <v>248</v>
      </c>
      <c r="B157" s="55" t="s">
        <v>249</v>
      </c>
      <c r="C157" s="55" t="s">
        <v>250</v>
      </c>
      <c r="D157" s="56">
        <f>ROUND(SUMIF(RV_DATA!AA69:'RV_DATA'!AA209, -2044308653, RV_DATA!I69:'RV_DATA'!I209), 6)</f>
        <v>1</v>
      </c>
      <c r="E157" s="84">
        <f>ROUND(RV_DATA!N98, 6)</f>
        <v>23561.994500000001</v>
      </c>
      <c r="F157" s="84">
        <f>ROUND(SUMIF(RV_DATA!AA69:'RV_DATA'!AA209, -2044308653, RV_DATA!O69:'RV_DATA'!O209), 6)</f>
        <v>23561.99</v>
      </c>
      <c r="Q157">
        <v>3</v>
      </c>
    </row>
    <row r="158" spans="1:17" ht="42.75" x14ac:dyDescent="0.2">
      <c r="A158" s="96" t="s">
        <v>248</v>
      </c>
      <c r="B158" s="55" t="s">
        <v>254</v>
      </c>
      <c r="C158" s="55" t="s">
        <v>250</v>
      </c>
      <c r="D158" s="56">
        <f>ROUND(SUMIF(RV_DATA!AA69:'RV_DATA'!AA209, 344754950, RV_DATA!I69:'RV_DATA'!I209), 6)</f>
        <v>1</v>
      </c>
      <c r="E158" s="84">
        <f>ROUND(RV_DATA!N99, 6)</f>
        <v>192099.11350000001</v>
      </c>
      <c r="F158" s="84">
        <f>ROUND(SUMIF(RV_DATA!AA69:'RV_DATA'!AA209, 344754950, RV_DATA!O69:'RV_DATA'!O209), 6)</f>
        <v>192099.11</v>
      </c>
      <c r="Q158">
        <v>3</v>
      </c>
    </row>
    <row r="159" spans="1:17" ht="28.5" x14ac:dyDescent="0.2">
      <c r="A159" s="96" t="s">
        <v>248</v>
      </c>
      <c r="B159" s="55" t="s">
        <v>295</v>
      </c>
      <c r="C159" s="55" t="s">
        <v>258</v>
      </c>
      <c r="D159" s="56">
        <f>ROUND(SUMIF(RV_DATA!AA69:'RV_DATA'!AA209, 1476032960, RV_DATA!I69:'RV_DATA'!I209), 6)</f>
        <v>2.1842000000000001</v>
      </c>
      <c r="E159" s="84">
        <f>ROUND(RV_DATA!N117, 6)</f>
        <v>29579.9725</v>
      </c>
      <c r="F159" s="84">
        <f>ROUND(SUMIF(RV_DATA!AA69:'RV_DATA'!AA209, 1476032960, RV_DATA!O69:'RV_DATA'!O209), 6)</f>
        <v>64608.58</v>
      </c>
      <c r="Q159">
        <v>3</v>
      </c>
    </row>
    <row r="160" spans="1:17" ht="28.5" x14ac:dyDescent="0.2">
      <c r="A160" s="96" t="s">
        <v>248</v>
      </c>
      <c r="B160" s="55" t="s">
        <v>304</v>
      </c>
      <c r="C160" s="55" t="s">
        <v>250</v>
      </c>
      <c r="D160" s="56">
        <f>ROUND(SUMIF(RV_DATA!AA69:'RV_DATA'!AA209, 412635625, RV_DATA!I69:'RV_DATA'!I209), 6)</f>
        <v>1</v>
      </c>
      <c r="E160" s="84">
        <f>ROUND(RV_DATA!N123, 6)</f>
        <v>1886.2190000000001</v>
      </c>
      <c r="F160" s="84">
        <f>ROUND(SUMIF(RV_DATA!AA69:'RV_DATA'!AA209, 412635625, RV_DATA!O69:'RV_DATA'!O209), 6)</f>
        <v>1886.22</v>
      </c>
      <c r="Q160">
        <v>3</v>
      </c>
    </row>
    <row r="161" spans="1:17" ht="42.75" x14ac:dyDescent="0.2">
      <c r="A161" s="96" t="s">
        <v>248</v>
      </c>
      <c r="B161" s="55" t="s">
        <v>413</v>
      </c>
      <c r="C161" s="55" t="s">
        <v>258</v>
      </c>
      <c r="D161" s="56">
        <f>ROUND(SUMIF(RV_DATA!AA69:'RV_DATA'!AA209, -848727796, RV_DATA!I69:'RV_DATA'!I209), 6)</f>
        <v>13.362</v>
      </c>
      <c r="E161" s="84">
        <f>ROUND(RV_DATA!N174, 6)</f>
        <v>1241.0155</v>
      </c>
      <c r="F161" s="84">
        <f>ROUND(SUMIF(RV_DATA!AA69:'RV_DATA'!AA209, -848727796, RV_DATA!O69:'RV_DATA'!O209), 6)</f>
        <v>16582.45</v>
      </c>
      <c r="Q161">
        <v>3</v>
      </c>
    </row>
    <row r="162" spans="1:17" ht="15" x14ac:dyDescent="0.25">
      <c r="A162" s="131" t="s">
        <v>1804</v>
      </c>
      <c r="B162" s="131"/>
      <c r="C162" s="131"/>
      <c r="D162" s="131"/>
      <c r="E162" s="132">
        <f>SUMIF(Q95:Q161, 3, F95:F161)</f>
        <v>520634.6</v>
      </c>
      <c r="F162" s="131"/>
    </row>
    <row r="163" spans="1:17" ht="16.5" x14ac:dyDescent="0.2">
      <c r="A163" s="136" t="str">
        <f>CONCATENATE("Раздел: ",IF(Source!G380&lt;&gt;"Новый раздел", Source!G380, ""))</f>
        <v>Раздел: Прочие работы</v>
      </c>
      <c r="B163" s="137"/>
      <c r="C163" s="137"/>
      <c r="D163" s="137"/>
      <c r="E163" s="137"/>
      <c r="F163" s="137"/>
    </row>
    <row r="164" spans="1:17" ht="14.25" x14ac:dyDescent="0.2">
      <c r="A164" s="138" t="s">
        <v>1801</v>
      </c>
      <c r="B164" s="139"/>
      <c r="C164" s="139"/>
      <c r="D164" s="139"/>
      <c r="E164" s="139"/>
      <c r="F164" s="139"/>
    </row>
    <row r="165" spans="1:17" ht="42.75" x14ac:dyDescent="0.2">
      <c r="A165" s="96" t="s">
        <v>1291</v>
      </c>
      <c r="B165" s="55" t="s">
        <v>1293</v>
      </c>
      <c r="C165" s="55" t="s">
        <v>1102</v>
      </c>
      <c r="D165" s="56">
        <f>ROUND(SUMIF(RV_DATA!AA211:'RV_DATA'!AA214, 737556631, RV_DATA!I211:'RV_DATA'!I214), 6)</f>
        <v>39.771500000000003</v>
      </c>
      <c r="E165" s="84">
        <f>ROUND(RV_DATA!N212, 6)</f>
        <v>1279.2</v>
      </c>
      <c r="F165" s="84">
        <f>ROUND(SUMIF(RV_DATA!AA211:'RV_DATA'!AA214, 737556631, RV_DATA!O211:'RV_DATA'!O214), 6)</f>
        <v>50875.69</v>
      </c>
      <c r="Q165">
        <v>2</v>
      </c>
    </row>
    <row r="166" spans="1:17" ht="14.25" x14ac:dyDescent="0.2">
      <c r="A166" s="96" t="s">
        <v>1145</v>
      </c>
      <c r="B166" s="55" t="s">
        <v>1146</v>
      </c>
      <c r="C166" s="55" t="s">
        <v>1138</v>
      </c>
      <c r="D166" s="56">
        <f>ROUND(SUMIF(RV_DATA!AA211:'RV_DATA'!AA214, -314357962, RV_DATA!I211:'RV_DATA'!I214), 6)</f>
        <v>352.37549000000001</v>
      </c>
      <c r="E166" s="84">
        <f>ROUND(RV_DATA!N211, 6)</f>
        <v>1.05</v>
      </c>
      <c r="F166" s="84">
        <f>ROUND(SUMIF(RV_DATA!AA211:'RV_DATA'!AA214, -314357962, RV_DATA!O211:'RV_DATA'!O214), 6)</f>
        <v>352.38</v>
      </c>
      <c r="Q166">
        <v>2</v>
      </c>
    </row>
    <row r="167" spans="1:17" ht="14.25" x14ac:dyDescent="0.2">
      <c r="A167" s="96" t="s">
        <v>1145</v>
      </c>
      <c r="B167" s="55" t="s">
        <v>1146</v>
      </c>
      <c r="C167" s="55" t="s">
        <v>1138</v>
      </c>
      <c r="D167" s="56">
        <f>ROUND(SUMIF(RV_DATA!AA211:'RV_DATA'!AA214, -595858232, RV_DATA!I211:'RV_DATA'!I214), 6)</f>
        <v>908.39258500000005</v>
      </c>
      <c r="E167" s="84">
        <f>ROUND(RV_DATA!N213, 6)</f>
        <v>1</v>
      </c>
      <c r="F167" s="84">
        <f>ROUND(SUMIF(RV_DATA!AA211:'RV_DATA'!AA214, -595858232, RV_DATA!O211:'RV_DATA'!O214), 6)</f>
        <v>908.39</v>
      </c>
      <c r="Q167">
        <v>2</v>
      </c>
    </row>
    <row r="168" spans="1:17" ht="15" x14ac:dyDescent="0.25">
      <c r="A168" s="131" t="s">
        <v>1802</v>
      </c>
      <c r="B168" s="131"/>
      <c r="C168" s="131"/>
      <c r="D168" s="131"/>
      <c r="E168" s="132">
        <f>SUMIF(Q165:Q167, 2, F165:F167)</f>
        <v>52136.46</v>
      </c>
      <c r="F168" s="131"/>
    </row>
    <row r="170" spans="1:17" ht="16.5" x14ac:dyDescent="0.2">
      <c r="A170" s="133" t="str">
        <f>CONCATENATE("Итого по локальной смете:",IF(Source!G421&lt;&gt;"Новая локальная смета", Source!G421, ""))</f>
        <v>Итого по локальной смете:Архитектурные решения</v>
      </c>
      <c r="B170" s="134"/>
      <c r="C170" s="134"/>
      <c r="D170" s="134"/>
      <c r="E170" s="134"/>
      <c r="F170" s="135"/>
    </row>
    <row r="171" spans="1:17" ht="14.25" hidden="1" customHeight="1" x14ac:dyDescent="0.25">
      <c r="A171" s="131" t="s">
        <v>1800</v>
      </c>
      <c r="B171" s="131"/>
      <c r="C171" s="131"/>
      <c r="D171" s="131"/>
      <c r="E171" s="132">
        <f>SUMIF(Q48:Q170, 1, F48:F170)</f>
        <v>0</v>
      </c>
      <c r="F171" s="131"/>
    </row>
    <row r="172" spans="1:17" ht="15" x14ac:dyDescent="0.25">
      <c r="A172" s="131" t="s">
        <v>1802</v>
      </c>
      <c r="B172" s="131"/>
      <c r="C172" s="131"/>
      <c r="D172" s="131"/>
      <c r="E172" s="132">
        <f>SUMIF(Q48:Q171, 2, F48:F171)</f>
        <v>56618.689999999995</v>
      </c>
      <c r="F172" s="131"/>
    </row>
    <row r="173" spans="1:17" ht="15" x14ac:dyDescent="0.25">
      <c r="A173" s="131" t="s">
        <v>1804</v>
      </c>
      <c r="B173" s="131"/>
      <c r="C173" s="131"/>
      <c r="D173" s="131"/>
      <c r="E173" s="132">
        <f>SUMIF(Q48:Q172, 3, F48:F172)</f>
        <v>520704.16</v>
      </c>
      <c r="F173" s="131"/>
    </row>
    <row r="174" spans="1:17" ht="14.25" hidden="1" customHeight="1" x14ac:dyDescent="0.25">
      <c r="A174" s="131" t="s">
        <v>1805</v>
      </c>
      <c r="B174" s="131"/>
      <c r="C174" s="131"/>
      <c r="D174" s="131"/>
      <c r="E174" s="132">
        <f>SUMIF(Q48:Q173, 4, F48:F173)</f>
        <v>0</v>
      </c>
      <c r="F174" s="131"/>
    </row>
    <row r="175" spans="1:17" ht="14.25" hidden="1" customHeight="1" x14ac:dyDescent="0.25">
      <c r="A175" s="131" t="s">
        <v>1806</v>
      </c>
      <c r="B175" s="131"/>
      <c r="C175" s="131"/>
      <c r="D175" s="131"/>
      <c r="E175" s="132">
        <f>SUMIF(Q48:Q174, 5, F48:F174)</f>
        <v>0</v>
      </c>
      <c r="F175" s="131"/>
    </row>
    <row r="177" spans="1:17" ht="16.5" x14ac:dyDescent="0.2">
      <c r="A177" s="136" t="str">
        <f>CONCATENATE("Локальная смета: ",IF(Source!G453&lt;&gt;"Новая локальная смета", Source!G453, ""))</f>
        <v>Локальная смета: Конструктивные решения</v>
      </c>
      <c r="B177" s="137"/>
      <c r="C177" s="137"/>
      <c r="D177" s="137"/>
      <c r="E177" s="137"/>
      <c r="F177" s="137"/>
    </row>
    <row r="178" spans="1:17" ht="16.5" x14ac:dyDescent="0.2">
      <c r="A178" s="136" t="str">
        <f>CONCATENATE("Раздел: ",IF(Source!G457&lt;&gt;"Новый раздел", Source!G457, ""))</f>
        <v>Раздел: Демонтажные работы</v>
      </c>
      <c r="B178" s="137"/>
      <c r="C178" s="137"/>
      <c r="D178" s="137"/>
      <c r="E178" s="137"/>
      <c r="F178" s="137"/>
    </row>
    <row r="179" spans="1:17" ht="14.25" x14ac:dyDescent="0.2">
      <c r="A179" s="138" t="s">
        <v>1799</v>
      </c>
      <c r="B179" s="139"/>
      <c r="C179" s="139"/>
      <c r="D179" s="139"/>
      <c r="E179" s="139"/>
      <c r="F179" s="139"/>
    </row>
    <row r="180" spans="1:17" ht="14.25" x14ac:dyDescent="0.2">
      <c r="A180" s="96" t="s">
        <v>1096</v>
      </c>
      <c r="B180" s="55" t="s">
        <v>1097</v>
      </c>
      <c r="C180" s="55" t="s">
        <v>1098</v>
      </c>
      <c r="D180" s="56">
        <f>ROUND(SUMIF(RV_DATA!AA217:'RV_DATA'!AA229, 1499241640, RV_DATA!I217:'RV_DATA'!I229), 6)</f>
        <v>68.283450000000002</v>
      </c>
      <c r="E180" s="84">
        <f>ROUND(RV_DATA!N220, 6)</f>
        <v>0</v>
      </c>
      <c r="F180" s="84">
        <f>ROUND(SUMIF(RV_DATA!AA217:'RV_DATA'!AA229, 1499241640, RV_DATA!O217:'RV_DATA'!O229), 6)</f>
        <v>0</v>
      </c>
      <c r="Q180">
        <v>1</v>
      </c>
    </row>
    <row r="181" spans="1:17" ht="15" x14ac:dyDescent="0.25">
      <c r="A181" s="131" t="s">
        <v>1800</v>
      </c>
      <c r="B181" s="131"/>
      <c r="C181" s="131"/>
      <c r="D181" s="131"/>
      <c r="E181" s="132">
        <f>SUMIF(Q180:Q180, 1, F180:F180)</f>
        <v>0</v>
      </c>
      <c r="F181" s="131"/>
    </row>
    <row r="182" spans="1:17" ht="14.25" x14ac:dyDescent="0.2">
      <c r="A182" s="138" t="s">
        <v>1801</v>
      </c>
      <c r="B182" s="139"/>
      <c r="C182" s="139"/>
      <c r="D182" s="139"/>
      <c r="E182" s="139"/>
      <c r="F182" s="139"/>
    </row>
    <row r="183" spans="1:17" ht="71.25" x14ac:dyDescent="0.2">
      <c r="A183" s="96" t="s">
        <v>1153</v>
      </c>
      <c r="B183" s="55" t="s">
        <v>1155</v>
      </c>
      <c r="C183" s="55" t="s">
        <v>1102</v>
      </c>
      <c r="D183" s="56">
        <f>ROUND(SUMIF(RV_DATA!AA217:'RV_DATA'!AA229, -2002567974, RV_DATA!I217:'RV_DATA'!I229), 6)</f>
        <v>9.6524999999999999</v>
      </c>
      <c r="E183" s="84">
        <f>ROUND(RV_DATA!N219, 6)</f>
        <v>721.62</v>
      </c>
      <c r="F183" s="84">
        <f>ROUND(SUMIF(RV_DATA!AA217:'RV_DATA'!AA229, -2002567974, RV_DATA!O217:'RV_DATA'!O229), 6)</f>
        <v>6652.77</v>
      </c>
      <c r="Q183">
        <v>2</v>
      </c>
    </row>
    <row r="184" spans="1:17" ht="42.75" x14ac:dyDescent="0.2">
      <c r="A184" s="96" t="s">
        <v>1174</v>
      </c>
      <c r="B184" s="55" t="s">
        <v>1176</v>
      </c>
      <c r="C184" s="55" t="s">
        <v>1102</v>
      </c>
      <c r="D184" s="56">
        <f>ROUND(SUMIF(RV_DATA!AA217:'RV_DATA'!AA229, -1766684615, RV_DATA!I217:'RV_DATA'!I229), 6)</f>
        <v>13.103999999999999</v>
      </c>
      <c r="E184" s="84">
        <f>ROUND(RV_DATA!N227, 6)</f>
        <v>68.39</v>
      </c>
      <c r="F184" s="84">
        <f>ROUND(SUMIF(RV_DATA!AA217:'RV_DATA'!AA229, -1766684615, RV_DATA!O217:'RV_DATA'!O229), 6)</f>
        <v>824.46</v>
      </c>
      <c r="Q184">
        <v>2</v>
      </c>
    </row>
    <row r="185" spans="1:17" ht="14.25" x14ac:dyDescent="0.2">
      <c r="A185" s="96" t="s">
        <v>1294</v>
      </c>
      <c r="B185" s="55" t="s">
        <v>1296</v>
      </c>
      <c r="C185" s="55" t="s">
        <v>1102</v>
      </c>
      <c r="D185" s="56">
        <f>ROUND(SUMIF(RV_DATA!AA217:'RV_DATA'!AA229, -721717029, RV_DATA!I217:'RV_DATA'!I229), 6)</f>
        <v>0.48</v>
      </c>
      <c r="E185" s="84">
        <f>ROUND(RV_DATA!N226, 6)</f>
        <v>9.18</v>
      </c>
      <c r="F185" s="84">
        <f>ROUND(SUMIF(RV_DATA!AA217:'RV_DATA'!AA229, -721717029, RV_DATA!O217:'RV_DATA'!O229), 6)</f>
        <v>4.05</v>
      </c>
      <c r="Q185">
        <v>2</v>
      </c>
    </row>
    <row r="186" spans="1:17" ht="28.5" x14ac:dyDescent="0.2">
      <c r="A186" s="96" t="s">
        <v>1177</v>
      </c>
      <c r="B186" s="55" t="s">
        <v>1179</v>
      </c>
      <c r="C186" s="55" t="s">
        <v>1102</v>
      </c>
      <c r="D186" s="56">
        <f>ROUND(SUMIF(RV_DATA!AA217:'RV_DATA'!AA229, -911753716, RV_DATA!I217:'RV_DATA'!I229), 6)</f>
        <v>0.52800000000000002</v>
      </c>
      <c r="E186" s="84">
        <f>ROUND(RV_DATA!N225, 6)</f>
        <v>3.86</v>
      </c>
      <c r="F186" s="84">
        <f>ROUND(SUMIF(RV_DATA!AA217:'RV_DATA'!AA229, -911753716, RV_DATA!O217:'RV_DATA'!O229), 6)</f>
        <v>1.86</v>
      </c>
      <c r="Q186">
        <v>2</v>
      </c>
    </row>
    <row r="187" spans="1:17" ht="14.25" x14ac:dyDescent="0.2">
      <c r="A187" s="96" t="s">
        <v>1156</v>
      </c>
      <c r="B187" s="55" t="s">
        <v>1158</v>
      </c>
      <c r="C187" s="55" t="s">
        <v>1102</v>
      </c>
      <c r="D187" s="56">
        <f>ROUND(SUMIF(RV_DATA!AA217:'RV_DATA'!AA229, -675024831, RV_DATA!I217:'RV_DATA'!I229), 6)</f>
        <v>9.6524999999999999</v>
      </c>
      <c r="E187" s="84">
        <f>ROUND(RV_DATA!N218, 6)</f>
        <v>25.61</v>
      </c>
      <c r="F187" s="84">
        <f>ROUND(SUMIF(RV_DATA!AA217:'RV_DATA'!AA229, -675024831, RV_DATA!O217:'RV_DATA'!O229), 6)</f>
        <v>236.08</v>
      </c>
      <c r="Q187">
        <v>2</v>
      </c>
    </row>
    <row r="188" spans="1:17" ht="14.25" x14ac:dyDescent="0.2">
      <c r="A188" s="96" t="s">
        <v>1183</v>
      </c>
      <c r="B188" s="55" t="s">
        <v>1185</v>
      </c>
      <c r="C188" s="55" t="s">
        <v>1102</v>
      </c>
      <c r="D188" s="56">
        <f>ROUND(SUMIF(RV_DATA!AA217:'RV_DATA'!AA229, -766673081, RV_DATA!I217:'RV_DATA'!I229), 6)</f>
        <v>0.14399999999999999</v>
      </c>
      <c r="E188" s="84">
        <f>ROUND(RV_DATA!N224, 6)</f>
        <v>2.57</v>
      </c>
      <c r="F188" s="84">
        <f>ROUND(SUMIF(RV_DATA!AA217:'RV_DATA'!AA229, -766673081, RV_DATA!O217:'RV_DATA'!O229), 6)</f>
        <v>0.34</v>
      </c>
      <c r="Q188">
        <v>2</v>
      </c>
    </row>
    <row r="189" spans="1:17" ht="14.25" x14ac:dyDescent="0.2">
      <c r="A189" s="96" t="s">
        <v>1297</v>
      </c>
      <c r="B189" s="55" t="s">
        <v>1299</v>
      </c>
      <c r="C189" s="55" t="s">
        <v>1102</v>
      </c>
      <c r="D189" s="56">
        <f>ROUND(SUMIF(RV_DATA!AA217:'RV_DATA'!AA229, -1486838010, RV_DATA!I217:'RV_DATA'!I229), 6)</f>
        <v>0.4032</v>
      </c>
      <c r="E189" s="84">
        <f>ROUND(RV_DATA!N223, 6)</f>
        <v>364.62</v>
      </c>
      <c r="F189" s="84">
        <f>ROUND(SUMIF(RV_DATA!AA217:'RV_DATA'!AA229, -1486838010, RV_DATA!O217:'RV_DATA'!O229), 6)</f>
        <v>135.25</v>
      </c>
      <c r="Q189">
        <v>2</v>
      </c>
    </row>
    <row r="190" spans="1:17" ht="14.25" x14ac:dyDescent="0.2">
      <c r="A190" s="96" t="s">
        <v>1145</v>
      </c>
      <c r="B190" s="55" t="s">
        <v>1146</v>
      </c>
      <c r="C190" s="55" t="s">
        <v>1138</v>
      </c>
      <c r="D190" s="56">
        <f>ROUND(SUMIF(RV_DATA!AA217:'RV_DATA'!AA229, -314357962, RV_DATA!I217:'RV_DATA'!I229), 6)</f>
        <v>57.142800000000001</v>
      </c>
      <c r="E190" s="84">
        <f>ROUND(RV_DATA!N217, 6)</f>
        <v>1.05</v>
      </c>
      <c r="F190" s="84">
        <f>ROUND(SUMIF(RV_DATA!AA217:'RV_DATA'!AA229, -314357962, RV_DATA!O217:'RV_DATA'!O229), 6)</f>
        <v>57.14</v>
      </c>
      <c r="Q190">
        <v>2</v>
      </c>
    </row>
    <row r="191" spans="1:17" ht="14.25" x14ac:dyDescent="0.2">
      <c r="A191" s="96" t="s">
        <v>1145</v>
      </c>
      <c r="B191" s="55" t="s">
        <v>1146</v>
      </c>
      <c r="C191" s="55" t="s">
        <v>1138</v>
      </c>
      <c r="D191" s="56">
        <f>ROUND(SUMIF(RV_DATA!AA217:'RV_DATA'!AA229, -453702883, RV_DATA!I217:'RV_DATA'!I229), 6)</f>
        <v>17.8704</v>
      </c>
      <c r="E191" s="84">
        <f>ROUND(RV_DATA!N222, 6)</f>
        <v>1.0900000000000001</v>
      </c>
      <c r="F191" s="84">
        <f>ROUND(SUMIF(RV_DATA!AA217:'RV_DATA'!AA229, -453702883, RV_DATA!O217:'RV_DATA'!O229), 6)</f>
        <v>17.87</v>
      </c>
      <c r="Q191">
        <v>2</v>
      </c>
    </row>
    <row r="192" spans="1:17" ht="15" x14ac:dyDescent="0.25">
      <c r="A192" s="131" t="s">
        <v>1802</v>
      </c>
      <c r="B192" s="131"/>
      <c r="C192" s="131"/>
      <c r="D192" s="131"/>
      <c r="E192" s="132">
        <f>SUMIF(Q183:Q191, 2, F183:F191)</f>
        <v>7929.8200000000006</v>
      </c>
      <c r="F192" s="131"/>
    </row>
    <row r="193" spans="1:17" ht="14.25" x14ac:dyDescent="0.2">
      <c r="A193" s="138" t="s">
        <v>1803</v>
      </c>
      <c r="B193" s="139"/>
      <c r="C193" s="139"/>
      <c r="D193" s="139"/>
      <c r="E193" s="139"/>
      <c r="F193" s="139"/>
    </row>
    <row r="194" spans="1:17" ht="28.5" x14ac:dyDescent="0.2">
      <c r="A194" s="96" t="s">
        <v>1147</v>
      </c>
      <c r="B194" s="55" t="s">
        <v>1149</v>
      </c>
      <c r="C194" s="55" t="s">
        <v>114</v>
      </c>
      <c r="D194" s="56">
        <f>ROUND(SUMIF(RV_DATA!AA217:'RV_DATA'!AA229, 2138865355, RV_DATA!I217:'RV_DATA'!I229), 6)</f>
        <v>1.0319999999999999E-2</v>
      </c>
      <c r="E194" s="84">
        <f>ROUND(RV_DATA!N221, 6)</f>
        <v>145777.99</v>
      </c>
      <c r="F194" s="84">
        <f>ROUND(SUMIF(RV_DATA!AA217:'RV_DATA'!AA229, 2138865355, RV_DATA!O217:'RV_DATA'!O229), 6)</f>
        <v>1504.39</v>
      </c>
      <c r="Q194">
        <v>3</v>
      </c>
    </row>
    <row r="195" spans="1:17" ht="14.25" x14ac:dyDescent="0.2">
      <c r="A195" s="96" t="s">
        <v>162</v>
      </c>
      <c r="B195" s="55" t="s">
        <v>163</v>
      </c>
      <c r="C195" s="55" t="s">
        <v>114</v>
      </c>
      <c r="D195" s="56">
        <f>ROUND(SUMIF(RV_DATA!AA217:'RV_DATA'!AA229, 1745548096, RV_DATA!I217:'RV_DATA'!I229), 6)</f>
        <v>-0.48</v>
      </c>
      <c r="E195" s="84">
        <f>ROUND(RV_DATA!N229, 6)</f>
        <v>0</v>
      </c>
      <c r="F195" s="84">
        <f>ROUND(SUMIF(RV_DATA!AA217:'RV_DATA'!AA229, 1745548096, RV_DATA!O217:'RV_DATA'!O229), 6)</f>
        <v>0</v>
      </c>
      <c r="Q195">
        <v>3</v>
      </c>
    </row>
    <row r="196" spans="1:17" ht="15" x14ac:dyDescent="0.25">
      <c r="A196" s="131" t="s">
        <v>1804</v>
      </c>
      <c r="B196" s="131"/>
      <c r="C196" s="131"/>
      <c r="D196" s="131"/>
      <c r="E196" s="132">
        <f>SUMIF(Q194:Q195, 3, F194:F195)</f>
        <v>1504.39</v>
      </c>
      <c r="F196" s="131"/>
    </row>
    <row r="197" spans="1:17" ht="16.5" x14ac:dyDescent="0.2">
      <c r="A197" s="136" t="str">
        <f>CONCATENATE("Раздел: ",IF(Source!G500&lt;&gt;"Новый раздел", Source!G500, ""))</f>
        <v>Раздел: Монтажные работы</v>
      </c>
      <c r="B197" s="137"/>
      <c r="C197" s="137"/>
      <c r="D197" s="137"/>
      <c r="E197" s="137"/>
      <c r="F197" s="137"/>
    </row>
    <row r="198" spans="1:17" ht="14.25" x14ac:dyDescent="0.2">
      <c r="A198" s="138" t="s">
        <v>1799</v>
      </c>
      <c r="B198" s="139"/>
      <c r="C198" s="139"/>
      <c r="D198" s="139"/>
      <c r="E198" s="139"/>
      <c r="F198" s="139"/>
    </row>
    <row r="199" spans="1:17" ht="14.25" x14ac:dyDescent="0.2">
      <c r="A199" s="96" t="s">
        <v>1096</v>
      </c>
      <c r="B199" s="55" t="s">
        <v>1097</v>
      </c>
      <c r="C199" s="55" t="s">
        <v>1098</v>
      </c>
      <c r="D199" s="56">
        <f>ROUND(SUMIF(RV_DATA!AA231:'RV_DATA'!AA336, 1499241640, RV_DATA!I231:'RV_DATA'!I336), 6)</f>
        <v>48.871595999999997</v>
      </c>
      <c r="E199" s="84">
        <f>ROUND(RV_DATA!N235, 6)</f>
        <v>0</v>
      </c>
      <c r="F199" s="84">
        <f>ROUND(SUMIF(RV_DATA!AA231:'RV_DATA'!AA336, 1499241640, RV_DATA!O231:'RV_DATA'!O336), 6)</f>
        <v>0</v>
      </c>
      <c r="Q199">
        <v>1</v>
      </c>
    </row>
    <row r="200" spans="1:17" ht="15" x14ac:dyDescent="0.25">
      <c r="A200" s="131" t="s">
        <v>1800</v>
      </c>
      <c r="B200" s="131"/>
      <c r="C200" s="131"/>
      <c r="D200" s="131"/>
      <c r="E200" s="132">
        <f>SUMIF(Q199:Q199, 1, F199:F199)</f>
        <v>0</v>
      </c>
      <c r="F200" s="131"/>
    </row>
    <row r="201" spans="1:17" ht="14.25" x14ac:dyDescent="0.2">
      <c r="A201" s="138" t="s">
        <v>1801</v>
      </c>
      <c r="B201" s="139"/>
      <c r="C201" s="139"/>
      <c r="D201" s="139"/>
      <c r="E201" s="139"/>
      <c r="F201" s="139"/>
    </row>
    <row r="202" spans="1:17" ht="28.5" x14ac:dyDescent="0.2">
      <c r="A202" s="96" t="s">
        <v>1330</v>
      </c>
      <c r="B202" s="55" t="s">
        <v>1332</v>
      </c>
      <c r="C202" s="55" t="s">
        <v>1102</v>
      </c>
      <c r="D202" s="56">
        <f>ROUND(SUMIF(RV_DATA!AA231:'RV_DATA'!AA336, 1000784549, RV_DATA!I231:'RV_DATA'!I336), 6)</f>
        <v>0.54320000000000002</v>
      </c>
      <c r="E202" s="84">
        <f>ROUND(RV_DATA!N329, 6)</f>
        <v>159.58000000000001</v>
      </c>
      <c r="F202" s="84">
        <f>ROUND(SUMIF(RV_DATA!AA231:'RV_DATA'!AA336, 1000784549, RV_DATA!O231:'RV_DATA'!O336), 6)</f>
        <v>82.8</v>
      </c>
      <c r="Q202">
        <v>2</v>
      </c>
    </row>
    <row r="203" spans="1:17" ht="71.25" x14ac:dyDescent="0.2">
      <c r="A203" s="96" t="s">
        <v>1153</v>
      </c>
      <c r="B203" s="55" t="s">
        <v>1155</v>
      </c>
      <c r="C203" s="55" t="s">
        <v>1102</v>
      </c>
      <c r="D203" s="56">
        <f>ROUND(SUMIF(RV_DATA!AA231:'RV_DATA'!AA336, -2002567974, RV_DATA!I231:'RV_DATA'!I336), 6)</f>
        <v>1.223125</v>
      </c>
      <c r="E203" s="84">
        <f>ROUND(RV_DATA!N234, 6)</f>
        <v>721.62</v>
      </c>
      <c r="F203" s="84">
        <f>ROUND(SUMIF(RV_DATA!AA231:'RV_DATA'!AA336, -2002567974, RV_DATA!O231:'RV_DATA'!O336), 6)</f>
        <v>842.71</v>
      </c>
      <c r="Q203">
        <v>2</v>
      </c>
    </row>
    <row r="204" spans="1:17" ht="42.75" x14ac:dyDescent="0.2">
      <c r="A204" s="96" t="s">
        <v>1174</v>
      </c>
      <c r="B204" s="55" t="s">
        <v>1176</v>
      </c>
      <c r="C204" s="55" t="s">
        <v>1102</v>
      </c>
      <c r="D204" s="56">
        <f>ROUND(SUMIF(RV_DATA!AA231:'RV_DATA'!AA336, 1620354088, RV_DATA!I231:'RV_DATA'!I336), 6)</f>
        <v>7.7549999999999999</v>
      </c>
      <c r="E204" s="84">
        <f>ROUND(RV_DATA!N255, 6)</f>
        <v>65.87</v>
      </c>
      <c r="F204" s="84">
        <f>ROUND(SUMIF(RV_DATA!AA231:'RV_DATA'!AA336, 1620354088, RV_DATA!O231:'RV_DATA'!O336), 6)</f>
        <v>487.9</v>
      </c>
      <c r="Q204">
        <v>2</v>
      </c>
    </row>
    <row r="205" spans="1:17" ht="42.75" x14ac:dyDescent="0.2">
      <c r="A205" s="96" t="s">
        <v>1174</v>
      </c>
      <c r="B205" s="55" t="s">
        <v>1176</v>
      </c>
      <c r="C205" s="55" t="s">
        <v>1102</v>
      </c>
      <c r="D205" s="56">
        <f>ROUND(SUMIF(RV_DATA!AA231:'RV_DATA'!AA336, -1766684615, RV_DATA!I231:'RV_DATA'!I336), 6)</f>
        <v>3.405675</v>
      </c>
      <c r="E205" s="84">
        <f>ROUND(RV_DATA!N285, 6)</f>
        <v>68.39</v>
      </c>
      <c r="F205" s="84">
        <f>ROUND(SUMIF(RV_DATA!AA231:'RV_DATA'!AA336, -1766684615, RV_DATA!O231:'RV_DATA'!O336), 6)</f>
        <v>214.27</v>
      </c>
      <c r="Q205">
        <v>2</v>
      </c>
    </row>
    <row r="206" spans="1:17" ht="14.25" x14ac:dyDescent="0.2">
      <c r="A206" s="96" t="s">
        <v>1294</v>
      </c>
      <c r="B206" s="55" t="s">
        <v>1296</v>
      </c>
      <c r="C206" s="55" t="s">
        <v>1102</v>
      </c>
      <c r="D206" s="56">
        <f>ROUND(SUMIF(RV_DATA!AA231:'RV_DATA'!AA336, -721717029, RV_DATA!I231:'RV_DATA'!I336), 6)</f>
        <v>0.12475</v>
      </c>
      <c r="E206" s="84">
        <f>ROUND(RV_DATA!N284, 6)</f>
        <v>9.18</v>
      </c>
      <c r="F206" s="84">
        <f>ROUND(SUMIF(RV_DATA!AA231:'RV_DATA'!AA336, -721717029, RV_DATA!O231:'RV_DATA'!O336), 6)</f>
        <v>1.05</v>
      </c>
      <c r="Q206">
        <v>2</v>
      </c>
    </row>
    <row r="207" spans="1:17" ht="57" x14ac:dyDescent="0.2">
      <c r="A207" s="96" t="s">
        <v>1139</v>
      </c>
      <c r="B207" s="55" t="s">
        <v>1141</v>
      </c>
      <c r="C207" s="55" t="s">
        <v>1102</v>
      </c>
      <c r="D207" s="56">
        <f>ROUND(SUMIF(RV_DATA!AA231:'RV_DATA'!AA336, 102445925, RV_DATA!I231:'RV_DATA'!I336), 6)</f>
        <v>6.3878000000000004E-2</v>
      </c>
      <c r="E207" s="84">
        <f>ROUND(RV_DATA!N271, 6)</f>
        <v>77.03</v>
      </c>
      <c r="F207" s="84">
        <f>ROUND(SUMIF(RV_DATA!AA231:'RV_DATA'!AA336, 102445925, RV_DATA!O231:'RV_DATA'!O336), 6)</f>
        <v>4.5199999999999996</v>
      </c>
      <c r="Q207">
        <v>2</v>
      </c>
    </row>
    <row r="208" spans="1:17" ht="28.5" x14ac:dyDescent="0.2">
      <c r="A208" s="96" t="s">
        <v>1189</v>
      </c>
      <c r="B208" s="55" t="s">
        <v>1191</v>
      </c>
      <c r="C208" s="55" t="s">
        <v>1102</v>
      </c>
      <c r="D208" s="56">
        <f>ROUND(SUMIF(RV_DATA!AA231:'RV_DATA'!AA336, -489591781, RV_DATA!I231:'RV_DATA'!I336), 6)</f>
        <v>9.2093999999999995E-2</v>
      </c>
      <c r="E208" s="84">
        <f>ROUND(RV_DATA!N254, 6)</f>
        <v>918.4</v>
      </c>
      <c r="F208" s="84">
        <f>ROUND(SUMIF(RV_DATA!AA231:'RV_DATA'!AA336, -489591781, RV_DATA!O231:'RV_DATA'!O336), 6)</f>
        <v>80.78</v>
      </c>
      <c r="Q208">
        <v>2</v>
      </c>
    </row>
    <row r="209" spans="1:17" ht="14.25" x14ac:dyDescent="0.2">
      <c r="A209" s="96" t="s">
        <v>1300</v>
      </c>
      <c r="B209" s="55" t="s">
        <v>1302</v>
      </c>
      <c r="C209" s="55" t="s">
        <v>1102</v>
      </c>
      <c r="D209" s="56">
        <f>ROUND(SUMIF(RV_DATA!AA231:'RV_DATA'!AA336, -1713971348, RV_DATA!I231:'RV_DATA'!I336), 6)</f>
        <v>2.44625</v>
      </c>
      <c r="E209" s="84">
        <f>ROUND(RV_DATA!N233, 6)</f>
        <v>4.51</v>
      </c>
      <c r="F209" s="84">
        <f>ROUND(SUMIF(RV_DATA!AA231:'RV_DATA'!AA336, -1713971348, RV_DATA!O231:'RV_DATA'!O336), 6)</f>
        <v>10.41</v>
      </c>
      <c r="Q209">
        <v>2</v>
      </c>
    </row>
    <row r="210" spans="1:17" ht="28.5" x14ac:dyDescent="0.2">
      <c r="A210" s="96" t="s">
        <v>1177</v>
      </c>
      <c r="B210" s="55" t="s">
        <v>1179</v>
      </c>
      <c r="C210" s="55" t="s">
        <v>1102</v>
      </c>
      <c r="D210" s="56">
        <f>ROUND(SUMIF(RV_DATA!AA231:'RV_DATA'!AA336, -911753716, RV_DATA!I231:'RV_DATA'!I336), 6)</f>
        <v>0.13722500000000001</v>
      </c>
      <c r="E210" s="84">
        <f>ROUND(RV_DATA!N283, 6)</f>
        <v>3.86</v>
      </c>
      <c r="F210" s="84">
        <f>ROUND(SUMIF(RV_DATA!AA231:'RV_DATA'!AA336, -911753716, RV_DATA!O231:'RV_DATA'!O336), 6)</f>
        <v>0.48</v>
      </c>
      <c r="Q210">
        <v>2</v>
      </c>
    </row>
    <row r="211" spans="1:17" ht="14.25" x14ac:dyDescent="0.2">
      <c r="A211" s="96" t="s">
        <v>1306</v>
      </c>
      <c r="B211" s="55" t="s">
        <v>1308</v>
      </c>
      <c r="C211" s="55" t="s">
        <v>1102</v>
      </c>
      <c r="D211" s="56">
        <f>ROUND(SUMIF(RV_DATA!AA231:'RV_DATA'!AA336, 923801903, RV_DATA!I231:'RV_DATA'!I336), 6)</f>
        <v>6.463E-3</v>
      </c>
      <c r="E211" s="84">
        <f>ROUND(RV_DATA!N253, 6)</f>
        <v>0.55000000000000004</v>
      </c>
      <c r="F211" s="84">
        <f>ROUND(SUMIF(RV_DATA!AA231:'RV_DATA'!AA336, 923801903, RV_DATA!O231:'RV_DATA'!O336), 6)</f>
        <v>0</v>
      </c>
      <c r="Q211">
        <v>2</v>
      </c>
    </row>
    <row r="212" spans="1:17" ht="28.5" x14ac:dyDescent="0.2">
      <c r="A212" s="96" t="s">
        <v>1142</v>
      </c>
      <c r="B212" s="55" t="s">
        <v>1144</v>
      </c>
      <c r="C212" s="55" t="s">
        <v>1102</v>
      </c>
      <c r="D212" s="56">
        <f>ROUND(SUMIF(RV_DATA!AA231:'RV_DATA'!AA336, 1233659793, RV_DATA!I231:'RV_DATA'!I336), 6)</f>
        <v>1.1573100000000001</v>
      </c>
      <c r="E212" s="84">
        <f>ROUND(RV_DATA!N270, 6)</f>
        <v>33.54</v>
      </c>
      <c r="F212" s="84">
        <f>ROUND(SUMIF(RV_DATA!AA231:'RV_DATA'!AA336, 1233659793, RV_DATA!O231:'RV_DATA'!O336), 6)</f>
        <v>35.700000000000003</v>
      </c>
      <c r="Q212">
        <v>2</v>
      </c>
    </row>
    <row r="213" spans="1:17" ht="14.25" x14ac:dyDescent="0.2">
      <c r="A213" s="96" t="s">
        <v>1183</v>
      </c>
      <c r="B213" s="55" t="s">
        <v>1185</v>
      </c>
      <c r="C213" s="55" t="s">
        <v>1102</v>
      </c>
      <c r="D213" s="56">
        <f>ROUND(SUMIF(RV_DATA!AA231:'RV_DATA'!AA336, -766673081, RV_DATA!I231:'RV_DATA'!I336), 6)</f>
        <v>3.7425E-2</v>
      </c>
      <c r="E213" s="84">
        <f>ROUND(RV_DATA!N282, 6)</f>
        <v>2.57</v>
      </c>
      <c r="F213" s="84">
        <f>ROUND(SUMIF(RV_DATA!AA231:'RV_DATA'!AA336, -766673081, RV_DATA!O231:'RV_DATA'!O336), 6)</f>
        <v>0.09</v>
      </c>
      <c r="Q213">
        <v>2</v>
      </c>
    </row>
    <row r="214" spans="1:17" ht="14.25" x14ac:dyDescent="0.2">
      <c r="A214" s="96" t="s">
        <v>1297</v>
      </c>
      <c r="B214" s="55" t="s">
        <v>1299</v>
      </c>
      <c r="C214" s="55" t="s">
        <v>1102</v>
      </c>
      <c r="D214" s="56">
        <f>ROUND(SUMIF(RV_DATA!AA231:'RV_DATA'!AA336, -1486838010, RV_DATA!I231:'RV_DATA'!I336), 6)</f>
        <v>0.10478999999999999</v>
      </c>
      <c r="E214" s="84">
        <f>ROUND(RV_DATA!N281, 6)</f>
        <v>364.62</v>
      </c>
      <c r="F214" s="84">
        <f>ROUND(SUMIF(RV_DATA!AA231:'RV_DATA'!AA336, -1486838010, RV_DATA!O231:'RV_DATA'!O336), 6)</f>
        <v>35.15</v>
      </c>
      <c r="Q214">
        <v>2</v>
      </c>
    </row>
    <row r="215" spans="1:17" ht="28.5" x14ac:dyDescent="0.2">
      <c r="A215" s="96" t="s">
        <v>1127</v>
      </c>
      <c r="B215" s="55" t="s">
        <v>1129</v>
      </c>
      <c r="C215" s="55" t="s">
        <v>1102</v>
      </c>
      <c r="D215" s="56">
        <f>ROUND(SUMIF(RV_DATA!AA231:'RV_DATA'!AA336, 2105875465, RV_DATA!I231:'RV_DATA'!I336), 6)</f>
        <v>5.8162999999999999E-2</v>
      </c>
      <c r="E215" s="84">
        <f>ROUND(RV_DATA!N252, 6)</f>
        <v>2059.0100000000002</v>
      </c>
      <c r="F215" s="84">
        <f>ROUND(SUMIF(RV_DATA!AA231:'RV_DATA'!AA336, 2105875465, RV_DATA!O231:'RV_DATA'!O336), 6)</f>
        <v>114.39</v>
      </c>
      <c r="Q215">
        <v>2</v>
      </c>
    </row>
    <row r="216" spans="1:17" ht="28.5" x14ac:dyDescent="0.2">
      <c r="A216" s="96" t="s">
        <v>1127</v>
      </c>
      <c r="B216" s="55" t="s">
        <v>1129</v>
      </c>
      <c r="C216" s="55" t="s">
        <v>1102</v>
      </c>
      <c r="D216" s="56">
        <f>ROUND(SUMIF(RV_DATA!AA231:'RV_DATA'!AA336, 1719619468, RV_DATA!I231:'RV_DATA'!I336), 6)</f>
        <v>0.77592399999999995</v>
      </c>
      <c r="E216" s="84">
        <f>ROUND(RV_DATA!N269, 6)</f>
        <v>2137.67</v>
      </c>
      <c r="F216" s="84">
        <f>ROUND(SUMIF(RV_DATA!AA231:'RV_DATA'!AA336, 1719619468, RV_DATA!O231:'RV_DATA'!O336), 6)</f>
        <v>1525.91</v>
      </c>
      <c r="Q216">
        <v>2</v>
      </c>
    </row>
    <row r="217" spans="1:17" ht="28.5" x14ac:dyDescent="0.2">
      <c r="A217" s="96" t="s">
        <v>1309</v>
      </c>
      <c r="B217" s="55" t="s">
        <v>1311</v>
      </c>
      <c r="C217" s="55" t="s">
        <v>1102</v>
      </c>
      <c r="D217" s="56">
        <f>ROUND(SUMIF(RV_DATA!AA231:'RV_DATA'!AA336, -2125115528, RV_DATA!I231:'RV_DATA'!I336), 6)</f>
        <v>2.1006E-2</v>
      </c>
      <c r="E217" s="84">
        <f>ROUND(RV_DATA!N251, 6)</f>
        <v>865.2</v>
      </c>
      <c r="F217" s="84">
        <f>ROUND(SUMIF(RV_DATA!AA231:'RV_DATA'!AA336, -2125115528, RV_DATA!O231:'RV_DATA'!O336), 6)</f>
        <v>17.36</v>
      </c>
      <c r="Q217">
        <v>2</v>
      </c>
    </row>
    <row r="218" spans="1:17" ht="42.75" x14ac:dyDescent="0.2">
      <c r="A218" s="96" t="s">
        <v>1303</v>
      </c>
      <c r="B218" s="55" t="s">
        <v>1305</v>
      </c>
      <c r="C218" s="55" t="s">
        <v>1102</v>
      </c>
      <c r="D218" s="56">
        <f>ROUND(SUMIF(RV_DATA!AA231:'RV_DATA'!AA336, 389768262, RV_DATA!I231:'RV_DATA'!I336), 6)</f>
        <v>0.450625</v>
      </c>
      <c r="E218" s="84">
        <f>ROUND(RV_DATA!N232, 6)</f>
        <v>1242.74</v>
      </c>
      <c r="F218" s="84">
        <f>ROUND(SUMIF(RV_DATA!AA231:'RV_DATA'!AA336, 389768262, RV_DATA!O231:'RV_DATA'!O336), 6)</f>
        <v>534.74</v>
      </c>
      <c r="Q218">
        <v>2</v>
      </c>
    </row>
    <row r="219" spans="1:17" ht="28.5" x14ac:dyDescent="0.2">
      <c r="A219" s="96" t="s">
        <v>1150</v>
      </c>
      <c r="B219" s="55" t="s">
        <v>1152</v>
      </c>
      <c r="C219" s="55" t="s">
        <v>1102</v>
      </c>
      <c r="D219" s="56">
        <f>ROUND(SUMIF(RV_DATA!AA231:'RV_DATA'!AA336, -1782595156, RV_DATA!I231:'RV_DATA'!I336), 6)</f>
        <v>2.9203000000000001</v>
      </c>
      <c r="E219" s="84">
        <f>ROUND(RV_DATA!N262, 6)</f>
        <v>24.96</v>
      </c>
      <c r="F219" s="84">
        <f>ROUND(SUMIF(RV_DATA!AA231:'RV_DATA'!AA336, -1782595156, RV_DATA!O231:'RV_DATA'!O336), 6)</f>
        <v>67.069999999999993</v>
      </c>
      <c r="Q219">
        <v>2</v>
      </c>
    </row>
    <row r="220" spans="1:17" ht="28.5" x14ac:dyDescent="0.2">
      <c r="A220" s="96" t="s">
        <v>1327</v>
      </c>
      <c r="B220" s="55" t="s">
        <v>1329</v>
      </c>
      <c r="C220" s="55" t="s">
        <v>1102</v>
      </c>
      <c r="D220" s="56">
        <f>ROUND(SUMIF(RV_DATA!AA231:'RV_DATA'!AA336, -1625959591, RV_DATA!I231:'RV_DATA'!I336), 6)</f>
        <v>0.59556399999999998</v>
      </c>
      <c r="E220" s="84">
        <f>ROUND(RV_DATA!N268, 6)</f>
        <v>6.76</v>
      </c>
      <c r="F220" s="84">
        <f>ROUND(SUMIF(RV_DATA!AA231:'RV_DATA'!AA336, -1625959591, RV_DATA!O231:'RV_DATA'!O336), 6)</f>
        <v>3.71</v>
      </c>
      <c r="Q220">
        <v>2</v>
      </c>
    </row>
    <row r="221" spans="1:17" ht="14.25" x14ac:dyDescent="0.2">
      <c r="A221" s="96" t="s">
        <v>1312</v>
      </c>
      <c r="B221" s="55" t="s">
        <v>1314</v>
      </c>
      <c r="C221" s="55" t="s">
        <v>1102</v>
      </c>
      <c r="D221" s="56">
        <f>ROUND(SUMIF(RV_DATA!AA231:'RV_DATA'!AA336, -1587501031, RV_DATA!I231:'RV_DATA'!I336), 6)</f>
        <v>0.58162499999999995</v>
      </c>
      <c r="E221" s="84">
        <f>ROUND(RV_DATA!N250, 6)</f>
        <v>19.78</v>
      </c>
      <c r="F221" s="84">
        <f>ROUND(SUMIF(RV_DATA!AA231:'RV_DATA'!AA336, -1587501031, RV_DATA!O231:'RV_DATA'!O336), 6)</f>
        <v>10.99</v>
      </c>
      <c r="Q221">
        <v>2</v>
      </c>
    </row>
    <row r="222" spans="1:17" ht="14.25" x14ac:dyDescent="0.2">
      <c r="A222" s="96" t="s">
        <v>1145</v>
      </c>
      <c r="B222" s="55" t="s">
        <v>1146</v>
      </c>
      <c r="C222" s="55" t="s">
        <v>1138</v>
      </c>
      <c r="D222" s="56">
        <f>ROUND(SUMIF(RV_DATA!AA231:'RV_DATA'!AA336, -453702883, RV_DATA!I231:'RV_DATA'!I336), 6)</f>
        <v>11.680361</v>
      </c>
      <c r="E222" s="84">
        <f>ROUND(RV_DATA!N267, 6)</f>
        <v>1.0900000000000001</v>
      </c>
      <c r="F222" s="84">
        <f>ROUND(SUMIF(RV_DATA!AA231:'RV_DATA'!AA336, -453702883, RV_DATA!O231:'RV_DATA'!O336), 6)</f>
        <v>11.68</v>
      </c>
      <c r="Q222">
        <v>2</v>
      </c>
    </row>
    <row r="223" spans="1:17" ht="14.25" x14ac:dyDescent="0.2">
      <c r="A223" s="96" t="s">
        <v>1145</v>
      </c>
      <c r="B223" s="55" t="s">
        <v>1146</v>
      </c>
      <c r="C223" s="55" t="s">
        <v>1138</v>
      </c>
      <c r="D223" s="56">
        <f>ROUND(SUMIF(RV_DATA!AA231:'RV_DATA'!AA336, -314357962, RV_DATA!I231:'RV_DATA'!I336), 6)</f>
        <v>0.72265000000000001</v>
      </c>
      <c r="E223" s="84">
        <f>ROUND(RV_DATA!N328, 6)</f>
        <v>1.05</v>
      </c>
      <c r="F223" s="84">
        <f>ROUND(SUMIF(RV_DATA!AA231:'RV_DATA'!AA336, -314357962, RV_DATA!O231:'RV_DATA'!O336), 6)</f>
        <v>0.72</v>
      </c>
      <c r="Q223">
        <v>2</v>
      </c>
    </row>
    <row r="224" spans="1:17" ht="15" x14ac:dyDescent="0.25">
      <c r="A224" s="131" t="s">
        <v>1802</v>
      </c>
      <c r="B224" s="131"/>
      <c r="C224" s="131"/>
      <c r="D224" s="131"/>
      <c r="E224" s="132">
        <f>SUMIF(Q202:Q223, 2, F202:F223)</f>
        <v>4082.43</v>
      </c>
      <c r="F224" s="131"/>
    </row>
    <row r="225" spans="1:17" ht="14.25" x14ac:dyDescent="0.2">
      <c r="A225" s="138" t="s">
        <v>1803</v>
      </c>
      <c r="B225" s="139"/>
      <c r="C225" s="139"/>
      <c r="D225" s="139"/>
      <c r="E225" s="139"/>
      <c r="F225" s="139"/>
    </row>
    <row r="226" spans="1:17" ht="42.75" x14ac:dyDescent="0.2">
      <c r="A226" s="96" t="s">
        <v>562</v>
      </c>
      <c r="B226" s="55" t="s">
        <v>563</v>
      </c>
      <c r="C226" s="55" t="s">
        <v>114</v>
      </c>
      <c r="D226" s="56">
        <f>ROUND(SUMIF(RV_DATA!AA231:'RV_DATA'!AA336, 2144879241, RV_DATA!I231:'RV_DATA'!I336), 6)</f>
        <v>1.8839999999999999E-2</v>
      </c>
      <c r="E226" s="84">
        <f>ROUND(RV_DATA!N277, 6)</f>
        <v>0</v>
      </c>
      <c r="F226" s="84">
        <f>ROUND(SUMIF(RV_DATA!AA231:'RV_DATA'!AA336, 2144879241, RV_DATA!O231:'RV_DATA'!O336), 6)</f>
        <v>0</v>
      </c>
      <c r="Q226">
        <v>3</v>
      </c>
    </row>
    <row r="227" spans="1:17" ht="57" x14ac:dyDescent="0.2">
      <c r="A227" s="96" t="s">
        <v>559</v>
      </c>
      <c r="B227" s="55" t="s">
        <v>560</v>
      </c>
      <c r="C227" s="55" t="s">
        <v>114</v>
      </c>
      <c r="D227" s="56">
        <f>ROUND(SUMIF(RV_DATA!AA231:'RV_DATA'!AA336, 2059441950, RV_DATA!I231:'RV_DATA'!I336), 6)</f>
        <v>3.0509999999999999E-2</v>
      </c>
      <c r="E227" s="84">
        <f>ROUND(RV_DATA!N276, 6)</f>
        <v>0</v>
      </c>
      <c r="F227" s="84">
        <f>ROUND(SUMIF(RV_DATA!AA231:'RV_DATA'!AA336, 2059441950, RV_DATA!O231:'RV_DATA'!O336), 6)</f>
        <v>0</v>
      </c>
      <c r="Q227">
        <v>3</v>
      </c>
    </row>
    <row r="228" spans="1:17" ht="57" x14ac:dyDescent="0.2">
      <c r="A228" s="96" t="s">
        <v>586</v>
      </c>
      <c r="B228" s="55" t="s">
        <v>587</v>
      </c>
      <c r="C228" s="55" t="s">
        <v>114</v>
      </c>
      <c r="D228" s="56">
        <f>ROUND(SUMIF(RV_DATA!AA231:'RV_DATA'!AA336, 489026520, RV_DATA!I231:'RV_DATA'!I336), 6)</f>
        <v>0</v>
      </c>
      <c r="E228" s="84">
        <f>ROUND(RV_DATA!N291, 6)</f>
        <v>0</v>
      </c>
      <c r="F228" s="84">
        <f>ROUND(SUMIF(RV_DATA!AA231:'RV_DATA'!AA336, 489026520, RV_DATA!O231:'RV_DATA'!O336), 6)</f>
        <v>0</v>
      </c>
      <c r="Q228">
        <v>3</v>
      </c>
    </row>
    <row r="229" spans="1:17" ht="42.75" x14ac:dyDescent="0.2">
      <c r="A229" s="96" t="s">
        <v>556</v>
      </c>
      <c r="B229" s="55" t="s">
        <v>557</v>
      </c>
      <c r="C229" s="55" t="s">
        <v>114</v>
      </c>
      <c r="D229" s="56">
        <f>ROUND(SUMIF(RV_DATA!AA231:'RV_DATA'!AA336, 2098470301, RV_DATA!I231:'RV_DATA'!I336), 6)</f>
        <v>2.4060000000000002E-2</v>
      </c>
      <c r="E229" s="84">
        <f>ROUND(RV_DATA!N275, 6)</f>
        <v>0</v>
      </c>
      <c r="F229" s="84">
        <f>ROUND(SUMIF(RV_DATA!AA231:'RV_DATA'!AA336, 2098470301, RV_DATA!O231:'RV_DATA'!O336), 6)</f>
        <v>0</v>
      </c>
      <c r="Q229">
        <v>3</v>
      </c>
    </row>
    <row r="230" spans="1:17" ht="42.75" x14ac:dyDescent="0.2">
      <c r="A230" s="96" t="s">
        <v>542</v>
      </c>
      <c r="B230" s="55" t="s">
        <v>543</v>
      </c>
      <c r="C230" s="55" t="s">
        <v>114</v>
      </c>
      <c r="D230" s="56">
        <f>ROUND(SUMIF(RV_DATA!AA231:'RV_DATA'!AA336, 1286358512, RV_DATA!I231:'RV_DATA'!I336), 6)</f>
        <v>5.3900000000000003E-2</v>
      </c>
      <c r="E230" s="84">
        <f>ROUND(RV_DATA!N264, 6)</f>
        <v>60930.254000000001</v>
      </c>
      <c r="F230" s="84">
        <f>ROUND(SUMIF(RV_DATA!AA231:'RV_DATA'!AA336, 1286358512, RV_DATA!O231:'RV_DATA'!O336), 6)</f>
        <v>3284.14</v>
      </c>
      <c r="Q230">
        <v>3</v>
      </c>
    </row>
    <row r="231" spans="1:17" ht="14.25" x14ac:dyDescent="0.2">
      <c r="A231" s="96" t="s">
        <v>348</v>
      </c>
      <c r="B231" s="55" t="s">
        <v>349</v>
      </c>
      <c r="C231" s="55" t="s">
        <v>94</v>
      </c>
      <c r="D231" s="56">
        <f>ROUND(SUMIF(RV_DATA!AA231:'RV_DATA'!AA336, 885428034, RV_DATA!I231:'RV_DATA'!I336), 6)</f>
        <v>0.77249999999999996</v>
      </c>
      <c r="E231" s="84">
        <f>ROUND(RV_DATA!N231, 6)</f>
        <v>42.55</v>
      </c>
      <c r="F231" s="84">
        <f>ROUND(SUMIF(RV_DATA!AA231:'RV_DATA'!AA336, 885428034, RV_DATA!O231:'RV_DATA'!O336), 6)</f>
        <v>32.76</v>
      </c>
      <c r="Q231">
        <v>3</v>
      </c>
    </row>
    <row r="232" spans="1:17" ht="14.25" x14ac:dyDescent="0.2">
      <c r="A232" s="96" t="s">
        <v>348</v>
      </c>
      <c r="B232" s="55" t="s">
        <v>349</v>
      </c>
      <c r="C232" s="55" t="s">
        <v>94</v>
      </c>
      <c r="D232" s="56">
        <f>ROUND(SUMIF(RV_DATA!AA231:'RV_DATA'!AA336, -635416671, RV_DATA!I231:'RV_DATA'!I336), 6)</f>
        <v>3.7740999999999997E-2</v>
      </c>
      <c r="E232" s="84">
        <f>ROUND(RV_DATA!N249, 6)</f>
        <v>43.35</v>
      </c>
      <c r="F232" s="84">
        <f>ROUND(SUMIF(RV_DATA!AA231:'RV_DATA'!AA336, -635416671, RV_DATA!O231:'RV_DATA'!O336), 6)</f>
        <v>1.6</v>
      </c>
      <c r="Q232">
        <v>3</v>
      </c>
    </row>
    <row r="233" spans="1:17" ht="14.25" x14ac:dyDescent="0.2">
      <c r="A233" s="96" t="s">
        <v>1198</v>
      </c>
      <c r="B233" s="55" t="s">
        <v>1200</v>
      </c>
      <c r="C233" s="55" t="s">
        <v>114</v>
      </c>
      <c r="D233" s="56">
        <f>ROUND(SUMIF(RV_DATA!AA231:'RV_DATA'!AA336, 601209444, RV_DATA!I231:'RV_DATA'!I336), 6)</f>
        <v>1.03E-4</v>
      </c>
      <c r="E233" s="84">
        <f>ROUND(RV_DATA!N248, 6)</f>
        <v>64516.15</v>
      </c>
      <c r="F233" s="84">
        <f>ROUND(SUMIF(RV_DATA!AA231:'RV_DATA'!AA336, 601209444, RV_DATA!O231:'RV_DATA'!O336), 6)</f>
        <v>6.53</v>
      </c>
      <c r="Q233">
        <v>3</v>
      </c>
    </row>
    <row r="234" spans="1:17" ht="42.75" x14ac:dyDescent="0.2">
      <c r="A234" s="96" t="s">
        <v>522</v>
      </c>
      <c r="B234" s="55" t="s">
        <v>523</v>
      </c>
      <c r="C234" s="55" t="s">
        <v>94</v>
      </c>
      <c r="D234" s="56">
        <f>ROUND(SUMIF(RV_DATA!AA231:'RV_DATA'!AA336, 981919488, RV_DATA!I231:'RV_DATA'!I336), 6)</f>
        <v>2.9612500000000002</v>
      </c>
      <c r="E234" s="84">
        <f>ROUND(RV_DATA!N242, 6)</f>
        <v>2099.5313000000001</v>
      </c>
      <c r="F234" s="84">
        <f>ROUND(SUMIF(RV_DATA!AA231:'RV_DATA'!AA336, 981919488, RV_DATA!O231:'RV_DATA'!O336), 6)</f>
        <v>6217.23</v>
      </c>
      <c r="Q234">
        <v>3</v>
      </c>
    </row>
    <row r="235" spans="1:17" ht="28.5" x14ac:dyDescent="0.2">
      <c r="A235" s="96" t="s">
        <v>1147</v>
      </c>
      <c r="B235" s="55" t="s">
        <v>1149</v>
      </c>
      <c r="C235" s="55" t="s">
        <v>114</v>
      </c>
      <c r="D235" s="56">
        <f>ROUND(SUMIF(RV_DATA!AA231:'RV_DATA'!AA336, 1334567398, RV_DATA!I231:'RV_DATA'!I336), 6)</f>
        <v>8.2719999999999998E-3</v>
      </c>
      <c r="E235" s="84">
        <f>ROUND(RV_DATA!N247, 6)</f>
        <v>148985.1</v>
      </c>
      <c r="F235" s="84">
        <f>ROUND(SUMIF(RV_DATA!AA231:'RV_DATA'!AA336, 1334567398, RV_DATA!O231:'RV_DATA'!O336), 6)</f>
        <v>1205.8800000000001</v>
      </c>
      <c r="Q235">
        <v>3</v>
      </c>
    </row>
    <row r="236" spans="1:17" ht="28.5" x14ac:dyDescent="0.2">
      <c r="A236" s="96" t="s">
        <v>1147</v>
      </c>
      <c r="B236" s="55" t="s">
        <v>1149</v>
      </c>
      <c r="C236" s="55" t="s">
        <v>114</v>
      </c>
      <c r="D236" s="56">
        <f>ROUND(SUMIF(RV_DATA!AA231:'RV_DATA'!AA336, 2138865355, RV_DATA!I231:'RV_DATA'!I336), 6)</f>
        <v>2.9619999999999998E-3</v>
      </c>
      <c r="E236" s="84">
        <f>ROUND(RV_DATA!N261, 6)</f>
        <v>145777.99</v>
      </c>
      <c r="F236" s="84">
        <f>ROUND(SUMIF(RV_DATA!AA231:'RV_DATA'!AA336, 2138865355, RV_DATA!O231:'RV_DATA'!O336), 6)</f>
        <v>431.81</v>
      </c>
      <c r="Q236">
        <v>3</v>
      </c>
    </row>
    <row r="237" spans="1:17" ht="28.5" x14ac:dyDescent="0.2">
      <c r="A237" s="96" t="s">
        <v>1336</v>
      </c>
      <c r="B237" s="55" t="s">
        <v>1338</v>
      </c>
      <c r="C237" s="55" t="s">
        <v>369</v>
      </c>
      <c r="D237" s="56">
        <f>ROUND(SUMIF(RV_DATA!AA231:'RV_DATA'!AA336, -1823612542, RV_DATA!I231:'RV_DATA'!I336), 6)</f>
        <v>3.492</v>
      </c>
      <c r="E237" s="84">
        <f>ROUND(RV_DATA!N333, 6)</f>
        <v>79.239999999999995</v>
      </c>
      <c r="F237" s="84">
        <f>ROUND(SUMIF(RV_DATA!AA231:'RV_DATA'!AA336, -1823612542, RV_DATA!O231:'RV_DATA'!O336), 6)</f>
        <v>276.69</v>
      </c>
      <c r="Q237">
        <v>3</v>
      </c>
    </row>
    <row r="238" spans="1:17" ht="14.25" x14ac:dyDescent="0.2">
      <c r="A238" s="96" t="s">
        <v>607</v>
      </c>
      <c r="B238" s="55" t="s">
        <v>608</v>
      </c>
      <c r="C238" s="55" t="s">
        <v>114</v>
      </c>
      <c r="D238" s="56">
        <f>ROUND(SUMIF(RV_DATA!AA231:'RV_DATA'!AA336, -1431978889, RV_DATA!I231:'RV_DATA'!I336), 6)</f>
        <v>3.4919999999999999E-3</v>
      </c>
      <c r="E238" s="84">
        <f>ROUND(RV_DATA!N331, 6)</f>
        <v>69044.256999999998</v>
      </c>
      <c r="F238" s="84">
        <f>ROUND(SUMIF(RV_DATA!AA231:'RV_DATA'!AA336, -1431978889, RV_DATA!O231:'RV_DATA'!O336), 6)</f>
        <v>241.1</v>
      </c>
      <c r="Q238">
        <v>3</v>
      </c>
    </row>
    <row r="239" spans="1:17" ht="28.5" x14ac:dyDescent="0.2">
      <c r="A239" s="96" t="s">
        <v>1315</v>
      </c>
      <c r="B239" s="55" t="s">
        <v>1317</v>
      </c>
      <c r="C239" s="55" t="s">
        <v>94</v>
      </c>
      <c r="D239" s="56">
        <f>ROUND(SUMIF(RV_DATA!AA231:'RV_DATA'!AA336, 13902700, RV_DATA!I231:'RV_DATA'!I336), 6)</f>
        <v>2.068E-3</v>
      </c>
      <c r="E239" s="84">
        <f>ROUND(RV_DATA!N246, 6)</f>
        <v>7923.66</v>
      </c>
      <c r="F239" s="84">
        <f>ROUND(SUMIF(RV_DATA!AA231:'RV_DATA'!AA336, 13902700, RV_DATA!O231:'RV_DATA'!O336), 6)</f>
        <v>16.03</v>
      </c>
      <c r="Q239">
        <v>3</v>
      </c>
    </row>
    <row r="240" spans="1:17" ht="57" x14ac:dyDescent="0.2">
      <c r="A240" s="96" t="s">
        <v>553</v>
      </c>
      <c r="B240" s="55" t="s">
        <v>554</v>
      </c>
      <c r="C240" s="55" t="s">
        <v>114</v>
      </c>
      <c r="D240" s="56">
        <f>ROUND(SUMIF(RV_DATA!AA231:'RV_DATA'!AA336, 1322601980, RV_DATA!I231:'RV_DATA'!I336), 6)</f>
        <v>1.7919999999999998E-2</v>
      </c>
      <c r="E240" s="84">
        <f>ROUND(RV_DATA!N274, 6)</f>
        <v>0</v>
      </c>
      <c r="F240" s="84">
        <f>ROUND(SUMIF(RV_DATA!AA231:'RV_DATA'!AA336, 1322601980, RV_DATA!O231:'RV_DATA'!O336), 6)</f>
        <v>0</v>
      </c>
      <c r="Q240">
        <v>3</v>
      </c>
    </row>
    <row r="241" spans="1:17" ht="14.25" x14ac:dyDescent="0.2">
      <c r="A241" s="96" t="s">
        <v>1318</v>
      </c>
      <c r="B241" s="55" t="s">
        <v>1320</v>
      </c>
      <c r="C241" s="55" t="s">
        <v>114</v>
      </c>
      <c r="D241" s="56">
        <f>ROUND(SUMIF(RV_DATA!AA231:'RV_DATA'!AA336, 1841509626, RV_DATA!I231:'RV_DATA'!I336), 6)</f>
        <v>5.1699999999999999E-4</v>
      </c>
      <c r="E241" s="84">
        <f>ROUND(RV_DATA!N245, 6)</f>
        <v>5965.55</v>
      </c>
      <c r="F241" s="84">
        <f>ROUND(SUMIF(RV_DATA!AA231:'RV_DATA'!AA336, 1841509626, RV_DATA!O231:'RV_DATA'!O336), 6)</f>
        <v>3.02</v>
      </c>
      <c r="Q241">
        <v>3</v>
      </c>
    </row>
    <row r="242" spans="1:17" ht="14.25" x14ac:dyDescent="0.2">
      <c r="A242" s="96" t="s">
        <v>590</v>
      </c>
      <c r="B242" s="55" t="s">
        <v>591</v>
      </c>
      <c r="C242" s="55" t="s">
        <v>94</v>
      </c>
      <c r="D242" s="56">
        <f>ROUND(SUMIF(RV_DATA!AA231:'RV_DATA'!AA336, 1191982805, RV_DATA!I231:'RV_DATA'!I336), 6)</f>
        <v>0.25947999999999999</v>
      </c>
      <c r="E242" s="84">
        <f>ROUND(RV_DATA!N293, 6)</f>
        <v>76.9482</v>
      </c>
      <c r="F242" s="84">
        <f>ROUND(SUMIF(RV_DATA!AA231:'RV_DATA'!AA336, 1191982805, RV_DATA!O231:'RV_DATA'!O336), 6)</f>
        <v>19.97</v>
      </c>
      <c r="Q242">
        <v>3</v>
      </c>
    </row>
    <row r="243" spans="1:17" ht="14.25" x14ac:dyDescent="0.2">
      <c r="A243" s="96" t="s">
        <v>1333</v>
      </c>
      <c r="B243" s="55" t="s">
        <v>1335</v>
      </c>
      <c r="C243" s="55" t="s">
        <v>114</v>
      </c>
      <c r="D243" s="56">
        <f>ROUND(SUMIF(RV_DATA!AA231:'RV_DATA'!AA336, 252172603, RV_DATA!I231:'RV_DATA'!I336), 6)</f>
        <v>5.8200000000000005E-4</v>
      </c>
      <c r="E243" s="84">
        <f>ROUND(RV_DATA!N327, 6)</f>
        <v>121470.37</v>
      </c>
      <c r="F243" s="84">
        <f>ROUND(SUMIF(RV_DATA!AA231:'RV_DATA'!AA336, 252172603, RV_DATA!O231:'RV_DATA'!O336), 6)</f>
        <v>70.73</v>
      </c>
      <c r="Q243">
        <v>3</v>
      </c>
    </row>
    <row r="244" spans="1:17" ht="14.25" x14ac:dyDescent="0.2">
      <c r="A244" s="96" t="s">
        <v>1321</v>
      </c>
      <c r="B244" s="55" t="s">
        <v>1323</v>
      </c>
      <c r="C244" s="55" t="s">
        <v>258</v>
      </c>
      <c r="D244" s="56">
        <f>ROUND(SUMIF(RV_DATA!AA231:'RV_DATA'!AA336, -166191981, RV_DATA!I231:'RV_DATA'!I336), 6)</f>
        <v>1.5509999999999999</v>
      </c>
      <c r="E244" s="84">
        <f>ROUND(RV_DATA!N244, 6)</f>
        <v>49.17</v>
      </c>
      <c r="F244" s="84">
        <f>ROUND(SUMIF(RV_DATA!AA231:'RV_DATA'!AA336, -166191981, RV_DATA!O231:'RV_DATA'!O336), 6)</f>
        <v>74.62</v>
      </c>
      <c r="Q244">
        <v>3</v>
      </c>
    </row>
    <row r="245" spans="1:17" ht="28.5" x14ac:dyDescent="0.2">
      <c r="A245" s="96" t="s">
        <v>92</v>
      </c>
      <c r="B245" s="55" t="s">
        <v>93</v>
      </c>
      <c r="C245" s="55" t="s">
        <v>94</v>
      </c>
      <c r="D245" s="56">
        <f>ROUND(SUMIF(RV_DATA!AA231:'RV_DATA'!AA336, -2049674672, RV_DATA!I231:'RV_DATA'!I336), 6)</f>
        <v>2.8325</v>
      </c>
      <c r="E245" s="84">
        <f>ROUND(RV_DATA!N236, 6)</f>
        <v>722.33119999999997</v>
      </c>
      <c r="F245" s="84">
        <f>ROUND(SUMIF(RV_DATA!AA231:'RV_DATA'!AA336, -2049674672, RV_DATA!O231:'RV_DATA'!O336), 6)</f>
        <v>2046</v>
      </c>
      <c r="Q245">
        <v>3</v>
      </c>
    </row>
    <row r="246" spans="1:17" ht="14.25" x14ac:dyDescent="0.2">
      <c r="A246" s="96" t="s">
        <v>571</v>
      </c>
      <c r="B246" s="55" t="s">
        <v>572</v>
      </c>
      <c r="C246" s="55" t="s">
        <v>94</v>
      </c>
      <c r="D246" s="56">
        <f>ROUND(SUMIF(RV_DATA!AA231:'RV_DATA'!AA336, -1654900354, RV_DATA!I231:'RV_DATA'!I336), 6)</f>
        <v>4.99E-2</v>
      </c>
      <c r="E246" s="84">
        <f>ROUND(RV_DATA!N287, 6)</f>
        <v>110.8485</v>
      </c>
      <c r="F246" s="84">
        <f>ROUND(SUMIF(RV_DATA!AA231:'RV_DATA'!AA336, -1654900354, RV_DATA!O231:'RV_DATA'!O336), 6)</f>
        <v>5.53</v>
      </c>
      <c r="Q246">
        <v>3</v>
      </c>
    </row>
    <row r="247" spans="1:17" ht="14.25" x14ac:dyDescent="0.2">
      <c r="A247" s="96" t="s">
        <v>1339</v>
      </c>
      <c r="B247" s="55" t="s">
        <v>1341</v>
      </c>
      <c r="C247" s="55" t="s">
        <v>114</v>
      </c>
      <c r="D247" s="56">
        <f>ROUND(SUMIF(RV_DATA!AA231:'RV_DATA'!AA336, 194092272, RV_DATA!I231:'RV_DATA'!I336), 6)</f>
        <v>5.7399999999999997E-4</v>
      </c>
      <c r="E247" s="84">
        <f>ROUND(RV_DATA!N332, 6)</f>
        <v>54151.11</v>
      </c>
      <c r="F247" s="84">
        <f>ROUND(SUMIF(RV_DATA!AA231:'RV_DATA'!AA336, 194092272, RV_DATA!O231:'RV_DATA'!O336), 6)</f>
        <v>31.09</v>
      </c>
      <c r="Q247">
        <v>3</v>
      </c>
    </row>
    <row r="248" spans="1:17" ht="57" x14ac:dyDescent="0.2">
      <c r="A248" s="96" t="s">
        <v>582</v>
      </c>
      <c r="B248" s="55" t="s">
        <v>583</v>
      </c>
      <c r="C248" s="55" t="s">
        <v>270</v>
      </c>
      <c r="D248" s="56">
        <f>ROUND(SUMIF(RV_DATA!AA231:'RV_DATA'!AA336, 1707918764, RV_DATA!I231:'RV_DATA'!I336), 6)</f>
        <v>0</v>
      </c>
      <c r="E248" s="84">
        <f>ROUND(RV_DATA!N290, 6)</f>
        <v>57.953099999999999</v>
      </c>
      <c r="F248" s="84">
        <f>ROUND(SUMIF(RV_DATA!AA231:'RV_DATA'!AA336, 1707918764, RV_DATA!O231:'RV_DATA'!O336), 6)</f>
        <v>0</v>
      </c>
      <c r="Q248">
        <v>3</v>
      </c>
    </row>
    <row r="249" spans="1:17" ht="57" x14ac:dyDescent="0.2">
      <c r="A249" s="96" t="s">
        <v>578</v>
      </c>
      <c r="B249" s="55" t="s">
        <v>579</v>
      </c>
      <c r="C249" s="55" t="s">
        <v>270</v>
      </c>
      <c r="D249" s="56">
        <f>ROUND(SUMIF(RV_DATA!AA231:'RV_DATA'!AA336, 722640678, RV_DATA!I231:'RV_DATA'!I336), 6)</f>
        <v>0</v>
      </c>
      <c r="E249" s="84">
        <f>ROUND(RV_DATA!N289, 6)</f>
        <v>74.866500000000002</v>
      </c>
      <c r="F249" s="84">
        <f>ROUND(SUMIF(RV_DATA!AA231:'RV_DATA'!AA336, 722640678, RV_DATA!O231:'RV_DATA'!O336), 6)</f>
        <v>0</v>
      </c>
      <c r="Q249">
        <v>3</v>
      </c>
    </row>
    <row r="250" spans="1:17" ht="57" x14ac:dyDescent="0.2">
      <c r="A250" s="96" t="s">
        <v>537</v>
      </c>
      <c r="B250" s="55" t="s">
        <v>538</v>
      </c>
      <c r="C250" s="55" t="s">
        <v>94</v>
      </c>
      <c r="D250" s="56">
        <f>ROUND(SUMIF(RV_DATA!AA231:'RV_DATA'!AA336, 1562862015, RV_DATA!I231:'RV_DATA'!I336), 6)</f>
        <v>4.7096</v>
      </c>
      <c r="E250" s="84">
        <f>ROUND(RV_DATA!N259, 6)</f>
        <v>0</v>
      </c>
      <c r="F250" s="84">
        <f>ROUND(SUMIF(RV_DATA!AA231:'RV_DATA'!AA336, 1562862015, RV_DATA!O231:'RV_DATA'!O336), 6)</f>
        <v>0</v>
      </c>
      <c r="Q250">
        <v>3</v>
      </c>
    </row>
    <row r="251" spans="1:17" ht="57" x14ac:dyDescent="0.2">
      <c r="A251" s="96" t="s">
        <v>537</v>
      </c>
      <c r="B251" s="55" t="s">
        <v>538</v>
      </c>
      <c r="C251" s="55" t="s">
        <v>94</v>
      </c>
      <c r="D251" s="56">
        <f>ROUND(SUMIF(RV_DATA!AA231:'RV_DATA'!AA336, 1494792044, RV_DATA!I231:'RV_DATA'!I336), 6)</f>
        <v>0.53795000000000004</v>
      </c>
      <c r="E251" s="84">
        <f>ROUND(RV_DATA!N326, 6)</f>
        <v>5782.1144999999997</v>
      </c>
      <c r="F251" s="84">
        <f>ROUND(SUMIF(RV_DATA!AA231:'RV_DATA'!AA336, 1494792044, RV_DATA!O231:'RV_DATA'!O336), 6)</f>
        <v>3110.49</v>
      </c>
      <c r="Q251">
        <v>3</v>
      </c>
    </row>
    <row r="252" spans="1:17" ht="71.25" x14ac:dyDescent="0.2">
      <c r="A252" s="96" t="s">
        <v>597</v>
      </c>
      <c r="B252" s="55" t="s">
        <v>598</v>
      </c>
      <c r="C252" s="55" t="s">
        <v>114</v>
      </c>
      <c r="D252" s="56">
        <f>ROUND(SUMIF(RV_DATA!AA231:'RV_DATA'!AA336, 35865515, RV_DATA!I231:'RV_DATA'!I336), 6)</f>
        <v>4.2930000000000003E-2</v>
      </c>
      <c r="E252" s="84">
        <f>ROUND(RV_DATA!N325, 6)</f>
        <v>70294.450200000007</v>
      </c>
      <c r="F252" s="84">
        <f>ROUND(SUMIF(RV_DATA!AA231:'RV_DATA'!AA336, 35865515, RV_DATA!O231:'RV_DATA'!O336), 6)</f>
        <v>3017.74</v>
      </c>
      <c r="Q252">
        <v>3</v>
      </c>
    </row>
    <row r="253" spans="1:17" ht="71.25" x14ac:dyDescent="0.2">
      <c r="A253" s="96" t="s">
        <v>531</v>
      </c>
      <c r="B253" s="55" t="s">
        <v>532</v>
      </c>
      <c r="C253" s="55" t="s">
        <v>114</v>
      </c>
      <c r="D253" s="56">
        <f>ROUND(SUMIF(RV_DATA!AA231:'RV_DATA'!AA336, -1438143931, RV_DATA!I231:'RV_DATA'!I336), 6)</f>
        <v>1.4489999999999999E-2</v>
      </c>
      <c r="E253" s="84">
        <f>ROUND(RV_DATA!N257, 6)</f>
        <v>0</v>
      </c>
      <c r="F253" s="84">
        <f>ROUND(SUMIF(RV_DATA!AA231:'RV_DATA'!AA336, -1438143931, RV_DATA!O231:'RV_DATA'!O336), 6)</f>
        <v>0</v>
      </c>
      <c r="Q253">
        <v>3</v>
      </c>
    </row>
    <row r="254" spans="1:17" ht="71.25" x14ac:dyDescent="0.2">
      <c r="A254" s="96" t="s">
        <v>534</v>
      </c>
      <c r="B254" s="55" t="s">
        <v>535</v>
      </c>
      <c r="C254" s="55" t="s">
        <v>114</v>
      </c>
      <c r="D254" s="56">
        <f>ROUND(SUMIF(RV_DATA!AA231:'RV_DATA'!AA336, -78824159, RV_DATA!I231:'RV_DATA'!I336), 6)</f>
        <v>0.52371000000000001</v>
      </c>
      <c r="E254" s="84">
        <f>ROUND(RV_DATA!N258, 6)</f>
        <v>0</v>
      </c>
      <c r="F254" s="84">
        <f>ROUND(SUMIF(RV_DATA!AA231:'RV_DATA'!AA336, -78824159, RV_DATA!O231:'RV_DATA'!O336), 6)</f>
        <v>0</v>
      </c>
      <c r="Q254">
        <v>3</v>
      </c>
    </row>
    <row r="255" spans="1:17" ht="85.5" x14ac:dyDescent="0.2">
      <c r="A255" s="96" t="s">
        <v>565</v>
      </c>
      <c r="B255" s="55" t="s">
        <v>566</v>
      </c>
      <c r="C255" s="55" t="s">
        <v>114</v>
      </c>
      <c r="D255" s="56">
        <f>ROUND(SUMIF(RV_DATA!AA231:'RV_DATA'!AA336, 1234441241, RV_DATA!I231:'RV_DATA'!I336), 6)</f>
        <v>5.8999999999999997E-2</v>
      </c>
      <c r="E255" s="84">
        <f>ROUND(RV_DATA!N278, 6)</f>
        <v>0</v>
      </c>
      <c r="F255" s="84">
        <f>ROUND(SUMIF(RV_DATA!AA231:'RV_DATA'!AA336, 1234441241, RV_DATA!O231:'RV_DATA'!O336), 6)</f>
        <v>0</v>
      </c>
      <c r="Q255">
        <v>3</v>
      </c>
    </row>
    <row r="256" spans="1:17" ht="99.75" x14ac:dyDescent="0.2">
      <c r="A256" s="96" t="s">
        <v>593</v>
      </c>
      <c r="B256" s="55" t="s">
        <v>594</v>
      </c>
      <c r="C256" s="55" t="s">
        <v>250</v>
      </c>
      <c r="D256" s="56">
        <f>ROUND(SUMIF(RV_DATA!AA231:'RV_DATA'!AA336, 968088401, RV_DATA!I231:'RV_DATA'!I336), 6)</f>
        <v>76</v>
      </c>
      <c r="E256" s="84">
        <f>ROUND(RV_DATA!N298, 6)</f>
        <v>134.566</v>
      </c>
      <c r="F256" s="84">
        <f>ROUND(SUMIF(RV_DATA!AA231:'RV_DATA'!AA336, 968088401, RV_DATA!O231:'RV_DATA'!O336), 6)</f>
        <v>10227.02</v>
      </c>
      <c r="Q256">
        <v>3</v>
      </c>
    </row>
    <row r="257" spans="1:17" ht="57" x14ac:dyDescent="0.2">
      <c r="A257" s="96" t="s">
        <v>549</v>
      </c>
      <c r="B257" s="55" t="s">
        <v>550</v>
      </c>
      <c r="C257" s="55" t="s">
        <v>551</v>
      </c>
      <c r="D257" s="56">
        <f>ROUND(SUMIF(RV_DATA!AA231:'RV_DATA'!AA336, 292071729, RV_DATA!I231:'RV_DATA'!I336), 6)</f>
        <v>0.16</v>
      </c>
      <c r="E257" s="84">
        <f>ROUND(RV_DATA!N273, 6)</f>
        <v>0</v>
      </c>
      <c r="F257" s="84">
        <f>ROUND(SUMIF(RV_DATA!AA231:'RV_DATA'!AA336, 292071729, RV_DATA!O231:'RV_DATA'!O336), 6)</f>
        <v>0</v>
      </c>
      <c r="Q257">
        <v>3</v>
      </c>
    </row>
    <row r="258" spans="1:17" ht="57" x14ac:dyDescent="0.2">
      <c r="A258" s="96" t="s">
        <v>1324</v>
      </c>
      <c r="B258" s="55" t="s">
        <v>1326</v>
      </c>
      <c r="C258" s="55" t="s">
        <v>258</v>
      </c>
      <c r="D258" s="56">
        <f>ROUND(SUMIF(RV_DATA!AA231:'RV_DATA'!AA336, 25254433, RV_DATA!I231:'RV_DATA'!I336), 6)</f>
        <v>0.18612000000000001</v>
      </c>
      <c r="E258" s="84">
        <f>ROUND(RV_DATA!N243, 6)</f>
        <v>323.39</v>
      </c>
      <c r="F258" s="84">
        <f>ROUND(SUMIF(RV_DATA!AA231:'RV_DATA'!AA336, 25254433, RV_DATA!O231:'RV_DATA'!O336), 6)</f>
        <v>58.9</v>
      </c>
      <c r="Q258">
        <v>3</v>
      </c>
    </row>
    <row r="259" spans="1:17" ht="14.25" x14ac:dyDescent="0.2">
      <c r="A259" s="96" t="s">
        <v>1136</v>
      </c>
      <c r="B259" s="55" t="s">
        <v>1137</v>
      </c>
      <c r="C259" s="55" t="s">
        <v>1138</v>
      </c>
      <c r="D259" s="56">
        <f>ROUND(SUMIF(RV_DATA!AA231:'RV_DATA'!AA336, 19367311, RV_DATA!I231:'RV_DATA'!I336), 6)</f>
        <v>12.00192</v>
      </c>
      <c r="E259" s="84">
        <f>ROUND(RV_DATA!N260, 6)</f>
        <v>8.65</v>
      </c>
      <c r="F259" s="84">
        <f>ROUND(SUMIF(RV_DATA!AA231:'RV_DATA'!AA336, 19367311, RV_DATA!O231:'RV_DATA'!O336), 6)</f>
        <v>103.82</v>
      </c>
      <c r="Q259">
        <v>3</v>
      </c>
    </row>
    <row r="260" spans="1:17" ht="57" x14ac:dyDescent="0.2">
      <c r="A260" s="96" t="s">
        <v>248</v>
      </c>
      <c r="B260" s="55" t="s">
        <v>575</v>
      </c>
      <c r="C260" s="55" t="s">
        <v>270</v>
      </c>
      <c r="D260" s="56">
        <f>ROUND(SUMIF(RV_DATA!AA231:'RV_DATA'!AA336, -1505835031, RV_DATA!I231:'RV_DATA'!I336), 6)</f>
        <v>12.5</v>
      </c>
      <c r="E260" s="84">
        <f>ROUND(RV_DATA!N288, 6)</f>
        <v>6799.9380000000001</v>
      </c>
      <c r="F260" s="84">
        <f>ROUND(SUMIF(RV_DATA!AA231:'RV_DATA'!AA336, -1505835031, RV_DATA!O231:'RV_DATA'!O336), 6)</f>
        <v>84999.23</v>
      </c>
      <c r="Q260">
        <v>3</v>
      </c>
    </row>
    <row r="261" spans="1:17" ht="15" x14ac:dyDescent="0.25">
      <c r="A261" s="131" t="s">
        <v>1804</v>
      </c>
      <c r="B261" s="131"/>
      <c r="C261" s="131"/>
      <c r="D261" s="131"/>
      <c r="E261" s="132">
        <f>SUMIF(Q226:Q260, 3, F226:F260)</f>
        <v>115481.93</v>
      </c>
      <c r="F261" s="131"/>
    </row>
    <row r="263" spans="1:17" ht="16.5" x14ac:dyDescent="0.2">
      <c r="A263" s="133" t="str">
        <f>CONCATENATE("Итого по локальной смете:",IF(Source!G609&lt;&gt;"Новая локальная смета", Source!G609, ""))</f>
        <v>Итого по локальной смете:Конструктивные решения</v>
      </c>
      <c r="B263" s="134"/>
      <c r="C263" s="134"/>
      <c r="D263" s="134"/>
      <c r="E263" s="134"/>
      <c r="F263" s="135"/>
    </row>
    <row r="264" spans="1:17" ht="14.25" hidden="1" customHeight="1" x14ac:dyDescent="0.25">
      <c r="A264" s="131" t="s">
        <v>1800</v>
      </c>
      <c r="B264" s="131"/>
      <c r="C264" s="131"/>
      <c r="D264" s="131"/>
      <c r="E264" s="132">
        <f>SUMIF(Q177:Q263, 1, F177:F263)</f>
        <v>0</v>
      </c>
      <c r="F264" s="131"/>
    </row>
    <row r="265" spans="1:17" ht="15" x14ac:dyDescent="0.25">
      <c r="A265" s="131" t="s">
        <v>1802</v>
      </c>
      <c r="B265" s="131"/>
      <c r="C265" s="131"/>
      <c r="D265" s="131"/>
      <c r="E265" s="132">
        <f>SUMIF(Q177:Q264, 2, F177:F264)</f>
        <v>12012.25</v>
      </c>
      <c r="F265" s="131"/>
    </row>
    <row r="266" spans="1:17" ht="15" x14ac:dyDescent="0.25">
      <c r="A266" s="131" t="s">
        <v>1804</v>
      </c>
      <c r="B266" s="131"/>
      <c r="C266" s="131"/>
      <c r="D266" s="131"/>
      <c r="E266" s="132">
        <f>SUMIF(Q177:Q265, 3, F177:F265)</f>
        <v>116986.31999999999</v>
      </c>
      <c r="F266" s="131"/>
    </row>
    <row r="267" spans="1:17" ht="14.25" hidden="1" customHeight="1" x14ac:dyDescent="0.25">
      <c r="A267" s="131" t="s">
        <v>1805</v>
      </c>
      <c r="B267" s="131"/>
      <c r="C267" s="131"/>
      <c r="D267" s="131"/>
      <c r="E267" s="132">
        <f>SUMIF(Q177:Q266, 4, F177:F266)</f>
        <v>0</v>
      </c>
      <c r="F267" s="131"/>
    </row>
    <row r="268" spans="1:17" ht="14.25" hidden="1" customHeight="1" x14ac:dyDescent="0.25">
      <c r="A268" s="131" t="s">
        <v>1806</v>
      </c>
      <c r="B268" s="131"/>
      <c r="C268" s="131"/>
      <c r="D268" s="131"/>
      <c r="E268" s="132">
        <f>SUMIF(Q177:Q267, 5, F177:F267)</f>
        <v>0</v>
      </c>
      <c r="F268" s="131"/>
    </row>
    <row r="270" spans="1:17" ht="16.5" x14ac:dyDescent="0.2">
      <c r="A270" s="136" t="str">
        <f>CONCATENATE("Локальная смета: ",IF(Source!G641&lt;&gt;"Новая локальная смета", Source!G641, ""))</f>
        <v>Локальная смета: Система связи</v>
      </c>
      <c r="B270" s="137"/>
      <c r="C270" s="137"/>
      <c r="D270" s="137"/>
      <c r="E270" s="137"/>
      <c r="F270" s="137"/>
    </row>
    <row r="271" spans="1:17" ht="16.5" x14ac:dyDescent="0.2">
      <c r="A271" s="136" t="str">
        <f>CONCATENATE("Раздел: ",IF(Source!G645&lt;&gt;"Новый раздел", Source!G645, ""))</f>
        <v>Раздел: Монтажные работы</v>
      </c>
      <c r="B271" s="137"/>
      <c r="C271" s="137"/>
      <c r="D271" s="137"/>
      <c r="E271" s="137"/>
      <c r="F271" s="137"/>
    </row>
    <row r="272" spans="1:17" ht="14.25" x14ac:dyDescent="0.2">
      <c r="A272" s="138" t="s">
        <v>1799</v>
      </c>
      <c r="B272" s="139"/>
      <c r="C272" s="139"/>
      <c r="D272" s="139"/>
      <c r="E272" s="139"/>
      <c r="F272" s="139"/>
    </row>
    <row r="273" spans="1:17" ht="14.25" x14ac:dyDescent="0.2">
      <c r="A273" s="96" t="s">
        <v>1096</v>
      </c>
      <c r="B273" s="55" t="s">
        <v>1097</v>
      </c>
      <c r="C273" s="55" t="s">
        <v>1098</v>
      </c>
      <c r="D273" s="56">
        <f>ROUND(SUMIF(RV_DATA!AA339:'RV_DATA'!AA369, 1499241640, RV_DATA!I339:'RV_DATA'!I369), 6)</f>
        <v>69.082899999999995</v>
      </c>
      <c r="E273" s="84">
        <f>ROUND(RV_DATA!N339, 6)</f>
        <v>0</v>
      </c>
      <c r="F273" s="84">
        <f>ROUND(SUMIF(RV_DATA!AA339:'RV_DATA'!AA369, 1499241640, RV_DATA!O339:'RV_DATA'!O369), 6)</f>
        <v>0</v>
      </c>
      <c r="Q273">
        <v>1</v>
      </c>
    </row>
    <row r="274" spans="1:17" ht="15" x14ac:dyDescent="0.25">
      <c r="A274" s="131" t="s">
        <v>1800</v>
      </c>
      <c r="B274" s="131"/>
      <c r="C274" s="131"/>
      <c r="D274" s="131"/>
      <c r="E274" s="132">
        <f>SUMIF(Q273:Q273, 1, F273:F273)</f>
        <v>0</v>
      </c>
      <c r="F274" s="131"/>
    </row>
    <row r="275" spans="1:17" ht="14.25" x14ac:dyDescent="0.2">
      <c r="A275" s="138" t="s">
        <v>1803</v>
      </c>
      <c r="B275" s="139"/>
      <c r="C275" s="139"/>
      <c r="D275" s="139"/>
      <c r="E275" s="139"/>
      <c r="F275" s="139"/>
    </row>
    <row r="276" spans="1:17" ht="28.5" x14ac:dyDescent="0.2">
      <c r="A276" s="96" t="s">
        <v>1344</v>
      </c>
      <c r="B276" s="55" t="s">
        <v>1346</v>
      </c>
      <c r="C276" s="55" t="s">
        <v>114</v>
      </c>
      <c r="D276" s="56">
        <f>ROUND(SUMIF(RV_DATA!AA339:'RV_DATA'!AA369, 1130690276, RV_DATA!I339:'RV_DATA'!I369), 6)</f>
        <v>3.0000000000000001E-5</v>
      </c>
      <c r="E276" s="84">
        <f>ROUND(RV_DATA!N346, 6)</f>
        <v>199927.18</v>
      </c>
      <c r="F276" s="84">
        <f>ROUND(SUMIF(RV_DATA!AA339:'RV_DATA'!AA369, 1130690276, RV_DATA!O339:'RV_DATA'!O369), 6)</f>
        <v>6.09</v>
      </c>
      <c r="Q276">
        <v>3</v>
      </c>
    </row>
    <row r="277" spans="1:17" ht="42.75" x14ac:dyDescent="0.2">
      <c r="A277" s="96" t="s">
        <v>648</v>
      </c>
      <c r="B277" s="55" t="s">
        <v>649</v>
      </c>
      <c r="C277" s="55" t="s">
        <v>250</v>
      </c>
      <c r="D277" s="56">
        <f>ROUND(SUMIF(RV_DATA!AA339:'RV_DATA'!AA369, 1369064842, RV_DATA!I339:'RV_DATA'!I369), 6)</f>
        <v>2</v>
      </c>
      <c r="E277" s="84">
        <f>ROUND(RV_DATA!N348, 6)</f>
        <v>60.5184</v>
      </c>
      <c r="F277" s="84">
        <f>ROUND(SUMIF(RV_DATA!AA339:'RV_DATA'!AA369, 1369064842, RV_DATA!O339:'RV_DATA'!O369), 6)</f>
        <v>121.04</v>
      </c>
      <c r="Q277">
        <v>3</v>
      </c>
    </row>
    <row r="278" spans="1:17" ht="28.5" x14ac:dyDescent="0.2">
      <c r="A278" s="96" t="s">
        <v>673</v>
      </c>
      <c r="B278" s="55" t="s">
        <v>674</v>
      </c>
      <c r="C278" s="55" t="s">
        <v>270</v>
      </c>
      <c r="D278" s="56">
        <f>ROUND(SUMIF(RV_DATA!AA339:'RV_DATA'!AA369, -461846731, RV_DATA!I339:'RV_DATA'!I369), 6)</f>
        <v>50</v>
      </c>
      <c r="E278" s="84">
        <f>ROUND(RV_DATA!N360, 6)</f>
        <v>67.887799999999999</v>
      </c>
      <c r="F278" s="84">
        <f>ROUND(SUMIF(RV_DATA!AA339:'RV_DATA'!AA369, -461846731, RV_DATA!O339:'RV_DATA'!O369), 6)</f>
        <v>3394.39</v>
      </c>
      <c r="Q278">
        <v>3</v>
      </c>
    </row>
    <row r="279" spans="1:17" ht="57" x14ac:dyDescent="0.2">
      <c r="A279" s="96" t="s">
        <v>681</v>
      </c>
      <c r="B279" s="55" t="s">
        <v>682</v>
      </c>
      <c r="C279" s="55" t="s">
        <v>270</v>
      </c>
      <c r="D279" s="56">
        <f>ROUND(SUMIF(RV_DATA!AA339:'RV_DATA'!AA369, 1291776269, RV_DATA!I339:'RV_DATA'!I369), 6)</f>
        <v>1.1220000000000001</v>
      </c>
      <c r="E279" s="84">
        <f>ROUND(RV_DATA!N362, 6)</f>
        <v>16.7165</v>
      </c>
      <c r="F279" s="84">
        <f>ROUND(SUMIF(RV_DATA!AA339:'RV_DATA'!AA369, 1291776269, RV_DATA!O339:'RV_DATA'!O369), 6)</f>
        <v>18.760000000000002</v>
      </c>
      <c r="Q279">
        <v>3</v>
      </c>
    </row>
    <row r="280" spans="1:17" ht="71.25" x14ac:dyDescent="0.2">
      <c r="A280" s="96" t="s">
        <v>665</v>
      </c>
      <c r="B280" s="55" t="s">
        <v>666</v>
      </c>
      <c r="C280" s="55" t="s">
        <v>250</v>
      </c>
      <c r="D280" s="56">
        <f>ROUND(SUMIF(RV_DATA!AA339:'RV_DATA'!AA369, 1412814006, RV_DATA!I339:'RV_DATA'!I369), 6)</f>
        <v>1</v>
      </c>
      <c r="E280" s="84">
        <f>ROUND(RV_DATA!N358, 6)</f>
        <v>510.7518</v>
      </c>
      <c r="F280" s="84">
        <f>ROUND(SUMIF(RV_DATA!AA339:'RV_DATA'!AA369, 1412814006, RV_DATA!O339:'RV_DATA'!O369), 6)</f>
        <v>510.75</v>
      </c>
      <c r="Q280">
        <v>3</v>
      </c>
    </row>
    <row r="281" spans="1:17" ht="85.5" x14ac:dyDescent="0.2">
      <c r="A281" s="96" t="s">
        <v>692</v>
      </c>
      <c r="B281" s="55" t="s">
        <v>693</v>
      </c>
      <c r="C281" s="55" t="s">
        <v>694</v>
      </c>
      <c r="D281" s="56">
        <f>ROUND(SUMIF(RV_DATA!AA339:'RV_DATA'!AA369, 1544525874, RV_DATA!I339:'RV_DATA'!I369), 6)</f>
        <v>0.1071</v>
      </c>
      <c r="E281" s="84">
        <f>ROUND(RV_DATA!N366, 6)</f>
        <v>17654.3835</v>
      </c>
      <c r="F281" s="84">
        <f>ROUND(SUMIF(RV_DATA!AA339:'RV_DATA'!AA369, 1544525874, RV_DATA!O339:'RV_DATA'!O369), 6)</f>
        <v>1890.78</v>
      </c>
      <c r="Q281">
        <v>3</v>
      </c>
    </row>
    <row r="282" spans="1:17" ht="85.5" x14ac:dyDescent="0.2">
      <c r="A282" s="96" t="s">
        <v>696</v>
      </c>
      <c r="B282" s="55" t="s">
        <v>697</v>
      </c>
      <c r="C282" s="55" t="s">
        <v>694</v>
      </c>
      <c r="D282" s="56">
        <f>ROUND(SUMIF(RV_DATA!AA339:'RV_DATA'!AA369, 587855829, RV_DATA!I339:'RV_DATA'!I369), 6)</f>
        <v>1.5299999999999999E-2</v>
      </c>
      <c r="E282" s="84">
        <f>ROUND(RV_DATA!N367, 6)</f>
        <v>31209.7317</v>
      </c>
      <c r="F282" s="84">
        <f>ROUND(SUMIF(RV_DATA!AA339:'RV_DATA'!AA369, 587855829, RV_DATA!O339:'RV_DATA'!O369), 6)</f>
        <v>477.51</v>
      </c>
      <c r="Q282">
        <v>3</v>
      </c>
    </row>
    <row r="283" spans="1:17" ht="14.25" x14ac:dyDescent="0.2">
      <c r="A283" s="96" t="s">
        <v>1342</v>
      </c>
      <c r="B283" s="55" t="s">
        <v>1343</v>
      </c>
      <c r="C283" s="55" t="s">
        <v>114</v>
      </c>
      <c r="D283" s="56">
        <f>ROUND(SUMIF(RV_DATA!AA339:'RV_DATA'!AA369, 1715875556, RV_DATA!I339:'RV_DATA'!I369), 6)</f>
        <v>2E-3</v>
      </c>
      <c r="E283" s="84">
        <f>ROUND(RV_DATA!N341, 6)</f>
        <v>0</v>
      </c>
      <c r="F283" s="84">
        <f>ROUND(SUMIF(RV_DATA!AA339:'RV_DATA'!AA369, 1715875556, RV_DATA!O339:'RV_DATA'!O369), 6)</f>
        <v>0</v>
      </c>
      <c r="Q283">
        <v>3</v>
      </c>
    </row>
    <row r="284" spans="1:17" ht="42.75" x14ac:dyDescent="0.2">
      <c r="A284" s="96" t="s">
        <v>248</v>
      </c>
      <c r="B284" s="55" t="s">
        <v>651</v>
      </c>
      <c r="C284" s="55" t="s">
        <v>250</v>
      </c>
      <c r="D284" s="56">
        <f>ROUND(SUMIF(RV_DATA!AA339:'RV_DATA'!AA369, 1122085125, RV_DATA!I339:'RV_DATA'!I369), 6)</f>
        <v>2</v>
      </c>
      <c r="E284" s="84">
        <f>ROUND(RV_DATA!N349, 6)</f>
        <v>586.47</v>
      </c>
      <c r="F284" s="84">
        <f>ROUND(SUMIF(RV_DATA!AA339:'RV_DATA'!AA369, 1122085125, RV_DATA!O339:'RV_DATA'!O369), 6)</f>
        <v>1172.94</v>
      </c>
      <c r="Q284">
        <v>3</v>
      </c>
    </row>
    <row r="285" spans="1:17" ht="42.75" x14ac:dyDescent="0.2">
      <c r="A285" s="96" t="s">
        <v>248</v>
      </c>
      <c r="B285" s="55" t="s">
        <v>661</v>
      </c>
      <c r="C285" s="55" t="s">
        <v>250</v>
      </c>
      <c r="D285" s="56">
        <f>ROUND(SUMIF(RV_DATA!AA339:'RV_DATA'!AA369, 116550752, RV_DATA!I339:'RV_DATA'!I369), 6)</f>
        <v>1</v>
      </c>
      <c r="E285" s="84">
        <f>ROUND(RV_DATA!N354, 6)</f>
        <v>586.47</v>
      </c>
      <c r="F285" s="84">
        <f>ROUND(SUMIF(RV_DATA!AA339:'RV_DATA'!AA369, 116550752, RV_DATA!O339:'RV_DATA'!O369), 6)</f>
        <v>586.47</v>
      </c>
      <c r="Q285">
        <v>3</v>
      </c>
    </row>
    <row r="286" spans="1:17" ht="28.5" x14ac:dyDescent="0.2">
      <c r="A286" s="96" t="s">
        <v>248</v>
      </c>
      <c r="B286" s="55" t="s">
        <v>687</v>
      </c>
      <c r="C286" s="55" t="s">
        <v>270</v>
      </c>
      <c r="D286" s="56">
        <f>ROUND(SUMIF(RV_DATA!AA339:'RV_DATA'!AA369, 571023051, RV_DATA!I339:'RV_DATA'!I369), 6)</f>
        <v>10.3</v>
      </c>
      <c r="E286" s="84">
        <f>ROUND(RV_DATA!N364, 6)</f>
        <v>106.22199999999999</v>
      </c>
      <c r="F286" s="84">
        <f>ROUND(SUMIF(RV_DATA!AA339:'RV_DATA'!AA369, 571023051, RV_DATA!O339:'RV_DATA'!O369), 6)</f>
        <v>1094.0899999999999</v>
      </c>
      <c r="Q286">
        <v>3</v>
      </c>
    </row>
    <row r="287" spans="1:17" ht="15" x14ac:dyDescent="0.25">
      <c r="A287" s="131" t="s">
        <v>1804</v>
      </c>
      <c r="B287" s="131"/>
      <c r="C287" s="131"/>
      <c r="D287" s="131"/>
      <c r="E287" s="132">
        <f>SUMIF(Q276:Q286, 3, F276:F286)</f>
        <v>9272.82</v>
      </c>
      <c r="F287" s="131"/>
    </row>
    <row r="288" spans="1:17" ht="16.5" x14ac:dyDescent="0.2">
      <c r="A288" s="136" t="str">
        <f>CONCATENATE("Раздел: ",IF(Source!G734&lt;&gt;"Новый раздел", Source!G734, ""))</f>
        <v>Раздел: Оборудование</v>
      </c>
      <c r="B288" s="137"/>
      <c r="C288" s="137"/>
      <c r="D288" s="137"/>
      <c r="E288" s="137"/>
      <c r="F288" s="137"/>
    </row>
    <row r="289" spans="1:17" ht="14.25" x14ac:dyDescent="0.2">
      <c r="A289" s="138" t="s">
        <v>1803</v>
      </c>
      <c r="B289" s="139"/>
      <c r="C289" s="139"/>
      <c r="D289" s="139"/>
      <c r="E289" s="139"/>
      <c r="F289" s="139"/>
    </row>
    <row r="290" spans="1:17" ht="42.75" x14ac:dyDescent="0.2">
      <c r="A290" s="96" t="s">
        <v>248</v>
      </c>
      <c r="B290" s="55" t="s">
        <v>703</v>
      </c>
      <c r="C290" s="55" t="s">
        <v>250</v>
      </c>
      <c r="D290" s="56">
        <f>ROUND(SUMIF(RV_DATA!AA371:'RV_DATA'!AA381, -440801626, RV_DATA!I371:'RV_DATA'!I381), 6)</f>
        <v>1</v>
      </c>
      <c r="E290" s="84">
        <f>ROUND(RV_DATA!N371, 6)</f>
        <v>4114.0264999999999</v>
      </c>
      <c r="F290" s="84">
        <f>ROUND(SUMIF(RV_DATA!AA371:'RV_DATA'!AA381, -440801626, RV_DATA!O371:'RV_DATA'!O381), 6)</f>
        <v>4114.03</v>
      </c>
      <c r="Q290">
        <v>3</v>
      </c>
    </row>
    <row r="291" spans="1:17" ht="28.5" x14ac:dyDescent="0.2">
      <c r="A291" s="96" t="s">
        <v>248</v>
      </c>
      <c r="B291" s="55" t="s">
        <v>707</v>
      </c>
      <c r="C291" s="55" t="s">
        <v>250</v>
      </c>
      <c r="D291" s="56">
        <f>ROUND(SUMIF(RV_DATA!AA371:'RV_DATA'!AA381, 1267304876, RV_DATA!I371:'RV_DATA'!I381), 6)</f>
        <v>1</v>
      </c>
      <c r="E291" s="84">
        <f>ROUND(RV_DATA!N372, 6)</f>
        <v>7947.5334999999995</v>
      </c>
      <c r="F291" s="84">
        <f>ROUND(SUMIF(RV_DATA!AA371:'RV_DATA'!AA381, 1267304876, RV_DATA!O371:'RV_DATA'!O381), 6)</f>
        <v>7947.53</v>
      </c>
      <c r="Q291">
        <v>3</v>
      </c>
    </row>
    <row r="292" spans="1:17" ht="28.5" x14ac:dyDescent="0.2">
      <c r="A292" s="96" t="s">
        <v>248</v>
      </c>
      <c r="B292" s="55" t="s">
        <v>715</v>
      </c>
      <c r="C292" s="55" t="s">
        <v>250</v>
      </c>
      <c r="D292" s="56">
        <f>ROUND(SUMIF(RV_DATA!AA371:'RV_DATA'!AA381, -34095416, RV_DATA!I371:'RV_DATA'!I381), 6)</f>
        <v>1</v>
      </c>
      <c r="E292" s="84">
        <f>ROUND(RV_DATA!N374, 6)</f>
        <v>13996.1325</v>
      </c>
      <c r="F292" s="84">
        <f>ROUND(SUMIF(RV_DATA!AA371:'RV_DATA'!AA381, -34095416, RV_DATA!O371:'RV_DATA'!O381), 6)</f>
        <v>13996.13</v>
      </c>
      <c r="Q292">
        <v>3</v>
      </c>
    </row>
    <row r="293" spans="1:17" ht="28.5" x14ac:dyDescent="0.2">
      <c r="A293" s="96" t="s">
        <v>248</v>
      </c>
      <c r="B293" s="55" t="s">
        <v>717</v>
      </c>
      <c r="C293" s="55" t="s">
        <v>250</v>
      </c>
      <c r="D293" s="56">
        <f>ROUND(SUMIF(RV_DATA!AA371:'RV_DATA'!AA381, -112457501, RV_DATA!I371:'RV_DATA'!I381), 6)</f>
        <v>1</v>
      </c>
      <c r="E293" s="84">
        <f>ROUND(RV_DATA!N375, 6)</f>
        <v>14416.003500000001</v>
      </c>
      <c r="F293" s="84">
        <f>ROUND(SUMIF(RV_DATA!AA371:'RV_DATA'!AA381, -112457501, RV_DATA!O371:'RV_DATA'!O381), 6)</f>
        <v>14416</v>
      </c>
      <c r="Q293">
        <v>3</v>
      </c>
    </row>
    <row r="294" spans="1:17" ht="28.5" x14ac:dyDescent="0.2">
      <c r="A294" s="96" t="s">
        <v>248</v>
      </c>
      <c r="B294" s="55" t="s">
        <v>719</v>
      </c>
      <c r="C294" s="55" t="s">
        <v>250</v>
      </c>
      <c r="D294" s="56">
        <f>ROUND(SUMIF(RV_DATA!AA371:'RV_DATA'!AA381, 1889243506, RV_DATA!I371:'RV_DATA'!I381), 6)</f>
        <v>1</v>
      </c>
      <c r="E294" s="84">
        <f>ROUND(RV_DATA!N376, 6)</f>
        <v>8389.5485000000008</v>
      </c>
      <c r="F294" s="84">
        <f>ROUND(SUMIF(RV_DATA!AA371:'RV_DATA'!AA381, 1889243506, RV_DATA!O371:'RV_DATA'!O381), 6)</f>
        <v>8389.5499999999993</v>
      </c>
      <c r="Q294">
        <v>3</v>
      </c>
    </row>
    <row r="295" spans="1:17" ht="28.5" x14ac:dyDescent="0.2">
      <c r="A295" s="96" t="s">
        <v>248</v>
      </c>
      <c r="B295" s="55" t="s">
        <v>721</v>
      </c>
      <c r="C295" s="55" t="s">
        <v>250</v>
      </c>
      <c r="D295" s="56">
        <f>ROUND(SUMIF(RV_DATA!AA371:'RV_DATA'!AA381, 1911154215, RV_DATA!I371:'RV_DATA'!I381), 6)</f>
        <v>1</v>
      </c>
      <c r="E295" s="84">
        <f>ROUND(RV_DATA!N377, 6)</f>
        <v>3518.9929999999999</v>
      </c>
      <c r="F295" s="84">
        <f>ROUND(SUMIF(RV_DATA!AA371:'RV_DATA'!AA381, 1911154215, RV_DATA!O371:'RV_DATA'!O381), 6)</f>
        <v>3518.99</v>
      </c>
      <c r="Q295">
        <v>3</v>
      </c>
    </row>
    <row r="296" spans="1:17" ht="14.25" x14ac:dyDescent="0.2">
      <c r="A296" s="96" t="s">
        <v>248</v>
      </c>
      <c r="B296" s="55" t="s">
        <v>723</v>
      </c>
      <c r="C296" s="55" t="s">
        <v>250</v>
      </c>
      <c r="D296" s="56">
        <f>ROUND(SUMIF(RV_DATA!AA371:'RV_DATA'!AA381, 1751511617, RV_DATA!I371:'RV_DATA'!I381), 6)</f>
        <v>4</v>
      </c>
      <c r="E296" s="84">
        <f>ROUND(RV_DATA!N378, 6)</f>
        <v>3417.0095000000001</v>
      </c>
      <c r="F296" s="84">
        <f>ROUND(SUMIF(RV_DATA!AA371:'RV_DATA'!AA381, 1751511617, RV_DATA!O371:'RV_DATA'!O381), 6)</f>
        <v>13668.04</v>
      </c>
      <c r="Q296">
        <v>3</v>
      </c>
    </row>
    <row r="297" spans="1:17" ht="14.25" x14ac:dyDescent="0.2">
      <c r="A297" s="96" t="s">
        <v>248</v>
      </c>
      <c r="B297" s="55" t="s">
        <v>725</v>
      </c>
      <c r="C297" s="55" t="s">
        <v>250</v>
      </c>
      <c r="D297" s="56">
        <f>ROUND(SUMIF(RV_DATA!AA371:'RV_DATA'!AA381, 1644930787, RV_DATA!I371:'RV_DATA'!I381), 6)</f>
        <v>2</v>
      </c>
      <c r="E297" s="84">
        <f>ROUND(RV_DATA!N379, 6)</f>
        <v>1028.4849999999999</v>
      </c>
      <c r="F297" s="84">
        <f>ROUND(SUMIF(RV_DATA!AA371:'RV_DATA'!AA381, 1644930787, RV_DATA!O371:'RV_DATA'!O381), 6)</f>
        <v>2056.9699999999998</v>
      </c>
      <c r="Q297">
        <v>3</v>
      </c>
    </row>
    <row r="298" spans="1:17" ht="42.75" x14ac:dyDescent="0.2">
      <c r="A298" s="96" t="s">
        <v>248</v>
      </c>
      <c r="B298" s="55" t="s">
        <v>727</v>
      </c>
      <c r="C298" s="55" t="s">
        <v>250</v>
      </c>
      <c r="D298" s="56">
        <f>ROUND(SUMIF(RV_DATA!AA371:'RV_DATA'!AA381, 1796011044, RV_DATA!I371:'RV_DATA'!I381), 6)</f>
        <v>2</v>
      </c>
      <c r="E298" s="84">
        <f>ROUND(RV_DATA!N380, 6)</f>
        <v>2311.9720000000002</v>
      </c>
      <c r="F298" s="84">
        <f>ROUND(SUMIF(RV_DATA!AA371:'RV_DATA'!AA381, 1796011044, RV_DATA!O371:'RV_DATA'!O381), 6)</f>
        <v>4623.9399999999996</v>
      </c>
      <c r="Q298">
        <v>3</v>
      </c>
    </row>
    <row r="299" spans="1:17" ht="15" x14ac:dyDescent="0.25">
      <c r="A299" s="131" t="s">
        <v>1804</v>
      </c>
      <c r="B299" s="131"/>
      <c r="C299" s="131"/>
      <c r="D299" s="131"/>
      <c r="E299" s="132">
        <f>SUMIF(Q290:Q298, 3, F290:F298)</f>
        <v>72731.180000000008</v>
      </c>
      <c r="F299" s="131"/>
    </row>
    <row r="300" spans="1:17" ht="14.25" x14ac:dyDescent="0.2">
      <c r="A300" s="138" t="s">
        <v>1807</v>
      </c>
      <c r="B300" s="139"/>
      <c r="C300" s="139"/>
      <c r="D300" s="139"/>
      <c r="E300" s="139"/>
      <c r="F300" s="139"/>
    </row>
    <row r="301" spans="1:17" ht="99.75" x14ac:dyDescent="0.2">
      <c r="A301" s="96" t="s">
        <v>709</v>
      </c>
      <c r="B301" s="55" t="s">
        <v>710</v>
      </c>
      <c r="C301" s="55" t="s">
        <v>250</v>
      </c>
      <c r="D301" s="56">
        <f>ROUND(SUMIF(RV_DATA!AA371:'RV_DATA'!AA381, -779454108, RV_DATA!I371:'RV_DATA'!I381), 6)</f>
        <v>2</v>
      </c>
      <c r="E301" s="84">
        <f>ROUND(RV_DATA!N373, 6)</f>
        <v>7105.8198000000002</v>
      </c>
      <c r="F301" s="84">
        <f>ROUND(SUMIF(RV_DATA!AA371:'RV_DATA'!AA381, -779454108, RV_DATA!O371:'RV_DATA'!O381), 6)</f>
        <v>14211.64</v>
      </c>
      <c r="Q301">
        <v>5</v>
      </c>
    </row>
    <row r="302" spans="1:17" ht="15" x14ac:dyDescent="0.25">
      <c r="A302" s="131" t="s">
        <v>1806</v>
      </c>
      <c r="B302" s="131"/>
      <c r="C302" s="131"/>
      <c r="D302" s="131"/>
      <c r="E302" s="132">
        <f>SUMIF(Q301:Q301, 5, F301:F301)</f>
        <v>14211.64</v>
      </c>
      <c r="F302" s="131"/>
    </row>
    <row r="304" spans="1:17" ht="16.5" x14ac:dyDescent="0.2">
      <c r="A304" s="133" t="str">
        <f>CONCATENATE("Итого по локальной смете:",IF(Source!G789&lt;&gt;"Новая локальная смета", Source!G789, ""))</f>
        <v>Итого по локальной смете:Система связи</v>
      </c>
      <c r="B304" s="134"/>
      <c r="C304" s="134"/>
      <c r="D304" s="134"/>
      <c r="E304" s="134"/>
      <c r="F304" s="135"/>
    </row>
    <row r="305" spans="1:17" ht="14.25" hidden="1" customHeight="1" x14ac:dyDescent="0.25">
      <c r="A305" s="131" t="s">
        <v>1800</v>
      </c>
      <c r="B305" s="131"/>
      <c r="C305" s="131"/>
      <c r="D305" s="131"/>
      <c r="E305" s="132">
        <f>SUMIF(Q270:Q304, 1, F270:F304)</f>
        <v>0</v>
      </c>
      <c r="F305" s="131"/>
    </row>
    <row r="306" spans="1:17" ht="14.25" hidden="1" customHeight="1" x14ac:dyDescent="0.25">
      <c r="A306" s="131" t="s">
        <v>1802</v>
      </c>
      <c r="B306" s="131"/>
      <c r="C306" s="131"/>
      <c r="D306" s="131"/>
      <c r="E306" s="132">
        <f>SUMIF(Q270:Q305, 2, F270:F305)</f>
        <v>0</v>
      </c>
      <c r="F306" s="131"/>
    </row>
    <row r="307" spans="1:17" ht="15" x14ac:dyDescent="0.25">
      <c r="A307" s="131" t="s">
        <v>1804</v>
      </c>
      <c r="B307" s="131"/>
      <c r="C307" s="131"/>
      <c r="D307" s="131"/>
      <c r="E307" s="132">
        <f>SUMIF(Q270:Q306, 3, F270:F306)</f>
        <v>82004</v>
      </c>
      <c r="F307" s="131"/>
    </row>
    <row r="308" spans="1:17" ht="14.25" hidden="1" customHeight="1" x14ac:dyDescent="0.25">
      <c r="A308" s="131" t="s">
        <v>1805</v>
      </c>
      <c r="B308" s="131"/>
      <c r="C308" s="131"/>
      <c r="D308" s="131"/>
      <c r="E308" s="132">
        <f>SUMIF(Q270:Q307, 4, F270:F307)</f>
        <v>0</v>
      </c>
      <c r="F308" s="131"/>
    </row>
    <row r="309" spans="1:17" ht="15" x14ac:dyDescent="0.25">
      <c r="A309" s="131" t="s">
        <v>1806</v>
      </c>
      <c r="B309" s="131"/>
      <c r="C309" s="131"/>
      <c r="D309" s="131"/>
      <c r="E309" s="132">
        <f>SUMIF(Q270:Q308, 5, F270:F308)</f>
        <v>14211.64</v>
      </c>
      <c r="F309" s="131"/>
    </row>
    <row r="311" spans="1:17" ht="16.5" x14ac:dyDescent="0.2">
      <c r="A311" s="136" t="str">
        <f>CONCATENATE("Локальная смета: ",IF(Source!G821&lt;&gt;"Новая локальная смета", Source!G821, ""))</f>
        <v>Локальная смета: Система электроснабжения</v>
      </c>
      <c r="B311" s="137"/>
      <c r="C311" s="137"/>
      <c r="D311" s="137"/>
      <c r="E311" s="137"/>
      <c r="F311" s="137"/>
    </row>
    <row r="312" spans="1:17" ht="16.5" x14ac:dyDescent="0.2">
      <c r="A312" s="136" t="str">
        <f>CONCATENATE("Раздел: ",IF(Source!G825&lt;&gt;"Новый раздел", Source!G825, ""))</f>
        <v>Раздел: Демонтажные работы</v>
      </c>
      <c r="B312" s="137"/>
      <c r="C312" s="137"/>
      <c r="D312" s="137"/>
      <c r="E312" s="137"/>
      <c r="F312" s="137"/>
    </row>
    <row r="313" spans="1:17" ht="14.25" x14ac:dyDescent="0.2">
      <c r="A313" s="138" t="s">
        <v>1799</v>
      </c>
      <c r="B313" s="139"/>
      <c r="C313" s="139"/>
      <c r="D313" s="139"/>
      <c r="E313" s="139"/>
      <c r="F313" s="139"/>
    </row>
    <row r="314" spans="1:17" ht="14.25" x14ac:dyDescent="0.2">
      <c r="A314" s="96" t="s">
        <v>1096</v>
      </c>
      <c r="B314" s="55" t="s">
        <v>1097</v>
      </c>
      <c r="C314" s="55" t="s">
        <v>1098</v>
      </c>
      <c r="D314" s="56">
        <f>ROUND(SUMIF(RV_DATA!AA384:'RV_DATA'!AA385, 1499241640, RV_DATA!I384:'RV_DATA'!I385), 6)</f>
        <v>3.3976000000000002</v>
      </c>
      <c r="E314" s="84">
        <f>ROUND(RV_DATA!N384, 6)</f>
        <v>0</v>
      </c>
      <c r="F314" s="84">
        <f>ROUND(SUMIF(RV_DATA!AA384:'RV_DATA'!AA385, 1499241640, RV_DATA!O384:'RV_DATA'!O385), 6)</f>
        <v>0</v>
      </c>
      <c r="Q314">
        <v>1</v>
      </c>
    </row>
    <row r="315" spans="1:17" ht="15" x14ac:dyDescent="0.25">
      <c r="A315" s="131" t="s">
        <v>1800</v>
      </c>
      <c r="B315" s="131"/>
      <c r="C315" s="131"/>
      <c r="D315" s="131"/>
      <c r="E315" s="132">
        <f>SUMIF(Q314:Q314, 1, F314:F314)</f>
        <v>0</v>
      </c>
      <c r="F315" s="131"/>
    </row>
    <row r="316" spans="1:17" ht="16.5" x14ac:dyDescent="0.2">
      <c r="A316" s="136" t="str">
        <f>CONCATENATE("Раздел: ",IF(Source!G864&lt;&gt;"Новый раздел", Source!G864, ""))</f>
        <v>Раздел: Монтажные работы</v>
      </c>
      <c r="B316" s="137"/>
      <c r="C316" s="137"/>
      <c r="D316" s="137"/>
      <c r="E316" s="137"/>
      <c r="F316" s="137"/>
    </row>
    <row r="317" spans="1:17" ht="14.25" x14ac:dyDescent="0.2">
      <c r="A317" s="138" t="s">
        <v>1799</v>
      </c>
      <c r="B317" s="139"/>
      <c r="C317" s="139"/>
      <c r="D317" s="139"/>
      <c r="E317" s="139"/>
      <c r="F317" s="139"/>
    </row>
    <row r="318" spans="1:17" ht="14.25" x14ac:dyDescent="0.2">
      <c r="A318" s="96" t="s">
        <v>1096</v>
      </c>
      <c r="B318" s="55" t="s">
        <v>1097</v>
      </c>
      <c r="C318" s="55" t="s">
        <v>1098</v>
      </c>
      <c r="D318" s="56">
        <f>ROUND(SUMIF(RV_DATA!AA387:'RV_DATA'!AA419, 1499241640, RV_DATA!I387:'RV_DATA'!I419), 6)</f>
        <v>55.592700000000001</v>
      </c>
      <c r="E318" s="84">
        <f>ROUND(RV_DATA!N387, 6)</f>
        <v>0</v>
      </c>
      <c r="F318" s="84">
        <f>ROUND(SUMIF(RV_DATA!AA387:'RV_DATA'!AA419, 1499241640, RV_DATA!O387:'RV_DATA'!O419), 6)</f>
        <v>0</v>
      </c>
      <c r="Q318">
        <v>1</v>
      </c>
    </row>
    <row r="319" spans="1:17" ht="15" x14ac:dyDescent="0.25">
      <c r="A319" s="131" t="s">
        <v>1800</v>
      </c>
      <c r="B319" s="131"/>
      <c r="C319" s="131"/>
      <c r="D319" s="131"/>
      <c r="E319" s="132">
        <f>SUMIF(Q318:Q318, 1, F318:F318)</f>
        <v>0</v>
      </c>
      <c r="F319" s="131"/>
    </row>
    <row r="320" spans="1:17" ht="14.25" x14ac:dyDescent="0.2">
      <c r="A320" s="138" t="s">
        <v>1803</v>
      </c>
      <c r="B320" s="139"/>
      <c r="C320" s="139"/>
      <c r="D320" s="139"/>
      <c r="E320" s="139"/>
      <c r="F320" s="139"/>
    </row>
    <row r="321" spans="1:17" ht="42.75" x14ac:dyDescent="0.2">
      <c r="A321" s="96" t="s">
        <v>648</v>
      </c>
      <c r="B321" s="55" t="s">
        <v>649</v>
      </c>
      <c r="C321" s="55" t="s">
        <v>250</v>
      </c>
      <c r="D321" s="56">
        <f>ROUND(SUMIF(RV_DATA!AA387:'RV_DATA'!AA419, 1369064842, RV_DATA!I387:'RV_DATA'!I419), 6)</f>
        <v>3</v>
      </c>
      <c r="E321" s="84">
        <f>ROUND(RV_DATA!N395, 6)</f>
        <v>60.5184</v>
      </c>
      <c r="F321" s="84">
        <f>ROUND(SUMIF(RV_DATA!AA387:'RV_DATA'!AA419, 1369064842, RV_DATA!O387:'RV_DATA'!O419), 6)</f>
        <v>181.56</v>
      </c>
      <c r="Q321">
        <v>3</v>
      </c>
    </row>
    <row r="322" spans="1:17" ht="28.5" x14ac:dyDescent="0.2">
      <c r="A322" s="96" t="s">
        <v>673</v>
      </c>
      <c r="B322" s="55" t="s">
        <v>674</v>
      </c>
      <c r="C322" s="55" t="s">
        <v>270</v>
      </c>
      <c r="D322" s="56">
        <f>ROUND(SUMIF(RV_DATA!AA387:'RV_DATA'!AA419, -461846731, RV_DATA!I387:'RV_DATA'!I419), 6)</f>
        <v>90</v>
      </c>
      <c r="E322" s="84">
        <f>ROUND(RV_DATA!N400, 6)</f>
        <v>67.887799999999999</v>
      </c>
      <c r="F322" s="84">
        <f>ROUND(SUMIF(RV_DATA!AA387:'RV_DATA'!AA419, -461846731, RV_DATA!O387:'RV_DATA'!O419), 6)</f>
        <v>6109.9</v>
      </c>
      <c r="Q322">
        <v>3</v>
      </c>
    </row>
    <row r="323" spans="1:17" ht="57" x14ac:dyDescent="0.2">
      <c r="A323" s="96" t="s">
        <v>772</v>
      </c>
      <c r="B323" s="55" t="s">
        <v>773</v>
      </c>
      <c r="C323" s="55" t="s">
        <v>270</v>
      </c>
      <c r="D323" s="56">
        <f>ROUND(SUMIF(RV_DATA!AA387:'RV_DATA'!AA419, -775572053, RV_DATA!I387:'RV_DATA'!I419), 6)</f>
        <v>2.8559999999999999</v>
      </c>
      <c r="E323" s="84">
        <f>ROUND(RV_DATA!N404, 6)</f>
        <v>22.628699999999998</v>
      </c>
      <c r="F323" s="84">
        <f>ROUND(SUMIF(RV_DATA!AA387:'RV_DATA'!AA419, -775572053, RV_DATA!O387:'RV_DATA'!O419), 6)</f>
        <v>64.63</v>
      </c>
      <c r="Q323">
        <v>3</v>
      </c>
    </row>
    <row r="324" spans="1:17" ht="57" x14ac:dyDescent="0.2">
      <c r="A324" s="96" t="s">
        <v>804</v>
      </c>
      <c r="B324" s="55" t="s">
        <v>805</v>
      </c>
      <c r="C324" s="55" t="s">
        <v>250</v>
      </c>
      <c r="D324" s="56">
        <f>ROUND(SUMIF(RV_DATA!AA387:'RV_DATA'!AA419, 680806381, RV_DATA!I387:'RV_DATA'!I419), 6)</f>
        <v>2</v>
      </c>
      <c r="E324" s="84">
        <f>ROUND(RV_DATA!N419, 6)</f>
        <v>175.3236</v>
      </c>
      <c r="F324" s="84">
        <f>ROUND(SUMIF(RV_DATA!AA387:'RV_DATA'!AA419, 680806381, RV_DATA!O387:'RV_DATA'!O419), 6)</f>
        <v>350.65</v>
      </c>
      <c r="Q324">
        <v>3</v>
      </c>
    </row>
    <row r="325" spans="1:17" ht="42.75" x14ac:dyDescent="0.2">
      <c r="A325" s="96" t="s">
        <v>745</v>
      </c>
      <c r="B325" s="55" t="s">
        <v>746</v>
      </c>
      <c r="C325" s="55" t="s">
        <v>250</v>
      </c>
      <c r="D325" s="56">
        <f>ROUND(SUMIF(RV_DATA!AA387:'RV_DATA'!AA419, 1863058702, RV_DATA!I387:'RV_DATA'!I419), 6)</f>
        <v>1</v>
      </c>
      <c r="E325" s="84">
        <f>ROUND(RV_DATA!N388, 6)</f>
        <v>520.56410000000005</v>
      </c>
      <c r="F325" s="84">
        <f>ROUND(SUMIF(RV_DATA!AA387:'RV_DATA'!AA419, 1863058702, RV_DATA!O387:'RV_DATA'!O419), 6)</f>
        <v>520.55999999999995</v>
      </c>
      <c r="Q325">
        <v>3</v>
      </c>
    </row>
    <row r="326" spans="1:17" ht="28.5" x14ac:dyDescent="0.2">
      <c r="A326" s="96" t="s">
        <v>767</v>
      </c>
      <c r="B326" s="55" t="s">
        <v>768</v>
      </c>
      <c r="C326" s="55" t="s">
        <v>250</v>
      </c>
      <c r="D326" s="56">
        <f>ROUND(SUMIF(RV_DATA!AA387:'RV_DATA'!AA419, -1024952062, RV_DATA!I387:'RV_DATA'!I419), 6)</f>
        <v>7</v>
      </c>
      <c r="E326" s="84">
        <f>ROUND(RV_DATA!N401, 6)</f>
        <v>285.9948</v>
      </c>
      <c r="F326" s="84">
        <f>ROUND(SUMIF(RV_DATA!AA387:'RV_DATA'!AA419, -1024952062, RV_DATA!O387:'RV_DATA'!O419), 6)</f>
        <v>2001.96</v>
      </c>
      <c r="Q326">
        <v>3</v>
      </c>
    </row>
    <row r="327" spans="1:17" ht="42.75" x14ac:dyDescent="0.2">
      <c r="A327" s="96" t="s">
        <v>798</v>
      </c>
      <c r="B327" s="55" t="s">
        <v>799</v>
      </c>
      <c r="C327" s="55" t="s">
        <v>250</v>
      </c>
      <c r="D327" s="56">
        <f>ROUND(SUMIF(RV_DATA!AA387:'RV_DATA'!AA419, 1511234722, RV_DATA!I387:'RV_DATA'!I419), 6)</f>
        <v>2</v>
      </c>
      <c r="E327" s="84">
        <f>ROUND(RV_DATA!N417, 6)</f>
        <v>79.831199999999995</v>
      </c>
      <c r="F327" s="84">
        <f>ROUND(SUMIF(RV_DATA!AA387:'RV_DATA'!AA419, 1511234722, RV_DATA!O387:'RV_DATA'!O419), 6)</f>
        <v>159.66</v>
      </c>
      <c r="Q327">
        <v>3</v>
      </c>
    </row>
    <row r="328" spans="1:17" ht="42.75" x14ac:dyDescent="0.2">
      <c r="A328" s="96" t="s">
        <v>759</v>
      </c>
      <c r="B328" s="55" t="s">
        <v>760</v>
      </c>
      <c r="C328" s="55" t="s">
        <v>250</v>
      </c>
      <c r="D328" s="56">
        <f>ROUND(SUMIF(RV_DATA!AA387:'RV_DATA'!AA419, 830453263, RV_DATA!I387:'RV_DATA'!I419), 6)</f>
        <v>3</v>
      </c>
      <c r="E328" s="84">
        <f>ROUND(RV_DATA!N394, 6)</f>
        <v>4565.68</v>
      </c>
      <c r="F328" s="84">
        <f>ROUND(SUMIF(RV_DATA!AA387:'RV_DATA'!AA419, 830453263, RV_DATA!O387:'RV_DATA'!O419), 6)</f>
        <v>13697.04</v>
      </c>
      <c r="Q328">
        <v>3</v>
      </c>
    </row>
    <row r="329" spans="1:17" ht="142.5" x14ac:dyDescent="0.2">
      <c r="A329" s="96" t="s">
        <v>777</v>
      </c>
      <c r="B329" s="55" t="s">
        <v>1565</v>
      </c>
      <c r="C329" s="55" t="s">
        <v>694</v>
      </c>
      <c r="D329" s="56">
        <f>ROUND(SUMIF(RV_DATA!AA387:'RV_DATA'!AA419, 883511404, RV_DATA!I387:'RV_DATA'!I419), 6)</f>
        <v>5.1000000000000004E-3</v>
      </c>
      <c r="E329" s="84">
        <f>ROUND(RV_DATA!N408, 6)</f>
        <v>50381.457900000001</v>
      </c>
      <c r="F329" s="84">
        <f>ROUND(SUMIF(RV_DATA!AA387:'RV_DATA'!AA419, 883511404, RV_DATA!O387:'RV_DATA'!O419), 6)</f>
        <v>256.95</v>
      </c>
      <c r="Q329">
        <v>3</v>
      </c>
    </row>
    <row r="330" spans="1:17" ht="142.5" x14ac:dyDescent="0.2">
      <c r="A330" s="96" t="s">
        <v>793</v>
      </c>
      <c r="B330" s="55" t="s">
        <v>1568</v>
      </c>
      <c r="C330" s="55" t="s">
        <v>694</v>
      </c>
      <c r="D330" s="56">
        <f>ROUND(SUMIF(RV_DATA!AA387:'RV_DATA'!AA419, -614576313, RV_DATA!I387:'RV_DATA'!I419), 6)</f>
        <v>8.1600000000000006E-2</v>
      </c>
      <c r="E330" s="84">
        <f>ROUND(RV_DATA!N415, 6)</f>
        <v>73793.317599999995</v>
      </c>
      <c r="F330" s="84">
        <f>ROUND(SUMIF(RV_DATA!AA387:'RV_DATA'!AA419, -614576313, RV_DATA!O387:'RV_DATA'!O419), 6)</f>
        <v>6021.53</v>
      </c>
      <c r="Q330">
        <v>3</v>
      </c>
    </row>
    <row r="331" spans="1:17" ht="142.5" x14ac:dyDescent="0.2">
      <c r="A331" s="96" t="s">
        <v>785</v>
      </c>
      <c r="B331" s="55" t="s">
        <v>1566</v>
      </c>
      <c r="C331" s="55" t="s">
        <v>694</v>
      </c>
      <c r="D331" s="56">
        <f>ROUND(SUMIF(RV_DATA!AA387:'RV_DATA'!AA419, 338196484, RV_DATA!I387:'RV_DATA'!I419), 6)</f>
        <v>3.0599999999999998E-3</v>
      </c>
      <c r="E331" s="84">
        <f>ROUND(RV_DATA!N412, 6)</f>
        <v>43795.681199999999</v>
      </c>
      <c r="F331" s="84">
        <f>ROUND(SUMIF(RV_DATA!AA387:'RV_DATA'!AA419, 338196484, RV_DATA!O387:'RV_DATA'!O419), 6)</f>
        <v>134.01</v>
      </c>
      <c r="Q331">
        <v>3</v>
      </c>
    </row>
    <row r="332" spans="1:17" ht="142.5" x14ac:dyDescent="0.2">
      <c r="A332" s="96" t="s">
        <v>782</v>
      </c>
      <c r="B332" s="55" t="s">
        <v>1567</v>
      </c>
      <c r="C332" s="55" t="s">
        <v>694</v>
      </c>
      <c r="D332" s="56">
        <f>ROUND(SUMIF(RV_DATA!AA387:'RV_DATA'!AA419, 774873852, RV_DATA!I387:'RV_DATA'!I419), 6)</f>
        <v>3.5700000000000003E-2</v>
      </c>
      <c r="E332" s="84">
        <f>ROUND(RV_DATA!N411, 6)</f>
        <v>57983.709000000003</v>
      </c>
      <c r="F332" s="84">
        <f>ROUND(SUMIF(RV_DATA!AA387:'RV_DATA'!AA419, 774873852, RV_DATA!O387:'RV_DATA'!O419), 6)</f>
        <v>2070.02</v>
      </c>
      <c r="Q332">
        <v>3</v>
      </c>
    </row>
    <row r="333" spans="1:17" ht="14.25" x14ac:dyDescent="0.2">
      <c r="A333" s="96" t="s">
        <v>1342</v>
      </c>
      <c r="B333" s="55" t="s">
        <v>1343</v>
      </c>
      <c r="C333" s="55" t="s">
        <v>114</v>
      </c>
      <c r="D333" s="56">
        <f>ROUND(SUMIF(RV_DATA!AA387:'RV_DATA'!AA419, 1715875556, RV_DATA!I387:'RV_DATA'!I419), 6)</f>
        <v>1E-3</v>
      </c>
      <c r="E333" s="84">
        <f>ROUND(RV_DATA!N396, 6)</f>
        <v>0</v>
      </c>
      <c r="F333" s="84">
        <f>ROUND(SUMIF(RV_DATA!AA387:'RV_DATA'!AA419, 1715875556, RV_DATA!O387:'RV_DATA'!O419), 6)</f>
        <v>0</v>
      </c>
      <c r="Q333">
        <v>3</v>
      </c>
    </row>
    <row r="334" spans="1:17" ht="57" x14ac:dyDescent="0.2">
      <c r="A334" s="96" t="s">
        <v>248</v>
      </c>
      <c r="B334" s="55" t="s">
        <v>751</v>
      </c>
      <c r="C334" s="55" t="s">
        <v>250</v>
      </c>
      <c r="D334" s="56">
        <f>ROUND(SUMIF(RV_DATA!AA387:'RV_DATA'!AA419, -1791573845, RV_DATA!I387:'RV_DATA'!I419), 6)</f>
        <v>3</v>
      </c>
      <c r="E334" s="84">
        <f>ROUND(RV_DATA!N390, 6)</f>
        <v>1416.9565</v>
      </c>
      <c r="F334" s="84">
        <f>ROUND(SUMIF(RV_DATA!AA387:'RV_DATA'!AA419, -1791573845, RV_DATA!O387:'RV_DATA'!O419), 6)</f>
        <v>4250.87</v>
      </c>
      <c r="Q334">
        <v>3</v>
      </c>
    </row>
    <row r="335" spans="1:17" ht="28.5" x14ac:dyDescent="0.2">
      <c r="A335" s="96" t="s">
        <v>248</v>
      </c>
      <c r="B335" s="55" t="s">
        <v>754</v>
      </c>
      <c r="C335" s="55" t="s">
        <v>250</v>
      </c>
      <c r="D335" s="56">
        <f>ROUND(SUMIF(RV_DATA!AA387:'RV_DATA'!AA419, -1752992890, RV_DATA!I387:'RV_DATA'!I419), 6)</f>
        <v>1</v>
      </c>
      <c r="E335" s="84">
        <f>ROUND(RV_DATA!N391, 6)</f>
        <v>6806.7714999999998</v>
      </c>
      <c r="F335" s="84">
        <f>ROUND(SUMIF(RV_DATA!AA387:'RV_DATA'!AA419, -1752992890, RV_DATA!O387:'RV_DATA'!O419), 6)</f>
        <v>6806.77</v>
      </c>
      <c r="Q335">
        <v>3</v>
      </c>
    </row>
    <row r="336" spans="1:17" ht="42.75" x14ac:dyDescent="0.2">
      <c r="A336" s="96" t="s">
        <v>248</v>
      </c>
      <c r="B336" s="55" t="s">
        <v>757</v>
      </c>
      <c r="C336" s="55" t="s">
        <v>250</v>
      </c>
      <c r="D336" s="56">
        <f>ROUND(SUMIF(RV_DATA!AA387:'RV_DATA'!AA419, -2063308428, RV_DATA!I387:'RV_DATA'!I419), 6)</f>
        <v>1</v>
      </c>
      <c r="E336" s="84">
        <f>ROUND(RV_DATA!N392, 6)</f>
        <v>9968.8654999999999</v>
      </c>
      <c r="F336" s="84">
        <f>ROUND(SUMIF(RV_DATA!AA387:'RV_DATA'!AA419, -2063308428, RV_DATA!O387:'RV_DATA'!O419), 6)</f>
        <v>9968.8700000000008</v>
      </c>
      <c r="Q336">
        <v>3</v>
      </c>
    </row>
    <row r="337" spans="1:17" ht="42.75" x14ac:dyDescent="0.2">
      <c r="A337" s="96" t="s">
        <v>248</v>
      </c>
      <c r="B337" s="55" t="s">
        <v>765</v>
      </c>
      <c r="C337" s="55" t="s">
        <v>250</v>
      </c>
      <c r="D337" s="56">
        <f>ROUND(SUMIF(RV_DATA!AA387:'RV_DATA'!AA419, 59929571, RV_DATA!I387:'RV_DATA'!I419), 6)</f>
        <v>1</v>
      </c>
      <c r="E337" s="84">
        <f>ROUND(RV_DATA!N398, 6)</f>
        <v>202.23699999999999</v>
      </c>
      <c r="F337" s="84">
        <f>ROUND(SUMIF(RV_DATA!AA387:'RV_DATA'!AA419, 59929571, RV_DATA!O387:'RV_DATA'!O419), 6)</f>
        <v>202.24</v>
      </c>
      <c r="Q337">
        <v>3</v>
      </c>
    </row>
    <row r="338" spans="1:17" ht="14.25" x14ac:dyDescent="0.2">
      <c r="A338" s="96" t="s">
        <v>248</v>
      </c>
      <c r="B338" s="55" t="s">
        <v>770</v>
      </c>
      <c r="C338" s="55" t="s">
        <v>250</v>
      </c>
      <c r="D338" s="56">
        <f>ROUND(SUMIF(RV_DATA!AA387:'RV_DATA'!AA419, -565899565, RV_DATA!I387:'RV_DATA'!I419), 6)</f>
        <v>21</v>
      </c>
      <c r="E338" s="84">
        <f>ROUND(RV_DATA!N402, 6)</f>
        <v>27.161000000000001</v>
      </c>
      <c r="F338" s="84">
        <f>ROUND(SUMIF(RV_DATA!AA387:'RV_DATA'!AA419, -565899565, RV_DATA!O387:'RV_DATA'!O419), 6)</f>
        <v>570.38</v>
      </c>
      <c r="Q338">
        <v>3</v>
      </c>
    </row>
    <row r="339" spans="1:17" ht="28.5" x14ac:dyDescent="0.2">
      <c r="A339" s="96" t="s">
        <v>248</v>
      </c>
      <c r="B339" s="55" t="s">
        <v>775</v>
      </c>
      <c r="C339" s="55" t="s">
        <v>270</v>
      </c>
      <c r="D339" s="56">
        <f>ROUND(SUMIF(RV_DATA!AA387:'RV_DATA'!AA419, -1938935149, RV_DATA!I387:'RV_DATA'!I419), 6)</f>
        <v>5.15</v>
      </c>
      <c r="E339" s="84">
        <f>ROUND(RV_DATA!N406, 6)</f>
        <v>126.636</v>
      </c>
      <c r="F339" s="84">
        <f>ROUND(SUMIF(RV_DATA!AA387:'RV_DATA'!AA419, -1938935149, RV_DATA!O387:'RV_DATA'!O419), 6)</f>
        <v>652.17999999999995</v>
      </c>
      <c r="Q339">
        <v>3</v>
      </c>
    </row>
    <row r="340" spans="1:17" ht="14.25" x14ac:dyDescent="0.2">
      <c r="A340" s="96" t="s">
        <v>248</v>
      </c>
      <c r="B340" s="55" t="s">
        <v>779</v>
      </c>
      <c r="C340" s="55" t="s">
        <v>270</v>
      </c>
      <c r="D340" s="56">
        <f>ROUND(SUMIF(RV_DATA!AA387:'RV_DATA'!AA419, 1560220454, RV_DATA!I387:'RV_DATA'!I419), 6)</f>
        <v>3.06</v>
      </c>
      <c r="E340" s="84">
        <f>ROUND(RV_DATA!N410, 6)</f>
        <v>46.796500000000002</v>
      </c>
      <c r="F340" s="84">
        <f>ROUND(SUMIF(RV_DATA!AA387:'RV_DATA'!AA419, 1560220454, RV_DATA!O387:'RV_DATA'!O419), 6)</f>
        <v>143.19999999999999</v>
      </c>
      <c r="Q340">
        <v>3</v>
      </c>
    </row>
    <row r="341" spans="1:17" ht="14.25" x14ac:dyDescent="0.2">
      <c r="A341" s="96" t="s">
        <v>248</v>
      </c>
      <c r="B341" s="55" t="s">
        <v>788</v>
      </c>
      <c r="C341" s="55" t="s">
        <v>270</v>
      </c>
      <c r="D341" s="56">
        <f>ROUND(SUMIF(RV_DATA!AA387:'RV_DATA'!AA419, -1545833074, RV_DATA!I387:'RV_DATA'!I419), 6)</f>
        <v>5.0999999999999996</v>
      </c>
      <c r="E341" s="84">
        <f>ROUND(RV_DATA!N413, 6)</f>
        <v>75.600999999999999</v>
      </c>
      <c r="F341" s="84">
        <f>ROUND(SUMIF(RV_DATA!AA387:'RV_DATA'!AA419, -1545833074, RV_DATA!O387:'RV_DATA'!O419), 6)</f>
        <v>385.57</v>
      </c>
      <c r="Q341">
        <v>3</v>
      </c>
    </row>
    <row r="342" spans="1:17" ht="15" x14ac:dyDescent="0.25">
      <c r="A342" s="131" t="s">
        <v>1804</v>
      </c>
      <c r="B342" s="131"/>
      <c r="C342" s="131"/>
      <c r="D342" s="131"/>
      <c r="E342" s="132">
        <f>SUMIF(Q321:Q341, 3, F321:F341)</f>
        <v>54548.549999999996</v>
      </c>
      <c r="F342" s="131"/>
    </row>
    <row r="344" spans="1:17" ht="16.5" x14ac:dyDescent="0.2">
      <c r="A344" s="133" t="str">
        <f>CONCATENATE("Итого по локальной смете:",IF(Source!G961&lt;&gt;"Новая локальная смета", Source!G961, ""))</f>
        <v>Итого по локальной смете:Система электроснабжения</v>
      </c>
      <c r="B344" s="134"/>
      <c r="C344" s="134"/>
      <c r="D344" s="134"/>
      <c r="E344" s="134"/>
      <c r="F344" s="135"/>
    </row>
    <row r="345" spans="1:17" ht="14.25" hidden="1" customHeight="1" x14ac:dyDescent="0.25">
      <c r="A345" s="131" t="s">
        <v>1800</v>
      </c>
      <c r="B345" s="131"/>
      <c r="C345" s="131"/>
      <c r="D345" s="131"/>
      <c r="E345" s="132">
        <f>SUMIF(Q311:Q344, 1, F311:F344)</f>
        <v>0</v>
      </c>
      <c r="F345" s="131"/>
    </row>
    <row r="346" spans="1:17" ht="14.25" hidden="1" customHeight="1" x14ac:dyDescent="0.25">
      <c r="A346" s="131" t="s">
        <v>1802</v>
      </c>
      <c r="B346" s="131"/>
      <c r="C346" s="131"/>
      <c r="D346" s="131"/>
      <c r="E346" s="132">
        <f>SUMIF(Q311:Q345, 2, F311:F345)</f>
        <v>0</v>
      </c>
      <c r="F346" s="131"/>
    </row>
    <row r="347" spans="1:17" ht="15" x14ac:dyDescent="0.25">
      <c r="A347" s="131" t="s">
        <v>1804</v>
      </c>
      <c r="B347" s="131"/>
      <c r="C347" s="131"/>
      <c r="D347" s="131"/>
      <c r="E347" s="132">
        <f>SUMIF(Q311:Q346, 3, F311:F346)</f>
        <v>54548.549999999996</v>
      </c>
      <c r="F347" s="131"/>
    </row>
    <row r="348" spans="1:17" ht="14.25" hidden="1" customHeight="1" x14ac:dyDescent="0.25">
      <c r="A348" s="131" t="s">
        <v>1805</v>
      </c>
      <c r="B348" s="131"/>
      <c r="C348" s="131"/>
      <c r="D348" s="131"/>
      <c r="E348" s="132">
        <f>SUMIF(Q311:Q347, 4, F311:F347)</f>
        <v>0</v>
      </c>
      <c r="F348" s="131"/>
    </row>
    <row r="349" spans="1:17" ht="14.25" hidden="1" customHeight="1" x14ac:dyDescent="0.25">
      <c r="A349" s="131" t="s">
        <v>1806</v>
      </c>
      <c r="B349" s="131"/>
      <c r="C349" s="131"/>
      <c r="D349" s="131"/>
      <c r="E349" s="132">
        <f>SUMIF(Q311:Q348, 5, F311:F348)</f>
        <v>0</v>
      </c>
      <c r="F349" s="131"/>
    </row>
    <row r="351" spans="1:17" ht="16.5" x14ac:dyDescent="0.2">
      <c r="A351" s="136" t="str">
        <f>CONCATENATE("Локальная смета: ",IF(Source!G993&lt;&gt;"Новая локальная смета", Source!G993, ""))</f>
        <v>Локальная смета: Система водоснабжения и водоотведения</v>
      </c>
      <c r="B351" s="137"/>
      <c r="C351" s="137"/>
      <c r="D351" s="137"/>
      <c r="E351" s="137"/>
      <c r="F351" s="137"/>
    </row>
    <row r="352" spans="1:17" ht="16.5" x14ac:dyDescent="0.2">
      <c r="A352" s="136" t="str">
        <f>CONCATENATE("Раздел: ",IF(Source!G997&lt;&gt;"Новый раздел", Source!G997, ""))</f>
        <v>Раздел: Демонтажные работы</v>
      </c>
      <c r="B352" s="137"/>
      <c r="C352" s="137"/>
      <c r="D352" s="137"/>
      <c r="E352" s="137"/>
      <c r="F352" s="137"/>
    </row>
    <row r="353" spans="1:17" ht="14.25" x14ac:dyDescent="0.2">
      <c r="A353" s="138" t="s">
        <v>1799</v>
      </c>
      <c r="B353" s="139"/>
      <c r="C353" s="139"/>
      <c r="D353" s="139"/>
      <c r="E353" s="139"/>
      <c r="F353" s="139"/>
    </row>
    <row r="354" spans="1:17" ht="14.25" x14ac:dyDescent="0.2">
      <c r="A354" s="96" t="s">
        <v>1096</v>
      </c>
      <c r="B354" s="55" t="s">
        <v>1097</v>
      </c>
      <c r="C354" s="55" t="s">
        <v>1098</v>
      </c>
      <c r="D354" s="56">
        <f>ROUND(SUMIF(RV_DATA!AA422:'RV_DATA'!AA440, 1499241640, RV_DATA!I422:'RV_DATA'!I440), 6)</f>
        <v>14.566000000000001</v>
      </c>
      <c r="E354" s="84">
        <f>ROUND(RV_DATA!N423, 6)</f>
        <v>0</v>
      </c>
      <c r="F354" s="84">
        <f>ROUND(SUMIF(RV_DATA!AA422:'RV_DATA'!AA440, 1499241640, RV_DATA!O422:'RV_DATA'!O440), 6)</f>
        <v>0</v>
      </c>
      <c r="Q354">
        <v>1</v>
      </c>
    </row>
    <row r="355" spans="1:17" ht="15" x14ac:dyDescent="0.25">
      <c r="A355" s="131" t="s">
        <v>1800</v>
      </c>
      <c r="B355" s="131"/>
      <c r="C355" s="131"/>
      <c r="D355" s="131"/>
      <c r="E355" s="132">
        <f>SUMIF(Q354:Q354, 1, F354:F354)</f>
        <v>0</v>
      </c>
      <c r="F355" s="131"/>
    </row>
    <row r="356" spans="1:17" ht="14.25" x14ac:dyDescent="0.2">
      <c r="A356" s="138" t="s">
        <v>1801</v>
      </c>
      <c r="B356" s="139"/>
      <c r="C356" s="139"/>
      <c r="D356" s="139"/>
      <c r="E356" s="139"/>
      <c r="F356" s="139"/>
    </row>
    <row r="357" spans="1:17" ht="28.5" x14ac:dyDescent="0.2">
      <c r="A357" s="96" t="s">
        <v>1347</v>
      </c>
      <c r="B357" s="55" t="s">
        <v>1349</v>
      </c>
      <c r="C357" s="55" t="s">
        <v>1102</v>
      </c>
      <c r="D357" s="56">
        <f>ROUND(SUMIF(RV_DATA!AA422:'RV_DATA'!AA440, 969662417, RV_DATA!I422:'RV_DATA'!I440), 6)</f>
        <v>0.68579999999999997</v>
      </c>
      <c r="E357" s="84">
        <f>ROUND(RV_DATA!N436, 6)</f>
        <v>14.65</v>
      </c>
      <c r="F357" s="84">
        <f>ROUND(SUMIF(RV_DATA!AA422:'RV_DATA'!AA440, 969662417, RV_DATA!O422:'RV_DATA'!O440), 6)</f>
        <v>9.42</v>
      </c>
      <c r="Q357">
        <v>2</v>
      </c>
    </row>
    <row r="358" spans="1:17" ht="28.5" x14ac:dyDescent="0.2">
      <c r="A358" s="96" t="s">
        <v>1189</v>
      </c>
      <c r="B358" s="55" t="s">
        <v>1191</v>
      </c>
      <c r="C358" s="55" t="s">
        <v>1102</v>
      </c>
      <c r="D358" s="56">
        <f>ROUND(SUMIF(RV_DATA!AA422:'RV_DATA'!AA440, 1144387144, RV_DATA!I422:'RV_DATA'!I440), 6)</f>
        <v>1.2E-2</v>
      </c>
      <c r="E358" s="84">
        <f>ROUND(RV_DATA!N435, 6)</f>
        <v>935.94</v>
      </c>
      <c r="F358" s="84">
        <f>ROUND(SUMIF(RV_DATA!AA422:'RV_DATA'!AA440, 1144387144, RV_DATA!O422:'RV_DATA'!O440), 6)</f>
        <v>10.52</v>
      </c>
      <c r="Q358">
        <v>2</v>
      </c>
    </row>
    <row r="359" spans="1:17" ht="28.5" x14ac:dyDescent="0.2">
      <c r="A359" s="96" t="s">
        <v>1127</v>
      </c>
      <c r="B359" s="55" t="s">
        <v>1129</v>
      </c>
      <c r="C359" s="55" t="s">
        <v>1102</v>
      </c>
      <c r="D359" s="56">
        <f>ROUND(SUMIF(RV_DATA!AA422:'RV_DATA'!AA440, 1536045345, RV_DATA!I422:'RV_DATA'!I440), 6)</f>
        <v>1.8E-3</v>
      </c>
      <c r="E359" s="84">
        <f>ROUND(RV_DATA!N434, 6)</f>
        <v>2098.34</v>
      </c>
      <c r="F359" s="84">
        <f>ROUND(SUMIF(RV_DATA!AA422:'RV_DATA'!AA440, 1536045345, RV_DATA!O422:'RV_DATA'!O440), 6)</f>
        <v>3.54</v>
      </c>
      <c r="Q359">
        <v>2</v>
      </c>
    </row>
    <row r="360" spans="1:17" ht="14.25" x14ac:dyDescent="0.2">
      <c r="A360" s="96" t="s">
        <v>1145</v>
      </c>
      <c r="B360" s="55" t="s">
        <v>1146</v>
      </c>
      <c r="C360" s="55" t="s">
        <v>1138</v>
      </c>
      <c r="D360" s="56">
        <f>ROUND(SUMIF(RV_DATA!AA422:'RV_DATA'!AA440, 55387674, RV_DATA!I422:'RV_DATA'!I440), 6)</f>
        <v>0.81264000000000003</v>
      </c>
      <c r="E360" s="84">
        <f>ROUND(RV_DATA!N439, 6)</f>
        <v>1.07</v>
      </c>
      <c r="F360" s="84">
        <f>ROUND(SUMIF(RV_DATA!AA422:'RV_DATA'!AA440, 55387674, RV_DATA!O422:'RV_DATA'!O440), 6)</f>
        <v>0.81</v>
      </c>
      <c r="Q360">
        <v>2</v>
      </c>
    </row>
    <row r="361" spans="1:17" ht="15" x14ac:dyDescent="0.25">
      <c r="A361" s="131" t="s">
        <v>1802</v>
      </c>
      <c r="B361" s="131"/>
      <c r="C361" s="131"/>
      <c r="D361" s="131"/>
      <c r="E361" s="132">
        <f>SUMIF(Q357:Q360, 2, F357:F360)</f>
        <v>24.289999999999996</v>
      </c>
      <c r="F361" s="131"/>
    </row>
    <row r="362" spans="1:17" ht="14.25" x14ac:dyDescent="0.2">
      <c r="A362" s="138" t="s">
        <v>1803</v>
      </c>
      <c r="B362" s="139"/>
      <c r="C362" s="139"/>
      <c r="D362" s="139"/>
      <c r="E362" s="139"/>
      <c r="F362" s="139"/>
    </row>
    <row r="363" spans="1:17" ht="14.25" x14ac:dyDescent="0.2">
      <c r="A363" s="96" t="s">
        <v>348</v>
      </c>
      <c r="B363" s="55" t="s">
        <v>349</v>
      </c>
      <c r="C363" s="55" t="s">
        <v>94</v>
      </c>
      <c r="D363" s="56">
        <f>ROUND(SUMIF(RV_DATA!AA422:'RV_DATA'!AA440, -1279710304, RV_DATA!I422:'RV_DATA'!I440), 6)</f>
        <v>0</v>
      </c>
      <c r="E363" s="84">
        <f>ROUND(RV_DATA!N433, 6)</f>
        <v>42.42</v>
      </c>
      <c r="F363" s="84">
        <f>ROUND(SUMIF(RV_DATA!AA422:'RV_DATA'!AA440, -1279710304, RV_DATA!O422:'RV_DATA'!O440), 6)</f>
        <v>0</v>
      </c>
      <c r="Q363">
        <v>3</v>
      </c>
    </row>
    <row r="364" spans="1:17" ht="42.75" x14ac:dyDescent="0.2">
      <c r="A364" s="96" t="s">
        <v>1350</v>
      </c>
      <c r="B364" s="55" t="s">
        <v>1352</v>
      </c>
      <c r="C364" s="55" t="s">
        <v>551</v>
      </c>
      <c r="D364" s="56">
        <f>ROUND(SUMIF(RV_DATA!AA422:'RV_DATA'!AA440, 1839231, RV_DATA!I422:'RV_DATA'!I440), 6)</f>
        <v>0</v>
      </c>
      <c r="E364" s="84">
        <f>ROUND(RV_DATA!N432, 6)</f>
        <v>2198.4699999999998</v>
      </c>
      <c r="F364" s="84">
        <f>ROUND(SUMIF(RV_DATA!AA422:'RV_DATA'!AA440, 1839231, RV_DATA!O422:'RV_DATA'!O440), 6)</f>
        <v>0</v>
      </c>
      <c r="Q364">
        <v>3</v>
      </c>
    </row>
    <row r="365" spans="1:17" ht="14.25" x14ac:dyDescent="0.2">
      <c r="A365" s="96" t="s">
        <v>1353</v>
      </c>
      <c r="B365" s="55" t="s">
        <v>1355</v>
      </c>
      <c r="C365" s="55" t="s">
        <v>114</v>
      </c>
      <c r="D365" s="56">
        <f>ROUND(SUMIF(RV_DATA!AA422:'RV_DATA'!AA440, -551341549, RV_DATA!I422:'RV_DATA'!I440), 6)</f>
        <v>0</v>
      </c>
      <c r="E365" s="84">
        <f>ROUND(RV_DATA!N431, 6)</f>
        <v>222435.83</v>
      </c>
      <c r="F365" s="84">
        <f>ROUND(SUMIF(RV_DATA!AA422:'RV_DATA'!AA440, -551341549, RV_DATA!O422:'RV_DATA'!O440), 6)</f>
        <v>0</v>
      </c>
      <c r="Q365">
        <v>3</v>
      </c>
    </row>
    <row r="366" spans="1:17" ht="14.25" x14ac:dyDescent="0.2">
      <c r="A366" s="96" t="s">
        <v>1356</v>
      </c>
      <c r="B366" s="55" t="s">
        <v>1358</v>
      </c>
      <c r="C366" s="55" t="s">
        <v>369</v>
      </c>
      <c r="D366" s="56">
        <f>ROUND(SUMIF(RV_DATA!AA422:'RV_DATA'!AA440, 388029671, RV_DATA!I422:'RV_DATA'!I440), 6)</f>
        <v>0</v>
      </c>
      <c r="E366" s="84">
        <f>ROUND(RV_DATA!N430, 6)</f>
        <v>212.48</v>
      </c>
      <c r="F366" s="84">
        <f>ROUND(SUMIF(RV_DATA!AA422:'RV_DATA'!AA440, 388029671, RV_DATA!O422:'RV_DATA'!O440), 6)</f>
        <v>0</v>
      </c>
      <c r="Q366">
        <v>3</v>
      </c>
    </row>
    <row r="367" spans="1:17" ht="14.25" x14ac:dyDescent="0.2">
      <c r="A367" s="96" t="s">
        <v>1359</v>
      </c>
      <c r="B367" s="55" t="s">
        <v>1361</v>
      </c>
      <c r="C367" s="55" t="s">
        <v>114</v>
      </c>
      <c r="D367" s="56">
        <f>ROUND(SUMIF(RV_DATA!AA422:'RV_DATA'!AA440, 1167124668, RV_DATA!I422:'RV_DATA'!I440), 6)</f>
        <v>0</v>
      </c>
      <c r="E367" s="84">
        <f>ROUND(RV_DATA!N429, 6)</f>
        <v>68238.28</v>
      </c>
      <c r="F367" s="84">
        <f>ROUND(SUMIF(RV_DATA!AA422:'RV_DATA'!AA440, 1167124668, RV_DATA!O422:'RV_DATA'!O440), 6)</f>
        <v>0</v>
      </c>
      <c r="Q367">
        <v>3</v>
      </c>
    </row>
    <row r="368" spans="1:17" ht="57" x14ac:dyDescent="0.2">
      <c r="A368" s="96" t="s">
        <v>1362</v>
      </c>
      <c r="B368" s="55" t="s">
        <v>1364</v>
      </c>
      <c r="C368" s="55" t="s">
        <v>369</v>
      </c>
      <c r="D368" s="56">
        <f>ROUND(SUMIF(RV_DATA!AA422:'RV_DATA'!AA440, -1964072372, RV_DATA!I422:'RV_DATA'!I440), 6)</f>
        <v>0</v>
      </c>
      <c r="E368" s="84">
        <f>ROUND(RV_DATA!N428, 6)</f>
        <v>99.35</v>
      </c>
      <c r="F368" s="84">
        <f>ROUND(SUMIF(RV_DATA!AA422:'RV_DATA'!AA440, -1964072372, RV_DATA!O422:'RV_DATA'!O440), 6)</f>
        <v>0</v>
      </c>
      <c r="Q368">
        <v>3</v>
      </c>
    </row>
    <row r="369" spans="1:17" ht="14.25" x14ac:dyDescent="0.2">
      <c r="A369" s="96" t="s">
        <v>1365</v>
      </c>
      <c r="B369" s="55" t="s">
        <v>1367</v>
      </c>
      <c r="C369" s="55" t="s">
        <v>369</v>
      </c>
      <c r="D369" s="56">
        <f>ROUND(SUMIF(RV_DATA!AA422:'RV_DATA'!AA440, 858483407, RV_DATA!I422:'RV_DATA'!I440), 6)</f>
        <v>0</v>
      </c>
      <c r="E369" s="84">
        <f>ROUND(RV_DATA!N427, 6)</f>
        <v>241.88</v>
      </c>
      <c r="F369" s="84">
        <f>ROUND(SUMIF(RV_DATA!AA422:'RV_DATA'!AA440, 858483407, RV_DATA!O422:'RV_DATA'!O440), 6)</f>
        <v>0</v>
      </c>
      <c r="Q369">
        <v>3</v>
      </c>
    </row>
    <row r="370" spans="1:17" ht="14.25" x14ac:dyDescent="0.2">
      <c r="A370" s="96" t="s">
        <v>162</v>
      </c>
      <c r="B370" s="55" t="s">
        <v>163</v>
      </c>
      <c r="C370" s="55" t="s">
        <v>114</v>
      </c>
      <c r="D370" s="56">
        <f>ROUND(SUMIF(RV_DATA!AA422:'RV_DATA'!AA440, 1745548096, RV_DATA!I422:'RV_DATA'!I440), 6)</f>
        <v>4.8899999999999999E-2</v>
      </c>
      <c r="E370" s="84">
        <f>ROUND(RV_DATA!N422, 6)</f>
        <v>0</v>
      </c>
      <c r="F370" s="84">
        <f>ROUND(SUMIF(RV_DATA!AA422:'RV_DATA'!AA440, 1745548096, RV_DATA!O422:'RV_DATA'!O440), 6)</f>
        <v>0</v>
      </c>
      <c r="Q370">
        <v>3</v>
      </c>
    </row>
    <row r="371" spans="1:17" ht="14.25" x14ac:dyDescent="0.2">
      <c r="A371" s="96" t="s">
        <v>1136</v>
      </c>
      <c r="B371" s="55" t="s">
        <v>1137</v>
      </c>
      <c r="C371" s="55" t="s">
        <v>1138</v>
      </c>
      <c r="D371" s="56">
        <f>ROUND(SUMIF(RV_DATA!AA422:'RV_DATA'!AA440, 19367311, RV_DATA!I422:'RV_DATA'!I440), 6)</f>
        <v>0</v>
      </c>
      <c r="E371" s="84">
        <f>ROUND(RV_DATA!N426, 6)</f>
        <v>8.65</v>
      </c>
      <c r="F371" s="84">
        <f>ROUND(SUMIF(RV_DATA!AA422:'RV_DATA'!AA440, 19367311, RV_DATA!O422:'RV_DATA'!O440), 6)</f>
        <v>0</v>
      </c>
      <c r="Q371">
        <v>3</v>
      </c>
    </row>
    <row r="372" spans="1:17" ht="15" x14ac:dyDescent="0.25">
      <c r="A372" s="131" t="s">
        <v>1804</v>
      </c>
      <c r="B372" s="131"/>
      <c r="C372" s="131"/>
      <c r="D372" s="131"/>
      <c r="E372" s="132">
        <f>SUMIF(Q363:Q371, 3, F363:F371)</f>
        <v>0</v>
      </c>
      <c r="F372" s="131"/>
    </row>
    <row r="373" spans="1:17" ht="16.5" x14ac:dyDescent="0.2">
      <c r="A373" s="136" t="str">
        <f>CONCATENATE("Раздел: ",IF(Source!G1040&lt;&gt;"Новый раздел", Source!G1040, ""))</f>
        <v>Раздел: Внутренние сети В1, Т3, В2</v>
      </c>
      <c r="B373" s="137"/>
      <c r="C373" s="137"/>
      <c r="D373" s="137"/>
      <c r="E373" s="137"/>
      <c r="F373" s="137"/>
    </row>
    <row r="374" spans="1:17" ht="14.25" x14ac:dyDescent="0.2">
      <c r="A374" s="138" t="s">
        <v>1799</v>
      </c>
      <c r="B374" s="139"/>
      <c r="C374" s="139"/>
      <c r="D374" s="139"/>
      <c r="E374" s="139"/>
      <c r="F374" s="139"/>
    </row>
    <row r="375" spans="1:17" ht="14.25" x14ac:dyDescent="0.2">
      <c r="A375" s="96" t="s">
        <v>1096</v>
      </c>
      <c r="B375" s="55" t="s">
        <v>1097</v>
      </c>
      <c r="C375" s="55" t="s">
        <v>1098</v>
      </c>
      <c r="D375" s="56">
        <f>ROUND(SUMIF(RV_DATA!AA442:'RV_DATA'!AA505, 1499241640, RV_DATA!I442:'RV_DATA'!I505), 6)</f>
        <v>49.635725000000001</v>
      </c>
      <c r="E375" s="84">
        <f>ROUND(RV_DATA!N453, 6)</f>
        <v>0</v>
      </c>
      <c r="F375" s="84">
        <f>ROUND(SUMIF(RV_DATA!AA442:'RV_DATA'!AA505, 1499241640, RV_DATA!O442:'RV_DATA'!O505), 6)</f>
        <v>0</v>
      </c>
      <c r="Q375">
        <v>1</v>
      </c>
    </row>
    <row r="376" spans="1:17" ht="15" x14ac:dyDescent="0.25">
      <c r="A376" s="131" t="s">
        <v>1800</v>
      </c>
      <c r="B376" s="131"/>
      <c r="C376" s="131"/>
      <c r="D376" s="131"/>
      <c r="E376" s="132">
        <f>SUMIF(Q375:Q375, 1, F375:F375)</f>
        <v>0</v>
      </c>
      <c r="F376" s="131"/>
    </row>
    <row r="377" spans="1:17" ht="14.25" x14ac:dyDescent="0.2">
      <c r="A377" s="138" t="s">
        <v>1801</v>
      </c>
      <c r="B377" s="139"/>
      <c r="C377" s="139"/>
      <c r="D377" s="139"/>
      <c r="E377" s="139"/>
      <c r="F377" s="139"/>
    </row>
    <row r="378" spans="1:17" ht="28.5" x14ac:dyDescent="0.2">
      <c r="A378" s="96" t="s">
        <v>1374</v>
      </c>
      <c r="B378" s="55" t="s">
        <v>1376</v>
      </c>
      <c r="C378" s="55" t="s">
        <v>1102</v>
      </c>
      <c r="D378" s="56">
        <f>ROUND(SUMIF(RV_DATA!AA442:'RV_DATA'!AA505, 867521705, RV_DATA!I442:'RV_DATA'!I505), 6)</f>
        <v>0.37112499999999998</v>
      </c>
      <c r="E378" s="84">
        <f>ROUND(RV_DATA!N484, 6)</f>
        <v>53.88</v>
      </c>
      <c r="F378" s="84">
        <f>ROUND(SUMIF(RV_DATA!AA442:'RV_DATA'!AA505, 867521705, RV_DATA!O442:'RV_DATA'!O505), 6)</f>
        <v>18.739999999999998</v>
      </c>
      <c r="Q378">
        <v>2</v>
      </c>
    </row>
    <row r="379" spans="1:17" ht="28.5" x14ac:dyDescent="0.2">
      <c r="A379" s="96" t="s">
        <v>1347</v>
      </c>
      <c r="B379" s="55" t="s">
        <v>1349</v>
      </c>
      <c r="C379" s="55" t="s">
        <v>1102</v>
      </c>
      <c r="D379" s="56">
        <f>ROUND(SUMIF(RV_DATA!AA442:'RV_DATA'!AA505, 969662417, RV_DATA!I442:'RV_DATA'!I505), 6)</f>
        <v>2.8574999999999999</v>
      </c>
      <c r="E379" s="84">
        <f>ROUND(RV_DATA!N452, 6)</f>
        <v>14.65</v>
      </c>
      <c r="F379" s="84">
        <f>ROUND(SUMIF(RV_DATA!AA442:'RV_DATA'!AA505, 969662417, RV_DATA!O442:'RV_DATA'!O505), 6)</f>
        <v>39.24</v>
      </c>
      <c r="Q379">
        <v>2</v>
      </c>
    </row>
    <row r="380" spans="1:17" ht="28.5" x14ac:dyDescent="0.2">
      <c r="A380" s="96" t="s">
        <v>1189</v>
      </c>
      <c r="B380" s="55" t="s">
        <v>1191</v>
      </c>
      <c r="C380" s="55" t="s">
        <v>1102</v>
      </c>
      <c r="D380" s="56">
        <f>ROUND(SUMIF(RV_DATA!AA442:'RV_DATA'!AA505, 1144387144, RV_DATA!I442:'RV_DATA'!I505), 6)</f>
        <v>0.16387499999999999</v>
      </c>
      <c r="E380" s="84">
        <f>ROUND(RV_DATA!N451, 6)</f>
        <v>935.94</v>
      </c>
      <c r="F380" s="84">
        <f>ROUND(SUMIF(RV_DATA!AA442:'RV_DATA'!AA505, 1144387144, RV_DATA!O442:'RV_DATA'!O505), 6)</f>
        <v>143.72999999999999</v>
      </c>
      <c r="Q380">
        <v>2</v>
      </c>
    </row>
    <row r="381" spans="1:17" ht="28.5" x14ac:dyDescent="0.2">
      <c r="A381" s="96" t="s">
        <v>1127</v>
      </c>
      <c r="B381" s="55" t="s">
        <v>1129</v>
      </c>
      <c r="C381" s="55" t="s">
        <v>1102</v>
      </c>
      <c r="D381" s="56">
        <f>ROUND(SUMIF(RV_DATA!AA442:'RV_DATA'!AA505, 1536045345, RV_DATA!I442:'RV_DATA'!I505), 6)</f>
        <v>1.7250000000000001E-2</v>
      </c>
      <c r="E381" s="84">
        <f>ROUND(RV_DATA!N450, 6)</f>
        <v>2098.34</v>
      </c>
      <c r="F381" s="84">
        <f>ROUND(SUMIF(RV_DATA!AA442:'RV_DATA'!AA505, 1536045345, RV_DATA!O442:'RV_DATA'!O505), 6)</f>
        <v>33.93</v>
      </c>
      <c r="Q381">
        <v>2</v>
      </c>
    </row>
    <row r="382" spans="1:17" ht="14.25" x14ac:dyDescent="0.2">
      <c r="A382" s="96" t="s">
        <v>1145</v>
      </c>
      <c r="B382" s="55" t="s">
        <v>1146</v>
      </c>
      <c r="C382" s="55" t="s">
        <v>1138</v>
      </c>
      <c r="D382" s="56">
        <f>ROUND(SUMIF(RV_DATA!AA442:'RV_DATA'!AA505, -314357962, RV_DATA!I442:'RV_DATA'!I505), 6)</f>
        <v>26.4</v>
      </c>
      <c r="E382" s="84">
        <f>ROUND(RV_DATA!N466, 6)</f>
        <v>1.05</v>
      </c>
      <c r="F382" s="84">
        <f>ROUND(SUMIF(RV_DATA!AA442:'RV_DATA'!AA505, -314357962, RV_DATA!O442:'RV_DATA'!O505), 6)</f>
        <v>26.4</v>
      </c>
      <c r="Q382">
        <v>2</v>
      </c>
    </row>
    <row r="383" spans="1:17" ht="14.25" x14ac:dyDescent="0.2">
      <c r="A383" s="96" t="s">
        <v>1145</v>
      </c>
      <c r="B383" s="55" t="s">
        <v>1146</v>
      </c>
      <c r="C383" s="55" t="s">
        <v>1138</v>
      </c>
      <c r="D383" s="56">
        <f>ROUND(SUMIF(RV_DATA!AA442:'RV_DATA'!AA505, 55387674, RV_DATA!I442:'RV_DATA'!I505), 6)</f>
        <v>5.5750000000000002</v>
      </c>
      <c r="E383" s="84">
        <f>ROUND(RV_DATA!N501, 6)</f>
        <v>1.07</v>
      </c>
      <c r="F383" s="84">
        <f>ROUND(SUMIF(RV_DATA!AA442:'RV_DATA'!AA505, 55387674, RV_DATA!O442:'RV_DATA'!O505), 6)</f>
        <v>5.58</v>
      </c>
      <c r="Q383">
        <v>2</v>
      </c>
    </row>
    <row r="384" spans="1:17" ht="15" x14ac:dyDescent="0.25">
      <c r="A384" s="131" t="s">
        <v>1802</v>
      </c>
      <c r="B384" s="131"/>
      <c r="C384" s="131"/>
      <c r="D384" s="131"/>
      <c r="E384" s="132">
        <f>SUMIF(Q378:Q383, 2, F378:F383)</f>
        <v>267.61999999999995</v>
      </c>
      <c r="F384" s="131"/>
    </row>
    <row r="385" spans="1:17" ht="14.25" x14ac:dyDescent="0.2">
      <c r="A385" s="138" t="s">
        <v>1803</v>
      </c>
      <c r="B385" s="139"/>
      <c r="C385" s="139"/>
      <c r="D385" s="139"/>
      <c r="E385" s="139"/>
      <c r="F385" s="139"/>
    </row>
    <row r="386" spans="1:17" ht="14.25" x14ac:dyDescent="0.2">
      <c r="A386" s="96" t="s">
        <v>348</v>
      </c>
      <c r="B386" s="55" t="s">
        <v>349</v>
      </c>
      <c r="C386" s="55" t="s">
        <v>94</v>
      </c>
      <c r="D386" s="56">
        <f>ROUND(SUMIF(RV_DATA!AA442:'RV_DATA'!AA505, -1279710304, RV_DATA!I442:'RV_DATA'!I505), 6)</f>
        <v>9.1253000000000001E-2</v>
      </c>
      <c r="E386" s="84">
        <f>ROUND(RV_DATA!N449, 6)</f>
        <v>42.42</v>
      </c>
      <c r="F386" s="84">
        <f>ROUND(SUMIF(RV_DATA!AA442:'RV_DATA'!AA505, -1279710304, RV_DATA!O442:'RV_DATA'!O505), 6)</f>
        <v>3.88</v>
      </c>
      <c r="Q386">
        <v>3</v>
      </c>
    </row>
    <row r="387" spans="1:17" ht="42.75" x14ac:dyDescent="0.2">
      <c r="A387" s="96" t="s">
        <v>1350</v>
      </c>
      <c r="B387" s="55" t="s">
        <v>1352</v>
      </c>
      <c r="C387" s="55" t="s">
        <v>551</v>
      </c>
      <c r="D387" s="56">
        <f>ROUND(SUMIF(RV_DATA!AA442:'RV_DATA'!AA505, 1839231, RV_DATA!I442:'RV_DATA'!I505), 6)</f>
        <v>0.2</v>
      </c>
      <c r="E387" s="84">
        <f>ROUND(RV_DATA!N448, 6)</f>
        <v>2198.4699999999998</v>
      </c>
      <c r="F387" s="84">
        <f>ROUND(SUMIF(RV_DATA!AA442:'RV_DATA'!AA505, 1839231, RV_DATA!O442:'RV_DATA'!O505), 6)</f>
        <v>439.69</v>
      </c>
      <c r="Q387">
        <v>3</v>
      </c>
    </row>
    <row r="388" spans="1:17" ht="14.25" x14ac:dyDescent="0.2">
      <c r="A388" s="96" t="s">
        <v>1353</v>
      </c>
      <c r="B388" s="55" t="s">
        <v>1355</v>
      </c>
      <c r="C388" s="55" t="s">
        <v>114</v>
      </c>
      <c r="D388" s="56">
        <f>ROUND(SUMIF(RV_DATA!AA442:'RV_DATA'!AA505, -551341549, RV_DATA!I442:'RV_DATA'!I505), 6)</f>
        <v>1.7000000000000001E-4</v>
      </c>
      <c r="E388" s="84">
        <f>ROUND(RV_DATA!N447, 6)</f>
        <v>222435.83</v>
      </c>
      <c r="F388" s="84">
        <f>ROUND(SUMIF(RV_DATA!AA442:'RV_DATA'!AA505, -551341549, RV_DATA!O442:'RV_DATA'!O505), 6)</f>
        <v>37.81</v>
      </c>
      <c r="Q388">
        <v>3</v>
      </c>
    </row>
    <row r="389" spans="1:17" ht="42.75" x14ac:dyDescent="0.2">
      <c r="A389" s="96" t="s">
        <v>1377</v>
      </c>
      <c r="B389" s="55" t="s">
        <v>1379</v>
      </c>
      <c r="C389" s="55" t="s">
        <v>369</v>
      </c>
      <c r="D389" s="56">
        <f>ROUND(SUMIF(RV_DATA!AA442:'RV_DATA'!AA505, 1344664460, RV_DATA!I442:'RV_DATA'!I505), 6)</f>
        <v>2.0000000000000001E-4</v>
      </c>
      <c r="E389" s="84">
        <f>ROUND(RV_DATA!N480, 6)</f>
        <v>214.7</v>
      </c>
      <c r="F389" s="84">
        <f>ROUND(SUMIF(RV_DATA!AA442:'RV_DATA'!AA505, 1344664460, RV_DATA!O442:'RV_DATA'!O505), 6)</f>
        <v>0.04</v>
      </c>
      <c r="Q389">
        <v>3</v>
      </c>
    </row>
    <row r="390" spans="1:17" ht="14.25" x14ac:dyDescent="0.2">
      <c r="A390" s="96" t="s">
        <v>1356</v>
      </c>
      <c r="B390" s="55" t="s">
        <v>1358</v>
      </c>
      <c r="C390" s="55" t="s">
        <v>369</v>
      </c>
      <c r="D390" s="56">
        <f>ROUND(SUMIF(RV_DATA!AA442:'RV_DATA'!AA505, 388029671, RV_DATA!I442:'RV_DATA'!I505), 6)</f>
        <v>0.05</v>
      </c>
      <c r="E390" s="84">
        <f>ROUND(RV_DATA!N446, 6)</f>
        <v>212.48</v>
      </c>
      <c r="F390" s="84">
        <f>ROUND(SUMIF(RV_DATA!AA442:'RV_DATA'!AA505, 388029671, RV_DATA!O442:'RV_DATA'!O505), 6)</f>
        <v>10.64</v>
      </c>
      <c r="Q390">
        <v>3</v>
      </c>
    </row>
    <row r="391" spans="1:17" ht="14.25" x14ac:dyDescent="0.2">
      <c r="A391" s="96" t="s">
        <v>1359</v>
      </c>
      <c r="B391" s="55" t="s">
        <v>1361</v>
      </c>
      <c r="C391" s="55" t="s">
        <v>114</v>
      </c>
      <c r="D391" s="56">
        <f>ROUND(SUMIF(RV_DATA!AA442:'RV_DATA'!AA505, 1167124668, RV_DATA!I442:'RV_DATA'!I505), 6)</f>
        <v>1.9999999999999999E-6</v>
      </c>
      <c r="E391" s="84">
        <f>ROUND(RV_DATA!N445, 6)</f>
        <v>68238.28</v>
      </c>
      <c r="F391" s="84">
        <f>ROUND(SUMIF(RV_DATA!AA442:'RV_DATA'!AA505, 1167124668, RV_DATA!O442:'RV_DATA'!O505), 6)</f>
        <v>0.18</v>
      </c>
      <c r="Q391">
        <v>3</v>
      </c>
    </row>
    <row r="392" spans="1:17" ht="14.25" x14ac:dyDescent="0.2">
      <c r="A392" s="96" t="s">
        <v>1380</v>
      </c>
      <c r="B392" s="55" t="s">
        <v>1382</v>
      </c>
      <c r="C392" s="55" t="s">
        <v>94</v>
      </c>
      <c r="D392" s="56">
        <f>ROUND(SUMIF(RV_DATA!AA442:'RV_DATA'!AA505, 502890987, RV_DATA!I442:'RV_DATA'!I505), 6)</f>
        <v>0.13980000000000001</v>
      </c>
      <c r="E392" s="84">
        <f>ROUND(RV_DATA!N478, 6)</f>
        <v>474.09</v>
      </c>
      <c r="F392" s="84">
        <f>ROUND(SUMIF(RV_DATA!AA442:'RV_DATA'!AA505, 502890987, RV_DATA!O442:'RV_DATA'!O505), 6)</f>
        <v>66.28</v>
      </c>
      <c r="Q392">
        <v>3</v>
      </c>
    </row>
    <row r="393" spans="1:17" ht="57" x14ac:dyDescent="0.2">
      <c r="A393" s="96" t="s">
        <v>1362</v>
      </c>
      <c r="B393" s="55" t="s">
        <v>1364</v>
      </c>
      <c r="C393" s="55" t="s">
        <v>369</v>
      </c>
      <c r="D393" s="56">
        <f>ROUND(SUMIF(RV_DATA!AA442:'RV_DATA'!AA505, -1964072372, RV_DATA!I442:'RV_DATA'!I505), 6)</f>
        <v>0.11</v>
      </c>
      <c r="E393" s="84">
        <f>ROUND(RV_DATA!N444, 6)</f>
        <v>99.35</v>
      </c>
      <c r="F393" s="84">
        <f>ROUND(SUMIF(RV_DATA!AA442:'RV_DATA'!AA505, -1964072372, RV_DATA!O442:'RV_DATA'!O505), 6)</f>
        <v>10.93</v>
      </c>
      <c r="Q393">
        <v>3</v>
      </c>
    </row>
    <row r="394" spans="1:17" ht="142.5" x14ac:dyDescent="0.2">
      <c r="A394" s="96" t="s">
        <v>865</v>
      </c>
      <c r="B394" s="55" t="s">
        <v>1569</v>
      </c>
      <c r="C394" s="55" t="s">
        <v>270</v>
      </c>
      <c r="D394" s="56">
        <f>ROUND(SUMIF(RV_DATA!AA442:'RV_DATA'!AA505, -1361586493, RV_DATA!I442:'RV_DATA'!I505), 6)</f>
        <v>16.8</v>
      </c>
      <c r="E394" s="84">
        <f>ROUND(RV_DATA!N469, 6)</f>
        <v>24.402000000000001</v>
      </c>
      <c r="F394" s="84">
        <f>ROUND(SUMIF(RV_DATA!AA442:'RV_DATA'!AA505, -1361586493, RV_DATA!O442:'RV_DATA'!O505), 6)</f>
        <v>409.95</v>
      </c>
      <c r="Q394">
        <v>3</v>
      </c>
    </row>
    <row r="395" spans="1:17" ht="14.25" x14ac:dyDescent="0.2">
      <c r="A395" s="96" t="s">
        <v>590</v>
      </c>
      <c r="B395" s="55" t="s">
        <v>591</v>
      </c>
      <c r="C395" s="55" t="s">
        <v>94</v>
      </c>
      <c r="D395" s="56">
        <f>ROUND(SUMIF(RV_DATA!AA442:'RV_DATA'!AA505, -530669901, RV_DATA!I442:'RV_DATA'!I505), 6)</f>
        <v>0.14086000000000001</v>
      </c>
      <c r="E395" s="84">
        <f>ROUND(RV_DATA!N477, 6)</f>
        <v>76.95</v>
      </c>
      <c r="F395" s="84">
        <f>ROUND(SUMIF(RV_DATA!AA442:'RV_DATA'!AA505, -530669901, RV_DATA!O442:'RV_DATA'!O505), 6)</f>
        <v>10.84</v>
      </c>
      <c r="Q395">
        <v>3</v>
      </c>
    </row>
    <row r="396" spans="1:17" ht="85.5" x14ac:dyDescent="0.2">
      <c r="A396" s="96" t="s">
        <v>868</v>
      </c>
      <c r="B396" s="55" t="s">
        <v>869</v>
      </c>
      <c r="C396" s="55" t="s">
        <v>870</v>
      </c>
      <c r="D396" s="56">
        <f>ROUND(SUMIF(RV_DATA!AA442:'RV_DATA'!AA505, 366292133, RV_DATA!I442:'RV_DATA'!I505), 6)</f>
        <v>0.2</v>
      </c>
      <c r="E396" s="84">
        <f>ROUND(RV_DATA!N470, 6)</f>
        <v>950.80640000000005</v>
      </c>
      <c r="F396" s="84">
        <f>ROUND(SUMIF(RV_DATA!AA442:'RV_DATA'!AA505, 366292133, RV_DATA!O442:'RV_DATA'!O505), 6)</f>
        <v>190.16</v>
      </c>
      <c r="Q396">
        <v>3</v>
      </c>
    </row>
    <row r="397" spans="1:17" ht="14.25" x14ac:dyDescent="0.2">
      <c r="A397" s="96" t="s">
        <v>1365</v>
      </c>
      <c r="B397" s="55" t="s">
        <v>1367</v>
      </c>
      <c r="C397" s="55" t="s">
        <v>369</v>
      </c>
      <c r="D397" s="56">
        <f>ROUND(SUMIF(RV_DATA!AA442:'RV_DATA'!AA505, 858483407, RV_DATA!I442:'RV_DATA'!I505), 6)</f>
        <v>0.05</v>
      </c>
      <c r="E397" s="84">
        <f>ROUND(RV_DATA!N443, 6)</f>
        <v>241.88</v>
      </c>
      <c r="F397" s="84">
        <f>ROUND(SUMIF(RV_DATA!AA442:'RV_DATA'!AA505, 858483407, RV_DATA!O442:'RV_DATA'!O505), 6)</f>
        <v>12.1</v>
      </c>
      <c r="Q397">
        <v>3</v>
      </c>
    </row>
    <row r="398" spans="1:17" ht="57" x14ac:dyDescent="0.2">
      <c r="A398" s="96" t="s">
        <v>1368</v>
      </c>
      <c r="B398" s="55" t="s">
        <v>1370</v>
      </c>
      <c r="C398" s="55" t="s">
        <v>250</v>
      </c>
      <c r="D398" s="56">
        <f>ROUND(SUMIF(RV_DATA!AA442:'RV_DATA'!AA505, -1042895764, RV_DATA!I442:'RV_DATA'!I505), 6)</f>
        <v>48</v>
      </c>
      <c r="E398" s="84">
        <f>ROUND(RV_DATA!N465, 6)</f>
        <v>2.3199999999999998</v>
      </c>
      <c r="F398" s="84">
        <f>ROUND(SUMIF(RV_DATA!AA442:'RV_DATA'!AA505, -1042895764, RV_DATA!O442:'RV_DATA'!O505), 6)</f>
        <v>109.44</v>
      </c>
      <c r="Q398">
        <v>3</v>
      </c>
    </row>
    <row r="399" spans="1:17" ht="57" x14ac:dyDescent="0.2">
      <c r="A399" s="96" t="s">
        <v>1371</v>
      </c>
      <c r="B399" s="55" t="s">
        <v>1373</v>
      </c>
      <c r="C399" s="55" t="s">
        <v>870</v>
      </c>
      <c r="D399" s="56">
        <f>ROUND(SUMIF(RV_DATA!AA442:'RV_DATA'!AA505, -1995223551, RV_DATA!I442:'RV_DATA'!I505), 6)</f>
        <v>1.488</v>
      </c>
      <c r="E399" s="84">
        <f>ROUND(RV_DATA!N464, 6)</f>
        <v>1077.8900000000001</v>
      </c>
      <c r="F399" s="84">
        <f>ROUND(SUMIF(RV_DATA!AA442:'RV_DATA'!AA505, -1995223551, RV_DATA!O442:'RV_DATA'!O505), 6)</f>
        <v>1574.11</v>
      </c>
      <c r="Q399">
        <v>3</v>
      </c>
    </row>
    <row r="400" spans="1:17" ht="71.25" x14ac:dyDescent="0.2">
      <c r="A400" s="96" t="s">
        <v>1383</v>
      </c>
      <c r="B400" s="55" t="s">
        <v>1385</v>
      </c>
      <c r="C400" s="55" t="s">
        <v>114</v>
      </c>
      <c r="D400" s="56">
        <f>ROUND(SUMIF(RV_DATA!AA442:'RV_DATA'!AA505, -609916026, RV_DATA!I442:'RV_DATA'!I505), 6)</f>
        <v>1.0000000000000001E-5</v>
      </c>
      <c r="E400" s="84">
        <f>ROUND(RV_DATA!N476, 6)</f>
        <v>48667.17</v>
      </c>
      <c r="F400" s="84">
        <f>ROUND(SUMIF(RV_DATA!AA442:'RV_DATA'!AA505, -609916026, RV_DATA!O442:'RV_DATA'!O505), 6)</f>
        <v>0.51</v>
      </c>
      <c r="Q400">
        <v>3</v>
      </c>
    </row>
    <row r="401" spans="1:17" ht="71.25" x14ac:dyDescent="0.2">
      <c r="A401" s="96" t="s">
        <v>861</v>
      </c>
      <c r="B401" s="55" t="s">
        <v>862</v>
      </c>
      <c r="C401" s="55" t="s">
        <v>270</v>
      </c>
      <c r="D401" s="56">
        <f>ROUND(SUMIF(RV_DATA!AA442:'RV_DATA'!AA505, 2046340051, RV_DATA!I442:'RV_DATA'!I505), 6)</f>
        <v>24</v>
      </c>
      <c r="E401" s="84">
        <f>ROUND(RV_DATA!N468, 6)</f>
        <v>52.7102</v>
      </c>
      <c r="F401" s="84">
        <f>ROUND(SUMIF(RV_DATA!AA442:'RV_DATA'!AA505, 2046340051, RV_DATA!O442:'RV_DATA'!O505), 6)</f>
        <v>1265.04</v>
      </c>
      <c r="Q401">
        <v>3</v>
      </c>
    </row>
    <row r="402" spans="1:17" ht="28.5" x14ac:dyDescent="0.2">
      <c r="A402" s="96" t="s">
        <v>1386</v>
      </c>
      <c r="B402" s="55" t="s">
        <v>1388</v>
      </c>
      <c r="C402" s="55" t="s">
        <v>369</v>
      </c>
      <c r="D402" s="56">
        <f>ROUND(SUMIF(RV_DATA!AA442:'RV_DATA'!AA505, 1036341566, RV_DATA!I442:'RV_DATA'!I505), 6)</f>
        <v>1.1999999999999999E-3</v>
      </c>
      <c r="E402" s="84">
        <f>ROUND(RV_DATA!N475, 6)</f>
        <v>73.69</v>
      </c>
      <c r="F402" s="84">
        <f>ROUND(SUMIF(RV_DATA!AA442:'RV_DATA'!AA505, 1036341566, RV_DATA!O442:'RV_DATA'!O505), 6)</f>
        <v>0.09</v>
      </c>
      <c r="Q402">
        <v>3</v>
      </c>
    </row>
    <row r="403" spans="1:17" ht="28.5" x14ac:dyDescent="0.2">
      <c r="A403" s="96" t="s">
        <v>1389</v>
      </c>
      <c r="B403" s="55" t="s">
        <v>1391</v>
      </c>
      <c r="C403" s="55" t="s">
        <v>114</v>
      </c>
      <c r="D403" s="56">
        <f>ROUND(SUMIF(RV_DATA!AA442:'RV_DATA'!AA505, 959372395, RV_DATA!I442:'RV_DATA'!I505), 6)</f>
        <v>8.3999999999999995E-5</v>
      </c>
      <c r="E403" s="84">
        <f>ROUND(RV_DATA!N474, 6)</f>
        <v>56367.38</v>
      </c>
      <c r="F403" s="84">
        <f>ROUND(SUMIF(RV_DATA!AA442:'RV_DATA'!AA505, 959372395, RV_DATA!O442:'RV_DATA'!O505), 6)</f>
        <v>4.74</v>
      </c>
      <c r="Q403">
        <v>3</v>
      </c>
    </row>
    <row r="404" spans="1:17" ht="57" x14ac:dyDescent="0.2">
      <c r="A404" s="96" t="s">
        <v>886</v>
      </c>
      <c r="B404" s="55" t="s">
        <v>887</v>
      </c>
      <c r="C404" s="55" t="s">
        <v>270</v>
      </c>
      <c r="D404" s="56">
        <f>ROUND(SUMIF(RV_DATA!AA442:'RV_DATA'!AA505, -1916645326, RV_DATA!I442:'RV_DATA'!I505), 6)</f>
        <v>1</v>
      </c>
      <c r="E404" s="84">
        <f>ROUND(RV_DATA!N486, 6)</f>
        <v>580.95579999999995</v>
      </c>
      <c r="F404" s="84">
        <f>ROUND(SUMIF(RV_DATA!AA442:'RV_DATA'!AA505, -1916645326, RV_DATA!O442:'RV_DATA'!O505), 6)</f>
        <v>580.96</v>
      </c>
      <c r="Q404">
        <v>3</v>
      </c>
    </row>
    <row r="405" spans="1:17" ht="57" x14ac:dyDescent="0.2">
      <c r="A405" s="96" t="s">
        <v>892</v>
      </c>
      <c r="B405" s="55" t="s">
        <v>893</v>
      </c>
      <c r="C405" s="55" t="s">
        <v>270</v>
      </c>
      <c r="D405" s="56">
        <f>ROUND(SUMIF(RV_DATA!AA442:'RV_DATA'!AA505, -393763925, RV_DATA!I442:'RV_DATA'!I505), 6)</f>
        <v>8</v>
      </c>
      <c r="E405" s="84">
        <f>ROUND(RV_DATA!N497, 6)</f>
        <v>1508.6815999999999</v>
      </c>
      <c r="F405" s="84">
        <f>ROUND(SUMIF(RV_DATA!AA442:'RV_DATA'!AA505, -393763925, RV_DATA!O442:'RV_DATA'!O505), 6)</f>
        <v>12069.45</v>
      </c>
      <c r="Q405">
        <v>3</v>
      </c>
    </row>
    <row r="406" spans="1:17" ht="42.75" x14ac:dyDescent="0.2">
      <c r="A406" s="96" t="s">
        <v>876</v>
      </c>
      <c r="B406" s="55" t="s">
        <v>877</v>
      </c>
      <c r="C406" s="55" t="s">
        <v>238</v>
      </c>
      <c r="D406" s="56">
        <f>ROUND(SUMIF(RV_DATA!AA442:'RV_DATA'!AA505, -31245099, RV_DATA!I442:'RV_DATA'!I505), 6)</f>
        <v>1</v>
      </c>
      <c r="E406" s="84">
        <f>ROUND(RV_DATA!N472, 6)</f>
        <v>81.218400000000003</v>
      </c>
      <c r="F406" s="84">
        <f>ROUND(SUMIF(RV_DATA!AA442:'RV_DATA'!AA505, -31245099, RV_DATA!O442:'RV_DATA'!O505), 6)</f>
        <v>81.22</v>
      </c>
      <c r="Q406">
        <v>3</v>
      </c>
    </row>
    <row r="407" spans="1:17" ht="42.75" x14ac:dyDescent="0.2">
      <c r="A407" s="96" t="s">
        <v>831</v>
      </c>
      <c r="B407" s="55" t="s">
        <v>832</v>
      </c>
      <c r="C407" s="55" t="s">
        <v>270</v>
      </c>
      <c r="D407" s="56">
        <f>ROUND(SUMIF(RV_DATA!AA442:'RV_DATA'!AA505, 1704042702, RV_DATA!I442:'RV_DATA'!I505), 6)</f>
        <v>17.98</v>
      </c>
      <c r="E407" s="84">
        <f>ROUND(RV_DATA!N454, 6)</f>
        <v>0</v>
      </c>
      <c r="F407" s="84">
        <f>ROUND(SUMIF(RV_DATA!AA442:'RV_DATA'!AA505, 1704042702, RV_DATA!O442:'RV_DATA'!O505), 6)</f>
        <v>0</v>
      </c>
      <c r="Q407">
        <v>3</v>
      </c>
    </row>
    <row r="408" spans="1:17" ht="57" x14ac:dyDescent="0.2">
      <c r="A408" s="96" t="s">
        <v>838</v>
      </c>
      <c r="B408" s="55" t="s">
        <v>839</v>
      </c>
      <c r="C408" s="55" t="s">
        <v>250</v>
      </c>
      <c r="D408" s="56">
        <f>ROUND(SUMIF(RV_DATA!AA442:'RV_DATA'!AA505, 918453572, RV_DATA!I442:'RV_DATA'!I505), 6)</f>
        <v>4</v>
      </c>
      <c r="E408" s="84">
        <f>ROUND(RV_DATA!N457, 6)</f>
        <v>0</v>
      </c>
      <c r="F408" s="84">
        <f>ROUND(SUMIF(RV_DATA!AA442:'RV_DATA'!AA505, 918453572, RV_DATA!O442:'RV_DATA'!O505), 6)</f>
        <v>0</v>
      </c>
      <c r="Q408">
        <v>3</v>
      </c>
    </row>
    <row r="409" spans="1:17" ht="57" x14ac:dyDescent="0.2">
      <c r="A409" s="96" t="s">
        <v>835</v>
      </c>
      <c r="B409" s="55" t="s">
        <v>836</v>
      </c>
      <c r="C409" s="55" t="s">
        <v>250</v>
      </c>
      <c r="D409" s="56">
        <f>ROUND(SUMIF(RV_DATA!AA442:'RV_DATA'!AA505, -277803108, RV_DATA!I442:'RV_DATA'!I505), 6)</f>
        <v>12</v>
      </c>
      <c r="E409" s="84">
        <f>ROUND(RV_DATA!N456, 6)</f>
        <v>0</v>
      </c>
      <c r="F409" s="84">
        <f>ROUND(SUMIF(RV_DATA!AA442:'RV_DATA'!AA505, -277803108, RV_DATA!O442:'RV_DATA'!O505), 6)</f>
        <v>0</v>
      </c>
      <c r="Q409">
        <v>3</v>
      </c>
    </row>
    <row r="410" spans="1:17" ht="57" x14ac:dyDescent="0.2">
      <c r="A410" s="96" t="s">
        <v>841</v>
      </c>
      <c r="B410" s="55" t="s">
        <v>842</v>
      </c>
      <c r="C410" s="55" t="s">
        <v>250</v>
      </c>
      <c r="D410" s="56">
        <f>ROUND(SUMIF(RV_DATA!AA442:'RV_DATA'!AA505, -2002416186, RV_DATA!I442:'RV_DATA'!I505), 6)</f>
        <v>7</v>
      </c>
      <c r="E410" s="84">
        <f>ROUND(RV_DATA!N458, 6)</f>
        <v>0</v>
      </c>
      <c r="F410" s="84">
        <f>ROUND(SUMIF(RV_DATA!AA442:'RV_DATA'!AA505, -2002416186, RV_DATA!O442:'RV_DATA'!O505), 6)</f>
        <v>0</v>
      </c>
      <c r="Q410">
        <v>3</v>
      </c>
    </row>
    <row r="411" spans="1:17" ht="57" x14ac:dyDescent="0.2">
      <c r="A411" s="96" t="s">
        <v>844</v>
      </c>
      <c r="B411" s="55" t="s">
        <v>845</v>
      </c>
      <c r="C411" s="55" t="s">
        <v>250</v>
      </c>
      <c r="D411" s="56">
        <f>ROUND(SUMIF(RV_DATA!AA442:'RV_DATA'!AA505, 757713676, RV_DATA!I442:'RV_DATA'!I505), 6)</f>
        <v>2</v>
      </c>
      <c r="E411" s="84">
        <f>ROUND(RV_DATA!N459, 6)</f>
        <v>0</v>
      </c>
      <c r="F411" s="84">
        <f>ROUND(SUMIF(RV_DATA!AA442:'RV_DATA'!AA505, 757713676, RV_DATA!O442:'RV_DATA'!O505), 6)</f>
        <v>0</v>
      </c>
      <c r="Q411">
        <v>3</v>
      </c>
    </row>
    <row r="412" spans="1:17" ht="57" x14ac:dyDescent="0.2">
      <c r="A412" s="96" t="s">
        <v>833</v>
      </c>
      <c r="B412" s="55" t="s">
        <v>834</v>
      </c>
      <c r="C412" s="55" t="s">
        <v>250</v>
      </c>
      <c r="D412" s="56">
        <f>ROUND(SUMIF(RV_DATA!AA442:'RV_DATA'!AA505, -2027209743, RV_DATA!I442:'RV_DATA'!I505), 6)</f>
        <v>5</v>
      </c>
      <c r="E412" s="84">
        <f>ROUND(RV_DATA!N455, 6)</f>
        <v>0</v>
      </c>
      <c r="F412" s="84">
        <f>ROUND(SUMIF(RV_DATA!AA442:'RV_DATA'!AA505, -2027209743, RV_DATA!O442:'RV_DATA'!O505), 6)</f>
        <v>0</v>
      </c>
      <c r="Q412">
        <v>3</v>
      </c>
    </row>
    <row r="413" spans="1:17" ht="57" x14ac:dyDescent="0.2">
      <c r="A413" s="96" t="s">
        <v>850</v>
      </c>
      <c r="B413" s="55" t="s">
        <v>851</v>
      </c>
      <c r="C413" s="55" t="s">
        <v>250</v>
      </c>
      <c r="D413" s="56">
        <f>ROUND(SUMIF(RV_DATA!AA442:'RV_DATA'!AA505, -2110072689, RV_DATA!I442:'RV_DATA'!I505), 6)</f>
        <v>4</v>
      </c>
      <c r="E413" s="84">
        <f>ROUND(RV_DATA!N461, 6)</f>
        <v>0</v>
      </c>
      <c r="F413" s="84">
        <f>ROUND(SUMIF(RV_DATA!AA442:'RV_DATA'!AA505, -2110072689, RV_DATA!O442:'RV_DATA'!O505), 6)</f>
        <v>0</v>
      </c>
      <c r="Q413">
        <v>3</v>
      </c>
    </row>
    <row r="414" spans="1:17" ht="71.25" x14ac:dyDescent="0.2">
      <c r="A414" s="96" t="s">
        <v>847</v>
      </c>
      <c r="B414" s="55" t="s">
        <v>848</v>
      </c>
      <c r="C414" s="55" t="s">
        <v>250</v>
      </c>
      <c r="D414" s="56">
        <f>ROUND(SUMIF(RV_DATA!AA442:'RV_DATA'!AA505, 672616335, RV_DATA!I442:'RV_DATA'!I505), 6)</f>
        <v>2</v>
      </c>
      <c r="E414" s="84">
        <f>ROUND(RV_DATA!N460, 6)</f>
        <v>0</v>
      </c>
      <c r="F414" s="84">
        <f>ROUND(SUMIF(RV_DATA!AA442:'RV_DATA'!AA505, 672616335, RV_DATA!O442:'RV_DATA'!O505), 6)</f>
        <v>0</v>
      </c>
      <c r="Q414">
        <v>3</v>
      </c>
    </row>
    <row r="415" spans="1:17" ht="57" x14ac:dyDescent="0.2">
      <c r="A415" s="96" t="s">
        <v>853</v>
      </c>
      <c r="B415" s="55" t="s">
        <v>854</v>
      </c>
      <c r="C415" s="55" t="s">
        <v>250</v>
      </c>
      <c r="D415" s="56">
        <f>ROUND(SUMIF(RV_DATA!AA442:'RV_DATA'!AA505, 348333905, RV_DATA!I442:'RV_DATA'!I505), 6)</f>
        <v>20</v>
      </c>
      <c r="E415" s="84">
        <f>ROUND(RV_DATA!N462, 6)</f>
        <v>0</v>
      </c>
      <c r="F415" s="84">
        <f>ROUND(SUMIF(RV_DATA!AA442:'RV_DATA'!AA505, 348333905, RV_DATA!O442:'RV_DATA'!O505), 6)</f>
        <v>0</v>
      </c>
      <c r="Q415">
        <v>3</v>
      </c>
    </row>
    <row r="416" spans="1:17" ht="71.25" x14ac:dyDescent="0.2">
      <c r="A416" s="96" t="s">
        <v>901</v>
      </c>
      <c r="B416" s="55" t="s">
        <v>902</v>
      </c>
      <c r="C416" s="55" t="s">
        <v>250</v>
      </c>
      <c r="D416" s="56">
        <f>ROUND(SUMIF(RV_DATA!AA442:'RV_DATA'!AA505, -2142545408, RV_DATA!I442:'RV_DATA'!I505), 6)</f>
        <v>2</v>
      </c>
      <c r="E416" s="84">
        <f>ROUND(RV_DATA!N503, 6)</f>
        <v>0</v>
      </c>
      <c r="F416" s="84">
        <f>ROUND(SUMIF(RV_DATA!AA442:'RV_DATA'!AA505, -2142545408, RV_DATA!O442:'RV_DATA'!O505), 6)</f>
        <v>0</v>
      </c>
      <c r="Q416">
        <v>3</v>
      </c>
    </row>
    <row r="417" spans="1:17" ht="57" x14ac:dyDescent="0.2">
      <c r="A417" s="96" t="s">
        <v>879</v>
      </c>
      <c r="B417" s="55" t="s">
        <v>880</v>
      </c>
      <c r="C417" s="55" t="s">
        <v>250</v>
      </c>
      <c r="D417" s="56">
        <f>ROUND(SUMIF(RV_DATA!AA442:'RV_DATA'!AA505, 632026139, RV_DATA!I442:'RV_DATA'!I505), 6)</f>
        <v>3</v>
      </c>
      <c r="E417" s="84">
        <f>ROUND(RV_DATA!N473, 6)</f>
        <v>80.562200000000004</v>
      </c>
      <c r="F417" s="84">
        <f>ROUND(SUMIF(RV_DATA!AA442:'RV_DATA'!AA505, 632026139, RV_DATA!O442:'RV_DATA'!O505), 6)</f>
        <v>241.69</v>
      </c>
      <c r="Q417">
        <v>3</v>
      </c>
    </row>
    <row r="418" spans="1:17" ht="28.5" x14ac:dyDescent="0.2">
      <c r="A418" s="96" t="s">
        <v>904</v>
      </c>
      <c r="B418" s="55" t="s">
        <v>905</v>
      </c>
      <c r="C418" s="55" t="s">
        <v>270</v>
      </c>
      <c r="D418" s="56">
        <f>ROUND(SUMIF(RV_DATA!AA442:'RV_DATA'!AA505, 354455286, RV_DATA!I442:'RV_DATA'!I505), 6)</f>
        <v>40</v>
      </c>
      <c r="E418" s="84">
        <f>ROUND(RV_DATA!N504, 6)</f>
        <v>0</v>
      </c>
      <c r="F418" s="84">
        <f>ROUND(SUMIF(RV_DATA!AA442:'RV_DATA'!AA505, 354455286, RV_DATA!O442:'RV_DATA'!O505), 6)</f>
        <v>0</v>
      </c>
      <c r="Q418">
        <v>3</v>
      </c>
    </row>
    <row r="419" spans="1:17" ht="28.5" x14ac:dyDescent="0.2">
      <c r="A419" s="96" t="s">
        <v>1392</v>
      </c>
      <c r="B419" s="55" t="s">
        <v>1394</v>
      </c>
      <c r="C419" s="55" t="s">
        <v>250</v>
      </c>
      <c r="D419" s="56">
        <f>ROUND(SUMIF(RV_DATA!AA442:'RV_DATA'!AA505, -1823527708, RV_DATA!I442:'RV_DATA'!I505), 6)</f>
        <v>2</v>
      </c>
      <c r="E419" s="84">
        <f>ROUND(RV_DATA!N500, 6)</f>
        <v>140.85</v>
      </c>
      <c r="F419" s="84">
        <f>ROUND(SUMIF(RV_DATA!AA442:'RV_DATA'!AA505, -1823527708, RV_DATA!O442:'RV_DATA'!O505), 6)</f>
        <v>281.70999999999998</v>
      </c>
      <c r="Q419">
        <v>3</v>
      </c>
    </row>
    <row r="420" spans="1:17" ht="57" x14ac:dyDescent="0.2">
      <c r="A420" s="96" t="s">
        <v>1395</v>
      </c>
      <c r="B420" s="55" t="s">
        <v>1397</v>
      </c>
      <c r="C420" s="55" t="s">
        <v>250</v>
      </c>
      <c r="D420" s="56">
        <f>ROUND(SUMIF(RV_DATA!AA442:'RV_DATA'!AA505, 2016184941, RV_DATA!I442:'RV_DATA'!I505), 6)</f>
        <v>6</v>
      </c>
      <c r="E420" s="84">
        <f>ROUND(RV_DATA!N499, 6)</f>
        <v>82.96</v>
      </c>
      <c r="F420" s="84">
        <f>ROUND(SUMIF(RV_DATA!AA442:'RV_DATA'!AA505, 2016184941, RV_DATA!O442:'RV_DATA'!O505), 6)</f>
        <v>497.76</v>
      </c>
      <c r="Q420">
        <v>3</v>
      </c>
    </row>
    <row r="421" spans="1:17" ht="14.25" x14ac:dyDescent="0.2">
      <c r="A421" s="96" t="s">
        <v>1133</v>
      </c>
      <c r="B421" s="55" t="s">
        <v>1135</v>
      </c>
      <c r="C421" s="55" t="s">
        <v>94</v>
      </c>
      <c r="D421" s="56">
        <f>ROUND(SUMIF(RV_DATA!AA442:'RV_DATA'!AA505, 2072607249, RV_DATA!I442:'RV_DATA'!I505), 6)</f>
        <v>5.5999999999999995E-4</v>
      </c>
      <c r="E421" s="84">
        <f>ROUND(RV_DATA!N487, 6)</f>
        <v>3929.43</v>
      </c>
      <c r="F421" s="84">
        <f>ROUND(SUMIF(RV_DATA!AA442:'RV_DATA'!AA505, 2072607249, RV_DATA!O442:'RV_DATA'!O505), 6)</f>
        <v>2.2000000000000002</v>
      </c>
      <c r="Q421">
        <v>3</v>
      </c>
    </row>
    <row r="422" spans="1:17" ht="28.5" x14ac:dyDescent="0.2">
      <c r="A422" s="96" t="s">
        <v>907</v>
      </c>
      <c r="B422" s="55" t="s">
        <v>908</v>
      </c>
      <c r="C422" s="55" t="s">
        <v>250</v>
      </c>
      <c r="D422" s="56">
        <f>ROUND(SUMIF(RV_DATA!AA442:'RV_DATA'!AA505, 1978224808, RV_DATA!I442:'RV_DATA'!I505), 6)</f>
        <v>2</v>
      </c>
      <c r="E422" s="84">
        <f>ROUND(RV_DATA!N505, 6)</f>
        <v>0</v>
      </c>
      <c r="F422" s="84">
        <f>ROUND(SUMIF(RV_DATA!AA442:'RV_DATA'!AA505, 1978224808, RV_DATA!O442:'RV_DATA'!O505), 6)</f>
        <v>0</v>
      </c>
      <c r="Q422">
        <v>3</v>
      </c>
    </row>
    <row r="423" spans="1:17" ht="14.25" x14ac:dyDescent="0.2">
      <c r="A423" s="96" t="s">
        <v>1136</v>
      </c>
      <c r="B423" s="55" t="s">
        <v>1137</v>
      </c>
      <c r="C423" s="55" t="s">
        <v>1138</v>
      </c>
      <c r="D423" s="56">
        <f>ROUND(SUMIF(RV_DATA!AA442:'RV_DATA'!AA505, 19367311, RV_DATA!I442:'RV_DATA'!I505), 6)</f>
        <v>17.507999999999999</v>
      </c>
      <c r="E423" s="84">
        <f>ROUND(RV_DATA!N442, 6)</f>
        <v>8.65</v>
      </c>
      <c r="F423" s="84">
        <f>ROUND(SUMIF(RV_DATA!AA442:'RV_DATA'!AA505, 19367311, RV_DATA!O442:'RV_DATA'!O505), 6)</f>
        <v>151.44999999999999</v>
      </c>
      <c r="Q423">
        <v>3</v>
      </c>
    </row>
    <row r="424" spans="1:17" ht="14.25" x14ac:dyDescent="0.2">
      <c r="A424" s="96" t="s">
        <v>1136</v>
      </c>
      <c r="B424" s="55" t="s">
        <v>1137</v>
      </c>
      <c r="C424" s="55" t="s">
        <v>1138</v>
      </c>
      <c r="D424" s="56">
        <f>ROUND(SUMIF(RV_DATA!AA442:'RV_DATA'!AA505, -1731630056, RV_DATA!I442:'RV_DATA'!I505), 6)</f>
        <v>8</v>
      </c>
      <c r="E424" s="84">
        <f>ROUND(RV_DATA!N463, 6)</f>
        <v>8.81</v>
      </c>
      <c r="F424" s="84">
        <f>ROUND(SUMIF(RV_DATA!AA442:'RV_DATA'!AA505, -1731630056, RV_DATA!O442:'RV_DATA'!O505), 6)</f>
        <v>69.2</v>
      </c>
      <c r="Q424">
        <v>3</v>
      </c>
    </row>
    <row r="425" spans="1:17" ht="15" x14ac:dyDescent="0.25">
      <c r="A425" s="131" t="s">
        <v>1804</v>
      </c>
      <c r="B425" s="131"/>
      <c r="C425" s="131"/>
      <c r="D425" s="131"/>
      <c r="E425" s="132">
        <f>SUMIF(Q386:Q424, 3, F386:F424)</f>
        <v>18122.07</v>
      </c>
      <c r="F425" s="131"/>
    </row>
    <row r="426" spans="1:17" ht="16.5" x14ac:dyDescent="0.2">
      <c r="A426" s="136" t="str">
        <f>CONCATENATE("Раздел: ",IF(Source!G1125&lt;&gt;"Новый раздел", Source!G1125, ""))</f>
        <v>Раздел: Внутренние сети  К1</v>
      </c>
      <c r="B426" s="137"/>
      <c r="C426" s="137"/>
      <c r="D426" s="137"/>
      <c r="E426" s="137"/>
      <c r="F426" s="137"/>
    </row>
    <row r="427" spans="1:17" ht="14.25" x14ac:dyDescent="0.2">
      <c r="A427" s="138" t="s">
        <v>1799</v>
      </c>
      <c r="B427" s="139"/>
      <c r="C427" s="139"/>
      <c r="D427" s="139"/>
      <c r="E427" s="139"/>
      <c r="F427" s="139"/>
    </row>
    <row r="428" spans="1:17" ht="14.25" x14ac:dyDescent="0.2">
      <c r="A428" s="96" t="s">
        <v>1096</v>
      </c>
      <c r="B428" s="55" t="s">
        <v>1097</v>
      </c>
      <c r="C428" s="55" t="s">
        <v>1098</v>
      </c>
      <c r="D428" s="56">
        <f>ROUND(SUMIF(RV_DATA!AA507:'RV_DATA'!AA524, 1499241640, RV_DATA!I507:'RV_DATA'!I524), 6)</f>
        <v>3.6248</v>
      </c>
      <c r="E428" s="84">
        <f>ROUND(RV_DATA!N509, 6)</f>
        <v>0</v>
      </c>
      <c r="F428" s="84">
        <f>ROUND(SUMIF(RV_DATA!AA507:'RV_DATA'!AA524, 1499241640, RV_DATA!O507:'RV_DATA'!O524), 6)</f>
        <v>0</v>
      </c>
      <c r="Q428">
        <v>1</v>
      </c>
    </row>
    <row r="429" spans="1:17" ht="15" x14ac:dyDescent="0.25">
      <c r="A429" s="131" t="s">
        <v>1800</v>
      </c>
      <c r="B429" s="131"/>
      <c r="C429" s="131"/>
      <c r="D429" s="131"/>
      <c r="E429" s="132">
        <f>SUMIF(Q428:Q428, 1, F428:F428)</f>
        <v>0</v>
      </c>
      <c r="F429" s="131"/>
    </row>
    <row r="430" spans="1:17" ht="14.25" x14ac:dyDescent="0.2">
      <c r="A430" s="138" t="s">
        <v>1801</v>
      </c>
      <c r="B430" s="139"/>
      <c r="C430" s="139"/>
      <c r="D430" s="139"/>
      <c r="E430" s="139"/>
      <c r="F430" s="139"/>
    </row>
    <row r="431" spans="1:17" ht="14.25" x14ac:dyDescent="0.2">
      <c r="A431" s="96" t="s">
        <v>1145</v>
      </c>
      <c r="B431" s="55" t="s">
        <v>1146</v>
      </c>
      <c r="C431" s="55" t="s">
        <v>1138</v>
      </c>
      <c r="D431" s="56">
        <f>ROUND(SUMIF(RV_DATA!AA507:'RV_DATA'!AA524, 55387674, RV_DATA!I507:'RV_DATA'!I524), 6)</f>
        <v>0.846688</v>
      </c>
      <c r="E431" s="84">
        <f>ROUND(RV_DATA!N508, 6)</f>
        <v>1.07</v>
      </c>
      <c r="F431" s="84">
        <f>ROUND(SUMIF(RV_DATA!AA507:'RV_DATA'!AA524, 55387674, RV_DATA!O507:'RV_DATA'!O524), 6)</f>
        <v>0.85</v>
      </c>
      <c r="Q431">
        <v>2</v>
      </c>
    </row>
    <row r="432" spans="1:17" ht="15" x14ac:dyDescent="0.25">
      <c r="A432" s="131" t="s">
        <v>1802</v>
      </c>
      <c r="B432" s="131"/>
      <c r="C432" s="131"/>
      <c r="D432" s="131"/>
      <c r="E432" s="132">
        <f>SUMIF(Q431:Q431, 2, F431:F431)</f>
        <v>0.85</v>
      </c>
      <c r="F432" s="131"/>
    </row>
    <row r="433" spans="1:17" ht="14.25" x14ac:dyDescent="0.2">
      <c r="A433" s="138" t="s">
        <v>1803</v>
      </c>
      <c r="B433" s="139"/>
      <c r="C433" s="139"/>
      <c r="D433" s="139"/>
      <c r="E433" s="139"/>
      <c r="F433" s="139"/>
    </row>
    <row r="434" spans="1:17" ht="42.75" x14ac:dyDescent="0.2">
      <c r="A434" s="96" t="s">
        <v>933</v>
      </c>
      <c r="B434" s="55" t="s">
        <v>934</v>
      </c>
      <c r="C434" s="55" t="s">
        <v>250</v>
      </c>
      <c r="D434" s="56">
        <f>ROUND(SUMIF(RV_DATA!AA507:'RV_DATA'!AA524, 2058318937, RV_DATA!I507:'RV_DATA'!I524), 6)</f>
        <v>1</v>
      </c>
      <c r="E434" s="84">
        <f>ROUND(RV_DATA!N520, 6)</f>
        <v>135.04589999999999</v>
      </c>
      <c r="F434" s="84">
        <f>ROUND(SUMIF(RV_DATA!AA507:'RV_DATA'!AA524, 2058318937, RV_DATA!O507:'RV_DATA'!O524), 6)</f>
        <v>135.05000000000001</v>
      </c>
      <c r="Q434">
        <v>3</v>
      </c>
    </row>
    <row r="435" spans="1:17" ht="28.5" x14ac:dyDescent="0.2">
      <c r="A435" s="96" t="s">
        <v>937</v>
      </c>
      <c r="B435" s="55" t="s">
        <v>938</v>
      </c>
      <c r="C435" s="55" t="s">
        <v>250</v>
      </c>
      <c r="D435" s="56">
        <f>ROUND(SUMIF(RV_DATA!AA507:'RV_DATA'!AA524, -1948037312, RV_DATA!I507:'RV_DATA'!I524), 6)</f>
        <v>1</v>
      </c>
      <c r="E435" s="84">
        <f>ROUND(RV_DATA!N521, 6)</f>
        <v>78.4405</v>
      </c>
      <c r="F435" s="84">
        <f>ROUND(SUMIF(RV_DATA!AA507:'RV_DATA'!AA524, -1948037312, RV_DATA!O507:'RV_DATA'!O524), 6)</f>
        <v>78.44</v>
      </c>
      <c r="Q435">
        <v>3</v>
      </c>
    </row>
    <row r="436" spans="1:17" ht="57" x14ac:dyDescent="0.2">
      <c r="A436" s="96" t="s">
        <v>913</v>
      </c>
      <c r="B436" s="55" t="s">
        <v>914</v>
      </c>
      <c r="C436" s="55" t="s">
        <v>270</v>
      </c>
      <c r="D436" s="56">
        <f>ROUND(SUMIF(RV_DATA!AA507:'RV_DATA'!AA524, -844296131, RV_DATA!I507:'RV_DATA'!I524), 6)</f>
        <v>2.9940000000000002</v>
      </c>
      <c r="E436" s="84">
        <f>ROUND(RV_DATA!N510, 6)</f>
        <v>130.4485</v>
      </c>
      <c r="F436" s="84">
        <f>ROUND(SUMIF(RV_DATA!AA507:'RV_DATA'!AA524, -844296131, RV_DATA!O507:'RV_DATA'!O524), 6)</f>
        <v>390.56</v>
      </c>
      <c r="Q436">
        <v>3</v>
      </c>
    </row>
    <row r="437" spans="1:17" ht="42.75" x14ac:dyDescent="0.2">
      <c r="A437" s="96" t="s">
        <v>922</v>
      </c>
      <c r="B437" s="55" t="s">
        <v>923</v>
      </c>
      <c r="C437" s="55" t="s">
        <v>270</v>
      </c>
      <c r="D437" s="56">
        <f>ROUND(SUMIF(RV_DATA!AA507:'RV_DATA'!AA524, 1419442241, RV_DATA!I507:'RV_DATA'!I524), 6)</f>
        <v>2.4950000000000001</v>
      </c>
      <c r="E437" s="84">
        <f>ROUND(RV_DATA!N517, 6)</f>
        <v>273.27499999999998</v>
      </c>
      <c r="F437" s="84">
        <f>ROUND(SUMIF(RV_DATA!AA507:'RV_DATA'!AA524, 1419442241, RV_DATA!O507:'RV_DATA'!O524), 6)</f>
        <v>681.82</v>
      </c>
      <c r="Q437">
        <v>3</v>
      </c>
    </row>
    <row r="438" spans="1:17" ht="42.75" x14ac:dyDescent="0.2">
      <c r="A438" s="96" t="s">
        <v>916</v>
      </c>
      <c r="B438" s="55" t="s">
        <v>917</v>
      </c>
      <c r="C438" s="55" t="s">
        <v>250</v>
      </c>
      <c r="D438" s="56">
        <f>ROUND(SUMIF(RV_DATA!AA507:'RV_DATA'!AA524, -547148127, RV_DATA!I507:'RV_DATA'!I524), 6)</f>
        <v>3</v>
      </c>
      <c r="E438" s="84">
        <f>ROUND(RV_DATA!N511, 6)</f>
        <v>0</v>
      </c>
      <c r="F438" s="84">
        <f>ROUND(SUMIF(RV_DATA!AA507:'RV_DATA'!AA524, -547148127, RV_DATA!O507:'RV_DATA'!O524), 6)</f>
        <v>0</v>
      </c>
      <c r="Q438">
        <v>3</v>
      </c>
    </row>
    <row r="439" spans="1:17" ht="42.75" x14ac:dyDescent="0.2">
      <c r="A439" s="96" t="s">
        <v>918</v>
      </c>
      <c r="B439" s="55" t="s">
        <v>919</v>
      </c>
      <c r="C439" s="55" t="s">
        <v>250</v>
      </c>
      <c r="D439" s="56">
        <f>ROUND(SUMIF(RV_DATA!AA507:'RV_DATA'!AA524, -832116742, RV_DATA!I507:'RV_DATA'!I524), 6)</f>
        <v>1</v>
      </c>
      <c r="E439" s="84">
        <f>ROUND(RV_DATA!N512, 6)</f>
        <v>0</v>
      </c>
      <c r="F439" s="84">
        <f>ROUND(SUMIF(RV_DATA!AA507:'RV_DATA'!AA524, -832116742, RV_DATA!O507:'RV_DATA'!O524), 6)</f>
        <v>0</v>
      </c>
      <c r="Q439">
        <v>3</v>
      </c>
    </row>
    <row r="440" spans="1:17" ht="42.75" x14ac:dyDescent="0.2">
      <c r="A440" s="96" t="s">
        <v>925</v>
      </c>
      <c r="B440" s="55" t="s">
        <v>926</v>
      </c>
      <c r="C440" s="55" t="s">
        <v>250</v>
      </c>
      <c r="D440" s="56">
        <f>ROUND(SUMIF(RV_DATA!AA507:'RV_DATA'!AA524, 1123611552, RV_DATA!I507:'RV_DATA'!I524), 6)</f>
        <v>1</v>
      </c>
      <c r="E440" s="84">
        <f>ROUND(RV_DATA!N518, 6)</f>
        <v>181.3903</v>
      </c>
      <c r="F440" s="84">
        <f>ROUND(SUMIF(RV_DATA!AA507:'RV_DATA'!AA524, 1123611552, RV_DATA!O507:'RV_DATA'!O524), 6)</f>
        <v>181.39</v>
      </c>
      <c r="Q440">
        <v>3</v>
      </c>
    </row>
    <row r="441" spans="1:17" ht="42.75" x14ac:dyDescent="0.2">
      <c r="A441" s="96" t="s">
        <v>929</v>
      </c>
      <c r="B441" s="55" t="s">
        <v>930</v>
      </c>
      <c r="C441" s="55" t="s">
        <v>250</v>
      </c>
      <c r="D441" s="56">
        <f>ROUND(SUMIF(RV_DATA!AA507:'RV_DATA'!AA524, 1116767105, RV_DATA!I507:'RV_DATA'!I524), 6)</f>
        <v>2</v>
      </c>
      <c r="E441" s="84">
        <f>ROUND(RV_DATA!N519, 6)</f>
        <v>157.32</v>
      </c>
      <c r="F441" s="84">
        <f>ROUND(SUMIF(RV_DATA!AA507:'RV_DATA'!AA524, 1116767105, RV_DATA!O507:'RV_DATA'!O524), 6)</f>
        <v>314.64</v>
      </c>
      <c r="Q441">
        <v>3</v>
      </c>
    </row>
    <row r="442" spans="1:17" ht="28.5" x14ac:dyDescent="0.2">
      <c r="A442" s="96" t="s">
        <v>944</v>
      </c>
      <c r="B442" s="55" t="s">
        <v>945</v>
      </c>
      <c r="C442" s="55" t="s">
        <v>250</v>
      </c>
      <c r="D442" s="56">
        <f>ROUND(SUMIF(RV_DATA!AA507:'RV_DATA'!AA524, 1278953856, RV_DATA!I507:'RV_DATA'!I524), 6)</f>
        <v>1</v>
      </c>
      <c r="E442" s="84">
        <f>ROUND(RV_DATA!N523, 6)</f>
        <v>14.170500000000001</v>
      </c>
      <c r="F442" s="84">
        <f>ROUND(SUMIF(RV_DATA!AA507:'RV_DATA'!AA524, 1278953856, RV_DATA!O507:'RV_DATA'!O524), 6)</f>
        <v>14.17</v>
      </c>
      <c r="Q442">
        <v>3</v>
      </c>
    </row>
    <row r="443" spans="1:17" ht="14.25" x14ac:dyDescent="0.2">
      <c r="A443" s="96" t="s">
        <v>1136</v>
      </c>
      <c r="B443" s="55" t="s">
        <v>1137</v>
      </c>
      <c r="C443" s="55" t="s">
        <v>1138</v>
      </c>
      <c r="D443" s="56">
        <f>ROUND(SUMIF(RV_DATA!AA507:'RV_DATA'!AA524, 19367311, RV_DATA!I507:'RV_DATA'!I524), 6)</f>
        <v>11.9903</v>
      </c>
      <c r="E443" s="84">
        <f>ROUND(RV_DATA!N507, 6)</f>
        <v>8.65</v>
      </c>
      <c r="F443" s="84">
        <f>ROUND(SUMIF(RV_DATA!AA507:'RV_DATA'!AA524, 19367311, RV_DATA!O507:'RV_DATA'!O524), 6)</f>
        <v>103.72</v>
      </c>
      <c r="Q443">
        <v>3</v>
      </c>
    </row>
    <row r="444" spans="1:17" ht="28.5" x14ac:dyDescent="0.2">
      <c r="A444" s="96" t="s">
        <v>248</v>
      </c>
      <c r="B444" s="55" t="s">
        <v>920</v>
      </c>
      <c r="C444" s="55" t="s">
        <v>250</v>
      </c>
      <c r="D444" s="56">
        <f>ROUND(SUMIF(RV_DATA!AA507:'RV_DATA'!AA524, 586189321, RV_DATA!I507:'RV_DATA'!I524), 6)</f>
        <v>6</v>
      </c>
      <c r="E444" s="84">
        <f>ROUND(RV_DATA!N513, 6)</f>
        <v>31.312999999999999</v>
      </c>
      <c r="F444" s="84">
        <f>ROUND(SUMIF(RV_DATA!AA507:'RV_DATA'!AA524, 586189321, RV_DATA!O507:'RV_DATA'!O524), 6)</f>
        <v>187.88</v>
      </c>
      <c r="Q444">
        <v>3</v>
      </c>
    </row>
    <row r="445" spans="1:17" ht="28.5" x14ac:dyDescent="0.2">
      <c r="A445" s="96" t="s">
        <v>248</v>
      </c>
      <c r="B445" s="55" t="s">
        <v>941</v>
      </c>
      <c r="C445" s="55" t="s">
        <v>250</v>
      </c>
      <c r="D445" s="56">
        <f>ROUND(SUMIF(RV_DATA!AA507:'RV_DATA'!AA524, -198055848, RV_DATA!I507:'RV_DATA'!I524), 6)</f>
        <v>1</v>
      </c>
      <c r="E445" s="84">
        <f>ROUND(RV_DATA!N522, 6)</f>
        <v>145.32</v>
      </c>
      <c r="F445" s="84">
        <f>ROUND(SUMIF(RV_DATA!AA507:'RV_DATA'!AA524, -198055848, RV_DATA!O507:'RV_DATA'!O524), 6)</f>
        <v>145.32</v>
      </c>
      <c r="Q445">
        <v>3</v>
      </c>
    </row>
    <row r="446" spans="1:17" ht="28.5" x14ac:dyDescent="0.2">
      <c r="A446" s="96" t="s">
        <v>248</v>
      </c>
      <c r="B446" s="55" t="s">
        <v>948</v>
      </c>
      <c r="C446" s="55" t="s">
        <v>250</v>
      </c>
      <c r="D446" s="56">
        <f>ROUND(SUMIF(RV_DATA!AA507:'RV_DATA'!AA524, 743910007, RV_DATA!I507:'RV_DATA'!I524), 6)</f>
        <v>8</v>
      </c>
      <c r="E446" s="84">
        <f>ROUND(RV_DATA!N524, 6)</f>
        <v>93.506500000000003</v>
      </c>
      <c r="F446" s="84">
        <f>ROUND(SUMIF(RV_DATA!AA507:'RV_DATA'!AA524, 743910007, RV_DATA!O507:'RV_DATA'!O524), 6)</f>
        <v>748.05</v>
      </c>
      <c r="Q446">
        <v>3</v>
      </c>
    </row>
    <row r="447" spans="1:17" ht="15" x14ac:dyDescent="0.25">
      <c r="A447" s="131" t="s">
        <v>1804</v>
      </c>
      <c r="B447" s="131"/>
      <c r="C447" s="131"/>
      <c r="D447" s="131"/>
      <c r="E447" s="132">
        <f>SUMIF(Q434:Q446, 3, F434:F446)</f>
        <v>2981.04</v>
      </c>
      <c r="F447" s="131"/>
    </row>
    <row r="448" spans="1:17" ht="16.5" x14ac:dyDescent="0.2">
      <c r="A448" s="136" t="str">
        <f>CONCATENATE("Раздел: ",IF(Source!G1188&lt;&gt;"Новый раздел", Source!G1188, ""))</f>
        <v>Раздел: Приборы и оборудование</v>
      </c>
      <c r="B448" s="137"/>
      <c r="C448" s="137"/>
      <c r="D448" s="137"/>
      <c r="E448" s="137"/>
      <c r="F448" s="137"/>
    </row>
    <row r="449" spans="1:17" ht="14.25" x14ac:dyDescent="0.2">
      <c r="A449" s="138" t="s">
        <v>1799</v>
      </c>
      <c r="B449" s="139"/>
      <c r="C449" s="139"/>
      <c r="D449" s="139"/>
      <c r="E449" s="139"/>
      <c r="F449" s="139"/>
    </row>
    <row r="450" spans="1:17" ht="14.25" x14ac:dyDescent="0.2">
      <c r="A450" s="96" t="s">
        <v>1096</v>
      </c>
      <c r="B450" s="55" t="s">
        <v>1097</v>
      </c>
      <c r="C450" s="55" t="s">
        <v>1098</v>
      </c>
      <c r="D450" s="56">
        <f>ROUND(SUMIF(RV_DATA!AA526:'RV_DATA'!AA562, 1499241640, RV_DATA!I526:'RV_DATA'!I562), 6)</f>
        <v>8.9815000000000005</v>
      </c>
      <c r="E450" s="84">
        <f>ROUND(RV_DATA!N536, 6)</f>
        <v>0</v>
      </c>
      <c r="F450" s="84">
        <f>ROUND(SUMIF(RV_DATA!AA526:'RV_DATA'!AA562, 1499241640, RV_DATA!O526:'RV_DATA'!O562), 6)</f>
        <v>0</v>
      </c>
      <c r="Q450">
        <v>1</v>
      </c>
    </row>
    <row r="451" spans="1:17" ht="15" x14ac:dyDescent="0.25">
      <c r="A451" s="131" t="s">
        <v>1800</v>
      </c>
      <c r="B451" s="131"/>
      <c r="C451" s="131"/>
      <c r="D451" s="131"/>
      <c r="E451" s="132">
        <f>SUMIF(Q450:Q450, 1, F450:F450)</f>
        <v>0</v>
      </c>
      <c r="F451" s="131"/>
    </row>
    <row r="452" spans="1:17" ht="14.25" x14ac:dyDescent="0.2">
      <c r="A452" s="138" t="s">
        <v>1801</v>
      </c>
      <c r="B452" s="139"/>
      <c r="C452" s="139"/>
      <c r="D452" s="139"/>
      <c r="E452" s="139"/>
      <c r="F452" s="139"/>
    </row>
    <row r="453" spans="1:17" ht="28.5" x14ac:dyDescent="0.2">
      <c r="A453" s="96" t="s">
        <v>1189</v>
      </c>
      <c r="B453" s="55" t="s">
        <v>1191</v>
      </c>
      <c r="C453" s="55" t="s">
        <v>1102</v>
      </c>
      <c r="D453" s="56">
        <f>ROUND(SUMIF(RV_DATA!AA526:'RV_DATA'!AA562, 1144387144, RV_DATA!I526:'RV_DATA'!I562), 6)</f>
        <v>0.125</v>
      </c>
      <c r="E453" s="84">
        <f>ROUND(RV_DATA!N535, 6)</f>
        <v>935.94</v>
      </c>
      <c r="F453" s="84">
        <f>ROUND(SUMIF(RV_DATA!AA526:'RV_DATA'!AA562, 1144387144, RV_DATA!O526:'RV_DATA'!O562), 6)</f>
        <v>109.78</v>
      </c>
      <c r="Q453">
        <v>2</v>
      </c>
    </row>
    <row r="454" spans="1:17" ht="14.25" x14ac:dyDescent="0.2">
      <c r="A454" s="96" t="s">
        <v>1183</v>
      </c>
      <c r="B454" s="55" t="s">
        <v>1185</v>
      </c>
      <c r="C454" s="55" t="s">
        <v>1102</v>
      </c>
      <c r="D454" s="56">
        <f>ROUND(SUMIF(RV_DATA!AA526:'RV_DATA'!AA562, -1574466616, RV_DATA!I526:'RV_DATA'!I562), 6)</f>
        <v>0.05</v>
      </c>
      <c r="E454" s="84">
        <f>ROUND(RV_DATA!N534, 6)</f>
        <v>2.52</v>
      </c>
      <c r="F454" s="84">
        <f>ROUND(SUMIF(RV_DATA!AA526:'RV_DATA'!AA562, -1574466616, RV_DATA!O526:'RV_DATA'!O562), 6)</f>
        <v>0.13</v>
      </c>
      <c r="Q454">
        <v>2</v>
      </c>
    </row>
    <row r="455" spans="1:17" ht="14.25" x14ac:dyDescent="0.2">
      <c r="A455" s="96" t="s">
        <v>1145</v>
      </c>
      <c r="B455" s="55" t="s">
        <v>1146</v>
      </c>
      <c r="C455" s="55" t="s">
        <v>1138</v>
      </c>
      <c r="D455" s="56">
        <f>ROUND(SUMIF(RV_DATA!AA526:'RV_DATA'!AA562, 55387674, RV_DATA!I526:'RV_DATA'!I562), 6)</f>
        <v>4.6749999999999998</v>
      </c>
      <c r="E455" s="84">
        <f>ROUND(RV_DATA!N533, 6)</f>
        <v>1.07</v>
      </c>
      <c r="F455" s="84">
        <f>ROUND(SUMIF(RV_DATA!AA526:'RV_DATA'!AA562, 55387674, RV_DATA!O526:'RV_DATA'!O562), 6)</f>
        <v>4.68</v>
      </c>
      <c r="Q455">
        <v>2</v>
      </c>
    </row>
    <row r="456" spans="1:17" ht="15" x14ac:dyDescent="0.25">
      <c r="A456" s="131" t="s">
        <v>1802</v>
      </c>
      <c r="B456" s="131"/>
      <c r="C456" s="131"/>
      <c r="D456" s="131"/>
      <c r="E456" s="132">
        <f>SUMIF(Q453:Q455, 2, F453:F455)</f>
        <v>114.59</v>
      </c>
      <c r="F456" s="131"/>
    </row>
    <row r="457" spans="1:17" ht="14.25" x14ac:dyDescent="0.2">
      <c r="A457" s="138" t="s">
        <v>1803</v>
      </c>
      <c r="B457" s="139"/>
      <c r="C457" s="139"/>
      <c r="D457" s="139"/>
      <c r="E457" s="139"/>
      <c r="F457" s="139"/>
    </row>
    <row r="458" spans="1:17" ht="28.5" x14ac:dyDescent="0.2">
      <c r="A458" s="96" t="s">
        <v>1407</v>
      </c>
      <c r="B458" s="55" t="s">
        <v>1409</v>
      </c>
      <c r="C458" s="55" t="s">
        <v>114</v>
      </c>
      <c r="D458" s="56">
        <f>ROUND(SUMIF(RV_DATA!AA526:'RV_DATA'!AA562, 144881478, RV_DATA!I526:'RV_DATA'!I562), 6)</f>
        <v>2.0000000000000001E-4</v>
      </c>
      <c r="E458" s="84">
        <f>ROUND(RV_DATA!N554, 6)</f>
        <v>33096.019999999997</v>
      </c>
      <c r="F458" s="84">
        <f>ROUND(SUMIF(RV_DATA!AA526:'RV_DATA'!AA562, 144881478, RV_DATA!O526:'RV_DATA'!O562), 6)</f>
        <v>6.84</v>
      </c>
      <c r="Q458">
        <v>3</v>
      </c>
    </row>
    <row r="459" spans="1:17" ht="28.5" x14ac:dyDescent="0.2">
      <c r="A459" s="96" t="s">
        <v>1398</v>
      </c>
      <c r="B459" s="55" t="s">
        <v>1400</v>
      </c>
      <c r="C459" s="55" t="s">
        <v>114</v>
      </c>
      <c r="D459" s="56">
        <f>ROUND(SUMIF(RV_DATA!AA526:'RV_DATA'!AA562, 1274293554, RV_DATA!I526:'RV_DATA'!I562), 6)</f>
        <v>1.3999999999999999E-4</v>
      </c>
      <c r="E459" s="84">
        <f>ROUND(RV_DATA!N532, 6)</f>
        <v>104730.07</v>
      </c>
      <c r="F459" s="84">
        <f>ROUND(SUMIF(RV_DATA!AA526:'RV_DATA'!AA562, 1274293554, RV_DATA!O526:'RV_DATA'!O562), 6)</f>
        <v>14.63</v>
      </c>
      <c r="Q459">
        <v>3</v>
      </c>
    </row>
    <row r="460" spans="1:17" ht="14.25" x14ac:dyDescent="0.2">
      <c r="A460" s="96" t="s">
        <v>1228</v>
      </c>
      <c r="B460" s="55" t="s">
        <v>1230</v>
      </c>
      <c r="C460" s="55" t="s">
        <v>114</v>
      </c>
      <c r="D460" s="56">
        <f>ROUND(SUMIF(RV_DATA!AA526:'RV_DATA'!AA562, -796581828, RV_DATA!I526:'RV_DATA'!I562), 6)</f>
        <v>3.0000000000000001E-5</v>
      </c>
      <c r="E460" s="84">
        <f>ROUND(RV_DATA!N553, 6)</f>
        <v>147006.14000000001</v>
      </c>
      <c r="F460" s="84">
        <f>ROUND(SUMIF(RV_DATA!AA526:'RV_DATA'!AA562, -796581828, RV_DATA!O526:'RV_DATA'!O562), 6)</f>
        <v>4.45</v>
      </c>
      <c r="Q460">
        <v>3</v>
      </c>
    </row>
    <row r="461" spans="1:17" ht="14.25" x14ac:dyDescent="0.2">
      <c r="A461" s="96" t="s">
        <v>1401</v>
      </c>
      <c r="B461" s="55" t="s">
        <v>1403</v>
      </c>
      <c r="C461" s="55" t="s">
        <v>250</v>
      </c>
      <c r="D461" s="56">
        <f>ROUND(SUMIF(RV_DATA!AA526:'RV_DATA'!AA562, -417431637, RV_DATA!I526:'RV_DATA'!I562), 6)</f>
        <v>8</v>
      </c>
      <c r="E461" s="84">
        <f>ROUND(RV_DATA!N531, 6)</f>
        <v>0.95</v>
      </c>
      <c r="F461" s="84">
        <f>ROUND(SUMIF(RV_DATA!AA526:'RV_DATA'!AA562, -417431637, RV_DATA!O526:'RV_DATA'!O562), 6)</f>
        <v>7.62</v>
      </c>
      <c r="Q461">
        <v>3</v>
      </c>
    </row>
    <row r="462" spans="1:17" ht="42.75" x14ac:dyDescent="0.2">
      <c r="A462" s="96" t="s">
        <v>1377</v>
      </c>
      <c r="B462" s="55" t="s">
        <v>1379</v>
      </c>
      <c r="C462" s="55" t="s">
        <v>369</v>
      </c>
      <c r="D462" s="56">
        <f>ROUND(SUMIF(RV_DATA!AA526:'RV_DATA'!AA562, 1344664460, RV_DATA!I526:'RV_DATA'!I562), 6)</f>
        <v>0.12</v>
      </c>
      <c r="E462" s="84">
        <f>ROUND(RV_DATA!N530, 6)</f>
        <v>214.7</v>
      </c>
      <c r="F462" s="84">
        <f>ROUND(SUMIF(RV_DATA!AA526:'RV_DATA'!AA562, 1344664460, RV_DATA!O526:'RV_DATA'!O562), 6)</f>
        <v>25.76</v>
      </c>
      <c r="Q462">
        <v>3</v>
      </c>
    </row>
    <row r="463" spans="1:17" ht="14.25" x14ac:dyDescent="0.2">
      <c r="A463" s="96" t="s">
        <v>1404</v>
      </c>
      <c r="B463" s="55" t="s">
        <v>1406</v>
      </c>
      <c r="C463" s="55" t="s">
        <v>114</v>
      </c>
      <c r="D463" s="56">
        <f>ROUND(SUMIF(RV_DATA!AA526:'RV_DATA'!AA562, 1009442714, RV_DATA!I526:'RV_DATA'!I562), 6)</f>
        <v>4.0000000000000002E-4</v>
      </c>
      <c r="E463" s="84">
        <f>ROUND(RV_DATA!N529, 6)</f>
        <v>93986.58</v>
      </c>
      <c r="F463" s="84">
        <f>ROUND(SUMIF(RV_DATA!AA526:'RV_DATA'!AA562, 1009442714, RV_DATA!O526:'RV_DATA'!O562), 6)</f>
        <v>37.54</v>
      </c>
      <c r="Q463">
        <v>3</v>
      </c>
    </row>
    <row r="464" spans="1:17" ht="14.25" x14ac:dyDescent="0.2">
      <c r="A464" s="96" t="s">
        <v>1410</v>
      </c>
      <c r="B464" s="55" t="s">
        <v>1412</v>
      </c>
      <c r="C464" s="55" t="s">
        <v>114</v>
      </c>
      <c r="D464" s="56">
        <f>ROUND(SUMIF(RV_DATA!AA526:'RV_DATA'!AA562, 760424988, RV_DATA!I526:'RV_DATA'!I562), 6)</f>
        <v>6.9999999999999994E-5</v>
      </c>
      <c r="E464" s="84">
        <f>ROUND(RV_DATA!N551, 6)</f>
        <v>180902.31</v>
      </c>
      <c r="F464" s="84">
        <f>ROUND(SUMIF(RV_DATA!AA526:'RV_DATA'!AA562, 760424988, RV_DATA!O526:'RV_DATA'!O562), 6)</f>
        <v>12.64</v>
      </c>
      <c r="Q464">
        <v>3</v>
      </c>
    </row>
    <row r="465" spans="1:17" ht="71.25" x14ac:dyDescent="0.2">
      <c r="A465" s="96" t="s">
        <v>1383</v>
      </c>
      <c r="B465" s="55" t="s">
        <v>1385</v>
      </c>
      <c r="C465" s="55" t="s">
        <v>114</v>
      </c>
      <c r="D465" s="56">
        <f>ROUND(SUMIF(RV_DATA!AA526:'RV_DATA'!AA562, -609916026, RV_DATA!I526:'RV_DATA'!I562), 6)</f>
        <v>9.5E-4</v>
      </c>
      <c r="E465" s="84">
        <f>ROUND(RV_DATA!N528, 6)</f>
        <v>48667.17</v>
      </c>
      <c r="F465" s="84">
        <f>ROUND(SUMIF(RV_DATA!AA526:'RV_DATA'!AA562, -609916026, RV_DATA!O526:'RV_DATA'!O562), 6)</f>
        <v>46.2</v>
      </c>
      <c r="Q465">
        <v>3</v>
      </c>
    </row>
    <row r="466" spans="1:17" ht="28.5" x14ac:dyDescent="0.2">
      <c r="A466" s="96" t="s">
        <v>1231</v>
      </c>
      <c r="B466" s="55" t="s">
        <v>1233</v>
      </c>
      <c r="C466" s="55" t="s">
        <v>114</v>
      </c>
      <c r="D466" s="56">
        <f>ROUND(SUMIF(RV_DATA!AA526:'RV_DATA'!AA562, -1809354639, RV_DATA!I526:'RV_DATA'!I562), 6)</f>
        <v>1.0000000000000001E-5</v>
      </c>
      <c r="E466" s="84">
        <f>ROUND(RV_DATA!N549, 6)</f>
        <v>128713.75</v>
      </c>
      <c r="F466" s="84">
        <f>ROUND(SUMIF(RV_DATA!AA526:'RV_DATA'!AA562, -1809354639, RV_DATA!O526:'RV_DATA'!O562), 6)</f>
        <v>1.3</v>
      </c>
      <c r="Q466">
        <v>3</v>
      </c>
    </row>
    <row r="467" spans="1:17" ht="28.5" x14ac:dyDescent="0.2">
      <c r="A467" s="96" t="s">
        <v>1386</v>
      </c>
      <c r="B467" s="55" t="s">
        <v>1388</v>
      </c>
      <c r="C467" s="55" t="s">
        <v>369</v>
      </c>
      <c r="D467" s="56">
        <f>ROUND(SUMIF(RV_DATA!AA526:'RV_DATA'!AA562, 1036341566, RV_DATA!I526:'RV_DATA'!I562), 6)</f>
        <v>0.1</v>
      </c>
      <c r="E467" s="84">
        <f>ROUND(RV_DATA!N527, 6)</f>
        <v>73.69</v>
      </c>
      <c r="F467" s="84">
        <f>ROUND(SUMIF(RV_DATA!AA526:'RV_DATA'!AA562, 1036341566, RV_DATA!O526:'RV_DATA'!O562), 6)</f>
        <v>7.37</v>
      </c>
      <c r="Q467">
        <v>3</v>
      </c>
    </row>
    <row r="468" spans="1:17" ht="42.75" x14ac:dyDescent="0.2">
      <c r="A468" s="96" t="s">
        <v>1237</v>
      </c>
      <c r="B468" s="55" t="s">
        <v>1239</v>
      </c>
      <c r="C468" s="55" t="s">
        <v>114</v>
      </c>
      <c r="D468" s="56">
        <f>ROUND(SUMIF(RV_DATA!AA526:'RV_DATA'!AA562, 271911067, RV_DATA!I526:'RV_DATA'!I562), 6)</f>
        <v>7.2000000000000005E-4</v>
      </c>
      <c r="E468" s="84">
        <f>ROUND(RV_DATA!N526, 6)</f>
        <v>54553.04</v>
      </c>
      <c r="F468" s="84">
        <f>ROUND(SUMIF(RV_DATA!AA526:'RV_DATA'!AA562, 271911067, RV_DATA!O526:'RV_DATA'!O562), 6)</f>
        <v>39.22</v>
      </c>
      <c r="Q468">
        <v>3</v>
      </c>
    </row>
    <row r="469" spans="1:17" ht="71.25" x14ac:dyDescent="0.2">
      <c r="A469" s="96" t="s">
        <v>993</v>
      </c>
      <c r="B469" s="55" t="s">
        <v>994</v>
      </c>
      <c r="C469" s="55" t="s">
        <v>238</v>
      </c>
      <c r="D469" s="56">
        <f>ROUND(SUMIF(RV_DATA!AA526:'RV_DATA'!AA562, -803878384, RV_DATA!I526:'RV_DATA'!I562), 6)</f>
        <v>1</v>
      </c>
      <c r="E469" s="84">
        <f>ROUND(RV_DATA!N558, 6)</f>
        <v>11801.74</v>
      </c>
      <c r="F469" s="84">
        <f>ROUND(SUMIF(RV_DATA!AA526:'RV_DATA'!AA562, -803878384, RV_DATA!O526:'RV_DATA'!O562), 6)</f>
        <v>11801.74</v>
      </c>
      <c r="Q469">
        <v>3</v>
      </c>
    </row>
    <row r="470" spans="1:17" ht="85.5" x14ac:dyDescent="0.2">
      <c r="A470" s="96" t="s">
        <v>963</v>
      </c>
      <c r="B470" s="55" t="s">
        <v>964</v>
      </c>
      <c r="C470" s="55" t="s">
        <v>250</v>
      </c>
      <c r="D470" s="56">
        <f>ROUND(SUMIF(RV_DATA!AA526:'RV_DATA'!AA562, 1715788903, RV_DATA!I526:'RV_DATA'!I562), 6)</f>
        <v>0</v>
      </c>
      <c r="E470" s="84">
        <f>ROUND(RV_DATA!N539, 6)</f>
        <v>4939.5744000000004</v>
      </c>
      <c r="F470" s="84">
        <f>ROUND(SUMIF(RV_DATA!AA526:'RV_DATA'!AA562, 1715788903, RV_DATA!O526:'RV_DATA'!O562), 6)</f>
        <v>0</v>
      </c>
      <c r="Q470">
        <v>3</v>
      </c>
    </row>
    <row r="471" spans="1:17" ht="71.25" x14ac:dyDescent="0.2">
      <c r="A471" s="96" t="s">
        <v>973</v>
      </c>
      <c r="B471" s="55" t="s">
        <v>974</v>
      </c>
      <c r="C471" s="55" t="s">
        <v>238</v>
      </c>
      <c r="D471" s="56">
        <f>ROUND(SUMIF(RV_DATA!AA526:'RV_DATA'!AA562, 2023011119, RV_DATA!I526:'RV_DATA'!I562), 6)</f>
        <v>0</v>
      </c>
      <c r="E471" s="84">
        <f>ROUND(RV_DATA!N544, 6)</f>
        <v>12158.473599999999</v>
      </c>
      <c r="F471" s="84">
        <f>ROUND(SUMIF(RV_DATA!AA526:'RV_DATA'!AA562, 2023011119, RV_DATA!O526:'RV_DATA'!O562), 6)</f>
        <v>0</v>
      </c>
      <c r="Q471">
        <v>3</v>
      </c>
    </row>
    <row r="472" spans="1:17" ht="42.75" x14ac:dyDescent="0.2">
      <c r="A472" s="96" t="s">
        <v>977</v>
      </c>
      <c r="B472" s="55" t="s">
        <v>978</v>
      </c>
      <c r="C472" s="55" t="s">
        <v>250</v>
      </c>
      <c r="D472" s="56">
        <f>ROUND(SUMIF(RV_DATA!AA526:'RV_DATA'!AA562, 1164058656, RV_DATA!I526:'RV_DATA'!I562), 6)</f>
        <v>0</v>
      </c>
      <c r="E472" s="84">
        <f>ROUND(RV_DATA!N545, 6)</f>
        <v>1522.2041999999999</v>
      </c>
      <c r="F472" s="84">
        <f>ROUND(SUMIF(RV_DATA!AA526:'RV_DATA'!AA562, 1164058656, RV_DATA!O526:'RV_DATA'!O562), 6)</f>
        <v>0</v>
      </c>
      <c r="Q472">
        <v>3</v>
      </c>
    </row>
    <row r="473" spans="1:17" ht="85.5" x14ac:dyDescent="0.2">
      <c r="A473" s="96" t="s">
        <v>985</v>
      </c>
      <c r="B473" s="55" t="s">
        <v>986</v>
      </c>
      <c r="C473" s="55" t="s">
        <v>250</v>
      </c>
      <c r="D473" s="56">
        <f>ROUND(SUMIF(RV_DATA!AA526:'RV_DATA'!AA562, -2016820363, RV_DATA!I526:'RV_DATA'!I562), 6)</f>
        <v>1</v>
      </c>
      <c r="E473" s="84">
        <f>ROUND(RV_DATA!N547, 6)</f>
        <v>1908.55</v>
      </c>
      <c r="F473" s="84">
        <f>ROUND(SUMIF(RV_DATA!AA526:'RV_DATA'!AA562, -2016820363, RV_DATA!O526:'RV_DATA'!O562), 6)</f>
        <v>1908.55</v>
      </c>
      <c r="Q473">
        <v>3</v>
      </c>
    </row>
    <row r="474" spans="1:17" ht="114" x14ac:dyDescent="0.2">
      <c r="A474" s="96" t="s">
        <v>1001</v>
      </c>
      <c r="B474" s="55" t="s">
        <v>1002</v>
      </c>
      <c r="C474" s="55" t="s">
        <v>250</v>
      </c>
      <c r="D474" s="56">
        <f>ROUND(SUMIF(RV_DATA!AA526:'RV_DATA'!AA562, -894081192, RV_DATA!I526:'RV_DATA'!I562), 6)</f>
        <v>0</v>
      </c>
      <c r="E474" s="84">
        <f>ROUND(RV_DATA!N562, 6)</f>
        <v>2966.2379999999998</v>
      </c>
      <c r="F474" s="84">
        <f>ROUND(SUMIF(RV_DATA!AA526:'RV_DATA'!AA562, -894081192, RV_DATA!O526:'RV_DATA'!O562), 6)</f>
        <v>0</v>
      </c>
      <c r="Q474">
        <v>3</v>
      </c>
    </row>
    <row r="475" spans="1:17" ht="28.5" x14ac:dyDescent="0.2">
      <c r="A475" s="96" t="s">
        <v>981</v>
      </c>
      <c r="B475" s="55" t="s">
        <v>982</v>
      </c>
      <c r="C475" s="55" t="s">
        <v>250</v>
      </c>
      <c r="D475" s="56">
        <f>ROUND(SUMIF(RV_DATA!AA526:'RV_DATA'!AA562, -910976461, RV_DATA!I526:'RV_DATA'!I562), 6)</f>
        <v>0</v>
      </c>
      <c r="E475" s="84">
        <f>ROUND(RV_DATA!N546, 6)</f>
        <v>143.46299999999999</v>
      </c>
      <c r="F475" s="84">
        <f>ROUND(SUMIF(RV_DATA!AA526:'RV_DATA'!AA562, -910976461, RV_DATA!O526:'RV_DATA'!O562), 6)</f>
        <v>0</v>
      </c>
      <c r="Q475">
        <v>3</v>
      </c>
    </row>
    <row r="476" spans="1:17" ht="14.25" x14ac:dyDescent="0.2">
      <c r="A476" s="96" t="s">
        <v>1136</v>
      </c>
      <c r="B476" s="55" t="s">
        <v>1137</v>
      </c>
      <c r="C476" s="55" t="s">
        <v>1138</v>
      </c>
      <c r="D476" s="56">
        <f>ROUND(SUMIF(RV_DATA!AA526:'RV_DATA'!AA562, 19367311, RV_DATA!I526:'RV_DATA'!I562), 6)</f>
        <v>12.32</v>
      </c>
      <c r="E476" s="84">
        <f>ROUND(RV_DATA!N540, 6)</f>
        <v>8.65</v>
      </c>
      <c r="F476" s="84">
        <f>ROUND(SUMIF(RV_DATA!AA526:'RV_DATA'!AA562, 19367311, RV_DATA!O526:'RV_DATA'!O562), 6)</f>
        <v>106.57</v>
      </c>
      <c r="Q476">
        <v>3</v>
      </c>
    </row>
    <row r="477" spans="1:17" ht="42.75" x14ac:dyDescent="0.2">
      <c r="A477" s="96" t="s">
        <v>248</v>
      </c>
      <c r="B477" s="55" t="s">
        <v>957</v>
      </c>
      <c r="C477" s="55" t="s">
        <v>250</v>
      </c>
      <c r="D477" s="56">
        <f>ROUND(SUMIF(RV_DATA!AA526:'RV_DATA'!AA562, 145010897, RV_DATA!I526:'RV_DATA'!I562), 6)</f>
        <v>2</v>
      </c>
      <c r="E477" s="84">
        <f>ROUND(RV_DATA!N537, 6)</f>
        <v>7406.0434999999998</v>
      </c>
      <c r="F477" s="84">
        <f>ROUND(SUMIF(RV_DATA!AA526:'RV_DATA'!AA562, 145010897, RV_DATA!O526:'RV_DATA'!O562), 6)</f>
        <v>14812.09</v>
      </c>
      <c r="Q477">
        <v>3</v>
      </c>
    </row>
    <row r="478" spans="1:17" ht="42.75" x14ac:dyDescent="0.2">
      <c r="A478" s="96" t="s">
        <v>248</v>
      </c>
      <c r="B478" s="55" t="s">
        <v>960</v>
      </c>
      <c r="C478" s="55" t="s">
        <v>250</v>
      </c>
      <c r="D478" s="56">
        <f>ROUND(SUMIF(RV_DATA!AA526:'RV_DATA'!AA562, 530349452, RV_DATA!I526:'RV_DATA'!I562), 6)</f>
        <v>2</v>
      </c>
      <c r="E478" s="84">
        <f>ROUND(RV_DATA!N538, 6)</f>
        <v>4679.3040000000001</v>
      </c>
      <c r="F478" s="84">
        <f>ROUND(SUMIF(RV_DATA!AA526:'RV_DATA'!AA562, 530349452, RV_DATA!O526:'RV_DATA'!O562), 6)</f>
        <v>9358.61</v>
      </c>
      <c r="Q478">
        <v>3</v>
      </c>
    </row>
    <row r="479" spans="1:17" ht="42.75" x14ac:dyDescent="0.2">
      <c r="A479" s="96" t="s">
        <v>248</v>
      </c>
      <c r="B479" s="55" t="s">
        <v>969</v>
      </c>
      <c r="C479" s="55" t="s">
        <v>970</v>
      </c>
      <c r="D479" s="56">
        <f>ROUND(SUMIF(RV_DATA!AA526:'RV_DATA'!AA562, -917517650, RV_DATA!I526:'RV_DATA'!I562), 6)</f>
        <v>1</v>
      </c>
      <c r="E479" s="84">
        <f>ROUND(RV_DATA!N543, 6)</f>
        <v>41811.504999999997</v>
      </c>
      <c r="F479" s="84">
        <f>ROUND(SUMIF(RV_DATA!AA526:'RV_DATA'!AA562, -917517650, RV_DATA!O526:'RV_DATA'!O562), 6)</f>
        <v>41811.51</v>
      </c>
      <c r="Q479">
        <v>3</v>
      </c>
    </row>
    <row r="480" spans="1:17" ht="42.75" x14ac:dyDescent="0.2">
      <c r="A480" s="96" t="s">
        <v>248</v>
      </c>
      <c r="B480" s="55" t="s">
        <v>991</v>
      </c>
      <c r="C480" s="55" t="s">
        <v>970</v>
      </c>
      <c r="D480" s="56">
        <f>ROUND(SUMIF(RV_DATA!AA526:'RV_DATA'!AA562, 1263832914, RV_DATA!I526:'RV_DATA'!I562), 6)</f>
        <v>0</v>
      </c>
      <c r="E480" s="84">
        <f>ROUND(RV_DATA!N557, 6)</f>
        <v>9479.1890000000003</v>
      </c>
      <c r="F480" s="84">
        <f>ROUND(SUMIF(RV_DATA!AA526:'RV_DATA'!AA562, 1263832914, RV_DATA!O526:'RV_DATA'!O562), 6)</f>
        <v>0</v>
      </c>
      <c r="Q480">
        <v>3</v>
      </c>
    </row>
    <row r="481" spans="1:17" ht="28.5" x14ac:dyDescent="0.2">
      <c r="A481" s="96" t="s">
        <v>248</v>
      </c>
      <c r="B481" s="55" t="s">
        <v>999</v>
      </c>
      <c r="C481" s="55" t="s">
        <v>250</v>
      </c>
      <c r="D481" s="56">
        <f>ROUND(SUMIF(RV_DATA!AA526:'RV_DATA'!AA562, 629357615, RV_DATA!I526:'RV_DATA'!I562), 6)</f>
        <v>1</v>
      </c>
      <c r="E481" s="84">
        <f>ROUND(RV_DATA!N561, 6)</f>
        <v>10260.1975</v>
      </c>
      <c r="F481" s="84">
        <f>ROUND(SUMIF(RV_DATA!AA526:'RV_DATA'!AA562, 629357615, RV_DATA!O526:'RV_DATA'!O562), 6)</f>
        <v>10260.200000000001</v>
      </c>
      <c r="Q481">
        <v>3</v>
      </c>
    </row>
    <row r="482" spans="1:17" ht="15" x14ac:dyDescent="0.25">
      <c r="A482" s="131" t="s">
        <v>1804</v>
      </c>
      <c r="B482" s="131"/>
      <c r="C482" s="131"/>
      <c r="D482" s="131"/>
      <c r="E482" s="132">
        <f>SUMIF(Q458:Q481, 3, F458:F481)</f>
        <v>90262.84</v>
      </c>
      <c r="F482" s="131"/>
    </row>
    <row r="483" spans="1:17" ht="16.5" x14ac:dyDescent="0.2">
      <c r="A483" s="136" t="str">
        <f>CONCATENATE("Раздел: ",IF(Source!G1255&lt;&gt;"Новый раздел", Source!G1255, ""))</f>
        <v>Раздел: Прочие работы</v>
      </c>
      <c r="B483" s="137"/>
      <c r="C483" s="137"/>
      <c r="D483" s="137"/>
      <c r="E483" s="137"/>
      <c r="F483" s="137"/>
    </row>
    <row r="484" spans="1:17" ht="14.25" x14ac:dyDescent="0.2">
      <c r="A484" s="138" t="s">
        <v>1801</v>
      </c>
      <c r="B484" s="139"/>
      <c r="C484" s="139"/>
      <c r="D484" s="139"/>
      <c r="E484" s="139"/>
      <c r="F484" s="139"/>
    </row>
    <row r="485" spans="1:17" ht="42.75" x14ac:dyDescent="0.2">
      <c r="A485" s="96" t="s">
        <v>1291</v>
      </c>
      <c r="B485" s="55" t="s">
        <v>1293</v>
      </c>
      <c r="C485" s="55" t="s">
        <v>1102</v>
      </c>
      <c r="D485" s="56">
        <f>ROUND(SUMIF(RV_DATA!AA564:'RV_DATA'!AA566, 737556631, RV_DATA!I564:'RV_DATA'!I566), 6)</f>
        <v>4.8899999999999999E-2</v>
      </c>
      <c r="E485" s="84">
        <f>ROUND(RV_DATA!N565, 6)</f>
        <v>1279.2</v>
      </c>
      <c r="F485" s="84">
        <f>ROUND(SUMIF(RV_DATA!AA564:'RV_DATA'!AA566, 737556631, RV_DATA!O564:'RV_DATA'!O566), 6)</f>
        <v>62.55</v>
      </c>
      <c r="Q485">
        <v>2</v>
      </c>
    </row>
    <row r="486" spans="1:17" ht="14.25" x14ac:dyDescent="0.2">
      <c r="A486" s="96" t="s">
        <v>1145</v>
      </c>
      <c r="B486" s="55" t="s">
        <v>1146</v>
      </c>
      <c r="C486" s="55" t="s">
        <v>1138</v>
      </c>
      <c r="D486" s="56">
        <f>ROUND(SUMIF(RV_DATA!AA564:'RV_DATA'!AA566, -314357962, RV_DATA!I564:'RV_DATA'!I566), 6)</f>
        <v>0.43325399999999997</v>
      </c>
      <c r="E486" s="84">
        <f>ROUND(RV_DATA!N564, 6)</f>
        <v>1.05</v>
      </c>
      <c r="F486" s="84">
        <f>ROUND(SUMIF(RV_DATA!AA564:'RV_DATA'!AA566, -314357962, RV_DATA!O564:'RV_DATA'!O566), 6)</f>
        <v>0.43</v>
      </c>
      <c r="Q486">
        <v>2</v>
      </c>
    </row>
    <row r="487" spans="1:17" ht="14.25" x14ac:dyDescent="0.2">
      <c r="A487" s="96" t="s">
        <v>1145</v>
      </c>
      <c r="B487" s="55" t="s">
        <v>1146</v>
      </c>
      <c r="C487" s="55" t="s">
        <v>1138</v>
      </c>
      <c r="D487" s="56">
        <f>ROUND(SUMIF(RV_DATA!AA564:'RV_DATA'!AA566, -595858232, RV_DATA!I564:'RV_DATA'!I566), 6)</f>
        <v>1.5486629999999999</v>
      </c>
      <c r="E487" s="84">
        <f>ROUND(RV_DATA!N566, 6)</f>
        <v>1</v>
      </c>
      <c r="F487" s="84">
        <f>ROUND(SUMIF(RV_DATA!AA564:'RV_DATA'!AA566, -595858232, RV_DATA!O564:'RV_DATA'!O566), 6)</f>
        <v>1.55</v>
      </c>
      <c r="Q487">
        <v>2</v>
      </c>
    </row>
    <row r="488" spans="1:17" ht="15" x14ac:dyDescent="0.25">
      <c r="A488" s="131" t="s">
        <v>1802</v>
      </c>
      <c r="B488" s="131"/>
      <c r="C488" s="131"/>
      <c r="D488" s="131"/>
      <c r="E488" s="132">
        <f>SUMIF(Q485:Q487, 2, F485:F487)</f>
        <v>64.53</v>
      </c>
      <c r="F488" s="131"/>
    </row>
    <row r="490" spans="1:17" ht="16.5" x14ac:dyDescent="0.2">
      <c r="A490" s="133" t="str">
        <f>CONCATENATE("Итого по локальной смете:",IF(Source!G1294&lt;&gt;"Новая локальная смета", Source!G1294, ""))</f>
        <v>Итого по локальной смете:Система водоснабжения и водоотведения</v>
      </c>
      <c r="B490" s="134"/>
      <c r="C490" s="134"/>
      <c r="D490" s="134"/>
      <c r="E490" s="134"/>
      <c r="F490" s="135"/>
    </row>
    <row r="491" spans="1:17" ht="14.25" hidden="1" customHeight="1" x14ac:dyDescent="0.25">
      <c r="A491" s="131" t="s">
        <v>1800</v>
      </c>
      <c r="B491" s="131"/>
      <c r="C491" s="131"/>
      <c r="D491" s="131"/>
      <c r="E491" s="132">
        <f>SUMIF(Q351:Q490, 1, F351:F490)</f>
        <v>0</v>
      </c>
      <c r="F491" s="131"/>
    </row>
    <row r="492" spans="1:17" ht="15" x14ac:dyDescent="0.25">
      <c r="A492" s="131" t="s">
        <v>1802</v>
      </c>
      <c r="B492" s="131"/>
      <c r="C492" s="131"/>
      <c r="D492" s="131"/>
      <c r="E492" s="132">
        <f>SUMIF(Q351:Q491, 2, F351:F491)</f>
        <v>471.88</v>
      </c>
      <c r="F492" s="131"/>
    </row>
    <row r="493" spans="1:17" ht="15" x14ac:dyDescent="0.25">
      <c r="A493" s="131" t="s">
        <v>1804</v>
      </c>
      <c r="B493" s="131"/>
      <c r="C493" s="131"/>
      <c r="D493" s="131"/>
      <c r="E493" s="132">
        <f>SUMIF(Q351:Q492, 3, F351:F492)</f>
        <v>111365.95</v>
      </c>
      <c r="F493" s="131"/>
    </row>
    <row r="494" spans="1:17" ht="14.25" hidden="1" customHeight="1" x14ac:dyDescent="0.25">
      <c r="A494" s="131" t="s">
        <v>1805</v>
      </c>
      <c r="B494" s="131"/>
      <c r="C494" s="131"/>
      <c r="D494" s="131"/>
      <c r="E494" s="132">
        <f>SUMIF(Q351:Q493, 4, F351:F493)</f>
        <v>0</v>
      </c>
      <c r="F494" s="131"/>
    </row>
    <row r="495" spans="1:17" ht="14.25" hidden="1" customHeight="1" x14ac:dyDescent="0.25">
      <c r="A495" s="131" t="s">
        <v>1806</v>
      </c>
      <c r="B495" s="131"/>
      <c r="C495" s="131"/>
      <c r="D495" s="131"/>
      <c r="E495" s="132">
        <f>SUMIF(Q351:Q494, 5, F351:F494)</f>
        <v>0</v>
      </c>
      <c r="F495" s="131"/>
    </row>
    <row r="497" spans="1:17" ht="16.5" x14ac:dyDescent="0.2">
      <c r="A497" s="136" t="str">
        <f>CONCATENATE("Локальная смета: ",IF(Source!G1326&lt;&gt;"Новая локальная смета", Source!G1326, ""))</f>
        <v>Локальная смета: Мероприятия по обеспечению доступа инвалидов</v>
      </c>
      <c r="B497" s="137"/>
      <c r="C497" s="137"/>
      <c r="D497" s="137"/>
      <c r="E497" s="137"/>
      <c r="F497" s="137"/>
    </row>
    <row r="498" spans="1:17" ht="16.5" x14ac:dyDescent="0.2">
      <c r="A498" s="136" t="str">
        <f>CONCATENATE("Раздел: ",IF(Source!G1330&lt;&gt;"Новый раздел", Source!G1330, ""))</f>
        <v>Раздел: Монтажные работы</v>
      </c>
      <c r="B498" s="137"/>
      <c r="C498" s="137"/>
      <c r="D498" s="137"/>
      <c r="E498" s="137"/>
      <c r="F498" s="137"/>
    </row>
    <row r="499" spans="1:17" ht="14.25" x14ac:dyDescent="0.2">
      <c r="A499" s="138" t="s">
        <v>1799</v>
      </c>
      <c r="B499" s="139"/>
      <c r="C499" s="139"/>
      <c r="D499" s="139"/>
      <c r="E499" s="139"/>
      <c r="F499" s="139"/>
    </row>
    <row r="500" spans="1:17" ht="14.25" x14ac:dyDescent="0.2">
      <c r="A500" s="96" t="s">
        <v>1096</v>
      </c>
      <c r="B500" s="55" t="s">
        <v>1097</v>
      </c>
      <c r="C500" s="55" t="s">
        <v>1098</v>
      </c>
      <c r="D500" s="56">
        <f>ROUND(SUMIF(RV_DATA!AA569:'RV_DATA'!AA587, 1499241640, RV_DATA!I569:'RV_DATA'!I587), 6)</f>
        <v>197.07243700000001</v>
      </c>
      <c r="E500" s="84">
        <f>ROUND(RV_DATA!N571, 6)</f>
        <v>0</v>
      </c>
      <c r="F500" s="84">
        <f>ROUND(SUMIF(RV_DATA!AA569:'RV_DATA'!AA587, 1499241640, RV_DATA!O569:'RV_DATA'!O587), 6)</f>
        <v>0</v>
      </c>
      <c r="Q500">
        <v>1</v>
      </c>
    </row>
    <row r="501" spans="1:17" ht="15" x14ac:dyDescent="0.25">
      <c r="A501" s="131" t="s">
        <v>1800</v>
      </c>
      <c r="B501" s="131"/>
      <c r="C501" s="131"/>
      <c r="D501" s="131"/>
      <c r="E501" s="132">
        <f>SUMIF(Q500:Q500, 1, F500:F500)</f>
        <v>0</v>
      </c>
      <c r="F501" s="131"/>
    </row>
    <row r="502" spans="1:17" ht="14.25" x14ac:dyDescent="0.2">
      <c r="A502" s="138" t="s">
        <v>1801</v>
      </c>
      <c r="B502" s="139"/>
      <c r="C502" s="139"/>
      <c r="D502" s="139"/>
      <c r="E502" s="139"/>
      <c r="F502" s="139"/>
    </row>
    <row r="503" spans="1:17" ht="28.5" x14ac:dyDescent="0.2">
      <c r="A503" s="96" t="s">
        <v>1413</v>
      </c>
      <c r="B503" s="55" t="s">
        <v>1415</v>
      </c>
      <c r="C503" s="55" t="s">
        <v>1102</v>
      </c>
      <c r="D503" s="56">
        <f>ROUND(SUMIF(RV_DATA!AA569:'RV_DATA'!AA587, 2087294194, RV_DATA!I569:'RV_DATA'!I587), 6)</f>
        <v>0.98124999999999996</v>
      </c>
      <c r="E503" s="84">
        <f>ROUND(RV_DATA!N576, 6)</f>
        <v>585.30999999999995</v>
      </c>
      <c r="F503" s="84">
        <f>ROUND(SUMIF(RV_DATA!AA569:'RV_DATA'!AA587, 2087294194, RV_DATA!O569:'RV_DATA'!O587), 6)</f>
        <v>574.34</v>
      </c>
      <c r="Q503">
        <v>2</v>
      </c>
    </row>
    <row r="504" spans="1:17" ht="28.5" x14ac:dyDescent="0.2">
      <c r="A504" s="96" t="s">
        <v>1189</v>
      </c>
      <c r="B504" s="55" t="s">
        <v>1191</v>
      </c>
      <c r="C504" s="55" t="s">
        <v>1102</v>
      </c>
      <c r="D504" s="56">
        <f>ROUND(SUMIF(RV_DATA!AA569:'RV_DATA'!AA587, -2127523820, RV_DATA!I569:'RV_DATA'!I587), 6)</f>
        <v>1.37375</v>
      </c>
      <c r="E504" s="84">
        <f>ROUND(RV_DATA!N575, 6)</f>
        <v>877.17</v>
      </c>
      <c r="F504" s="84">
        <f>ROUND(SUMIF(RV_DATA!AA569:'RV_DATA'!AA587, -2127523820, RV_DATA!O569:'RV_DATA'!O587), 6)</f>
        <v>1205.75</v>
      </c>
      <c r="Q504">
        <v>2</v>
      </c>
    </row>
    <row r="505" spans="1:17" ht="14.25" x14ac:dyDescent="0.2">
      <c r="A505" s="96" t="s">
        <v>1145</v>
      </c>
      <c r="B505" s="55" t="s">
        <v>1146</v>
      </c>
      <c r="C505" s="55" t="s">
        <v>1138</v>
      </c>
      <c r="D505" s="56">
        <f>ROUND(SUMIF(RV_DATA!AA569:'RV_DATA'!AA587, -314357962, RV_DATA!I569:'RV_DATA'!I587), 6)</f>
        <v>7.2023000000000004E-2</v>
      </c>
      <c r="E505" s="84">
        <f>ROUND(RV_DATA!N570, 6)</f>
        <v>1.05</v>
      </c>
      <c r="F505" s="84">
        <f>ROUND(SUMIF(RV_DATA!AA569:'RV_DATA'!AA587, -314357962, RV_DATA!O569:'RV_DATA'!O587), 6)</f>
        <v>7.0000000000000007E-2</v>
      </c>
      <c r="Q505">
        <v>2</v>
      </c>
    </row>
    <row r="506" spans="1:17" ht="15" x14ac:dyDescent="0.25">
      <c r="A506" s="131" t="s">
        <v>1802</v>
      </c>
      <c r="B506" s="131"/>
      <c r="C506" s="131"/>
      <c r="D506" s="131"/>
      <c r="E506" s="132">
        <f>SUMIF(Q503:Q505, 2, F503:F505)</f>
        <v>1780.16</v>
      </c>
      <c r="F506" s="131"/>
    </row>
    <row r="507" spans="1:17" ht="14.25" x14ac:dyDescent="0.2">
      <c r="A507" s="138" t="s">
        <v>1803</v>
      </c>
      <c r="B507" s="139"/>
      <c r="C507" s="139"/>
      <c r="D507" s="139"/>
      <c r="E507" s="139"/>
      <c r="F507" s="139"/>
    </row>
    <row r="508" spans="1:17" ht="14.25" x14ac:dyDescent="0.2">
      <c r="A508" s="96" t="s">
        <v>348</v>
      </c>
      <c r="B508" s="55" t="s">
        <v>349</v>
      </c>
      <c r="C508" s="55" t="s">
        <v>94</v>
      </c>
      <c r="D508" s="56">
        <f>ROUND(SUMIF(RV_DATA!AA569:'RV_DATA'!AA587, -1279710304, RV_DATA!I569:'RV_DATA'!I587), 6)</f>
        <v>0.39250000000000002</v>
      </c>
      <c r="E508" s="84">
        <f>ROUND(RV_DATA!N574, 6)</f>
        <v>42.42</v>
      </c>
      <c r="F508" s="84">
        <f>ROUND(SUMIF(RV_DATA!AA569:'RV_DATA'!AA587, -1279710304, RV_DATA!O569:'RV_DATA'!O587), 6)</f>
        <v>16.96</v>
      </c>
      <c r="Q508">
        <v>3</v>
      </c>
    </row>
    <row r="509" spans="1:17" ht="28.5" x14ac:dyDescent="0.2">
      <c r="A509" s="96" t="s">
        <v>1344</v>
      </c>
      <c r="B509" s="55" t="s">
        <v>1346</v>
      </c>
      <c r="C509" s="55" t="s">
        <v>114</v>
      </c>
      <c r="D509" s="56">
        <f>ROUND(SUMIF(RV_DATA!AA569:'RV_DATA'!AA587, 1130690276, RV_DATA!I569:'RV_DATA'!I587), 6)</f>
        <v>1.7000000000000001E-4</v>
      </c>
      <c r="E509" s="84">
        <f>ROUND(RV_DATA!N582, 6)</f>
        <v>199927.18</v>
      </c>
      <c r="F509" s="84">
        <f>ROUND(SUMIF(RV_DATA!AA569:'RV_DATA'!AA587, 1130690276, RV_DATA!O569:'RV_DATA'!O587), 6)</f>
        <v>34.51</v>
      </c>
      <c r="Q509">
        <v>3</v>
      </c>
    </row>
    <row r="510" spans="1:17" ht="28.5" x14ac:dyDescent="0.2">
      <c r="A510" s="96" t="s">
        <v>1011</v>
      </c>
      <c r="B510" s="55" t="s">
        <v>1012</v>
      </c>
      <c r="C510" s="55" t="s">
        <v>114</v>
      </c>
      <c r="D510" s="56">
        <f>ROUND(SUMIF(RV_DATA!AA569:'RV_DATA'!AA587, -2140334103, RV_DATA!I569:'RV_DATA'!I587), 6)</f>
        <v>4.1999999999999998E-5</v>
      </c>
      <c r="E510" s="84">
        <f>ROUND(RV_DATA!N572, 6)</f>
        <v>64990.154999999999</v>
      </c>
      <c r="F510" s="84">
        <f>ROUND(SUMIF(RV_DATA!AA569:'RV_DATA'!AA587, -2140334103, RV_DATA!O569:'RV_DATA'!O587), 6)</f>
        <v>2.73</v>
      </c>
      <c r="Q510">
        <v>3</v>
      </c>
    </row>
    <row r="511" spans="1:17" ht="57" x14ac:dyDescent="0.2">
      <c r="A511" s="96" t="s">
        <v>1022</v>
      </c>
      <c r="B511" s="55" t="s">
        <v>1023</v>
      </c>
      <c r="C511" s="55" t="s">
        <v>114</v>
      </c>
      <c r="D511" s="56">
        <f>ROUND(SUMIF(RV_DATA!AA569:'RV_DATA'!AA587, -1891683617, RV_DATA!I569:'RV_DATA'!I587), 6)</f>
        <v>2.2529499999999998</v>
      </c>
      <c r="E511" s="84">
        <f>ROUND(RV_DATA!N578, 6)</f>
        <v>6961.3155999999999</v>
      </c>
      <c r="F511" s="84">
        <f>ROUND(SUMIF(RV_DATA!AA569:'RV_DATA'!AA587, -1891683617, RV_DATA!O569:'RV_DATA'!O587), 6)</f>
        <v>15683.5</v>
      </c>
      <c r="Q511">
        <v>3</v>
      </c>
    </row>
    <row r="512" spans="1:17" ht="42.75" x14ac:dyDescent="0.2">
      <c r="A512" s="96" t="s">
        <v>1029</v>
      </c>
      <c r="B512" s="55" t="s">
        <v>1026</v>
      </c>
      <c r="C512" s="55" t="s">
        <v>258</v>
      </c>
      <c r="D512" s="56">
        <f>ROUND(SUMIF(RV_DATA!AA569:'RV_DATA'!AA587, -1025892420, RV_DATA!I569:'RV_DATA'!I587), 6)</f>
        <v>0</v>
      </c>
      <c r="E512" s="84">
        <f>ROUND(RV_DATA!N580, 6)</f>
        <v>2891.4222</v>
      </c>
      <c r="F512" s="84">
        <f>ROUND(SUMIF(RV_DATA!AA569:'RV_DATA'!AA587, -1025892420, RV_DATA!O569:'RV_DATA'!O587), 6)</f>
        <v>0</v>
      </c>
      <c r="Q512">
        <v>3</v>
      </c>
    </row>
    <row r="513" spans="1:17" ht="14.25" x14ac:dyDescent="0.2">
      <c r="A513" s="96" t="s">
        <v>1136</v>
      </c>
      <c r="B513" s="55" t="s">
        <v>1137</v>
      </c>
      <c r="C513" s="55" t="s">
        <v>1138</v>
      </c>
      <c r="D513" s="56">
        <f>ROUND(SUMIF(RV_DATA!AA569:'RV_DATA'!AA587, 19367311, RV_DATA!I569:'RV_DATA'!I587), 6)</f>
        <v>2.8008820000000001</v>
      </c>
      <c r="E513" s="84">
        <f>ROUND(RV_DATA!N569, 6)</f>
        <v>8.65</v>
      </c>
      <c r="F513" s="84">
        <f>ROUND(SUMIF(RV_DATA!AA569:'RV_DATA'!AA587, 19367311, RV_DATA!O569:'RV_DATA'!O587), 6)</f>
        <v>24.23</v>
      </c>
      <c r="Q513">
        <v>3</v>
      </c>
    </row>
    <row r="514" spans="1:17" ht="28.5" x14ac:dyDescent="0.2">
      <c r="A514" s="96" t="s">
        <v>248</v>
      </c>
      <c r="B514" s="55" t="s">
        <v>1015</v>
      </c>
      <c r="C514" s="55" t="s">
        <v>270</v>
      </c>
      <c r="D514" s="56">
        <f>ROUND(SUMIF(RV_DATA!AA569:'RV_DATA'!AA587, 1582404516, RV_DATA!I569:'RV_DATA'!I587), 6)</f>
        <v>3.6</v>
      </c>
      <c r="E514" s="84">
        <f>ROUND(RV_DATA!N573, 6)</f>
        <v>84.942999999999998</v>
      </c>
      <c r="F514" s="84">
        <f>ROUND(SUMIF(RV_DATA!AA569:'RV_DATA'!AA587, 1582404516, RV_DATA!O569:'RV_DATA'!O587), 6)</f>
        <v>305.79000000000002</v>
      </c>
      <c r="Q514">
        <v>3</v>
      </c>
    </row>
    <row r="515" spans="1:17" ht="42.75" x14ac:dyDescent="0.2">
      <c r="A515" s="96" t="s">
        <v>248</v>
      </c>
      <c r="B515" s="55" t="s">
        <v>1026</v>
      </c>
      <c r="C515" s="55" t="s">
        <v>250</v>
      </c>
      <c r="D515" s="56">
        <f>ROUND(SUMIF(RV_DATA!AA569:'RV_DATA'!AA587, 1876252872, RV_DATA!I569:'RV_DATA'!I587), 6)</f>
        <v>157</v>
      </c>
      <c r="E515" s="84">
        <f>ROUND(RV_DATA!N579, 6)</f>
        <v>467.53250000000003</v>
      </c>
      <c r="F515" s="84">
        <f>ROUND(SUMIF(RV_DATA!AA569:'RV_DATA'!AA587, 1876252872, RV_DATA!O569:'RV_DATA'!O587), 6)</f>
        <v>73402.600000000006</v>
      </c>
      <c r="Q515">
        <v>3</v>
      </c>
    </row>
    <row r="516" spans="1:17" ht="14.25" x14ac:dyDescent="0.2">
      <c r="A516" s="96" t="s">
        <v>248</v>
      </c>
      <c r="B516" s="55" t="s">
        <v>1037</v>
      </c>
      <c r="C516" s="55" t="s">
        <v>250</v>
      </c>
      <c r="D516" s="56">
        <f>ROUND(SUMIF(RV_DATA!AA569:'RV_DATA'!AA587, 184150818, RV_DATA!I569:'RV_DATA'!I587), 6)</f>
        <v>14</v>
      </c>
      <c r="E516" s="84">
        <f>ROUND(RV_DATA!N584, 6)</f>
        <v>255.00200000000001</v>
      </c>
      <c r="F516" s="84">
        <f>ROUND(SUMIF(RV_DATA!AA569:'RV_DATA'!AA587, 184150818, RV_DATA!O569:'RV_DATA'!O587), 6)</f>
        <v>3570.03</v>
      </c>
      <c r="Q516">
        <v>3</v>
      </c>
    </row>
    <row r="517" spans="1:17" ht="14.25" x14ac:dyDescent="0.2">
      <c r="A517" s="96" t="s">
        <v>248</v>
      </c>
      <c r="B517" s="55" t="s">
        <v>1039</v>
      </c>
      <c r="C517" s="55" t="s">
        <v>250</v>
      </c>
      <c r="D517" s="56">
        <f>ROUND(SUMIF(RV_DATA!AA569:'RV_DATA'!AA587, 404046764, RV_DATA!I569:'RV_DATA'!I587), 6)</f>
        <v>3</v>
      </c>
      <c r="E517" s="84">
        <f>ROUND(RV_DATA!N585, 6)</f>
        <v>416.4975</v>
      </c>
      <c r="F517" s="84">
        <f>ROUND(SUMIF(RV_DATA!AA569:'RV_DATA'!AA587, 404046764, RV_DATA!O569:'RV_DATA'!O587), 6)</f>
        <v>1249.49</v>
      </c>
      <c r="Q517">
        <v>3</v>
      </c>
    </row>
    <row r="518" spans="1:17" ht="15" x14ac:dyDescent="0.25">
      <c r="A518" s="131" t="s">
        <v>1804</v>
      </c>
      <c r="B518" s="131"/>
      <c r="C518" s="131"/>
      <c r="D518" s="131"/>
      <c r="E518" s="132">
        <f>SUMIF(Q508:Q517, 3, F508:F517)</f>
        <v>94289.840000000011</v>
      </c>
      <c r="F518" s="131"/>
    </row>
    <row r="519" spans="1:17" ht="16.5" x14ac:dyDescent="0.2">
      <c r="A519" s="136" t="str">
        <f>CONCATENATE("Раздел: ",IF(Source!G1389&lt;&gt;"Новый раздел", Source!G1389, ""))</f>
        <v>Раздел: Оборудование</v>
      </c>
      <c r="B519" s="137"/>
      <c r="C519" s="137"/>
      <c r="D519" s="137"/>
      <c r="E519" s="137"/>
      <c r="F519" s="137"/>
    </row>
    <row r="520" spans="1:17" ht="14.25" x14ac:dyDescent="0.2">
      <c r="A520" s="138" t="s">
        <v>1803</v>
      </c>
      <c r="B520" s="139"/>
      <c r="C520" s="139"/>
      <c r="D520" s="139"/>
      <c r="E520" s="139"/>
      <c r="F520" s="139"/>
    </row>
    <row r="521" spans="1:17" ht="14.25" x14ac:dyDescent="0.2">
      <c r="A521" s="96" t="s">
        <v>248</v>
      </c>
      <c r="B521" s="55" t="s">
        <v>1066</v>
      </c>
      <c r="C521" s="55" t="s">
        <v>250</v>
      </c>
      <c r="D521" s="56">
        <f>ROUND(SUMIF(RV_DATA!AA589:'RV_DATA'!AA595, 1696725148, RV_DATA!I589:'RV_DATA'!I595), 6)</f>
        <v>4</v>
      </c>
      <c r="E521" s="84">
        <f>ROUND(RV_DATA!N591, 6)</f>
        <v>16914.988499999999</v>
      </c>
      <c r="F521" s="84">
        <f>ROUND(SUMIF(RV_DATA!AA589:'RV_DATA'!AA595, 1696725148, RV_DATA!O589:'RV_DATA'!O595), 6)</f>
        <v>67659.95</v>
      </c>
      <c r="Q521">
        <v>3</v>
      </c>
    </row>
    <row r="522" spans="1:17" ht="14.25" x14ac:dyDescent="0.2">
      <c r="A522" s="96" t="s">
        <v>248</v>
      </c>
      <c r="B522" s="55" t="s">
        <v>1068</v>
      </c>
      <c r="C522" s="55" t="s">
        <v>250</v>
      </c>
      <c r="D522" s="56">
        <f>ROUND(SUMIF(RV_DATA!AA589:'RV_DATA'!AA595, 833579440, RV_DATA!I589:'RV_DATA'!I595), 6)</f>
        <v>2</v>
      </c>
      <c r="E522" s="84">
        <f>ROUND(RV_DATA!N592, 6)</f>
        <v>10495.8235</v>
      </c>
      <c r="F522" s="84">
        <f>ROUND(SUMIF(RV_DATA!AA589:'RV_DATA'!AA595, 833579440, RV_DATA!O589:'RV_DATA'!O595), 6)</f>
        <v>20991.65</v>
      </c>
      <c r="Q522">
        <v>3</v>
      </c>
    </row>
    <row r="523" spans="1:17" ht="14.25" x14ac:dyDescent="0.2">
      <c r="A523" s="96" t="s">
        <v>248</v>
      </c>
      <c r="B523" s="55" t="s">
        <v>1070</v>
      </c>
      <c r="C523" s="55" t="s">
        <v>250</v>
      </c>
      <c r="D523" s="56">
        <f>ROUND(SUMIF(RV_DATA!AA589:'RV_DATA'!AA595, -1252541946, RV_DATA!I589:'RV_DATA'!I595), 6)</f>
        <v>1</v>
      </c>
      <c r="E523" s="84">
        <f>ROUND(RV_DATA!N593, 6)</f>
        <v>3070.2310000000002</v>
      </c>
      <c r="F523" s="84">
        <f>ROUND(SUMIF(RV_DATA!AA589:'RV_DATA'!AA595, -1252541946, RV_DATA!O589:'RV_DATA'!O595), 6)</f>
        <v>3070.23</v>
      </c>
      <c r="Q523">
        <v>3</v>
      </c>
    </row>
    <row r="524" spans="1:17" ht="42.75" x14ac:dyDescent="0.2">
      <c r="A524" s="96" t="s">
        <v>248</v>
      </c>
      <c r="B524" s="55" t="s">
        <v>1072</v>
      </c>
      <c r="C524" s="55" t="s">
        <v>250</v>
      </c>
      <c r="D524" s="56">
        <f>ROUND(SUMIF(RV_DATA!AA589:'RV_DATA'!AA595, -440712546, RV_DATA!I589:'RV_DATA'!I595), 6)</f>
        <v>1</v>
      </c>
      <c r="E524" s="84">
        <f>ROUND(RV_DATA!N594, 6)</f>
        <v>5202.0235000000002</v>
      </c>
      <c r="F524" s="84">
        <f>ROUND(SUMIF(RV_DATA!AA589:'RV_DATA'!AA595, -440712546, RV_DATA!O589:'RV_DATA'!O595), 6)</f>
        <v>5202.0200000000004</v>
      </c>
      <c r="Q524">
        <v>3</v>
      </c>
    </row>
    <row r="525" spans="1:17" ht="14.25" x14ac:dyDescent="0.2">
      <c r="A525" s="96" t="s">
        <v>248</v>
      </c>
      <c r="B525" s="55" t="s">
        <v>1074</v>
      </c>
      <c r="C525" s="55" t="s">
        <v>250</v>
      </c>
      <c r="D525" s="56">
        <f>ROUND(SUMIF(RV_DATA!AA589:'RV_DATA'!AA595, -887668869, RV_DATA!I589:'RV_DATA'!I595), 6)</f>
        <v>1</v>
      </c>
      <c r="E525" s="84">
        <f>ROUND(RV_DATA!N595, 6)</f>
        <v>7386.4944999999998</v>
      </c>
      <c r="F525" s="84">
        <f>ROUND(SUMIF(RV_DATA!AA589:'RV_DATA'!AA595, -887668869, RV_DATA!O589:'RV_DATA'!O595), 6)</f>
        <v>7386.49</v>
      </c>
      <c r="Q525">
        <v>3</v>
      </c>
    </row>
    <row r="526" spans="1:17" ht="15" x14ac:dyDescent="0.25">
      <c r="A526" s="131" t="s">
        <v>1804</v>
      </c>
      <c r="B526" s="131"/>
      <c r="C526" s="131"/>
      <c r="D526" s="131"/>
      <c r="E526" s="132">
        <f>SUMIF(Q521:Q525, 3, F521:F525)</f>
        <v>104310.34000000001</v>
      </c>
      <c r="F526" s="131"/>
    </row>
    <row r="527" spans="1:17" ht="14.25" x14ac:dyDescent="0.2">
      <c r="A527" s="138" t="s">
        <v>1807</v>
      </c>
      <c r="B527" s="139"/>
      <c r="C527" s="139"/>
      <c r="D527" s="139"/>
      <c r="E527" s="139"/>
      <c r="F527" s="139"/>
    </row>
    <row r="528" spans="1:17" ht="85.5" x14ac:dyDescent="0.2">
      <c r="A528" s="96" t="s">
        <v>1046</v>
      </c>
      <c r="B528" s="55" t="s">
        <v>1047</v>
      </c>
      <c r="C528" s="55" t="s">
        <v>238</v>
      </c>
      <c r="D528" s="56">
        <f>ROUND(SUMIF(RV_DATA!AA589:'RV_DATA'!AA595, -1180756007, RV_DATA!I589:'RV_DATA'!I595), 6)</f>
        <v>1</v>
      </c>
      <c r="E528" s="84">
        <f>ROUND(RV_DATA!N589, 6)</f>
        <v>1926.288</v>
      </c>
      <c r="F528" s="84">
        <f>ROUND(SUMIF(RV_DATA!AA589:'RV_DATA'!AA595, -1180756007, RV_DATA!O589:'RV_DATA'!O595), 6)</f>
        <v>1926.29</v>
      </c>
      <c r="Q528">
        <v>5</v>
      </c>
    </row>
    <row r="529" spans="1:17" ht="14.25" x14ac:dyDescent="0.2">
      <c r="A529" s="96" t="s">
        <v>248</v>
      </c>
      <c r="B529" s="55" t="s">
        <v>1044</v>
      </c>
      <c r="C529" s="55" t="s">
        <v>250</v>
      </c>
      <c r="D529" s="56">
        <f>ROUND(SUMIF(RV_DATA!AA589:'RV_DATA'!AA595, -1062124097, RV_DATA!I589:'RV_DATA'!I595), 6)</f>
        <v>1</v>
      </c>
      <c r="E529" s="84">
        <f>ROUND(RV_DATA!N590, 6)</f>
        <v>115576.89599999999</v>
      </c>
      <c r="F529" s="84">
        <f>ROUND(SUMIF(RV_DATA!AA589:'RV_DATA'!AA595, -1062124097, RV_DATA!O589:'RV_DATA'!O595), 6)</f>
        <v>115576.9</v>
      </c>
      <c r="Q529">
        <v>5</v>
      </c>
    </row>
    <row r="530" spans="1:17" ht="15" x14ac:dyDescent="0.25">
      <c r="A530" s="131" t="s">
        <v>1806</v>
      </c>
      <c r="B530" s="131"/>
      <c r="C530" s="131"/>
      <c r="D530" s="131"/>
      <c r="E530" s="132">
        <f>SUMIF(Q528:Q529, 5, F528:F529)</f>
        <v>117503.18999999999</v>
      </c>
      <c r="F530" s="131"/>
    </row>
    <row r="532" spans="1:17" ht="16.5" x14ac:dyDescent="0.2">
      <c r="A532" s="133" t="str">
        <f>CONCATENATE("Итого по локальной смете:",IF(Source!G1448&lt;&gt;"Новая локальная смета", Source!G1448, ""))</f>
        <v>Итого по локальной смете:Мероприятия по обеспечению доступа инвалидов</v>
      </c>
      <c r="B532" s="134"/>
      <c r="C532" s="134"/>
      <c r="D532" s="134"/>
      <c r="E532" s="134"/>
      <c r="F532" s="135"/>
    </row>
    <row r="533" spans="1:17" ht="14.25" hidden="1" customHeight="1" x14ac:dyDescent="0.25">
      <c r="A533" s="131" t="s">
        <v>1800</v>
      </c>
      <c r="B533" s="131"/>
      <c r="C533" s="131"/>
      <c r="D533" s="131"/>
      <c r="E533" s="132">
        <f>SUMIF(Q497:Q532, 1, F497:F532)</f>
        <v>0</v>
      </c>
      <c r="F533" s="131"/>
    </row>
    <row r="534" spans="1:17" ht="15" x14ac:dyDescent="0.25">
      <c r="A534" s="131" t="s">
        <v>1802</v>
      </c>
      <c r="B534" s="131"/>
      <c r="C534" s="131"/>
      <c r="D534" s="131"/>
      <c r="E534" s="132">
        <f>SUMIF(Q497:Q533, 2, F497:F533)</f>
        <v>1780.16</v>
      </c>
      <c r="F534" s="131"/>
    </row>
    <row r="535" spans="1:17" ht="15" x14ac:dyDescent="0.25">
      <c r="A535" s="131" t="s">
        <v>1804</v>
      </c>
      <c r="B535" s="131"/>
      <c r="C535" s="131"/>
      <c r="D535" s="131"/>
      <c r="E535" s="132">
        <f>SUMIF(Q497:Q534, 3, F497:F534)</f>
        <v>198600.18</v>
      </c>
      <c r="F535" s="131"/>
    </row>
    <row r="536" spans="1:17" ht="14.25" hidden="1" customHeight="1" x14ac:dyDescent="0.25">
      <c r="A536" s="131" t="s">
        <v>1805</v>
      </c>
      <c r="B536" s="131"/>
      <c r="C536" s="131"/>
      <c r="D536" s="131"/>
      <c r="E536" s="132">
        <f>SUMIF(Q497:Q535, 4, F497:F535)</f>
        <v>0</v>
      </c>
      <c r="F536" s="131"/>
    </row>
    <row r="537" spans="1:17" ht="15" x14ac:dyDescent="0.25">
      <c r="A537" s="131" t="s">
        <v>1806</v>
      </c>
      <c r="B537" s="131"/>
      <c r="C537" s="131"/>
      <c r="D537" s="131"/>
      <c r="E537" s="132">
        <f>SUMIF(Q497:Q536, 5, F497:F536)</f>
        <v>117503.18999999999</v>
      </c>
      <c r="F537" s="131"/>
    </row>
    <row r="539" spans="1:17" ht="16.5" x14ac:dyDescent="0.2">
      <c r="A539" s="136" t="str">
        <f>CONCATENATE("Локальная смета: ",IF(Source!G1480&lt;&gt;"Новая локальная смета", Source!G1480, ""))</f>
        <v>Локальная смета: Возврат материалов</v>
      </c>
      <c r="B539" s="137"/>
      <c r="C539" s="137"/>
      <c r="D539" s="137"/>
      <c r="E539" s="137"/>
      <c r="F539" s="137"/>
    </row>
    <row r="541" spans="1:17" ht="16.5" x14ac:dyDescent="0.2">
      <c r="A541" s="133" t="str">
        <f>CONCATENATE("Итого по локальной смете:",IF(Source!G1485&lt;&gt;"Новая локальная смета", Source!G1485, ""))</f>
        <v>Итого по локальной смете:Возврат материалов</v>
      </c>
      <c r="B541" s="134"/>
      <c r="C541" s="134"/>
      <c r="D541" s="134"/>
      <c r="E541" s="134"/>
      <c r="F541" s="135"/>
    </row>
    <row r="542" spans="1:17" ht="14.25" hidden="1" customHeight="1" x14ac:dyDescent="0.25">
      <c r="A542" s="131" t="s">
        <v>1800</v>
      </c>
      <c r="B542" s="131"/>
      <c r="C542" s="131"/>
      <c r="D542" s="131"/>
      <c r="E542" s="132">
        <f>SUMIF(Q539:Q541, 1, F539:F541)</f>
        <v>0</v>
      </c>
      <c r="F542" s="131"/>
    </row>
    <row r="543" spans="1:17" ht="14.25" hidden="1" customHeight="1" x14ac:dyDescent="0.25">
      <c r="A543" s="131" t="s">
        <v>1802</v>
      </c>
      <c r="B543" s="131"/>
      <c r="C543" s="131"/>
      <c r="D543" s="131"/>
      <c r="E543" s="132">
        <f>SUMIF(Q539:Q542, 2, F539:F542)</f>
        <v>0</v>
      </c>
      <c r="F543" s="131"/>
    </row>
    <row r="544" spans="1:17" ht="14.25" hidden="1" customHeight="1" x14ac:dyDescent="0.25">
      <c r="A544" s="131" t="s">
        <v>1804</v>
      </c>
      <c r="B544" s="131"/>
      <c r="C544" s="131"/>
      <c r="D544" s="131"/>
      <c r="E544" s="132">
        <f>SUMIF(Q539:Q543, 3, F539:F543)</f>
        <v>0</v>
      </c>
      <c r="F544" s="131"/>
    </row>
    <row r="545" spans="1:6" ht="14.25" hidden="1" customHeight="1" x14ac:dyDescent="0.25">
      <c r="A545" s="131" t="s">
        <v>1805</v>
      </c>
      <c r="B545" s="131"/>
      <c r="C545" s="131"/>
      <c r="D545" s="131"/>
      <c r="E545" s="132">
        <f>SUMIF(Q539:Q544, 4, F539:F544)</f>
        <v>0</v>
      </c>
      <c r="F545" s="131"/>
    </row>
    <row r="546" spans="1:6" ht="14.25" hidden="1" customHeight="1" x14ac:dyDescent="0.25">
      <c r="A546" s="131" t="s">
        <v>1806</v>
      </c>
      <c r="B546" s="131"/>
      <c r="C546" s="131"/>
      <c r="D546" s="131"/>
      <c r="E546" s="132">
        <f>SUMIF(Q539:Q545, 5, F539:F545)</f>
        <v>0</v>
      </c>
      <c r="F546" s="131"/>
    </row>
    <row r="549" spans="1:6" ht="16.5" x14ac:dyDescent="0.2">
      <c r="A549" s="133" t="str">
        <f>CONCATENATE("Итого по объекту: ",IF(Source!G1515&lt;&gt;"Новый объект", Source!G1515, ""))</f>
        <v>Итого по объекту: Ерамешанцева_(Копия)</v>
      </c>
      <c r="B549" s="134"/>
      <c r="C549" s="134"/>
      <c r="D549" s="134"/>
      <c r="E549" s="134"/>
      <c r="F549" s="135"/>
    </row>
    <row r="550" spans="1:6" ht="14.25" hidden="1" customHeight="1" x14ac:dyDescent="0.25">
      <c r="A550" s="131" t="s">
        <v>1800</v>
      </c>
      <c r="B550" s="131"/>
      <c r="C550" s="131"/>
      <c r="D550" s="131"/>
      <c r="E550" s="132">
        <f>SUMIF(Q1:Q549, 1, F1:F549)</f>
        <v>0</v>
      </c>
      <c r="F550" s="131"/>
    </row>
    <row r="551" spans="1:6" ht="15" x14ac:dyDescent="0.25">
      <c r="A551" s="131" t="s">
        <v>1802</v>
      </c>
      <c r="B551" s="131"/>
      <c r="C551" s="131"/>
      <c r="D551" s="131"/>
      <c r="E551" s="132">
        <f>SUMIF(Q1:Q550, 2, F1:F550)</f>
        <v>72655.610000000015</v>
      </c>
      <c r="F551" s="131"/>
    </row>
    <row r="552" spans="1:6" ht="15" x14ac:dyDescent="0.25">
      <c r="A552" s="131" t="s">
        <v>1804</v>
      </c>
      <c r="B552" s="131"/>
      <c r="C552" s="131"/>
      <c r="D552" s="131"/>
      <c r="E552" s="132">
        <f>SUMIF(Q1:Q551, 3, F1:F551)</f>
        <v>1113544.0699999996</v>
      </c>
      <c r="F552" s="131"/>
    </row>
    <row r="553" spans="1:6" ht="14.25" hidden="1" customHeight="1" x14ac:dyDescent="0.25">
      <c r="A553" s="131" t="s">
        <v>1805</v>
      </c>
      <c r="B553" s="131"/>
      <c r="C553" s="131"/>
      <c r="D553" s="131"/>
      <c r="E553" s="132">
        <f>SUMIF(Q1:Q552, 4, F1:F552)</f>
        <v>0</v>
      </c>
      <c r="F553" s="131"/>
    </row>
    <row r="554" spans="1:6" ht="15" x14ac:dyDescent="0.25">
      <c r="A554" s="131" t="s">
        <v>1806</v>
      </c>
      <c r="B554" s="131"/>
      <c r="C554" s="131"/>
      <c r="D554" s="131"/>
      <c r="E554" s="132">
        <f>SUMIF(Q1:Q553, 5, F1:F553)</f>
        <v>131714.82999999999</v>
      </c>
      <c r="F554" s="131"/>
    </row>
  </sheetData>
  <sortState ref="A528:R529">
    <sortCondition ref="A528"/>
  </sortState>
  <mergeCells count="258">
    <mergeCell ref="A8:F8"/>
    <mergeCell ref="A9:F9"/>
    <mergeCell ref="A10:F10"/>
    <mergeCell ref="A12:D12"/>
    <mergeCell ref="E12:F12"/>
    <mergeCell ref="A13:F13"/>
    <mergeCell ref="A2:F2"/>
    <mergeCell ref="A3:F3"/>
    <mergeCell ref="A4:A6"/>
    <mergeCell ref="B4:B6"/>
    <mergeCell ref="C4:C6"/>
    <mergeCell ref="D4:D6"/>
    <mergeCell ref="E4:F5"/>
    <mergeCell ref="A28:F28"/>
    <mergeCell ref="A39:D39"/>
    <mergeCell ref="E39:F39"/>
    <mergeCell ref="A41:F41"/>
    <mergeCell ref="A42:D42"/>
    <mergeCell ref="E42:F42"/>
    <mergeCell ref="A14:F14"/>
    <mergeCell ref="A16:D16"/>
    <mergeCell ref="E16:F16"/>
    <mergeCell ref="A17:F17"/>
    <mergeCell ref="A27:D27"/>
    <mergeCell ref="E27:F27"/>
    <mergeCell ref="A46:D46"/>
    <mergeCell ref="E46:F46"/>
    <mergeCell ref="A48:F48"/>
    <mergeCell ref="A49:F49"/>
    <mergeCell ref="A50:F50"/>
    <mergeCell ref="A52:D52"/>
    <mergeCell ref="E52:F52"/>
    <mergeCell ref="A43:D43"/>
    <mergeCell ref="E43:F43"/>
    <mergeCell ref="A44:D44"/>
    <mergeCell ref="E44:F44"/>
    <mergeCell ref="A45:D45"/>
    <mergeCell ref="E45:F45"/>
    <mergeCell ref="A66:F66"/>
    <mergeCell ref="A67:F67"/>
    <mergeCell ref="A69:D69"/>
    <mergeCell ref="E69:F69"/>
    <mergeCell ref="A70:F70"/>
    <mergeCell ref="A93:D93"/>
    <mergeCell ref="E93:F93"/>
    <mergeCell ref="A53:F53"/>
    <mergeCell ref="A61:D61"/>
    <mergeCell ref="E61:F61"/>
    <mergeCell ref="A62:F62"/>
    <mergeCell ref="A65:D65"/>
    <mergeCell ref="E65:F65"/>
    <mergeCell ref="A170:F170"/>
    <mergeCell ref="A171:D171"/>
    <mergeCell ref="E171:F171"/>
    <mergeCell ref="A172:D172"/>
    <mergeCell ref="E172:F172"/>
    <mergeCell ref="A173:D173"/>
    <mergeCell ref="E173:F173"/>
    <mergeCell ref="A94:F94"/>
    <mergeCell ref="A162:D162"/>
    <mergeCell ref="E162:F162"/>
    <mergeCell ref="A163:F163"/>
    <mergeCell ref="A164:F164"/>
    <mergeCell ref="A168:D168"/>
    <mergeCell ref="E168:F168"/>
    <mergeCell ref="A179:F179"/>
    <mergeCell ref="A181:D181"/>
    <mergeCell ref="E181:F181"/>
    <mergeCell ref="A182:F182"/>
    <mergeCell ref="A192:D192"/>
    <mergeCell ref="E192:F192"/>
    <mergeCell ref="A174:D174"/>
    <mergeCell ref="E174:F174"/>
    <mergeCell ref="A175:D175"/>
    <mergeCell ref="E175:F175"/>
    <mergeCell ref="A177:F177"/>
    <mergeCell ref="A178:F178"/>
    <mergeCell ref="A201:F201"/>
    <mergeCell ref="A224:D224"/>
    <mergeCell ref="E224:F224"/>
    <mergeCell ref="A225:F225"/>
    <mergeCell ref="A261:D261"/>
    <mergeCell ref="E261:F261"/>
    <mergeCell ref="A193:F193"/>
    <mergeCell ref="A196:D196"/>
    <mergeCell ref="E196:F196"/>
    <mergeCell ref="A197:F197"/>
    <mergeCell ref="A198:F198"/>
    <mergeCell ref="A200:D200"/>
    <mergeCell ref="E200:F200"/>
    <mergeCell ref="A267:D267"/>
    <mergeCell ref="E267:F267"/>
    <mergeCell ref="A268:D268"/>
    <mergeCell ref="E268:F268"/>
    <mergeCell ref="A270:F270"/>
    <mergeCell ref="A271:F271"/>
    <mergeCell ref="A263:F263"/>
    <mergeCell ref="A264:D264"/>
    <mergeCell ref="E264:F264"/>
    <mergeCell ref="A265:D265"/>
    <mergeCell ref="E265:F265"/>
    <mergeCell ref="A266:D266"/>
    <mergeCell ref="E266:F266"/>
    <mergeCell ref="A288:F288"/>
    <mergeCell ref="A289:F289"/>
    <mergeCell ref="A299:D299"/>
    <mergeCell ref="E299:F299"/>
    <mergeCell ref="A300:F300"/>
    <mergeCell ref="A302:D302"/>
    <mergeCell ref="E302:F302"/>
    <mergeCell ref="A272:F272"/>
    <mergeCell ref="A274:D274"/>
    <mergeCell ref="E274:F274"/>
    <mergeCell ref="A275:F275"/>
    <mergeCell ref="A287:D287"/>
    <mergeCell ref="E287:F287"/>
    <mergeCell ref="A308:D308"/>
    <mergeCell ref="E308:F308"/>
    <mergeCell ref="A309:D309"/>
    <mergeCell ref="E309:F309"/>
    <mergeCell ref="A311:F311"/>
    <mergeCell ref="A312:F312"/>
    <mergeCell ref="A304:F304"/>
    <mergeCell ref="A305:D305"/>
    <mergeCell ref="E305:F305"/>
    <mergeCell ref="A306:D306"/>
    <mergeCell ref="E306:F306"/>
    <mergeCell ref="A307:D307"/>
    <mergeCell ref="E307:F307"/>
    <mergeCell ref="A320:F320"/>
    <mergeCell ref="A342:D342"/>
    <mergeCell ref="E342:F342"/>
    <mergeCell ref="A344:F344"/>
    <mergeCell ref="A345:D345"/>
    <mergeCell ref="E345:F345"/>
    <mergeCell ref="A313:F313"/>
    <mergeCell ref="A315:D315"/>
    <mergeCell ref="E315:F315"/>
    <mergeCell ref="A316:F316"/>
    <mergeCell ref="A317:F317"/>
    <mergeCell ref="A319:D319"/>
    <mergeCell ref="E319:F319"/>
    <mergeCell ref="A349:D349"/>
    <mergeCell ref="E349:F349"/>
    <mergeCell ref="A351:F351"/>
    <mergeCell ref="A352:F352"/>
    <mergeCell ref="A353:F353"/>
    <mergeCell ref="A355:D355"/>
    <mergeCell ref="E355:F355"/>
    <mergeCell ref="A346:D346"/>
    <mergeCell ref="E346:F346"/>
    <mergeCell ref="A347:D347"/>
    <mergeCell ref="E347:F347"/>
    <mergeCell ref="A348:D348"/>
    <mergeCell ref="E348:F348"/>
    <mergeCell ref="A373:F373"/>
    <mergeCell ref="A374:F374"/>
    <mergeCell ref="A376:D376"/>
    <mergeCell ref="E376:F376"/>
    <mergeCell ref="A377:F377"/>
    <mergeCell ref="A384:D384"/>
    <mergeCell ref="E384:F384"/>
    <mergeCell ref="A356:F356"/>
    <mergeCell ref="A361:D361"/>
    <mergeCell ref="E361:F361"/>
    <mergeCell ref="A362:F362"/>
    <mergeCell ref="A372:D372"/>
    <mergeCell ref="E372:F372"/>
    <mergeCell ref="A430:F430"/>
    <mergeCell ref="A432:D432"/>
    <mergeCell ref="E432:F432"/>
    <mergeCell ref="A433:F433"/>
    <mergeCell ref="A447:D447"/>
    <mergeCell ref="E447:F447"/>
    <mergeCell ref="A385:F385"/>
    <mergeCell ref="A425:D425"/>
    <mergeCell ref="E425:F425"/>
    <mergeCell ref="A426:F426"/>
    <mergeCell ref="A427:F427"/>
    <mergeCell ref="A429:D429"/>
    <mergeCell ref="E429:F429"/>
    <mergeCell ref="A457:F457"/>
    <mergeCell ref="A482:D482"/>
    <mergeCell ref="E482:F482"/>
    <mergeCell ref="A483:F483"/>
    <mergeCell ref="A484:F484"/>
    <mergeCell ref="A488:D488"/>
    <mergeCell ref="E488:F488"/>
    <mergeCell ref="A448:F448"/>
    <mergeCell ref="A449:F449"/>
    <mergeCell ref="A451:D451"/>
    <mergeCell ref="E451:F451"/>
    <mergeCell ref="A452:F452"/>
    <mergeCell ref="A456:D456"/>
    <mergeCell ref="E456:F456"/>
    <mergeCell ref="A494:D494"/>
    <mergeCell ref="E494:F494"/>
    <mergeCell ref="A495:D495"/>
    <mergeCell ref="E495:F495"/>
    <mergeCell ref="A497:F497"/>
    <mergeCell ref="A498:F498"/>
    <mergeCell ref="A490:F490"/>
    <mergeCell ref="A491:D491"/>
    <mergeCell ref="E491:F491"/>
    <mergeCell ref="A492:D492"/>
    <mergeCell ref="E492:F492"/>
    <mergeCell ref="A493:D493"/>
    <mergeCell ref="E493:F493"/>
    <mergeCell ref="A507:F507"/>
    <mergeCell ref="A518:D518"/>
    <mergeCell ref="E518:F518"/>
    <mergeCell ref="A519:F519"/>
    <mergeCell ref="A520:F520"/>
    <mergeCell ref="A526:D526"/>
    <mergeCell ref="E526:F526"/>
    <mergeCell ref="A499:F499"/>
    <mergeCell ref="A501:D501"/>
    <mergeCell ref="E501:F501"/>
    <mergeCell ref="A502:F502"/>
    <mergeCell ref="A506:D506"/>
    <mergeCell ref="E506:F506"/>
    <mergeCell ref="A534:D534"/>
    <mergeCell ref="E534:F534"/>
    <mergeCell ref="A535:D535"/>
    <mergeCell ref="E535:F535"/>
    <mergeCell ref="A536:D536"/>
    <mergeCell ref="E536:F536"/>
    <mergeCell ref="A527:F527"/>
    <mergeCell ref="A530:D530"/>
    <mergeCell ref="E530:F530"/>
    <mergeCell ref="A532:F532"/>
    <mergeCell ref="A533:D533"/>
    <mergeCell ref="E533:F533"/>
    <mergeCell ref="A543:D543"/>
    <mergeCell ref="E543:F543"/>
    <mergeCell ref="A544:D544"/>
    <mergeCell ref="E544:F544"/>
    <mergeCell ref="A545:D545"/>
    <mergeCell ref="E545:F545"/>
    <mergeCell ref="A537:D537"/>
    <mergeCell ref="E537:F537"/>
    <mergeCell ref="A539:F539"/>
    <mergeCell ref="A541:F541"/>
    <mergeCell ref="A542:D542"/>
    <mergeCell ref="E542:F542"/>
    <mergeCell ref="A552:D552"/>
    <mergeCell ref="E552:F552"/>
    <mergeCell ref="A553:D553"/>
    <mergeCell ref="E553:F553"/>
    <mergeCell ref="A554:D554"/>
    <mergeCell ref="E554:F554"/>
    <mergeCell ref="A546:D546"/>
    <mergeCell ref="E546:F546"/>
    <mergeCell ref="A549:F549"/>
    <mergeCell ref="A550:D550"/>
    <mergeCell ref="E550:F550"/>
    <mergeCell ref="A551:D551"/>
    <mergeCell ref="E551:F551"/>
  </mergeCells>
  <pageMargins left="0.6" right="0.4" top="0.65" bottom="0.4" header="0.4" footer="0.4"/>
  <pageSetup paperSize="9" scale="85" fitToHeight="0" orientation="portrait" horizontalDpi="4294967295" verticalDpi="4294967295" r:id="rId1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561"/>
  <sheetViews>
    <sheetView workbookViewId="0">
      <selection activeCell="A1557" sqref="A1557:O1557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1</v>
      </c>
      <c r="L1">
        <v>46812</v>
      </c>
      <c r="M1">
        <v>97460402</v>
      </c>
      <c r="N1">
        <v>11</v>
      </c>
      <c r="O1">
        <v>6</v>
      </c>
      <c r="P1">
        <v>2</v>
      </c>
      <c r="Q1">
        <v>0</v>
      </c>
    </row>
    <row r="12" spans="1:133" x14ac:dyDescent="0.2">
      <c r="A12" s="1">
        <v>1</v>
      </c>
      <c r="B12" s="1">
        <v>1554</v>
      </c>
      <c r="C12" s="1">
        <v>0</v>
      </c>
      <c r="D12" s="1">
        <f>ROW(A1515)</f>
        <v>1515</v>
      </c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>
        <v>0</v>
      </c>
      <c r="M12" s="1">
        <v>2</v>
      </c>
      <c r="N12" s="1"/>
      <c r="O12" s="1">
        <v>0</v>
      </c>
      <c r="P12" s="1">
        <v>0</v>
      </c>
      <c r="Q12" s="1">
        <v>0</v>
      </c>
      <c r="R12" s="1">
        <v>175</v>
      </c>
      <c r="S12" s="1">
        <v>160</v>
      </c>
      <c r="T12" s="1">
        <v>1</v>
      </c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>
        <v>0</v>
      </c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11</v>
      </c>
      <c r="CF12" s="1">
        <v>0</v>
      </c>
      <c r="CG12" s="1">
        <v>0</v>
      </c>
      <c r="CH12" s="1">
        <v>16785416</v>
      </c>
      <c r="CI12" s="1" t="s">
        <v>3</v>
      </c>
      <c r="CJ12" s="1" t="s">
        <v>3</v>
      </c>
      <c r="CK12" s="1">
        <v>68</v>
      </c>
      <c r="CL12" s="1"/>
      <c r="CM12" s="1"/>
      <c r="CN12" s="1"/>
      <c r="CO12" s="1"/>
      <c r="CP12" s="1"/>
      <c r="CQ12" s="1" t="s">
        <v>12</v>
      </c>
      <c r="CR12" s="1" t="s">
        <v>13</v>
      </c>
      <c r="CS12" s="1">
        <v>41660</v>
      </c>
      <c r="CT12" s="1">
        <v>1</v>
      </c>
      <c r="CU12" s="1">
        <v>68</v>
      </c>
      <c r="CV12" s="1"/>
      <c r="CW12" s="1"/>
      <c r="CX12" s="1"/>
      <c r="CY12" s="1">
        <v>0</v>
      </c>
      <c r="CZ12" s="1" t="s">
        <v>3</v>
      </c>
      <c r="DA12" s="1" t="s">
        <v>3</v>
      </c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55" x14ac:dyDescent="0.2">
      <c r="A18" s="3">
        <v>52</v>
      </c>
      <c r="B18" s="3">
        <f t="shared" ref="B18:G18" si="0">B1515</f>
        <v>1554</v>
      </c>
      <c r="C18" s="3">
        <f t="shared" si="0"/>
        <v>1</v>
      </c>
      <c r="D18" s="3">
        <f t="shared" si="0"/>
        <v>12</v>
      </c>
      <c r="E18" s="3">
        <f t="shared" si="0"/>
        <v>0</v>
      </c>
      <c r="F18" s="3" t="str">
        <f t="shared" si="0"/>
        <v>Новый объект_(Копия)</v>
      </c>
      <c r="G18" s="3" t="str">
        <f t="shared" si="0"/>
        <v>Ерамешанцева_(Копия)</v>
      </c>
      <c r="H18" s="3"/>
      <c r="I18" s="3"/>
      <c r="J18" s="3"/>
      <c r="K18" s="3"/>
      <c r="L18" s="3"/>
      <c r="M18" s="3"/>
      <c r="N18" s="3"/>
      <c r="O18" s="3">
        <f t="shared" ref="O18:AT18" si="1">O1515</f>
        <v>88262.99</v>
      </c>
      <c r="P18" s="3">
        <f t="shared" si="1"/>
        <v>66507.12</v>
      </c>
      <c r="Q18" s="3">
        <f t="shared" si="1"/>
        <v>7412.84</v>
      </c>
      <c r="R18" s="3">
        <f t="shared" si="1"/>
        <v>914.07</v>
      </c>
      <c r="S18" s="3">
        <f t="shared" si="1"/>
        <v>14343.03</v>
      </c>
      <c r="T18" s="3">
        <f t="shared" si="1"/>
        <v>1946.32</v>
      </c>
      <c r="U18" s="3">
        <f t="shared" si="1"/>
        <v>1169.17322975</v>
      </c>
      <c r="V18" s="3">
        <f t="shared" si="1"/>
        <v>0</v>
      </c>
      <c r="W18" s="3">
        <f t="shared" si="1"/>
        <v>0</v>
      </c>
      <c r="X18" s="3">
        <f t="shared" si="1"/>
        <v>13648.32</v>
      </c>
      <c r="Y18" s="3">
        <f t="shared" si="1"/>
        <v>9360.19</v>
      </c>
      <c r="Z18" s="3">
        <f t="shared" si="1"/>
        <v>0</v>
      </c>
      <c r="AA18" s="3">
        <f t="shared" si="1"/>
        <v>0</v>
      </c>
      <c r="AB18" s="3">
        <f t="shared" si="1"/>
        <v>0</v>
      </c>
      <c r="AC18" s="3">
        <f t="shared" si="1"/>
        <v>0</v>
      </c>
      <c r="AD18" s="3">
        <f t="shared" si="1"/>
        <v>0</v>
      </c>
      <c r="AE18" s="3">
        <f t="shared" si="1"/>
        <v>0</v>
      </c>
      <c r="AF18" s="3">
        <f t="shared" si="1"/>
        <v>0</v>
      </c>
      <c r="AG18" s="3">
        <f t="shared" si="1"/>
        <v>0</v>
      </c>
      <c r="AH18" s="3">
        <f t="shared" si="1"/>
        <v>0</v>
      </c>
      <c r="AI18" s="3">
        <f t="shared" si="1"/>
        <v>0</v>
      </c>
      <c r="AJ18" s="3">
        <f t="shared" si="1"/>
        <v>0</v>
      </c>
      <c r="AK18" s="3">
        <f t="shared" si="1"/>
        <v>0</v>
      </c>
      <c r="AL18" s="3">
        <f t="shared" si="1"/>
        <v>0</v>
      </c>
      <c r="AM18" s="3">
        <f t="shared" si="1"/>
        <v>0</v>
      </c>
      <c r="AN18" s="3">
        <f t="shared" si="1"/>
        <v>0</v>
      </c>
      <c r="AO18" s="3">
        <f t="shared" si="1"/>
        <v>0</v>
      </c>
      <c r="AP18" s="3">
        <f t="shared" si="1"/>
        <v>2325.66</v>
      </c>
      <c r="AQ18" s="3">
        <f t="shared" si="1"/>
        <v>0</v>
      </c>
      <c r="AR18" s="3">
        <f t="shared" si="1"/>
        <v>112871.21</v>
      </c>
      <c r="AS18" s="3">
        <f t="shared" si="1"/>
        <v>88274.44</v>
      </c>
      <c r="AT18" s="3">
        <f t="shared" si="1"/>
        <v>19841.22</v>
      </c>
      <c r="AU18" s="3">
        <f t="shared" ref="AU18:BZ18" si="2">AU1515</f>
        <v>2429.89</v>
      </c>
      <c r="AV18" s="3">
        <f t="shared" si="2"/>
        <v>66507.12</v>
      </c>
      <c r="AW18" s="3">
        <f t="shared" si="2"/>
        <v>64181.46</v>
      </c>
      <c r="AX18" s="3">
        <f t="shared" si="2"/>
        <v>0</v>
      </c>
      <c r="AY18" s="3">
        <f t="shared" si="2"/>
        <v>64181.46</v>
      </c>
      <c r="AZ18" s="3">
        <f t="shared" si="2"/>
        <v>2325.66</v>
      </c>
      <c r="BA18" s="3">
        <f t="shared" si="2"/>
        <v>0</v>
      </c>
      <c r="BB18" s="3">
        <f t="shared" si="2"/>
        <v>0</v>
      </c>
      <c r="BC18" s="3">
        <f t="shared" si="2"/>
        <v>0</v>
      </c>
      <c r="BD18" s="3">
        <f t="shared" si="2"/>
        <v>0</v>
      </c>
      <c r="BE18" s="3">
        <f t="shared" si="2"/>
        <v>0</v>
      </c>
      <c r="BF18" s="3">
        <f t="shared" si="2"/>
        <v>0</v>
      </c>
      <c r="BG18" s="3">
        <f t="shared" si="2"/>
        <v>0</v>
      </c>
      <c r="BH18" s="3">
        <f t="shared" si="2"/>
        <v>0</v>
      </c>
      <c r="BI18" s="3">
        <f t="shared" si="2"/>
        <v>0</v>
      </c>
      <c r="BJ18" s="3">
        <f t="shared" si="2"/>
        <v>0</v>
      </c>
      <c r="BK18" s="3">
        <f t="shared" si="2"/>
        <v>0</v>
      </c>
      <c r="BL18" s="3">
        <f t="shared" si="2"/>
        <v>0</v>
      </c>
      <c r="BM18" s="3">
        <f t="shared" si="2"/>
        <v>0</v>
      </c>
      <c r="BN18" s="3">
        <f t="shared" si="2"/>
        <v>0</v>
      </c>
      <c r="BO18" s="3">
        <f t="shared" si="2"/>
        <v>0</v>
      </c>
      <c r="BP18" s="3">
        <f t="shared" si="2"/>
        <v>0</v>
      </c>
      <c r="BQ18" s="3">
        <f t="shared" si="2"/>
        <v>0</v>
      </c>
      <c r="BR18" s="3">
        <f t="shared" si="2"/>
        <v>0</v>
      </c>
      <c r="BS18" s="3">
        <f t="shared" si="2"/>
        <v>0</v>
      </c>
      <c r="BT18" s="3">
        <f t="shared" si="2"/>
        <v>0</v>
      </c>
      <c r="BU18" s="3">
        <f t="shared" si="2"/>
        <v>0</v>
      </c>
      <c r="BV18" s="3">
        <f t="shared" si="2"/>
        <v>0</v>
      </c>
      <c r="BW18" s="3">
        <f t="shared" si="2"/>
        <v>0</v>
      </c>
      <c r="BX18" s="3">
        <f t="shared" si="2"/>
        <v>0</v>
      </c>
      <c r="BY18" s="3">
        <f t="shared" si="2"/>
        <v>0</v>
      </c>
      <c r="BZ18" s="3">
        <f t="shared" si="2"/>
        <v>0</v>
      </c>
      <c r="CA18" s="3">
        <f t="shared" ref="CA18:DF18" si="3">CA1515</f>
        <v>0</v>
      </c>
      <c r="CB18" s="3">
        <f t="shared" si="3"/>
        <v>0</v>
      </c>
      <c r="CC18" s="3">
        <f t="shared" si="3"/>
        <v>0</v>
      </c>
      <c r="CD18" s="3">
        <f t="shared" si="3"/>
        <v>0</v>
      </c>
      <c r="CE18" s="3">
        <f t="shared" si="3"/>
        <v>0</v>
      </c>
      <c r="CF18" s="3">
        <f t="shared" si="3"/>
        <v>0</v>
      </c>
      <c r="CG18" s="3">
        <f t="shared" si="3"/>
        <v>0</v>
      </c>
      <c r="CH18" s="3">
        <f t="shared" si="3"/>
        <v>0</v>
      </c>
      <c r="CI18" s="3">
        <f t="shared" si="3"/>
        <v>0</v>
      </c>
      <c r="CJ18" s="3">
        <f t="shared" si="3"/>
        <v>0</v>
      </c>
      <c r="CK18" s="3">
        <f t="shared" si="3"/>
        <v>0</v>
      </c>
      <c r="CL18" s="3">
        <f t="shared" si="3"/>
        <v>0</v>
      </c>
      <c r="CM18" s="3">
        <f t="shared" si="3"/>
        <v>0</v>
      </c>
      <c r="CN18" s="3">
        <f t="shared" si="3"/>
        <v>0</v>
      </c>
      <c r="CO18" s="3">
        <f t="shared" si="3"/>
        <v>0</v>
      </c>
      <c r="CP18" s="3">
        <f t="shared" si="3"/>
        <v>0</v>
      </c>
      <c r="CQ18" s="3">
        <f t="shared" si="3"/>
        <v>0</v>
      </c>
      <c r="CR18" s="3">
        <f t="shared" si="3"/>
        <v>0</v>
      </c>
      <c r="CS18" s="3">
        <f t="shared" si="3"/>
        <v>0</v>
      </c>
      <c r="CT18" s="3">
        <f t="shared" si="3"/>
        <v>0</v>
      </c>
      <c r="CU18" s="3">
        <f t="shared" si="3"/>
        <v>0</v>
      </c>
      <c r="CV18" s="3">
        <f t="shared" si="3"/>
        <v>0</v>
      </c>
      <c r="CW18" s="3">
        <f t="shared" si="3"/>
        <v>0</v>
      </c>
      <c r="CX18" s="3">
        <f t="shared" si="3"/>
        <v>0</v>
      </c>
      <c r="CY18" s="3">
        <f t="shared" si="3"/>
        <v>0</v>
      </c>
      <c r="CZ18" s="3">
        <f t="shared" si="3"/>
        <v>0</v>
      </c>
      <c r="DA18" s="3">
        <f t="shared" si="3"/>
        <v>0</v>
      </c>
      <c r="DB18" s="3">
        <f t="shared" si="3"/>
        <v>0</v>
      </c>
      <c r="DC18" s="3">
        <f t="shared" si="3"/>
        <v>0</v>
      </c>
      <c r="DD18" s="3">
        <f t="shared" si="3"/>
        <v>0</v>
      </c>
      <c r="DE18" s="3">
        <f t="shared" si="3"/>
        <v>0</v>
      </c>
      <c r="DF18" s="3">
        <f t="shared" si="3"/>
        <v>0</v>
      </c>
      <c r="DG18" s="4">
        <f t="shared" ref="DG18:EL18" si="4">DG1515</f>
        <v>1776263.52</v>
      </c>
      <c r="DH18" s="4">
        <f t="shared" si="4"/>
        <v>1269656.77</v>
      </c>
      <c r="DI18" s="4">
        <f t="shared" si="4"/>
        <v>90228.54</v>
      </c>
      <c r="DJ18" s="4">
        <f t="shared" si="4"/>
        <v>26535.46</v>
      </c>
      <c r="DK18" s="4">
        <f t="shared" si="4"/>
        <v>416378.21</v>
      </c>
      <c r="DL18" s="4">
        <f t="shared" si="4"/>
        <v>24056.52</v>
      </c>
      <c r="DM18" s="4">
        <f t="shared" si="4"/>
        <v>1169.17322975</v>
      </c>
      <c r="DN18" s="4">
        <f t="shared" si="4"/>
        <v>0</v>
      </c>
      <c r="DO18" s="4">
        <f t="shared" si="4"/>
        <v>0</v>
      </c>
      <c r="DP18" s="4">
        <f t="shared" si="4"/>
        <v>323689.34999999998</v>
      </c>
      <c r="DQ18" s="4">
        <f t="shared" si="4"/>
        <v>170715.07</v>
      </c>
      <c r="DR18" s="4">
        <f t="shared" si="4"/>
        <v>0</v>
      </c>
      <c r="DS18" s="4">
        <f t="shared" si="4"/>
        <v>0</v>
      </c>
      <c r="DT18" s="4">
        <f t="shared" si="4"/>
        <v>0</v>
      </c>
      <c r="DU18" s="4">
        <f t="shared" si="4"/>
        <v>0</v>
      </c>
      <c r="DV18" s="4">
        <f t="shared" si="4"/>
        <v>0</v>
      </c>
      <c r="DW18" s="4">
        <f t="shared" si="4"/>
        <v>0</v>
      </c>
      <c r="DX18" s="4">
        <f t="shared" si="4"/>
        <v>0</v>
      </c>
      <c r="DY18" s="4">
        <f t="shared" si="4"/>
        <v>0</v>
      </c>
      <c r="DZ18" s="4">
        <f t="shared" si="4"/>
        <v>0</v>
      </c>
      <c r="EA18" s="4">
        <f t="shared" si="4"/>
        <v>0</v>
      </c>
      <c r="EB18" s="4">
        <f t="shared" si="4"/>
        <v>0</v>
      </c>
      <c r="EC18" s="4">
        <f t="shared" si="4"/>
        <v>0</v>
      </c>
      <c r="ED18" s="4">
        <f t="shared" si="4"/>
        <v>0</v>
      </c>
      <c r="EE18" s="4">
        <f t="shared" si="4"/>
        <v>0</v>
      </c>
      <c r="EF18" s="4">
        <f t="shared" si="4"/>
        <v>0</v>
      </c>
      <c r="EG18" s="4">
        <f t="shared" si="4"/>
        <v>0</v>
      </c>
      <c r="EH18" s="4">
        <f t="shared" si="4"/>
        <v>131714.82999999999</v>
      </c>
      <c r="EI18" s="4">
        <f t="shared" si="4"/>
        <v>0</v>
      </c>
      <c r="EJ18" s="4">
        <f t="shared" si="4"/>
        <v>2313124.65</v>
      </c>
      <c r="EK18" s="4">
        <f t="shared" si="4"/>
        <v>1847552.61</v>
      </c>
      <c r="EL18" s="4">
        <f t="shared" si="4"/>
        <v>305609.06</v>
      </c>
      <c r="EM18" s="4">
        <f t="shared" ref="EM18:FR18" si="5">EM1515</f>
        <v>28248.15</v>
      </c>
      <c r="EN18" s="4">
        <f t="shared" si="5"/>
        <v>1269656.77</v>
      </c>
      <c r="EO18" s="4">
        <f t="shared" si="5"/>
        <v>1137941.94</v>
      </c>
      <c r="EP18" s="4">
        <f t="shared" si="5"/>
        <v>0</v>
      </c>
      <c r="EQ18" s="4">
        <f t="shared" si="5"/>
        <v>1137941.94</v>
      </c>
      <c r="ER18" s="4">
        <f t="shared" si="5"/>
        <v>131714.82999999999</v>
      </c>
      <c r="ES18" s="4">
        <f t="shared" si="5"/>
        <v>0</v>
      </c>
      <c r="ET18" s="4">
        <f t="shared" si="5"/>
        <v>0</v>
      </c>
      <c r="EU18" s="4">
        <f t="shared" si="5"/>
        <v>0</v>
      </c>
      <c r="EV18" s="4">
        <f t="shared" si="5"/>
        <v>0</v>
      </c>
      <c r="EW18" s="4">
        <f t="shared" si="5"/>
        <v>0</v>
      </c>
      <c r="EX18" s="4">
        <f t="shared" si="5"/>
        <v>0</v>
      </c>
      <c r="EY18" s="4">
        <f t="shared" si="5"/>
        <v>0</v>
      </c>
      <c r="EZ18" s="4">
        <f t="shared" si="5"/>
        <v>0</v>
      </c>
      <c r="FA18" s="4">
        <f t="shared" si="5"/>
        <v>0</v>
      </c>
      <c r="FB18" s="4">
        <f t="shared" si="5"/>
        <v>0</v>
      </c>
      <c r="FC18" s="4">
        <f t="shared" si="5"/>
        <v>0</v>
      </c>
      <c r="FD18" s="4">
        <f t="shared" si="5"/>
        <v>0</v>
      </c>
      <c r="FE18" s="4">
        <f t="shared" si="5"/>
        <v>0</v>
      </c>
      <c r="FF18" s="4">
        <f t="shared" si="5"/>
        <v>0</v>
      </c>
      <c r="FG18" s="4">
        <f t="shared" si="5"/>
        <v>0</v>
      </c>
      <c r="FH18" s="4">
        <f t="shared" si="5"/>
        <v>0</v>
      </c>
      <c r="FI18" s="4">
        <f t="shared" si="5"/>
        <v>0</v>
      </c>
      <c r="FJ18" s="4">
        <f t="shared" si="5"/>
        <v>0</v>
      </c>
      <c r="FK18" s="4">
        <f t="shared" si="5"/>
        <v>0</v>
      </c>
      <c r="FL18" s="4">
        <f t="shared" si="5"/>
        <v>0</v>
      </c>
      <c r="FM18" s="4">
        <f t="shared" si="5"/>
        <v>0</v>
      </c>
      <c r="FN18" s="4">
        <f t="shared" si="5"/>
        <v>0</v>
      </c>
      <c r="FO18" s="4">
        <f t="shared" si="5"/>
        <v>0</v>
      </c>
      <c r="FP18" s="4">
        <f t="shared" si="5"/>
        <v>0</v>
      </c>
      <c r="FQ18" s="4">
        <f t="shared" si="5"/>
        <v>0</v>
      </c>
      <c r="FR18" s="4">
        <f t="shared" si="5"/>
        <v>0</v>
      </c>
      <c r="FS18" s="4">
        <f t="shared" ref="FS18:GX18" si="6">FS1515</f>
        <v>0</v>
      </c>
      <c r="FT18" s="4">
        <f t="shared" si="6"/>
        <v>0</v>
      </c>
      <c r="FU18" s="4">
        <f t="shared" si="6"/>
        <v>0</v>
      </c>
      <c r="FV18" s="4">
        <f t="shared" si="6"/>
        <v>0</v>
      </c>
      <c r="FW18" s="4">
        <f t="shared" si="6"/>
        <v>0</v>
      </c>
      <c r="FX18" s="4">
        <f t="shared" si="6"/>
        <v>0</v>
      </c>
      <c r="FY18" s="4">
        <f t="shared" si="6"/>
        <v>0</v>
      </c>
      <c r="FZ18" s="4">
        <f t="shared" si="6"/>
        <v>0</v>
      </c>
      <c r="GA18" s="4">
        <f t="shared" si="6"/>
        <v>0</v>
      </c>
      <c r="GB18" s="4">
        <f t="shared" si="6"/>
        <v>0</v>
      </c>
      <c r="GC18" s="4">
        <f t="shared" si="6"/>
        <v>0</v>
      </c>
      <c r="GD18" s="4">
        <f t="shared" si="6"/>
        <v>0</v>
      </c>
      <c r="GE18" s="4">
        <f t="shared" si="6"/>
        <v>0</v>
      </c>
      <c r="GF18" s="4">
        <f t="shared" si="6"/>
        <v>0</v>
      </c>
      <c r="GG18" s="4">
        <f t="shared" si="6"/>
        <v>0</v>
      </c>
      <c r="GH18" s="4">
        <f t="shared" si="6"/>
        <v>0</v>
      </c>
      <c r="GI18" s="4">
        <f t="shared" si="6"/>
        <v>0</v>
      </c>
      <c r="GJ18" s="4">
        <f t="shared" si="6"/>
        <v>0</v>
      </c>
      <c r="GK18" s="4">
        <f t="shared" si="6"/>
        <v>0</v>
      </c>
      <c r="GL18" s="4">
        <f t="shared" si="6"/>
        <v>0</v>
      </c>
      <c r="GM18" s="4">
        <f t="shared" si="6"/>
        <v>0</v>
      </c>
      <c r="GN18" s="4">
        <f t="shared" si="6"/>
        <v>0</v>
      </c>
      <c r="GO18" s="4">
        <f t="shared" si="6"/>
        <v>0</v>
      </c>
      <c r="GP18" s="4">
        <f t="shared" si="6"/>
        <v>0</v>
      </c>
      <c r="GQ18" s="4">
        <f t="shared" si="6"/>
        <v>0</v>
      </c>
      <c r="GR18" s="4">
        <f t="shared" si="6"/>
        <v>0</v>
      </c>
      <c r="GS18" s="4">
        <f t="shared" si="6"/>
        <v>0</v>
      </c>
      <c r="GT18" s="4">
        <f t="shared" si="6"/>
        <v>0</v>
      </c>
      <c r="GU18" s="4">
        <f t="shared" si="6"/>
        <v>0</v>
      </c>
      <c r="GV18" s="4">
        <f t="shared" si="6"/>
        <v>0</v>
      </c>
      <c r="GW18" s="4">
        <f t="shared" si="6"/>
        <v>0</v>
      </c>
      <c r="GX18" s="4">
        <f t="shared" si="6"/>
        <v>0</v>
      </c>
    </row>
    <row r="20" spans="1:255" x14ac:dyDescent="0.2">
      <c r="A20" s="1">
        <v>3</v>
      </c>
      <c r="B20" s="1">
        <v>1</v>
      </c>
      <c r="C20" s="1"/>
      <c r="D20" s="1">
        <f>ROW(A116)</f>
        <v>116</v>
      </c>
      <c r="E20" s="1"/>
      <c r="F20" s="1" t="s">
        <v>14</v>
      </c>
      <c r="G20" s="1" t="s">
        <v>15</v>
      </c>
      <c r="H20" s="1" t="s">
        <v>3</v>
      </c>
      <c r="I20" s="1">
        <v>0</v>
      </c>
      <c r="J20" s="1" t="s">
        <v>3</v>
      </c>
      <c r="K20" s="1">
        <v>-1</v>
      </c>
      <c r="L20" s="1" t="s">
        <v>3</v>
      </c>
      <c r="M20" s="1" t="s">
        <v>3</v>
      </c>
      <c r="N20" s="1"/>
      <c r="O20" s="1"/>
      <c r="P20" s="1"/>
      <c r="Q20" s="1"/>
      <c r="R20" s="1"/>
      <c r="S20" s="1">
        <v>0</v>
      </c>
      <c r="T20" s="1">
        <v>0</v>
      </c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  <c r="CK20" t="s">
        <v>3</v>
      </c>
      <c r="CL20" t="s">
        <v>3</v>
      </c>
      <c r="CM20" t="s">
        <v>3</v>
      </c>
      <c r="CN20" t="s">
        <v>3</v>
      </c>
      <c r="CO20" t="s">
        <v>3</v>
      </c>
      <c r="CP20" t="s">
        <v>3</v>
      </c>
      <c r="CQ20" t="s">
        <v>3</v>
      </c>
    </row>
    <row r="22" spans="1:255" x14ac:dyDescent="0.2">
      <c r="A22" s="3">
        <v>52</v>
      </c>
      <c r="B22" s="3">
        <f t="shared" ref="B22:G22" si="7">B116</f>
        <v>1</v>
      </c>
      <c r="C22" s="3">
        <f t="shared" si="7"/>
        <v>3</v>
      </c>
      <c r="D22" s="3">
        <f t="shared" si="7"/>
        <v>20</v>
      </c>
      <c r="E22" s="3">
        <f t="shared" si="7"/>
        <v>0</v>
      </c>
      <c r="F22" s="3" t="str">
        <f t="shared" si="7"/>
        <v>02-01-01</v>
      </c>
      <c r="G22" s="3" t="str">
        <f t="shared" si="7"/>
        <v>ПЗУ</v>
      </c>
      <c r="H22" s="3"/>
      <c r="I22" s="3"/>
      <c r="J22" s="3"/>
      <c r="K22" s="3"/>
      <c r="L22" s="3"/>
      <c r="M22" s="3"/>
      <c r="N22" s="3"/>
      <c r="O22" s="3">
        <f t="shared" ref="O22:AT22" si="8">O116</f>
        <v>3407.53</v>
      </c>
      <c r="P22" s="3">
        <f t="shared" si="8"/>
        <v>3016.91</v>
      </c>
      <c r="Q22" s="3">
        <f t="shared" si="8"/>
        <v>171.87</v>
      </c>
      <c r="R22" s="3">
        <f t="shared" si="8"/>
        <v>16.440000000000001</v>
      </c>
      <c r="S22" s="3">
        <f t="shared" si="8"/>
        <v>218.75</v>
      </c>
      <c r="T22" s="3">
        <f t="shared" si="8"/>
        <v>0</v>
      </c>
      <c r="U22" s="3">
        <f t="shared" si="8"/>
        <v>19.610554</v>
      </c>
      <c r="V22" s="3">
        <f t="shared" si="8"/>
        <v>0</v>
      </c>
      <c r="W22" s="3">
        <f t="shared" si="8"/>
        <v>0</v>
      </c>
      <c r="X22" s="3">
        <f t="shared" si="8"/>
        <v>280.22000000000003</v>
      </c>
      <c r="Y22" s="3">
        <f t="shared" si="8"/>
        <v>166.43</v>
      </c>
      <c r="Z22" s="3">
        <f t="shared" si="8"/>
        <v>0</v>
      </c>
      <c r="AA22" s="3">
        <f t="shared" si="8"/>
        <v>0</v>
      </c>
      <c r="AB22" s="3">
        <f t="shared" si="8"/>
        <v>0</v>
      </c>
      <c r="AC22" s="3">
        <f t="shared" si="8"/>
        <v>0</v>
      </c>
      <c r="AD22" s="3">
        <f t="shared" si="8"/>
        <v>0</v>
      </c>
      <c r="AE22" s="3">
        <f t="shared" si="8"/>
        <v>0</v>
      </c>
      <c r="AF22" s="3">
        <f t="shared" si="8"/>
        <v>0</v>
      </c>
      <c r="AG22" s="3">
        <f t="shared" si="8"/>
        <v>0</v>
      </c>
      <c r="AH22" s="3">
        <f t="shared" si="8"/>
        <v>0</v>
      </c>
      <c r="AI22" s="3">
        <f t="shared" si="8"/>
        <v>0</v>
      </c>
      <c r="AJ22" s="3">
        <f t="shared" si="8"/>
        <v>0</v>
      </c>
      <c r="AK22" s="3">
        <f t="shared" si="8"/>
        <v>0</v>
      </c>
      <c r="AL22" s="3">
        <f t="shared" si="8"/>
        <v>0</v>
      </c>
      <c r="AM22" s="3">
        <f t="shared" si="8"/>
        <v>0</v>
      </c>
      <c r="AN22" s="3">
        <f t="shared" si="8"/>
        <v>0</v>
      </c>
      <c r="AO22" s="3">
        <f t="shared" si="8"/>
        <v>0</v>
      </c>
      <c r="AP22" s="3">
        <f t="shared" si="8"/>
        <v>0</v>
      </c>
      <c r="AQ22" s="3">
        <f t="shared" si="8"/>
        <v>0</v>
      </c>
      <c r="AR22" s="3">
        <f t="shared" si="8"/>
        <v>3882.95</v>
      </c>
      <c r="AS22" s="3">
        <f t="shared" si="8"/>
        <v>3882.95</v>
      </c>
      <c r="AT22" s="3">
        <f t="shared" si="8"/>
        <v>0</v>
      </c>
      <c r="AU22" s="3">
        <f t="shared" ref="AU22:BZ22" si="9">AU116</f>
        <v>0</v>
      </c>
      <c r="AV22" s="3">
        <f t="shared" si="9"/>
        <v>3016.91</v>
      </c>
      <c r="AW22" s="3">
        <f t="shared" si="9"/>
        <v>3016.91</v>
      </c>
      <c r="AX22" s="3">
        <f t="shared" si="9"/>
        <v>0</v>
      </c>
      <c r="AY22" s="3">
        <f t="shared" si="9"/>
        <v>3016.91</v>
      </c>
      <c r="AZ22" s="3">
        <f t="shared" si="9"/>
        <v>0</v>
      </c>
      <c r="BA22" s="3">
        <f t="shared" si="9"/>
        <v>0</v>
      </c>
      <c r="BB22" s="3">
        <f t="shared" si="9"/>
        <v>0</v>
      </c>
      <c r="BC22" s="3">
        <f t="shared" si="9"/>
        <v>0</v>
      </c>
      <c r="BD22" s="3">
        <f t="shared" si="9"/>
        <v>0</v>
      </c>
      <c r="BE22" s="3">
        <f t="shared" si="9"/>
        <v>0</v>
      </c>
      <c r="BF22" s="3">
        <f t="shared" si="9"/>
        <v>0</v>
      </c>
      <c r="BG22" s="3">
        <f t="shared" si="9"/>
        <v>0</v>
      </c>
      <c r="BH22" s="3">
        <f t="shared" si="9"/>
        <v>0</v>
      </c>
      <c r="BI22" s="3">
        <f t="shared" si="9"/>
        <v>0</v>
      </c>
      <c r="BJ22" s="3">
        <f t="shared" si="9"/>
        <v>0</v>
      </c>
      <c r="BK22" s="3">
        <f t="shared" si="9"/>
        <v>0</v>
      </c>
      <c r="BL22" s="3">
        <f t="shared" si="9"/>
        <v>0</v>
      </c>
      <c r="BM22" s="3">
        <f t="shared" si="9"/>
        <v>0</v>
      </c>
      <c r="BN22" s="3">
        <f t="shared" si="9"/>
        <v>0</v>
      </c>
      <c r="BO22" s="3">
        <f t="shared" si="9"/>
        <v>0</v>
      </c>
      <c r="BP22" s="3">
        <f t="shared" si="9"/>
        <v>0</v>
      </c>
      <c r="BQ22" s="3">
        <f t="shared" si="9"/>
        <v>0</v>
      </c>
      <c r="BR22" s="3">
        <f t="shared" si="9"/>
        <v>0</v>
      </c>
      <c r="BS22" s="3">
        <f t="shared" si="9"/>
        <v>0</v>
      </c>
      <c r="BT22" s="3">
        <f t="shared" si="9"/>
        <v>0</v>
      </c>
      <c r="BU22" s="3">
        <f t="shared" si="9"/>
        <v>0</v>
      </c>
      <c r="BV22" s="3">
        <f t="shared" si="9"/>
        <v>0</v>
      </c>
      <c r="BW22" s="3">
        <f t="shared" si="9"/>
        <v>0</v>
      </c>
      <c r="BX22" s="3">
        <f t="shared" si="9"/>
        <v>0</v>
      </c>
      <c r="BY22" s="3">
        <f t="shared" si="9"/>
        <v>0</v>
      </c>
      <c r="BZ22" s="3">
        <f t="shared" si="9"/>
        <v>0</v>
      </c>
      <c r="CA22" s="3">
        <f t="shared" ref="CA22:DF22" si="10">CA116</f>
        <v>0</v>
      </c>
      <c r="CB22" s="3">
        <f t="shared" si="10"/>
        <v>0</v>
      </c>
      <c r="CC22" s="3">
        <f t="shared" si="10"/>
        <v>0</v>
      </c>
      <c r="CD22" s="3">
        <f t="shared" si="10"/>
        <v>0</v>
      </c>
      <c r="CE22" s="3">
        <f t="shared" si="10"/>
        <v>0</v>
      </c>
      <c r="CF22" s="3">
        <f t="shared" si="10"/>
        <v>0</v>
      </c>
      <c r="CG22" s="3">
        <f t="shared" si="10"/>
        <v>0</v>
      </c>
      <c r="CH22" s="3">
        <f t="shared" si="10"/>
        <v>0</v>
      </c>
      <c r="CI22" s="3">
        <f t="shared" si="10"/>
        <v>0</v>
      </c>
      <c r="CJ22" s="3">
        <f t="shared" si="10"/>
        <v>0</v>
      </c>
      <c r="CK22" s="3">
        <f t="shared" si="10"/>
        <v>0</v>
      </c>
      <c r="CL22" s="3">
        <f t="shared" si="10"/>
        <v>0</v>
      </c>
      <c r="CM22" s="3">
        <f t="shared" si="10"/>
        <v>0</v>
      </c>
      <c r="CN22" s="3">
        <f t="shared" si="10"/>
        <v>0</v>
      </c>
      <c r="CO22" s="3">
        <f t="shared" si="10"/>
        <v>0</v>
      </c>
      <c r="CP22" s="3">
        <f t="shared" si="10"/>
        <v>0</v>
      </c>
      <c r="CQ22" s="3">
        <f t="shared" si="10"/>
        <v>0</v>
      </c>
      <c r="CR22" s="3">
        <f t="shared" si="10"/>
        <v>0</v>
      </c>
      <c r="CS22" s="3">
        <f t="shared" si="10"/>
        <v>0</v>
      </c>
      <c r="CT22" s="3">
        <f t="shared" si="10"/>
        <v>0</v>
      </c>
      <c r="CU22" s="3">
        <f t="shared" si="10"/>
        <v>0</v>
      </c>
      <c r="CV22" s="3">
        <f t="shared" si="10"/>
        <v>0</v>
      </c>
      <c r="CW22" s="3">
        <f t="shared" si="10"/>
        <v>0</v>
      </c>
      <c r="CX22" s="3">
        <f t="shared" si="10"/>
        <v>0</v>
      </c>
      <c r="CY22" s="3">
        <f t="shared" si="10"/>
        <v>0</v>
      </c>
      <c r="CZ22" s="3">
        <f t="shared" si="10"/>
        <v>0</v>
      </c>
      <c r="DA22" s="3">
        <f t="shared" si="10"/>
        <v>0</v>
      </c>
      <c r="DB22" s="3">
        <f t="shared" si="10"/>
        <v>0</v>
      </c>
      <c r="DC22" s="3">
        <f t="shared" si="10"/>
        <v>0</v>
      </c>
      <c r="DD22" s="3">
        <f t="shared" si="10"/>
        <v>0</v>
      </c>
      <c r="DE22" s="3">
        <f t="shared" si="10"/>
        <v>0</v>
      </c>
      <c r="DF22" s="3">
        <f t="shared" si="10"/>
        <v>0</v>
      </c>
      <c r="DG22" s="4">
        <f t="shared" ref="DG22:EL22" si="11">DG116</f>
        <v>37482</v>
      </c>
      <c r="DH22" s="4">
        <f t="shared" si="11"/>
        <v>29329.89</v>
      </c>
      <c r="DI22" s="4">
        <f t="shared" si="11"/>
        <v>1801.79</v>
      </c>
      <c r="DJ22" s="4">
        <f t="shared" si="11"/>
        <v>477.26</v>
      </c>
      <c r="DK22" s="4">
        <f t="shared" si="11"/>
        <v>6350.32</v>
      </c>
      <c r="DL22" s="4">
        <f t="shared" si="11"/>
        <v>0</v>
      </c>
      <c r="DM22" s="4">
        <f t="shared" si="11"/>
        <v>19.610554</v>
      </c>
      <c r="DN22" s="4">
        <f t="shared" si="11"/>
        <v>0</v>
      </c>
      <c r="DO22" s="4">
        <f t="shared" si="11"/>
        <v>0</v>
      </c>
      <c r="DP22" s="4">
        <f t="shared" si="11"/>
        <v>6686.15</v>
      </c>
      <c r="DQ22" s="4">
        <f t="shared" si="11"/>
        <v>2603.63</v>
      </c>
      <c r="DR22" s="4">
        <f t="shared" si="11"/>
        <v>0</v>
      </c>
      <c r="DS22" s="4">
        <f t="shared" si="11"/>
        <v>0</v>
      </c>
      <c r="DT22" s="4">
        <f t="shared" si="11"/>
        <v>0</v>
      </c>
      <c r="DU22" s="4">
        <f t="shared" si="11"/>
        <v>0</v>
      </c>
      <c r="DV22" s="4">
        <f t="shared" si="11"/>
        <v>0</v>
      </c>
      <c r="DW22" s="4">
        <f t="shared" si="11"/>
        <v>0</v>
      </c>
      <c r="DX22" s="4">
        <f t="shared" si="11"/>
        <v>0</v>
      </c>
      <c r="DY22" s="4">
        <f t="shared" si="11"/>
        <v>0</v>
      </c>
      <c r="DZ22" s="4">
        <f t="shared" si="11"/>
        <v>0</v>
      </c>
      <c r="EA22" s="4">
        <f t="shared" si="11"/>
        <v>0</v>
      </c>
      <c r="EB22" s="4">
        <f t="shared" si="11"/>
        <v>0</v>
      </c>
      <c r="EC22" s="4">
        <f t="shared" si="11"/>
        <v>0</v>
      </c>
      <c r="ED22" s="4">
        <f t="shared" si="11"/>
        <v>0</v>
      </c>
      <c r="EE22" s="4">
        <f t="shared" si="11"/>
        <v>0</v>
      </c>
      <c r="EF22" s="4">
        <f t="shared" si="11"/>
        <v>0</v>
      </c>
      <c r="EG22" s="4">
        <f t="shared" si="11"/>
        <v>0</v>
      </c>
      <c r="EH22" s="4">
        <f t="shared" si="11"/>
        <v>0</v>
      </c>
      <c r="EI22" s="4">
        <f t="shared" si="11"/>
        <v>0</v>
      </c>
      <c r="EJ22" s="4">
        <f t="shared" si="11"/>
        <v>47535.4</v>
      </c>
      <c r="EK22" s="4">
        <f t="shared" si="11"/>
        <v>47535.4</v>
      </c>
      <c r="EL22" s="4">
        <f t="shared" si="11"/>
        <v>0</v>
      </c>
      <c r="EM22" s="4">
        <f t="shared" ref="EM22:FR22" si="12">EM116</f>
        <v>0</v>
      </c>
      <c r="EN22" s="4">
        <f t="shared" si="12"/>
        <v>29329.89</v>
      </c>
      <c r="EO22" s="4">
        <f t="shared" si="12"/>
        <v>29329.89</v>
      </c>
      <c r="EP22" s="4">
        <f t="shared" si="12"/>
        <v>0</v>
      </c>
      <c r="EQ22" s="4">
        <f t="shared" si="12"/>
        <v>29329.89</v>
      </c>
      <c r="ER22" s="4">
        <f t="shared" si="12"/>
        <v>0</v>
      </c>
      <c r="ES22" s="4">
        <f t="shared" si="12"/>
        <v>0</v>
      </c>
      <c r="ET22" s="4">
        <f t="shared" si="12"/>
        <v>0</v>
      </c>
      <c r="EU22" s="4">
        <f t="shared" si="12"/>
        <v>0</v>
      </c>
      <c r="EV22" s="4">
        <f t="shared" si="12"/>
        <v>0</v>
      </c>
      <c r="EW22" s="4">
        <f t="shared" si="12"/>
        <v>0</v>
      </c>
      <c r="EX22" s="4">
        <f t="shared" si="12"/>
        <v>0</v>
      </c>
      <c r="EY22" s="4">
        <f t="shared" si="12"/>
        <v>0</v>
      </c>
      <c r="EZ22" s="4">
        <f t="shared" si="12"/>
        <v>0</v>
      </c>
      <c r="FA22" s="4">
        <f t="shared" si="12"/>
        <v>0</v>
      </c>
      <c r="FB22" s="4">
        <f t="shared" si="12"/>
        <v>0</v>
      </c>
      <c r="FC22" s="4">
        <f t="shared" si="12"/>
        <v>0</v>
      </c>
      <c r="FD22" s="4">
        <f t="shared" si="12"/>
        <v>0</v>
      </c>
      <c r="FE22" s="4">
        <f t="shared" si="12"/>
        <v>0</v>
      </c>
      <c r="FF22" s="4">
        <f t="shared" si="12"/>
        <v>0</v>
      </c>
      <c r="FG22" s="4">
        <f t="shared" si="12"/>
        <v>0</v>
      </c>
      <c r="FH22" s="4">
        <f t="shared" si="12"/>
        <v>0</v>
      </c>
      <c r="FI22" s="4">
        <f t="shared" si="12"/>
        <v>0</v>
      </c>
      <c r="FJ22" s="4">
        <f t="shared" si="12"/>
        <v>0</v>
      </c>
      <c r="FK22" s="4">
        <f t="shared" si="12"/>
        <v>0</v>
      </c>
      <c r="FL22" s="4">
        <f t="shared" si="12"/>
        <v>0</v>
      </c>
      <c r="FM22" s="4">
        <f t="shared" si="12"/>
        <v>0</v>
      </c>
      <c r="FN22" s="4">
        <f t="shared" si="12"/>
        <v>0</v>
      </c>
      <c r="FO22" s="4">
        <f t="shared" si="12"/>
        <v>0</v>
      </c>
      <c r="FP22" s="4">
        <f t="shared" si="12"/>
        <v>0</v>
      </c>
      <c r="FQ22" s="4">
        <f t="shared" si="12"/>
        <v>0</v>
      </c>
      <c r="FR22" s="4">
        <f t="shared" si="12"/>
        <v>0</v>
      </c>
      <c r="FS22" s="4">
        <f t="shared" ref="FS22:GX22" si="13">FS116</f>
        <v>0</v>
      </c>
      <c r="FT22" s="4">
        <f t="shared" si="13"/>
        <v>0</v>
      </c>
      <c r="FU22" s="4">
        <f t="shared" si="13"/>
        <v>0</v>
      </c>
      <c r="FV22" s="4">
        <f t="shared" si="13"/>
        <v>0</v>
      </c>
      <c r="FW22" s="4">
        <f t="shared" si="13"/>
        <v>0</v>
      </c>
      <c r="FX22" s="4">
        <f t="shared" si="13"/>
        <v>0</v>
      </c>
      <c r="FY22" s="4">
        <f t="shared" si="13"/>
        <v>0</v>
      </c>
      <c r="FZ22" s="4">
        <f t="shared" si="13"/>
        <v>0</v>
      </c>
      <c r="GA22" s="4">
        <f t="shared" si="13"/>
        <v>0</v>
      </c>
      <c r="GB22" s="4">
        <f t="shared" si="13"/>
        <v>0</v>
      </c>
      <c r="GC22" s="4">
        <f t="shared" si="13"/>
        <v>0</v>
      </c>
      <c r="GD22" s="4">
        <f t="shared" si="13"/>
        <v>0</v>
      </c>
      <c r="GE22" s="4">
        <f t="shared" si="13"/>
        <v>0</v>
      </c>
      <c r="GF22" s="4">
        <f t="shared" si="13"/>
        <v>0</v>
      </c>
      <c r="GG22" s="4">
        <f t="shared" si="13"/>
        <v>0</v>
      </c>
      <c r="GH22" s="4">
        <f t="shared" si="13"/>
        <v>0</v>
      </c>
      <c r="GI22" s="4">
        <f t="shared" si="13"/>
        <v>0</v>
      </c>
      <c r="GJ22" s="4">
        <f t="shared" si="13"/>
        <v>0</v>
      </c>
      <c r="GK22" s="4">
        <f t="shared" si="13"/>
        <v>0</v>
      </c>
      <c r="GL22" s="4">
        <f t="shared" si="13"/>
        <v>0</v>
      </c>
      <c r="GM22" s="4">
        <f t="shared" si="13"/>
        <v>0</v>
      </c>
      <c r="GN22" s="4">
        <f t="shared" si="13"/>
        <v>0</v>
      </c>
      <c r="GO22" s="4">
        <f t="shared" si="13"/>
        <v>0</v>
      </c>
      <c r="GP22" s="4">
        <f t="shared" si="13"/>
        <v>0</v>
      </c>
      <c r="GQ22" s="4">
        <f t="shared" si="13"/>
        <v>0</v>
      </c>
      <c r="GR22" s="4">
        <f t="shared" si="13"/>
        <v>0</v>
      </c>
      <c r="GS22" s="4">
        <f t="shared" si="13"/>
        <v>0</v>
      </c>
      <c r="GT22" s="4">
        <f t="shared" si="13"/>
        <v>0</v>
      </c>
      <c r="GU22" s="4">
        <f t="shared" si="13"/>
        <v>0</v>
      </c>
      <c r="GV22" s="4">
        <f t="shared" si="13"/>
        <v>0</v>
      </c>
      <c r="GW22" s="4">
        <f t="shared" si="13"/>
        <v>0</v>
      </c>
      <c r="GX22" s="4">
        <f t="shared" si="13"/>
        <v>0</v>
      </c>
    </row>
    <row r="24" spans="1:255" x14ac:dyDescent="0.2">
      <c r="A24" s="1">
        <v>4</v>
      </c>
      <c r="B24" s="1">
        <v>1</v>
      </c>
      <c r="C24" s="1"/>
      <c r="D24" s="1">
        <f>ROW(A31)</f>
        <v>31</v>
      </c>
      <c r="E24" s="1"/>
      <c r="F24" s="1" t="s">
        <v>16</v>
      </c>
      <c r="G24" s="1" t="s">
        <v>17</v>
      </c>
      <c r="H24" s="1" t="s">
        <v>3</v>
      </c>
      <c r="I24" s="1">
        <v>0</v>
      </c>
      <c r="J24" s="1"/>
      <c r="K24" s="1">
        <v>0</v>
      </c>
      <c r="L24" s="1"/>
      <c r="M24" s="1" t="s">
        <v>3</v>
      </c>
      <c r="N24" s="1"/>
      <c r="O24" s="1"/>
      <c r="P24" s="1"/>
      <c r="Q24" s="1"/>
      <c r="R24" s="1"/>
      <c r="S24" s="1">
        <v>0</v>
      </c>
      <c r="T24" s="1">
        <v>0</v>
      </c>
      <c r="U24" s="1" t="s">
        <v>3</v>
      </c>
      <c r="V24" s="1">
        <v>0</v>
      </c>
      <c r="W24" s="1"/>
      <c r="X24" s="1"/>
      <c r="Y24" s="1"/>
      <c r="Z24" s="1"/>
      <c r="AA24" s="1"/>
      <c r="AB24" s="1" t="s">
        <v>3</v>
      </c>
      <c r="AC24" s="1" t="s">
        <v>3</v>
      </c>
      <c r="AD24" s="1" t="s">
        <v>3</v>
      </c>
      <c r="AE24" s="1" t="s">
        <v>3</v>
      </c>
      <c r="AF24" s="1" t="s">
        <v>3</v>
      </c>
      <c r="AG24" s="1" t="s">
        <v>3</v>
      </c>
      <c r="AH24" s="1"/>
      <c r="AI24" s="1"/>
      <c r="AJ24" s="1"/>
      <c r="AK24" s="1"/>
      <c r="AL24" s="1"/>
      <c r="AM24" s="1"/>
      <c r="AN24" s="1"/>
      <c r="AO24" s="1"/>
      <c r="AP24" s="1" t="s">
        <v>3</v>
      </c>
      <c r="AQ24" s="1" t="s">
        <v>3</v>
      </c>
      <c r="AR24" s="1" t="s">
        <v>3</v>
      </c>
      <c r="AS24" s="1"/>
      <c r="AT24" s="1"/>
      <c r="AU24" s="1"/>
      <c r="AV24" s="1"/>
      <c r="AW24" s="1"/>
      <c r="AX24" s="1"/>
      <c r="AY24" s="1"/>
      <c r="AZ24" s="1" t="s">
        <v>3</v>
      </c>
      <c r="BA24" s="1"/>
      <c r="BB24" s="1" t="s">
        <v>3</v>
      </c>
      <c r="BC24" s="1" t="s">
        <v>3</v>
      </c>
      <c r="BD24" s="1" t="s">
        <v>3</v>
      </c>
      <c r="BE24" s="1" t="s">
        <v>3</v>
      </c>
      <c r="BF24" s="1" t="s">
        <v>3</v>
      </c>
      <c r="BG24" s="1" t="s">
        <v>3</v>
      </c>
      <c r="BH24" s="1" t="s">
        <v>3</v>
      </c>
      <c r="BI24" s="1" t="s">
        <v>3</v>
      </c>
      <c r="BJ24" s="1" t="s">
        <v>3</v>
      </c>
      <c r="BK24" s="1" t="s">
        <v>3</v>
      </c>
      <c r="BL24" s="1" t="s">
        <v>3</v>
      </c>
      <c r="BM24" s="1" t="s">
        <v>3</v>
      </c>
      <c r="BN24" s="1" t="s">
        <v>3</v>
      </c>
      <c r="BO24" s="1" t="s">
        <v>3</v>
      </c>
      <c r="BP24" s="1" t="s">
        <v>3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55" x14ac:dyDescent="0.2">
      <c r="A26" s="3">
        <v>52</v>
      </c>
      <c r="B26" s="3">
        <f t="shared" ref="B26:G26" si="14">B31</f>
        <v>1</v>
      </c>
      <c r="C26" s="3">
        <f t="shared" si="14"/>
        <v>4</v>
      </c>
      <c r="D26" s="3">
        <f t="shared" si="14"/>
        <v>24</v>
      </c>
      <c r="E26" s="3">
        <f t="shared" si="14"/>
        <v>0</v>
      </c>
      <c r="F26" s="3" t="str">
        <f t="shared" si="14"/>
        <v>Новый раздел</v>
      </c>
      <c r="G26" s="3" t="str">
        <f t="shared" si="14"/>
        <v>Демонтажные работы</v>
      </c>
      <c r="H26" s="3"/>
      <c r="I26" s="3"/>
      <c r="J26" s="3"/>
      <c r="K26" s="3"/>
      <c r="L26" s="3"/>
      <c r="M26" s="3"/>
      <c r="N26" s="3"/>
      <c r="O26" s="3">
        <f t="shared" ref="O26:AT26" si="15">O31</f>
        <v>53.11</v>
      </c>
      <c r="P26" s="3">
        <f t="shared" si="15"/>
        <v>0</v>
      </c>
      <c r="Q26" s="3">
        <f t="shared" si="15"/>
        <v>0</v>
      </c>
      <c r="R26" s="3">
        <f t="shared" si="15"/>
        <v>0</v>
      </c>
      <c r="S26" s="3">
        <f t="shared" si="15"/>
        <v>53.11</v>
      </c>
      <c r="T26" s="3">
        <f t="shared" si="15"/>
        <v>0</v>
      </c>
      <c r="U26" s="3">
        <f t="shared" si="15"/>
        <v>5.0101999999999993</v>
      </c>
      <c r="V26" s="3">
        <f t="shared" si="15"/>
        <v>0</v>
      </c>
      <c r="W26" s="3">
        <f t="shared" si="15"/>
        <v>0</v>
      </c>
      <c r="X26" s="3">
        <f t="shared" si="15"/>
        <v>48.33</v>
      </c>
      <c r="Y26" s="3">
        <f t="shared" si="15"/>
        <v>35.58</v>
      </c>
      <c r="Z26" s="3">
        <f t="shared" si="15"/>
        <v>0</v>
      </c>
      <c r="AA26" s="3">
        <f t="shared" si="15"/>
        <v>0</v>
      </c>
      <c r="AB26" s="3">
        <f t="shared" si="15"/>
        <v>53.11</v>
      </c>
      <c r="AC26" s="3">
        <f t="shared" si="15"/>
        <v>0</v>
      </c>
      <c r="AD26" s="3">
        <f t="shared" si="15"/>
        <v>0</v>
      </c>
      <c r="AE26" s="3">
        <f t="shared" si="15"/>
        <v>0</v>
      </c>
      <c r="AF26" s="3">
        <f t="shared" si="15"/>
        <v>53.11</v>
      </c>
      <c r="AG26" s="3">
        <f t="shared" si="15"/>
        <v>0</v>
      </c>
      <c r="AH26" s="3">
        <f t="shared" si="15"/>
        <v>5.0101999999999993</v>
      </c>
      <c r="AI26" s="3">
        <f t="shared" si="15"/>
        <v>0</v>
      </c>
      <c r="AJ26" s="3">
        <f t="shared" si="15"/>
        <v>0</v>
      </c>
      <c r="AK26" s="3">
        <f t="shared" si="15"/>
        <v>48.33</v>
      </c>
      <c r="AL26" s="3">
        <f t="shared" si="15"/>
        <v>35.58</v>
      </c>
      <c r="AM26" s="3">
        <f t="shared" si="15"/>
        <v>0</v>
      </c>
      <c r="AN26" s="3">
        <f t="shared" si="15"/>
        <v>0</v>
      </c>
      <c r="AO26" s="3">
        <f t="shared" si="15"/>
        <v>0</v>
      </c>
      <c r="AP26" s="3">
        <f t="shared" si="15"/>
        <v>0</v>
      </c>
      <c r="AQ26" s="3">
        <f t="shared" si="15"/>
        <v>0</v>
      </c>
      <c r="AR26" s="3">
        <f t="shared" si="15"/>
        <v>137.02000000000001</v>
      </c>
      <c r="AS26" s="3">
        <f t="shared" si="15"/>
        <v>137.02000000000001</v>
      </c>
      <c r="AT26" s="3">
        <f t="shared" si="15"/>
        <v>0</v>
      </c>
      <c r="AU26" s="3">
        <f t="shared" ref="AU26:BZ26" si="16">AU31</f>
        <v>0</v>
      </c>
      <c r="AV26" s="3">
        <f t="shared" si="16"/>
        <v>0</v>
      </c>
      <c r="AW26" s="3">
        <f t="shared" si="16"/>
        <v>0</v>
      </c>
      <c r="AX26" s="3">
        <f t="shared" si="16"/>
        <v>0</v>
      </c>
      <c r="AY26" s="3">
        <f t="shared" si="16"/>
        <v>0</v>
      </c>
      <c r="AZ26" s="3">
        <f t="shared" si="16"/>
        <v>0</v>
      </c>
      <c r="BA26" s="3">
        <f t="shared" si="16"/>
        <v>0</v>
      </c>
      <c r="BB26" s="3">
        <f t="shared" si="16"/>
        <v>0</v>
      </c>
      <c r="BC26" s="3">
        <f t="shared" si="16"/>
        <v>0</v>
      </c>
      <c r="BD26" s="3">
        <f t="shared" si="16"/>
        <v>0</v>
      </c>
      <c r="BE26" s="3">
        <f t="shared" si="16"/>
        <v>0</v>
      </c>
      <c r="BF26" s="3">
        <f t="shared" si="16"/>
        <v>0</v>
      </c>
      <c r="BG26" s="3">
        <f t="shared" si="16"/>
        <v>0</v>
      </c>
      <c r="BH26" s="3">
        <f t="shared" si="16"/>
        <v>0</v>
      </c>
      <c r="BI26" s="3">
        <f t="shared" si="16"/>
        <v>0</v>
      </c>
      <c r="BJ26" s="3">
        <f t="shared" si="16"/>
        <v>0</v>
      </c>
      <c r="BK26" s="3">
        <f t="shared" si="16"/>
        <v>0</v>
      </c>
      <c r="BL26" s="3">
        <f t="shared" si="16"/>
        <v>0</v>
      </c>
      <c r="BM26" s="3">
        <f t="shared" si="16"/>
        <v>0</v>
      </c>
      <c r="BN26" s="3">
        <f t="shared" si="16"/>
        <v>0</v>
      </c>
      <c r="BO26" s="3">
        <f t="shared" si="16"/>
        <v>0</v>
      </c>
      <c r="BP26" s="3">
        <f t="shared" si="16"/>
        <v>0</v>
      </c>
      <c r="BQ26" s="3">
        <f t="shared" si="16"/>
        <v>0</v>
      </c>
      <c r="BR26" s="3">
        <f t="shared" si="16"/>
        <v>0</v>
      </c>
      <c r="BS26" s="3">
        <f t="shared" si="16"/>
        <v>0</v>
      </c>
      <c r="BT26" s="3">
        <f t="shared" si="16"/>
        <v>0</v>
      </c>
      <c r="BU26" s="3">
        <f t="shared" si="16"/>
        <v>0</v>
      </c>
      <c r="BV26" s="3">
        <f t="shared" si="16"/>
        <v>0</v>
      </c>
      <c r="BW26" s="3">
        <f t="shared" si="16"/>
        <v>0</v>
      </c>
      <c r="BX26" s="3">
        <f t="shared" si="16"/>
        <v>0</v>
      </c>
      <c r="BY26" s="3">
        <f t="shared" si="16"/>
        <v>0</v>
      </c>
      <c r="BZ26" s="3">
        <f t="shared" si="16"/>
        <v>0</v>
      </c>
      <c r="CA26" s="3">
        <f t="shared" ref="CA26:DF26" si="17">CA31</f>
        <v>137.02000000000001</v>
      </c>
      <c r="CB26" s="3">
        <f t="shared" si="17"/>
        <v>137.02000000000001</v>
      </c>
      <c r="CC26" s="3">
        <f t="shared" si="17"/>
        <v>0</v>
      </c>
      <c r="CD26" s="3">
        <f t="shared" si="17"/>
        <v>0</v>
      </c>
      <c r="CE26" s="3">
        <f t="shared" si="17"/>
        <v>0</v>
      </c>
      <c r="CF26" s="3">
        <f t="shared" si="17"/>
        <v>0</v>
      </c>
      <c r="CG26" s="3">
        <f t="shared" si="17"/>
        <v>0</v>
      </c>
      <c r="CH26" s="3">
        <f t="shared" si="17"/>
        <v>0</v>
      </c>
      <c r="CI26" s="3">
        <f t="shared" si="17"/>
        <v>0</v>
      </c>
      <c r="CJ26" s="3">
        <f t="shared" si="17"/>
        <v>0</v>
      </c>
      <c r="CK26" s="3">
        <f t="shared" si="17"/>
        <v>0</v>
      </c>
      <c r="CL26" s="3">
        <f t="shared" si="17"/>
        <v>0</v>
      </c>
      <c r="CM26" s="3">
        <f t="shared" si="17"/>
        <v>0</v>
      </c>
      <c r="CN26" s="3">
        <f t="shared" si="17"/>
        <v>0</v>
      </c>
      <c r="CO26" s="3">
        <f t="shared" si="17"/>
        <v>0</v>
      </c>
      <c r="CP26" s="3">
        <f t="shared" si="17"/>
        <v>0</v>
      </c>
      <c r="CQ26" s="3">
        <f t="shared" si="17"/>
        <v>0</v>
      </c>
      <c r="CR26" s="3">
        <f t="shared" si="17"/>
        <v>0</v>
      </c>
      <c r="CS26" s="3">
        <f t="shared" si="17"/>
        <v>0</v>
      </c>
      <c r="CT26" s="3">
        <f t="shared" si="17"/>
        <v>0</v>
      </c>
      <c r="CU26" s="3">
        <f t="shared" si="17"/>
        <v>0</v>
      </c>
      <c r="CV26" s="3">
        <f t="shared" si="17"/>
        <v>0</v>
      </c>
      <c r="CW26" s="3">
        <f t="shared" si="17"/>
        <v>0</v>
      </c>
      <c r="CX26" s="3">
        <f t="shared" si="17"/>
        <v>0</v>
      </c>
      <c r="CY26" s="3">
        <f t="shared" si="17"/>
        <v>0</v>
      </c>
      <c r="CZ26" s="3">
        <f t="shared" si="17"/>
        <v>0</v>
      </c>
      <c r="DA26" s="3">
        <f t="shared" si="17"/>
        <v>0</v>
      </c>
      <c r="DB26" s="3">
        <f t="shared" si="17"/>
        <v>0</v>
      </c>
      <c r="DC26" s="3">
        <f t="shared" si="17"/>
        <v>0</v>
      </c>
      <c r="DD26" s="3">
        <f t="shared" si="17"/>
        <v>0</v>
      </c>
      <c r="DE26" s="3">
        <f t="shared" si="17"/>
        <v>0</v>
      </c>
      <c r="DF26" s="3">
        <f t="shared" si="17"/>
        <v>0</v>
      </c>
      <c r="DG26" s="4">
        <f t="shared" ref="DG26:EL26" si="18">DG31</f>
        <v>1541.78</v>
      </c>
      <c r="DH26" s="4">
        <f t="shared" si="18"/>
        <v>0</v>
      </c>
      <c r="DI26" s="4">
        <f t="shared" si="18"/>
        <v>0</v>
      </c>
      <c r="DJ26" s="4">
        <f t="shared" si="18"/>
        <v>0</v>
      </c>
      <c r="DK26" s="4">
        <f t="shared" si="18"/>
        <v>1541.78</v>
      </c>
      <c r="DL26" s="4">
        <f t="shared" si="18"/>
        <v>0</v>
      </c>
      <c r="DM26" s="4">
        <f t="shared" si="18"/>
        <v>5.0101999999999993</v>
      </c>
      <c r="DN26" s="4">
        <f t="shared" si="18"/>
        <v>0</v>
      </c>
      <c r="DO26" s="4">
        <f t="shared" si="18"/>
        <v>0</v>
      </c>
      <c r="DP26" s="4">
        <f t="shared" si="18"/>
        <v>1156.3399999999999</v>
      </c>
      <c r="DQ26" s="4">
        <f t="shared" si="18"/>
        <v>632.13</v>
      </c>
      <c r="DR26" s="4">
        <f t="shared" si="18"/>
        <v>0</v>
      </c>
      <c r="DS26" s="4">
        <f t="shared" si="18"/>
        <v>0</v>
      </c>
      <c r="DT26" s="4">
        <f t="shared" si="18"/>
        <v>1541.78</v>
      </c>
      <c r="DU26" s="4">
        <f t="shared" si="18"/>
        <v>0</v>
      </c>
      <c r="DV26" s="4">
        <f t="shared" si="18"/>
        <v>0</v>
      </c>
      <c r="DW26" s="4">
        <f t="shared" si="18"/>
        <v>0</v>
      </c>
      <c r="DX26" s="4">
        <f t="shared" si="18"/>
        <v>1541.78</v>
      </c>
      <c r="DY26" s="4">
        <f t="shared" si="18"/>
        <v>0</v>
      </c>
      <c r="DZ26" s="4">
        <f t="shared" si="18"/>
        <v>5.0101999999999993</v>
      </c>
      <c r="EA26" s="4">
        <f t="shared" si="18"/>
        <v>0</v>
      </c>
      <c r="EB26" s="4">
        <f t="shared" si="18"/>
        <v>0</v>
      </c>
      <c r="EC26" s="4">
        <f t="shared" si="18"/>
        <v>1156.3399999999999</v>
      </c>
      <c r="ED26" s="4">
        <f t="shared" si="18"/>
        <v>632.13</v>
      </c>
      <c r="EE26" s="4">
        <f t="shared" si="18"/>
        <v>0</v>
      </c>
      <c r="EF26" s="4">
        <f t="shared" si="18"/>
        <v>0</v>
      </c>
      <c r="EG26" s="4">
        <f t="shared" si="18"/>
        <v>0</v>
      </c>
      <c r="EH26" s="4">
        <f t="shared" si="18"/>
        <v>0</v>
      </c>
      <c r="EI26" s="4">
        <f t="shared" si="18"/>
        <v>0</v>
      </c>
      <c r="EJ26" s="4">
        <f t="shared" si="18"/>
        <v>3330.25</v>
      </c>
      <c r="EK26" s="4">
        <f t="shared" si="18"/>
        <v>3330.25</v>
      </c>
      <c r="EL26" s="4">
        <f t="shared" si="18"/>
        <v>0</v>
      </c>
      <c r="EM26" s="4">
        <f t="shared" ref="EM26:FR26" si="19">EM31</f>
        <v>0</v>
      </c>
      <c r="EN26" s="4">
        <f t="shared" si="19"/>
        <v>0</v>
      </c>
      <c r="EO26" s="4">
        <f t="shared" si="19"/>
        <v>0</v>
      </c>
      <c r="EP26" s="4">
        <f t="shared" si="19"/>
        <v>0</v>
      </c>
      <c r="EQ26" s="4">
        <f t="shared" si="19"/>
        <v>0</v>
      </c>
      <c r="ER26" s="4">
        <f t="shared" si="19"/>
        <v>0</v>
      </c>
      <c r="ES26" s="4">
        <f t="shared" si="19"/>
        <v>0</v>
      </c>
      <c r="ET26" s="4">
        <f t="shared" si="19"/>
        <v>0</v>
      </c>
      <c r="EU26" s="4">
        <f t="shared" si="19"/>
        <v>0</v>
      </c>
      <c r="EV26" s="4">
        <f t="shared" si="19"/>
        <v>0</v>
      </c>
      <c r="EW26" s="4">
        <f t="shared" si="19"/>
        <v>0</v>
      </c>
      <c r="EX26" s="4">
        <f t="shared" si="19"/>
        <v>0</v>
      </c>
      <c r="EY26" s="4">
        <f t="shared" si="19"/>
        <v>0</v>
      </c>
      <c r="EZ26" s="4">
        <f t="shared" si="19"/>
        <v>0</v>
      </c>
      <c r="FA26" s="4">
        <f t="shared" si="19"/>
        <v>0</v>
      </c>
      <c r="FB26" s="4">
        <f t="shared" si="19"/>
        <v>0</v>
      </c>
      <c r="FC26" s="4">
        <f t="shared" si="19"/>
        <v>0</v>
      </c>
      <c r="FD26" s="4">
        <f t="shared" si="19"/>
        <v>0</v>
      </c>
      <c r="FE26" s="4">
        <f t="shared" si="19"/>
        <v>0</v>
      </c>
      <c r="FF26" s="4">
        <f t="shared" si="19"/>
        <v>0</v>
      </c>
      <c r="FG26" s="4">
        <f t="shared" si="19"/>
        <v>0</v>
      </c>
      <c r="FH26" s="4">
        <f t="shared" si="19"/>
        <v>0</v>
      </c>
      <c r="FI26" s="4">
        <f t="shared" si="19"/>
        <v>0</v>
      </c>
      <c r="FJ26" s="4">
        <f t="shared" si="19"/>
        <v>0</v>
      </c>
      <c r="FK26" s="4">
        <f t="shared" si="19"/>
        <v>0</v>
      </c>
      <c r="FL26" s="4">
        <f t="shared" si="19"/>
        <v>0</v>
      </c>
      <c r="FM26" s="4">
        <f t="shared" si="19"/>
        <v>0</v>
      </c>
      <c r="FN26" s="4">
        <f t="shared" si="19"/>
        <v>0</v>
      </c>
      <c r="FO26" s="4">
        <f t="shared" si="19"/>
        <v>0</v>
      </c>
      <c r="FP26" s="4">
        <f t="shared" si="19"/>
        <v>0</v>
      </c>
      <c r="FQ26" s="4">
        <f t="shared" si="19"/>
        <v>0</v>
      </c>
      <c r="FR26" s="4">
        <f t="shared" si="19"/>
        <v>0</v>
      </c>
      <c r="FS26" s="4">
        <f t="shared" ref="FS26:GX26" si="20">FS31</f>
        <v>3330.25</v>
      </c>
      <c r="FT26" s="4">
        <f t="shared" si="20"/>
        <v>3330.25</v>
      </c>
      <c r="FU26" s="4">
        <f t="shared" si="20"/>
        <v>0</v>
      </c>
      <c r="FV26" s="4">
        <f t="shared" si="20"/>
        <v>0</v>
      </c>
      <c r="FW26" s="4">
        <f t="shared" si="20"/>
        <v>0</v>
      </c>
      <c r="FX26" s="4">
        <f t="shared" si="20"/>
        <v>0</v>
      </c>
      <c r="FY26" s="4">
        <f t="shared" si="20"/>
        <v>0</v>
      </c>
      <c r="FZ26" s="4">
        <f t="shared" si="20"/>
        <v>0</v>
      </c>
      <c r="GA26" s="4">
        <f t="shared" si="20"/>
        <v>0</v>
      </c>
      <c r="GB26" s="4">
        <f t="shared" si="20"/>
        <v>0</v>
      </c>
      <c r="GC26" s="4">
        <f t="shared" si="20"/>
        <v>0</v>
      </c>
      <c r="GD26" s="4">
        <f t="shared" si="20"/>
        <v>0</v>
      </c>
      <c r="GE26" s="4">
        <f t="shared" si="20"/>
        <v>0</v>
      </c>
      <c r="GF26" s="4">
        <f t="shared" si="20"/>
        <v>0</v>
      </c>
      <c r="GG26" s="4">
        <f t="shared" si="20"/>
        <v>0</v>
      </c>
      <c r="GH26" s="4">
        <f t="shared" si="20"/>
        <v>0</v>
      </c>
      <c r="GI26" s="4">
        <f t="shared" si="20"/>
        <v>0</v>
      </c>
      <c r="GJ26" s="4">
        <f t="shared" si="20"/>
        <v>0</v>
      </c>
      <c r="GK26" s="4">
        <f t="shared" si="20"/>
        <v>0</v>
      </c>
      <c r="GL26" s="4">
        <f t="shared" si="20"/>
        <v>0</v>
      </c>
      <c r="GM26" s="4">
        <f t="shared" si="20"/>
        <v>0</v>
      </c>
      <c r="GN26" s="4">
        <f t="shared" si="20"/>
        <v>0</v>
      </c>
      <c r="GO26" s="4">
        <f t="shared" si="20"/>
        <v>0</v>
      </c>
      <c r="GP26" s="4">
        <f t="shared" si="20"/>
        <v>0</v>
      </c>
      <c r="GQ26" s="4">
        <f t="shared" si="20"/>
        <v>0</v>
      </c>
      <c r="GR26" s="4">
        <f t="shared" si="20"/>
        <v>0</v>
      </c>
      <c r="GS26" s="4">
        <f t="shared" si="20"/>
        <v>0</v>
      </c>
      <c r="GT26" s="4">
        <f t="shared" si="20"/>
        <v>0</v>
      </c>
      <c r="GU26" s="4">
        <f t="shared" si="20"/>
        <v>0</v>
      </c>
      <c r="GV26" s="4">
        <f t="shared" si="20"/>
        <v>0</v>
      </c>
      <c r="GW26" s="4">
        <f t="shared" si="20"/>
        <v>0</v>
      </c>
      <c r="GX26" s="4">
        <f t="shared" si="20"/>
        <v>0</v>
      </c>
    </row>
    <row r="28" spans="1:255" x14ac:dyDescent="0.2">
      <c r="A28" s="2">
        <v>17</v>
      </c>
      <c r="B28" s="2">
        <v>1</v>
      </c>
      <c r="C28" s="2">
        <f>ROW(SmtRes!A1)</f>
        <v>1</v>
      </c>
      <c r="D28" s="2">
        <f>ROW(EtalonRes!A1)</f>
        <v>1</v>
      </c>
      <c r="E28" s="2" t="s">
        <v>18</v>
      </c>
      <c r="F28" s="2" t="s">
        <v>19</v>
      </c>
      <c r="G28" s="2" t="s">
        <v>20</v>
      </c>
      <c r="H28" s="2" t="s">
        <v>21</v>
      </c>
      <c r="I28" s="2">
        <v>2.5999999999999999E-2</v>
      </c>
      <c r="J28" s="2">
        <v>0</v>
      </c>
      <c r="K28" s="2">
        <v>2.5999999999999999E-2</v>
      </c>
      <c r="L28" s="2"/>
      <c r="M28" s="2"/>
      <c r="N28" s="2"/>
      <c r="O28" s="2">
        <f>ROUND(CP28,2)</f>
        <v>53.11</v>
      </c>
      <c r="P28" s="2">
        <f>ROUND((ROUND((AC28*AW28*I28),2)*BC28),2)</f>
        <v>0</v>
      </c>
      <c r="Q28" s="2">
        <f>(ROUND((ROUND(((ET28)*AV28*I28),2)*BB28),2)+ROUND((ROUND(((AE28-(EU28))*AV28*I28),2)*BS28),2))</f>
        <v>0</v>
      </c>
      <c r="R28" s="2">
        <f>ROUND((ROUND((AE28*AV28*I28),2)*BS28),2)</f>
        <v>0</v>
      </c>
      <c r="S28" s="2">
        <f>ROUND((ROUND((AF28*AV28*I28),2)*BA28),2)</f>
        <v>53.11</v>
      </c>
      <c r="T28" s="2">
        <f>ROUND(CU28*I28,2)</f>
        <v>0</v>
      </c>
      <c r="U28" s="2">
        <f>CV28*I28</f>
        <v>5.0101999999999993</v>
      </c>
      <c r="V28" s="2">
        <f>CW28*I28</f>
        <v>0</v>
      </c>
      <c r="W28" s="2">
        <f>ROUND(CX28*I28,2)</f>
        <v>0</v>
      </c>
      <c r="X28" s="2">
        <f>ROUND(CY28,2)</f>
        <v>48.33</v>
      </c>
      <c r="Y28" s="2">
        <f>ROUND(CZ28,2)</f>
        <v>35.58</v>
      </c>
      <c r="Z28" s="2"/>
      <c r="AA28" s="2">
        <v>129761636</v>
      </c>
      <c r="AB28" s="2">
        <f>ROUND((AC28+AD28+AF28),6)</f>
        <v>2042.62</v>
      </c>
      <c r="AC28" s="2">
        <f>ROUND((ES28),6)</f>
        <v>0</v>
      </c>
      <c r="AD28" s="2">
        <f>ROUND((((ET28)-(EU28))+AE28),6)</f>
        <v>0</v>
      </c>
      <c r="AE28" s="2">
        <f>ROUND((EU28),6)</f>
        <v>0</v>
      </c>
      <c r="AF28" s="2">
        <f>ROUND((EV28),6)</f>
        <v>2042.62</v>
      </c>
      <c r="AG28" s="2">
        <f>ROUND((AP28),6)</f>
        <v>0</v>
      </c>
      <c r="AH28" s="2">
        <f>(EW28)</f>
        <v>192.7</v>
      </c>
      <c r="AI28" s="2">
        <f>(EX28)</f>
        <v>0</v>
      </c>
      <c r="AJ28" s="2">
        <f>(AS28)</f>
        <v>0</v>
      </c>
      <c r="AK28" s="2">
        <v>2042.62</v>
      </c>
      <c r="AL28" s="2">
        <v>0</v>
      </c>
      <c r="AM28" s="2">
        <v>0</v>
      </c>
      <c r="AN28" s="2">
        <v>0</v>
      </c>
      <c r="AO28" s="2">
        <v>2042.62</v>
      </c>
      <c r="AP28" s="2">
        <v>0</v>
      </c>
      <c r="AQ28" s="2">
        <v>192.7</v>
      </c>
      <c r="AR28" s="2">
        <v>0</v>
      </c>
      <c r="AS28" s="2">
        <v>0</v>
      </c>
      <c r="AT28" s="2">
        <v>91</v>
      </c>
      <c r="AU28" s="2">
        <v>67</v>
      </c>
      <c r="AV28" s="2">
        <v>1</v>
      </c>
      <c r="AW28" s="2">
        <v>1</v>
      </c>
      <c r="AX28" s="2"/>
      <c r="AY28" s="2"/>
      <c r="AZ28" s="2">
        <v>1</v>
      </c>
      <c r="BA28" s="2">
        <v>1</v>
      </c>
      <c r="BB28" s="2">
        <v>1</v>
      </c>
      <c r="BC28" s="2">
        <v>1</v>
      </c>
      <c r="BD28" s="2" t="s">
        <v>3</v>
      </c>
      <c r="BE28" s="2" t="s">
        <v>3</v>
      </c>
      <c r="BF28" s="2" t="s">
        <v>3</v>
      </c>
      <c r="BG28" s="2" t="s">
        <v>3</v>
      </c>
      <c r="BH28" s="2">
        <v>0</v>
      </c>
      <c r="BI28" s="2">
        <v>1</v>
      </c>
      <c r="BJ28" s="2" t="s">
        <v>22</v>
      </c>
      <c r="BK28" s="2"/>
      <c r="BL28" s="2"/>
      <c r="BM28" s="2">
        <v>16</v>
      </c>
      <c r="BN28" s="2">
        <v>0</v>
      </c>
      <c r="BO28" s="2" t="s">
        <v>3</v>
      </c>
      <c r="BP28" s="2">
        <v>0</v>
      </c>
      <c r="BQ28" s="2">
        <v>30</v>
      </c>
      <c r="BR28" s="2">
        <v>0</v>
      </c>
      <c r="BS28" s="2">
        <v>1</v>
      </c>
      <c r="BT28" s="2">
        <v>1</v>
      </c>
      <c r="BU28" s="2">
        <v>1</v>
      </c>
      <c r="BV28" s="2">
        <v>1</v>
      </c>
      <c r="BW28" s="2">
        <v>1</v>
      </c>
      <c r="BX28" s="2">
        <v>1</v>
      </c>
      <c r="BY28" s="2" t="s">
        <v>3</v>
      </c>
      <c r="BZ28" s="2">
        <v>91</v>
      </c>
      <c r="CA28" s="2">
        <v>67</v>
      </c>
      <c r="CB28" s="2" t="s">
        <v>3</v>
      </c>
      <c r="CC28" s="2"/>
      <c r="CD28" s="2"/>
      <c r="CE28" s="2">
        <v>30</v>
      </c>
      <c r="CF28" s="2">
        <v>0</v>
      </c>
      <c r="CG28" s="2">
        <v>0</v>
      </c>
      <c r="CH28" s="2"/>
      <c r="CI28" s="2"/>
      <c r="CJ28" s="2"/>
      <c r="CK28" s="2"/>
      <c r="CL28" s="2"/>
      <c r="CM28" s="2">
        <v>0</v>
      </c>
      <c r="CN28" s="2" t="s">
        <v>3</v>
      </c>
      <c r="CO28" s="2">
        <v>0</v>
      </c>
      <c r="CP28" s="2">
        <f>(P28+Q28+S28)</f>
        <v>53.11</v>
      </c>
      <c r="CQ28" s="2">
        <f>ROUND((ROUND((AC28*AW28*1),2)*BC28),2)</f>
        <v>0</v>
      </c>
      <c r="CR28" s="2">
        <f>(ROUND((ROUND(((ET28)*AV28*1),2)*BB28),2)+ROUND((ROUND(((AE28-(EU28))*AV28*1),2)*BS28),2))</f>
        <v>0</v>
      </c>
      <c r="CS28" s="2">
        <f>ROUND((ROUND((AE28*AV28*1),2)*BS28),2)</f>
        <v>0</v>
      </c>
      <c r="CT28" s="2">
        <f>ROUND((ROUND((AF28*AV28*1),2)*BA28),2)</f>
        <v>2042.62</v>
      </c>
      <c r="CU28" s="2">
        <f>AG28</f>
        <v>0</v>
      </c>
      <c r="CV28" s="2">
        <f>(AH28*AV28)</f>
        <v>192.7</v>
      </c>
      <c r="CW28" s="2">
        <f>AI28</f>
        <v>0</v>
      </c>
      <c r="CX28" s="2">
        <f>AJ28</f>
        <v>0</v>
      </c>
      <c r="CY28" s="2">
        <f>((S28*BZ28)/100)</f>
        <v>48.330100000000002</v>
      </c>
      <c r="CZ28" s="2">
        <f>((S28*CA28)/100)</f>
        <v>35.5837</v>
      </c>
      <c r="DA28" s="2"/>
      <c r="DB28" s="2"/>
      <c r="DC28" s="2" t="s">
        <v>3</v>
      </c>
      <c r="DD28" s="2" t="s">
        <v>3</v>
      </c>
      <c r="DE28" s="2" t="s">
        <v>3</v>
      </c>
      <c r="DF28" s="2" t="s">
        <v>3</v>
      </c>
      <c r="DG28" s="2" t="s">
        <v>3</v>
      </c>
      <c r="DH28" s="2" t="s">
        <v>3</v>
      </c>
      <c r="DI28" s="2" t="s">
        <v>3</v>
      </c>
      <c r="DJ28" s="2" t="s">
        <v>3</v>
      </c>
      <c r="DK28" s="2" t="s">
        <v>3</v>
      </c>
      <c r="DL28" s="2" t="s">
        <v>3</v>
      </c>
      <c r="DM28" s="2" t="s">
        <v>3</v>
      </c>
      <c r="DN28" s="2">
        <v>0</v>
      </c>
      <c r="DO28" s="2">
        <v>0</v>
      </c>
      <c r="DP28" s="2">
        <v>1</v>
      </c>
      <c r="DQ28" s="2">
        <v>1</v>
      </c>
      <c r="DR28" s="2"/>
      <c r="DS28" s="2"/>
      <c r="DT28" s="2"/>
      <c r="DU28" s="2">
        <v>1013</v>
      </c>
      <c r="DV28" s="2" t="s">
        <v>21</v>
      </c>
      <c r="DW28" s="2" t="s">
        <v>21</v>
      </c>
      <c r="DX28" s="2">
        <v>1</v>
      </c>
      <c r="DY28" s="2"/>
      <c r="DZ28" s="2" t="s">
        <v>3</v>
      </c>
      <c r="EA28" s="2" t="s">
        <v>3</v>
      </c>
      <c r="EB28" s="2" t="s">
        <v>3</v>
      </c>
      <c r="EC28" s="2" t="s">
        <v>3</v>
      </c>
      <c r="ED28" s="2"/>
      <c r="EE28" s="2">
        <v>126053478</v>
      </c>
      <c r="EF28" s="2">
        <v>30</v>
      </c>
      <c r="EG28" s="2" t="s">
        <v>23</v>
      </c>
      <c r="EH28" s="2">
        <v>0</v>
      </c>
      <c r="EI28" s="2" t="s">
        <v>3</v>
      </c>
      <c r="EJ28" s="2">
        <v>1</v>
      </c>
      <c r="EK28" s="2">
        <v>16</v>
      </c>
      <c r="EL28" s="2" t="s">
        <v>24</v>
      </c>
      <c r="EM28" s="2" t="s">
        <v>25</v>
      </c>
      <c r="EN28" s="2"/>
      <c r="EO28" s="2" t="s">
        <v>3</v>
      </c>
      <c r="EP28" s="2"/>
      <c r="EQ28" s="2">
        <v>131072</v>
      </c>
      <c r="ER28" s="2">
        <v>2042.62</v>
      </c>
      <c r="ES28" s="2">
        <v>0</v>
      </c>
      <c r="ET28" s="2">
        <v>0</v>
      </c>
      <c r="EU28" s="2">
        <v>0</v>
      </c>
      <c r="EV28" s="2">
        <v>2042.62</v>
      </c>
      <c r="EW28" s="2">
        <v>192.7</v>
      </c>
      <c r="EX28" s="2">
        <v>0</v>
      </c>
      <c r="EY28" s="2">
        <v>0</v>
      </c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>
        <v>0</v>
      </c>
      <c r="FR28" s="2">
        <f>ROUND(IF(AND(BH28=3,BI28=3),P28,0),2)</f>
        <v>0</v>
      </c>
      <c r="FS28" s="2">
        <v>0</v>
      </c>
      <c r="FT28" s="2"/>
      <c r="FU28" s="2"/>
      <c r="FV28" s="2"/>
      <c r="FW28" s="2"/>
      <c r="FX28" s="2">
        <v>91</v>
      </c>
      <c r="FY28" s="2">
        <v>67</v>
      </c>
      <c r="FZ28" s="2"/>
      <c r="GA28" s="2" t="s">
        <v>3</v>
      </c>
      <c r="GB28" s="2"/>
      <c r="GC28" s="2"/>
      <c r="GD28" s="2">
        <v>0</v>
      </c>
      <c r="GE28" s="2"/>
      <c r="GF28" s="2">
        <v>-1632341149</v>
      </c>
      <c r="GG28" s="2">
        <v>2</v>
      </c>
      <c r="GH28" s="2">
        <v>1</v>
      </c>
      <c r="GI28" s="2">
        <v>-2</v>
      </c>
      <c r="GJ28" s="2">
        <v>0</v>
      </c>
      <c r="GK28" s="2">
        <f>ROUND(R28*(R12)/100,2)</f>
        <v>0</v>
      </c>
      <c r="GL28" s="2">
        <f>ROUND(IF(AND(BH28=3,BI28=3,FS28&lt;&gt;0),P28,0),2)</f>
        <v>0</v>
      </c>
      <c r="GM28" s="2">
        <f>ROUND(O28+X28+Y28+GK28,2)+GX28</f>
        <v>137.02000000000001</v>
      </c>
      <c r="GN28" s="2">
        <f>IF(OR(BI28=0,BI28=1),ROUND(O28+X28+Y28+GK28,2),0)</f>
        <v>137.02000000000001</v>
      </c>
      <c r="GO28" s="2">
        <f>IF(BI28=2,ROUND(O28+X28+Y28+GK28,2),0)</f>
        <v>0</v>
      </c>
      <c r="GP28" s="2">
        <f>IF(BI28=4,ROUND(O28+X28+Y28+GK28,2)+GX28,0)</f>
        <v>0</v>
      </c>
      <c r="GQ28" s="2"/>
      <c r="GR28" s="2">
        <v>0</v>
      </c>
      <c r="GS28" s="2">
        <v>0</v>
      </c>
      <c r="GT28" s="2">
        <v>0</v>
      </c>
      <c r="GU28" s="2" t="s">
        <v>3</v>
      </c>
      <c r="GV28" s="2">
        <f>ROUND((GT28),6)</f>
        <v>0</v>
      </c>
      <c r="GW28" s="2">
        <v>1</v>
      </c>
      <c r="GX28" s="2">
        <f>ROUND(HC28*I28,2)</f>
        <v>0</v>
      </c>
      <c r="GY28" s="2"/>
      <c r="GZ28" s="2"/>
      <c r="HA28" s="2">
        <v>0</v>
      </c>
      <c r="HB28" s="2">
        <v>0</v>
      </c>
      <c r="HC28" s="2">
        <f>GV28*GW28</f>
        <v>0</v>
      </c>
      <c r="HD28" s="2"/>
      <c r="HE28" s="2" t="s">
        <v>3</v>
      </c>
      <c r="HF28" s="2" t="s">
        <v>3</v>
      </c>
      <c r="HG28" s="2"/>
      <c r="HH28" s="2"/>
      <c r="HI28" s="2"/>
      <c r="HJ28" s="2"/>
      <c r="HK28" s="2"/>
      <c r="HL28" s="2"/>
      <c r="HM28" s="2" t="s">
        <v>3</v>
      </c>
      <c r="HN28" s="2" t="s">
        <v>3</v>
      </c>
      <c r="HO28" s="2" t="s">
        <v>3</v>
      </c>
      <c r="HP28" s="2" t="s">
        <v>3</v>
      </c>
      <c r="HQ28" s="2" t="s">
        <v>3</v>
      </c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>
        <v>0</v>
      </c>
      <c r="IL28" s="2"/>
      <c r="IM28" s="2"/>
      <c r="IN28" s="2"/>
      <c r="IO28" s="2"/>
      <c r="IP28" s="2"/>
      <c r="IQ28" s="2"/>
      <c r="IR28" s="2"/>
      <c r="IS28" s="2"/>
      <c r="IT28" s="2"/>
      <c r="IU28" s="2"/>
    </row>
    <row r="29" spans="1:255" x14ac:dyDescent="0.2">
      <c r="A29">
        <v>17</v>
      </c>
      <c r="B29">
        <v>1</v>
      </c>
      <c r="C29">
        <f>ROW(SmtRes!A2)</f>
        <v>2</v>
      </c>
      <c r="D29">
        <f>ROW(EtalonRes!A2)</f>
        <v>2</v>
      </c>
      <c r="E29" t="s">
        <v>18</v>
      </c>
      <c r="F29" t="s">
        <v>19</v>
      </c>
      <c r="G29" t="s">
        <v>20</v>
      </c>
      <c r="H29" t="s">
        <v>21</v>
      </c>
      <c r="I29">
        <v>2.5999999999999999E-2</v>
      </c>
      <c r="J29">
        <v>0</v>
      </c>
      <c r="K29">
        <v>2.5999999999999999E-2</v>
      </c>
      <c r="O29">
        <f>ROUND(CP29,2)</f>
        <v>1541.78</v>
      </c>
      <c r="P29">
        <f>ROUND((ROUND((AC29*AW29*I29),2)*BC29),2)</f>
        <v>0</v>
      </c>
      <c r="Q29">
        <f>(ROUND((ROUND(((ET29)*AV29*I29),2)*BB29),2)+ROUND((ROUND(((AE29-(EU29))*AV29*I29),2)*BS29),2))</f>
        <v>0</v>
      </c>
      <c r="R29">
        <f>ROUND((ROUND((AE29*AV29*I29),2)*BS29),2)</f>
        <v>0</v>
      </c>
      <c r="S29">
        <f>ROUND((ROUND((AF29*AV29*I29),2)*BA29),2)</f>
        <v>1541.78</v>
      </c>
      <c r="T29">
        <f>ROUND(CU29*I29,2)</f>
        <v>0</v>
      </c>
      <c r="U29">
        <f>CV29*I29</f>
        <v>5.0101999999999993</v>
      </c>
      <c r="V29">
        <f>CW29*I29</f>
        <v>0</v>
      </c>
      <c r="W29">
        <f>ROUND(CX29*I29,2)</f>
        <v>0</v>
      </c>
      <c r="X29">
        <f>ROUND(CY29,2)</f>
        <v>1156.3399999999999</v>
      </c>
      <c r="Y29">
        <f>ROUND(CZ29,2)</f>
        <v>632.13</v>
      </c>
      <c r="AA29">
        <v>129761633</v>
      </c>
      <c r="AB29">
        <f>ROUND((AC29+AD29+AF29),6)</f>
        <v>2042.62</v>
      </c>
      <c r="AC29">
        <f>ROUND((ES29),6)</f>
        <v>0</v>
      </c>
      <c r="AD29">
        <f>ROUND((((ET29)-(EU29))+AE29),6)</f>
        <v>0</v>
      </c>
      <c r="AE29">
        <f>ROUND((EU29),6)</f>
        <v>0</v>
      </c>
      <c r="AF29">
        <f>ROUND((EV29),6)</f>
        <v>2042.62</v>
      </c>
      <c r="AG29">
        <f>ROUND((AP29),6)</f>
        <v>0</v>
      </c>
      <c r="AH29">
        <f>(EW29)</f>
        <v>192.7</v>
      </c>
      <c r="AI29">
        <f>(EX29)</f>
        <v>0</v>
      </c>
      <c r="AJ29">
        <f>(AS29)</f>
        <v>0</v>
      </c>
      <c r="AK29">
        <v>2042.62</v>
      </c>
      <c r="AL29">
        <v>0</v>
      </c>
      <c r="AM29">
        <v>0</v>
      </c>
      <c r="AN29">
        <v>0</v>
      </c>
      <c r="AO29">
        <v>2042.62</v>
      </c>
      <c r="AP29">
        <v>0</v>
      </c>
      <c r="AQ29">
        <v>192.7</v>
      </c>
      <c r="AR29">
        <v>0</v>
      </c>
      <c r="AS29">
        <v>0</v>
      </c>
      <c r="AT29">
        <v>75</v>
      </c>
      <c r="AU29">
        <v>41</v>
      </c>
      <c r="AV29">
        <v>1</v>
      </c>
      <c r="AW29">
        <v>1</v>
      </c>
      <c r="AZ29">
        <v>1</v>
      </c>
      <c r="BA29">
        <v>29.03</v>
      </c>
      <c r="BB29">
        <v>1</v>
      </c>
      <c r="BC29">
        <v>1</v>
      </c>
      <c r="BD29" t="s">
        <v>3</v>
      </c>
      <c r="BE29" t="s">
        <v>3</v>
      </c>
      <c r="BF29" t="s">
        <v>3</v>
      </c>
      <c r="BG29" t="s">
        <v>3</v>
      </c>
      <c r="BH29">
        <v>0</v>
      </c>
      <c r="BI29">
        <v>1</v>
      </c>
      <c r="BJ29" t="s">
        <v>22</v>
      </c>
      <c r="BM29">
        <v>16</v>
      </c>
      <c r="BN29">
        <v>0</v>
      </c>
      <c r="BO29" t="s">
        <v>19</v>
      </c>
      <c r="BP29">
        <v>1</v>
      </c>
      <c r="BQ29">
        <v>30</v>
      </c>
      <c r="BR29">
        <v>0</v>
      </c>
      <c r="BS29">
        <v>29.03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3</v>
      </c>
      <c r="BZ29">
        <v>75</v>
      </c>
      <c r="CA29">
        <v>41</v>
      </c>
      <c r="CB29" t="s">
        <v>3</v>
      </c>
      <c r="CE29">
        <v>30</v>
      </c>
      <c r="CF29">
        <v>0</v>
      </c>
      <c r="CG29">
        <v>0</v>
      </c>
      <c r="CM29">
        <v>0</v>
      </c>
      <c r="CN29" t="s">
        <v>3</v>
      </c>
      <c r="CO29">
        <v>0</v>
      </c>
      <c r="CP29">
        <f>(P29+Q29+S29)</f>
        <v>1541.78</v>
      </c>
      <c r="CQ29">
        <f>ROUND((ROUND((AC29*AW29*1),2)*BC29),2)</f>
        <v>0</v>
      </c>
      <c r="CR29">
        <f>(ROUND((ROUND(((ET29)*AV29*1),2)*BB29),2)+ROUND((ROUND(((AE29-(EU29))*AV29*1),2)*BS29),2))</f>
        <v>0</v>
      </c>
      <c r="CS29">
        <f>ROUND((ROUND((AE29*AV29*1),2)*BS29),2)</f>
        <v>0</v>
      </c>
      <c r="CT29">
        <f>ROUND((ROUND((AF29*AV29*1),2)*BA29),2)</f>
        <v>59297.26</v>
      </c>
      <c r="CU29">
        <f>AG29</f>
        <v>0</v>
      </c>
      <c r="CV29">
        <f>(AH29*AV29)</f>
        <v>192.7</v>
      </c>
      <c r="CW29">
        <f>AI29</f>
        <v>0</v>
      </c>
      <c r="CX29">
        <f>AJ29</f>
        <v>0</v>
      </c>
      <c r="CY29">
        <f>S29*(BZ29/100)</f>
        <v>1156.335</v>
      </c>
      <c r="CZ29">
        <f>S29*(CA29/100)</f>
        <v>632.12979999999993</v>
      </c>
      <c r="DC29" t="s">
        <v>3</v>
      </c>
      <c r="DD29" t="s">
        <v>3</v>
      </c>
      <c r="DE29" t="s">
        <v>3</v>
      </c>
      <c r="DF29" t="s">
        <v>3</v>
      </c>
      <c r="DG29" t="s">
        <v>3</v>
      </c>
      <c r="DH29" t="s">
        <v>3</v>
      </c>
      <c r="DI29" t="s">
        <v>3</v>
      </c>
      <c r="DJ29" t="s">
        <v>3</v>
      </c>
      <c r="DK29" t="s">
        <v>3</v>
      </c>
      <c r="DL29" t="s">
        <v>3</v>
      </c>
      <c r="DM29" t="s">
        <v>3</v>
      </c>
      <c r="DN29">
        <v>91</v>
      </c>
      <c r="DO29">
        <v>67</v>
      </c>
      <c r="DP29">
        <v>1</v>
      </c>
      <c r="DQ29">
        <v>1</v>
      </c>
      <c r="DU29">
        <v>1013</v>
      </c>
      <c r="DV29" t="s">
        <v>21</v>
      </c>
      <c r="DW29" t="s">
        <v>21</v>
      </c>
      <c r="DX29">
        <v>1</v>
      </c>
      <c r="DZ29" t="s">
        <v>3</v>
      </c>
      <c r="EA29" t="s">
        <v>3</v>
      </c>
      <c r="EB29" t="s">
        <v>3</v>
      </c>
      <c r="EC29" t="s">
        <v>3</v>
      </c>
      <c r="EE29">
        <v>126053478</v>
      </c>
      <c r="EF29">
        <v>30</v>
      </c>
      <c r="EG29" t="s">
        <v>23</v>
      </c>
      <c r="EH29">
        <v>0</v>
      </c>
      <c r="EI29" t="s">
        <v>3</v>
      </c>
      <c r="EJ29">
        <v>1</v>
      </c>
      <c r="EK29">
        <v>16</v>
      </c>
      <c r="EL29" t="s">
        <v>24</v>
      </c>
      <c r="EM29" t="s">
        <v>25</v>
      </c>
      <c r="EO29" t="s">
        <v>3</v>
      </c>
      <c r="EQ29">
        <v>131072</v>
      </c>
      <c r="ER29">
        <v>2042.62</v>
      </c>
      <c r="ES29">
        <v>0</v>
      </c>
      <c r="ET29">
        <v>0</v>
      </c>
      <c r="EU29">
        <v>0</v>
      </c>
      <c r="EV29">
        <v>2042.62</v>
      </c>
      <c r="EW29">
        <v>192.7</v>
      </c>
      <c r="EX29">
        <v>0</v>
      </c>
      <c r="EY29">
        <v>0</v>
      </c>
      <c r="FQ29">
        <v>0</v>
      </c>
      <c r="FR29">
        <f>ROUND(IF(AND(BH29=3,BI29=3),P29,0),2)</f>
        <v>0</v>
      </c>
      <c r="FS29">
        <v>0</v>
      </c>
      <c r="FX29">
        <v>91</v>
      </c>
      <c r="FY29">
        <v>67</v>
      </c>
      <c r="GA29" t="s">
        <v>3</v>
      </c>
      <c r="GD29">
        <v>0</v>
      </c>
      <c r="GF29">
        <v>-1632341149</v>
      </c>
      <c r="GG29">
        <v>2</v>
      </c>
      <c r="GH29">
        <v>1</v>
      </c>
      <c r="GI29">
        <v>2</v>
      </c>
      <c r="GJ29">
        <v>0</v>
      </c>
      <c r="GK29">
        <f>ROUND(R29*(S12)/100,2)</f>
        <v>0</v>
      </c>
      <c r="GL29">
        <f>ROUND(IF(AND(BH29=3,BI29=3,FS29&lt;&gt;0),P29,0),2)</f>
        <v>0</v>
      </c>
      <c r="GM29">
        <f>ROUND(O29+X29+Y29+GK29,2)+GX29</f>
        <v>3330.25</v>
      </c>
      <c r="GN29">
        <f>IF(OR(BI29=0,BI29=1),ROUND(O29+X29+Y29+GK29,2),0)</f>
        <v>3330.25</v>
      </c>
      <c r="GO29">
        <f>IF(BI29=2,ROUND(O29+X29+Y29+GK29,2),0)</f>
        <v>0</v>
      </c>
      <c r="GP29">
        <f>IF(BI29=4,ROUND(O29+X29+Y29+GK29,2)+GX29,0)</f>
        <v>0</v>
      </c>
      <c r="GR29">
        <v>0</v>
      </c>
      <c r="GS29">
        <v>3</v>
      </c>
      <c r="GT29">
        <v>0</v>
      </c>
      <c r="GU29" t="s">
        <v>3</v>
      </c>
      <c r="GV29">
        <f>ROUND((GT29),6)</f>
        <v>0</v>
      </c>
      <c r="GW29">
        <v>1</v>
      </c>
      <c r="GX29">
        <f>ROUND(HC29*I29,2)</f>
        <v>0</v>
      </c>
      <c r="HA29">
        <v>0</v>
      </c>
      <c r="HB29">
        <v>0</v>
      </c>
      <c r="HC29">
        <f>GV29*GW29</f>
        <v>0</v>
      </c>
      <c r="HE29" t="s">
        <v>3</v>
      </c>
      <c r="HF29" t="s">
        <v>3</v>
      </c>
      <c r="HM29" t="s">
        <v>3</v>
      </c>
      <c r="HN29" t="s">
        <v>3</v>
      </c>
      <c r="HO29" t="s">
        <v>3</v>
      </c>
      <c r="HP29" t="s">
        <v>3</v>
      </c>
      <c r="HQ29" t="s">
        <v>3</v>
      </c>
      <c r="IK29">
        <v>0</v>
      </c>
    </row>
    <row r="31" spans="1:255" x14ac:dyDescent="0.2">
      <c r="A31" s="3">
        <v>51</v>
      </c>
      <c r="B31" s="3">
        <f>B24</f>
        <v>1</v>
      </c>
      <c r="C31" s="3">
        <f>A24</f>
        <v>4</v>
      </c>
      <c r="D31" s="3">
        <f>ROW(A24)</f>
        <v>24</v>
      </c>
      <c r="E31" s="3"/>
      <c r="F31" s="3" t="str">
        <f>IF(F24&lt;&gt;"",F24,"")</f>
        <v>Новый раздел</v>
      </c>
      <c r="G31" s="3" t="str">
        <f>IF(G24&lt;&gt;"",G24,"")</f>
        <v>Демонтажные работы</v>
      </c>
      <c r="H31" s="3">
        <v>0</v>
      </c>
      <c r="I31" s="3"/>
      <c r="J31" s="3"/>
      <c r="K31" s="3"/>
      <c r="L31" s="3"/>
      <c r="M31" s="3"/>
      <c r="N31" s="3"/>
      <c r="O31" s="3">
        <f t="shared" ref="O31:T31" si="21">ROUND(AB31,2)</f>
        <v>53.11</v>
      </c>
      <c r="P31" s="3">
        <f t="shared" si="21"/>
        <v>0</v>
      </c>
      <c r="Q31" s="3">
        <f t="shared" si="21"/>
        <v>0</v>
      </c>
      <c r="R31" s="3">
        <f t="shared" si="21"/>
        <v>0</v>
      </c>
      <c r="S31" s="3">
        <f t="shared" si="21"/>
        <v>53.11</v>
      </c>
      <c r="T31" s="3">
        <f t="shared" si="21"/>
        <v>0</v>
      </c>
      <c r="U31" s="3">
        <f>AH31</f>
        <v>5.0101999999999993</v>
      </c>
      <c r="V31" s="3">
        <f>AI31</f>
        <v>0</v>
      </c>
      <c r="W31" s="3">
        <f>ROUND(AJ31,2)</f>
        <v>0</v>
      </c>
      <c r="X31" s="3">
        <f>ROUND(AK31,2)</f>
        <v>48.33</v>
      </c>
      <c r="Y31" s="3">
        <f>ROUND(AL31,2)</f>
        <v>35.58</v>
      </c>
      <c r="Z31" s="3"/>
      <c r="AA31" s="3"/>
      <c r="AB31" s="3">
        <f>ROUND(SUMIF(AA28:AA29,"=129761636",O28:O29),2)</f>
        <v>53.11</v>
      </c>
      <c r="AC31" s="3">
        <f>ROUND(SUMIF(AA28:AA29,"=129761636",P28:P29),2)</f>
        <v>0</v>
      </c>
      <c r="AD31" s="3">
        <f>ROUND(SUMIF(AA28:AA29,"=129761636",Q28:Q29),2)</f>
        <v>0</v>
      </c>
      <c r="AE31" s="3">
        <f>ROUND(SUMIF(AA28:AA29,"=129761636",R28:R29),2)</f>
        <v>0</v>
      </c>
      <c r="AF31" s="3">
        <f>ROUND(SUMIF(AA28:AA29,"=129761636",S28:S29),2)</f>
        <v>53.11</v>
      </c>
      <c r="AG31" s="3">
        <f>ROUND(SUMIF(AA28:AA29,"=129761636",T28:T29),2)</f>
        <v>0</v>
      </c>
      <c r="AH31" s="3">
        <f>SUMIF(AA28:AA29,"=129761636",U28:U29)</f>
        <v>5.0101999999999993</v>
      </c>
      <c r="AI31" s="3">
        <f>SUMIF(AA28:AA29,"=129761636",V28:V29)</f>
        <v>0</v>
      </c>
      <c r="AJ31" s="3">
        <f>ROUND(SUMIF(AA28:AA29,"=129761636",W28:W29),2)</f>
        <v>0</v>
      </c>
      <c r="AK31" s="3">
        <f>ROUND(SUMIF(AA28:AA29,"=129761636",X28:X29),2)</f>
        <v>48.33</v>
      </c>
      <c r="AL31" s="3">
        <f>ROUND(SUMIF(AA28:AA29,"=129761636",Y28:Y29),2)</f>
        <v>35.58</v>
      </c>
      <c r="AM31" s="3"/>
      <c r="AN31" s="3"/>
      <c r="AO31" s="3">
        <f t="shared" ref="AO31:BD31" si="22">ROUND(BX31,2)</f>
        <v>0</v>
      </c>
      <c r="AP31" s="3">
        <f t="shared" si="22"/>
        <v>0</v>
      </c>
      <c r="AQ31" s="3">
        <f t="shared" si="22"/>
        <v>0</v>
      </c>
      <c r="AR31" s="3">
        <f t="shared" si="22"/>
        <v>137.02000000000001</v>
      </c>
      <c r="AS31" s="3">
        <f t="shared" si="22"/>
        <v>137.02000000000001</v>
      </c>
      <c r="AT31" s="3">
        <f t="shared" si="22"/>
        <v>0</v>
      </c>
      <c r="AU31" s="3">
        <f t="shared" si="22"/>
        <v>0</v>
      </c>
      <c r="AV31" s="3">
        <f t="shared" si="22"/>
        <v>0</v>
      </c>
      <c r="AW31" s="3">
        <f t="shared" si="22"/>
        <v>0</v>
      </c>
      <c r="AX31" s="3">
        <f t="shared" si="22"/>
        <v>0</v>
      </c>
      <c r="AY31" s="3">
        <f t="shared" si="22"/>
        <v>0</v>
      </c>
      <c r="AZ31" s="3">
        <f t="shared" si="22"/>
        <v>0</v>
      </c>
      <c r="BA31" s="3">
        <f t="shared" si="22"/>
        <v>0</v>
      </c>
      <c r="BB31" s="3">
        <f t="shared" si="22"/>
        <v>0</v>
      </c>
      <c r="BC31" s="3">
        <f t="shared" si="22"/>
        <v>0</v>
      </c>
      <c r="BD31" s="3">
        <f t="shared" si="22"/>
        <v>0</v>
      </c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>
        <f>ROUND(SUMIF(AA28:AA29,"=129761636",FQ28:FQ29),2)</f>
        <v>0</v>
      </c>
      <c r="BY31" s="3">
        <f>ROUND(SUMIF(AA28:AA29,"=129761636",FR28:FR29),2)</f>
        <v>0</v>
      </c>
      <c r="BZ31" s="3">
        <f>ROUND(SUMIF(AA28:AA29,"=129761636",GL28:GL29),2)</f>
        <v>0</v>
      </c>
      <c r="CA31" s="3">
        <f>ROUND(SUMIF(AA28:AA29,"=129761636",GM28:GM29),2)</f>
        <v>137.02000000000001</v>
      </c>
      <c r="CB31" s="3">
        <f>ROUND(SUMIF(AA28:AA29,"=129761636",GN28:GN29),2)</f>
        <v>137.02000000000001</v>
      </c>
      <c r="CC31" s="3">
        <f>ROUND(SUMIF(AA28:AA29,"=129761636",GO28:GO29),2)</f>
        <v>0</v>
      </c>
      <c r="CD31" s="3">
        <f>ROUND(SUMIF(AA28:AA29,"=129761636",GP28:GP29),2)</f>
        <v>0</v>
      </c>
      <c r="CE31" s="3">
        <f>AC31-BX31</f>
        <v>0</v>
      </c>
      <c r="CF31" s="3">
        <f>AC31-BY31</f>
        <v>0</v>
      </c>
      <c r="CG31" s="3">
        <f>BX31-BZ31</f>
        <v>0</v>
      </c>
      <c r="CH31" s="3">
        <f>AC31-BX31-BY31+BZ31</f>
        <v>0</v>
      </c>
      <c r="CI31" s="3">
        <f>BY31-BZ31</f>
        <v>0</v>
      </c>
      <c r="CJ31" s="3">
        <f>ROUND(SUMIF(AA28:AA29,"=129761636",GX28:GX29),2)</f>
        <v>0</v>
      </c>
      <c r="CK31" s="3">
        <f>ROUND(SUMIF(AA28:AA29,"=129761636",GY28:GY29),2)</f>
        <v>0</v>
      </c>
      <c r="CL31" s="3">
        <f>ROUND(SUMIF(AA28:AA29,"=129761636",GZ28:GZ29),2)</f>
        <v>0</v>
      </c>
      <c r="CM31" s="3">
        <f>ROUND(SUMIF(AA28:AA29,"=129761636",HD28:HD29),2)</f>
        <v>0</v>
      </c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4">
        <f t="shared" ref="DG31:DL31" si="23">ROUND(DT31,2)</f>
        <v>1541.78</v>
      </c>
      <c r="DH31" s="4">
        <f t="shared" si="23"/>
        <v>0</v>
      </c>
      <c r="DI31" s="4">
        <f t="shared" si="23"/>
        <v>0</v>
      </c>
      <c r="DJ31" s="4">
        <f t="shared" si="23"/>
        <v>0</v>
      </c>
      <c r="DK31" s="4">
        <f t="shared" si="23"/>
        <v>1541.78</v>
      </c>
      <c r="DL31" s="4">
        <f t="shared" si="23"/>
        <v>0</v>
      </c>
      <c r="DM31" s="4">
        <f>DZ31</f>
        <v>5.0101999999999993</v>
      </c>
      <c r="DN31" s="4">
        <f>EA31</f>
        <v>0</v>
      </c>
      <c r="DO31" s="4">
        <f>ROUND(EB31,2)</f>
        <v>0</v>
      </c>
      <c r="DP31" s="4">
        <f>ROUND(EC31,2)</f>
        <v>1156.3399999999999</v>
      </c>
      <c r="DQ31" s="4">
        <f>ROUND(ED31,2)</f>
        <v>632.13</v>
      </c>
      <c r="DR31" s="4"/>
      <c r="DS31" s="4"/>
      <c r="DT31" s="4">
        <f>ROUND(SUMIF(AA28:AA29,"=129761633",O28:O29),2)</f>
        <v>1541.78</v>
      </c>
      <c r="DU31" s="4">
        <f>ROUND(SUMIF(AA28:AA29,"=129761633",P28:P29),2)</f>
        <v>0</v>
      </c>
      <c r="DV31" s="4">
        <f>ROUND(SUMIF(AA28:AA29,"=129761633",Q28:Q29),2)</f>
        <v>0</v>
      </c>
      <c r="DW31" s="4">
        <f>ROUND(SUMIF(AA28:AA29,"=129761633",R28:R29),2)</f>
        <v>0</v>
      </c>
      <c r="DX31" s="4">
        <f>ROUND(SUMIF(AA28:AA29,"=129761633",S28:S29),2)</f>
        <v>1541.78</v>
      </c>
      <c r="DY31" s="4">
        <f>ROUND(SUMIF(AA28:AA29,"=129761633",T28:T29),2)</f>
        <v>0</v>
      </c>
      <c r="DZ31" s="4">
        <f>SUMIF(AA28:AA29,"=129761633",U28:U29)</f>
        <v>5.0101999999999993</v>
      </c>
      <c r="EA31" s="4">
        <f>SUMIF(AA28:AA29,"=129761633",V28:V29)</f>
        <v>0</v>
      </c>
      <c r="EB31" s="4">
        <f>ROUND(SUMIF(AA28:AA29,"=129761633",W28:W29),2)</f>
        <v>0</v>
      </c>
      <c r="EC31" s="4">
        <f>ROUND(SUMIF(AA28:AA29,"=129761633",X28:X29),2)</f>
        <v>1156.3399999999999</v>
      </c>
      <c r="ED31" s="4">
        <f>ROUND(SUMIF(AA28:AA29,"=129761633",Y28:Y29),2)</f>
        <v>632.13</v>
      </c>
      <c r="EE31" s="4"/>
      <c r="EF31" s="4"/>
      <c r="EG31" s="4">
        <f t="shared" ref="EG31:EV31" si="24">ROUND(FP31,2)</f>
        <v>0</v>
      </c>
      <c r="EH31" s="4">
        <f t="shared" si="24"/>
        <v>0</v>
      </c>
      <c r="EI31" s="4">
        <f t="shared" si="24"/>
        <v>0</v>
      </c>
      <c r="EJ31" s="4">
        <f t="shared" si="24"/>
        <v>3330.25</v>
      </c>
      <c r="EK31" s="4">
        <f t="shared" si="24"/>
        <v>3330.25</v>
      </c>
      <c r="EL31" s="4">
        <f t="shared" si="24"/>
        <v>0</v>
      </c>
      <c r="EM31" s="4">
        <f t="shared" si="24"/>
        <v>0</v>
      </c>
      <c r="EN31" s="4">
        <f t="shared" si="24"/>
        <v>0</v>
      </c>
      <c r="EO31" s="4">
        <f t="shared" si="24"/>
        <v>0</v>
      </c>
      <c r="EP31" s="4">
        <f t="shared" si="24"/>
        <v>0</v>
      </c>
      <c r="EQ31" s="4">
        <f t="shared" si="24"/>
        <v>0</v>
      </c>
      <c r="ER31" s="4">
        <f t="shared" si="24"/>
        <v>0</v>
      </c>
      <c r="ES31" s="4">
        <f t="shared" si="24"/>
        <v>0</v>
      </c>
      <c r="ET31" s="4">
        <f t="shared" si="24"/>
        <v>0</v>
      </c>
      <c r="EU31" s="4">
        <f t="shared" si="24"/>
        <v>0</v>
      </c>
      <c r="EV31" s="4">
        <f t="shared" si="24"/>
        <v>0</v>
      </c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>
        <f>ROUND(SUMIF(AA28:AA29,"=129761633",FQ28:FQ29),2)</f>
        <v>0</v>
      </c>
      <c r="FQ31" s="4">
        <f>ROUND(SUMIF(AA28:AA29,"=129761633",FR28:FR29),2)</f>
        <v>0</v>
      </c>
      <c r="FR31" s="4">
        <f>ROUND(SUMIF(AA28:AA29,"=129761633",GL28:GL29),2)</f>
        <v>0</v>
      </c>
      <c r="FS31" s="4">
        <f>ROUND(SUMIF(AA28:AA29,"=129761633",GM28:GM29),2)</f>
        <v>3330.25</v>
      </c>
      <c r="FT31" s="4">
        <f>ROUND(SUMIF(AA28:AA29,"=129761633",GN28:GN29),2)</f>
        <v>3330.25</v>
      </c>
      <c r="FU31" s="4">
        <f>ROUND(SUMIF(AA28:AA29,"=129761633",GO28:GO29),2)</f>
        <v>0</v>
      </c>
      <c r="FV31" s="4">
        <f>ROUND(SUMIF(AA28:AA29,"=129761633",GP28:GP29),2)</f>
        <v>0</v>
      </c>
      <c r="FW31" s="4">
        <f>DU31-FP31</f>
        <v>0</v>
      </c>
      <c r="FX31" s="4">
        <f>DU31-FQ31</f>
        <v>0</v>
      </c>
      <c r="FY31" s="4">
        <f>FP31-FR31</f>
        <v>0</v>
      </c>
      <c r="FZ31" s="4">
        <f>DU31-FP31-FQ31+FR31</f>
        <v>0</v>
      </c>
      <c r="GA31" s="4">
        <f>FQ31-FR31</f>
        <v>0</v>
      </c>
      <c r="GB31" s="4">
        <f>ROUND(SUMIF(AA28:AA29,"=129761633",GX28:GX29),2)</f>
        <v>0</v>
      </c>
      <c r="GC31" s="4">
        <f>ROUND(SUMIF(AA28:AA29,"=129761633",GY28:GY29),2)</f>
        <v>0</v>
      </c>
      <c r="GD31" s="4">
        <f>ROUND(SUMIF(AA28:AA29,"=129761633",GZ28:GZ29),2)</f>
        <v>0</v>
      </c>
      <c r="GE31" s="4">
        <f>ROUND(SUMIF(AA28:AA29,"=129761633",HD28:HD29),2)</f>
        <v>0</v>
      </c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>
        <v>0</v>
      </c>
    </row>
    <row r="33" spans="1:28" x14ac:dyDescent="0.2">
      <c r="A33" s="5">
        <v>50</v>
      </c>
      <c r="B33" s="5">
        <v>0</v>
      </c>
      <c r="C33" s="5">
        <v>0</v>
      </c>
      <c r="D33" s="5">
        <v>1</v>
      </c>
      <c r="E33" s="5">
        <v>201</v>
      </c>
      <c r="F33" s="5">
        <f>ROUND(Source!O31,O33)</f>
        <v>53.11</v>
      </c>
      <c r="G33" s="5" t="s">
        <v>26</v>
      </c>
      <c r="H33" s="5" t="s">
        <v>27</v>
      </c>
      <c r="I33" s="5"/>
      <c r="J33" s="5"/>
      <c r="K33" s="5">
        <v>201</v>
      </c>
      <c r="L33" s="5">
        <v>1</v>
      </c>
      <c r="M33" s="5">
        <v>3</v>
      </c>
      <c r="N33" s="5" t="s">
        <v>3</v>
      </c>
      <c r="O33" s="5">
        <v>2</v>
      </c>
      <c r="P33" s="5">
        <f>ROUND(Source!DG31,O33)</f>
        <v>1541.78</v>
      </c>
      <c r="Q33" s="5"/>
      <c r="R33" s="5"/>
      <c r="S33" s="5"/>
      <c r="T33" s="5"/>
      <c r="U33" s="5"/>
      <c r="V33" s="5"/>
      <c r="W33" s="5">
        <v>53.11</v>
      </c>
      <c r="X33" s="5">
        <v>1</v>
      </c>
      <c r="Y33" s="5">
        <v>53.11</v>
      </c>
      <c r="Z33" s="5">
        <v>1541.78</v>
      </c>
      <c r="AA33" s="5">
        <v>1</v>
      </c>
      <c r="AB33" s="5">
        <v>1541.78</v>
      </c>
    </row>
    <row r="34" spans="1:28" x14ac:dyDescent="0.2">
      <c r="A34" s="5">
        <v>50</v>
      </c>
      <c r="B34" s="5">
        <v>0</v>
      </c>
      <c r="C34" s="5">
        <v>0</v>
      </c>
      <c r="D34" s="5">
        <v>1</v>
      </c>
      <c r="E34" s="5">
        <v>202</v>
      </c>
      <c r="F34" s="5">
        <f>ROUND(Source!P31,O34)</f>
        <v>0</v>
      </c>
      <c r="G34" s="5" t="s">
        <v>28</v>
      </c>
      <c r="H34" s="5" t="s">
        <v>29</v>
      </c>
      <c r="I34" s="5"/>
      <c r="J34" s="5"/>
      <c r="K34" s="5">
        <v>202</v>
      </c>
      <c r="L34" s="5">
        <v>2</v>
      </c>
      <c r="M34" s="5">
        <v>3</v>
      </c>
      <c r="N34" s="5" t="s">
        <v>3</v>
      </c>
      <c r="O34" s="5">
        <v>2</v>
      </c>
      <c r="P34" s="5">
        <f>ROUND(Source!DH31,O34)</f>
        <v>0</v>
      </c>
      <c r="Q34" s="5"/>
      <c r="R34" s="5"/>
      <c r="S34" s="5"/>
      <c r="T34" s="5"/>
      <c r="U34" s="5"/>
      <c r="V34" s="5"/>
      <c r="W34" s="5">
        <v>0</v>
      </c>
      <c r="X34" s="5">
        <v>1</v>
      </c>
      <c r="Y34" s="5">
        <v>0</v>
      </c>
      <c r="Z34" s="5">
        <v>0</v>
      </c>
      <c r="AA34" s="5">
        <v>1</v>
      </c>
      <c r="AB34" s="5">
        <v>0</v>
      </c>
    </row>
    <row r="35" spans="1:28" x14ac:dyDescent="0.2">
      <c r="A35" s="5">
        <v>50</v>
      </c>
      <c r="B35" s="5">
        <v>0</v>
      </c>
      <c r="C35" s="5">
        <v>0</v>
      </c>
      <c r="D35" s="5">
        <v>1</v>
      </c>
      <c r="E35" s="5">
        <v>222</v>
      </c>
      <c r="F35" s="5">
        <f>ROUND(Source!AO31,O35)</f>
        <v>0</v>
      </c>
      <c r="G35" s="5" t="s">
        <v>30</v>
      </c>
      <c r="H35" s="5" t="s">
        <v>31</v>
      </c>
      <c r="I35" s="5"/>
      <c r="J35" s="5"/>
      <c r="K35" s="5">
        <v>222</v>
      </c>
      <c r="L35" s="5">
        <v>3</v>
      </c>
      <c r="M35" s="5">
        <v>3</v>
      </c>
      <c r="N35" s="5" t="s">
        <v>3</v>
      </c>
      <c r="O35" s="5">
        <v>2</v>
      </c>
      <c r="P35" s="5">
        <f>ROUND(Source!EG31,O35)</f>
        <v>0</v>
      </c>
      <c r="Q35" s="5"/>
      <c r="R35" s="5"/>
      <c r="S35" s="5"/>
      <c r="T35" s="5"/>
      <c r="U35" s="5"/>
      <c r="V35" s="5"/>
      <c r="W35" s="5">
        <v>0</v>
      </c>
      <c r="X35" s="5">
        <v>1</v>
      </c>
      <c r="Y35" s="5">
        <v>0</v>
      </c>
      <c r="Z35" s="5">
        <v>0</v>
      </c>
      <c r="AA35" s="5">
        <v>1</v>
      </c>
      <c r="AB35" s="5">
        <v>0</v>
      </c>
    </row>
    <row r="36" spans="1:28" x14ac:dyDescent="0.2">
      <c r="A36" s="5">
        <v>50</v>
      </c>
      <c r="B36" s="5">
        <v>0</v>
      </c>
      <c r="C36" s="5">
        <v>0</v>
      </c>
      <c r="D36" s="5">
        <v>1</v>
      </c>
      <c r="E36" s="5">
        <v>225</v>
      </c>
      <c r="F36" s="5">
        <f>ROUND(Source!AV31,O36)</f>
        <v>0</v>
      </c>
      <c r="G36" s="5" t="s">
        <v>32</v>
      </c>
      <c r="H36" s="5" t="s">
        <v>33</v>
      </c>
      <c r="I36" s="5"/>
      <c r="J36" s="5"/>
      <c r="K36" s="5">
        <v>225</v>
      </c>
      <c r="L36" s="5">
        <v>4</v>
      </c>
      <c r="M36" s="5">
        <v>3</v>
      </c>
      <c r="N36" s="5" t="s">
        <v>3</v>
      </c>
      <c r="O36" s="5">
        <v>2</v>
      </c>
      <c r="P36" s="5">
        <f>ROUND(Source!EN31,O36)</f>
        <v>0</v>
      </c>
      <c r="Q36" s="5"/>
      <c r="R36" s="5"/>
      <c r="S36" s="5"/>
      <c r="T36" s="5"/>
      <c r="U36" s="5"/>
      <c r="V36" s="5"/>
      <c r="W36" s="5">
        <v>0</v>
      </c>
      <c r="X36" s="5">
        <v>1</v>
      </c>
      <c r="Y36" s="5">
        <v>0</v>
      </c>
      <c r="Z36" s="5">
        <v>0</v>
      </c>
      <c r="AA36" s="5">
        <v>1</v>
      </c>
      <c r="AB36" s="5">
        <v>0</v>
      </c>
    </row>
    <row r="37" spans="1:28" x14ac:dyDescent="0.2">
      <c r="A37" s="5">
        <v>50</v>
      </c>
      <c r="B37" s="5">
        <v>0</v>
      </c>
      <c r="C37" s="5">
        <v>0</v>
      </c>
      <c r="D37" s="5">
        <v>1</v>
      </c>
      <c r="E37" s="5">
        <v>226</v>
      </c>
      <c r="F37" s="5">
        <f>ROUND(Source!AW31,O37)</f>
        <v>0</v>
      </c>
      <c r="G37" s="5" t="s">
        <v>34</v>
      </c>
      <c r="H37" s="5" t="s">
        <v>35</v>
      </c>
      <c r="I37" s="5"/>
      <c r="J37" s="5"/>
      <c r="K37" s="5">
        <v>226</v>
      </c>
      <c r="L37" s="5">
        <v>5</v>
      </c>
      <c r="M37" s="5">
        <v>3</v>
      </c>
      <c r="N37" s="5" t="s">
        <v>3</v>
      </c>
      <c r="O37" s="5">
        <v>2</v>
      </c>
      <c r="P37" s="5">
        <f>ROUND(Source!EO31,O37)</f>
        <v>0</v>
      </c>
      <c r="Q37" s="5"/>
      <c r="R37" s="5"/>
      <c r="S37" s="5"/>
      <c r="T37" s="5"/>
      <c r="U37" s="5"/>
      <c r="V37" s="5"/>
      <c r="W37" s="5">
        <v>0</v>
      </c>
      <c r="X37" s="5">
        <v>1</v>
      </c>
      <c r="Y37" s="5">
        <v>0</v>
      </c>
      <c r="Z37" s="5">
        <v>0</v>
      </c>
      <c r="AA37" s="5">
        <v>1</v>
      </c>
      <c r="AB37" s="5">
        <v>0</v>
      </c>
    </row>
    <row r="38" spans="1:28" x14ac:dyDescent="0.2">
      <c r="A38" s="5">
        <v>50</v>
      </c>
      <c r="B38" s="5">
        <v>0</v>
      </c>
      <c r="C38" s="5">
        <v>0</v>
      </c>
      <c r="D38" s="5">
        <v>1</v>
      </c>
      <c r="E38" s="5">
        <v>227</v>
      </c>
      <c r="F38" s="5">
        <f>ROUND(Source!AX31,O38)</f>
        <v>0</v>
      </c>
      <c r="G38" s="5" t="s">
        <v>36</v>
      </c>
      <c r="H38" s="5" t="s">
        <v>37</v>
      </c>
      <c r="I38" s="5"/>
      <c r="J38" s="5"/>
      <c r="K38" s="5">
        <v>227</v>
      </c>
      <c r="L38" s="5">
        <v>6</v>
      </c>
      <c r="M38" s="5">
        <v>3</v>
      </c>
      <c r="N38" s="5" t="s">
        <v>3</v>
      </c>
      <c r="O38" s="5">
        <v>2</v>
      </c>
      <c r="P38" s="5">
        <f>ROUND(Source!EP31,O38)</f>
        <v>0</v>
      </c>
      <c r="Q38" s="5"/>
      <c r="R38" s="5"/>
      <c r="S38" s="5"/>
      <c r="T38" s="5"/>
      <c r="U38" s="5"/>
      <c r="V38" s="5"/>
      <c r="W38" s="5">
        <v>0</v>
      </c>
      <c r="X38" s="5">
        <v>1</v>
      </c>
      <c r="Y38" s="5">
        <v>0</v>
      </c>
      <c r="Z38" s="5">
        <v>0</v>
      </c>
      <c r="AA38" s="5">
        <v>1</v>
      </c>
      <c r="AB38" s="5">
        <v>0</v>
      </c>
    </row>
    <row r="39" spans="1:28" x14ac:dyDescent="0.2">
      <c r="A39" s="5">
        <v>50</v>
      </c>
      <c r="B39" s="5">
        <v>0</v>
      </c>
      <c r="C39" s="5">
        <v>0</v>
      </c>
      <c r="D39" s="5">
        <v>1</v>
      </c>
      <c r="E39" s="5">
        <v>228</v>
      </c>
      <c r="F39" s="5">
        <f>ROUND(Source!AY31,O39)</f>
        <v>0</v>
      </c>
      <c r="G39" s="5" t="s">
        <v>38</v>
      </c>
      <c r="H39" s="5" t="s">
        <v>39</v>
      </c>
      <c r="I39" s="5"/>
      <c r="J39" s="5"/>
      <c r="K39" s="5">
        <v>228</v>
      </c>
      <c r="L39" s="5">
        <v>7</v>
      </c>
      <c r="M39" s="5">
        <v>3</v>
      </c>
      <c r="N39" s="5" t="s">
        <v>3</v>
      </c>
      <c r="O39" s="5">
        <v>2</v>
      </c>
      <c r="P39" s="5">
        <f>ROUND(Source!EQ31,O39)</f>
        <v>0</v>
      </c>
      <c r="Q39" s="5"/>
      <c r="R39" s="5"/>
      <c r="S39" s="5"/>
      <c r="T39" s="5"/>
      <c r="U39" s="5"/>
      <c r="V39" s="5"/>
      <c r="W39" s="5">
        <v>0</v>
      </c>
      <c r="X39" s="5">
        <v>1</v>
      </c>
      <c r="Y39" s="5">
        <v>0</v>
      </c>
      <c r="Z39" s="5">
        <v>0</v>
      </c>
      <c r="AA39" s="5">
        <v>1</v>
      </c>
      <c r="AB39" s="5">
        <v>0</v>
      </c>
    </row>
    <row r="40" spans="1:28" x14ac:dyDescent="0.2">
      <c r="A40" s="5">
        <v>50</v>
      </c>
      <c r="B40" s="5">
        <v>0</v>
      </c>
      <c r="C40" s="5">
        <v>0</v>
      </c>
      <c r="D40" s="5">
        <v>1</v>
      </c>
      <c r="E40" s="5">
        <v>216</v>
      </c>
      <c r="F40" s="5">
        <f>ROUND(Source!AP31,O40)</f>
        <v>0</v>
      </c>
      <c r="G40" s="5" t="s">
        <v>40</v>
      </c>
      <c r="H40" s="5" t="s">
        <v>41</v>
      </c>
      <c r="I40" s="5"/>
      <c r="J40" s="5"/>
      <c r="K40" s="5">
        <v>216</v>
      </c>
      <c r="L40" s="5">
        <v>8</v>
      </c>
      <c r="M40" s="5">
        <v>3</v>
      </c>
      <c r="N40" s="5" t="s">
        <v>3</v>
      </c>
      <c r="O40" s="5">
        <v>2</v>
      </c>
      <c r="P40" s="5">
        <f>ROUND(Source!EH31,O40)</f>
        <v>0</v>
      </c>
      <c r="Q40" s="5"/>
      <c r="R40" s="5"/>
      <c r="S40" s="5"/>
      <c r="T40" s="5"/>
      <c r="U40" s="5"/>
      <c r="V40" s="5"/>
      <c r="W40" s="5">
        <v>0</v>
      </c>
      <c r="X40" s="5">
        <v>1</v>
      </c>
      <c r="Y40" s="5">
        <v>0</v>
      </c>
      <c r="Z40" s="5">
        <v>0</v>
      </c>
      <c r="AA40" s="5">
        <v>1</v>
      </c>
      <c r="AB40" s="5">
        <v>0</v>
      </c>
    </row>
    <row r="41" spans="1:28" x14ac:dyDescent="0.2">
      <c r="A41" s="5">
        <v>50</v>
      </c>
      <c r="B41" s="5">
        <v>0</v>
      </c>
      <c r="C41" s="5">
        <v>0</v>
      </c>
      <c r="D41" s="5">
        <v>1</v>
      </c>
      <c r="E41" s="5">
        <v>223</v>
      </c>
      <c r="F41" s="5">
        <f>ROUND(Source!AQ31,O41)</f>
        <v>0</v>
      </c>
      <c r="G41" s="5" t="s">
        <v>42</v>
      </c>
      <c r="H41" s="5" t="s">
        <v>43</v>
      </c>
      <c r="I41" s="5"/>
      <c r="J41" s="5"/>
      <c r="K41" s="5">
        <v>223</v>
      </c>
      <c r="L41" s="5">
        <v>9</v>
      </c>
      <c r="M41" s="5">
        <v>3</v>
      </c>
      <c r="N41" s="5" t="s">
        <v>3</v>
      </c>
      <c r="O41" s="5">
        <v>2</v>
      </c>
      <c r="P41" s="5">
        <f>ROUND(Source!EI31,O41)</f>
        <v>0</v>
      </c>
      <c r="Q41" s="5"/>
      <c r="R41" s="5"/>
      <c r="S41" s="5"/>
      <c r="T41" s="5"/>
      <c r="U41" s="5"/>
      <c r="V41" s="5"/>
      <c r="W41" s="5">
        <v>0</v>
      </c>
      <c r="X41" s="5">
        <v>1</v>
      </c>
      <c r="Y41" s="5">
        <v>0</v>
      </c>
      <c r="Z41" s="5">
        <v>0</v>
      </c>
      <c r="AA41" s="5">
        <v>1</v>
      </c>
      <c r="AB41" s="5">
        <v>0</v>
      </c>
    </row>
    <row r="42" spans="1:28" x14ac:dyDescent="0.2">
      <c r="A42" s="5">
        <v>50</v>
      </c>
      <c r="B42" s="5">
        <v>0</v>
      </c>
      <c r="C42" s="5">
        <v>0</v>
      </c>
      <c r="D42" s="5">
        <v>1</v>
      </c>
      <c r="E42" s="5">
        <v>229</v>
      </c>
      <c r="F42" s="5">
        <f>ROUND(Source!AZ31,O42)</f>
        <v>0</v>
      </c>
      <c r="G42" s="5" t="s">
        <v>44</v>
      </c>
      <c r="H42" s="5" t="s">
        <v>45</v>
      </c>
      <c r="I42" s="5"/>
      <c r="J42" s="5"/>
      <c r="K42" s="5">
        <v>229</v>
      </c>
      <c r="L42" s="5">
        <v>10</v>
      </c>
      <c r="M42" s="5">
        <v>3</v>
      </c>
      <c r="N42" s="5" t="s">
        <v>3</v>
      </c>
      <c r="O42" s="5">
        <v>2</v>
      </c>
      <c r="P42" s="5">
        <f>ROUND(Source!ER31,O42)</f>
        <v>0</v>
      </c>
      <c r="Q42" s="5"/>
      <c r="R42" s="5"/>
      <c r="S42" s="5"/>
      <c r="T42" s="5"/>
      <c r="U42" s="5"/>
      <c r="V42" s="5"/>
      <c r="W42" s="5">
        <v>0</v>
      </c>
      <c r="X42" s="5">
        <v>1</v>
      </c>
      <c r="Y42" s="5">
        <v>0</v>
      </c>
      <c r="Z42" s="5">
        <v>0</v>
      </c>
      <c r="AA42" s="5">
        <v>1</v>
      </c>
      <c r="AB42" s="5">
        <v>0</v>
      </c>
    </row>
    <row r="43" spans="1:28" x14ac:dyDescent="0.2">
      <c r="A43" s="5">
        <v>50</v>
      </c>
      <c r="B43" s="5">
        <v>0</v>
      </c>
      <c r="C43" s="5">
        <v>0</v>
      </c>
      <c r="D43" s="5">
        <v>1</v>
      </c>
      <c r="E43" s="5">
        <v>203</v>
      </c>
      <c r="F43" s="5">
        <f>ROUND(Source!Q31,O43)</f>
        <v>0</v>
      </c>
      <c r="G43" s="5" t="s">
        <v>46</v>
      </c>
      <c r="H43" s="5" t="s">
        <v>47</v>
      </c>
      <c r="I43" s="5"/>
      <c r="J43" s="5"/>
      <c r="K43" s="5">
        <v>203</v>
      </c>
      <c r="L43" s="5">
        <v>11</v>
      </c>
      <c r="M43" s="5">
        <v>3</v>
      </c>
      <c r="N43" s="5" t="s">
        <v>3</v>
      </c>
      <c r="O43" s="5">
        <v>2</v>
      </c>
      <c r="P43" s="5">
        <f>ROUND(Source!DI31,O43)</f>
        <v>0</v>
      </c>
      <c r="Q43" s="5"/>
      <c r="R43" s="5"/>
      <c r="S43" s="5"/>
      <c r="T43" s="5"/>
      <c r="U43" s="5"/>
      <c r="V43" s="5"/>
      <c r="W43" s="5">
        <v>0</v>
      </c>
      <c r="X43" s="5">
        <v>1</v>
      </c>
      <c r="Y43" s="5">
        <v>0</v>
      </c>
      <c r="Z43" s="5">
        <v>0</v>
      </c>
      <c r="AA43" s="5">
        <v>1</v>
      </c>
      <c r="AB43" s="5">
        <v>0</v>
      </c>
    </row>
    <row r="44" spans="1:28" x14ac:dyDescent="0.2">
      <c r="A44" s="5">
        <v>50</v>
      </c>
      <c r="B44" s="5">
        <v>0</v>
      </c>
      <c r="C44" s="5">
        <v>0</v>
      </c>
      <c r="D44" s="5">
        <v>1</v>
      </c>
      <c r="E44" s="5">
        <v>231</v>
      </c>
      <c r="F44" s="5">
        <f>ROUND(Source!BB31,O44)</f>
        <v>0</v>
      </c>
      <c r="G44" s="5" t="s">
        <v>48</v>
      </c>
      <c r="H44" s="5" t="s">
        <v>49</v>
      </c>
      <c r="I44" s="5"/>
      <c r="J44" s="5"/>
      <c r="K44" s="5">
        <v>231</v>
      </c>
      <c r="L44" s="5">
        <v>12</v>
      </c>
      <c r="M44" s="5">
        <v>3</v>
      </c>
      <c r="N44" s="5" t="s">
        <v>3</v>
      </c>
      <c r="O44" s="5">
        <v>2</v>
      </c>
      <c r="P44" s="5">
        <f>ROUND(Source!ET31,O44)</f>
        <v>0</v>
      </c>
      <c r="Q44" s="5"/>
      <c r="R44" s="5"/>
      <c r="S44" s="5"/>
      <c r="T44" s="5"/>
      <c r="U44" s="5"/>
      <c r="V44" s="5"/>
      <c r="W44" s="5">
        <v>0</v>
      </c>
      <c r="X44" s="5">
        <v>1</v>
      </c>
      <c r="Y44" s="5">
        <v>0</v>
      </c>
      <c r="Z44" s="5">
        <v>0</v>
      </c>
      <c r="AA44" s="5">
        <v>1</v>
      </c>
      <c r="AB44" s="5">
        <v>0</v>
      </c>
    </row>
    <row r="45" spans="1:28" x14ac:dyDescent="0.2">
      <c r="A45" s="5">
        <v>50</v>
      </c>
      <c r="B45" s="5">
        <v>0</v>
      </c>
      <c r="C45" s="5">
        <v>0</v>
      </c>
      <c r="D45" s="5">
        <v>1</v>
      </c>
      <c r="E45" s="5">
        <v>204</v>
      </c>
      <c r="F45" s="5">
        <f>ROUND(Source!R31,O45)</f>
        <v>0</v>
      </c>
      <c r="G45" s="5" t="s">
        <v>50</v>
      </c>
      <c r="H45" s="5" t="s">
        <v>51</v>
      </c>
      <c r="I45" s="5"/>
      <c r="J45" s="5"/>
      <c r="K45" s="5">
        <v>204</v>
      </c>
      <c r="L45" s="5">
        <v>13</v>
      </c>
      <c r="M45" s="5">
        <v>3</v>
      </c>
      <c r="N45" s="5" t="s">
        <v>3</v>
      </c>
      <c r="O45" s="5">
        <v>2</v>
      </c>
      <c r="P45" s="5">
        <f>ROUND(Source!DJ31,O45)</f>
        <v>0</v>
      </c>
      <c r="Q45" s="5"/>
      <c r="R45" s="5"/>
      <c r="S45" s="5"/>
      <c r="T45" s="5"/>
      <c r="U45" s="5"/>
      <c r="V45" s="5"/>
      <c r="W45" s="5">
        <v>0</v>
      </c>
      <c r="X45" s="5">
        <v>1</v>
      </c>
      <c r="Y45" s="5">
        <v>0</v>
      </c>
      <c r="Z45" s="5">
        <v>0</v>
      </c>
      <c r="AA45" s="5">
        <v>1</v>
      </c>
      <c r="AB45" s="5">
        <v>0</v>
      </c>
    </row>
    <row r="46" spans="1:28" x14ac:dyDescent="0.2">
      <c r="A46" s="5">
        <v>50</v>
      </c>
      <c r="B46" s="5">
        <v>0</v>
      </c>
      <c r="C46" s="5">
        <v>0</v>
      </c>
      <c r="D46" s="5">
        <v>1</v>
      </c>
      <c r="E46" s="5">
        <v>205</v>
      </c>
      <c r="F46" s="5">
        <f>ROUND(Source!S31,O46)</f>
        <v>53.11</v>
      </c>
      <c r="G46" s="5" t="s">
        <v>52</v>
      </c>
      <c r="H46" s="5" t="s">
        <v>53</v>
      </c>
      <c r="I46" s="5"/>
      <c r="J46" s="5"/>
      <c r="K46" s="5">
        <v>205</v>
      </c>
      <c r="L46" s="5">
        <v>14</v>
      </c>
      <c r="M46" s="5">
        <v>3</v>
      </c>
      <c r="N46" s="5" t="s">
        <v>3</v>
      </c>
      <c r="O46" s="5">
        <v>2</v>
      </c>
      <c r="P46" s="5">
        <f>ROUND(Source!DK31,O46)</f>
        <v>1541.78</v>
      </c>
      <c r="Q46" s="5"/>
      <c r="R46" s="5"/>
      <c r="S46" s="5"/>
      <c r="T46" s="5"/>
      <c r="U46" s="5"/>
      <c r="V46" s="5"/>
      <c r="W46" s="5">
        <v>53.11</v>
      </c>
      <c r="X46" s="5">
        <v>1</v>
      </c>
      <c r="Y46" s="5">
        <v>53.11</v>
      </c>
      <c r="Z46" s="5">
        <v>1541.78</v>
      </c>
      <c r="AA46" s="5">
        <v>1</v>
      </c>
      <c r="AB46" s="5">
        <v>1541.78</v>
      </c>
    </row>
    <row r="47" spans="1:28" x14ac:dyDescent="0.2">
      <c r="A47" s="5">
        <v>50</v>
      </c>
      <c r="B47" s="5">
        <v>0</v>
      </c>
      <c r="C47" s="5">
        <v>0</v>
      </c>
      <c r="D47" s="5">
        <v>1</v>
      </c>
      <c r="E47" s="5">
        <v>232</v>
      </c>
      <c r="F47" s="5">
        <f>ROUND(Source!BC31,O47)</f>
        <v>0</v>
      </c>
      <c r="G47" s="5" t="s">
        <v>54</v>
      </c>
      <c r="H47" s="5" t="s">
        <v>55</v>
      </c>
      <c r="I47" s="5"/>
      <c r="J47" s="5"/>
      <c r="K47" s="5">
        <v>232</v>
      </c>
      <c r="L47" s="5">
        <v>15</v>
      </c>
      <c r="M47" s="5">
        <v>3</v>
      </c>
      <c r="N47" s="5" t="s">
        <v>3</v>
      </c>
      <c r="O47" s="5">
        <v>2</v>
      </c>
      <c r="P47" s="5">
        <f>ROUND(Source!EU31,O47)</f>
        <v>0</v>
      </c>
      <c r="Q47" s="5"/>
      <c r="R47" s="5"/>
      <c r="S47" s="5"/>
      <c r="T47" s="5"/>
      <c r="U47" s="5"/>
      <c r="V47" s="5"/>
      <c r="W47" s="5">
        <v>0</v>
      </c>
      <c r="X47" s="5">
        <v>1</v>
      </c>
      <c r="Y47" s="5">
        <v>0</v>
      </c>
      <c r="Z47" s="5">
        <v>0</v>
      </c>
      <c r="AA47" s="5">
        <v>1</v>
      </c>
      <c r="AB47" s="5">
        <v>0</v>
      </c>
    </row>
    <row r="48" spans="1:28" x14ac:dyDescent="0.2">
      <c r="A48" s="5">
        <v>50</v>
      </c>
      <c r="B48" s="5">
        <v>0</v>
      </c>
      <c r="C48" s="5">
        <v>0</v>
      </c>
      <c r="D48" s="5">
        <v>1</v>
      </c>
      <c r="E48" s="5">
        <v>214</v>
      </c>
      <c r="F48" s="5">
        <f>ROUND(Source!AS31,O48)</f>
        <v>137.02000000000001</v>
      </c>
      <c r="G48" s="5" t="s">
        <v>56</v>
      </c>
      <c r="H48" s="5" t="s">
        <v>57</v>
      </c>
      <c r="I48" s="5"/>
      <c r="J48" s="5"/>
      <c r="K48" s="5">
        <v>214</v>
      </c>
      <c r="L48" s="5">
        <v>16</v>
      </c>
      <c r="M48" s="5">
        <v>3</v>
      </c>
      <c r="N48" s="5" t="s">
        <v>3</v>
      </c>
      <c r="O48" s="5">
        <v>2</v>
      </c>
      <c r="P48" s="5">
        <f>ROUND(Source!EK31,O48)</f>
        <v>3330.25</v>
      </c>
      <c r="Q48" s="5"/>
      <c r="R48" s="5"/>
      <c r="S48" s="5"/>
      <c r="T48" s="5"/>
      <c r="U48" s="5"/>
      <c r="V48" s="5"/>
      <c r="W48" s="5">
        <v>137.02000000000001</v>
      </c>
      <c r="X48" s="5">
        <v>1</v>
      </c>
      <c r="Y48" s="5">
        <v>137.02000000000001</v>
      </c>
      <c r="Z48" s="5">
        <v>3330.25</v>
      </c>
      <c r="AA48" s="5">
        <v>1</v>
      </c>
      <c r="AB48" s="5">
        <v>3330.25</v>
      </c>
    </row>
    <row r="49" spans="1:206" x14ac:dyDescent="0.2">
      <c r="A49" s="5">
        <v>50</v>
      </c>
      <c r="B49" s="5">
        <v>0</v>
      </c>
      <c r="C49" s="5">
        <v>0</v>
      </c>
      <c r="D49" s="5">
        <v>1</v>
      </c>
      <c r="E49" s="5">
        <v>215</v>
      </c>
      <c r="F49" s="5">
        <f>ROUND(Source!AT31,O49)</f>
        <v>0</v>
      </c>
      <c r="G49" s="5" t="s">
        <v>58</v>
      </c>
      <c r="H49" s="5" t="s">
        <v>59</v>
      </c>
      <c r="I49" s="5"/>
      <c r="J49" s="5"/>
      <c r="K49" s="5">
        <v>215</v>
      </c>
      <c r="L49" s="5">
        <v>17</v>
      </c>
      <c r="M49" s="5">
        <v>3</v>
      </c>
      <c r="N49" s="5" t="s">
        <v>3</v>
      </c>
      <c r="O49" s="5">
        <v>2</v>
      </c>
      <c r="P49" s="5">
        <f>ROUND(Source!EL31,O49)</f>
        <v>0</v>
      </c>
      <c r="Q49" s="5"/>
      <c r="R49" s="5"/>
      <c r="S49" s="5"/>
      <c r="T49" s="5"/>
      <c r="U49" s="5"/>
      <c r="V49" s="5"/>
      <c r="W49" s="5">
        <v>0</v>
      </c>
      <c r="X49" s="5">
        <v>1</v>
      </c>
      <c r="Y49" s="5">
        <v>0</v>
      </c>
      <c r="Z49" s="5">
        <v>0</v>
      </c>
      <c r="AA49" s="5">
        <v>1</v>
      </c>
      <c r="AB49" s="5">
        <v>0</v>
      </c>
    </row>
    <row r="50" spans="1:206" x14ac:dyDescent="0.2">
      <c r="A50" s="5">
        <v>50</v>
      </c>
      <c r="B50" s="5">
        <v>0</v>
      </c>
      <c r="C50" s="5">
        <v>0</v>
      </c>
      <c r="D50" s="5">
        <v>1</v>
      </c>
      <c r="E50" s="5">
        <v>217</v>
      </c>
      <c r="F50" s="5">
        <f>ROUND(Source!AU31,O50)</f>
        <v>0</v>
      </c>
      <c r="G50" s="5" t="s">
        <v>60</v>
      </c>
      <c r="H50" s="5" t="s">
        <v>61</v>
      </c>
      <c r="I50" s="5"/>
      <c r="J50" s="5"/>
      <c r="K50" s="5">
        <v>217</v>
      </c>
      <c r="L50" s="5">
        <v>18</v>
      </c>
      <c r="M50" s="5">
        <v>3</v>
      </c>
      <c r="N50" s="5" t="s">
        <v>3</v>
      </c>
      <c r="O50" s="5">
        <v>2</v>
      </c>
      <c r="P50" s="5">
        <f>ROUND(Source!EM31,O50)</f>
        <v>0</v>
      </c>
      <c r="Q50" s="5"/>
      <c r="R50" s="5"/>
      <c r="S50" s="5"/>
      <c r="T50" s="5"/>
      <c r="U50" s="5"/>
      <c r="V50" s="5"/>
      <c r="W50" s="5">
        <v>0</v>
      </c>
      <c r="X50" s="5">
        <v>1</v>
      </c>
      <c r="Y50" s="5">
        <v>0</v>
      </c>
      <c r="Z50" s="5">
        <v>0</v>
      </c>
      <c r="AA50" s="5">
        <v>1</v>
      </c>
      <c r="AB50" s="5">
        <v>0</v>
      </c>
    </row>
    <row r="51" spans="1:206" x14ac:dyDescent="0.2">
      <c r="A51" s="5">
        <v>50</v>
      </c>
      <c r="B51" s="5">
        <v>0</v>
      </c>
      <c r="C51" s="5">
        <v>0</v>
      </c>
      <c r="D51" s="5">
        <v>1</v>
      </c>
      <c r="E51" s="5">
        <v>230</v>
      </c>
      <c r="F51" s="5">
        <f>ROUND(Source!BA31,O51)</f>
        <v>0</v>
      </c>
      <c r="G51" s="5" t="s">
        <v>62</v>
      </c>
      <c r="H51" s="5" t="s">
        <v>63</v>
      </c>
      <c r="I51" s="5"/>
      <c r="J51" s="5"/>
      <c r="K51" s="5">
        <v>230</v>
      </c>
      <c r="L51" s="5">
        <v>19</v>
      </c>
      <c r="M51" s="5">
        <v>3</v>
      </c>
      <c r="N51" s="5" t="s">
        <v>3</v>
      </c>
      <c r="O51" s="5">
        <v>2</v>
      </c>
      <c r="P51" s="5">
        <f>ROUND(Source!ES31,O51)</f>
        <v>0</v>
      </c>
      <c r="Q51" s="5"/>
      <c r="R51" s="5"/>
      <c r="S51" s="5"/>
      <c r="T51" s="5"/>
      <c r="U51" s="5"/>
      <c r="V51" s="5"/>
      <c r="W51" s="5">
        <v>0</v>
      </c>
      <c r="X51" s="5">
        <v>1</v>
      </c>
      <c r="Y51" s="5">
        <v>0</v>
      </c>
      <c r="Z51" s="5">
        <v>0</v>
      </c>
      <c r="AA51" s="5">
        <v>1</v>
      </c>
      <c r="AB51" s="5">
        <v>0</v>
      </c>
    </row>
    <row r="52" spans="1:206" x14ac:dyDescent="0.2">
      <c r="A52" s="5">
        <v>50</v>
      </c>
      <c r="B52" s="5">
        <v>0</v>
      </c>
      <c r="C52" s="5">
        <v>0</v>
      </c>
      <c r="D52" s="5">
        <v>1</v>
      </c>
      <c r="E52" s="5">
        <v>206</v>
      </c>
      <c r="F52" s="5">
        <f>ROUND(Source!T31,O52)</f>
        <v>0</v>
      </c>
      <c r="G52" s="5" t="s">
        <v>64</v>
      </c>
      <c r="H52" s="5" t="s">
        <v>65</v>
      </c>
      <c r="I52" s="5"/>
      <c r="J52" s="5"/>
      <c r="K52" s="5">
        <v>206</v>
      </c>
      <c r="L52" s="5">
        <v>20</v>
      </c>
      <c r="M52" s="5">
        <v>3</v>
      </c>
      <c r="N52" s="5" t="s">
        <v>3</v>
      </c>
      <c r="O52" s="5">
        <v>2</v>
      </c>
      <c r="P52" s="5">
        <f>ROUND(Source!DL31,O52)</f>
        <v>0</v>
      </c>
      <c r="Q52" s="5"/>
      <c r="R52" s="5"/>
      <c r="S52" s="5"/>
      <c r="T52" s="5"/>
      <c r="U52" s="5"/>
      <c r="V52" s="5"/>
      <c r="W52" s="5">
        <v>0</v>
      </c>
      <c r="X52" s="5">
        <v>1</v>
      </c>
      <c r="Y52" s="5">
        <v>0</v>
      </c>
      <c r="Z52" s="5">
        <v>0</v>
      </c>
      <c r="AA52" s="5">
        <v>1</v>
      </c>
      <c r="AB52" s="5">
        <v>0</v>
      </c>
    </row>
    <row r="53" spans="1:206" x14ac:dyDescent="0.2">
      <c r="A53" s="5">
        <v>50</v>
      </c>
      <c r="B53" s="5">
        <v>0</v>
      </c>
      <c r="C53" s="5">
        <v>0</v>
      </c>
      <c r="D53" s="5">
        <v>1</v>
      </c>
      <c r="E53" s="5">
        <v>207</v>
      </c>
      <c r="F53" s="5">
        <f>Source!U31</f>
        <v>5.0101999999999993</v>
      </c>
      <c r="G53" s="5" t="s">
        <v>66</v>
      </c>
      <c r="H53" s="5" t="s">
        <v>67</v>
      </c>
      <c r="I53" s="5"/>
      <c r="J53" s="5"/>
      <c r="K53" s="5">
        <v>207</v>
      </c>
      <c r="L53" s="5">
        <v>21</v>
      </c>
      <c r="M53" s="5">
        <v>3</v>
      </c>
      <c r="N53" s="5" t="s">
        <v>3</v>
      </c>
      <c r="O53" s="5">
        <v>-1</v>
      </c>
      <c r="P53" s="5">
        <f>Source!DM31</f>
        <v>5.0101999999999993</v>
      </c>
      <c r="Q53" s="5"/>
      <c r="R53" s="5"/>
      <c r="S53" s="5"/>
      <c r="T53" s="5"/>
      <c r="U53" s="5"/>
      <c r="V53" s="5"/>
      <c r="W53" s="5">
        <v>5.0102000000000002</v>
      </c>
      <c r="X53" s="5">
        <v>1</v>
      </c>
      <c r="Y53" s="5">
        <v>5.0102000000000002</v>
      </c>
      <c r="Z53" s="5">
        <v>5.0102000000000002</v>
      </c>
      <c r="AA53" s="5">
        <v>1</v>
      </c>
      <c r="AB53" s="5">
        <v>5.0102000000000002</v>
      </c>
    </row>
    <row r="54" spans="1:206" x14ac:dyDescent="0.2">
      <c r="A54" s="5">
        <v>50</v>
      </c>
      <c r="B54" s="5">
        <v>0</v>
      </c>
      <c r="C54" s="5">
        <v>0</v>
      </c>
      <c r="D54" s="5">
        <v>1</v>
      </c>
      <c r="E54" s="5">
        <v>208</v>
      </c>
      <c r="F54" s="5">
        <f>Source!V31</f>
        <v>0</v>
      </c>
      <c r="G54" s="5" t="s">
        <v>68</v>
      </c>
      <c r="H54" s="5" t="s">
        <v>69</v>
      </c>
      <c r="I54" s="5"/>
      <c r="J54" s="5"/>
      <c r="K54" s="5">
        <v>208</v>
      </c>
      <c r="L54" s="5">
        <v>22</v>
      </c>
      <c r="M54" s="5">
        <v>3</v>
      </c>
      <c r="N54" s="5" t="s">
        <v>3</v>
      </c>
      <c r="O54" s="5">
        <v>-1</v>
      </c>
      <c r="P54" s="5">
        <f>Source!DN31</f>
        <v>0</v>
      </c>
      <c r="Q54" s="5"/>
      <c r="R54" s="5"/>
      <c r="S54" s="5"/>
      <c r="T54" s="5"/>
      <c r="U54" s="5"/>
      <c r="V54" s="5"/>
      <c r="W54" s="5">
        <v>0</v>
      </c>
      <c r="X54" s="5">
        <v>1</v>
      </c>
      <c r="Y54" s="5">
        <v>0</v>
      </c>
      <c r="Z54" s="5">
        <v>0</v>
      </c>
      <c r="AA54" s="5">
        <v>1</v>
      </c>
      <c r="AB54" s="5">
        <v>0</v>
      </c>
    </row>
    <row r="55" spans="1:206" x14ac:dyDescent="0.2">
      <c r="A55" s="5">
        <v>50</v>
      </c>
      <c r="B55" s="5">
        <v>0</v>
      </c>
      <c r="C55" s="5">
        <v>0</v>
      </c>
      <c r="D55" s="5">
        <v>1</v>
      </c>
      <c r="E55" s="5">
        <v>209</v>
      </c>
      <c r="F55" s="5">
        <f>ROUND(Source!W31,O55)</f>
        <v>0</v>
      </c>
      <c r="G55" s="5" t="s">
        <v>70</v>
      </c>
      <c r="H55" s="5" t="s">
        <v>71</v>
      </c>
      <c r="I55" s="5"/>
      <c r="J55" s="5"/>
      <c r="K55" s="5">
        <v>209</v>
      </c>
      <c r="L55" s="5">
        <v>23</v>
      </c>
      <c r="M55" s="5">
        <v>3</v>
      </c>
      <c r="N55" s="5" t="s">
        <v>3</v>
      </c>
      <c r="O55" s="5">
        <v>2</v>
      </c>
      <c r="P55" s="5">
        <f>ROUND(Source!DO31,O55)</f>
        <v>0</v>
      </c>
      <c r="Q55" s="5"/>
      <c r="R55" s="5"/>
      <c r="S55" s="5"/>
      <c r="T55" s="5"/>
      <c r="U55" s="5"/>
      <c r="V55" s="5"/>
      <c r="W55" s="5">
        <v>0</v>
      </c>
      <c r="X55" s="5">
        <v>1</v>
      </c>
      <c r="Y55" s="5">
        <v>0</v>
      </c>
      <c r="Z55" s="5">
        <v>0</v>
      </c>
      <c r="AA55" s="5">
        <v>1</v>
      </c>
      <c r="AB55" s="5">
        <v>0</v>
      </c>
    </row>
    <row r="56" spans="1:206" x14ac:dyDescent="0.2">
      <c r="A56" s="5">
        <v>50</v>
      </c>
      <c r="B56" s="5">
        <v>0</v>
      </c>
      <c r="C56" s="5">
        <v>0</v>
      </c>
      <c r="D56" s="5">
        <v>1</v>
      </c>
      <c r="E56" s="5">
        <v>233</v>
      </c>
      <c r="F56" s="5">
        <f>ROUND(Source!BD31,O56)</f>
        <v>0</v>
      </c>
      <c r="G56" s="5" t="s">
        <v>72</v>
      </c>
      <c r="H56" s="5" t="s">
        <v>73</v>
      </c>
      <c r="I56" s="5"/>
      <c r="J56" s="5"/>
      <c r="K56" s="5">
        <v>233</v>
      </c>
      <c r="L56" s="5">
        <v>24</v>
      </c>
      <c r="M56" s="5">
        <v>3</v>
      </c>
      <c r="N56" s="5" t="s">
        <v>3</v>
      </c>
      <c r="O56" s="5">
        <v>2</v>
      </c>
      <c r="P56" s="5">
        <f>ROUND(Source!EV31,O56)</f>
        <v>0</v>
      </c>
      <c r="Q56" s="5"/>
      <c r="R56" s="5"/>
      <c r="S56" s="5"/>
      <c r="T56" s="5"/>
      <c r="U56" s="5"/>
      <c r="V56" s="5"/>
      <c r="W56" s="5">
        <v>0</v>
      </c>
      <c r="X56" s="5">
        <v>1</v>
      </c>
      <c r="Y56" s="5">
        <v>0</v>
      </c>
      <c r="Z56" s="5">
        <v>0</v>
      </c>
      <c r="AA56" s="5">
        <v>1</v>
      </c>
      <c r="AB56" s="5">
        <v>0</v>
      </c>
    </row>
    <row r="57" spans="1:206" x14ac:dyDescent="0.2">
      <c r="A57" s="5">
        <v>50</v>
      </c>
      <c r="B57" s="5">
        <v>0</v>
      </c>
      <c r="C57" s="5">
        <v>0</v>
      </c>
      <c r="D57" s="5">
        <v>1</v>
      </c>
      <c r="E57" s="5">
        <v>210</v>
      </c>
      <c r="F57" s="5">
        <f>ROUND(Source!X31,O57)</f>
        <v>48.33</v>
      </c>
      <c r="G57" s="5" t="s">
        <v>74</v>
      </c>
      <c r="H57" s="5" t="s">
        <v>75</v>
      </c>
      <c r="I57" s="5"/>
      <c r="J57" s="5"/>
      <c r="K57" s="5">
        <v>210</v>
      </c>
      <c r="L57" s="5">
        <v>25</v>
      </c>
      <c r="M57" s="5">
        <v>3</v>
      </c>
      <c r="N57" s="5" t="s">
        <v>3</v>
      </c>
      <c r="O57" s="5">
        <v>2</v>
      </c>
      <c r="P57" s="5">
        <f>ROUND(Source!DP31,O57)</f>
        <v>1156.3399999999999</v>
      </c>
      <c r="Q57" s="5"/>
      <c r="R57" s="5"/>
      <c r="S57" s="5"/>
      <c r="T57" s="5"/>
      <c r="U57" s="5"/>
      <c r="V57" s="5"/>
      <c r="W57" s="5">
        <v>48.33</v>
      </c>
      <c r="X57" s="5">
        <v>1</v>
      </c>
      <c r="Y57" s="5">
        <v>48.33</v>
      </c>
      <c r="Z57" s="5">
        <v>1156.3399999999999</v>
      </c>
      <c r="AA57" s="5">
        <v>1</v>
      </c>
      <c r="AB57" s="5">
        <v>1156.3399999999999</v>
      </c>
    </row>
    <row r="58" spans="1:206" x14ac:dyDescent="0.2">
      <c r="A58" s="5">
        <v>50</v>
      </c>
      <c r="B58" s="5">
        <v>0</v>
      </c>
      <c r="C58" s="5">
        <v>0</v>
      </c>
      <c r="D58" s="5">
        <v>1</v>
      </c>
      <c r="E58" s="5">
        <v>211</v>
      </c>
      <c r="F58" s="5">
        <f>ROUND(Source!Y31,O58)</f>
        <v>35.58</v>
      </c>
      <c r="G58" s="5" t="s">
        <v>76</v>
      </c>
      <c r="H58" s="5" t="s">
        <v>77</v>
      </c>
      <c r="I58" s="5"/>
      <c r="J58" s="5"/>
      <c r="K58" s="5">
        <v>211</v>
      </c>
      <c r="L58" s="5">
        <v>26</v>
      </c>
      <c r="M58" s="5">
        <v>3</v>
      </c>
      <c r="N58" s="5" t="s">
        <v>3</v>
      </c>
      <c r="O58" s="5">
        <v>2</v>
      </c>
      <c r="P58" s="5">
        <f>ROUND(Source!DQ31,O58)</f>
        <v>632.13</v>
      </c>
      <c r="Q58" s="5"/>
      <c r="R58" s="5"/>
      <c r="S58" s="5"/>
      <c r="T58" s="5"/>
      <c r="U58" s="5"/>
      <c r="V58" s="5"/>
      <c r="W58" s="5">
        <v>35.58</v>
      </c>
      <c r="X58" s="5">
        <v>1</v>
      </c>
      <c r="Y58" s="5">
        <v>35.58</v>
      </c>
      <c r="Z58" s="5">
        <v>632.13</v>
      </c>
      <c r="AA58" s="5">
        <v>1</v>
      </c>
      <c r="AB58" s="5">
        <v>632.13</v>
      </c>
    </row>
    <row r="59" spans="1:206" x14ac:dyDescent="0.2">
      <c r="A59" s="5">
        <v>50</v>
      </c>
      <c r="B59" s="5">
        <v>0</v>
      </c>
      <c r="C59" s="5">
        <v>0</v>
      </c>
      <c r="D59" s="5">
        <v>1</v>
      </c>
      <c r="E59" s="5">
        <v>224</v>
      </c>
      <c r="F59" s="5">
        <f>ROUND(Source!AR31,O59)</f>
        <v>137.02000000000001</v>
      </c>
      <c r="G59" s="5" t="s">
        <v>78</v>
      </c>
      <c r="H59" s="5" t="s">
        <v>79</v>
      </c>
      <c r="I59" s="5"/>
      <c r="J59" s="5"/>
      <c r="K59" s="5">
        <v>224</v>
      </c>
      <c r="L59" s="5">
        <v>27</v>
      </c>
      <c r="M59" s="5">
        <v>3</v>
      </c>
      <c r="N59" s="5" t="s">
        <v>3</v>
      </c>
      <c r="O59" s="5">
        <v>2</v>
      </c>
      <c r="P59" s="5">
        <f>ROUND(Source!EJ31,O59)</f>
        <v>3330.25</v>
      </c>
      <c r="Q59" s="5"/>
      <c r="R59" s="5"/>
      <c r="S59" s="5"/>
      <c r="T59" s="5"/>
      <c r="U59" s="5"/>
      <c r="V59" s="5"/>
      <c r="W59" s="5">
        <v>137.02000000000001</v>
      </c>
      <c r="X59" s="5">
        <v>1</v>
      </c>
      <c r="Y59" s="5">
        <v>137.02000000000001</v>
      </c>
      <c r="Z59" s="5">
        <v>3330.25</v>
      </c>
      <c r="AA59" s="5">
        <v>1</v>
      </c>
      <c r="AB59" s="5">
        <v>3330.25</v>
      </c>
    </row>
    <row r="61" spans="1:206" x14ac:dyDescent="0.2">
      <c r="A61" s="1">
        <v>4</v>
      </c>
      <c r="B61" s="1">
        <v>1</v>
      </c>
      <c r="C61" s="1"/>
      <c r="D61" s="1">
        <f>ROW(A86)</f>
        <v>86</v>
      </c>
      <c r="E61" s="1"/>
      <c r="F61" s="1" t="s">
        <v>16</v>
      </c>
      <c r="G61" s="1" t="s">
        <v>80</v>
      </c>
      <c r="H61" s="1" t="s">
        <v>3</v>
      </c>
      <c r="I61" s="1">
        <v>0</v>
      </c>
      <c r="J61" s="1"/>
      <c r="K61" s="1">
        <v>0</v>
      </c>
      <c r="L61" s="1"/>
      <c r="M61" s="1" t="s">
        <v>3</v>
      </c>
      <c r="N61" s="1"/>
      <c r="O61" s="1"/>
      <c r="P61" s="1"/>
      <c r="Q61" s="1"/>
      <c r="R61" s="1"/>
      <c r="S61" s="1">
        <v>0</v>
      </c>
      <c r="T61" s="1">
        <v>0</v>
      </c>
      <c r="U61" s="1" t="s">
        <v>3</v>
      </c>
      <c r="V61" s="1">
        <v>0</v>
      </c>
      <c r="W61" s="1"/>
      <c r="X61" s="1"/>
      <c r="Y61" s="1"/>
      <c r="Z61" s="1"/>
      <c r="AA61" s="1"/>
      <c r="AB61" s="1" t="s">
        <v>3</v>
      </c>
      <c r="AC61" s="1" t="s">
        <v>3</v>
      </c>
      <c r="AD61" s="1" t="s">
        <v>3</v>
      </c>
      <c r="AE61" s="1" t="s">
        <v>3</v>
      </c>
      <c r="AF61" s="1" t="s">
        <v>3</v>
      </c>
      <c r="AG61" s="1" t="s">
        <v>3</v>
      </c>
      <c r="AH61" s="1"/>
      <c r="AI61" s="1"/>
      <c r="AJ61" s="1"/>
      <c r="AK61" s="1"/>
      <c r="AL61" s="1"/>
      <c r="AM61" s="1"/>
      <c r="AN61" s="1"/>
      <c r="AO61" s="1"/>
      <c r="AP61" s="1" t="s">
        <v>3</v>
      </c>
      <c r="AQ61" s="1" t="s">
        <v>3</v>
      </c>
      <c r="AR61" s="1" t="s">
        <v>3</v>
      </c>
      <c r="AS61" s="1"/>
      <c r="AT61" s="1"/>
      <c r="AU61" s="1"/>
      <c r="AV61" s="1"/>
      <c r="AW61" s="1"/>
      <c r="AX61" s="1"/>
      <c r="AY61" s="1"/>
      <c r="AZ61" s="1" t="s">
        <v>3</v>
      </c>
      <c r="BA61" s="1"/>
      <c r="BB61" s="1" t="s">
        <v>3</v>
      </c>
      <c r="BC61" s="1" t="s">
        <v>3</v>
      </c>
      <c r="BD61" s="1" t="s">
        <v>3</v>
      </c>
      <c r="BE61" s="1" t="s">
        <v>3</v>
      </c>
      <c r="BF61" s="1" t="s">
        <v>3</v>
      </c>
      <c r="BG61" s="1" t="s">
        <v>3</v>
      </c>
      <c r="BH61" s="1" t="s">
        <v>3</v>
      </c>
      <c r="BI61" s="1" t="s">
        <v>3</v>
      </c>
      <c r="BJ61" s="1" t="s">
        <v>3</v>
      </c>
      <c r="BK61" s="1" t="s">
        <v>3</v>
      </c>
      <c r="BL61" s="1" t="s">
        <v>3</v>
      </c>
      <c r="BM61" s="1" t="s">
        <v>3</v>
      </c>
      <c r="BN61" s="1" t="s">
        <v>3</v>
      </c>
      <c r="BO61" s="1" t="s">
        <v>3</v>
      </c>
      <c r="BP61" s="1" t="s">
        <v>3</v>
      </c>
      <c r="BQ61" s="1"/>
      <c r="BR61" s="1"/>
      <c r="BS61" s="1"/>
      <c r="BT61" s="1"/>
      <c r="BU61" s="1"/>
      <c r="BV61" s="1"/>
      <c r="BW61" s="1"/>
      <c r="BX61" s="1">
        <v>0</v>
      </c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>
        <v>0</v>
      </c>
    </row>
    <row r="63" spans="1:206" x14ac:dyDescent="0.2">
      <c r="A63" s="3">
        <v>52</v>
      </c>
      <c r="B63" s="3">
        <f t="shared" ref="B63:G63" si="25">B86</f>
        <v>1</v>
      </c>
      <c r="C63" s="3">
        <f t="shared" si="25"/>
        <v>4</v>
      </c>
      <c r="D63" s="3">
        <f t="shared" si="25"/>
        <v>61</v>
      </c>
      <c r="E63" s="3">
        <f t="shared" si="25"/>
        <v>0</v>
      </c>
      <c r="F63" s="3" t="str">
        <f t="shared" si="25"/>
        <v>Новый раздел</v>
      </c>
      <c r="G63" s="3" t="str">
        <f t="shared" si="25"/>
        <v>Монтажные работы</v>
      </c>
      <c r="H63" s="3"/>
      <c r="I63" s="3"/>
      <c r="J63" s="3"/>
      <c r="K63" s="3"/>
      <c r="L63" s="3"/>
      <c r="M63" s="3"/>
      <c r="N63" s="3"/>
      <c r="O63" s="3">
        <f t="shared" ref="O63:AT63" si="26">O86</f>
        <v>3354.42</v>
      </c>
      <c r="P63" s="3">
        <f t="shared" si="26"/>
        <v>3016.91</v>
      </c>
      <c r="Q63" s="3">
        <f t="shared" si="26"/>
        <v>171.87</v>
      </c>
      <c r="R63" s="3">
        <f t="shared" si="26"/>
        <v>16.440000000000001</v>
      </c>
      <c r="S63" s="3">
        <f t="shared" si="26"/>
        <v>165.64</v>
      </c>
      <c r="T63" s="3">
        <f t="shared" si="26"/>
        <v>0</v>
      </c>
      <c r="U63" s="3">
        <f t="shared" si="26"/>
        <v>14.600353999999999</v>
      </c>
      <c r="V63" s="3">
        <f t="shared" si="26"/>
        <v>0</v>
      </c>
      <c r="W63" s="3">
        <f t="shared" si="26"/>
        <v>0</v>
      </c>
      <c r="X63" s="3">
        <f t="shared" si="26"/>
        <v>231.89</v>
      </c>
      <c r="Y63" s="3">
        <f t="shared" si="26"/>
        <v>130.85</v>
      </c>
      <c r="Z63" s="3">
        <f t="shared" si="26"/>
        <v>0</v>
      </c>
      <c r="AA63" s="3">
        <f t="shared" si="26"/>
        <v>0</v>
      </c>
      <c r="AB63" s="3">
        <f t="shared" si="26"/>
        <v>3354.42</v>
      </c>
      <c r="AC63" s="3">
        <f t="shared" si="26"/>
        <v>3016.91</v>
      </c>
      <c r="AD63" s="3">
        <f t="shared" si="26"/>
        <v>171.87</v>
      </c>
      <c r="AE63" s="3">
        <f t="shared" si="26"/>
        <v>16.440000000000001</v>
      </c>
      <c r="AF63" s="3">
        <f t="shared" si="26"/>
        <v>165.64</v>
      </c>
      <c r="AG63" s="3">
        <f t="shared" si="26"/>
        <v>0</v>
      </c>
      <c r="AH63" s="3">
        <f t="shared" si="26"/>
        <v>14.600353999999999</v>
      </c>
      <c r="AI63" s="3">
        <f t="shared" si="26"/>
        <v>0</v>
      </c>
      <c r="AJ63" s="3">
        <f t="shared" si="26"/>
        <v>0</v>
      </c>
      <c r="AK63" s="3">
        <f t="shared" si="26"/>
        <v>231.89</v>
      </c>
      <c r="AL63" s="3">
        <f t="shared" si="26"/>
        <v>130.85</v>
      </c>
      <c r="AM63" s="3">
        <f t="shared" si="26"/>
        <v>0</v>
      </c>
      <c r="AN63" s="3">
        <f t="shared" si="26"/>
        <v>0</v>
      </c>
      <c r="AO63" s="3">
        <f t="shared" si="26"/>
        <v>0</v>
      </c>
      <c r="AP63" s="3">
        <f t="shared" si="26"/>
        <v>0</v>
      </c>
      <c r="AQ63" s="3">
        <f t="shared" si="26"/>
        <v>0</v>
      </c>
      <c r="AR63" s="3">
        <f t="shared" si="26"/>
        <v>3745.93</v>
      </c>
      <c r="AS63" s="3">
        <f t="shared" si="26"/>
        <v>3745.93</v>
      </c>
      <c r="AT63" s="3">
        <f t="shared" si="26"/>
        <v>0</v>
      </c>
      <c r="AU63" s="3">
        <f t="shared" ref="AU63:BZ63" si="27">AU86</f>
        <v>0</v>
      </c>
      <c r="AV63" s="3">
        <f t="shared" si="27"/>
        <v>3016.91</v>
      </c>
      <c r="AW63" s="3">
        <f t="shared" si="27"/>
        <v>3016.91</v>
      </c>
      <c r="AX63" s="3">
        <f t="shared" si="27"/>
        <v>0</v>
      </c>
      <c r="AY63" s="3">
        <f t="shared" si="27"/>
        <v>3016.91</v>
      </c>
      <c r="AZ63" s="3">
        <f t="shared" si="27"/>
        <v>0</v>
      </c>
      <c r="BA63" s="3">
        <f t="shared" si="27"/>
        <v>0</v>
      </c>
      <c r="BB63" s="3">
        <f t="shared" si="27"/>
        <v>0</v>
      </c>
      <c r="BC63" s="3">
        <f t="shared" si="27"/>
        <v>0</v>
      </c>
      <c r="BD63" s="3">
        <f t="shared" si="27"/>
        <v>0</v>
      </c>
      <c r="BE63" s="3">
        <f t="shared" si="27"/>
        <v>0</v>
      </c>
      <c r="BF63" s="3">
        <f t="shared" si="27"/>
        <v>0</v>
      </c>
      <c r="BG63" s="3">
        <f t="shared" si="27"/>
        <v>0</v>
      </c>
      <c r="BH63" s="3">
        <f t="shared" si="27"/>
        <v>0</v>
      </c>
      <c r="BI63" s="3">
        <f t="shared" si="27"/>
        <v>0</v>
      </c>
      <c r="BJ63" s="3">
        <f t="shared" si="27"/>
        <v>0</v>
      </c>
      <c r="BK63" s="3">
        <f t="shared" si="27"/>
        <v>0</v>
      </c>
      <c r="BL63" s="3">
        <f t="shared" si="27"/>
        <v>0</v>
      </c>
      <c r="BM63" s="3">
        <f t="shared" si="27"/>
        <v>0</v>
      </c>
      <c r="BN63" s="3">
        <f t="shared" si="27"/>
        <v>0</v>
      </c>
      <c r="BO63" s="3">
        <f t="shared" si="27"/>
        <v>0</v>
      </c>
      <c r="BP63" s="3">
        <f t="shared" si="27"/>
        <v>0</v>
      </c>
      <c r="BQ63" s="3">
        <f t="shared" si="27"/>
        <v>0</v>
      </c>
      <c r="BR63" s="3">
        <f t="shared" si="27"/>
        <v>0</v>
      </c>
      <c r="BS63" s="3">
        <f t="shared" si="27"/>
        <v>0</v>
      </c>
      <c r="BT63" s="3">
        <f t="shared" si="27"/>
        <v>0</v>
      </c>
      <c r="BU63" s="3">
        <f t="shared" si="27"/>
        <v>0</v>
      </c>
      <c r="BV63" s="3">
        <f t="shared" si="27"/>
        <v>0</v>
      </c>
      <c r="BW63" s="3">
        <f t="shared" si="27"/>
        <v>0</v>
      </c>
      <c r="BX63" s="3">
        <f t="shared" si="27"/>
        <v>0</v>
      </c>
      <c r="BY63" s="3">
        <f t="shared" si="27"/>
        <v>0</v>
      </c>
      <c r="BZ63" s="3">
        <f t="shared" si="27"/>
        <v>0</v>
      </c>
      <c r="CA63" s="3">
        <f t="shared" ref="CA63:DF63" si="28">CA86</f>
        <v>3745.93</v>
      </c>
      <c r="CB63" s="3">
        <f t="shared" si="28"/>
        <v>3745.93</v>
      </c>
      <c r="CC63" s="3">
        <f t="shared" si="28"/>
        <v>0</v>
      </c>
      <c r="CD63" s="3">
        <f t="shared" si="28"/>
        <v>0</v>
      </c>
      <c r="CE63" s="3">
        <f t="shared" si="28"/>
        <v>3016.91</v>
      </c>
      <c r="CF63" s="3">
        <f t="shared" si="28"/>
        <v>3016.91</v>
      </c>
      <c r="CG63" s="3">
        <f t="shared" si="28"/>
        <v>0</v>
      </c>
      <c r="CH63" s="3">
        <f t="shared" si="28"/>
        <v>3016.91</v>
      </c>
      <c r="CI63" s="3">
        <f t="shared" si="28"/>
        <v>0</v>
      </c>
      <c r="CJ63" s="3">
        <f t="shared" si="28"/>
        <v>0</v>
      </c>
      <c r="CK63" s="3">
        <f t="shared" si="28"/>
        <v>0</v>
      </c>
      <c r="CL63" s="3">
        <f t="shared" si="28"/>
        <v>0</v>
      </c>
      <c r="CM63" s="3">
        <f t="shared" si="28"/>
        <v>0</v>
      </c>
      <c r="CN63" s="3">
        <f t="shared" si="28"/>
        <v>0</v>
      </c>
      <c r="CO63" s="3">
        <f t="shared" si="28"/>
        <v>0</v>
      </c>
      <c r="CP63" s="3">
        <f t="shared" si="28"/>
        <v>0</v>
      </c>
      <c r="CQ63" s="3">
        <f t="shared" si="28"/>
        <v>0</v>
      </c>
      <c r="CR63" s="3">
        <f t="shared" si="28"/>
        <v>0</v>
      </c>
      <c r="CS63" s="3">
        <f t="shared" si="28"/>
        <v>0</v>
      </c>
      <c r="CT63" s="3">
        <f t="shared" si="28"/>
        <v>0</v>
      </c>
      <c r="CU63" s="3">
        <f t="shared" si="28"/>
        <v>0</v>
      </c>
      <c r="CV63" s="3">
        <f t="shared" si="28"/>
        <v>0</v>
      </c>
      <c r="CW63" s="3">
        <f t="shared" si="28"/>
        <v>0</v>
      </c>
      <c r="CX63" s="3">
        <f t="shared" si="28"/>
        <v>0</v>
      </c>
      <c r="CY63" s="3">
        <f t="shared" si="28"/>
        <v>0</v>
      </c>
      <c r="CZ63" s="3">
        <f t="shared" si="28"/>
        <v>0</v>
      </c>
      <c r="DA63" s="3">
        <f t="shared" si="28"/>
        <v>0</v>
      </c>
      <c r="DB63" s="3">
        <f t="shared" si="28"/>
        <v>0</v>
      </c>
      <c r="DC63" s="3">
        <f t="shared" si="28"/>
        <v>0</v>
      </c>
      <c r="DD63" s="3">
        <f t="shared" si="28"/>
        <v>0</v>
      </c>
      <c r="DE63" s="3">
        <f t="shared" si="28"/>
        <v>0</v>
      </c>
      <c r="DF63" s="3">
        <f t="shared" si="28"/>
        <v>0</v>
      </c>
      <c r="DG63" s="4">
        <f t="shared" ref="DG63:EL63" si="29">DG86</f>
        <v>35940.22</v>
      </c>
      <c r="DH63" s="4">
        <f t="shared" si="29"/>
        <v>29329.89</v>
      </c>
      <c r="DI63" s="4">
        <f t="shared" si="29"/>
        <v>1801.79</v>
      </c>
      <c r="DJ63" s="4">
        <f t="shared" si="29"/>
        <v>477.26</v>
      </c>
      <c r="DK63" s="4">
        <f t="shared" si="29"/>
        <v>4808.54</v>
      </c>
      <c r="DL63" s="4">
        <f t="shared" si="29"/>
        <v>0</v>
      </c>
      <c r="DM63" s="4">
        <f t="shared" si="29"/>
        <v>14.600353999999999</v>
      </c>
      <c r="DN63" s="4">
        <f t="shared" si="29"/>
        <v>0</v>
      </c>
      <c r="DO63" s="4">
        <f t="shared" si="29"/>
        <v>0</v>
      </c>
      <c r="DP63" s="4">
        <f t="shared" si="29"/>
        <v>5529.81</v>
      </c>
      <c r="DQ63" s="4">
        <f t="shared" si="29"/>
        <v>1971.5</v>
      </c>
      <c r="DR63" s="4">
        <f t="shared" si="29"/>
        <v>0</v>
      </c>
      <c r="DS63" s="4">
        <f t="shared" si="29"/>
        <v>0</v>
      </c>
      <c r="DT63" s="4">
        <f t="shared" si="29"/>
        <v>35940.22</v>
      </c>
      <c r="DU63" s="4">
        <f t="shared" si="29"/>
        <v>29329.89</v>
      </c>
      <c r="DV63" s="4">
        <f t="shared" si="29"/>
        <v>1801.79</v>
      </c>
      <c r="DW63" s="4">
        <f t="shared" si="29"/>
        <v>477.26</v>
      </c>
      <c r="DX63" s="4">
        <f t="shared" si="29"/>
        <v>4808.54</v>
      </c>
      <c r="DY63" s="4">
        <f t="shared" si="29"/>
        <v>0</v>
      </c>
      <c r="DZ63" s="4">
        <f t="shared" si="29"/>
        <v>14.600353999999999</v>
      </c>
      <c r="EA63" s="4">
        <f t="shared" si="29"/>
        <v>0</v>
      </c>
      <c r="EB63" s="4">
        <f t="shared" si="29"/>
        <v>0</v>
      </c>
      <c r="EC63" s="4">
        <f t="shared" si="29"/>
        <v>5529.81</v>
      </c>
      <c r="ED63" s="4">
        <f t="shared" si="29"/>
        <v>1971.5</v>
      </c>
      <c r="EE63" s="4">
        <f t="shared" si="29"/>
        <v>0</v>
      </c>
      <c r="EF63" s="4">
        <f t="shared" si="29"/>
        <v>0</v>
      </c>
      <c r="EG63" s="4">
        <f t="shared" si="29"/>
        <v>0</v>
      </c>
      <c r="EH63" s="4">
        <f t="shared" si="29"/>
        <v>0</v>
      </c>
      <c r="EI63" s="4">
        <f t="shared" si="29"/>
        <v>0</v>
      </c>
      <c r="EJ63" s="4">
        <f t="shared" si="29"/>
        <v>44205.15</v>
      </c>
      <c r="EK63" s="4">
        <f t="shared" si="29"/>
        <v>44205.15</v>
      </c>
      <c r="EL63" s="4">
        <f t="shared" si="29"/>
        <v>0</v>
      </c>
      <c r="EM63" s="4">
        <f t="shared" ref="EM63:FR63" si="30">EM86</f>
        <v>0</v>
      </c>
      <c r="EN63" s="4">
        <f t="shared" si="30"/>
        <v>29329.89</v>
      </c>
      <c r="EO63" s="4">
        <f t="shared" si="30"/>
        <v>29329.89</v>
      </c>
      <c r="EP63" s="4">
        <f t="shared" si="30"/>
        <v>0</v>
      </c>
      <c r="EQ63" s="4">
        <f t="shared" si="30"/>
        <v>29329.89</v>
      </c>
      <c r="ER63" s="4">
        <f t="shared" si="30"/>
        <v>0</v>
      </c>
      <c r="ES63" s="4">
        <f t="shared" si="30"/>
        <v>0</v>
      </c>
      <c r="ET63" s="4">
        <f t="shared" si="30"/>
        <v>0</v>
      </c>
      <c r="EU63" s="4">
        <f t="shared" si="30"/>
        <v>0</v>
      </c>
      <c r="EV63" s="4">
        <f t="shared" si="30"/>
        <v>0</v>
      </c>
      <c r="EW63" s="4">
        <f t="shared" si="30"/>
        <v>0</v>
      </c>
      <c r="EX63" s="4">
        <f t="shared" si="30"/>
        <v>0</v>
      </c>
      <c r="EY63" s="4">
        <f t="shared" si="30"/>
        <v>0</v>
      </c>
      <c r="EZ63" s="4">
        <f t="shared" si="30"/>
        <v>0</v>
      </c>
      <c r="FA63" s="4">
        <f t="shared" si="30"/>
        <v>0</v>
      </c>
      <c r="FB63" s="4">
        <f t="shared" si="30"/>
        <v>0</v>
      </c>
      <c r="FC63" s="4">
        <f t="shared" si="30"/>
        <v>0</v>
      </c>
      <c r="FD63" s="4">
        <f t="shared" si="30"/>
        <v>0</v>
      </c>
      <c r="FE63" s="4">
        <f t="shared" si="30"/>
        <v>0</v>
      </c>
      <c r="FF63" s="4">
        <f t="shared" si="30"/>
        <v>0</v>
      </c>
      <c r="FG63" s="4">
        <f t="shared" si="30"/>
        <v>0</v>
      </c>
      <c r="FH63" s="4">
        <f t="shared" si="30"/>
        <v>0</v>
      </c>
      <c r="FI63" s="4">
        <f t="shared" si="30"/>
        <v>0</v>
      </c>
      <c r="FJ63" s="4">
        <f t="shared" si="30"/>
        <v>0</v>
      </c>
      <c r="FK63" s="4">
        <f t="shared" si="30"/>
        <v>0</v>
      </c>
      <c r="FL63" s="4">
        <f t="shared" si="30"/>
        <v>0</v>
      </c>
      <c r="FM63" s="4">
        <f t="shared" si="30"/>
        <v>0</v>
      </c>
      <c r="FN63" s="4">
        <f t="shared" si="30"/>
        <v>0</v>
      </c>
      <c r="FO63" s="4">
        <f t="shared" si="30"/>
        <v>0</v>
      </c>
      <c r="FP63" s="4">
        <f t="shared" si="30"/>
        <v>0</v>
      </c>
      <c r="FQ63" s="4">
        <f t="shared" si="30"/>
        <v>0</v>
      </c>
      <c r="FR63" s="4">
        <f t="shared" si="30"/>
        <v>0</v>
      </c>
      <c r="FS63" s="4">
        <f t="shared" ref="FS63:GX63" si="31">FS86</f>
        <v>44205.15</v>
      </c>
      <c r="FT63" s="4">
        <f t="shared" si="31"/>
        <v>44205.15</v>
      </c>
      <c r="FU63" s="4">
        <f t="shared" si="31"/>
        <v>0</v>
      </c>
      <c r="FV63" s="4">
        <f t="shared" si="31"/>
        <v>0</v>
      </c>
      <c r="FW63" s="4">
        <f t="shared" si="31"/>
        <v>29329.89</v>
      </c>
      <c r="FX63" s="4">
        <f t="shared" si="31"/>
        <v>29329.89</v>
      </c>
      <c r="FY63" s="4">
        <f t="shared" si="31"/>
        <v>0</v>
      </c>
      <c r="FZ63" s="4">
        <f t="shared" si="31"/>
        <v>29329.89</v>
      </c>
      <c r="GA63" s="4">
        <f t="shared" si="31"/>
        <v>0</v>
      </c>
      <c r="GB63" s="4">
        <f t="shared" si="31"/>
        <v>0</v>
      </c>
      <c r="GC63" s="4">
        <f t="shared" si="31"/>
        <v>0</v>
      </c>
      <c r="GD63" s="4">
        <f t="shared" si="31"/>
        <v>0</v>
      </c>
      <c r="GE63" s="4">
        <f t="shared" si="31"/>
        <v>0</v>
      </c>
      <c r="GF63" s="4">
        <f t="shared" si="31"/>
        <v>0</v>
      </c>
      <c r="GG63" s="4">
        <f t="shared" si="31"/>
        <v>0</v>
      </c>
      <c r="GH63" s="4">
        <f t="shared" si="31"/>
        <v>0</v>
      </c>
      <c r="GI63" s="4">
        <f t="shared" si="31"/>
        <v>0</v>
      </c>
      <c r="GJ63" s="4">
        <f t="shared" si="31"/>
        <v>0</v>
      </c>
      <c r="GK63" s="4">
        <f t="shared" si="31"/>
        <v>0</v>
      </c>
      <c r="GL63" s="4">
        <f t="shared" si="31"/>
        <v>0</v>
      </c>
      <c r="GM63" s="4">
        <f t="shared" si="31"/>
        <v>0</v>
      </c>
      <c r="GN63" s="4">
        <f t="shared" si="31"/>
        <v>0</v>
      </c>
      <c r="GO63" s="4">
        <f t="shared" si="31"/>
        <v>0</v>
      </c>
      <c r="GP63" s="4">
        <f t="shared" si="31"/>
        <v>0</v>
      </c>
      <c r="GQ63" s="4">
        <f t="shared" si="31"/>
        <v>0</v>
      </c>
      <c r="GR63" s="4">
        <f t="shared" si="31"/>
        <v>0</v>
      </c>
      <c r="GS63" s="4">
        <f t="shared" si="31"/>
        <v>0</v>
      </c>
      <c r="GT63" s="4">
        <f t="shared" si="31"/>
        <v>0</v>
      </c>
      <c r="GU63" s="4">
        <f t="shared" si="31"/>
        <v>0</v>
      </c>
      <c r="GV63" s="4">
        <f t="shared" si="31"/>
        <v>0</v>
      </c>
      <c r="GW63" s="4">
        <f t="shared" si="31"/>
        <v>0</v>
      </c>
      <c r="GX63" s="4">
        <f t="shared" si="31"/>
        <v>0</v>
      </c>
    </row>
    <row r="65" spans="1:255" x14ac:dyDescent="0.2">
      <c r="A65" s="2">
        <v>17</v>
      </c>
      <c r="B65" s="2">
        <v>1</v>
      </c>
      <c r="C65" s="2">
        <f>ROW(SmtRes!A10)</f>
        <v>10</v>
      </c>
      <c r="D65" s="2">
        <f>ROW(EtalonRes!A10)</f>
        <v>10</v>
      </c>
      <c r="E65" s="2" t="s">
        <v>81</v>
      </c>
      <c r="F65" s="2" t="s">
        <v>82</v>
      </c>
      <c r="G65" s="2" t="s">
        <v>83</v>
      </c>
      <c r="H65" s="2" t="s">
        <v>84</v>
      </c>
      <c r="I65" s="2">
        <v>2.64E-2</v>
      </c>
      <c r="J65" s="2">
        <v>0</v>
      </c>
      <c r="K65" s="2">
        <v>2.64E-2</v>
      </c>
      <c r="L65" s="2"/>
      <c r="M65" s="2"/>
      <c r="N65" s="2"/>
      <c r="O65" s="2">
        <f t="shared" ref="O65:O84" si="32">ROUND(CP65,2)</f>
        <v>30.12</v>
      </c>
      <c r="P65" s="2">
        <f t="shared" ref="P65:P84" si="33">ROUND((ROUND((AC65*AW65*I65),2)*BC65),2)</f>
        <v>0.93</v>
      </c>
      <c r="Q65" s="2">
        <f>(ROUND((ROUND((((ET65*1.25))*AV65*I65),2)*BB65),2)+ROUND((ROUND(((AE65-((EU65*1.25)))*AV65*I65),2)*BS65),2))</f>
        <v>24.59</v>
      </c>
      <c r="R65" s="2">
        <f t="shared" ref="R65:R84" si="34">ROUND((ROUND((AE65*AV65*I65),2)*BS65),2)</f>
        <v>3.5</v>
      </c>
      <c r="S65" s="2">
        <f t="shared" ref="S65:S84" si="35">ROUND((ROUND((AF65*AV65*I65),2)*BA65),2)</f>
        <v>4.5999999999999996</v>
      </c>
      <c r="T65" s="2">
        <f t="shared" ref="T65:T84" si="36">ROUND(CU65*I65,2)</f>
        <v>0</v>
      </c>
      <c r="U65" s="2">
        <f t="shared" ref="U65:U84" si="37">CV65*I65</f>
        <v>0.43718399999999996</v>
      </c>
      <c r="V65" s="2">
        <f t="shared" ref="V65:V84" si="38">CW65*I65</f>
        <v>0</v>
      </c>
      <c r="W65" s="2">
        <f t="shared" ref="W65:W84" si="39">ROUND(CX65*I65,2)</f>
        <v>0</v>
      </c>
      <c r="X65" s="2">
        <f t="shared" ref="X65:X84" si="40">ROUND(CY65,2)</f>
        <v>6.44</v>
      </c>
      <c r="Y65" s="2">
        <f t="shared" ref="Y65:Y84" si="41">ROUND(CZ65,2)</f>
        <v>3.63</v>
      </c>
      <c r="Z65" s="2"/>
      <c r="AA65" s="2">
        <v>129761636</v>
      </c>
      <c r="AB65" s="2">
        <f t="shared" ref="AB65:AB84" si="42">ROUND((AC65+AD65+AF65),6)</f>
        <v>1141.0385000000001</v>
      </c>
      <c r="AC65" s="2">
        <f t="shared" ref="AC65:AC76" si="43">ROUND((ES65),6)</f>
        <v>35.35</v>
      </c>
      <c r="AD65" s="2">
        <f>ROUND(((((ET65*1.25))-((EU65*1.25)))+AE65),6)</f>
        <v>931.47500000000002</v>
      </c>
      <c r="AE65" s="2">
        <f>ROUND(((EU65*1.25)),6)</f>
        <v>132.48750000000001</v>
      </c>
      <c r="AF65" s="2">
        <f>ROUND(((EV65*1.15)),6)</f>
        <v>174.21350000000001</v>
      </c>
      <c r="AG65" s="2">
        <f t="shared" ref="AG65:AG84" si="44">ROUND((AP65),6)</f>
        <v>0</v>
      </c>
      <c r="AH65" s="2">
        <f>((EW65*1.15))</f>
        <v>16.559999999999999</v>
      </c>
      <c r="AI65" s="2">
        <f>((EX65*1.25))</f>
        <v>0</v>
      </c>
      <c r="AJ65" s="2">
        <f t="shared" ref="AJ65:AJ84" si="45">(AS65)</f>
        <v>0</v>
      </c>
      <c r="AK65" s="2">
        <v>932.02</v>
      </c>
      <c r="AL65" s="2">
        <v>35.35</v>
      </c>
      <c r="AM65" s="2">
        <v>745.18</v>
      </c>
      <c r="AN65" s="2">
        <v>105.99</v>
      </c>
      <c r="AO65" s="2">
        <v>151.49</v>
      </c>
      <c r="AP65" s="2">
        <v>0</v>
      </c>
      <c r="AQ65" s="2">
        <v>14.4</v>
      </c>
      <c r="AR65" s="2">
        <v>0</v>
      </c>
      <c r="AS65" s="2">
        <v>0</v>
      </c>
      <c r="AT65" s="2">
        <v>140</v>
      </c>
      <c r="AU65" s="2">
        <v>79</v>
      </c>
      <c r="AV65" s="2">
        <v>1</v>
      </c>
      <c r="AW65" s="2">
        <v>1</v>
      </c>
      <c r="AX65" s="2"/>
      <c r="AY65" s="2"/>
      <c r="AZ65" s="2">
        <v>1</v>
      </c>
      <c r="BA65" s="2">
        <v>1</v>
      </c>
      <c r="BB65" s="2">
        <v>1</v>
      </c>
      <c r="BC65" s="2">
        <v>1</v>
      </c>
      <c r="BD65" s="2" t="s">
        <v>3</v>
      </c>
      <c r="BE65" s="2" t="s">
        <v>3</v>
      </c>
      <c r="BF65" s="2" t="s">
        <v>3</v>
      </c>
      <c r="BG65" s="2" t="s">
        <v>3</v>
      </c>
      <c r="BH65" s="2">
        <v>0</v>
      </c>
      <c r="BI65" s="2">
        <v>1</v>
      </c>
      <c r="BJ65" s="2" t="s">
        <v>85</v>
      </c>
      <c r="BK65" s="2"/>
      <c r="BL65" s="2"/>
      <c r="BM65" s="2">
        <v>146</v>
      </c>
      <c r="BN65" s="2">
        <v>0</v>
      </c>
      <c r="BO65" s="2" t="s">
        <v>3</v>
      </c>
      <c r="BP65" s="2">
        <v>0</v>
      </c>
      <c r="BQ65" s="2">
        <v>30</v>
      </c>
      <c r="BR65" s="2">
        <v>0</v>
      </c>
      <c r="BS65" s="2">
        <v>1</v>
      </c>
      <c r="BT65" s="2">
        <v>1</v>
      </c>
      <c r="BU65" s="2">
        <v>1</v>
      </c>
      <c r="BV65" s="2">
        <v>1</v>
      </c>
      <c r="BW65" s="2">
        <v>1</v>
      </c>
      <c r="BX65" s="2">
        <v>1</v>
      </c>
      <c r="BY65" s="2" t="s">
        <v>3</v>
      </c>
      <c r="BZ65" s="2">
        <v>140</v>
      </c>
      <c r="CA65" s="2">
        <v>79</v>
      </c>
      <c r="CB65" s="2" t="s">
        <v>3</v>
      </c>
      <c r="CC65" s="2"/>
      <c r="CD65" s="2"/>
      <c r="CE65" s="2">
        <v>30</v>
      </c>
      <c r="CF65" s="2">
        <v>0</v>
      </c>
      <c r="CG65" s="2">
        <v>0</v>
      </c>
      <c r="CH65" s="2"/>
      <c r="CI65" s="2"/>
      <c r="CJ65" s="2"/>
      <c r="CK65" s="2"/>
      <c r="CL65" s="2"/>
      <c r="CM65" s="2">
        <v>0</v>
      </c>
      <c r="CN65" s="2" t="s">
        <v>1559</v>
      </c>
      <c r="CO65" s="2">
        <v>0</v>
      </c>
      <c r="CP65" s="2">
        <f t="shared" ref="CP65:CP84" si="46">(P65+Q65+S65)</f>
        <v>30.119999999999997</v>
      </c>
      <c r="CQ65" s="2">
        <f t="shared" ref="CQ65:CQ84" si="47">ROUND((ROUND((AC65*AW65*1),2)*BC65),2)</f>
        <v>35.35</v>
      </c>
      <c r="CR65" s="2">
        <f>(ROUND((ROUND((((ET65*1.25))*AV65*1),2)*BB65),2)+ROUND((ROUND(((AE65-((EU65*1.25)))*AV65*1),2)*BS65),2))</f>
        <v>931.48</v>
      </c>
      <c r="CS65" s="2">
        <f t="shared" ref="CS65:CS84" si="48">ROUND((ROUND((AE65*AV65*1),2)*BS65),2)</f>
        <v>132.49</v>
      </c>
      <c r="CT65" s="2">
        <f t="shared" ref="CT65:CT84" si="49">ROUND((ROUND((AF65*AV65*1),2)*BA65),2)</f>
        <v>174.21</v>
      </c>
      <c r="CU65" s="2">
        <f t="shared" ref="CU65:CU84" si="50">AG65</f>
        <v>0</v>
      </c>
      <c r="CV65" s="2">
        <f t="shared" ref="CV65:CV84" si="51">(AH65*AV65)</f>
        <v>16.559999999999999</v>
      </c>
      <c r="CW65" s="2">
        <f t="shared" ref="CW65:CW84" si="52">AI65</f>
        <v>0</v>
      </c>
      <c r="CX65" s="2">
        <f t="shared" ref="CX65:CX84" si="53">AJ65</f>
        <v>0</v>
      </c>
      <c r="CY65" s="2">
        <f>((S65*BZ65)/100)</f>
        <v>6.44</v>
      </c>
      <c r="CZ65" s="2">
        <f>((S65*CA65)/100)</f>
        <v>3.6339999999999999</v>
      </c>
      <c r="DA65" s="2"/>
      <c r="DB65" s="2"/>
      <c r="DC65" s="2" t="s">
        <v>3</v>
      </c>
      <c r="DD65" s="2" t="s">
        <v>3</v>
      </c>
      <c r="DE65" s="2" t="s">
        <v>86</v>
      </c>
      <c r="DF65" s="2" t="s">
        <v>86</v>
      </c>
      <c r="DG65" s="2" t="s">
        <v>87</v>
      </c>
      <c r="DH65" s="2" t="s">
        <v>3</v>
      </c>
      <c r="DI65" s="2" t="s">
        <v>87</v>
      </c>
      <c r="DJ65" s="2" t="s">
        <v>86</v>
      </c>
      <c r="DK65" s="2" t="s">
        <v>3</v>
      </c>
      <c r="DL65" s="2" t="s">
        <v>3</v>
      </c>
      <c r="DM65" s="2" t="s">
        <v>3</v>
      </c>
      <c r="DN65" s="2">
        <v>0</v>
      </c>
      <c r="DO65" s="2">
        <v>0</v>
      </c>
      <c r="DP65" s="2">
        <v>1</v>
      </c>
      <c r="DQ65" s="2">
        <v>1</v>
      </c>
      <c r="DR65" s="2"/>
      <c r="DS65" s="2"/>
      <c r="DT65" s="2"/>
      <c r="DU65" s="2">
        <v>1013</v>
      </c>
      <c r="DV65" s="2" t="s">
        <v>84</v>
      </c>
      <c r="DW65" s="2" t="s">
        <v>84</v>
      </c>
      <c r="DX65" s="2">
        <v>1</v>
      </c>
      <c r="DY65" s="2"/>
      <c r="DZ65" s="2" t="s">
        <v>3</v>
      </c>
      <c r="EA65" s="2" t="s">
        <v>3</v>
      </c>
      <c r="EB65" s="2" t="s">
        <v>3</v>
      </c>
      <c r="EC65" s="2" t="s">
        <v>3</v>
      </c>
      <c r="ED65" s="2"/>
      <c r="EE65" s="2">
        <v>126051607</v>
      </c>
      <c r="EF65" s="2">
        <v>30</v>
      </c>
      <c r="EG65" s="2" t="s">
        <v>23</v>
      </c>
      <c r="EH65" s="2">
        <v>0</v>
      </c>
      <c r="EI65" s="2" t="s">
        <v>3</v>
      </c>
      <c r="EJ65" s="2">
        <v>1</v>
      </c>
      <c r="EK65" s="2">
        <v>146</v>
      </c>
      <c r="EL65" s="2" t="s">
        <v>88</v>
      </c>
      <c r="EM65" s="2" t="s">
        <v>89</v>
      </c>
      <c r="EN65" s="2"/>
      <c r="EO65" s="2" t="s">
        <v>90</v>
      </c>
      <c r="EP65" s="2"/>
      <c r="EQ65" s="2">
        <v>131072</v>
      </c>
      <c r="ER65" s="2">
        <v>932.02</v>
      </c>
      <c r="ES65" s="2">
        <v>35.35</v>
      </c>
      <c r="ET65" s="2">
        <v>745.18</v>
      </c>
      <c r="EU65" s="2">
        <v>105.99</v>
      </c>
      <c r="EV65" s="2">
        <v>151.49</v>
      </c>
      <c r="EW65" s="2">
        <v>14.4</v>
      </c>
      <c r="EX65" s="2">
        <v>0</v>
      </c>
      <c r="EY65" s="2">
        <v>0</v>
      </c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>
        <v>0</v>
      </c>
      <c r="FR65" s="2">
        <f t="shared" ref="FR65:FR84" si="54">ROUND(IF(AND(BH65=3,BI65=3),P65,0),2)</f>
        <v>0</v>
      </c>
      <c r="FS65" s="2">
        <v>0</v>
      </c>
      <c r="FT65" s="2"/>
      <c r="FU65" s="2"/>
      <c r="FV65" s="2"/>
      <c r="FW65" s="2"/>
      <c r="FX65" s="2">
        <v>140</v>
      </c>
      <c r="FY65" s="2">
        <v>79</v>
      </c>
      <c r="FZ65" s="2"/>
      <c r="GA65" s="2" t="s">
        <v>3</v>
      </c>
      <c r="GB65" s="2"/>
      <c r="GC65" s="2"/>
      <c r="GD65" s="2">
        <v>0</v>
      </c>
      <c r="GE65" s="2"/>
      <c r="GF65" s="2">
        <v>1486975691</v>
      </c>
      <c r="GG65" s="2">
        <v>2</v>
      </c>
      <c r="GH65" s="2">
        <v>1</v>
      </c>
      <c r="GI65" s="2">
        <v>-2</v>
      </c>
      <c r="GJ65" s="2">
        <v>0</v>
      </c>
      <c r="GK65" s="2">
        <f>ROUND(R65*(R12)/100,2)</f>
        <v>6.13</v>
      </c>
      <c r="GL65" s="2">
        <f t="shared" ref="GL65:GL84" si="55">ROUND(IF(AND(BH65=3,BI65=3,FS65&lt;&gt;0),P65,0),2)</f>
        <v>0</v>
      </c>
      <c r="GM65" s="2">
        <f t="shared" ref="GM65:GM84" si="56">ROUND(O65+X65+Y65+GK65,2)+GX65</f>
        <v>46.32</v>
      </c>
      <c r="GN65" s="2">
        <f t="shared" ref="GN65:GN84" si="57">IF(OR(BI65=0,BI65=1),ROUND(O65+X65+Y65+GK65,2),0)</f>
        <v>46.32</v>
      </c>
      <c r="GO65" s="2">
        <f t="shared" ref="GO65:GO84" si="58">IF(BI65=2,ROUND(O65+X65+Y65+GK65,2),0)</f>
        <v>0</v>
      </c>
      <c r="GP65" s="2">
        <f t="shared" ref="GP65:GP84" si="59">IF(BI65=4,ROUND(O65+X65+Y65+GK65,2)+GX65,0)</f>
        <v>0</v>
      </c>
      <c r="GQ65" s="2"/>
      <c r="GR65" s="2">
        <v>0</v>
      </c>
      <c r="GS65" s="2">
        <v>0</v>
      </c>
      <c r="GT65" s="2">
        <v>0</v>
      </c>
      <c r="GU65" s="2" t="s">
        <v>3</v>
      </c>
      <c r="GV65" s="2">
        <f t="shared" ref="GV65:GV76" si="60">ROUND((GT65),6)</f>
        <v>0</v>
      </c>
      <c r="GW65" s="2">
        <v>1</v>
      </c>
      <c r="GX65" s="2">
        <f t="shared" ref="GX65:GX84" si="61">ROUND(HC65*I65,2)</f>
        <v>0</v>
      </c>
      <c r="GY65" s="2"/>
      <c r="GZ65" s="2"/>
      <c r="HA65" s="2">
        <v>0</v>
      </c>
      <c r="HB65" s="2">
        <v>0</v>
      </c>
      <c r="HC65" s="2">
        <f t="shared" ref="HC65:HC84" si="62">GV65*GW65</f>
        <v>0</v>
      </c>
      <c r="HD65" s="2"/>
      <c r="HE65" s="2" t="s">
        <v>3</v>
      </c>
      <c r="HF65" s="2" t="s">
        <v>3</v>
      </c>
      <c r="HG65" s="2"/>
      <c r="HH65" s="2"/>
      <c r="HI65" s="2"/>
      <c r="HJ65" s="2"/>
      <c r="HK65" s="2"/>
      <c r="HL65" s="2"/>
      <c r="HM65" s="2" t="s">
        <v>3</v>
      </c>
      <c r="HN65" s="2" t="s">
        <v>3</v>
      </c>
      <c r="HO65" s="2" t="s">
        <v>3</v>
      </c>
      <c r="HP65" s="2" t="s">
        <v>3</v>
      </c>
      <c r="HQ65" s="2" t="s">
        <v>3</v>
      </c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  <c r="IG65" s="2"/>
      <c r="IH65" s="2"/>
      <c r="II65" s="2"/>
      <c r="IJ65" s="2"/>
      <c r="IK65" s="2">
        <v>0</v>
      </c>
      <c r="IL65" s="2"/>
      <c r="IM65" s="2"/>
      <c r="IN65" s="2"/>
      <c r="IO65" s="2"/>
      <c r="IP65" s="2"/>
      <c r="IQ65" s="2"/>
      <c r="IR65" s="2"/>
      <c r="IS65" s="2"/>
      <c r="IT65" s="2"/>
      <c r="IU65" s="2"/>
    </row>
    <row r="66" spans="1:255" x14ac:dyDescent="0.2">
      <c r="A66">
        <v>17</v>
      </c>
      <c r="B66">
        <v>1</v>
      </c>
      <c r="C66">
        <f>ROW(SmtRes!A18)</f>
        <v>18</v>
      </c>
      <c r="D66">
        <f>ROW(EtalonRes!A18)</f>
        <v>18</v>
      </c>
      <c r="E66" t="s">
        <v>81</v>
      </c>
      <c r="F66" t="s">
        <v>82</v>
      </c>
      <c r="G66" t="s">
        <v>83</v>
      </c>
      <c r="H66" t="s">
        <v>84</v>
      </c>
      <c r="I66">
        <v>2.64E-2</v>
      </c>
      <c r="J66">
        <v>0</v>
      </c>
      <c r="K66">
        <v>2.64E-2</v>
      </c>
      <c r="O66">
        <f t="shared" si="32"/>
        <v>398.79</v>
      </c>
      <c r="P66">
        <f t="shared" si="33"/>
        <v>5.58</v>
      </c>
      <c r="Q66">
        <f>(ROUND((ROUND((((ET66*1.25))*AV66*I66),2)*BB66),2)+ROUND((ROUND(((AE66-((EU66*1.25)))*AV66*I66),2)*BS66),2))</f>
        <v>259.67</v>
      </c>
      <c r="R66">
        <f t="shared" si="34"/>
        <v>101.61</v>
      </c>
      <c r="S66">
        <f t="shared" si="35"/>
        <v>133.54</v>
      </c>
      <c r="T66">
        <f t="shared" si="36"/>
        <v>0</v>
      </c>
      <c r="U66">
        <f t="shared" si="37"/>
        <v>0.43718399999999996</v>
      </c>
      <c r="V66">
        <f t="shared" si="38"/>
        <v>0</v>
      </c>
      <c r="W66">
        <f t="shared" si="39"/>
        <v>0</v>
      </c>
      <c r="X66">
        <f t="shared" si="40"/>
        <v>153.57</v>
      </c>
      <c r="Y66">
        <f t="shared" si="41"/>
        <v>54.75</v>
      </c>
      <c r="AA66">
        <v>129761633</v>
      </c>
      <c r="AB66">
        <f t="shared" si="42"/>
        <v>1141.0385000000001</v>
      </c>
      <c r="AC66">
        <f t="shared" si="43"/>
        <v>35.35</v>
      </c>
      <c r="AD66">
        <f>ROUND(((((ET66*1.25))-((EU66*1.25)))+AE66),6)</f>
        <v>931.47500000000002</v>
      </c>
      <c r="AE66">
        <f>ROUND(((EU66*1.25)),6)</f>
        <v>132.48750000000001</v>
      </c>
      <c r="AF66">
        <f>ROUND(((EV66*1.15)),6)</f>
        <v>174.21350000000001</v>
      </c>
      <c r="AG66">
        <f t="shared" si="44"/>
        <v>0</v>
      </c>
      <c r="AH66">
        <f>((EW66*1.15))</f>
        <v>16.559999999999999</v>
      </c>
      <c r="AI66">
        <f>((EX66*1.25))</f>
        <v>0</v>
      </c>
      <c r="AJ66">
        <f t="shared" si="45"/>
        <v>0</v>
      </c>
      <c r="AK66">
        <v>932.02</v>
      </c>
      <c r="AL66">
        <v>35.35</v>
      </c>
      <c r="AM66">
        <v>745.18</v>
      </c>
      <c r="AN66">
        <v>105.99</v>
      </c>
      <c r="AO66">
        <v>151.49</v>
      </c>
      <c r="AP66">
        <v>0</v>
      </c>
      <c r="AQ66">
        <v>14.4</v>
      </c>
      <c r="AR66">
        <v>0</v>
      </c>
      <c r="AS66">
        <v>0</v>
      </c>
      <c r="AT66">
        <v>115</v>
      </c>
      <c r="AU66">
        <v>41</v>
      </c>
      <c r="AV66">
        <v>1</v>
      </c>
      <c r="AW66">
        <v>1</v>
      </c>
      <c r="AZ66">
        <v>1</v>
      </c>
      <c r="BA66">
        <v>29.03</v>
      </c>
      <c r="BB66">
        <v>10.56</v>
      </c>
      <c r="BC66">
        <v>6</v>
      </c>
      <c r="BD66" t="s">
        <v>3</v>
      </c>
      <c r="BE66" t="s">
        <v>3</v>
      </c>
      <c r="BF66" t="s">
        <v>3</v>
      </c>
      <c r="BG66" t="s">
        <v>3</v>
      </c>
      <c r="BH66">
        <v>0</v>
      </c>
      <c r="BI66">
        <v>1</v>
      </c>
      <c r="BJ66" t="s">
        <v>85</v>
      </c>
      <c r="BM66">
        <v>146</v>
      </c>
      <c r="BN66">
        <v>0</v>
      </c>
      <c r="BO66" t="s">
        <v>82</v>
      </c>
      <c r="BP66">
        <v>1</v>
      </c>
      <c r="BQ66">
        <v>30</v>
      </c>
      <c r="BR66">
        <v>0</v>
      </c>
      <c r="BS66">
        <v>29.03</v>
      </c>
      <c r="BT66">
        <v>1</v>
      </c>
      <c r="BU66">
        <v>1</v>
      </c>
      <c r="BV66">
        <v>1</v>
      </c>
      <c r="BW66">
        <v>1</v>
      </c>
      <c r="BX66">
        <v>1</v>
      </c>
      <c r="BY66" t="s">
        <v>3</v>
      </c>
      <c r="BZ66">
        <v>115</v>
      </c>
      <c r="CA66">
        <v>41</v>
      </c>
      <c r="CB66" t="s">
        <v>3</v>
      </c>
      <c r="CE66">
        <v>30</v>
      </c>
      <c r="CF66">
        <v>0</v>
      </c>
      <c r="CG66">
        <v>0</v>
      </c>
      <c r="CM66">
        <v>0</v>
      </c>
      <c r="CN66" t="s">
        <v>1559</v>
      </c>
      <c r="CO66">
        <v>0</v>
      </c>
      <c r="CP66">
        <f t="shared" si="46"/>
        <v>398.78999999999996</v>
      </c>
      <c r="CQ66">
        <f t="shared" si="47"/>
        <v>212.1</v>
      </c>
      <c r="CR66">
        <f>(ROUND((ROUND((((ET66*1.25))*AV66*1),2)*BB66),2)+ROUND((ROUND(((AE66-((EU66*1.25)))*AV66*1),2)*BS66),2))</f>
        <v>9836.43</v>
      </c>
      <c r="CS66">
        <f t="shared" si="48"/>
        <v>3846.18</v>
      </c>
      <c r="CT66">
        <f t="shared" si="49"/>
        <v>5057.32</v>
      </c>
      <c r="CU66">
        <f t="shared" si="50"/>
        <v>0</v>
      </c>
      <c r="CV66">
        <f t="shared" si="51"/>
        <v>16.559999999999999</v>
      </c>
      <c r="CW66">
        <f t="shared" si="52"/>
        <v>0</v>
      </c>
      <c r="CX66">
        <f t="shared" si="53"/>
        <v>0</v>
      </c>
      <c r="CY66">
        <f>S66*(BZ66/100)</f>
        <v>153.57099999999997</v>
      </c>
      <c r="CZ66">
        <f>S66*(CA66/100)</f>
        <v>54.751399999999997</v>
      </c>
      <c r="DC66" t="s">
        <v>3</v>
      </c>
      <c r="DD66" t="s">
        <v>3</v>
      </c>
      <c r="DE66" t="s">
        <v>86</v>
      </c>
      <c r="DF66" t="s">
        <v>86</v>
      </c>
      <c r="DG66" t="s">
        <v>87</v>
      </c>
      <c r="DH66" t="s">
        <v>3</v>
      </c>
      <c r="DI66" t="s">
        <v>87</v>
      </c>
      <c r="DJ66" t="s">
        <v>86</v>
      </c>
      <c r="DK66" t="s">
        <v>3</v>
      </c>
      <c r="DL66" t="s">
        <v>3</v>
      </c>
      <c r="DM66" t="s">
        <v>3</v>
      </c>
      <c r="DN66">
        <v>140</v>
      </c>
      <c r="DO66">
        <v>79</v>
      </c>
      <c r="DP66">
        <v>1</v>
      </c>
      <c r="DQ66">
        <v>1</v>
      </c>
      <c r="DU66">
        <v>1013</v>
      </c>
      <c r="DV66" t="s">
        <v>84</v>
      </c>
      <c r="DW66" t="s">
        <v>84</v>
      </c>
      <c r="DX66">
        <v>1</v>
      </c>
      <c r="DZ66" t="s">
        <v>3</v>
      </c>
      <c r="EA66" t="s">
        <v>3</v>
      </c>
      <c r="EB66" t="s">
        <v>3</v>
      </c>
      <c r="EC66" t="s">
        <v>3</v>
      </c>
      <c r="EE66">
        <v>126051607</v>
      </c>
      <c r="EF66">
        <v>30</v>
      </c>
      <c r="EG66" t="s">
        <v>23</v>
      </c>
      <c r="EH66">
        <v>0</v>
      </c>
      <c r="EI66" t="s">
        <v>3</v>
      </c>
      <c r="EJ66">
        <v>1</v>
      </c>
      <c r="EK66">
        <v>146</v>
      </c>
      <c r="EL66" t="s">
        <v>88</v>
      </c>
      <c r="EM66" t="s">
        <v>89</v>
      </c>
      <c r="EO66" t="s">
        <v>90</v>
      </c>
      <c r="EQ66">
        <v>131072</v>
      </c>
      <c r="ER66">
        <v>932.02</v>
      </c>
      <c r="ES66">
        <v>35.35</v>
      </c>
      <c r="ET66">
        <v>745.18</v>
      </c>
      <c r="EU66">
        <v>105.99</v>
      </c>
      <c r="EV66">
        <v>151.49</v>
      </c>
      <c r="EW66">
        <v>14.4</v>
      </c>
      <c r="EX66">
        <v>0</v>
      </c>
      <c r="EY66">
        <v>0</v>
      </c>
      <c r="FQ66">
        <v>0</v>
      </c>
      <c r="FR66">
        <f t="shared" si="54"/>
        <v>0</v>
      </c>
      <c r="FS66">
        <v>0</v>
      </c>
      <c r="FX66">
        <v>140</v>
      </c>
      <c r="FY66">
        <v>79</v>
      </c>
      <c r="GA66" t="s">
        <v>3</v>
      </c>
      <c r="GD66">
        <v>0</v>
      </c>
      <c r="GF66">
        <v>1486975691</v>
      </c>
      <c r="GG66">
        <v>2</v>
      </c>
      <c r="GH66">
        <v>1</v>
      </c>
      <c r="GI66">
        <v>2</v>
      </c>
      <c r="GJ66">
        <v>0</v>
      </c>
      <c r="GK66">
        <f>ROUND(R66*(S12)/100,2)</f>
        <v>162.58000000000001</v>
      </c>
      <c r="GL66">
        <f t="shared" si="55"/>
        <v>0</v>
      </c>
      <c r="GM66">
        <f t="shared" si="56"/>
        <v>769.69</v>
      </c>
      <c r="GN66">
        <f t="shared" si="57"/>
        <v>769.69</v>
      </c>
      <c r="GO66">
        <f t="shared" si="58"/>
        <v>0</v>
      </c>
      <c r="GP66">
        <f t="shared" si="59"/>
        <v>0</v>
      </c>
      <c r="GR66">
        <v>0</v>
      </c>
      <c r="GS66">
        <v>3</v>
      </c>
      <c r="GT66">
        <v>0</v>
      </c>
      <c r="GU66" t="s">
        <v>3</v>
      </c>
      <c r="GV66">
        <f t="shared" si="60"/>
        <v>0</v>
      </c>
      <c r="GW66">
        <v>1</v>
      </c>
      <c r="GX66">
        <f t="shared" si="61"/>
        <v>0</v>
      </c>
      <c r="HA66">
        <v>0</v>
      </c>
      <c r="HB66">
        <v>0</v>
      </c>
      <c r="HC66">
        <f t="shared" si="62"/>
        <v>0</v>
      </c>
      <c r="HE66" t="s">
        <v>3</v>
      </c>
      <c r="HF66" t="s">
        <v>3</v>
      </c>
      <c r="HM66" t="s">
        <v>3</v>
      </c>
      <c r="HN66" t="s">
        <v>3</v>
      </c>
      <c r="HO66" t="s">
        <v>3</v>
      </c>
      <c r="HP66" t="s">
        <v>3</v>
      </c>
      <c r="HQ66" t="s">
        <v>3</v>
      </c>
      <c r="IK66">
        <v>0</v>
      </c>
    </row>
    <row r="67" spans="1:255" x14ac:dyDescent="0.2">
      <c r="A67" s="2">
        <v>18</v>
      </c>
      <c r="B67" s="2">
        <v>1</v>
      </c>
      <c r="C67" s="2">
        <v>10</v>
      </c>
      <c r="D67" s="2"/>
      <c r="E67" s="2" t="s">
        <v>91</v>
      </c>
      <c r="F67" s="2" t="s">
        <v>92</v>
      </c>
      <c r="G67" s="2" t="s">
        <v>93</v>
      </c>
      <c r="H67" s="2" t="s">
        <v>94</v>
      </c>
      <c r="I67" s="2">
        <f>I65*J67</f>
        <v>2.9039999999999999</v>
      </c>
      <c r="J67" s="2">
        <v>110</v>
      </c>
      <c r="K67" s="2">
        <v>110</v>
      </c>
      <c r="L67" s="2"/>
      <c r="M67" s="2"/>
      <c r="N67" s="2"/>
      <c r="O67" s="2">
        <f t="shared" si="32"/>
        <v>304.89</v>
      </c>
      <c r="P67" s="2">
        <f t="shared" si="33"/>
        <v>304.89</v>
      </c>
      <c r="Q67" s="2">
        <f>(ROUND((ROUND(((ET67)*AV67*I67),2)*BB67),2)+ROUND((ROUND(((AE67-(EU67))*AV67*I67),2)*BS67),2))</f>
        <v>0</v>
      </c>
      <c r="R67" s="2">
        <f t="shared" si="34"/>
        <v>0</v>
      </c>
      <c r="S67" s="2">
        <f t="shared" si="35"/>
        <v>0</v>
      </c>
      <c r="T67" s="2">
        <f t="shared" si="36"/>
        <v>0</v>
      </c>
      <c r="U67" s="2">
        <f t="shared" si="37"/>
        <v>0</v>
      </c>
      <c r="V67" s="2">
        <f t="shared" si="38"/>
        <v>0</v>
      </c>
      <c r="W67" s="2">
        <f t="shared" si="39"/>
        <v>0</v>
      </c>
      <c r="X67" s="2">
        <f t="shared" si="40"/>
        <v>0</v>
      </c>
      <c r="Y67" s="2">
        <f t="shared" si="41"/>
        <v>0</v>
      </c>
      <c r="Z67" s="2"/>
      <c r="AA67" s="2">
        <v>129761636</v>
      </c>
      <c r="AB67" s="2">
        <f t="shared" si="42"/>
        <v>104.99</v>
      </c>
      <c r="AC67" s="2">
        <f t="shared" si="43"/>
        <v>104.99</v>
      </c>
      <c r="AD67" s="2">
        <f>ROUND((((ET67)-(EU67))+AE67),6)</f>
        <v>0</v>
      </c>
      <c r="AE67" s="2">
        <f>ROUND((EU67),6)</f>
        <v>0</v>
      </c>
      <c r="AF67" s="2">
        <f>ROUND((EV67),6)</f>
        <v>0</v>
      </c>
      <c r="AG67" s="2">
        <f t="shared" si="44"/>
        <v>0</v>
      </c>
      <c r="AH67" s="2">
        <f>(EW67)</f>
        <v>0</v>
      </c>
      <c r="AI67" s="2">
        <f>(EX67)</f>
        <v>0</v>
      </c>
      <c r="AJ67" s="2">
        <f t="shared" si="45"/>
        <v>0</v>
      </c>
      <c r="AK67" s="2">
        <v>104.99</v>
      </c>
      <c r="AL67" s="2">
        <v>104.99</v>
      </c>
      <c r="AM67" s="2">
        <v>0</v>
      </c>
      <c r="AN67" s="2">
        <v>0</v>
      </c>
      <c r="AO67" s="2">
        <v>0</v>
      </c>
      <c r="AP67" s="2">
        <v>0</v>
      </c>
      <c r="AQ67" s="2">
        <v>0</v>
      </c>
      <c r="AR67" s="2">
        <v>0</v>
      </c>
      <c r="AS67" s="2">
        <v>0</v>
      </c>
      <c r="AT67" s="2">
        <v>140</v>
      </c>
      <c r="AU67" s="2">
        <v>79</v>
      </c>
      <c r="AV67" s="2">
        <v>1</v>
      </c>
      <c r="AW67" s="2">
        <v>1</v>
      </c>
      <c r="AX67" s="2"/>
      <c r="AY67" s="2"/>
      <c r="AZ67" s="2">
        <v>1</v>
      </c>
      <c r="BA67" s="2">
        <v>1</v>
      </c>
      <c r="BB67" s="2">
        <v>1</v>
      </c>
      <c r="BC67" s="2">
        <v>1</v>
      </c>
      <c r="BD67" s="2" t="s">
        <v>3</v>
      </c>
      <c r="BE67" s="2" t="s">
        <v>3</v>
      </c>
      <c r="BF67" s="2" t="s">
        <v>3</v>
      </c>
      <c r="BG67" s="2" t="s">
        <v>3</v>
      </c>
      <c r="BH67" s="2">
        <v>3</v>
      </c>
      <c r="BI67" s="2">
        <v>1</v>
      </c>
      <c r="BJ67" s="2" t="s">
        <v>95</v>
      </c>
      <c r="BK67" s="2"/>
      <c r="BL67" s="2"/>
      <c r="BM67" s="2">
        <v>146</v>
      </c>
      <c r="BN67" s="2">
        <v>0</v>
      </c>
      <c r="BO67" s="2" t="s">
        <v>3</v>
      </c>
      <c r="BP67" s="2">
        <v>0</v>
      </c>
      <c r="BQ67" s="2">
        <v>30</v>
      </c>
      <c r="BR67" s="2">
        <v>0</v>
      </c>
      <c r="BS67" s="2">
        <v>1</v>
      </c>
      <c r="BT67" s="2">
        <v>1</v>
      </c>
      <c r="BU67" s="2">
        <v>1</v>
      </c>
      <c r="BV67" s="2">
        <v>1</v>
      </c>
      <c r="BW67" s="2">
        <v>1</v>
      </c>
      <c r="BX67" s="2">
        <v>1</v>
      </c>
      <c r="BY67" s="2" t="s">
        <v>3</v>
      </c>
      <c r="BZ67" s="2">
        <v>140</v>
      </c>
      <c r="CA67" s="2">
        <v>79</v>
      </c>
      <c r="CB67" s="2" t="s">
        <v>3</v>
      </c>
      <c r="CC67" s="2"/>
      <c r="CD67" s="2"/>
      <c r="CE67" s="2">
        <v>30</v>
      </c>
      <c r="CF67" s="2">
        <v>0</v>
      </c>
      <c r="CG67" s="2">
        <v>0</v>
      </c>
      <c r="CH67" s="2"/>
      <c r="CI67" s="2"/>
      <c r="CJ67" s="2"/>
      <c r="CK67" s="2"/>
      <c r="CL67" s="2"/>
      <c r="CM67" s="2">
        <v>0</v>
      </c>
      <c r="CN67" s="2" t="s">
        <v>3</v>
      </c>
      <c r="CO67" s="2">
        <v>0</v>
      </c>
      <c r="CP67" s="2">
        <f t="shared" si="46"/>
        <v>304.89</v>
      </c>
      <c r="CQ67" s="2">
        <f t="shared" si="47"/>
        <v>104.99</v>
      </c>
      <c r="CR67" s="2">
        <f>(ROUND((ROUND(((ET67)*AV67*1),2)*BB67),2)+ROUND((ROUND(((AE67-(EU67))*AV67*1),2)*BS67),2))</f>
        <v>0</v>
      </c>
      <c r="CS67" s="2">
        <f t="shared" si="48"/>
        <v>0</v>
      </c>
      <c r="CT67" s="2">
        <f t="shared" si="49"/>
        <v>0</v>
      </c>
      <c r="CU67" s="2">
        <f t="shared" si="50"/>
        <v>0</v>
      </c>
      <c r="CV67" s="2">
        <f t="shared" si="51"/>
        <v>0</v>
      </c>
      <c r="CW67" s="2">
        <f t="shared" si="52"/>
        <v>0</v>
      </c>
      <c r="CX67" s="2">
        <f t="shared" si="53"/>
        <v>0</v>
      </c>
      <c r="CY67" s="2">
        <f>((S67*BZ67)/100)</f>
        <v>0</v>
      </c>
      <c r="CZ67" s="2">
        <f>((S67*CA67)/100)</f>
        <v>0</v>
      </c>
      <c r="DA67" s="2"/>
      <c r="DB67" s="2"/>
      <c r="DC67" s="2" t="s">
        <v>3</v>
      </c>
      <c r="DD67" s="2" t="s">
        <v>3</v>
      </c>
      <c r="DE67" s="2" t="s">
        <v>3</v>
      </c>
      <c r="DF67" s="2" t="s">
        <v>3</v>
      </c>
      <c r="DG67" s="2" t="s">
        <v>3</v>
      </c>
      <c r="DH67" s="2" t="s">
        <v>3</v>
      </c>
      <c r="DI67" s="2" t="s">
        <v>3</v>
      </c>
      <c r="DJ67" s="2" t="s">
        <v>3</v>
      </c>
      <c r="DK67" s="2" t="s">
        <v>3</v>
      </c>
      <c r="DL67" s="2" t="s">
        <v>3</v>
      </c>
      <c r="DM67" s="2" t="s">
        <v>3</v>
      </c>
      <c r="DN67" s="2">
        <v>0</v>
      </c>
      <c r="DO67" s="2">
        <v>0</v>
      </c>
      <c r="DP67" s="2">
        <v>1</v>
      </c>
      <c r="DQ67" s="2">
        <v>1</v>
      </c>
      <c r="DR67" s="2"/>
      <c r="DS67" s="2"/>
      <c r="DT67" s="2"/>
      <c r="DU67" s="2">
        <v>1007</v>
      </c>
      <c r="DV67" s="2" t="s">
        <v>94</v>
      </c>
      <c r="DW67" s="2" t="s">
        <v>94</v>
      </c>
      <c r="DX67" s="2">
        <v>1</v>
      </c>
      <c r="DY67" s="2"/>
      <c r="DZ67" s="2" t="s">
        <v>3</v>
      </c>
      <c r="EA67" s="2" t="s">
        <v>3</v>
      </c>
      <c r="EB67" s="2" t="s">
        <v>3</v>
      </c>
      <c r="EC67" s="2" t="s">
        <v>3</v>
      </c>
      <c r="ED67" s="2"/>
      <c r="EE67" s="2">
        <v>126051607</v>
      </c>
      <c r="EF67" s="2">
        <v>30</v>
      </c>
      <c r="EG67" s="2" t="s">
        <v>23</v>
      </c>
      <c r="EH67" s="2">
        <v>0</v>
      </c>
      <c r="EI67" s="2" t="s">
        <v>3</v>
      </c>
      <c r="EJ67" s="2">
        <v>1</v>
      </c>
      <c r="EK67" s="2">
        <v>146</v>
      </c>
      <c r="EL67" s="2" t="s">
        <v>88</v>
      </c>
      <c r="EM67" s="2" t="s">
        <v>89</v>
      </c>
      <c r="EN67" s="2"/>
      <c r="EO67" s="2" t="s">
        <v>3</v>
      </c>
      <c r="EP67" s="2"/>
      <c r="EQ67" s="2">
        <v>0</v>
      </c>
      <c r="ER67" s="2">
        <v>104.99</v>
      </c>
      <c r="ES67" s="2">
        <v>104.99</v>
      </c>
      <c r="ET67" s="2">
        <v>0</v>
      </c>
      <c r="EU67" s="2">
        <v>0</v>
      </c>
      <c r="EV67" s="2">
        <v>0</v>
      </c>
      <c r="EW67" s="2">
        <v>0</v>
      </c>
      <c r="EX67" s="2">
        <v>0</v>
      </c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>
        <v>0</v>
      </c>
      <c r="FR67" s="2">
        <f t="shared" si="54"/>
        <v>0</v>
      </c>
      <c r="FS67" s="2">
        <v>0</v>
      </c>
      <c r="FT67" s="2"/>
      <c r="FU67" s="2"/>
      <c r="FV67" s="2"/>
      <c r="FW67" s="2"/>
      <c r="FX67" s="2">
        <v>140</v>
      </c>
      <c r="FY67" s="2">
        <v>79</v>
      </c>
      <c r="FZ67" s="2"/>
      <c r="GA67" s="2" t="s">
        <v>3</v>
      </c>
      <c r="GB67" s="2"/>
      <c r="GC67" s="2"/>
      <c r="GD67" s="2">
        <v>0</v>
      </c>
      <c r="GE67" s="2"/>
      <c r="GF67" s="2">
        <v>2069056849</v>
      </c>
      <c r="GG67" s="2">
        <v>2</v>
      </c>
      <c r="GH67" s="2">
        <v>1</v>
      </c>
      <c r="GI67" s="2">
        <v>-2</v>
      </c>
      <c r="GJ67" s="2">
        <v>0</v>
      </c>
      <c r="GK67" s="2">
        <f>ROUND(R67*(R12)/100,2)</f>
        <v>0</v>
      </c>
      <c r="GL67" s="2">
        <f t="shared" si="55"/>
        <v>0</v>
      </c>
      <c r="GM67" s="2">
        <f t="shared" si="56"/>
        <v>304.89</v>
      </c>
      <c r="GN67" s="2">
        <f t="shared" si="57"/>
        <v>304.89</v>
      </c>
      <c r="GO67" s="2">
        <f t="shared" si="58"/>
        <v>0</v>
      </c>
      <c r="GP67" s="2">
        <f t="shared" si="59"/>
        <v>0</v>
      </c>
      <c r="GQ67" s="2"/>
      <c r="GR67" s="2">
        <v>0</v>
      </c>
      <c r="GS67" s="2">
        <v>0</v>
      </c>
      <c r="GT67" s="2">
        <v>0</v>
      </c>
      <c r="GU67" s="2" t="s">
        <v>3</v>
      </c>
      <c r="GV67" s="2">
        <f t="shared" si="60"/>
        <v>0</v>
      </c>
      <c r="GW67" s="2">
        <v>1</v>
      </c>
      <c r="GX67" s="2">
        <f t="shared" si="61"/>
        <v>0</v>
      </c>
      <c r="GY67" s="2"/>
      <c r="GZ67" s="2"/>
      <c r="HA67" s="2">
        <v>0</v>
      </c>
      <c r="HB67" s="2">
        <v>0</v>
      </c>
      <c r="HC67" s="2">
        <f t="shared" si="62"/>
        <v>0</v>
      </c>
      <c r="HD67" s="2"/>
      <c r="HE67" s="2" t="s">
        <v>3</v>
      </c>
      <c r="HF67" s="2" t="s">
        <v>3</v>
      </c>
      <c r="HG67" s="2"/>
      <c r="HH67" s="2"/>
      <c r="HI67" s="2"/>
      <c r="HJ67" s="2"/>
      <c r="HK67" s="2"/>
      <c r="HL67" s="2"/>
      <c r="HM67" s="2" t="s">
        <v>3</v>
      </c>
      <c r="HN67" s="2" t="s">
        <v>3</v>
      </c>
      <c r="HO67" s="2" t="s">
        <v>3</v>
      </c>
      <c r="HP67" s="2" t="s">
        <v>3</v>
      </c>
      <c r="HQ67" s="2" t="s">
        <v>3</v>
      </c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  <c r="IG67" s="2"/>
      <c r="IH67" s="2"/>
      <c r="II67" s="2"/>
      <c r="IJ67" s="2"/>
      <c r="IK67" s="2">
        <v>0</v>
      </c>
      <c r="IL67" s="2"/>
      <c r="IM67" s="2"/>
      <c r="IN67" s="2"/>
      <c r="IO67" s="2"/>
      <c r="IP67" s="2"/>
      <c r="IQ67" s="2"/>
      <c r="IR67" s="2"/>
      <c r="IS67" s="2"/>
      <c r="IT67" s="2"/>
      <c r="IU67" s="2"/>
    </row>
    <row r="68" spans="1:255" x14ac:dyDescent="0.2">
      <c r="A68">
        <v>18</v>
      </c>
      <c r="B68">
        <v>1</v>
      </c>
      <c r="C68">
        <v>18</v>
      </c>
      <c r="E68" t="s">
        <v>91</v>
      </c>
      <c r="F68" t="s">
        <v>92</v>
      </c>
      <c r="G68" t="s">
        <v>93</v>
      </c>
      <c r="H68" t="s">
        <v>94</v>
      </c>
      <c r="I68">
        <f>I66*J68</f>
        <v>2.9039999999999999</v>
      </c>
      <c r="J68">
        <v>110</v>
      </c>
      <c r="K68">
        <v>110</v>
      </c>
      <c r="O68">
        <f t="shared" si="32"/>
        <v>2097.64</v>
      </c>
      <c r="P68">
        <f t="shared" si="33"/>
        <v>2097.64</v>
      </c>
      <c r="Q68">
        <f>(ROUND((ROUND(((ET68)*AV68*I68),2)*BB68),2)+ROUND((ROUND(((AE68-(EU68))*AV68*I68),2)*BS68),2))</f>
        <v>0</v>
      </c>
      <c r="R68">
        <f t="shared" si="34"/>
        <v>0</v>
      </c>
      <c r="S68">
        <f t="shared" si="35"/>
        <v>0</v>
      </c>
      <c r="T68">
        <f t="shared" si="36"/>
        <v>0</v>
      </c>
      <c r="U68">
        <f t="shared" si="37"/>
        <v>0</v>
      </c>
      <c r="V68">
        <f t="shared" si="38"/>
        <v>0</v>
      </c>
      <c r="W68">
        <f t="shared" si="39"/>
        <v>0</v>
      </c>
      <c r="X68">
        <f t="shared" si="40"/>
        <v>0</v>
      </c>
      <c r="Y68">
        <f t="shared" si="41"/>
        <v>0</v>
      </c>
      <c r="AA68">
        <v>129761633</v>
      </c>
      <c r="AB68">
        <f t="shared" si="42"/>
        <v>104.99</v>
      </c>
      <c r="AC68">
        <f t="shared" si="43"/>
        <v>104.99</v>
      </c>
      <c r="AD68">
        <f>ROUND((((ET68)-(EU68))+AE68),6)</f>
        <v>0</v>
      </c>
      <c r="AE68">
        <f>ROUND((EU68),6)</f>
        <v>0</v>
      </c>
      <c r="AF68">
        <f>ROUND((EV68),6)</f>
        <v>0</v>
      </c>
      <c r="AG68">
        <f t="shared" si="44"/>
        <v>0</v>
      </c>
      <c r="AH68">
        <f>(EW68)</f>
        <v>0</v>
      </c>
      <c r="AI68">
        <f>(EX68)</f>
        <v>0</v>
      </c>
      <c r="AJ68">
        <f t="shared" si="45"/>
        <v>0</v>
      </c>
      <c r="AK68">
        <v>104.99</v>
      </c>
      <c r="AL68">
        <v>104.99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1</v>
      </c>
      <c r="AW68">
        <v>1</v>
      </c>
      <c r="AZ68">
        <v>1</v>
      </c>
      <c r="BA68">
        <v>1</v>
      </c>
      <c r="BB68">
        <v>1</v>
      </c>
      <c r="BC68">
        <v>6.88</v>
      </c>
      <c r="BD68" t="s">
        <v>3</v>
      </c>
      <c r="BE68" t="s">
        <v>3</v>
      </c>
      <c r="BF68" t="s">
        <v>3</v>
      </c>
      <c r="BG68" t="s">
        <v>3</v>
      </c>
      <c r="BH68">
        <v>3</v>
      </c>
      <c r="BI68">
        <v>1</v>
      </c>
      <c r="BJ68" t="s">
        <v>95</v>
      </c>
      <c r="BM68">
        <v>146</v>
      </c>
      <c r="BN68">
        <v>0</v>
      </c>
      <c r="BO68" t="s">
        <v>92</v>
      </c>
      <c r="BP68">
        <v>1</v>
      </c>
      <c r="BQ68">
        <v>30</v>
      </c>
      <c r="BR68">
        <v>0</v>
      </c>
      <c r="BS68">
        <v>1</v>
      </c>
      <c r="BT68">
        <v>1</v>
      </c>
      <c r="BU68">
        <v>1</v>
      </c>
      <c r="BV68">
        <v>1</v>
      </c>
      <c r="BW68">
        <v>1</v>
      </c>
      <c r="BX68">
        <v>1</v>
      </c>
      <c r="BY68" t="s">
        <v>3</v>
      </c>
      <c r="BZ68">
        <v>0</v>
      </c>
      <c r="CA68">
        <v>0</v>
      </c>
      <c r="CB68" t="s">
        <v>3</v>
      </c>
      <c r="CE68">
        <v>30</v>
      </c>
      <c r="CF68">
        <v>0</v>
      </c>
      <c r="CG68">
        <v>0</v>
      </c>
      <c r="CM68">
        <v>0</v>
      </c>
      <c r="CN68" t="s">
        <v>3</v>
      </c>
      <c r="CO68">
        <v>0</v>
      </c>
      <c r="CP68">
        <f t="shared" si="46"/>
        <v>2097.64</v>
      </c>
      <c r="CQ68">
        <f t="shared" si="47"/>
        <v>722.33</v>
      </c>
      <c r="CR68">
        <f>(ROUND((ROUND(((ET68)*AV68*1),2)*BB68),2)+ROUND((ROUND(((AE68-(EU68))*AV68*1),2)*BS68),2))</f>
        <v>0</v>
      </c>
      <c r="CS68">
        <f t="shared" si="48"/>
        <v>0</v>
      </c>
      <c r="CT68">
        <f t="shared" si="49"/>
        <v>0</v>
      </c>
      <c r="CU68">
        <f t="shared" si="50"/>
        <v>0</v>
      </c>
      <c r="CV68">
        <f t="shared" si="51"/>
        <v>0</v>
      </c>
      <c r="CW68">
        <f t="shared" si="52"/>
        <v>0</v>
      </c>
      <c r="CX68">
        <f t="shared" si="53"/>
        <v>0</v>
      </c>
      <c r="CY68">
        <f>S68*(BZ68/100)</f>
        <v>0</v>
      </c>
      <c r="CZ68">
        <f>S68*(CA68/100)</f>
        <v>0</v>
      </c>
      <c r="DC68" t="s">
        <v>3</v>
      </c>
      <c r="DD68" t="s">
        <v>3</v>
      </c>
      <c r="DE68" t="s">
        <v>3</v>
      </c>
      <c r="DF68" t="s">
        <v>3</v>
      </c>
      <c r="DG68" t="s">
        <v>3</v>
      </c>
      <c r="DH68" t="s">
        <v>3</v>
      </c>
      <c r="DI68" t="s">
        <v>3</v>
      </c>
      <c r="DJ68" t="s">
        <v>3</v>
      </c>
      <c r="DK68" t="s">
        <v>3</v>
      </c>
      <c r="DL68" t="s">
        <v>3</v>
      </c>
      <c r="DM68" t="s">
        <v>3</v>
      </c>
      <c r="DN68">
        <v>140</v>
      </c>
      <c r="DO68">
        <v>79</v>
      </c>
      <c r="DP68">
        <v>1</v>
      </c>
      <c r="DQ68">
        <v>1</v>
      </c>
      <c r="DU68">
        <v>1007</v>
      </c>
      <c r="DV68" t="s">
        <v>94</v>
      </c>
      <c r="DW68" t="s">
        <v>94</v>
      </c>
      <c r="DX68">
        <v>1</v>
      </c>
      <c r="DZ68" t="s">
        <v>3</v>
      </c>
      <c r="EA68" t="s">
        <v>3</v>
      </c>
      <c r="EB68" t="s">
        <v>3</v>
      </c>
      <c r="EC68" t="s">
        <v>3</v>
      </c>
      <c r="EE68">
        <v>126051607</v>
      </c>
      <c r="EF68">
        <v>30</v>
      </c>
      <c r="EG68" t="s">
        <v>23</v>
      </c>
      <c r="EH68">
        <v>0</v>
      </c>
      <c r="EI68" t="s">
        <v>3</v>
      </c>
      <c r="EJ68">
        <v>1</v>
      </c>
      <c r="EK68">
        <v>146</v>
      </c>
      <c r="EL68" t="s">
        <v>88</v>
      </c>
      <c r="EM68" t="s">
        <v>89</v>
      </c>
      <c r="EO68" t="s">
        <v>3</v>
      </c>
      <c r="EQ68">
        <v>0</v>
      </c>
      <c r="ER68">
        <v>104.99</v>
      </c>
      <c r="ES68">
        <v>104.99</v>
      </c>
      <c r="ET68">
        <v>0</v>
      </c>
      <c r="EU68">
        <v>0</v>
      </c>
      <c r="EV68">
        <v>0</v>
      </c>
      <c r="EW68">
        <v>0</v>
      </c>
      <c r="EX68">
        <v>0</v>
      </c>
      <c r="FQ68">
        <v>0</v>
      </c>
      <c r="FR68">
        <f t="shared" si="54"/>
        <v>0</v>
      </c>
      <c r="FS68">
        <v>0</v>
      </c>
      <c r="FX68">
        <v>140</v>
      </c>
      <c r="FY68">
        <v>79</v>
      </c>
      <c r="GA68" t="s">
        <v>3</v>
      </c>
      <c r="GD68">
        <v>0</v>
      </c>
      <c r="GF68">
        <v>2069056849</v>
      </c>
      <c r="GG68">
        <v>2</v>
      </c>
      <c r="GH68">
        <v>1</v>
      </c>
      <c r="GI68">
        <v>2</v>
      </c>
      <c r="GJ68">
        <v>0</v>
      </c>
      <c r="GK68">
        <f>ROUND(R68*(S12)/100,2)</f>
        <v>0</v>
      </c>
      <c r="GL68">
        <f t="shared" si="55"/>
        <v>0</v>
      </c>
      <c r="GM68">
        <f t="shared" si="56"/>
        <v>2097.64</v>
      </c>
      <c r="GN68">
        <f t="shared" si="57"/>
        <v>2097.64</v>
      </c>
      <c r="GO68">
        <f t="shared" si="58"/>
        <v>0</v>
      </c>
      <c r="GP68">
        <f t="shared" si="59"/>
        <v>0</v>
      </c>
      <c r="GR68">
        <v>0</v>
      </c>
      <c r="GS68">
        <v>3</v>
      </c>
      <c r="GT68">
        <v>0</v>
      </c>
      <c r="GU68" t="s">
        <v>3</v>
      </c>
      <c r="GV68">
        <f t="shared" si="60"/>
        <v>0</v>
      </c>
      <c r="GW68">
        <v>1</v>
      </c>
      <c r="GX68">
        <f t="shared" si="61"/>
        <v>0</v>
      </c>
      <c r="HA68">
        <v>0</v>
      </c>
      <c r="HB68">
        <v>0</v>
      </c>
      <c r="HC68">
        <f t="shared" si="62"/>
        <v>0</v>
      </c>
      <c r="HE68" t="s">
        <v>3</v>
      </c>
      <c r="HF68" t="s">
        <v>3</v>
      </c>
      <c r="HM68" t="s">
        <v>3</v>
      </c>
      <c r="HN68" t="s">
        <v>3</v>
      </c>
      <c r="HO68" t="s">
        <v>3</v>
      </c>
      <c r="HP68" t="s">
        <v>3</v>
      </c>
      <c r="HQ68" t="s">
        <v>3</v>
      </c>
      <c r="IK68">
        <v>0</v>
      </c>
    </row>
    <row r="69" spans="1:255" x14ac:dyDescent="0.2">
      <c r="A69" s="2">
        <v>17</v>
      </c>
      <c r="B69" s="2">
        <v>1</v>
      </c>
      <c r="C69" s="2">
        <f>ROW(SmtRes!A27)</f>
        <v>27</v>
      </c>
      <c r="D69" s="2">
        <f>ROW(EtalonRes!A27)</f>
        <v>27</v>
      </c>
      <c r="E69" s="2" t="s">
        <v>96</v>
      </c>
      <c r="F69" s="2" t="s">
        <v>97</v>
      </c>
      <c r="G69" s="2" t="s">
        <v>98</v>
      </c>
      <c r="H69" s="2" t="s">
        <v>84</v>
      </c>
      <c r="I69" s="2">
        <v>1.9800000000000002E-2</v>
      </c>
      <c r="J69" s="2">
        <v>0</v>
      </c>
      <c r="K69" s="2">
        <v>1.9800000000000002E-2</v>
      </c>
      <c r="L69" s="2"/>
      <c r="M69" s="2"/>
      <c r="N69" s="2"/>
      <c r="O69" s="2">
        <f t="shared" si="32"/>
        <v>138.43</v>
      </c>
      <c r="P69" s="2">
        <f t="shared" si="33"/>
        <v>0.98</v>
      </c>
      <c r="Q69" s="2">
        <f>(ROUND((ROUND((((ET69*1.25))*AV69*I69),2)*BB69),2)+ROUND((ROUND(((AE69-((EU69*1.25)))*AV69*I69),2)*BS69),2))</f>
        <v>132.28</v>
      </c>
      <c r="R69" s="2">
        <f t="shared" si="34"/>
        <v>11.51</v>
      </c>
      <c r="S69" s="2">
        <f t="shared" si="35"/>
        <v>5.17</v>
      </c>
      <c r="T69" s="2">
        <f t="shared" si="36"/>
        <v>0</v>
      </c>
      <c r="U69" s="2">
        <f t="shared" si="37"/>
        <v>0.49183200000000005</v>
      </c>
      <c r="V69" s="2">
        <f t="shared" si="38"/>
        <v>0</v>
      </c>
      <c r="W69" s="2">
        <f t="shared" si="39"/>
        <v>0</v>
      </c>
      <c r="X69" s="2">
        <f t="shared" si="40"/>
        <v>7.24</v>
      </c>
      <c r="Y69" s="2">
        <f t="shared" si="41"/>
        <v>4.08</v>
      </c>
      <c r="Z69" s="2"/>
      <c r="AA69" s="2">
        <v>129761636</v>
      </c>
      <c r="AB69" s="2">
        <f t="shared" si="42"/>
        <v>6991.4795000000004</v>
      </c>
      <c r="AC69" s="2">
        <f t="shared" si="43"/>
        <v>49.49</v>
      </c>
      <c r="AD69" s="2">
        <f>ROUND(((((ET69*1.25))-((EU69*1.25)))+AE69),6)</f>
        <v>6680.6750000000002</v>
      </c>
      <c r="AE69" s="2">
        <f>ROUND(((EU69*1.25)),6)</f>
        <v>581.51250000000005</v>
      </c>
      <c r="AF69" s="2">
        <f>ROUND(((EV69*1.15)),6)</f>
        <v>261.31450000000001</v>
      </c>
      <c r="AG69" s="2">
        <f t="shared" si="44"/>
        <v>0</v>
      </c>
      <c r="AH69" s="2">
        <f>((EW69*1.15))</f>
        <v>24.84</v>
      </c>
      <c r="AI69" s="2">
        <f>((EX69*1.25))</f>
        <v>0</v>
      </c>
      <c r="AJ69" s="2">
        <f t="shared" si="45"/>
        <v>0</v>
      </c>
      <c r="AK69" s="2">
        <v>5621.26</v>
      </c>
      <c r="AL69" s="2">
        <v>49.49</v>
      </c>
      <c r="AM69" s="2">
        <v>5344.54</v>
      </c>
      <c r="AN69" s="2">
        <v>465.21</v>
      </c>
      <c r="AO69" s="2">
        <v>227.23</v>
      </c>
      <c r="AP69" s="2">
        <v>0</v>
      </c>
      <c r="AQ69" s="2">
        <v>21.6</v>
      </c>
      <c r="AR69" s="2">
        <v>0</v>
      </c>
      <c r="AS69" s="2">
        <v>0</v>
      </c>
      <c r="AT69" s="2">
        <v>140</v>
      </c>
      <c r="AU69" s="2">
        <v>79</v>
      </c>
      <c r="AV69" s="2">
        <v>1</v>
      </c>
      <c r="AW69" s="2">
        <v>1</v>
      </c>
      <c r="AX69" s="2"/>
      <c r="AY69" s="2"/>
      <c r="AZ69" s="2">
        <v>1</v>
      </c>
      <c r="BA69" s="2">
        <v>1</v>
      </c>
      <c r="BB69" s="2">
        <v>1</v>
      </c>
      <c r="BC69" s="2">
        <v>1</v>
      </c>
      <c r="BD69" s="2" t="s">
        <v>3</v>
      </c>
      <c r="BE69" s="2" t="s">
        <v>3</v>
      </c>
      <c r="BF69" s="2" t="s">
        <v>3</v>
      </c>
      <c r="BG69" s="2" t="s">
        <v>3</v>
      </c>
      <c r="BH69" s="2">
        <v>0</v>
      </c>
      <c r="BI69" s="2">
        <v>1</v>
      </c>
      <c r="BJ69" s="2" t="s">
        <v>99</v>
      </c>
      <c r="BK69" s="2"/>
      <c r="BL69" s="2"/>
      <c r="BM69" s="2">
        <v>146</v>
      </c>
      <c r="BN69" s="2">
        <v>0</v>
      </c>
      <c r="BO69" s="2" t="s">
        <v>3</v>
      </c>
      <c r="BP69" s="2">
        <v>0</v>
      </c>
      <c r="BQ69" s="2">
        <v>30</v>
      </c>
      <c r="BR69" s="2">
        <v>0</v>
      </c>
      <c r="BS69" s="2">
        <v>1</v>
      </c>
      <c r="BT69" s="2">
        <v>1</v>
      </c>
      <c r="BU69" s="2">
        <v>1</v>
      </c>
      <c r="BV69" s="2">
        <v>1</v>
      </c>
      <c r="BW69" s="2">
        <v>1</v>
      </c>
      <c r="BX69" s="2">
        <v>1</v>
      </c>
      <c r="BY69" s="2" t="s">
        <v>3</v>
      </c>
      <c r="BZ69" s="2">
        <v>140</v>
      </c>
      <c r="CA69" s="2">
        <v>79</v>
      </c>
      <c r="CB69" s="2" t="s">
        <v>3</v>
      </c>
      <c r="CC69" s="2"/>
      <c r="CD69" s="2"/>
      <c r="CE69" s="2">
        <v>30</v>
      </c>
      <c r="CF69" s="2">
        <v>0</v>
      </c>
      <c r="CG69" s="2">
        <v>0</v>
      </c>
      <c r="CH69" s="2"/>
      <c r="CI69" s="2"/>
      <c r="CJ69" s="2"/>
      <c r="CK69" s="2"/>
      <c r="CL69" s="2"/>
      <c r="CM69" s="2">
        <v>0</v>
      </c>
      <c r="CN69" s="2" t="s">
        <v>1559</v>
      </c>
      <c r="CO69" s="2">
        <v>0</v>
      </c>
      <c r="CP69" s="2">
        <f t="shared" si="46"/>
        <v>138.42999999999998</v>
      </c>
      <c r="CQ69" s="2">
        <f t="shared" si="47"/>
        <v>49.49</v>
      </c>
      <c r="CR69" s="2">
        <f>(ROUND((ROUND((((ET69*1.25))*AV69*1),2)*BB69),2)+ROUND((ROUND(((AE69-((EU69*1.25)))*AV69*1),2)*BS69),2))</f>
        <v>6680.68</v>
      </c>
      <c r="CS69" s="2">
        <f t="shared" si="48"/>
        <v>581.51</v>
      </c>
      <c r="CT69" s="2">
        <f t="shared" si="49"/>
        <v>261.31</v>
      </c>
      <c r="CU69" s="2">
        <f t="shared" si="50"/>
        <v>0</v>
      </c>
      <c r="CV69" s="2">
        <f t="shared" si="51"/>
        <v>24.84</v>
      </c>
      <c r="CW69" s="2">
        <f t="shared" si="52"/>
        <v>0</v>
      </c>
      <c r="CX69" s="2">
        <f t="shared" si="53"/>
        <v>0</v>
      </c>
      <c r="CY69" s="2">
        <f>((S69*BZ69)/100)</f>
        <v>7.2379999999999995</v>
      </c>
      <c r="CZ69" s="2">
        <f>((S69*CA69)/100)</f>
        <v>4.0842999999999998</v>
      </c>
      <c r="DA69" s="2"/>
      <c r="DB69" s="2"/>
      <c r="DC69" s="2" t="s">
        <v>3</v>
      </c>
      <c r="DD69" s="2" t="s">
        <v>3</v>
      </c>
      <c r="DE69" s="2" t="s">
        <v>86</v>
      </c>
      <c r="DF69" s="2" t="s">
        <v>86</v>
      </c>
      <c r="DG69" s="2" t="s">
        <v>87</v>
      </c>
      <c r="DH69" s="2" t="s">
        <v>3</v>
      </c>
      <c r="DI69" s="2" t="s">
        <v>87</v>
      </c>
      <c r="DJ69" s="2" t="s">
        <v>86</v>
      </c>
      <c r="DK69" s="2" t="s">
        <v>3</v>
      </c>
      <c r="DL69" s="2" t="s">
        <v>3</v>
      </c>
      <c r="DM69" s="2" t="s">
        <v>3</v>
      </c>
      <c r="DN69" s="2">
        <v>0</v>
      </c>
      <c r="DO69" s="2">
        <v>0</v>
      </c>
      <c r="DP69" s="2">
        <v>1</v>
      </c>
      <c r="DQ69" s="2">
        <v>1</v>
      </c>
      <c r="DR69" s="2"/>
      <c r="DS69" s="2"/>
      <c r="DT69" s="2"/>
      <c r="DU69" s="2">
        <v>1013</v>
      </c>
      <c r="DV69" s="2" t="s">
        <v>84</v>
      </c>
      <c r="DW69" s="2" t="s">
        <v>84</v>
      </c>
      <c r="DX69" s="2">
        <v>1</v>
      </c>
      <c r="DY69" s="2"/>
      <c r="DZ69" s="2" t="s">
        <v>3</v>
      </c>
      <c r="EA69" s="2" t="s">
        <v>3</v>
      </c>
      <c r="EB69" s="2" t="s">
        <v>3</v>
      </c>
      <c r="EC69" s="2" t="s">
        <v>3</v>
      </c>
      <c r="ED69" s="2"/>
      <c r="EE69" s="2">
        <v>126051607</v>
      </c>
      <c r="EF69" s="2">
        <v>30</v>
      </c>
      <c r="EG69" s="2" t="s">
        <v>23</v>
      </c>
      <c r="EH69" s="2">
        <v>0</v>
      </c>
      <c r="EI69" s="2" t="s">
        <v>3</v>
      </c>
      <c r="EJ69" s="2">
        <v>1</v>
      </c>
      <c r="EK69" s="2">
        <v>146</v>
      </c>
      <c r="EL69" s="2" t="s">
        <v>88</v>
      </c>
      <c r="EM69" s="2" t="s">
        <v>89</v>
      </c>
      <c r="EN69" s="2"/>
      <c r="EO69" s="2" t="s">
        <v>90</v>
      </c>
      <c r="EP69" s="2"/>
      <c r="EQ69" s="2">
        <v>131072</v>
      </c>
      <c r="ER69" s="2">
        <v>5621.26</v>
      </c>
      <c r="ES69" s="2">
        <v>49.49</v>
      </c>
      <c r="ET69" s="2">
        <v>5344.54</v>
      </c>
      <c r="EU69" s="2">
        <v>465.21</v>
      </c>
      <c r="EV69" s="2">
        <v>227.23</v>
      </c>
      <c r="EW69" s="2">
        <v>21.6</v>
      </c>
      <c r="EX69" s="2">
        <v>0</v>
      </c>
      <c r="EY69" s="2">
        <v>0</v>
      </c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>
        <v>0</v>
      </c>
      <c r="FR69" s="2">
        <f t="shared" si="54"/>
        <v>0</v>
      </c>
      <c r="FS69" s="2">
        <v>0</v>
      </c>
      <c r="FT69" s="2"/>
      <c r="FU69" s="2"/>
      <c r="FV69" s="2"/>
      <c r="FW69" s="2"/>
      <c r="FX69" s="2">
        <v>140</v>
      </c>
      <c r="FY69" s="2">
        <v>79</v>
      </c>
      <c r="FZ69" s="2"/>
      <c r="GA69" s="2" t="s">
        <v>3</v>
      </c>
      <c r="GB69" s="2"/>
      <c r="GC69" s="2"/>
      <c r="GD69" s="2">
        <v>0</v>
      </c>
      <c r="GE69" s="2"/>
      <c r="GF69" s="2">
        <v>186895227</v>
      </c>
      <c r="GG69" s="2">
        <v>2</v>
      </c>
      <c r="GH69" s="2">
        <v>1</v>
      </c>
      <c r="GI69" s="2">
        <v>-2</v>
      </c>
      <c r="GJ69" s="2">
        <v>0</v>
      </c>
      <c r="GK69" s="2">
        <f>ROUND(R69*(R12)/100,2)</f>
        <v>20.14</v>
      </c>
      <c r="GL69" s="2">
        <f t="shared" si="55"/>
        <v>0</v>
      </c>
      <c r="GM69" s="2">
        <f t="shared" si="56"/>
        <v>169.89</v>
      </c>
      <c r="GN69" s="2">
        <f t="shared" si="57"/>
        <v>169.89</v>
      </c>
      <c r="GO69" s="2">
        <f t="shared" si="58"/>
        <v>0</v>
      </c>
      <c r="GP69" s="2">
        <f t="shared" si="59"/>
        <v>0</v>
      </c>
      <c r="GQ69" s="2"/>
      <c r="GR69" s="2">
        <v>0</v>
      </c>
      <c r="GS69" s="2">
        <v>0</v>
      </c>
      <c r="GT69" s="2">
        <v>0</v>
      </c>
      <c r="GU69" s="2" t="s">
        <v>3</v>
      </c>
      <c r="GV69" s="2">
        <f t="shared" si="60"/>
        <v>0</v>
      </c>
      <c r="GW69" s="2">
        <v>1</v>
      </c>
      <c r="GX69" s="2">
        <f t="shared" si="61"/>
        <v>0</v>
      </c>
      <c r="GY69" s="2"/>
      <c r="GZ69" s="2"/>
      <c r="HA69" s="2">
        <v>0</v>
      </c>
      <c r="HB69" s="2">
        <v>0</v>
      </c>
      <c r="HC69" s="2">
        <f t="shared" si="62"/>
        <v>0</v>
      </c>
      <c r="HD69" s="2"/>
      <c r="HE69" s="2" t="s">
        <v>3</v>
      </c>
      <c r="HF69" s="2" t="s">
        <v>3</v>
      </c>
      <c r="HG69" s="2"/>
      <c r="HH69" s="2"/>
      <c r="HI69" s="2"/>
      <c r="HJ69" s="2"/>
      <c r="HK69" s="2"/>
      <c r="HL69" s="2"/>
      <c r="HM69" s="2" t="s">
        <v>3</v>
      </c>
      <c r="HN69" s="2" t="s">
        <v>3</v>
      </c>
      <c r="HO69" s="2" t="s">
        <v>3</v>
      </c>
      <c r="HP69" s="2" t="s">
        <v>3</v>
      </c>
      <c r="HQ69" s="2" t="s">
        <v>3</v>
      </c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  <c r="IJ69" s="2"/>
      <c r="IK69" s="2">
        <v>0</v>
      </c>
      <c r="IL69" s="2"/>
      <c r="IM69" s="2"/>
      <c r="IN69" s="2"/>
      <c r="IO69" s="2"/>
      <c r="IP69" s="2"/>
      <c r="IQ69" s="2"/>
      <c r="IR69" s="2"/>
      <c r="IS69" s="2"/>
      <c r="IT69" s="2"/>
      <c r="IU69" s="2"/>
    </row>
    <row r="70" spans="1:255" x14ac:dyDescent="0.2">
      <c r="A70">
        <v>17</v>
      </c>
      <c r="B70">
        <v>1</v>
      </c>
      <c r="C70">
        <f>ROW(SmtRes!A36)</f>
        <v>36</v>
      </c>
      <c r="D70">
        <f>ROW(EtalonRes!A36)</f>
        <v>36</v>
      </c>
      <c r="E70" t="s">
        <v>96</v>
      </c>
      <c r="F70" t="s">
        <v>97</v>
      </c>
      <c r="G70" t="s">
        <v>98</v>
      </c>
      <c r="H70" t="s">
        <v>84</v>
      </c>
      <c r="I70">
        <v>1.9800000000000002E-2</v>
      </c>
      <c r="J70">
        <v>0</v>
      </c>
      <c r="K70">
        <v>1.9800000000000002E-2</v>
      </c>
      <c r="O70">
        <f t="shared" si="32"/>
        <v>1543.59</v>
      </c>
      <c r="P70">
        <f t="shared" si="33"/>
        <v>5.88</v>
      </c>
      <c r="Q70">
        <f>(ROUND((ROUND((((ET70*1.25))*AV70*I70),2)*BB70),2)+ROUND((ROUND(((AE70-((EU70*1.25)))*AV70*I70),2)*BS70),2))</f>
        <v>1387.62</v>
      </c>
      <c r="R70">
        <f t="shared" si="34"/>
        <v>334.14</v>
      </c>
      <c r="S70">
        <f t="shared" si="35"/>
        <v>150.09</v>
      </c>
      <c r="T70">
        <f t="shared" si="36"/>
        <v>0</v>
      </c>
      <c r="U70">
        <f t="shared" si="37"/>
        <v>0.49183200000000005</v>
      </c>
      <c r="V70">
        <f t="shared" si="38"/>
        <v>0</v>
      </c>
      <c r="W70">
        <f t="shared" si="39"/>
        <v>0</v>
      </c>
      <c r="X70">
        <f t="shared" si="40"/>
        <v>172.6</v>
      </c>
      <c r="Y70">
        <f t="shared" si="41"/>
        <v>61.54</v>
      </c>
      <c r="AA70">
        <v>129761633</v>
      </c>
      <c r="AB70">
        <f t="shared" si="42"/>
        <v>6991.4795000000004</v>
      </c>
      <c r="AC70">
        <f t="shared" si="43"/>
        <v>49.49</v>
      </c>
      <c r="AD70">
        <f>ROUND(((((ET70*1.25))-((EU70*1.25)))+AE70),6)</f>
        <v>6680.6750000000002</v>
      </c>
      <c r="AE70">
        <f>ROUND(((EU70*1.25)),6)</f>
        <v>581.51250000000005</v>
      </c>
      <c r="AF70">
        <f>ROUND(((EV70*1.15)),6)</f>
        <v>261.31450000000001</v>
      </c>
      <c r="AG70">
        <f t="shared" si="44"/>
        <v>0</v>
      </c>
      <c r="AH70">
        <f>((EW70*1.15))</f>
        <v>24.84</v>
      </c>
      <c r="AI70">
        <f>((EX70*1.25))</f>
        <v>0</v>
      </c>
      <c r="AJ70">
        <f t="shared" si="45"/>
        <v>0</v>
      </c>
      <c r="AK70">
        <v>5621.26</v>
      </c>
      <c r="AL70">
        <v>49.49</v>
      </c>
      <c r="AM70">
        <v>5344.54</v>
      </c>
      <c r="AN70">
        <v>465.21</v>
      </c>
      <c r="AO70">
        <v>227.23</v>
      </c>
      <c r="AP70">
        <v>0</v>
      </c>
      <c r="AQ70">
        <v>21.6</v>
      </c>
      <c r="AR70">
        <v>0</v>
      </c>
      <c r="AS70">
        <v>0</v>
      </c>
      <c r="AT70">
        <v>115</v>
      </c>
      <c r="AU70">
        <v>41</v>
      </c>
      <c r="AV70">
        <v>1</v>
      </c>
      <c r="AW70">
        <v>1</v>
      </c>
      <c r="AZ70">
        <v>1</v>
      </c>
      <c r="BA70">
        <v>29.03</v>
      </c>
      <c r="BB70">
        <v>10.49</v>
      </c>
      <c r="BC70">
        <v>6</v>
      </c>
      <c r="BD70" t="s">
        <v>3</v>
      </c>
      <c r="BE70" t="s">
        <v>3</v>
      </c>
      <c r="BF70" t="s">
        <v>3</v>
      </c>
      <c r="BG70" t="s">
        <v>3</v>
      </c>
      <c r="BH70">
        <v>0</v>
      </c>
      <c r="BI70">
        <v>1</v>
      </c>
      <c r="BJ70" t="s">
        <v>99</v>
      </c>
      <c r="BM70">
        <v>146</v>
      </c>
      <c r="BN70">
        <v>0</v>
      </c>
      <c r="BO70" t="s">
        <v>97</v>
      </c>
      <c r="BP70">
        <v>1</v>
      </c>
      <c r="BQ70">
        <v>30</v>
      </c>
      <c r="BR70">
        <v>0</v>
      </c>
      <c r="BS70">
        <v>29.03</v>
      </c>
      <c r="BT70">
        <v>1</v>
      </c>
      <c r="BU70">
        <v>1</v>
      </c>
      <c r="BV70">
        <v>1</v>
      </c>
      <c r="BW70">
        <v>1</v>
      </c>
      <c r="BX70">
        <v>1</v>
      </c>
      <c r="BY70" t="s">
        <v>3</v>
      </c>
      <c r="BZ70">
        <v>115</v>
      </c>
      <c r="CA70">
        <v>41</v>
      </c>
      <c r="CB70" t="s">
        <v>3</v>
      </c>
      <c r="CE70">
        <v>30</v>
      </c>
      <c r="CF70">
        <v>0</v>
      </c>
      <c r="CG70">
        <v>0</v>
      </c>
      <c r="CM70">
        <v>0</v>
      </c>
      <c r="CN70" t="s">
        <v>1559</v>
      </c>
      <c r="CO70">
        <v>0</v>
      </c>
      <c r="CP70">
        <f t="shared" si="46"/>
        <v>1543.59</v>
      </c>
      <c r="CQ70">
        <f t="shared" si="47"/>
        <v>296.94</v>
      </c>
      <c r="CR70">
        <f>(ROUND((ROUND((((ET70*1.25))*AV70*1),2)*BB70),2)+ROUND((ROUND(((AE70-((EU70*1.25)))*AV70*1),2)*BS70),2))</f>
        <v>70080.33</v>
      </c>
      <c r="CS70">
        <f t="shared" si="48"/>
        <v>16881.240000000002</v>
      </c>
      <c r="CT70">
        <f t="shared" si="49"/>
        <v>7585.83</v>
      </c>
      <c r="CU70">
        <f t="shared" si="50"/>
        <v>0</v>
      </c>
      <c r="CV70">
        <f t="shared" si="51"/>
        <v>24.84</v>
      </c>
      <c r="CW70">
        <f t="shared" si="52"/>
        <v>0</v>
      </c>
      <c r="CX70">
        <f t="shared" si="53"/>
        <v>0</v>
      </c>
      <c r="CY70">
        <f>S70*(BZ70/100)</f>
        <v>172.6035</v>
      </c>
      <c r="CZ70">
        <f>S70*(CA70/100)</f>
        <v>61.536899999999996</v>
      </c>
      <c r="DC70" t="s">
        <v>3</v>
      </c>
      <c r="DD70" t="s">
        <v>3</v>
      </c>
      <c r="DE70" t="s">
        <v>86</v>
      </c>
      <c r="DF70" t="s">
        <v>86</v>
      </c>
      <c r="DG70" t="s">
        <v>87</v>
      </c>
      <c r="DH70" t="s">
        <v>3</v>
      </c>
      <c r="DI70" t="s">
        <v>87</v>
      </c>
      <c r="DJ70" t="s">
        <v>86</v>
      </c>
      <c r="DK70" t="s">
        <v>3</v>
      </c>
      <c r="DL70" t="s">
        <v>3</v>
      </c>
      <c r="DM70" t="s">
        <v>3</v>
      </c>
      <c r="DN70">
        <v>140</v>
      </c>
      <c r="DO70">
        <v>79</v>
      </c>
      <c r="DP70">
        <v>1</v>
      </c>
      <c r="DQ70">
        <v>1</v>
      </c>
      <c r="DU70">
        <v>1013</v>
      </c>
      <c r="DV70" t="s">
        <v>84</v>
      </c>
      <c r="DW70" t="s">
        <v>84</v>
      </c>
      <c r="DX70">
        <v>1</v>
      </c>
      <c r="DZ70" t="s">
        <v>3</v>
      </c>
      <c r="EA70" t="s">
        <v>3</v>
      </c>
      <c r="EB70" t="s">
        <v>3</v>
      </c>
      <c r="EC70" t="s">
        <v>3</v>
      </c>
      <c r="EE70">
        <v>126051607</v>
      </c>
      <c r="EF70">
        <v>30</v>
      </c>
      <c r="EG70" t="s">
        <v>23</v>
      </c>
      <c r="EH70">
        <v>0</v>
      </c>
      <c r="EI70" t="s">
        <v>3</v>
      </c>
      <c r="EJ70">
        <v>1</v>
      </c>
      <c r="EK70">
        <v>146</v>
      </c>
      <c r="EL70" t="s">
        <v>88</v>
      </c>
      <c r="EM70" t="s">
        <v>89</v>
      </c>
      <c r="EO70" t="s">
        <v>90</v>
      </c>
      <c r="EQ70">
        <v>131072</v>
      </c>
      <c r="ER70">
        <v>5621.26</v>
      </c>
      <c r="ES70">
        <v>49.49</v>
      </c>
      <c r="ET70">
        <v>5344.54</v>
      </c>
      <c r="EU70">
        <v>465.21</v>
      </c>
      <c r="EV70">
        <v>227.23</v>
      </c>
      <c r="EW70">
        <v>21.6</v>
      </c>
      <c r="EX70">
        <v>0</v>
      </c>
      <c r="EY70">
        <v>0</v>
      </c>
      <c r="FQ70">
        <v>0</v>
      </c>
      <c r="FR70">
        <f t="shared" si="54"/>
        <v>0</v>
      </c>
      <c r="FS70">
        <v>0</v>
      </c>
      <c r="FX70">
        <v>140</v>
      </c>
      <c r="FY70">
        <v>79</v>
      </c>
      <c r="GA70" t="s">
        <v>3</v>
      </c>
      <c r="GD70">
        <v>0</v>
      </c>
      <c r="GF70">
        <v>186895227</v>
      </c>
      <c r="GG70">
        <v>2</v>
      </c>
      <c r="GH70">
        <v>1</v>
      </c>
      <c r="GI70">
        <v>2</v>
      </c>
      <c r="GJ70">
        <v>0</v>
      </c>
      <c r="GK70">
        <f>ROUND(R70*(S12)/100,2)</f>
        <v>534.62</v>
      </c>
      <c r="GL70">
        <f t="shared" si="55"/>
        <v>0</v>
      </c>
      <c r="GM70">
        <f t="shared" si="56"/>
        <v>2312.35</v>
      </c>
      <c r="GN70">
        <f t="shared" si="57"/>
        <v>2312.35</v>
      </c>
      <c r="GO70">
        <f t="shared" si="58"/>
        <v>0</v>
      </c>
      <c r="GP70">
        <f t="shared" si="59"/>
        <v>0</v>
      </c>
      <c r="GR70">
        <v>0</v>
      </c>
      <c r="GS70">
        <v>3</v>
      </c>
      <c r="GT70">
        <v>0</v>
      </c>
      <c r="GU70" t="s">
        <v>3</v>
      </c>
      <c r="GV70">
        <f t="shared" si="60"/>
        <v>0</v>
      </c>
      <c r="GW70">
        <v>1</v>
      </c>
      <c r="GX70">
        <f t="shared" si="61"/>
        <v>0</v>
      </c>
      <c r="HA70">
        <v>0</v>
      </c>
      <c r="HB70">
        <v>0</v>
      </c>
      <c r="HC70">
        <f t="shared" si="62"/>
        <v>0</v>
      </c>
      <c r="HE70" t="s">
        <v>3</v>
      </c>
      <c r="HF70" t="s">
        <v>3</v>
      </c>
      <c r="HM70" t="s">
        <v>3</v>
      </c>
      <c r="HN70" t="s">
        <v>3</v>
      </c>
      <c r="HO70" t="s">
        <v>3</v>
      </c>
      <c r="HP70" t="s">
        <v>3</v>
      </c>
      <c r="HQ70" t="s">
        <v>3</v>
      </c>
      <c r="IK70">
        <v>0</v>
      </c>
    </row>
    <row r="71" spans="1:255" x14ac:dyDescent="0.2">
      <c r="A71" s="2">
        <v>18</v>
      </c>
      <c r="B71" s="2">
        <v>1</v>
      </c>
      <c r="C71" s="2">
        <v>27</v>
      </c>
      <c r="D71" s="2"/>
      <c r="E71" s="2" t="s">
        <v>100</v>
      </c>
      <c r="F71" s="2" t="s">
        <v>101</v>
      </c>
      <c r="G71" s="2" t="s">
        <v>102</v>
      </c>
      <c r="H71" s="2" t="s">
        <v>94</v>
      </c>
      <c r="I71" s="2">
        <f>I69*J71</f>
        <v>2.4948000000000001</v>
      </c>
      <c r="J71" s="2">
        <v>126</v>
      </c>
      <c r="K71" s="2">
        <v>126</v>
      </c>
      <c r="L71" s="2"/>
      <c r="M71" s="2"/>
      <c r="N71" s="2"/>
      <c r="O71" s="2">
        <f t="shared" si="32"/>
        <v>413.64</v>
      </c>
      <c r="P71" s="2">
        <f t="shared" si="33"/>
        <v>413.64</v>
      </c>
      <c r="Q71" s="2">
        <f>(ROUND((ROUND(((ET71)*AV71*I71),2)*BB71),2)+ROUND((ROUND(((AE71-(EU71))*AV71*I71),2)*BS71),2))</f>
        <v>0</v>
      </c>
      <c r="R71" s="2">
        <f t="shared" si="34"/>
        <v>0</v>
      </c>
      <c r="S71" s="2">
        <f t="shared" si="35"/>
        <v>0</v>
      </c>
      <c r="T71" s="2">
        <f t="shared" si="36"/>
        <v>0</v>
      </c>
      <c r="U71" s="2">
        <f t="shared" si="37"/>
        <v>0</v>
      </c>
      <c r="V71" s="2">
        <f t="shared" si="38"/>
        <v>0</v>
      </c>
      <c r="W71" s="2">
        <f t="shared" si="39"/>
        <v>0</v>
      </c>
      <c r="X71" s="2">
        <f t="shared" si="40"/>
        <v>0</v>
      </c>
      <c r="Y71" s="2">
        <f t="shared" si="41"/>
        <v>0</v>
      </c>
      <c r="Z71" s="2"/>
      <c r="AA71" s="2">
        <v>129761636</v>
      </c>
      <c r="AB71" s="2">
        <f t="shared" si="42"/>
        <v>165.8</v>
      </c>
      <c r="AC71" s="2">
        <f t="shared" si="43"/>
        <v>165.8</v>
      </c>
      <c r="AD71" s="2">
        <f>ROUND((((ET71)-(EU71))+AE71),6)</f>
        <v>0</v>
      </c>
      <c r="AE71" s="2">
        <f>ROUND((EU71),6)</f>
        <v>0</v>
      </c>
      <c r="AF71" s="2">
        <f>ROUND((EV71),6)</f>
        <v>0</v>
      </c>
      <c r="AG71" s="2">
        <f t="shared" si="44"/>
        <v>0</v>
      </c>
      <c r="AH71" s="2">
        <f>(EW71)</f>
        <v>0</v>
      </c>
      <c r="AI71" s="2">
        <f>(EX71)</f>
        <v>0</v>
      </c>
      <c r="AJ71" s="2">
        <f t="shared" si="45"/>
        <v>0</v>
      </c>
      <c r="AK71" s="2">
        <v>165.8</v>
      </c>
      <c r="AL71" s="2">
        <v>165.8</v>
      </c>
      <c r="AM71" s="2">
        <v>0</v>
      </c>
      <c r="AN71" s="2">
        <v>0</v>
      </c>
      <c r="AO71" s="2">
        <v>0</v>
      </c>
      <c r="AP71" s="2">
        <v>0</v>
      </c>
      <c r="AQ71" s="2">
        <v>0</v>
      </c>
      <c r="AR71" s="2">
        <v>0</v>
      </c>
      <c r="AS71" s="2">
        <v>0</v>
      </c>
      <c r="AT71" s="2">
        <v>140</v>
      </c>
      <c r="AU71" s="2">
        <v>79</v>
      </c>
      <c r="AV71" s="2">
        <v>1</v>
      </c>
      <c r="AW71" s="2">
        <v>1</v>
      </c>
      <c r="AX71" s="2"/>
      <c r="AY71" s="2"/>
      <c r="AZ71" s="2">
        <v>1</v>
      </c>
      <c r="BA71" s="2">
        <v>1</v>
      </c>
      <c r="BB71" s="2">
        <v>1</v>
      </c>
      <c r="BC71" s="2">
        <v>1</v>
      </c>
      <c r="BD71" s="2" t="s">
        <v>3</v>
      </c>
      <c r="BE71" s="2" t="s">
        <v>3</v>
      </c>
      <c r="BF71" s="2" t="s">
        <v>3</v>
      </c>
      <c r="BG71" s="2" t="s">
        <v>3</v>
      </c>
      <c r="BH71" s="2">
        <v>3</v>
      </c>
      <c r="BI71" s="2">
        <v>1</v>
      </c>
      <c r="BJ71" s="2" t="s">
        <v>103</v>
      </c>
      <c r="BK71" s="2"/>
      <c r="BL71" s="2"/>
      <c r="BM71" s="2">
        <v>146</v>
      </c>
      <c r="BN71" s="2">
        <v>0</v>
      </c>
      <c r="BO71" s="2" t="s">
        <v>3</v>
      </c>
      <c r="BP71" s="2">
        <v>0</v>
      </c>
      <c r="BQ71" s="2">
        <v>30</v>
      </c>
      <c r="BR71" s="2">
        <v>0</v>
      </c>
      <c r="BS71" s="2">
        <v>1</v>
      </c>
      <c r="BT71" s="2">
        <v>1</v>
      </c>
      <c r="BU71" s="2">
        <v>1</v>
      </c>
      <c r="BV71" s="2">
        <v>1</v>
      </c>
      <c r="BW71" s="2">
        <v>1</v>
      </c>
      <c r="BX71" s="2">
        <v>1</v>
      </c>
      <c r="BY71" s="2" t="s">
        <v>3</v>
      </c>
      <c r="BZ71" s="2">
        <v>140</v>
      </c>
      <c r="CA71" s="2">
        <v>79</v>
      </c>
      <c r="CB71" s="2" t="s">
        <v>3</v>
      </c>
      <c r="CC71" s="2"/>
      <c r="CD71" s="2"/>
      <c r="CE71" s="2">
        <v>30</v>
      </c>
      <c r="CF71" s="2">
        <v>0</v>
      </c>
      <c r="CG71" s="2">
        <v>0</v>
      </c>
      <c r="CH71" s="2"/>
      <c r="CI71" s="2"/>
      <c r="CJ71" s="2"/>
      <c r="CK71" s="2"/>
      <c r="CL71" s="2"/>
      <c r="CM71" s="2">
        <v>0</v>
      </c>
      <c r="CN71" s="2" t="s">
        <v>3</v>
      </c>
      <c r="CO71" s="2">
        <v>0</v>
      </c>
      <c r="CP71" s="2">
        <f t="shared" si="46"/>
        <v>413.64</v>
      </c>
      <c r="CQ71" s="2">
        <f t="shared" si="47"/>
        <v>165.8</v>
      </c>
      <c r="CR71" s="2">
        <f>(ROUND((ROUND(((ET71)*AV71*1),2)*BB71),2)+ROUND((ROUND(((AE71-(EU71))*AV71*1),2)*BS71),2))</f>
        <v>0</v>
      </c>
      <c r="CS71" s="2">
        <f t="shared" si="48"/>
        <v>0</v>
      </c>
      <c r="CT71" s="2">
        <f t="shared" si="49"/>
        <v>0</v>
      </c>
      <c r="CU71" s="2">
        <f t="shared" si="50"/>
        <v>0</v>
      </c>
      <c r="CV71" s="2">
        <f t="shared" si="51"/>
        <v>0</v>
      </c>
      <c r="CW71" s="2">
        <f t="shared" si="52"/>
        <v>0</v>
      </c>
      <c r="CX71" s="2">
        <f t="shared" si="53"/>
        <v>0</v>
      </c>
      <c r="CY71" s="2">
        <f>((S71*BZ71)/100)</f>
        <v>0</v>
      </c>
      <c r="CZ71" s="2">
        <f>((S71*CA71)/100)</f>
        <v>0</v>
      </c>
      <c r="DA71" s="2"/>
      <c r="DB71" s="2"/>
      <c r="DC71" s="2" t="s">
        <v>3</v>
      </c>
      <c r="DD71" s="2" t="s">
        <v>3</v>
      </c>
      <c r="DE71" s="2" t="s">
        <v>3</v>
      </c>
      <c r="DF71" s="2" t="s">
        <v>3</v>
      </c>
      <c r="DG71" s="2" t="s">
        <v>3</v>
      </c>
      <c r="DH71" s="2" t="s">
        <v>3</v>
      </c>
      <c r="DI71" s="2" t="s">
        <v>3</v>
      </c>
      <c r="DJ71" s="2" t="s">
        <v>3</v>
      </c>
      <c r="DK71" s="2" t="s">
        <v>3</v>
      </c>
      <c r="DL71" s="2" t="s">
        <v>3</v>
      </c>
      <c r="DM71" s="2" t="s">
        <v>3</v>
      </c>
      <c r="DN71" s="2">
        <v>0</v>
      </c>
      <c r="DO71" s="2">
        <v>0</v>
      </c>
      <c r="DP71" s="2">
        <v>1</v>
      </c>
      <c r="DQ71" s="2">
        <v>1</v>
      </c>
      <c r="DR71" s="2"/>
      <c r="DS71" s="2"/>
      <c r="DT71" s="2"/>
      <c r="DU71" s="2">
        <v>1007</v>
      </c>
      <c r="DV71" s="2" t="s">
        <v>94</v>
      </c>
      <c r="DW71" s="2" t="s">
        <v>94</v>
      </c>
      <c r="DX71" s="2">
        <v>1</v>
      </c>
      <c r="DY71" s="2"/>
      <c r="DZ71" s="2" t="s">
        <v>3</v>
      </c>
      <c r="EA71" s="2" t="s">
        <v>3</v>
      </c>
      <c r="EB71" s="2" t="s">
        <v>3</v>
      </c>
      <c r="EC71" s="2" t="s">
        <v>3</v>
      </c>
      <c r="ED71" s="2"/>
      <c r="EE71" s="2">
        <v>126051607</v>
      </c>
      <c r="EF71" s="2">
        <v>30</v>
      </c>
      <c r="EG71" s="2" t="s">
        <v>23</v>
      </c>
      <c r="EH71" s="2">
        <v>0</v>
      </c>
      <c r="EI71" s="2" t="s">
        <v>3</v>
      </c>
      <c r="EJ71" s="2">
        <v>1</v>
      </c>
      <c r="EK71" s="2">
        <v>146</v>
      </c>
      <c r="EL71" s="2" t="s">
        <v>88</v>
      </c>
      <c r="EM71" s="2" t="s">
        <v>89</v>
      </c>
      <c r="EN71" s="2"/>
      <c r="EO71" s="2" t="s">
        <v>3</v>
      </c>
      <c r="EP71" s="2"/>
      <c r="EQ71" s="2">
        <v>0</v>
      </c>
      <c r="ER71" s="2">
        <v>165.8</v>
      </c>
      <c r="ES71" s="2">
        <v>165.8</v>
      </c>
      <c r="ET71" s="2">
        <v>0</v>
      </c>
      <c r="EU71" s="2">
        <v>0</v>
      </c>
      <c r="EV71" s="2">
        <v>0</v>
      </c>
      <c r="EW71" s="2">
        <v>0</v>
      </c>
      <c r="EX71" s="2">
        <v>0</v>
      </c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>
        <v>0</v>
      </c>
      <c r="FR71" s="2">
        <f t="shared" si="54"/>
        <v>0</v>
      </c>
      <c r="FS71" s="2">
        <v>0</v>
      </c>
      <c r="FT71" s="2"/>
      <c r="FU71" s="2"/>
      <c r="FV71" s="2"/>
      <c r="FW71" s="2"/>
      <c r="FX71" s="2">
        <v>140</v>
      </c>
      <c r="FY71" s="2">
        <v>79</v>
      </c>
      <c r="FZ71" s="2"/>
      <c r="GA71" s="2" t="s">
        <v>3</v>
      </c>
      <c r="GB71" s="2"/>
      <c r="GC71" s="2"/>
      <c r="GD71" s="2">
        <v>0</v>
      </c>
      <c r="GE71" s="2"/>
      <c r="GF71" s="2">
        <v>489817369</v>
      </c>
      <c r="GG71" s="2">
        <v>2</v>
      </c>
      <c r="GH71" s="2">
        <v>1</v>
      </c>
      <c r="GI71" s="2">
        <v>-2</v>
      </c>
      <c r="GJ71" s="2">
        <v>0</v>
      </c>
      <c r="GK71" s="2">
        <f>ROUND(R71*(R12)/100,2)</f>
        <v>0</v>
      </c>
      <c r="GL71" s="2">
        <f t="shared" si="55"/>
        <v>0</v>
      </c>
      <c r="GM71" s="2">
        <f t="shared" si="56"/>
        <v>413.64</v>
      </c>
      <c r="GN71" s="2">
        <f t="shared" si="57"/>
        <v>413.64</v>
      </c>
      <c r="GO71" s="2">
        <f t="shared" si="58"/>
        <v>0</v>
      </c>
      <c r="GP71" s="2">
        <f t="shared" si="59"/>
        <v>0</v>
      </c>
      <c r="GQ71" s="2"/>
      <c r="GR71" s="2">
        <v>0</v>
      </c>
      <c r="GS71" s="2">
        <v>0</v>
      </c>
      <c r="GT71" s="2">
        <v>0</v>
      </c>
      <c r="GU71" s="2" t="s">
        <v>3</v>
      </c>
      <c r="GV71" s="2">
        <f t="shared" si="60"/>
        <v>0</v>
      </c>
      <c r="GW71" s="2">
        <v>1</v>
      </c>
      <c r="GX71" s="2">
        <f t="shared" si="61"/>
        <v>0</v>
      </c>
      <c r="GY71" s="2"/>
      <c r="GZ71" s="2"/>
      <c r="HA71" s="2">
        <v>0</v>
      </c>
      <c r="HB71" s="2">
        <v>0</v>
      </c>
      <c r="HC71" s="2">
        <f t="shared" si="62"/>
        <v>0</v>
      </c>
      <c r="HD71" s="2"/>
      <c r="HE71" s="2" t="s">
        <v>3</v>
      </c>
      <c r="HF71" s="2" t="s">
        <v>3</v>
      </c>
      <c r="HG71" s="2"/>
      <c r="HH71" s="2"/>
      <c r="HI71" s="2"/>
      <c r="HJ71" s="2"/>
      <c r="HK71" s="2"/>
      <c r="HL71" s="2"/>
      <c r="HM71" s="2" t="s">
        <v>3</v>
      </c>
      <c r="HN71" s="2" t="s">
        <v>3</v>
      </c>
      <c r="HO71" s="2" t="s">
        <v>3</v>
      </c>
      <c r="HP71" s="2" t="s">
        <v>3</v>
      </c>
      <c r="HQ71" s="2" t="s">
        <v>3</v>
      </c>
      <c r="HR71" s="2"/>
      <c r="HS71" s="2"/>
      <c r="HT71" s="2"/>
      <c r="HU71" s="2"/>
      <c r="HV71" s="2"/>
      <c r="HW71" s="2"/>
      <c r="HX71" s="2"/>
      <c r="HY71" s="2"/>
      <c r="HZ71" s="2"/>
      <c r="IA71" s="2"/>
      <c r="IB71" s="2"/>
      <c r="IC71" s="2"/>
      <c r="ID71" s="2"/>
      <c r="IE71" s="2"/>
      <c r="IF71" s="2"/>
      <c r="IG71" s="2"/>
      <c r="IH71" s="2"/>
      <c r="II71" s="2"/>
      <c r="IJ71" s="2"/>
      <c r="IK71" s="2">
        <v>0</v>
      </c>
      <c r="IL71" s="2"/>
      <c r="IM71" s="2"/>
      <c r="IN71" s="2"/>
      <c r="IO71" s="2"/>
      <c r="IP71" s="2"/>
      <c r="IQ71" s="2"/>
      <c r="IR71" s="2"/>
      <c r="IS71" s="2"/>
      <c r="IT71" s="2"/>
      <c r="IU71" s="2"/>
    </row>
    <row r="72" spans="1:255" x14ac:dyDescent="0.2">
      <c r="A72">
        <v>18</v>
      </c>
      <c r="B72">
        <v>1</v>
      </c>
      <c r="C72">
        <v>36</v>
      </c>
      <c r="E72" t="s">
        <v>100</v>
      </c>
      <c r="F72" t="s">
        <v>101</v>
      </c>
      <c r="G72" t="s">
        <v>102</v>
      </c>
      <c r="H72" t="s">
        <v>94</v>
      </c>
      <c r="I72">
        <f>I70*J72</f>
        <v>2.4948000000000001</v>
      </c>
      <c r="J72">
        <v>126</v>
      </c>
      <c r="K72">
        <v>126</v>
      </c>
      <c r="O72">
        <f t="shared" si="32"/>
        <v>8678.17</v>
      </c>
      <c r="P72">
        <f t="shared" si="33"/>
        <v>8678.17</v>
      </c>
      <c r="Q72">
        <f>(ROUND((ROUND(((ET72)*AV72*I72),2)*BB72),2)+ROUND((ROUND(((AE72-(EU72))*AV72*I72),2)*BS72),2))</f>
        <v>0</v>
      </c>
      <c r="R72">
        <f t="shared" si="34"/>
        <v>0</v>
      </c>
      <c r="S72">
        <f t="shared" si="35"/>
        <v>0</v>
      </c>
      <c r="T72">
        <f t="shared" si="36"/>
        <v>0</v>
      </c>
      <c r="U72">
        <f t="shared" si="37"/>
        <v>0</v>
      </c>
      <c r="V72">
        <f t="shared" si="38"/>
        <v>0</v>
      </c>
      <c r="W72">
        <f t="shared" si="39"/>
        <v>0</v>
      </c>
      <c r="X72">
        <f t="shared" si="40"/>
        <v>0</v>
      </c>
      <c r="Y72">
        <f t="shared" si="41"/>
        <v>0</v>
      </c>
      <c r="AA72">
        <v>129761633</v>
      </c>
      <c r="AB72">
        <f t="shared" si="42"/>
        <v>165.8</v>
      </c>
      <c r="AC72">
        <f t="shared" si="43"/>
        <v>165.8</v>
      </c>
      <c r="AD72">
        <f>ROUND((((ET72)-(EU72))+AE72),6)</f>
        <v>0</v>
      </c>
      <c r="AE72">
        <f>ROUND((EU72),6)</f>
        <v>0</v>
      </c>
      <c r="AF72">
        <f>ROUND((EV72),6)</f>
        <v>0</v>
      </c>
      <c r="AG72">
        <f t="shared" si="44"/>
        <v>0</v>
      </c>
      <c r="AH72">
        <f>(EW72)</f>
        <v>0</v>
      </c>
      <c r="AI72">
        <f>(EX72)</f>
        <v>0</v>
      </c>
      <c r="AJ72">
        <f t="shared" si="45"/>
        <v>0</v>
      </c>
      <c r="AK72">
        <v>165.8</v>
      </c>
      <c r="AL72">
        <v>165.8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1</v>
      </c>
      <c r="AW72">
        <v>1</v>
      </c>
      <c r="AZ72">
        <v>1</v>
      </c>
      <c r="BA72">
        <v>1</v>
      </c>
      <c r="BB72">
        <v>1</v>
      </c>
      <c r="BC72">
        <v>20.98</v>
      </c>
      <c r="BD72" t="s">
        <v>3</v>
      </c>
      <c r="BE72" t="s">
        <v>3</v>
      </c>
      <c r="BF72" t="s">
        <v>3</v>
      </c>
      <c r="BG72" t="s">
        <v>3</v>
      </c>
      <c r="BH72">
        <v>3</v>
      </c>
      <c r="BI72">
        <v>1</v>
      </c>
      <c r="BJ72" t="s">
        <v>103</v>
      </c>
      <c r="BM72">
        <v>146</v>
      </c>
      <c r="BN72">
        <v>0</v>
      </c>
      <c r="BO72" t="s">
        <v>101</v>
      </c>
      <c r="BP72">
        <v>1</v>
      </c>
      <c r="BQ72">
        <v>30</v>
      </c>
      <c r="BR72">
        <v>0</v>
      </c>
      <c r="BS72">
        <v>1</v>
      </c>
      <c r="BT72">
        <v>1</v>
      </c>
      <c r="BU72">
        <v>1</v>
      </c>
      <c r="BV72">
        <v>1</v>
      </c>
      <c r="BW72">
        <v>1</v>
      </c>
      <c r="BX72">
        <v>1</v>
      </c>
      <c r="BY72" t="s">
        <v>3</v>
      </c>
      <c r="BZ72">
        <v>0</v>
      </c>
      <c r="CA72">
        <v>0</v>
      </c>
      <c r="CB72" t="s">
        <v>3</v>
      </c>
      <c r="CE72">
        <v>30</v>
      </c>
      <c r="CF72">
        <v>0</v>
      </c>
      <c r="CG72">
        <v>0</v>
      </c>
      <c r="CM72">
        <v>0</v>
      </c>
      <c r="CN72" t="s">
        <v>3</v>
      </c>
      <c r="CO72">
        <v>0</v>
      </c>
      <c r="CP72">
        <f t="shared" si="46"/>
        <v>8678.17</v>
      </c>
      <c r="CQ72">
        <f t="shared" si="47"/>
        <v>3478.48</v>
      </c>
      <c r="CR72">
        <f>(ROUND((ROUND(((ET72)*AV72*1),2)*BB72),2)+ROUND((ROUND(((AE72-(EU72))*AV72*1),2)*BS72),2))</f>
        <v>0</v>
      </c>
      <c r="CS72">
        <f t="shared" si="48"/>
        <v>0</v>
      </c>
      <c r="CT72">
        <f t="shared" si="49"/>
        <v>0</v>
      </c>
      <c r="CU72">
        <f t="shared" si="50"/>
        <v>0</v>
      </c>
      <c r="CV72">
        <f t="shared" si="51"/>
        <v>0</v>
      </c>
      <c r="CW72">
        <f t="shared" si="52"/>
        <v>0</v>
      </c>
      <c r="CX72">
        <f t="shared" si="53"/>
        <v>0</v>
      </c>
      <c r="CY72">
        <f>S72*(BZ72/100)</f>
        <v>0</v>
      </c>
      <c r="CZ72">
        <f>S72*(CA72/100)</f>
        <v>0</v>
      </c>
      <c r="DC72" t="s">
        <v>3</v>
      </c>
      <c r="DD72" t="s">
        <v>3</v>
      </c>
      <c r="DE72" t="s">
        <v>3</v>
      </c>
      <c r="DF72" t="s">
        <v>3</v>
      </c>
      <c r="DG72" t="s">
        <v>3</v>
      </c>
      <c r="DH72" t="s">
        <v>3</v>
      </c>
      <c r="DI72" t="s">
        <v>3</v>
      </c>
      <c r="DJ72" t="s">
        <v>3</v>
      </c>
      <c r="DK72" t="s">
        <v>3</v>
      </c>
      <c r="DL72" t="s">
        <v>3</v>
      </c>
      <c r="DM72" t="s">
        <v>3</v>
      </c>
      <c r="DN72">
        <v>140</v>
      </c>
      <c r="DO72">
        <v>79</v>
      </c>
      <c r="DP72">
        <v>1</v>
      </c>
      <c r="DQ72">
        <v>1</v>
      </c>
      <c r="DU72">
        <v>1007</v>
      </c>
      <c r="DV72" t="s">
        <v>94</v>
      </c>
      <c r="DW72" t="s">
        <v>94</v>
      </c>
      <c r="DX72">
        <v>1</v>
      </c>
      <c r="DZ72" t="s">
        <v>3</v>
      </c>
      <c r="EA72" t="s">
        <v>3</v>
      </c>
      <c r="EB72" t="s">
        <v>3</v>
      </c>
      <c r="EC72" t="s">
        <v>3</v>
      </c>
      <c r="EE72">
        <v>126051607</v>
      </c>
      <c r="EF72">
        <v>30</v>
      </c>
      <c r="EG72" t="s">
        <v>23</v>
      </c>
      <c r="EH72">
        <v>0</v>
      </c>
      <c r="EI72" t="s">
        <v>3</v>
      </c>
      <c r="EJ72">
        <v>1</v>
      </c>
      <c r="EK72">
        <v>146</v>
      </c>
      <c r="EL72" t="s">
        <v>88</v>
      </c>
      <c r="EM72" t="s">
        <v>89</v>
      </c>
      <c r="EO72" t="s">
        <v>3</v>
      </c>
      <c r="EQ72">
        <v>0</v>
      </c>
      <c r="ER72">
        <v>165.8</v>
      </c>
      <c r="ES72">
        <v>165.8</v>
      </c>
      <c r="ET72">
        <v>0</v>
      </c>
      <c r="EU72">
        <v>0</v>
      </c>
      <c r="EV72">
        <v>0</v>
      </c>
      <c r="EW72">
        <v>0</v>
      </c>
      <c r="EX72">
        <v>0</v>
      </c>
      <c r="FQ72">
        <v>0</v>
      </c>
      <c r="FR72">
        <f t="shared" si="54"/>
        <v>0</v>
      </c>
      <c r="FS72">
        <v>0</v>
      </c>
      <c r="FX72">
        <v>140</v>
      </c>
      <c r="FY72">
        <v>79</v>
      </c>
      <c r="GA72" t="s">
        <v>3</v>
      </c>
      <c r="GD72">
        <v>0</v>
      </c>
      <c r="GF72">
        <v>489817369</v>
      </c>
      <c r="GG72">
        <v>2</v>
      </c>
      <c r="GH72">
        <v>1</v>
      </c>
      <c r="GI72">
        <v>2</v>
      </c>
      <c r="GJ72">
        <v>0</v>
      </c>
      <c r="GK72">
        <f>ROUND(R72*(S12)/100,2)</f>
        <v>0</v>
      </c>
      <c r="GL72">
        <f t="shared" si="55"/>
        <v>0</v>
      </c>
      <c r="GM72">
        <f t="shared" si="56"/>
        <v>8678.17</v>
      </c>
      <c r="GN72">
        <f t="shared" si="57"/>
        <v>8678.17</v>
      </c>
      <c r="GO72">
        <f t="shared" si="58"/>
        <v>0</v>
      </c>
      <c r="GP72">
        <f t="shared" si="59"/>
        <v>0</v>
      </c>
      <c r="GR72">
        <v>0</v>
      </c>
      <c r="GS72">
        <v>3</v>
      </c>
      <c r="GT72">
        <v>0</v>
      </c>
      <c r="GU72" t="s">
        <v>3</v>
      </c>
      <c r="GV72">
        <f t="shared" si="60"/>
        <v>0</v>
      </c>
      <c r="GW72">
        <v>1</v>
      </c>
      <c r="GX72">
        <f t="shared" si="61"/>
        <v>0</v>
      </c>
      <c r="HA72">
        <v>0</v>
      </c>
      <c r="HB72">
        <v>0</v>
      </c>
      <c r="HC72">
        <f t="shared" si="62"/>
        <v>0</v>
      </c>
      <c r="HE72" t="s">
        <v>3</v>
      </c>
      <c r="HF72" t="s">
        <v>3</v>
      </c>
      <c r="HM72" t="s">
        <v>3</v>
      </c>
      <c r="HN72" t="s">
        <v>3</v>
      </c>
      <c r="HO72" t="s">
        <v>3</v>
      </c>
      <c r="HP72" t="s">
        <v>3</v>
      </c>
      <c r="HQ72" t="s">
        <v>3</v>
      </c>
      <c r="IK72">
        <v>0</v>
      </c>
    </row>
    <row r="73" spans="1:255" x14ac:dyDescent="0.2">
      <c r="A73" s="2">
        <v>17</v>
      </c>
      <c r="B73" s="2">
        <v>1</v>
      </c>
      <c r="C73" s="2">
        <f>ROW(SmtRes!A40)</f>
        <v>40</v>
      </c>
      <c r="D73" s="2">
        <f>ROW(EtalonRes!A40)</f>
        <v>40</v>
      </c>
      <c r="E73" s="2" t="s">
        <v>104</v>
      </c>
      <c r="F73" s="2" t="s">
        <v>105</v>
      </c>
      <c r="G73" s="2" t="s">
        <v>106</v>
      </c>
      <c r="H73" s="2" t="s">
        <v>107</v>
      </c>
      <c r="I73" s="2">
        <v>0.13200000000000001</v>
      </c>
      <c r="J73" s="2">
        <v>0</v>
      </c>
      <c r="K73" s="2">
        <v>0.13200000000000001</v>
      </c>
      <c r="L73" s="2"/>
      <c r="M73" s="2"/>
      <c r="N73" s="2"/>
      <c r="O73" s="2">
        <f t="shared" si="32"/>
        <v>60.96</v>
      </c>
      <c r="P73" s="2">
        <f t="shared" si="33"/>
        <v>34.659999999999997</v>
      </c>
      <c r="Q73" s="2">
        <f>(ROUND((ROUND((((ET73*1.25))*AV73*I73),2)*BB73),2)+ROUND((ROUND(((AE73-((EU73*1.25)))*AV73*I73),2)*BS73),2))</f>
        <v>0</v>
      </c>
      <c r="R73" s="2">
        <f t="shared" si="34"/>
        <v>0</v>
      </c>
      <c r="S73" s="2">
        <f t="shared" si="35"/>
        <v>26.3</v>
      </c>
      <c r="T73" s="2">
        <f t="shared" si="36"/>
        <v>0</v>
      </c>
      <c r="U73" s="2">
        <f t="shared" si="37"/>
        <v>2.1859199999999999</v>
      </c>
      <c r="V73" s="2">
        <f t="shared" si="38"/>
        <v>0</v>
      </c>
      <c r="W73" s="2">
        <f t="shared" si="39"/>
        <v>0</v>
      </c>
      <c r="X73" s="2">
        <f t="shared" si="40"/>
        <v>36.82</v>
      </c>
      <c r="Y73" s="2">
        <f t="shared" si="41"/>
        <v>20.78</v>
      </c>
      <c r="Z73" s="2"/>
      <c r="AA73" s="2">
        <v>129761636</v>
      </c>
      <c r="AB73" s="2">
        <f t="shared" si="42"/>
        <v>461.81450000000001</v>
      </c>
      <c r="AC73" s="2">
        <f t="shared" si="43"/>
        <v>262.60000000000002</v>
      </c>
      <c r="AD73" s="2">
        <f>ROUND(((((ET73*1.25))-((EU73*1.25)))+AE73),6)</f>
        <v>0</v>
      </c>
      <c r="AE73" s="2">
        <f>ROUND(((EU73*1.25)),6)</f>
        <v>0</v>
      </c>
      <c r="AF73" s="2">
        <f>ROUND(((EV73*1.15)),6)</f>
        <v>199.21449999999999</v>
      </c>
      <c r="AG73" s="2">
        <f t="shared" si="44"/>
        <v>0</v>
      </c>
      <c r="AH73" s="2">
        <f>((EW73*1.15))</f>
        <v>16.559999999999999</v>
      </c>
      <c r="AI73" s="2">
        <f>((EX73*1.25))</f>
        <v>0</v>
      </c>
      <c r="AJ73" s="2">
        <f t="shared" si="45"/>
        <v>0</v>
      </c>
      <c r="AK73" s="2">
        <v>435.83</v>
      </c>
      <c r="AL73" s="2">
        <v>262.60000000000002</v>
      </c>
      <c r="AM73" s="2">
        <v>0</v>
      </c>
      <c r="AN73" s="2">
        <v>0</v>
      </c>
      <c r="AO73" s="2">
        <v>173.23</v>
      </c>
      <c r="AP73" s="2">
        <v>0</v>
      </c>
      <c r="AQ73" s="2">
        <v>14.4</v>
      </c>
      <c r="AR73" s="2">
        <v>0</v>
      </c>
      <c r="AS73" s="2">
        <v>0</v>
      </c>
      <c r="AT73" s="2">
        <v>140</v>
      </c>
      <c r="AU73" s="2">
        <v>79</v>
      </c>
      <c r="AV73" s="2">
        <v>1</v>
      </c>
      <c r="AW73" s="2">
        <v>1</v>
      </c>
      <c r="AX73" s="2"/>
      <c r="AY73" s="2"/>
      <c r="AZ73" s="2">
        <v>1</v>
      </c>
      <c r="BA73" s="2">
        <v>1</v>
      </c>
      <c r="BB73" s="2">
        <v>1</v>
      </c>
      <c r="BC73" s="2">
        <v>1</v>
      </c>
      <c r="BD73" s="2" t="s">
        <v>3</v>
      </c>
      <c r="BE73" s="2" t="s">
        <v>3</v>
      </c>
      <c r="BF73" s="2" t="s">
        <v>3</v>
      </c>
      <c r="BG73" s="2" t="s">
        <v>3</v>
      </c>
      <c r="BH73" s="2">
        <v>0</v>
      </c>
      <c r="BI73" s="2">
        <v>1</v>
      </c>
      <c r="BJ73" s="2" t="s">
        <v>108</v>
      </c>
      <c r="BK73" s="2"/>
      <c r="BL73" s="2"/>
      <c r="BM73" s="2">
        <v>159</v>
      </c>
      <c r="BN73" s="2">
        <v>0</v>
      </c>
      <c r="BO73" s="2" t="s">
        <v>3</v>
      </c>
      <c r="BP73" s="2">
        <v>0</v>
      </c>
      <c r="BQ73" s="2">
        <v>30</v>
      </c>
      <c r="BR73" s="2">
        <v>0</v>
      </c>
      <c r="BS73" s="2">
        <v>1</v>
      </c>
      <c r="BT73" s="2">
        <v>1</v>
      </c>
      <c r="BU73" s="2">
        <v>1</v>
      </c>
      <c r="BV73" s="2">
        <v>1</v>
      </c>
      <c r="BW73" s="2">
        <v>1</v>
      </c>
      <c r="BX73" s="2">
        <v>1</v>
      </c>
      <c r="BY73" s="2" t="s">
        <v>3</v>
      </c>
      <c r="BZ73" s="2">
        <v>140</v>
      </c>
      <c r="CA73" s="2">
        <v>79</v>
      </c>
      <c r="CB73" s="2" t="s">
        <v>3</v>
      </c>
      <c r="CC73" s="2"/>
      <c r="CD73" s="2"/>
      <c r="CE73" s="2">
        <v>30</v>
      </c>
      <c r="CF73" s="2">
        <v>0</v>
      </c>
      <c r="CG73" s="2">
        <v>0</v>
      </c>
      <c r="CH73" s="2"/>
      <c r="CI73" s="2"/>
      <c r="CJ73" s="2"/>
      <c r="CK73" s="2"/>
      <c r="CL73" s="2"/>
      <c r="CM73" s="2">
        <v>0</v>
      </c>
      <c r="CN73" s="2" t="s">
        <v>1559</v>
      </c>
      <c r="CO73" s="2">
        <v>0</v>
      </c>
      <c r="CP73" s="2">
        <f t="shared" si="46"/>
        <v>60.959999999999994</v>
      </c>
      <c r="CQ73" s="2">
        <f t="shared" si="47"/>
        <v>262.60000000000002</v>
      </c>
      <c r="CR73" s="2">
        <f>(ROUND((ROUND((((ET73*1.25))*AV73*1),2)*BB73),2)+ROUND((ROUND(((AE73-((EU73*1.25)))*AV73*1),2)*BS73),2))</f>
        <v>0</v>
      </c>
      <c r="CS73" s="2">
        <f t="shared" si="48"/>
        <v>0</v>
      </c>
      <c r="CT73" s="2">
        <f t="shared" si="49"/>
        <v>199.21</v>
      </c>
      <c r="CU73" s="2">
        <f t="shared" si="50"/>
        <v>0</v>
      </c>
      <c r="CV73" s="2">
        <f t="shared" si="51"/>
        <v>16.559999999999999</v>
      </c>
      <c r="CW73" s="2">
        <f t="shared" si="52"/>
        <v>0</v>
      </c>
      <c r="CX73" s="2">
        <f t="shared" si="53"/>
        <v>0</v>
      </c>
      <c r="CY73" s="2">
        <f>((S73*BZ73)/100)</f>
        <v>36.82</v>
      </c>
      <c r="CZ73" s="2">
        <f>((S73*CA73)/100)</f>
        <v>20.777000000000001</v>
      </c>
      <c r="DA73" s="2"/>
      <c r="DB73" s="2"/>
      <c r="DC73" s="2" t="s">
        <v>3</v>
      </c>
      <c r="DD73" s="2" t="s">
        <v>3</v>
      </c>
      <c r="DE73" s="2" t="s">
        <v>86</v>
      </c>
      <c r="DF73" s="2" t="s">
        <v>86</v>
      </c>
      <c r="DG73" s="2" t="s">
        <v>87</v>
      </c>
      <c r="DH73" s="2" t="s">
        <v>3</v>
      </c>
      <c r="DI73" s="2" t="s">
        <v>87</v>
      </c>
      <c r="DJ73" s="2" t="s">
        <v>86</v>
      </c>
      <c r="DK73" s="2" t="s">
        <v>3</v>
      </c>
      <c r="DL73" s="2" t="s">
        <v>3</v>
      </c>
      <c r="DM73" s="2" t="s">
        <v>3</v>
      </c>
      <c r="DN73" s="2">
        <v>0</v>
      </c>
      <c r="DO73" s="2">
        <v>0</v>
      </c>
      <c r="DP73" s="2">
        <v>1</v>
      </c>
      <c r="DQ73" s="2">
        <v>1</v>
      </c>
      <c r="DR73" s="2"/>
      <c r="DS73" s="2"/>
      <c r="DT73" s="2"/>
      <c r="DU73" s="2">
        <v>1013</v>
      </c>
      <c r="DV73" s="2" t="s">
        <v>107</v>
      </c>
      <c r="DW73" s="2" t="s">
        <v>107</v>
      </c>
      <c r="DX73" s="2">
        <v>1</v>
      </c>
      <c r="DY73" s="2"/>
      <c r="DZ73" s="2" t="s">
        <v>3</v>
      </c>
      <c r="EA73" s="2" t="s">
        <v>3</v>
      </c>
      <c r="EB73" s="2" t="s">
        <v>3</v>
      </c>
      <c r="EC73" s="2" t="s">
        <v>3</v>
      </c>
      <c r="ED73" s="2"/>
      <c r="EE73" s="2">
        <v>126051620</v>
      </c>
      <c r="EF73" s="2">
        <v>30</v>
      </c>
      <c r="EG73" s="2" t="s">
        <v>23</v>
      </c>
      <c r="EH73" s="2">
        <v>0</v>
      </c>
      <c r="EI73" s="2" t="s">
        <v>3</v>
      </c>
      <c r="EJ73" s="2">
        <v>1</v>
      </c>
      <c r="EK73" s="2">
        <v>159</v>
      </c>
      <c r="EL73" s="2" t="s">
        <v>109</v>
      </c>
      <c r="EM73" s="2" t="s">
        <v>110</v>
      </c>
      <c r="EN73" s="2"/>
      <c r="EO73" s="2" t="s">
        <v>90</v>
      </c>
      <c r="EP73" s="2"/>
      <c r="EQ73" s="2">
        <v>131072</v>
      </c>
      <c r="ER73" s="2">
        <v>435.83</v>
      </c>
      <c r="ES73" s="2">
        <v>262.60000000000002</v>
      </c>
      <c r="ET73" s="2">
        <v>0</v>
      </c>
      <c r="EU73" s="2">
        <v>0</v>
      </c>
      <c r="EV73" s="2">
        <v>173.23</v>
      </c>
      <c r="EW73" s="2">
        <v>14.4</v>
      </c>
      <c r="EX73" s="2">
        <v>0</v>
      </c>
      <c r="EY73" s="2">
        <v>0</v>
      </c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>
        <v>0</v>
      </c>
      <c r="FR73" s="2">
        <f t="shared" si="54"/>
        <v>0</v>
      </c>
      <c r="FS73" s="2">
        <v>0</v>
      </c>
      <c r="FT73" s="2"/>
      <c r="FU73" s="2"/>
      <c r="FV73" s="2"/>
      <c r="FW73" s="2"/>
      <c r="FX73" s="2">
        <v>140</v>
      </c>
      <c r="FY73" s="2">
        <v>79</v>
      </c>
      <c r="FZ73" s="2"/>
      <c r="GA73" s="2" t="s">
        <v>3</v>
      </c>
      <c r="GB73" s="2"/>
      <c r="GC73" s="2"/>
      <c r="GD73" s="2">
        <v>0</v>
      </c>
      <c r="GE73" s="2"/>
      <c r="GF73" s="2">
        <v>-1444170893</v>
      </c>
      <c r="GG73" s="2">
        <v>2</v>
      </c>
      <c r="GH73" s="2">
        <v>1</v>
      </c>
      <c r="GI73" s="2">
        <v>-2</v>
      </c>
      <c r="GJ73" s="2">
        <v>0</v>
      </c>
      <c r="GK73" s="2">
        <f>ROUND(R73*(R12)/100,2)</f>
        <v>0</v>
      </c>
      <c r="GL73" s="2">
        <f t="shared" si="55"/>
        <v>0</v>
      </c>
      <c r="GM73" s="2">
        <f t="shared" si="56"/>
        <v>118.56</v>
      </c>
      <c r="GN73" s="2">
        <f t="shared" si="57"/>
        <v>118.56</v>
      </c>
      <c r="GO73" s="2">
        <f t="shared" si="58"/>
        <v>0</v>
      </c>
      <c r="GP73" s="2">
        <f t="shared" si="59"/>
        <v>0</v>
      </c>
      <c r="GQ73" s="2"/>
      <c r="GR73" s="2">
        <v>0</v>
      </c>
      <c r="GS73" s="2">
        <v>0</v>
      </c>
      <c r="GT73" s="2">
        <v>0</v>
      </c>
      <c r="GU73" s="2" t="s">
        <v>3</v>
      </c>
      <c r="GV73" s="2">
        <f t="shared" si="60"/>
        <v>0</v>
      </c>
      <c r="GW73" s="2">
        <v>1</v>
      </c>
      <c r="GX73" s="2">
        <f t="shared" si="61"/>
        <v>0</v>
      </c>
      <c r="GY73" s="2"/>
      <c r="GZ73" s="2"/>
      <c r="HA73" s="2">
        <v>0</v>
      </c>
      <c r="HB73" s="2">
        <v>0</v>
      </c>
      <c r="HC73" s="2">
        <f t="shared" si="62"/>
        <v>0</v>
      </c>
      <c r="HD73" s="2"/>
      <c r="HE73" s="2" t="s">
        <v>3</v>
      </c>
      <c r="HF73" s="2" t="s">
        <v>3</v>
      </c>
      <c r="HG73" s="2"/>
      <c r="HH73" s="2"/>
      <c r="HI73" s="2"/>
      <c r="HJ73" s="2"/>
      <c r="HK73" s="2"/>
      <c r="HL73" s="2"/>
      <c r="HM73" s="2" t="s">
        <v>3</v>
      </c>
      <c r="HN73" s="2" t="s">
        <v>3</v>
      </c>
      <c r="HO73" s="2" t="s">
        <v>3</v>
      </c>
      <c r="HP73" s="2" t="s">
        <v>3</v>
      </c>
      <c r="HQ73" s="2" t="s">
        <v>3</v>
      </c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  <c r="II73" s="2"/>
      <c r="IJ73" s="2"/>
      <c r="IK73" s="2">
        <v>0</v>
      </c>
      <c r="IL73" s="2"/>
      <c r="IM73" s="2"/>
      <c r="IN73" s="2"/>
      <c r="IO73" s="2"/>
      <c r="IP73" s="2"/>
      <c r="IQ73" s="2"/>
      <c r="IR73" s="2"/>
      <c r="IS73" s="2"/>
      <c r="IT73" s="2"/>
      <c r="IU73" s="2"/>
    </row>
    <row r="74" spans="1:255" x14ac:dyDescent="0.2">
      <c r="A74">
        <v>17</v>
      </c>
      <c r="B74">
        <v>1</v>
      </c>
      <c r="C74">
        <f>ROW(SmtRes!A44)</f>
        <v>44</v>
      </c>
      <c r="D74">
        <f>ROW(EtalonRes!A44)</f>
        <v>44</v>
      </c>
      <c r="E74" t="s">
        <v>104</v>
      </c>
      <c r="F74" t="s">
        <v>105</v>
      </c>
      <c r="G74" t="s">
        <v>106</v>
      </c>
      <c r="H74" t="s">
        <v>107</v>
      </c>
      <c r="I74">
        <v>0.13200000000000001</v>
      </c>
      <c r="J74">
        <v>0</v>
      </c>
      <c r="K74">
        <v>0.13200000000000001</v>
      </c>
      <c r="O74">
        <f t="shared" si="32"/>
        <v>1106.28</v>
      </c>
      <c r="P74">
        <f t="shared" si="33"/>
        <v>342.79</v>
      </c>
      <c r="Q74">
        <f>(ROUND((ROUND((((ET74*1.25))*AV74*I74),2)*BB74),2)+ROUND((ROUND(((AE74-((EU74*1.25)))*AV74*I74),2)*BS74),2))</f>
        <v>0</v>
      </c>
      <c r="R74">
        <f t="shared" si="34"/>
        <v>0</v>
      </c>
      <c r="S74">
        <f t="shared" si="35"/>
        <v>763.49</v>
      </c>
      <c r="T74">
        <f t="shared" si="36"/>
        <v>0</v>
      </c>
      <c r="U74">
        <f t="shared" si="37"/>
        <v>2.1859199999999999</v>
      </c>
      <c r="V74">
        <f t="shared" si="38"/>
        <v>0</v>
      </c>
      <c r="W74">
        <f t="shared" si="39"/>
        <v>0</v>
      </c>
      <c r="X74">
        <f t="shared" si="40"/>
        <v>878.01</v>
      </c>
      <c r="Y74">
        <f t="shared" si="41"/>
        <v>313.02999999999997</v>
      </c>
      <c r="AA74">
        <v>129761633</v>
      </c>
      <c r="AB74">
        <f t="shared" si="42"/>
        <v>461.81450000000001</v>
      </c>
      <c r="AC74">
        <f t="shared" si="43"/>
        <v>262.60000000000002</v>
      </c>
      <c r="AD74">
        <f>ROUND(((((ET74*1.25))-((EU74*1.25)))+AE74),6)</f>
        <v>0</v>
      </c>
      <c r="AE74">
        <f>ROUND(((EU74*1.25)),6)</f>
        <v>0</v>
      </c>
      <c r="AF74">
        <f>ROUND(((EV74*1.15)),6)</f>
        <v>199.21449999999999</v>
      </c>
      <c r="AG74">
        <f t="shared" si="44"/>
        <v>0</v>
      </c>
      <c r="AH74">
        <f>((EW74*1.15))</f>
        <v>16.559999999999999</v>
      </c>
      <c r="AI74">
        <f>((EX74*1.25))</f>
        <v>0</v>
      </c>
      <c r="AJ74">
        <f t="shared" si="45"/>
        <v>0</v>
      </c>
      <c r="AK74">
        <v>435.83</v>
      </c>
      <c r="AL74">
        <v>262.60000000000002</v>
      </c>
      <c r="AM74">
        <v>0</v>
      </c>
      <c r="AN74">
        <v>0</v>
      </c>
      <c r="AO74">
        <v>173.23</v>
      </c>
      <c r="AP74">
        <v>0</v>
      </c>
      <c r="AQ74">
        <v>14.4</v>
      </c>
      <c r="AR74">
        <v>0</v>
      </c>
      <c r="AS74">
        <v>0</v>
      </c>
      <c r="AT74">
        <v>115</v>
      </c>
      <c r="AU74">
        <v>41</v>
      </c>
      <c r="AV74">
        <v>1</v>
      </c>
      <c r="AW74">
        <v>1</v>
      </c>
      <c r="AZ74">
        <v>1</v>
      </c>
      <c r="BA74">
        <v>29.03</v>
      </c>
      <c r="BB74">
        <v>1</v>
      </c>
      <c r="BC74">
        <v>9.89</v>
      </c>
      <c r="BD74" t="s">
        <v>3</v>
      </c>
      <c r="BE74" t="s">
        <v>3</v>
      </c>
      <c r="BF74" t="s">
        <v>3</v>
      </c>
      <c r="BG74" t="s">
        <v>3</v>
      </c>
      <c r="BH74">
        <v>0</v>
      </c>
      <c r="BI74">
        <v>1</v>
      </c>
      <c r="BJ74" t="s">
        <v>108</v>
      </c>
      <c r="BM74">
        <v>159</v>
      </c>
      <c r="BN74">
        <v>0</v>
      </c>
      <c r="BO74" t="s">
        <v>105</v>
      </c>
      <c r="BP74">
        <v>1</v>
      </c>
      <c r="BQ74">
        <v>30</v>
      </c>
      <c r="BR74">
        <v>0</v>
      </c>
      <c r="BS74">
        <v>29.03</v>
      </c>
      <c r="BT74">
        <v>1</v>
      </c>
      <c r="BU74">
        <v>1</v>
      </c>
      <c r="BV74">
        <v>1</v>
      </c>
      <c r="BW74">
        <v>1</v>
      </c>
      <c r="BX74">
        <v>1</v>
      </c>
      <c r="BY74" t="s">
        <v>3</v>
      </c>
      <c r="BZ74">
        <v>115</v>
      </c>
      <c r="CA74">
        <v>41</v>
      </c>
      <c r="CB74" t="s">
        <v>3</v>
      </c>
      <c r="CE74">
        <v>30</v>
      </c>
      <c r="CF74">
        <v>0</v>
      </c>
      <c r="CG74">
        <v>0</v>
      </c>
      <c r="CM74">
        <v>0</v>
      </c>
      <c r="CN74" t="s">
        <v>1559</v>
      </c>
      <c r="CO74">
        <v>0</v>
      </c>
      <c r="CP74">
        <f t="shared" si="46"/>
        <v>1106.28</v>
      </c>
      <c r="CQ74">
        <f t="shared" si="47"/>
        <v>2597.11</v>
      </c>
      <c r="CR74">
        <f>(ROUND((ROUND((((ET74*1.25))*AV74*1),2)*BB74),2)+ROUND((ROUND(((AE74-((EU74*1.25)))*AV74*1),2)*BS74),2))</f>
        <v>0</v>
      </c>
      <c r="CS74">
        <f t="shared" si="48"/>
        <v>0</v>
      </c>
      <c r="CT74">
        <f t="shared" si="49"/>
        <v>5783.07</v>
      </c>
      <c r="CU74">
        <f t="shared" si="50"/>
        <v>0</v>
      </c>
      <c r="CV74">
        <f t="shared" si="51"/>
        <v>16.559999999999999</v>
      </c>
      <c r="CW74">
        <f t="shared" si="52"/>
        <v>0</v>
      </c>
      <c r="CX74">
        <f t="shared" si="53"/>
        <v>0</v>
      </c>
      <c r="CY74">
        <f>S74*(BZ74/100)</f>
        <v>878.01349999999991</v>
      </c>
      <c r="CZ74">
        <f>S74*(CA74/100)</f>
        <v>313.03089999999997</v>
      </c>
      <c r="DC74" t="s">
        <v>3</v>
      </c>
      <c r="DD74" t="s">
        <v>3</v>
      </c>
      <c r="DE74" t="s">
        <v>86</v>
      </c>
      <c r="DF74" t="s">
        <v>86</v>
      </c>
      <c r="DG74" t="s">
        <v>87</v>
      </c>
      <c r="DH74" t="s">
        <v>3</v>
      </c>
      <c r="DI74" t="s">
        <v>87</v>
      </c>
      <c r="DJ74" t="s">
        <v>86</v>
      </c>
      <c r="DK74" t="s">
        <v>3</v>
      </c>
      <c r="DL74" t="s">
        <v>3</v>
      </c>
      <c r="DM74" t="s">
        <v>3</v>
      </c>
      <c r="DN74">
        <v>140</v>
      </c>
      <c r="DO74">
        <v>79</v>
      </c>
      <c r="DP74">
        <v>1</v>
      </c>
      <c r="DQ74">
        <v>1</v>
      </c>
      <c r="DU74">
        <v>1013</v>
      </c>
      <c r="DV74" t="s">
        <v>107</v>
      </c>
      <c r="DW74" t="s">
        <v>107</v>
      </c>
      <c r="DX74">
        <v>1</v>
      </c>
      <c r="DZ74" t="s">
        <v>3</v>
      </c>
      <c r="EA74" t="s">
        <v>3</v>
      </c>
      <c r="EB74" t="s">
        <v>3</v>
      </c>
      <c r="EC74" t="s">
        <v>3</v>
      </c>
      <c r="EE74">
        <v>126051620</v>
      </c>
      <c r="EF74">
        <v>30</v>
      </c>
      <c r="EG74" t="s">
        <v>23</v>
      </c>
      <c r="EH74">
        <v>0</v>
      </c>
      <c r="EI74" t="s">
        <v>3</v>
      </c>
      <c r="EJ74">
        <v>1</v>
      </c>
      <c r="EK74">
        <v>159</v>
      </c>
      <c r="EL74" t="s">
        <v>109</v>
      </c>
      <c r="EM74" t="s">
        <v>110</v>
      </c>
      <c r="EO74" t="s">
        <v>90</v>
      </c>
      <c r="EQ74">
        <v>131072</v>
      </c>
      <c r="ER74">
        <v>435.83</v>
      </c>
      <c r="ES74">
        <v>262.60000000000002</v>
      </c>
      <c r="ET74">
        <v>0</v>
      </c>
      <c r="EU74">
        <v>0</v>
      </c>
      <c r="EV74">
        <v>173.23</v>
      </c>
      <c r="EW74">
        <v>14.4</v>
      </c>
      <c r="EX74">
        <v>0</v>
      </c>
      <c r="EY74">
        <v>0</v>
      </c>
      <c r="FQ74">
        <v>0</v>
      </c>
      <c r="FR74">
        <f t="shared" si="54"/>
        <v>0</v>
      </c>
      <c r="FS74">
        <v>0</v>
      </c>
      <c r="FX74">
        <v>140</v>
      </c>
      <c r="FY74">
        <v>79</v>
      </c>
      <c r="GA74" t="s">
        <v>3</v>
      </c>
      <c r="GD74">
        <v>0</v>
      </c>
      <c r="GF74">
        <v>-1444170893</v>
      </c>
      <c r="GG74">
        <v>2</v>
      </c>
      <c r="GH74">
        <v>1</v>
      </c>
      <c r="GI74">
        <v>2</v>
      </c>
      <c r="GJ74">
        <v>0</v>
      </c>
      <c r="GK74">
        <f>ROUND(R74*(S12)/100,2)</f>
        <v>0</v>
      </c>
      <c r="GL74">
        <f t="shared" si="55"/>
        <v>0</v>
      </c>
      <c r="GM74">
        <f t="shared" si="56"/>
        <v>2297.3200000000002</v>
      </c>
      <c r="GN74">
        <f t="shared" si="57"/>
        <v>2297.3200000000002</v>
      </c>
      <c r="GO74">
        <f t="shared" si="58"/>
        <v>0</v>
      </c>
      <c r="GP74">
        <f t="shared" si="59"/>
        <v>0</v>
      </c>
      <c r="GR74">
        <v>0</v>
      </c>
      <c r="GS74">
        <v>3</v>
      </c>
      <c r="GT74">
        <v>0</v>
      </c>
      <c r="GU74" t="s">
        <v>3</v>
      </c>
      <c r="GV74">
        <f t="shared" si="60"/>
        <v>0</v>
      </c>
      <c r="GW74">
        <v>1</v>
      </c>
      <c r="GX74">
        <f t="shared" si="61"/>
        <v>0</v>
      </c>
      <c r="HA74">
        <v>0</v>
      </c>
      <c r="HB74">
        <v>0</v>
      </c>
      <c r="HC74">
        <f t="shared" si="62"/>
        <v>0</v>
      </c>
      <c r="HE74" t="s">
        <v>3</v>
      </c>
      <c r="HF74" t="s">
        <v>3</v>
      </c>
      <c r="HM74" t="s">
        <v>3</v>
      </c>
      <c r="HN74" t="s">
        <v>3</v>
      </c>
      <c r="HO74" t="s">
        <v>3</v>
      </c>
      <c r="HP74" t="s">
        <v>3</v>
      </c>
      <c r="HQ74" t="s">
        <v>3</v>
      </c>
      <c r="IK74">
        <v>0</v>
      </c>
    </row>
    <row r="75" spans="1:255" x14ac:dyDescent="0.2">
      <c r="A75" s="2">
        <v>18</v>
      </c>
      <c r="B75" s="2">
        <v>1</v>
      </c>
      <c r="C75" s="2">
        <v>40</v>
      </c>
      <c r="D75" s="2"/>
      <c r="E75" s="2" t="s">
        <v>111</v>
      </c>
      <c r="F75" s="2" t="s">
        <v>112</v>
      </c>
      <c r="G75" s="2" t="s">
        <v>113</v>
      </c>
      <c r="H75" s="2" t="s">
        <v>114</v>
      </c>
      <c r="I75" s="2">
        <f>I73*J75</f>
        <v>0.94247999999999998</v>
      </c>
      <c r="J75" s="2">
        <v>7.14</v>
      </c>
      <c r="K75" s="2">
        <v>7.14</v>
      </c>
      <c r="L75" s="2"/>
      <c r="M75" s="2"/>
      <c r="N75" s="2"/>
      <c r="O75" s="2">
        <f t="shared" si="32"/>
        <v>299.04000000000002</v>
      </c>
      <c r="P75" s="2">
        <f t="shared" si="33"/>
        <v>299.04000000000002</v>
      </c>
      <c r="Q75" s="2">
        <f>(ROUND((ROUND(((ET75)*AV75*I75),2)*BB75),2)+ROUND((ROUND(((AE75-(EU75))*AV75*I75),2)*BS75),2))</f>
        <v>0</v>
      </c>
      <c r="R75" s="2">
        <f t="shared" si="34"/>
        <v>0</v>
      </c>
      <c r="S75" s="2">
        <f t="shared" si="35"/>
        <v>0</v>
      </c>
      <c r="T75" s="2">
        <f t="shared" si="36"/>
        <v>0</v>
      </c>
      <c r="U75" s="2">
        <f t="shared" si="37"/>
        <v>0</v>
      </c>
      <c r="V75" s="2">
        <f t="shared" si="38"/>
        <v>0</v>
      </c>
      <c r="W75" s="2">
        <f t="shared" si="39"/>
        <v>0</v>
      </c>
      <c r="X75" s="2">
        <f t="shared" si="40"/>
        <v>0</v>
      </c>
      <c r="Y75" s="2">
        <f t="shared" si="41"/>
        <v>0</v>
      </c>
      <c r="Z75" s="2"/>
      <c r="AA75" s="2">
        <v>129761636</v>
      </c>
      <c r="AB75" s="2">
        <f t="shared" si="42"/>
        <v>317.29000000000002</v>
      </c>
      <c r="AC75" s="2">
        <f t="shared" si="43"/>
        <v>317.29000000000002</v>
      </c>
      <c r="AD75" s="2">
        <f>ROUND((((ET75)-(EU75))+AE75),6)</f>
        <v>0</v>
      </c>
      <c r="AE75" s="2">
        <f>ROUND((EU75),6)</f>
        <v>0</v>
      </c>
      <c r="AF75" s="2">
        <f>ROUND((EV75),6)</f>
        <v>0</v>
      </c>
      <c r="AG75" s="2">
        <f t="shared" si="44"/>
        <v>0</v>
      </c>
      <c r="AH75" s="2">
        <f>(EW75)</f>
        <v>0</v>
      </c>
      <c r="AI75" s="2">
        <f>(EX75)</f>
        <v>0</v>
      </c>
      <c r="AJ75" s="2">
        <f t="shared" si="45"/>
        <v>0</v>
      </c>
      <c r="AK75" s="2">
        <v>317.29000000000002</v>
      </c>
      <c r="AL75" s="2">
        <v>317.29000000000002</v>
      </c>
      <c r="AM75" s="2">
        <v>0</v>
      </c>
      <c r="AN75" s="2">
        <v>0</v>
      </c>
      <c r="AO75" s="2">
        <v>0</v>
      </c>
      <c r="AP75" s="2">
        <v>0</v>
      </c>
      <c r="AQ75" s="2">
        <v>0</v>
      </c>
      <c r="AR75" s="2">
        <v>0</v>
      </c>
      <c r="AS75" s="2">
        <v>0</v>
      </c>
      <c r="AT75" s="2">
        <v>140</v>
      </c>
      <c r="AU75" s="2">
        <v>79</v>
      </c>
      <c r="AV75" s="2">
        <v>1</v>
      </c>
      <c r="AW75" s="2">
        <v>1</v>
      </c>
      <c r="AX75" s="2"/>
      <c r="AY75" s="2"/>
      <c r="AZ75" s="2">
        <v>1</v>
      </c>
      <c r="BA75" s="2">
        <v>1</v>
      </c>
      <c r="BB75" s="2">
        <v>1</v>
      </c>
      <c r="BC75" s="2">
        <v>1</v>
      </c>
      <c r="BD75" s="2" t="s">
        <v>3</v>
      </c>
      <c r="BE75" s="2" t="s">
        <v>3</v>
      </c>
      <c r="BF75" s="2" t="s">
        <v>3</v>
      </c>
      <c r="BG75" s="2" t="s">
        <v>3</v>
      </c>
      <c r="BH75" s="2">
        <v>3</v>
      </c>
      <c r="BI75" s="2">
        <v>1</v>
      </c>
      <c r="BJ75" s="2" t="s">
        <v>115</v>
      </c>
      <c r="BK75" s="2"/>
      <c r="BL75" s="2"/>
      <c r="BM75" s="2">
        <v>159</v>
      </c>
      <c r="BN75" s="2">
        <v>0</v>
      </c>
      <c r="BO75" s="2" t="s">
        <v>3</v>
      </c>
      <c r="BP75" s="2">
        <v>0</v>
      </c>
      <c r="BQ75" s="2">
        <v>30</v>
      </c>
      <c r="BR75" s="2">
        <v>0</v>
      </c>
      <c r="BS75" s="2">
        <v>1</v>
      </c>
      <c r="BT75" s="2">
        <v>1</v>
      </c>
      <c r="BU75" s="2">
        <v>1</v>
      </c>
      <c r="BV75" s="2">
        <v>1</v>
      </c>
      <c r="BW75" s="2">
        <v>1</v>
      </c>
      <c r="BX75" s="2">
        <v>1</v>
      </c>
      <c r="BY75" s="2" t="s">
        <v>3</v>
      </c>
      <c r="BZ75" s="2">
        <v>140</v>
      </c>
      <c r="CA75" s="2">
        <v>79</v>
      </c>
      <c r="CB75" s="2" t="s">
        <v>3</v>
      </c>
      <c r="CC75" s="2"/>
      <c r="CD75" s="2"/>
      <c r="CE75" s="2">
        <v>30</v>
      </c>
      <c r="CF75" s="2">
        <v>0</v>
      </c>
      <c r="CG75" s="2">
        <v>0</v>
      </c>
      <c r="CH75" s="2"/>
      <c r="CI75" s="2"/>
      <c r="CJ75" s="2"/>
      <c r="CK75" s="2"/>
      <c r="CL75" s="2"/>
      <c r="CM75" s="2">
        <v>0</v>
      </c>
      <c r="CN75" s="2" t="s">
        <v>3</v>
      </c>
      <c r="CO75" s="2">
        <v>0</v>
      </c>
      <c r="CP75" s="2">
        <f t="shared" si="46"/>
        <v>299.04000000000002</v>
      </c>
      <c r="CQ75" s="2">
        <f t="shared" si="47"/>
        <v>317.29000000000002</v>
      </c>
      <c r="CR75" s="2">
        <f>(ROUND((ROUND(((ET75)*AV75*1),2)*BB75),2)+ROUND((ROUND(((AE75-(EU75))*AV75*1),2)*BS75),2))</f>
        <v>0</v>
      </c>
      <c r="CS75" s="2">
        <f t="shared" si="48"/>
        <v>0</v>
      </c>
      <c r="CT75" s="2">
        <f t="shared" si="49"/>
        <v>0</v>
      </c>
      <c r="CU75" s="2">
        <f t="shared" si="50"/>
        <v>0</v>
      </c>
      <c r="CV75" s="2">
        <f t="shared" si="51"/>
        <v>0</v>
      </c>
      <c r="CW75" s="2">
        <f t="shared" si="52"/>
        <v>0</v>
      </c>
      <c r="CX75" s="2">
        <f t="shared" si="53"/>
        <v>0</v>
      </c>
      <c r="CY75" s="2">
        <f>((S75*BZ75)/100)</f>
        <v>0</v>
      </c>
      <c r="CZ75" s="2">
        <f>((S75*CA75)/100)</f>
        <v>0</v>
      </c>
      <c r="DA75" s="2"/>
      <c r="DB75" s="2"/>
      <c r="DC75" s="2" t="s">
        <v>3</v>
      </c>
      <c r="DD75" s="2" t="s">
        <v>3</v>
      </c>
      <c r="DE75" s="2" t="s">
        <v>3</v>
      </c>
      <c r="DF75" s="2" t="s">
        <v>3</v>
      </c>
      <c r="DG75" s="2" t="s">
        <v>3</v>
      </c>
      <c r="DH75" s="2" t="s">
        <v>3</v>
      </c>
      <c r="DI75" s="2" t="s">
        <v>3</v>
      </c>
      <c r="DJ75" s="2" t="s">
        <v>3</v>
      </c>
      <c r="DK75" s="2" t="s">
        <v>3</v>
      </c>
      <c r="DL75" s="2" t="s">
        <v>3</v>
      </c>
      <c r="DM75" s="2" t="s">
        <v>3</v>
      </c>
      <c r="DN75" s="2">
        <v>0</v>
      </c>
      <c r="DO75" s="2">
        <v>0</v>
      </c>
      <c r="DP75" s="2">
        <v>1</v>
      </c>
      <c r="DQ75" s="2">
        <v>1</v>
      </c>
      <c r="DR75" s="2"/>
      <c r="DS75" s="2"/>
      <c r="DT75" s="2"/>
      <c r="DU75" s="2">
        <v>1009</v>
      </c>
      <c r="DV75" s="2" t="s">
        <v>114</v>
      </c>
      <c r="DW75" s="2" t="s">
        <v>114</v>
      </c>
      <c r="DX75" s="2">
        <v>1000</v>
      </c>
      <c r="DY75" s="2"/>
      <c r="DZ75" s="2" t="s">
        <v>3</v>
      </c>
      <c r="EA75" s="2" t="s">
        <v>3</v>
      </c>
      <c r="EB75" s="2" t="s">
        <v>3</v>
      </c>
      <c r="EC75" s="2" t="s">
        <v>3</v>
      </c>
      <c r="ED75" s="2"/>
      <c r="EE75" s="2">
        <v>126051620</v>
      </c>
      <c r="EF75" s="2">
        <v>30</v>
      </c>
      <c r="EG75" s="2" t="s">
        <v>23</v>
      </c>
      <c r="EH75" s="2">
        <v>0</v>
      </c>
      <c r="EI75" s="2" t="s">
        <v>3</v>
      </c>
      <c r="EJ75" s="2">
        <v>1</v>
      </c>
      <c r="EK75" s="2">
        <v>159</v>
      </c>
      <c r="EL75" s="2" t="s">
        <v>109</v>
      </c>
      <c r="EM75" s="2" t="s">
        <v>110</v>
      </c>
      <c r="EN75" s="2"/>
      <c r="EO75" s="2" t="s">
        <v>3</v>
      </c>
      <c r="EP75" s="2"/>
      <c r="EQ75" s="2">
        <v>0</v>
      </c>
      <c r="ER75" s="2">
        <v>317.29000000000002</v>
      </c>
      <c r="ES75" s="2">
        <v>317.29000000000002</v>
      </c>
      <c r="ET75" s="2">
        <v>0</v>
      </c>
      <c r="EU75" s="2">
        <v>0</v>
      </c>
      <c r="EV75" s="2">
        <v>0</v>
      </c>
      <c r="EW75" s="2">
        <v>0</v>
      </c>
      <c r="EX75" s="2">
        <v>0</v>
      </c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>
        <v>0</v>
      </c>
      <c r="FR75" s="2">
        <f t="shared" si="54"/>
        <v>0</v>
      </c>
      <c r="FS75" s="2">
        <v>0</v>
      </c>
      <c r="FT75" s="2"/>
      <c r="FU75" s="2"/>
      <c r="FV75" s="2"/>
      <c r="FW75" s="2"/>
      <c r="FX75" s="2">
        <v>140</v>
      </c>
      <c r="FY75" s="2">
        <v>79</v>
      </c>
      <c r="FZ75" s="2"/>
      <c r="GA75" s="2" t="s">
        <v>3</v>
      </c>
      <c r="GB75" s="2"/>
      <c r="GC75" s="2"/>
      <c r="GD75" s="2">
        <v>0</v>
      </c>
      <c r="GE75" s="2"/>
      <c r="GF75" s="2">
        <v>164969463</v>
      </c>
      <c r="GG75" s="2">
        <v>2</v>
      </c>
      <c r="GH75" s="2">
        <v>1</v>
      </c>
      <c r="GI75" s="2">
        <v>-2</v>
      </c>
      <c r="GJ75" s="2">
        <v>0</v>
      </c>
      <c r="GK75" s="2">
        <f>ROUND(R75*(R12)/100,2)</f>
        <v>0</v>
      </c>
      <c r="GL75" s="2">
        <f t="shared" si="55"/>
        <v>0</v>
      </c>
      <c r="GM75" s="2">
        <f t="shared" si="56"/>
        <v>299.04000000000002</v>
      </c>
      <c r="GN75" s="2">
        <f t="shared" si="57"/>
        <v>299.04000000000002</v>
      </c>
      <c r="GO75" s="2">
        <f t="shared" si="58"/>
        <v>0</v>
      </c>
      <c r="GP75" s="2">
        <f t="shared" si="59"/>
        <v>0</v>
      </c>
      <c r="GQ75" s="2"/>
      <c r="GR75" s="2">
        <v>0</v>
      </c>
      <c r="GS75" s="2">
        <v>0</v>
      </c>
      <c r="GT75" s="2">
        <v>0</v>
      </c>
      <c r="GU75" s="2" t="s">
        <v>3</v>
      </c>
      <c r="GV75" s="2">
        <f t="shared" si="60"/>
        <v>0</v>
      </c>
      <c r="GW75" s="2">
        <v>1</v>
      </c>
      <c r="GX75" s="2">
        <f t="shared" si="61"/>
        <v>0</v>
      </c>
      <c r="GY75" s="2"/>
      <c r="GZ75" s="2"/>
      <c r="HA75" s="2">
        <v>0</v>
      </c>
      <c r="HB75" s="2">
        <v>0</v>
      </c>
      <c r="HC75" s="2">
        <f t="shared" si="62"/>
        <v>0</v>
      </c>
      <c r="HD75" s="2"/>
      <c r="HE75" s="2" t="s">
        <v>3</v>
      </c>
      <c r="HF75" s="2" t="s">
        <v>3</v>
      </c>
      <c r="HG75" s="2"/>
      <c r="HH75" s="2"/>
      <c r="HI75" s="2"/>
      <c r="HJ75" s="2"/>
      <c r="HK75" s="2"/>
      <c r="HL75" s="2"/>
      <c r="HM75" s="2" t="s">
        <v>3</v>
      </c>
      <c r="HN75" s="2" t="s">
        <v>3</v>
      </c>
      <c r="HO75" s="2" t="s">
        <v>3</v>
      </c>
      <c r="HP75" s="2" t="s">
        <v>3</v>
      </c>
      <c r="HQ75" s="2" t="s">
        <v>3</v>
      </c>
      <c r="HR75" s="2"/>
      <c r="HS75" s="2"/>
      <c r="HT75" s="2"/>
      <c r="HU75" s="2"/>
      <c r="HV75" s="2"/>
      <c r="HW75" s="2"/>
      <c r="HX75" s="2"/>
      <c r="HY75" s="2"/>
      <c r="HZ75" s="2"/>
      <c r="IA75" s="2"/>
      <c r="IB75" s="2"/>
      <c r="IC75" s="2"/>
      <c r="ID75" s="2"/>
      <c r="IE75" s="2"/>
      <c r="IF75" s="2"/>
      <c r="IG75" s="2"/>
      <c r="IH75" s="2"/>
      <c r="II75" s="2"/>
      <c r="IJ75" s="2"/>
      <c r="IK75" s="2">
        <v>0</v>
      </c>
      <c r="IL75" s="2"/>
      <c r="IM75" s="2"/>
      <c r="IN75" s="2"/>
      <c r="IO75" s="2"/>
      <c r="IP75" s="2"/>
      <c r="IQ75" s="2"/>
      <c r="IR75" s="2"/>
      <c r="IS75" s="2"/>
      <c r="IT75" s="2"/>
      <c r="IU75" s="2"/>
    </row>
    <row r="76" spans="1:255" x14ac:dyDescent="0.2">
      <c r="A76">
        <v>18</v>
      </c>
      <c r="B76">
        <v>1</v>
      </c>
      <c r="C76">
        <v>44</v>
      </c>
      <c r="E76" t="s">
        <v>111</v>
      </c>
      <c r="F76" t="s">
        <v>112</v>
      </c>
      <c r="G76" t="s">
        <v>113</v>
      </c>
      <c r="H76" t="s">
        <v>114</v>
      </c>
      <c r="I76">
        <f>I74*J76</f>
        <v>0.94247999999999998</v>
      </c>
      <c r="J76">
        <v>7.14</v>
      </c>
      <c r="K76">
        <v>7.14</v>
      </c>
      <c r="O76">
        <f t="shared" si="32"/>
        <v>3555.59</v>
      </c>
      <c r="P76">
        <f t="shared" si="33"/>
        <v>3555.59</v>
      </c>
      <c r="Q76">
        <f>(ROUND((ROUND(((ET76)*AV76*I76),2)*BB76),2)+ROUND((ROUND(((AE76-(EU76))*AV76*I76),2)*BS76),2))</f>
        <v>0</v>
      </c>
      <c r="R76">
        <f t="shared" si="34"/>
        <v>0</v>
      </c>
      <c r="S76">
        <f t="shared" si="35"/>
        <v>0</v>
      </c>
      <c r="T76">
        <f t="shared" si="36"/>
        <v>0</v>
      </c>
      <c r="U76">
        <f t="shared" si="37"/>
        <v>0</v>
      </c>
      <c r="V76">
        <f t="shared" si="38"/>
        <v>0</v>
      </c>
      <c r="W76">
        <f t="shared" si="39"/>
        <v>0</v>
      </c>
      <c r="X76">
        <f t="shared" si="40"/>
        <v>0</v>
      </c>
      <c r="Y76">
        <f t="shared" si="41"/>
        <v>0</v>
      </c>
      <c r="AA76">
        <v>129761633</v>
      </c>
      <c r="AB76">
        <f t="shared" si="42"/>
        <v>317.29000000000002</v>
      </c>
      <c r="AC76">
        <f t="shared" si="43"/>
        <v>317.29000000000002</v>
      </c>
      <c r="AD76">
        <f>ROUND((((ET76)-(EU76))+AE76),6)</f>
        <v>0</v>
      </c>
      <c r="AE76">
        <f>ROUND((EU76),6)</f>
        <v>0</v>
      </c>
      <c r="AF76">
        <f>ROUND((EV76),6)</f>
        <v>0</v>
      </c>
      <c r="AG76">
        <f t="shared" si="44"/>
        <v>0</v>
      </c>
      <c r="AH76">
        <f>(EW76)</f>
        <v>0</v>
      </c>
      <c r="AI76">
        <f>(EX76)</f>
        <v>0</v>
      </c>
      <c r="AJ76">
        <f t="shared" si="45"/>
        <v>0</v>
      </c>
      <c r="AK76">
        <v>317.29000000000002</v>
      </c>
      <c r="AL76">
        <v>317.29000000000002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1</v>
      </c>
      <c r="AW76">
        <v>1</v>
      </c>
      <c r="AZ76">
        <v>1</v>
      </c>
      <c r="BA76">
        <v>1</v>
      </c>
      <c r="BB76">
        <v>1</v>
      </c>
      <c r="BC76">
        <v>11.89</v>
      </c>
      <c r="BD76" t="s">
        <v>3</v>
      </c>
      <c r="BE76" t="s">
        <v>3</v>
      </c>
      <c r="BF76" t="s">
        <v>3</v>
      </c>
      <c r="BG76" t="s">
        <v>3</v>
      </c>
      <c r="BH76">
        <v>3</v>
      </c>
      <c r="BI76">
        <v>1</v>
      </c>
      <c r="BJ76" t="s">
        <v>115</v>
      </c>
      <c r="BM76">
        <v>159</v>
      </c>
      <c r="BN76">
        <v>0</v>
      </c>
      <c r="BO76" t="s">
        <v>112</v>
      </c>
      <c r="BP76">
        <v>1</v>
      </c>
      <c r="BQ76">
        <v>30</v>
      </c>
      <c r="BR76">
        <v>0</v>
      </c>
      <c r="BS76">
        <v>1</v>
      </c>
      <c r="BT76">
        <v>1</v>
      </c>
      <c r="BU76">
        <v>1</v>
      </c>
      <c r="BV76">
        <v>1</v>
      </c>
      <c r="BW76">
        <v>1</v>
      </c>
      <c r="BX76">
        <v>1</v>
      </c>
      <c r="BY76" t="s">
        <v>3</v>
      </c>
      <c r="BZ76">
        <v>0</v>
      </c>
      <c r="CA76">
        <v>0</v>
      </c>
      <c r="CB76" t="s">
        <v>3</v>
      </c>
      <c r="CE76">
        <v>30</v>
      </c>
      <c r="CF76">
        <v>0</v>
      </c>
      <c r="CG76">
        <v>0</v>
      </c>
      <c r="CM76">
        <v>0</v>
      </c>
      <c r="CN76" t="s">
        <v>3</v>
      </c>
      <c r="CO76">
        <v>0</v>
      </c>
      <c r="CP76">
        <f t="shared" si="46"/>
        <v>3555.59</v>
      </c>
      <c r="CQ76">
        <f t="shared" si="47"/>
        <v>3772.58</v>
      </c>
      <c r="CR76">
        <f>(ROUND((ROUND(((ET76)*AV76*1),2)*BB76),2)+ROUND((ROUND(((AE76-(EU76))*AV76*1),2)*BS76),2))</f>
        <v>0</v>
      </c>
      <c r="CS76">
        <f t="shared" si="48"/>
        <v>0</v>
      </c>
      <c r="CT76">
        <f t="shared" si="49"/>
        <v>0</v>
      </c>
      <c r="CU76">
        <f t="shared" si="50"/>
        <v>0</v>
      </c>
      <c r="CV76">
        <f t="shared" si="51"/>
        <v>0</v>
      </c>
      <c r="CW76">
        <f t="shared" si="52"/>
        <v>0</v>
      </c>
      <c r="CX76">
        <f t="shared" si="53"/>
        <v>0</v>
      </c>
      <c r="CY76">
        <f>S76*(BZ76/100)</f>
        <v>0</v>
      </c>
      <c r="CZ76">
        <f>S76*(CA76/100)</f>
        <v>0</v>
      </c>
      <c r="DC76" t="s">
        <v>3</v>
      </c>
      <c r="DD76" t="s">
        <v>3</v>
      </c>
      <c r="DE76" t="s">
        <v>3</v>
      </c>
      <c r="DF76" t="s">
        <v>3</v>
      </c>
      <c r="DG76" t="s">
        <v>3</v>
      </c>
      <c r="DH76" t="s">
        <v>3</v>
      </c>
      <c r="DI76" t="s">
        <v>3</v>
      </c>
      <c r="DJ76" t="s">
        <v>3</v>
      </c>
      <c r="DK76" t="s">
        <v>3</v>
      </c>
      <c r="DL76" t="s">
        <v>3</v>
      </c>
      <c r="DM76" t="s">
        <v>3</v>
      </c>
      <c r="DN76">
        <v>140</v>
      </c>
      <c r="DO76">
        <v>79</v>
      </c>
      <c r="DP76">
        <v>1</v>
      </c>
      <c r="DQ76">
        <v>1</v>
      </c>
      <c r="DU76">
        <v>1009</v>
      </c>
      <c r="DV76" t="s">
        <v>114</v>
      </c>
      <c r="DW76" t="s">
        <v>114</v>
      </c>
      <c r="DX76">
        <v>1000</v>
      </c>
      <c r="DZ76" t="s">
        <v>3</v>
      </c>
      <c r="EA76" t="s">
        <v>3</v>
      </c>
      <c r="EB76" t="s">
        <v>3</v>
      </c>
      <c r="EC76" t="s">
        <v>3</v>
      </c>
      <c r="EE76">
        <v>126051620</v>
      </c>
      <c r="EF76">
        <v>30</v>
      </c>
      <c r="EG76" t="s">
        <v>23</v>
      </c>
      <c r="EH76">
        <v>0</v>
      </c>
      <c r="EI76" t="s">
        <v>3</v>
      </c>
      <c r="EJ76">
        <v>1</v>
      </c>
      <c r="EK76">
        <v>159</v>
      </c>
      <c r="EL76" t="s">
        <v>109</v>
      </c>
      <c r="EM76" t="s">
        <v>110</v>
      </c>
      <c r="EO76" t="s">
        <v>3</v>
      </c>
      <c r="EQ76">
        <v>0</v>
      </c>
      <c r="ER76">
        <v>317.29000000000002</v>
      </c>
      <c r="ES76">
        <v>317.29000000000002</v>
      </c>
      <c r="ET76">
        <v>0</v>
      </c>
      <c r="EU76">
        <v>0</v>
      </c>
      <c r="EV76">
        <v>0</v>
      </c>
      <c r="EW76">
        <v>0</v>
      </c>
      <c r="EX76">
        <v>0</v>
      </c>
      <c r="FQ76">
        <v>0</v>
      </c>
      <c r="FR76">
        <f t="shared" si="54"/>
        <v>0</v>
      </c>
      <c r="FS76">
        <v>0</v>
      </c>
      <c r="FX76">
        <v>140</v>
      </c>
      <c r="FY76">
        <v>79</v>
      </c>
      <c r="GA76" t="s">
        <v>3</v>
      </c>
      <c r="GD76">
        <v>0</v>
      </c>
      <c r="GF76">
        <v>164969463</v>
      </c>
      <c r="GG76">
        <v>2</v>
      </c>
      <c r="GH76">
        <v>1</v>
      </c>
      <c r="GI76">
        <v>2</v>
      </c>
      <c r="GJ76">
        <v>0</v>
      </c>
      <c r="GK76">
        <f>ROUND(R76*(S12)/100,2)</f>
        <v>0</v>
      </c>
      <c r="GL76">
        <f t="shared" si="55"/>
        <v>0</v>
      </c>
      <c r="GM76">
        <f t="shared" si="56"/>
        <v>3555.59</v>
      </c>
      <c r="GN76">
        <f t="shared" si="57"/>
        <v>3555.59</v>
      </c>
      <c r="GO76">
        <f t="shared" si="58"/>
        <v>0</v>
      </c>
      <c r="GP76">
        <f t="shared" si="59"/>
        <v>0</v>
      </c>
      <c r="GR76">
        <v>0</v>
      </c>
      <c r="GS76">
        <v>3</v>
      </c>
      <c r="GT76">
        <v>0</v>
      </c>
      <c r="GU76" t="s">
        <v>3</v>
      </c>
      <c r="GV76">
        <f t="shared" si="60"/>
        <v>0</v>
      </c>
      <c r="GW76">
        <v>1</v>
      </c>
      <c r="GX76">
        <f t="shared" si="61"/>
        <v>0</v>
      </c>
      <c r="HA76">
        <v>0</v>
      </c>
      <c r="HB76">
        <v>0</v>
      </c>
      <c r="HC76">
        <f t="shared" si="62"/>
        <v>0</v>
      </c>
      <c r="HE76" t="s">
        <v>3</v>
      </c>
      <c r="HF76" t="s">
        <v>3</v>
      </c>
      <c r="HM76" t="s">
        <v>3</v>
      </c>
      <c r="HN76" t="s">
        <v>3</v>
      </c>
      <c r="HO76" t="s">
        <v>3</v>
      </c>
      <c r="HP76" t="s">
        <v>3</v>
      </c>
      <c r="HQ76" t="s">
        <v>3</v>
      </c>
      <c r="IK76">
        <v>0</v>
      </c>
    </row>
    <row r="77" spans="1:255" x14ac:dyDescent="0.2">
      <c r="A77" s="2">
        <v>17</v>
      </c>
      <c r="B77" s="2">
        <v>1</v>
      </c>
      <c r="C77" s="2">
        <f>ROW(SmtRes!A46)</f>
        <v>46</v>
      </c>
      <c r="D77" s="2">
        <f>ROW(EtalonRes!A46)</f>
        <v>46</v>
      </c>
      <c r="E77" s="2" t="s">
        <v>116</v>
      </c>
      <c r="F77" s="2" t="s">
        <v>117</v>
      </c>
      <c r="G77" s="2" t="s">
        <v>118</v>
      </c>
      <c r="H77" s="2" t="s">
        <v>107</v>
      </c>
      <c r="I77" s="2">
        <v>0.13400000000000001</v>
      </c>
      <c r="J77" s="2">
        <v>0</v>
      </c>
      <c r="K77" s="2">
        <v>0.13400000000000001</v>
      </c>
      <c r="L77" s="2"/>
      <c r="M77" s="2"/>
      <c r="N77" s="2"/>
      <c r="O77" s="2">
        <f t="shared" si="32"/>
        <v>38.71</v>
      </c>
      <c r="P77" s="2">
        <f t="shared" si="33"/>
        <v>0</v>
      </c>
      <c r="Q77" s="2">
        <f>(ROUND((ROUND(((((ET77*1.25)*9))*AV77*I77),2)*BB77),2)+ROUND((ROUND(((AE77-(((EU77*1.25)*9)))*AV77*I77),2)*BS77),2))</f>
        <v>0</v>
      </c>
      <c r="R77" s="2">
        <f t="shared" si="34"/>
        <v>0</v>
      </c>
      <c r="S77" s="2">
        <f t="shared" si="35"/>
        <v>38.71</v>
      </c>
      <c r="T77" s="2">
        <f t="shared" si="36"/>
        <v>0</v>
      </c>
      <c r="U77" s="2">
        <f t="shared" si="37"/>
        <v>3.2176079999999998</v>
      </c>
      <c r="V77" s="2">
        <f t="shared" si="38"/>
        <v>0</v>
      </c>
      <c r="W77" s="2">
        <f t="shared" si="39"/>
        <v>0</v>
      </c>
      <c r="X77" s="2">
        <f t="shared" si="40"/>
        <v>54.19</v>
      </c>
      <c r="Y77" s="2">
        <f t="shared" si="41"/>
        <v>30.58</v>
      </c>
      <c r="Z77" s="2"/>
      <c r="AA77" s="2">
        <v>129761636</v>
      </c>
      <c r="AB77" s="2">
        <f t="shared" si="42"/>
        <v>288.86849999999998</v>
      </c>
      <c r="AC77" s="2">
        <f>ROUND(((ES77*9)),6)</f>
        <v>0</v>
      </c>
      <c r="AD77" s="2">
        <f>ROUND((((((ET77*1.25)*9))-(((EU77*1.25)*9)))+AE77),6)</f>
        <v>0</v>
      </c>
      <c r="AE77" s="2">
        <f>ROUND((((EU77*1.25)*9)),6)</f>
        <v>0</v>
      </c>
      <c r="AF77" s="2">
        <f>ROUND((((EV77*1.15)*9)),6)</f>
        <v>288.86849999999998</v>
      </c>
      <c r="AG77" s="2">
        <f t="shared" si="44"/>
        <v>0</v>
      </c>
      <c r="AH77" s="2">
        <f>(((EW77*1.15)*9))</f>
        <v>24.011999999999997</v>
      </c>
      <c r="AI77" s="2">
        <f>(((EX77*1.25)*9))</f>
        <v>0</v>
      </c>
      <c r="AJ77" s="2">
        <f t="shared" si="45"/>
        <v>0</v>
      </c>
      <c r="AK77" s="2">
        <v>27.91</v>
      </c>
      <c r="AL77" s="2">
        <v>0</v>
      </c>
      <c r="AM77" s="2">
        <v>0</v>
      </c>
      <c r="AN77" s="2">
        <v>0</v>
      </c>
      <c r="AO77" s="2">
        <v>27.91</v>
      </c>
      <c r="AP77" s="2">
        <v>0</v>
      </c>
      <c r="AQ77" s="2">
        <v>2.3199999999999998</v>
      </c>
      <c r="AR77" s="2">
        <v>0</v>
      </c>
      <c r="AS77" s="2">
        <v>0</v>
      </c>
      <c r="AT77" s="2">
        <v>140</v>
      </c>
      <c r="AU77" s="2">
        <v>79</v>
      </c>
      <c r="AV77" s="2">
        <v>1</v>
      </c>
      <c r="AW77" s="2">
        <v>1</v>
      </c>
      <c r="AX77" s="2"/>
      <c r="AY77" s="2"/>
      <c r="AZ77" s="2">
        <v>1</v>
      </c>
      <c r="BA77" s="2">
        <v>1</v>
      </c>
      <c r="BB77" s="2">
        <v>1</v>
      </c>
      <c r="BC77" s="2">
        <v>1</v>
      </c>
      <c r="BD77" s="2" t="s">
        <v>3</v>
      </c>
      <c r="BE77" s="2" t="s">
        <v>3</v>
      </c>
      <c r="BF77" s="2" t="s">
        <v>3</v>
      </c>
      <c r="BG77" s="2" t="s">
        <v>3</v>
      </c>
      <c r="BH77" s="2">
        <v>0</v>
      </c>
      <c r="BI77" s="2">
        <v>1</v>
      </c>
      <c r="BJ77" s="2" t="s">
        <v>119</v>
      </c>
      <c r="BK77" s="2"/>
      <c r="BL77" s="2"/>
      <c r="BM77" s="2">
        <v>159</v>
      </c>
      <c r="BN77" s="2">
        <v>0</v>
      </c>
      <c r="BO77" s="2" t="s">
        <v>3</v>
      </c>
      <c r="BP77" s="2">
        <v>0</v>
      </c>
      <c r="BQ77" s="2">
        <v>30</v>
      </c>
      <c r="BR77" s="2">
        <v>0</v>
      </c>
      <c r="BS77" s="2">
        <v>1</v>
      </c>
      <c r="BT77" s="2">
        <v>1</v>
      </c>
      <c r="BU77" s="2">
        <v>1</v>
      </c>
      <c r="BV77" s="2">
        <v>1</v>
      </c>
      <c r="BW77" s="2">
        <v>1</v>
      </c>
      <c r="BX77" s="2">
        <v>1</v>
      </c>
      <c r="BY77" s="2" t="s">
        <v>3</v>
      </c>
      <c r="BZ77" s="2">
        <v>140</v>
      </c>
      <c r="CA77" s="2">
        <v>79</v>
      </c>
      <c r="CB77" s="2" t="s">
        <v>3</v>
      </c>
      <c r="CC77" s="2"/>
      <c r="CD77" s="2"/>
      <c r="CE77" s="2">
        <v>30</v>
      </c>
      <c r="CF77" s="2">
        <v>0</v>
      </c>
      <c r="CG77" s="2">
        <v>0</v>
      </c>
      <c r="CH77" s="2"/>
      <c r="CI77" s="2"/>
      <c r="CJ77" s="2"/>
      <c r="CK77" s="2"/>
      <c r="CL77" s="2"/>
      <c r="CM77" s="2">
        <v>0</v>
      </c>
      <c r="CN77" s="2" t="s">
        <v>1559</v>
      </c>
      <c r="CO77" s="2">
        <v>0</v>
      </c>
      <c r="CP77" s="2">
        <f t="shared" si="46"/>
        <v>38.71</v>
      </c>
      <c r="CQ77" s="2">
        <f t="shared" si="47"/>
        <v>0</v>
      </c>
      <c r="CR77" s="2">
        <f>(ROUND((ROUND(((((ET77*1.25)*9))*AV77*1),2)*BB77),2)+ROUND((ROUND(((AE77-(((EU77*1.25)*9)))*AV77*1),2)*BS77),2))</f>
        <v>0</v>
      </c>
      <c r="CS77" s="2">
        <f t="shared" si="48"/>
        <v>0</v>
      </c>
      <c r="CT77" s="2">
        <f t="shared" si="49"/>
        <v>288.87</v>
      </c>
      <c r="CU77" s="2">
        <f t="shared" si="50"/>
        <v>0</v>
      </c>
      <c r="CV77" s="2">
        <f t="shared" si="51"/>
        <v>24.011999999999997</v>
      </c>
      <c r="CW77" s="2">
        <f t="shared" si="52"/>
        <v>0</v>
      </c>
      <c r="CX77" s="2">
        <f t="shared" si="53"/>
        <v>0</v>
      </c>
      <c r="CY77" s="2">
        <f>((S77*BZ77)/100)</f>
        <v>54.194000000000003</v>
      </c>
      <c r="CZ77" s="2">
        <f>((S77*CA77)/100)</f>
        <v>30.5809</v>
      </c>
      <c r="DA77" s="2"/>
      <c r="DB77" s="2"/>
      <c r="DC77" s="2" t="s">
        <v>3</v>
      </c>
      <c r="DD77" s="2" t="s">
        <v>120</v>
      </c>
      <c r="DE77" s="2" t="s">
        <v>121</v>
      </c>
      <c r="DF77" s="2" t="s">
        <v>121</v>
      </c>
      <c r="DG77" s="2" t="s">
        <v>122</v>
      </c>
      <c r="DH77" s="2" t="s">
        <v>3</v>
      </c>
      <c r="DI77" s="2" t="s">
        <v>122</v>
      </c>
      <c r="DJ77" s="2" t="s">
        <v>121</v>
      </c>
      <c r="DK77" s="2" t="s">
        <v>3</v>
      </c>
      <c r="DL77" s="2" t="s">
        <v>120</v>
      </c>
      <c r="DM77" s="2" t="s">
        <v>120</v>
      </c>
      <c r="DN77" s="2">
        <v>0</v>
      </c>
      <c r="DO77" s="2">
        <v>0</v>
      </c>
      <c r="DP77" s="2">
        <v>1</v>
      </c>
      <c r="DQ77" s="2">
        <v>1</v>
      </c>
      <c r="DR77" s="2"/>
      <c r="DS77" s="2"/>
      <c r="DT77" s="2"/>
      <c r="DU77" s="2">
        <v>1013</v>
      </c>
      <c r="DV77" s="2" t="s">
        <v>107</v>
      </c>
      <c r="DW77" s="2" t="s">
        <v>107</v>
      </c>
      <c r="DX77" s="2">
        <v>1</v>
      </c>
      <c r="DY77" s="2"/>
      <c r="DZ77" s="2" t="s">
        <v>3</v>
      </c>
      <c r="EA77" s="2" t="s">
        <v>3</v>
      </c>
      <c r="EB77" s="2" t="s">
        <v>3</v>
      </c>
      <c r="EC77" s="2" t="s">
        <v>3</v>
      </c>
      <c r="ED77" s="2"/>
      <c r="EE77" s="2">
        <v>126051620</v>
      </c>
      <c r="EF77" s="2">
        <v>30</v>
      </c>
      <c r="EG77" s="2" t="s">
        <v>23</v>
      </c>
      <c r="EH77" s="2">
        <v>0</v>
      </c>
      <c r="EI77" s="2" t="s">
        <v>3</v>
      </c>
      <c r="EJ77" s="2">
        <v>1</v>
      </c>
      <c r="EK77" s="2">
        <v>159</v>
      </c>
      <c r="EL77" s="2" t="s">
        <v>109</v>
      </c>
      <c r="EM77" s="2" t="s">
        <v>110</v>
      </c>
      <c r="EN77" s="2"/>
      <c r="EO77" s="2" t="s">
        <v>90</v>
      </c>
      <c r="EP77" s="2"/>
      <c r="EQ77" s="2">
        <v>131072</v>
      </c>
      <c r="ER77" s="2">
        <v>27.91</v>
      </c>
      <c r="ES77" s="2">
        <v>0</v>
      </c>
      <c r="ET77" s="2">
        <v>0</v>
      </c>
      <c r="EU77" s="2">
        <v>0</v>
      </c>
      <c r="EV77" s="2">
        <v>27.91</v>
      </c>
      <c r="EW77" s="2">
        <v>2.3199999999999998</v>
      </c>
      <c r="EX77" s="2">
        <v>0</v>
      </c>
      <c r="EY77" s="2">
        <v>0</v>
      </c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>
        <v>0</v>
      </c>
      <c r="FR77" s="2">
        <f t="shared" si="54"/>
        <v>0</v>
      </c>
      <c r="FS77" s="2">
        <v>0</v>
      </c>
      <c r="FT77" s="2"/>
      <c r="FU77" s="2"/>
      <c r="FV77" s="2"/>
      <c r="FW77" s="2"/>
      <c r="FX77" s="2">
        <v>1260</v>
      </c>
      <c r="FY77" s="2">
        <v>711</v>
      </c>
      <c r="FZ77" s="2"/>
      <c r="GA77" s="2" t="s">
        <v>3</v>
      </c>
      <c r="GB77" s="2"/>
      <c r="GC77" s="2"/>
      <c r="GD77" s="2">
        <v>0</v>
      </c>
      <c r="GE77" s="2"/>
      <c r="GF77" s="2">
        <v>331259805</v>
      </c>
      <c r="GG77" s="2">
        <v>2</v>
      </c>
      <c r="GH77" s="2">
        <v>1</v>
      </c>
      <c r="GI77" s="2">
        <v>-2</v>
      </c>
      <c r="GJ77" s="2">
        <v>0</v>
      </c>
      <c r="GK77" s="2">
        <f>ROUND(R77*(R12)/100,2)</f>
        <v>0</v>
      </c>
      <c r="GL77" s="2">
        <f t="shared" si="55"/>
        <v>0</v>
      </c>
      <c r="GM77" s="2">
        <f t="shared" si="56"/>
        <v>123.48</v>
      </c>
      <c r="GN77" s="2">
        <f t="shared" si="57"/>
        <v>123.48</v>
      </c>
      <c r="GO77" s="2">
        <f t="shared" si="58"/>
        <v>0</v>
      </c>
      <c r="GP77" s="2">
        <f t="shared" si="59"/>
        <v>0</v>
      </c>
      <c r="GQ77" s="2"/>
      <c r="GR77" s="2">
        <v>0</v>
      </c>
      <c r="GS77" s="2">
        <v>0</v>
      </c>
      <c r="GT77" s="2">
        <v>0</v>
      </c>
      <c r="GU77" s="2" t="s">
        <v>120</v>
      </c>
      <c r="GV77" s="2">
        <f>ROUND(((GT77*9)),6)</f>
        <v>0</v>
      </c>
      <c r="GW77" s="2">
        <v>1</v>
      </c>
      <c r="GX77" s="2">
        <f t="shared" si="61"/>
        <v>0</v>
      </c>
      <c r="GY77" s="2"/>
      <c r="GZ77" s="2"/>
      <c r="HA77" s="2">
        <v>0</v>
      </c>
      <c r="HB77" s="2">
        <v>0</v>
      </c>
      <c r="HC77" s="2">
        <f t="shared" si="62"/>
        <v>0</v>
      </c>
      <c r="HD77" s="2"/>
      <c r="HE77" s="2" t="s">
        <v>3</v>
      </c>
      <c r="HF77" s="2" t="s">
        <v>3</v>
      </c>
      <c r="HG77" s="2"/>
      <c r="HH77" s="2"/>
      <c r="HI77" s="2"/>
      <c r="HJ77" s="2"/>
      <c r="HK77" s="2"/>
      <c r="HL77" s="2"/>
      <c r="HM77" s="2" t="s">
        <v>3</v>
      </c>
      <c r="HN77" s="2" t="s">
        <v>3</v>
      </c>
      <c r="HO77" s="2" t="s">
        <v>3</v>
      </c>
      <c r="HP77" s="2" t="s">
        <v>3</v>
      </c>
      <c r="HQ77" s="2" t="s">
        <v>3</v>
      </c>
      <c r="HR77" s="2"/>
      <c r="HS77" s="2"/>
      <c r="HT77" s="2"/>
      <c r="HU77" s="2"/>
      <c r="HV77" s="2"/>
      <c r="HW77" s="2"/>
      <c r="HX77" s="2"/>
      <c r="HY77" s="2"/>
      <c r="HZ77" s="2"/>
      <c r="IA77" s="2"/>
      <c r="IB77" s="2"/>
      <c r="IC77" s="2"/>
      <c r="ID77" s="2"/>
      <c r="IE77" s="2"/>
      <c r="IF77" s="2"/>
      <c r="IG77" s="2"/>
      <c r="IH77" s="2"/>
      <c r="II77" s="2"/>
      <c r="IJ77" s="2"/>
      <c r="IK77" s="2">
        <v>0</v>
      </c>
      <c r="IL77" s="2"/>
      <c r="IM77" s="2"/>
      <c r="IN77" s="2"/>
      <c r="IO77" s="2"/>
      <c r="IP77" s="2"/>
      <c r="IQ77" s="2"/>
      <c r="IR77" s="2"/>
      <c r="IS77" s="2"/>
      <c r="IT77" s="2"/>
      <c r="IU77" s="2"/>
    </row>
    <row r="78" spans="1:255" x14ac:dyDescent="0.2">
      <c r="A78">
        <v>17</v>
      </c>
      <c r="B78">
        <v>1</v>
      </c>
      <c r="C78">
        <f>ROW(SmtRes!A48)</f>
        <v>48</v>
      </c>
      <c r="D78">
        <f>ROW(EtalonRes!A48)</f>
        <v>48</v>
      </c>
      <c r="E78" t="s">
        <v>116</v>
      </c>
      <c r="F78" t="s">
        <v>117</v>
      </c>
      <c r="G78" t="s">
        <v>118</v>
      </c>
      <c r="H78" t="s">
        <v>107</v>
      </c>
      <c r="I78">
        <v>0.13400000000000001</v>
      </c>
      <c r="J78">
        <v>0</v>
      </c>
      <c r="K78">
        <v>0.13400000000000001</v>
      </c>
      <c r="O78">
        <f t="shared" si="32"/>
        <v>1123.75</v>
      </c>
      <c r="P78">
        <f t="shared" si="33"/>
        <v>0</v>
      </c>
      <c r="Q78">
        <f>(ROUND((ROUND(((((ET78*1.25)*9))*AV78*I78),2)*BB78),2)+ROUND((ROUND(((AE78-(((EU78*1.25)*9)))*AV78*I78),2)*BS78),2))</f>
        <v>0</v>
      </c>
      <c r="R78">
        <f t="shared" si="34"/>
        <v>0</v>
      </c>
      <c r="S78">
        <f t="shared" si="35"/>
        <v>1123.75</v>
      </c>
      <c r="T78">
        <f t="shared" si="36"/>
        <v>0</v>
      </c>
      <c r="U78">
        <f t="shared" si="37"/>
        <v>3.2176079999999998</v>
      </c>
      <c r="V78">
        <f t="shared" si="38"/>
        <v>0</v>
      </c>
      <c r="W78">
        <f t="shared" si="39"/>
        <v>0</v>
      </c>
      <c r="X78">
        <f t="shared" si="40"/>
        <v>1292.31</v>
      </c>
      <c r="Y78">
        <f t="shared" si="41"/>
        <v>460.74</v>
      </c>
      <c r="AA78">
        <v>129761633</v>
      </c>
      <c r="AB78">
        <f t="shared" si="42"/>
        <v>288.86849999999998</v>
      </c>
      <c r="AC78">
        <f>ROUND(((ES78*9)),6)</f>
        <v>0</v>
      </c>
      <c r="AD78">
        <f>ROUND((((((ET78*1.25)*9))-(((EU78*1.25)*9)))+AE78),6)</f>
        <v>0</v>
      </c>
      <c r="AE78">
        <f>ROUND((((EU78*1.25)*9)),6)</f>
        <v>0</v>
      </c>
      <c r="AF78">
        <f>ROUND((((EV78*1.15)*9)),6)</f>
        <v>288.86849999999998</v>
      </c>
      <c r="AG78">
        <f t="shared" si="44"/>
        <v>0</v>
      </c>
      <c r="AH78">
        <f>(((EW78*1.15)*9))</f>
        <v>24.011999999999997</v>
      </c>
      <c r="AI78">
        <f>(((EX78*1.25)*9))</f>
        <v>0</v>
      </c>
      <c r="AJ78">
        <f t="shared" si="45"/>
        <v>0</v>
      </c>
      <c r="AK78">
        <v>27.91</v>
      </c>
      <c r="AL78">
        <v>0</v>
      </c>
      <c r="AM78">
        <v>0</v>
      </c>
      <c r="AN78">
        <v>0</v>
      </c>
      <c r="AO78">
        <v>27.91</v>
      </c>
      <c r="AP78">
        <v>0</v>
      </c>
      <c r="AQ78">
        <v>2.3199999999999998</v>
      </c>
      <c r="AR78">
        <v>0</v>
      </c>
      <c r="AS78">
        <v>0</v>
      </c>
      <c r="AT78">
        <v>115</v>
      </c>
      <c r="AU78">
        <v>41</v>
      </c>
      <c r="AV78">
        <v>1</v>
      </c>
      <c r="AW78">
        <v>1</v>
      </c>
      <c r="AZ78">
        <v>1</v>
      </c>
      <c r="BA78">
        <v>29.03</v>
      </c>
      <c r="BB78">
        <v>1</v>
      </c>
      <c r="BC78">
        <v>1</v>
      </c>
      <c r="BD78" t="s">
        <v>3</v>
      </c>
      <c r="BE78" t="s">
        <v>3</v>
      </c>
      <c r="BF78" t="s">
        <v>3</v>
      </c>
      <c r="BG78" t="s">
        <v>3</v>
      </c>
      <c r="BH78">
        <v>0</v>
      </c>
      <c r="BI78">
        <v>1</v>
      </c>
      <c r="BJ78" t="s">
        <v>119</v>
      </c>
      <c r="BM78">
        <v>159</v>
      </c>
      <c r="BN78">
        <v>0</v>
      </c>
      <c r="BO78" t="s">
        <v>117</v>
      </c>
      <c r="BP78">
        <v>1</v>
      </c>
      <c r="BQ78">
        <v>30</v>
      </c>
      <c r="BR78">
        <v>0</v>
      </c>
      <c r="BS78">
        <v>29.03</v>
      </c>
      <c r="BT78">
        <v>1</v>
      </c>
      <c r="BU78">
        <v>1</v>
      </c>
      <c r="BV78">
        <v>1</v>
      </c>
      <c r="BW78">
        <v>1</v>
      </c>
      <c r="BX78">
        <v>1</v>
      </c>
      <c r="BY78" t="s">
        <v>3</v>
      </c>
      <c r="BZ78">
        <v>115</v>
      </c>
      <c r="CA78">
        <v>41</v>
      </c>
      <c r="CB78" t="s">
        <v>3</v>
      </c>
      <c r="CE78">
        <v>30</v>
      </c>
      <c r="CF78">
        <v>0</v>
      </c>
      <c r="CG78">
        <v>0</v>
      </c>
      <c r="CM78">
        <v>0</v>
      </c>
      <c r="CN78" t="s">
        <v>1559</v>
      </c>
      <c r="CO78">
        <v>0</v>
      </c>
      <c r="CP78">
        <f t="shared" si="46"/>
        <v>1123.75</v>
      </c>
      <c r="CQ78">
        <f t="shared" si="47"/>
        <v>0</v>
      </c>
      <c r="CR78">
        <f>(ROUND((ROUND(((((ET78*1.25)*9))*AV78*1),2)*BB78),2)+ROUND((ROUND(((AE78-(((EU78*1.25)*9)))*AV78*1),2)*BS78),2))</f>
        <v>0</v>
      </c>
      <c r="CS78">
        <f t="shared" si="48"/>
        <v>0</v>
      </c>
      <c r="CT78">
        <f t="shared" si="49"/>
        <v>8385.9</v>
      </c>
      <c r="CU78">
        <f t="shared" si="50"/>
        <v>0</v>
      </c>
      <c r="CV78">
        <f t="shared" si="51"/>
        <v>24.011999999999997</v>
      </c>
      <c r="CW78">
        <f t="shared" si="52"/>
        <v>0</v>
      </c>
      <c r="CX78">
        <f t="shared" si="53"/>
        <v>0</v>
      </c>
      <c r="CY78">
        <f>S78*(BZ78/100)</f>
        <v>1292.3125</v>
      </c>
      <c r="CZ78">
        <f>S78*(CA78/100)</f>
        <v>460.73749999999995</v>
      </c>
      <c r="DC78" t="s">
        <v>3</v>
      </c>
      <c r="DD78" t="s">
        <v>120</v>
      </c>
      <c r="DE78" t="s">
        <v>121</v>
      </c>
      <c r="DF78" t="s">
        <v>121</v>
      </c>
      <c r="DG78" t="s">
        <v>122</v>
      </c>
      <c r="DH78" t="s">
        <v>3</v>
      </c>
      <c r="DI78" t="s">
        <v>122</v>
      </c>
      <c r="DJ78" t="s">
        <v>121</v>
      </c>
      <c r="DK78" t="s">
        <v>3</v>
      </c>
      <c r="DL78" t="s">
        <v>120</v>
      </c>
      <c r="DM78" t="s">
        <v>120</v>
      </c>
      <c r="DN78">
        <v>140</v>
      </c>
      <c r="DO78">
        <v>79</v>
      </c>
      <c r="DP78">
        <v>1</v>
      </c>
      <c r="DQ78">
        <v>1</v>
      </c>
      <c r="DU78">
        <v>1013</v>
      </c>
      <c r="DV78" t="s">
        <v>107</v>
      </c>
      <c r="DW78" t="s">
        <v>107</v>
      </c>
      <c r="DX78">
        <v>1</v>
      </c>
      <c r="DZ78" t="s">
        <v>3</v>
      </c>
      <c r="EA78" t="s">
        <v>3</v>
      </c>
      <c r="EB78" t="s">
        <v>3</v>
      </c>
      <c r="EC78" t="s">
        <v>3</v>
      </c>
      <c r="EE78">
        <v>126051620</v>
      </c>
      <c r="EF78">
        <v>30</v>
      </c>
      <c r="EG78" t="s">
        <v>23</v>
      </c>
      <c r="EH78">
        <v>0</v>
      </c>
      <c r="EI78" t="s">
        <v>3</v>
      </c>
      <c r="EJ78">
        <v>1</v>
      </c>
      <c r="EK78">
        <v>159</v>
      </c>
      <c r="EL78" t="s">
        <v>109</v>
      </c>
      <c r="EM78" t="s">
        <v>110</v>
      </c>
      <c r="EO78" t="s">
        <v>90</v>
      </c>
      <c r="EQ78">
        <v>131072</v>
      </c>
      <c r="ER78">
        <v>27.91</v>
      </c>
      <c r="ES78">
        <v>0</v>
      </c>
      <c r="ET78">
        <v>0</v>
      </c>
      <c r="EU78">
        <v>0</v>
      </c>
      <c r="EV78">
        <v>27.91</v>
      </c>
      <c r="EW78">
        <v>2.3199999999999998</v>
      </c>
      <c r="EX78">
        <v>0</v>
      </c>
      <c r="EY78">
        <v>0</v>
      </c>
      <c r="FQ78">
        <v>0</v>
      </c>
      <c r="FR78">
        <f t="shared" si="54"/>
        <v>0</v>
      </c>
      <c r="FS78">
        <v>0</v>
      </c>
      <c r="FX78">
        <v>1260</v>
      </c>
      <c r="FY78">
        <v>711</v>
      </c>
      <c r="GA78" t="s">
        <v>3</v>
      </c>
      <c r="GD78">
        <v>0</v>
      </c>
      <c r="GF78">
        <v>331259805</v>
      </c>
      <c r="GG78">
        <v>2</v>
      </c>
      <c r="GH78">
        <v>1</v>
      </c>
      <c r="GI78">
        <v>2</v>
      </c>
      <c r="GJ78">
        <v>0</v>
      </c>
      <c r="GK78">
        <f>ROUND(R78*(S12)/100,2)</f>
        <v>0</v>
      </c>
      <c r="GL78">
        <f t="shared" si="55"/>
        <v>0</v>
      </c>
      <c r="GM78">
        <f t="shared" si="56"/>
        <v>2876.8</v>
      </c>
      <c r="GN78">
        <f t="shared" si="57"/>
        <v>2876.8</v>
      </c>
      <c r="GO78">
        <f t="shared" si="58"/>
        <v>0</v>
      </c>
      <c r="GP78">
        <f t="shared" si="59"/>
        <v>0</v>
      </c>
      <c r="GR78">
        <v>0</v>
      </c>
      <c r="GS78">
        <v>3</v>
      </c>
      <c r="GT78">
        <v>0</v>
      </c>
      <c r="GU78" t="s">
        <v>120</v>
      </c>
      <c r="GV78">
        <f>ROUND(((GT78*9)),6)</f>
        <v>0</v>
      </c>
      <c r="GW78">
        <v>1</v>
      </c>
      <c r="GX78">
        <f t="shared" si="61"/>
        <v>0</v>
      </c>
      <c r="HA78">
        <v>0</v>
      </c>
      <c r="HB78">
        <v>0</v>
      </c>
      <c r="HC78">
        <f t="shared" si="62"/>
        <v>0</v>
      </c>
      <c r="HE78" t="s">
        <v>3</v>
      </c>
      <c r="HF78" t="s">
        <v>3</v>
      </c>
      <c r="HM78" t="s">
        <v>3</v>
      </c>
      <c r="HN78" t="s">
        <v>3</v>
      </c>
      <c r="HO78" t="s">
        <v>3</v>
      </c>
      <c r="HP78" t="s">
        <v>3</v>
      </c>
      <c r="HQ78" t="s">
        <v>3</v>
      </c>
      <c r="IK78">
        <v>0</v>
      </c>
    </row>
    <row r="79" spans="1:255" x14ac:dyDescent="0.2">
      <c r="A79" s="2">
        <v>18</v>
      </c>
      <c r="B79" s="2">
        <v>1</v>
      </c>
      <c r="C79" s="2">
        <v>46</v>
      </c>
      <c r="D79" s="2"/>
      <c r="E79" s="2" t="s">
        <v>123</v>
      </c>
      <c r="F79" s="2" t="s">
        <v>112</v>
      </c>
      <c r="G79" s="2" t="s">
        <v>113</v>
      </c>
      <c r="H79" s="2" t="s">
        <v>114</v>
      </c>
      <c r="I79" s="2">
        <f>I77*J79</f>
        <v>1.45926</v>
      </c>
      <c r="J79" s="2">
        <v>10.889999999999999</v>
      </c>
      <c r="K79" s="2">
        <v>1.21</v>
      </c>
      <c r="L79" s="2"/>
      <c r="M79" s="2"/>
      <c r="N79" s="2"/>
      <c r="O79" s="2">
        <f t="shared" si="32"/>
        <v>463.01</v>
      </c>
      <c r="P79" s="2">
        <f t="shared" si="33"/>
        <v>463.01</v>
      </c>
      <c r="Q79" s="2">
        <f>(ROUND((ROUND(((ET79)*AV79*I79),2)*BB79),2)+ROUND((ROUND(((AE79-(EU79))*AV79*I79),2)*BS79),2))</f>
        <v>0</v>
      </c>
      <c r="R79" s="2">
        <f t="shared" si="34"/>
        <v>0</v>
      </c>
      <c r="S79" s="2">
        <f t="shared" si="35"/>
        <v>0</v>
      </c>
      <c r="T79" s="2">
        <f t="shared" si="36"/>
        <v>0</v>
      </c>
      <c r="U79" s="2">
        <f t="shared" si="37"/>
        <v>0</v>
      </c>
      <c r="V79" s="2">
        <f t="shared" si="38"/>
        <v>0</v>
      </c>
      <c r="W79" s="2">
        <f t="shared" si="39"/>
        <v>0</v>
      </c>
      <c r="X79" s="2">
        <f t="shared" si="40"/>
        <v>0</v>
      </c>
      <c r="Y79" s="2">
        <f t="shared" si="41"/>
        <v>0</v>
      </c>
      <c r="Z79" s="2"/>
      <c r="AA79" s="2">
        <v>129761636</v>
      </c>
      <c r="AB79" s="2">
        <f t="shared" si="42"/>
        <v>317.29000000000002</v>
      </c>
      <c r="AC79" s="2">
        <f t="shared" ref="AC79:AC84" si="63">ROUND((ES79),6)</f>
        <v>317.29000000000002</v>
      </c>
      <c r="AD79" s="2">
        <f>ROUND((((ET79)-(EU79))+AE79),6)</f>
        <v>0</v>
      </c>
      <c r="AE79" s="2">
        <f>ROUND((EU79),6)</f>
        <v>0</v>
      </c>
      <c r="AF79" s="2">
        <f>ROUND((EV79),6)</f>
        <v>0</v>
      </c>
      <c r="AG79" s="2">
        <f t="shared" si="44"/>
        <v>0</v>
      </c>
      <c r="AH79" s="2">
        <f>(EW79)</f>
        <v>0</v>
      </c>
      <c r="AI79" s="2">
        <f>(EX79)</f>
        <v>0</v>
      </c>
      <c r="AJ79" s="2">
        <f t="shared" si="45"/>
        <v>0</v>
      </c>
      <c r="AK79" s="2">
        <v>317.29000000000002</v>
      </c>
      <c r="AL79" s="2">
        <v>317.29000000000002</v>
      </c>
      <c r="AM79" s="2">
        <v>0</v>
      </c>
      <c r="AN79" s="2">
        <v>0</v>
      </c>
      <c r="AO79" s="2">
        <v>0</v>
      </c>
      <c r="AP79" s="2">
        <v>0</v>
      </c>
      <c r="AQ79" s="2">
        <v>0</v>
      </c>
      <c r="AR79" s="2">
        <v>0</v>
      </c>
      <c r="AS79" s="2">
        <v>0</v>
      </c>
      <c r="AT79" s="2">
        <v>140</v>
      </c>
      <c r="AU79" s="2">
        <v>79</v>
      </c>
      <c r="AV79" s="2">
        <v>1</v>
      </c>
      <c r="AW79" s="2">
        <v>1</v>
      </c>
      <c r="AX79" s="2"/>
      <c r="AY79" s="2"/>
      <c r="AZ79" s="2">
        <v>1</v>
      </c>
      <c r="BA79" s="2">
        <v>1</v>
      </c>
      <c r="BB79" s="2">
        <v>1</v>
      </c>
      <c r="BC79" s="2">
        <v>1</v>
      </c>
      <c r="BD79" s="2" t="s">
        <v>3</v>
      </c>
      <c r="BE79" s="2" t="s">
        <v>3</v>
      </c>
      <c r="BF79" s="2" t="s">
        <v>3</v>
      </c>
      <c r="BG79" s="2" t="s">
        <v>3</v>
      </c>
      <c r="BH79" s="2">
        <v>3</v>
      </c>
      <c r="BI79" s="2">
        <v>1</v>
      </c>
      <c r="BJ79" s="2" t="s">
        <v>115</v>
      </c>
      <c r="BK79" s="2"/>
      <c r="BL79" s="2"/>
      <c r="BM79" s="2">
        <v>159</v>
      </c>
      <c r="BN79" s="2">
        <v>0</v>
      </c>
      <c r="BO79" s="2" t="s">
        <v>3</v>
      </c>
      <c r="BP79" s="2">
        <v>0</v>
      </c>
      <c r="BQ79" s="2">
        <v>30</v>
      </c>
      <c r="BR79" s="2">
        <v>0</v>
      </c>
      <c r="BS79" s="2">
        <v>1</v>
      </c>
      <c r="BT79" s="2">
        <v>1</v>
      </c>
      <c r="BU79" s="2">
        <v>1</v>
      </c>
      <c r="BV79" s="2">
        <v>1</v>
      </c>
      <c r="BW79" s="2">
        <v>1</v>
      </c>
      <c r="BX79" s="2">
        <v>1</v>
      </c>
      <c r="BY79" s="2" t="s">
        <v>3</v>
      </c>
      <c r="BZ79" s="2">
        <v>140</v>
      </c>
      <c r="CA79" s="2">
        <v>79</v>
      </c>
      <c r="CB79" s="2" t="s">
        <v>3</v>
      </c>
      <c r="CC79" s="2"/>
      <c r="CD79" s="2"/>
      <c r="CE79" s="2">
        <v>30</v>
      </c>
      <c r="CF79" s="2">
        <v>0</v>
      </c>
      <c r="CG79" s="2">
        <v>0</v>
      </c>
      <c r="CH79" s="2"/>
      <c r="CI79" s="2"/>
      <c r="CJ79" s="2"/>
      <c r="CK79" s="2"/>
      <c r="CL79" s="2"/>
      <c r="CM79" s="2">
        <v>0</v>
      </c>
      <c r="CN79" s="2" t="s">
        <v>1559</v>
      </c>
      <c r="CO79" s="2">
        <v>0</v>
      </c>
      <c r="CP79" s="2">
        <f t="shared" si="46"/>
        <v>463.01</v>
      </c>
      <c r="CQ79" s="2">
        <f t="shared" si="47"/>
        <v>317.29000000000002</v>
      </c>
      <c r="CR79" s="2">
        <f>(ROUND((ROUND(((ET79)*AV79*1),2)*BB79),2)+ROUND((ROUND(((AE79-(EU79))*AV79*1),2)*BS79),2))</f>
        <v>0</v>
      </c>
      <c r="CS79" s="2">
        <f t="shared" si="48"/>
        <v>0</v>
      </c>
      <c r="CT79" s="2">
        <f t="shared" si="49"/>
        <v>0</v>
      </c>
      <c r="CU79" s="2">
        <f t="shared" si="50"/>
        <v>0</v>
      </c>
      <c r="CV79" s="2">
        <f t="shared" si="51"/>
        <v>0</v>
      </c>
      <c r="CW79" s="2">
        <f t="shared" si="52"/>
        <v>0</v>
      </c>
      <c r="CX79" s="2">
        <f t="shared" si="53"/>
        <v>0</v>
      </c>
      <c r="CY79" s="2">
        <f>((S79*BZ79)/100)</f>
        <v>0</v>
      </c>
      <c r="CZ79" s="2">
        <f>((S79*CA79)/100)</f>
        <v>0</v>
      </c>
      <c r="DA79" s="2"/>
      <c r="DB79" s="2"/>
      <c r="DC79" s="2" t="s">
        <v>3</v>
      </c>
      <c r="DD79" s="2" t="s">
        <v>3</v>
      </c>
      <c r="DE79" s="2" t="s">
        <v>3</v>
      </c>
      <c r="DF79" s="2" t="s">
        <v>3</v>
      </c>
      <c r="DG79" s="2" t="s">
        <v>3</v>
      </c>
      <c r="DH79" s="2" t="s">
        <v>3</v>
      </c>
      <c r="DI79" s="2" t="s">
        <v>3</v>
      </c>
      <c r="DJ79" s="2" t="s">
        <v>3</v>
      </c>
      <c r="DK79" s="2" t="s">
        <v>3</v>
      </c>
      <c r="DL79" s="2" t="s">
        <v>3</v>
      </c>
      <c r="DM79" s="2" t="s">
        <v>3</v>
      </c>
      <c r="DN79" s="2">
        <v>0</v>
      </c>
      <c r="DO79" s="2">
        <v>0</v>
      </c>
      <c r="DP79" s="2">
        <v>1</v>
      </c>
      <c r="DQ79" s="2">
        <v>1</v>
      </c>
      <c r="DR79" s="2"/>
      <c r="DS79" s="2"/>
      <c r="DT79" s="2"/>
      <c r="DU79" s="2">
        <v>1009</v>
      </c>
      <c r="DV79" s="2" t="s">
        <v>114</v>
      </c>
      <c r="DW79" s="2" t="s">
        <v>114</v>
      </c>
      <c r="DX79" s="2">
        <v>1000</v>
      </c>
      <c r="DY79" s="2"/>
      <c r="DZ79" s="2" t="s">
        <v>3</v>
      </c>
      <c r="EA79" s="2" t="s">
        <v>3</v>
      </c>
      <c r="EB79" s="2" t="s">
        <v>3</v>
      </c>
      <c r="EC79" s="2" t="s">
        <v>3</v>
      </c>
      <c r="ED79" s="2"/>
      <c r="EE79" s="2">
        <v>126051620</v>
      </c>
      <c r="EF79" s="2">
        <v>30</v>
      </c>
      <c r="EG79" s="2" t="s">
        <v>23</v>
      </c>
      <c r="EH79" s="2">
        <v>0</v>
      </c>
      <c r="EI79" s="2" t="s">
        <v>3</v>
      </c>
      <c r="EJ79" s="2">
        <v>1</v>
      </c>
      <c r="EK79" s="2">
        <v>159</v>
      </c>
      <c r="EL79" s="2" t="s">
        <v>109</v>
      </c>
      <c r="EM79" s="2" t="s">
        <v>110</v>
      </c>
      <c r="EN79" s="2"/>
      <c r="EO79" s="2" t="s">
        <v>90</v>
      </c>
      <c r="EP79" s="2"/>
      <c r="EQ79" s="2">
        <v>0</v>
      </c>
      <c r="ER79" s="2">
        <v>317.29000000000002</v>
      </c>
      <c r="ES79" s="2">
        <v>317.29000000000002</v>
      </c>
      <c r="ET79" s="2">
        <v>0</v>
      </c>
      <c r="EU79" s="2">
        <v>0</v>
      </c>
      <c r="EV79" s="2">
        <v>0</v>
      </c>
      <c r="EW79" s="2">
        <v>0</v>
      </c>
      <c r="EX79" s="2">
        <v>0</v>
      </c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>
        <v>0</v>
      </c>
      <c r="FR79" s="2">
        <f t="shared" si="54"/>
        <v>0</v>
      </c>
      <c r="FS79" s="2">
        <v>0</v>
      </c>
      <c r="FT79" s="2"/>
      <c r="FU79" s="2"/>
      <c r="FV79" s="2"/>
      <c r="FW79" s="2"/>
      <c r="FX79" s="2">
        <v>140</v>
      </c>
      <c r="FY79" s="2">
        <v>79</v>
      </c>
      <c r="FZ79" s="2"/>
      <c r="GA79" s="2" t="s">
        <v>3</v>
      </c>
      <c r="GB79" s="2"/>
      <c r="GC79" s="2"/>
      <c r="GD79" s="2">
        <v>0</v>
      </c>
      <c r="GE79" s="2"/>
      <c r="GF79" s="2">
        <v>164969463</v>
      </c>
      <c r="GG79" s="2">
        <v>2</v>
      </c>
      <c r="GH79" s="2">
        <v>1</v>
      </c>
      <c r="GI79" s="2">
        <v>-2</v>
      </c>
      <c r="GJ79" s="2">
        <v>0</v>
      </c>
      <c r="GK79" s="2">
        <f>ROUND(R79*(R12)/100,2)</f>
        <v>0</v>
      </c>
      <c r="GL79" s="2">
        <f t="shared" si="55"/>
        <v>0</v>
      </c>
      <c r="GM79" s="2">
        <f t="shared" si="56"/>
        <v>463.01</v>
      </c>
      <c r="GN79" s="2">
        <f t="shared" si="57"/>
        <v>463.01</v>
      </c>
      <c r="GO79" s="2">
        <f t="shared" si="58"/>
        <v>0</v>
      </c>
      <c r="GP79" s="2">
        <f t="shared" si="59"/>
        <v>0</v>
      </c>
      <c r="GQ79" s="2"/>
      <c r="GR79" s="2">
        <v>0</v>
      </c>
      <c r="GS79" s="2">
        <v>0</v>
      </c>
      <c r="GT79" s="2">
        <v>0</v>
      </c>
      <c r="GU79" s="2" t="s">
        <v>3</v>
      </c>
      <c r="GV79" s="2">
        <f t="shared" ref="GV79:GV84" si="64">ROUND((GT79),6)</f>
        <v>0</v>
      </c>
      <c r="GW79" s="2">
        <v>1</v>
      </c>
      <c r="GX79" s="2">
        <f t="shared" si="61"/>
        <v>0</v>
      </c>
      <c r="GY79" s="2"/>
      <c r="GZ79" s="2"/>
      <c r="HA79" s="2">
        <v>0</v>
      </c>
      <c r="HB79" s="2">
        <v>0</v>
      </c>
      <c r="HC79" s="2">
        <f t="shared" si="62"/>
        <v>0</v>
      </c>
      <c r="HD79" s="2"/>
      <c r="HE79" s="2" t="s">
        <v>3</v>
      </c>
      <c r="HF79" s="2" t="s">
        <v>3</v>
      </c>
      <c r="HG79" s="2"/>
      <c r="HH79" s="2"/>
      <c r="HI79" s="2"/>
      <c r="HJ79" s="2"/>
      <c r="HK79" s="2"/>
      <c r="HL79" s="2"/>
      <c r="HM79" s="2" t="s">
        <v>120</v>
      </c>
      <c r="HN79" s="2" t="s">
        <v>3</v>
      </c>
      <c r="HO79" s="2" t="s">
        <v>3</v>
      </c>
      <c r="HP79" s="2" t="s">
        <v>3</v>
      </c>
      <c r="HQ79" s="2" t="s">
        <v>3</v>
      </c>
      <c r="HR79" s="2"/>
      <c r="HS79" s="2"/>
      <c r="HT79" s="2"/>
      <c r="HU79" s="2"/>
      <c r="HV79" s="2"/>
      <c r="HW79" s="2"/>
      <c r="HX79" s="2"/>
      <c r="HY79" s="2"/>
      <c r="HZ79" s="2"/>
      <c r="IA79" s="2"/>
      <c r="IB79" s="2"/>
      <c r="IC79" s="2"/>
      <c r="ID79" s="2"/>
      <c r="IE79" s="2"/>
      <c r="IF79" s="2"/>
      <c r="IG79" s="2"/>
      <c r="IH79" s="2"/>
      <c r="II79" s="2"/>
      <c r="IJ79" s="2"/>
      <c r="IK79" s="2">
        <v>0</v>
      </c>
      <c r="IL79" s="2"/>
      <c r="IM79" s="2"/>
      <c r="IN79" s="2"/>
      <c r="IO79" s="2"/>
      <c r="IP79" s="2"/>
      <c r="IQ79" s="2"/>
      <c r="IR79" s="2"/>
      <c r="IS79" s="2"/>
      <c r="IT79" s="2"/>
      <c r="IU79" s="2"/>
    </row>
    <row r="80" spans="1:255" x14ac:dyDescent="0.2">
      <c r="A80">
        <v>18</v>
      </c>
      <c r="B80">
        <v>1</v>
      </c>
      <c r="C80">
        <v>48</v>
      </c>
      <c r="E80" t="s">
        <v>123</v>
      </c>
      <c r="F80" t="s">
        <v>112</v>
      </c>
      <c r="G80" t="s">
        <v>113</v>
      </c>
      <c r="H80" t="s">
        <v>114</v>
      </c>
      <c r="I80">
        <f>I78*J80</f>
        <v>1.45926</v>
      </c>
      <c r="J80">
        <v>10.889999999999999</v>
      </c>
      <c r="K80">
        <v>1.21</v>
      </c>
      <c r="O80">
        <f t="shared" si="32"/>
        <v>5505.19</v>
      </c>
      <c r="P80">
        <f t="shared" si="33"/>
        <v>5505.19</v>
      </c>
      <c r="Q80">
        <f>(ROUND((ROUND(((ET80)*AV80*I80),2)*BB80),2)+ROUND((ROUND(((AE80-(EU80))*AV80*I80),2)*BS80),2))</f>
        <v>0</v>
      </c>
      <c r="R80">
        <f t="shared" si="34"/>
        <v>0</v>
      </c>
      <c r="S80">
        <f t="shared" si="35"/>
        <v>0</v>
      </c>
      <c r="T80">
        <f t="shared" si="36"/>
        <v>0</v>
      </c>
      <c r="U80">
        <f t="shared" si="37"/>
        <v>0</v>
      </c>
      <c r="V80">
        <f t="shared" si="38"/>
        <v>0</v>
      </c>
      <c r="W80">
        <f t="shared" si="39"/>
        <v>0</v>
      </c>
      <c r="X80">
        <f t="shared" si="40"/>
        <v>0</v>
      </c>
      <c r="Y80">
        <f t="shared" si="41"/>
        <v>0</v>
      </c>
      <c r="AA80">
        <v>129761633</v>
      </c>
      <c r="AB80">
        <f t="shared" si="42"/>
        <v>317.29000000000002</v>
      </c>
      <c r="AC80">
        <f t="shared" si="63"/>
        <v>317.29000000000002</v>
      </c>
      <c r="AD80">
        <f>ROUND((((ET80)-(EU80))+AE80),6)</f>
        <v>0</v>
      </c>
      <c r="AE80">
        <f>ROUND((EU80),6)</f>
        <v>0</v>
      </c>
      <c r="AF80">
        <f>ROUND((EV80),6)</f>
        <v>0</v>
      </c>
      <c r="AG80">
        <f t="shared" si="44"/>
        <v>0</v>
      </c>
      <c r="AH80">
        <f>(EW80)</f>
        <v>0</v>
      </c>
      <c r="AI80">
        <f>(EX80)</f>
        <v>0</v>
      </c>
      <c r="AJ80">
        <f t="shared" si="45"/>
        <v>0</v>
      </c>
      <c r="AK80">
        <v>317.29000000000002</v>
      </c>
      <c r="AL80">
        <v>317.29000000000002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1</v>
      </c>
      <c r="AW80">
        <v>1</v>
      </c>
      <c r="AZ80">
        <v>1</v>
      </c>
      <c r="BA80">
        <v>1</v>
      </c>
      <c r="BB80">
        <v>1</v>
      </c>
      <c r="BC80">
        <v>11.89</v>
      </c>
      <c r="BD80" t="s">
        <v>3</v>
      </c>
      <c r="BE80" t="s">
        <v>3</v>
      </c>
      <c r="BF80" t="s">
        <v>3</v>
      </c>
      <c r="BG80" t="s">
        <v>3</v>
      </c>
      <c r="BH80">
        <v>3</v>
      </c>
      <c r="BI80">
        <v>1</v>
      </c>
      <c r="BJ80" t="s">
        <v>115</v>
      </c>
      <c r="BM80">
        <v>159</v>
      </c>
      <c r="BN80">
        <v>0</v>
      </c>
      <c r="BO80" t="s">
        <v>112</v>
      </c>
      <c r="BP80">
        <v>1</v>
      </c>
      <c r="BQ80">
        <v>30</v>
      </c>
      <c r="BR80">
        <v>0</v>
      </c>
      <c r="BS80">
        <v>1</v>
      </c>
      <c r="BT80">
        <v>1</v>
      </c>
      <c r="BU80">
        <v>1</v>
      </c>
      <c r="BV80">
        <v>1</v>
      </c>
      <c r="BW80">
        <v>1</v>
      </c>
      <c r="BX80">
        <v>1</v>
      </c>
      <c r="BY80" t="s">
        <v>3</v>
      </c>
      <c r="BZ80">
        <v>0</v>
      </c>
      <c r="CA80">
        <v>0</v>
      </c>
      <c r="CB80" t="s">
        <v>3</v>
      </c>
      <c r="CE80">
        <v>30</v>
      </c>
      <c r="CF80">
        <v>0</v>
      </c>
      <c r="CG80">
        <v>0</v>
      </c>
      <c r="CM80">
        <v>0</v>
      </c>
      <c r="CN80" t="s">
        <v>1559</v>
      </c>
      <c r="CO80">
        <v>0</v>
      </c>
      <c r="CP80">
        <f t="shared" si="46"/>
        <v>5505.19</v>
      </c>
      <c r="CQ80">
        <f t="shared" si="47"/>
        <v>3772.58</v>
      </c>
      <c r="CR80">
        <f>(ROUND((ROUND(((ET80)*AV80*1),2)*BB80),2)+ROUND((ROUND(((AE80-(EU80))*AV80*1),2)*BS80),2))</f>
        <v>0</v>
      </c>
      <c r="CS80">
        <f t="shared" si="48"/>
        <v>0</v>
      </c>
      <c r="CT80">
        <f t="shared" si="49"/>
        <v>0</v>
      </c>
      <c r="CU80">
        <f t="shared" si="50"/>
        <v>0</v>
      </c>
      <c r="CV80">
        <f t="shared" si="51"/>
        <v>0</v>
      </c>
      <c r="CW80">
        <f t="shared" si="52"/>
        <v>0</v>
      </c>
      <c r="CX80">
        <f t="shared" si="53"/>
        <v>0</v>
      </c>
      <c r="CY80">
        <f>S80*(BZ80/100)</f>
        <v>0</v>
      </c>
      <c r="CZ80">
        <f>S80*(CA80/100)</f>
        <v>0</v>
      </c>
      <c r="DC80" t="s">
        <v>3</v>
      </c>
      <c r="DD80" t="s">
        <v>3</v>
      </c>
      <c r="DE80" t="s">
        <v>3</v>
      </c>
      <c r="DF80" t="s">
        <v>3</v>
      </c>
      <c r="DG80" t="s">
        <v>3</v>
      </c>
      <c r="DH80" t="s">
        <v>3</v>
      </c>
      <c r="DI80" t="s">
        <v>3</v>
      </c>
      <c r="DJ80" t="s">
        <v>3</v>
      </c>
      <c r="DK80" t="s">
        <v>3</v>
      </c>
      <c r="DL80" t="s">
        <v>3</v>
      </c>
      <c r="DM80" t="s">
        <v>3</v>
      </c>
      <c r="DN80">
        <v>140</v>
      </c>
      <c r="DO80">
        <v>79</v>
      </c>
      <c r="DP80">
        <v>1</v>
      </c>
      <c r="DQ80">
        <v>1</v>
      </c>
      <c r="DU80">
        <v>1009</v>
      </c>
      <c r="DV80" t="s">
        <v>114</v>
      </c>
      <c r="DW80" t="s">
        <v>114</v>
      </c>
      <c r="DX80">
        <v>1000</v>
      </c>
      <c r="DZ80" t="s">
        <v>3</v>
      </c>
      <c r="EA80" t="s">
        <v>3</v>
      </c>
      <c r="EB80" t="s">
        <v>3</v>
      </c>
      <c r="EC80" t="s">
        <v>3</v>
      </c>
      <c r="EE80">
        <v>126051620</v>
      </c>
      <c r="EF80">
        <v>30</v>
      </c>
      <c r="EG80" t="s">
        <v>23</v>
      </c>
      <c r="EH80">
        <v>0</v>
      </c>
      <c r="EI80" t="s">
        <v>3</v>
      </c>
      <c r="EJ80">
        <v>1</v>
      </c>
      <c r="EK80">
        <v>159</v>
      </c>
      <c r="EL80" t="s">
        <v>109</v>
      </c>
      <c r="EM80" t="s">
        <v>110</v>
      </c>
      <c r="EO80" t="s">
        <v>90</v>
      </c>
      <c r="EQ80">
        <v>0</v>
      </c>
      <c r="ER80">
        <v>317.29000000000002</v>
      </c>
      <c r="ES80">
        <v>317.29000000000002</v>
      </c>
      <c r="ET80">
        <v>0</v>
      </c>
      <c r="EU80">
        <v>0</v>
      </c>
      <c r="EV80">
        <v>0</v>
      </c>
      <c r="EW80">
        <v>0</v>
      </c>
      <c r="EX80">
        <v>0</v>
      </c>
      <c r="FQ80">
        <v>0</v>
      </c>
      <c r="FR80">
        <f t="shared" si="54"/>
        <v>0</v>
      </c>
      <c r="FS80">
        <v>0</v>
      </c>
      <c r="FX80">
        <v>140</v>
      </c>
      <c r="FY80">
        <v>79</v>
      </c>
      <c r="GA80" t="s">
        <v>3</v>
      </c>
      <c r="GD80">
        <v>0</v>
      </c>
      <c r="GF80">
        <v>164969463</v>
      </c>
      <c r="GG80">
        <v>2</v>
      </c>
      <c r="GH80">
        <v>1</v>
      </c>
      <c r="GI80">
        <v>2</v>
      </c>
      <c r="GJ80">
        <v>0</v>
      </c>
      <c r="GK80">
        <f>ROUND(R80*(S12)/100,2)</f>
        <v>0</v>
      </c>
      <c r="GL80">
        <f t="shared" si="55"/>
        <v>0</v>
      </c>
      <c r="GM80">
        <f t="shared" si="56"/>
        <v>5505.19</v>
      </c>
      <c r="GN80">
        <f t="shared" si="57"/>
        <v>5505.19</v>
      </c>
      <c r="GO80">
        <f t="shared" si="58"/>
        <v>0</v>
      </c>
      <c r="GP80">
        <f t="shared" si="59"/>
        <v>0</v>
      </c>
      <c r="GR80">
        <v>0</v>
      </c>
      <c r="GS80">
        <v>3</v>
      </c>
      <c r="GT80">
        <v>0</v>
      </c>
      <c r="GU80" t="s">
        <v>3</v>
      </c>
      <c r="GV80">
        <f t="shared" si="64"/>
        <v>0</v>
      </c>
      <c r="GW80">
        <v>1</v>
      </c>
      <c r="GX80">
        <f t="shared" si="61"/>
        <v>0</v>
      </c>
      <c r="HA80">
        <v>0</v>
      </c>
      <c r="HB80">
        <v>0</v>
      </c>
      <c r="HC80">
        <f t="shared" si="62"/>
        <v>0</v>
      </c>
      <c r="HE80" t="s">
        <v>3</v>
      </c>
      <c r="HF80" t="s">
        <v>3</v>
      </c>
      <c r="HM80" t="s">
        <v>120</v>
      </c>
      <c r="HN80" t="s">
        <v>3</v>
      </c>
      <c r="HO80" t="s">
        <v>3</v>
      </c>
      <c r="HP80" t="s">
        <v>3</v>
      </c>
      <c r="HQ80" t="s">
        <v>3</v>
      </c>
      <c r="IK80">
        <v>0</v>
      </c>
    </row>
    <row r="81" spans="1:255" x14ac:dyDescent="0.2">
      <c r="A81" s="2">
        <v>17</v>
      </c>
      <c r="B81" s="2">
        <v>1</v>
      </c>
      <c r="C81" s="2">
        <f>ROW(SmtRes!A54)</f>
        <v>54</v>
      </c>
      <c r="D81" s="2">
        <f>ROW(EtalonRes!A54)</f>
        <v>54</v>
      </c>
      <c r="E81" s="2" t="s">
        <v>124</v>
      </c>
      <c r="F81" s="2" t="s">
        <v>125</v>
      </c>
      <c r="G81" s="2" t="s">
        <v>126</v>
      </c>
      <c r="H81" s="2" t="s">
        <v>127</v>
      </c>
      <c r="I81" s="2">
        <f>ROUND(10.3/100,9)</f>
        <v>0.10299999999999999</v>
      </c>
      <c r="J81" s="2">
        <v>0</v>
      </c>
      <c r="K81" s="2">
        <f>ROUND(10.3/100,9)</f>
        <v>0.10299999999999999</v>
      </c>
      <c r="L81" s="2"/>
      <c r="M81" s="2"/>
      <c r="N81" s="2"/>
      <c r="O81" s="2">
        <f t="shared" si="32"/>
        <v>548.99</v>
      </c>
      <c r="P81" s="2">
        <f t="shared" si="33"/>
        <v>443.13</v>
      </c>
      <c r="Q81" s="2">
        <f>(ROUND((ROUND((((ET81*1.25))*AV81*I81),2)*BB81),2)+ROUND((ROUND(((AE81-((EU81*1.25)))*AV81*I81),2)*BS81),2))</f>
        <v>15</v>
      </c>
      <c r="R81" s="2">
        <f t="shared" si="34"/>
        <v>1.43</v>
      </c>
      <c r="S81" s="2">
        <f t="shared" si="35"/>
        <v>90.86</v>
      </c>
      <c r="T81" s="2">
        <f t="shared" si="36"/>
        <v>0</v>
      </c>
      <c r="U81" s="2">
        <f t="shared" si="37"/>
        <v>8.267809999999999</v>
      </c>
      <c r="V81" s="2">
        <f t="shared" si="38"/>
        <v>0</v>
      </c>
      <c r="W81" s="2">
        <f t="shared" si="39"/>
        <v>0</v>
      </c>
      <c r="X81" s="2">
        <f t="shared" si="40"/>
        <v>127.2</v>
      </c>
      <c r="Y81" s="2">
        <f t="shared" si="41"/>
        <v>71.78</v>
      </c>
      <c r="Z81" s="2"/>
      <c r="AA81" s="2">
        <v>129761636</v>
      </c>
      <c r="AB81" s="2">
        <f t="shared" si="42"/>
        <v>5330.0124999999998</v>
      </c>
      <c r="AC81" s="2">
        <f t="shared" si="63"/>
        <v>4302.26</v>
      </c>
      <c r="AD81" s="2">
        <f>ROUND(((((ET81*1.25))-((EU81*1.25)))+AE81),6)</f>
        <v>145.58750000000001</v>
      </c>
      <c r="AE81" s="2">
        <f>ROUND(((EU81*1.25)),6)</f>
        <v>13.8375</v>
      </c>
      <c r="AF81" s="2">
        <f>ROUND(((EV81*1.15)),6)</f>
        <v>882.16499999999996</v>
      </c>
      <c r="AG81" s="2">
        <f t="shared" si="44"/>
        <v>0</v>
      </c>
      <c r="AH81" s="2">
        <f>((EW81*1.15))</f>
        <v>80.27</v>
      </c>
      <c r="AI81" s="2">
        <f>((EX81*1.25))</f>
        <v>0</v>
      </c>
      <c r="AJ81" s="2">
        <f t="shared" si="45"/>
        <v>0</v>
      </c>
      <c r="AK81" s="2">
        <v>5185.83</v>
      </c>
      <c r="AL81" s="2">
        <v>4302.26</v>
      </c>
      <c r="AM81" s="2">
        <v>116.47</v>
      </c>
      <c r="AN81" s="2">
        <v>11.07</v>
      </c>
      <c r="AO81" s="2">
        <v>767.1</v>
      </c>
      <c r="AP81" s="2">
        <v>0</v>
      </c>
      <c r="AQ81" s="2">
        <v>69.8</v>
      </c>
      <c r="AR81" s="2">
        <v>0</v>
      </c>
      <c r="AS81" s="2">
        <v>0</v>
      </c>
      <c r="AT81" s="2">
        <v>140</v>
      </c>
      <c r="AU81" s="2">
        <v>79</v>
      </c>
      <c r="AV81" s="2">
        <v>1</v>
      </c>
      <c r="AW81" s="2">
        <v>1</v>
      </c>
      <c r="AX81" s="2"/>
      <c r="AY81" s="2"/>
      <c r="AZ81" s="2">
        <v>1</v>
      </c>
      <c r="BA81" s="2">
        <v>1</v>
      </c>
      <c r="BB81" s="2">
        <v>1</v>
      </c>
      <c r="BC81" s="2">
        <v>1</v>
      </c>
      <c r="BD81" s="2" t="s">
        <v>3</v>
      </c>
      <c r="BE81" s="2" t="s">
        <v>3</v>
      </c>
      <c r="BF81" s="2" t="s">
        <v>3</v>
      </c>
      <c r="BG81" s="2" t="s">
        <v>3</v>
      </c>
      <c r="BH81" s="2">
        <v>0</v>
      </c>
      <c r="BI81" s="2">
        <v>1</v>
      </c>
      <c r="BJ81" s="2" t="s">
        <v>128</v>
      </c>
      <c r="BK81" s="2"/>
      <c r="BL81" s="2"/>
      <c r="BM81" s="2">
        <v>149</v>
      </c>
      <c r="BN81" s="2">
        <v>0</v>
      </c>
      <c r="BO81" s="2" t="s">
        <v>3</v>
      </c>
      <c r="BP81" s="2">
        <v>0</v>
      </c>
      <c r="BQ81" s="2">
        <v>30</v>
      </c>
      <c r="BR81" s="2">
        <v>0</v>
      </c>
      <c r="BS81" s="2">
        <v>1</v>
      </c>
      <c r="BT81" s="2">
        <v>1</v>
      </c>
      <c r="BU81" s="2">
        <v>1</v>
      </c>
      <c r="BV81" s="2">
        <v>1</v>
      </c>
      <c r="BW81" s="2">
        <v>1</v>
      </c>
      <c r="BX81" s="2">
        <v>1</v>
      </c>
      <c r="BY81" s="2" t="s">
        <v>3</v>
      </c>
      <c r="BZ81" s="2">
        <v>140</v>
      </c>
      <c r="CA81" s="2">
        <v>79</v>
      </c>
      <c r="CB81" s="2" t="s">
        <v>3</v>
      </c>
      <c r="CC81" s="2"/>
      <c r="CD81" s="2"/>
      <c r="CE81" s="2">
        <v>30</v>
      </c>
      <c r="CF81" s="2">
        <v>0</v>
      </c>
      <c r="CG81" s="2">
        <v>0</v>
      </c>
      <c r="CH81" s="2"/>
      <c r="CI81" s="2"/>
      <c r="CJ81" s="2"/>
      <c r="CK81" s="2"/>
      <c r="CL81" s="2"/>
      <c r="CM81" s="2">
        <v>0</v>
      </c>
      <c r="CN81" s="2" t="s">
        <v>1559</v>
      </c>
      <c r="CO81" s="2">
        <v>0</v>
      </c>
      <c r="CP81" s="2">
        <f t="shared" si="46"/>
        <v>548.99</v>
      </c>
      <c r="CQ81" s="2">
        <f t="shared" si="47"/>
        <v>4302.26</v>
      </c>
      <c r="CR81" s="2">
        <f>(ROUND((ROUND((((ET81*1.25))*AV81*1),2)*BB81),2)+ROUND((ROUND(((AE81-((EU81*1.25)))*AV81*1),2)*BS81),2))</f>
        <v>145.59</v>
      </c>
      <c r="CS81" s="2">
        <f t="shared" si="48"/>
        <v>13.84</v>
      </c>
      <c r="CT81" s="2">
        <f t="shared" si="49"/>
        <v>882.17</v>
      </c>
      <c r="CU81" s="2">
        <f t="shared" si="50"/>
        <v>0</v>
      </c>
      <c r="CV81" s="2">
        <f t="shared" si="51"/>
        <v>80.27</v>
      </c>
      <c r="CW81" s="2">
        <f t="shared" si="52"/>
        <v>0</v>
      </c>
      <c r="CX81" s="2">
        <f t="shared" si="53"/>
        <v>0</v>
      </c>
      <c r="CY81" s="2">
        <f>((S81*BZ81)/100)</f>
        <v>127.20399999999999</v>
      </c>
      <c r="CZ81" s="2">
        <f>((S81*CA81)/100)</f>
        <v>71.779399999999995</v>
      </c>
      <c r="DA81" s="2"/>
      <c r="DB81" s="2"/>
      <c r="DC81" s="2" t="s">
        <v>3</v>
      </c>
      <c r="DD81" s="2" t="s">
        <v>3</v>
      </c>
      <c r="DE81" s="2" t="s">
        <v>86</v>
      </c>
      <c r="DF81" s="2" t="s">
        <v>86</v>
      </c>
      <c r="DG81" s="2" t="s">
        <v>87</v>
      </c>
      <c r="DH81" s="2" t="s">
        <v>3</v>
      </c>
      <c r="DI81" s="2" t="s">
        <v>87</v>
      </c>
      <c r="DJ81" s="2" t="s">
        <v>86</v>
      </c>
      <c r="DK81" s="2" t="s">
        <v>3</v>
      </c>
      <c r="DL81" s="2" t="s">
        <v>3</v>
      </c>
      <c r="DM81" s="2" t="s">
        <v>3</v>
      </c>
      <c r="DN81" s="2">
        <v>0</v>
      </c>
      <c r="DO81" s="2">
        <v>0</v>
      </c>
      <c r="DP81" s="2">
        <v>1</v>
      </c>
      <c r="DQ81" s="2">
        <v>1</v>
      </c>
      <c r="DR81" s="2"/>
      <c r="DS81" s="2"/>
      <c r="DT81" s="2"/>
      <c r="DU81" s="2">
        <v>1013</v>
      </c>
      <c r="DV81" s="2" t="s">
        <v>127</v>
      </c>
      <c r="DW81" s="2" t="s">
        <v>127</v>
      </c>
      <c r="DX81" s="2">
        <v>1</v>
      </c>
      <c r="DY81" s="2"/>
      <c r="DZ81" s="2" t="s">
        <v>3</v>
      </c>
      <c r="EA81" s="2" t="s">
        <v>3</v>
      </c>
      <c r="EB81" s="2" t="s">
        <v>3</v>
      </c>
      <c r="EC81" s="2" t="s">
        <v>3</v>
      </c>
      <c r="ED81" s="2"/>
      <c r="EE81" s="2">
        <v>126051610</v>
      </c>
      <c r="EF81" s="2">
        <v>30</v>
      </c>
      <c r="EG81" s="2" t="s">
        <v>23</v>
      </c>
      <c r="EH81" s="2">
        <v>0</v>
      </c>
      <c r="EI81" s="2" t="s">
        <v>3</v>
      </c>
      <c r="EJ81" s="2">
        <v>1</v>
      </c>
      <c r="EK81" s="2">
        <v>149</v>
      </c>
      <c r="EL81" s="2" t="s">
        <v>129</v>
      </c>
      <c r="EM81" s="2" t="s">
        <v>130</v>
      </c>
      <c r="EN81" s="2"/>
      <c r="EO81" s="2" t="s">
        <v>90</v>
      </c>
      <c r="EP81" s="2"/>
      <c r="EQ81" s="2">
        <v>131072</v>
      </c>
      <c r="ER81" s="2">
        <v>5185.83</v>
      </c>
      <c r="ES81" s="2">
        <v>4302.26</v>
      </c>
      <c r="ET81" s="2">
        <v>116.47</v>
      </c>
      <c r="EU81" s="2">
        <v>11.07</v>
      </c>
      <c r="EV81" s="2">
        <v>767.1</v>
      </c>
      <c r="EW81" s="2">
        <v>69.8</v>
      </c>
      <c r="EX81" s="2">
        <v>0</v>
      </c>
      <c r="EY81" s="2">
        <v>0</v>
      </c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>
        <v>0</v>
      </c>
      <c r="FR81" s="2">
        <f t="shared" si="54"/>
        <v>0</v>
      </c>
      <c r="FS81" s="2">
        <v>0</v>
      </c>
      <c r="FT81" s="2"/>
      <c r="FU81" s="2"/>
      <c r="FV81" s="2"/>
      <c r="FW81" s="2"/>
      <c r="FX81" s="2">
        <v>140</v>
      </c>
      <c r="FY81" s="2">
        <v>79</v>
      </c>
      <c r="FZ81" s="2"/>
      <c r="GA81" s="2" t="s">
        <v>3</v>
      </c>
      <c r="GB81" s="2"/>
      <c r="GC81" s="2"/>
      <c r="GD81" s="2">
        <v>0</v>
      </c>
      <c r="GE81" s="2"/>
      <c r="GF81" s="2">
        <v>1670550423</v>
      </c>
      <c r="GG81" s="2">
        <v>2</v>
      </c>
      <c r="GH81" s="2">
        <v>1</v>
      </c>
      <c r="GI81" s="2">
        <v>-2</v>
      </c>
      <c r="GJ81" s="2">
        <v>0</v>
      </c>
      <c r="GK81" s="2">
        <f>ROUND(R81*(R12)/100,2)</f>
        <v>2.5</v>
      </c>
      <c r="GL81" s="2">
        <f t="shared" si="55"/>
        <v>0</v>
      </c>
      <c r="GM81" s="2">
        <f t="shared" si="56"/>
        <v>750.47</v>
      </c>
      <c r="GN81" s="2">
        <f t="shared" si="57"/>
        <v>750.47</v>
      </c>
      <c r="GO81" s="2">
        <f t="shared" si="58"/>
        <v>0</v>
      </c>
      <c r="GP81" s="2">
        <f t="shared" si="59"/>
        <v>0</v>
      </c>
      <c r="GQ81" s="2"/>
      <c r="GR81" s="2">
        <v>0</v>
      </c>
      <c r="GS81" s="2">
        <v>0</v>
      </c>
      <c r="GT81" s="2">
        <v>0</v>
      </c>
      <c r="GU81" s="2" t="s">
        <v>3</v>
      </c>
      <c r="GV81" s="2">
        <f t="shared" si="64"/>
        <v>0</v>
      </c>
      <c r="GW81" s="2">
        <v>1</v>
      </c>
      <c r="GX81" s="2">
        <f t="shared" si="61"/>
        <v>0</v>
      </c>
      <c r="GY81" s="2"/>
      <c r="GZ81" s="2"/>
      <c r="HA81" s="2">
        <v>0</v>
      </c>
      <c r="HB81" s="2">
        <v>0</v>
      </c>
      <c r="HC81" s="2">
        <f t="shared" si="62"/>
        <v>0</v>
      </c>
      <c r="HD81" s="2"/>
      <c r="HE81" s="2" t="s">
        <v>3</v>
      </c>
      <c r="HF81" s="2" t="s">
        <v>3</v>
      </c>
      <c r="HG81" s="2"/>
      <c r="HH81" s="2"/>
      <c r="HI81" s="2"/>
      <c r="HJ81" s="2"/>
      <c r="HK81" s="2"/>
      <c r="HL81" s="2"/>
      <c r="HM81" s="2" t="s">
        <v>3</v>
      </c>
      <c r="HN81" s="2" t="s">
        <v>3</v>
      </c>
      <c r="HO81" s="2" t="s">
        <v>3</v>
      </c>
      <c r="HP81" s="2" t="s">
        <v>3</v>
      </c>
      <c r="HQ81" s="2" t="s">
        <v>3</v>
      </c>
      <c r="HR81" s="2"/>
      <c r="HS81" s="2"/>
      <c r="HT81" s="2"/>
      <c r="HU81" s="2"/>
      <c r="HV81" s="2"/>
      <c r="HW81" s="2"/>
      <c r="HX81" s="2"/>
      <c r="HY81" s="2"/>
      <c r="HZ81" s="2"/>
      <c r="IA81" s="2"/>
      <c r="IB81" s="2"/>
      <c r="IC81" s="2"/>
      <c r="ID81" s="2"/>
      <c r="IE81" s="2"/>
      <c r="IF81" s="2"/>
      <c r="IG81" s="2"/>
      <c r="IH81" s="2"/>
      <c r="II81" s="2"/>
      <c r="IJ81" s="2"/>
      <c r="IK81" s="2">
        <v>0</v>
      </c>
      <c r="IL81" s="2"/>
      <c r="IM81" s="2"/>
      <c r="IN81" s="2"/>
      <c r="IO81" s="2"/>
      <c r="IP81" s="2"/>
      <c r="IQ81" s="2"/>
      <c r="IR81" s="2"/>
      <c r="IS81" s="2"/>
      <c r="IT81" s="2"/>
      <c r="IU81" s="2"/>
    </row>
    <row r="82" spans="1:255" x14ac:dyDescent="0.2">
      <c r="A82">
        <v>17</v>
      </c>
      <c r="B82">
        <v>1</v>
      </c>
      <c r="C82">
        <f>ROW(SmtRes!A60)</f>
        <v>60</v>
      </c>
      <c r="D82">
        <f>ROW(EtalonRes!A60)</f>
        <v>60</v>
      </c>
      <c r="E82" t="s">
        <v>124</v>
      </c>
      <c r="F82" t="s">
        <v>125</v>
      </c>
      <c r="G82" t="s">
        <v>126</v>
      </c>
      <c r="H82" t="s">
        <v>127</v>
      </c>
      <c r="I82">
        <f>ROUND(10.3/100,9)</f>
        <v>0.10299999999999999</v>
      </c>
      <c r="J82">
        <v>0</v>
      </c>
      <c r="K82">
        <f>ROUND(10.3/100,9)</f>
        <v>0.10299999999999999</v>
      </c>
      <c r="O82">
        <f t="shared" si="32"/>
        <v>6479.01</v>
      </c>
      <c r="P82">
        <f t="shared" si="33"/>
        <v>3686.84</v>
      </c>
      <c r="Q82">
        <f>(ROUND((ROUND((((ET82*1.25))*AV82*I82),2)*BB82),2)+ROUND((ROUND(((AE82-((EU82*1.25)))*AV82*I82),2)*BS82),2))</f>
        <v>154.5</v>
      </c>
      <c r="R82">
        <f t="shared" si="34"/>
        <v>41.51</v>
      </c>
      <c r="S82">
        <f t="shared" si="35"/>
        <v>2637.67</v>
      </c>
      <c r="T82">
        <f t="shared" si="36"/>
        <v>0</v>
      </c>
      <c r="U82">
        <f t="shared" si="37"/>
        <v>8.267809999999999</v>
      </c>
      <c r="V82">
        <f t="shared" si="38"/>
        <v>0</v>
      </c>
      <c r="W82">
        <f t="shared" si="39"/>
        <v>0</v>
      </c>
      <c r="X82">
        <f t="shared" si="40"/>
        <v>3033.32</v>
      </c>
      <c r="Y82">
        <f t="shared" si="41"/>
        <v>1081.44</v>
      </c>
      <c r="AA82">
        <v>129761633</v>
      </c>
      <c r="AB82">
        <f t="shared" si="42"/>
        <v>5330.0124999999998</v>
      </c>
      <c r="AC82">
        <f t="shared" si="63"/>
        <v>4302.26</v>
      </c>
      <c r="AD82">
        <f>ROUND(((((ET82*1.25))-((EU82*1.25)))+AE82),6)</f>
        <v>145.58750000000001</v>
      </c>
      <c r="AE82">
        <f>ROUND(((EU82*1.25)),6)</f>
        <v>13.8375</v>
      </c>
      <c r="AF82">
        <f>ROUND(((EV82*1.15)),6)</f>
        <v>882.16499999999996</v>
      </c>
      <c r="AG82">
        <f t="shared" si="44"/>
        <v>0</v>
      </c>
      <c r="AH82">
        <f>((EW82*1.15))</f>
        <v>80.27</v>
      </c>
      <c r="AI82">
        <f>((EX82*1.25))</f>
        <v>0</v>
      </c>
      <c r="AJ82">
        <f t="shared" si="45"/>
        <v>0</v>
      </c>
      <c r="AK82">
        <v>5185.83</v>
      </c>
      <c r="AL82">
        <v>4302.26</v>
      </c>
      <c r="AM82">
        <v>116.47</v>
      </c>
      <c r="AN82">
        <v>11.07</v>
      </c>
      <c r="AO82">
        <v>767.1</v>
      </c>
      <c r="AP82">
        <v>0</v>
      </c>
      <c r="AQ82">
        <v>69.8</v>
      </c>
      <c r="AR82">
        <v>0</v>
      </c>
      <c r="AS82">
        <v>0</v>
      </c>
      <c r="AT82">
        <v>115</v>
      </c>
      <c r="AU82">
        <v>41</v>
      </c>
      <c r="AV82">
        <v>1</v>
      </c>
      <c r="AW82">
        <v>1</v>
      </c>
      <c r="AZ82">
        <v>1</v>
      </c>
      <c r="BA82">
        <v>29.03</v>
      </c>
      <c r="BB82">
        <v>10.3</v>
      </c>
      <c r="BC82">
        <v>8.32</v>
      </c>
      <c r="BD82" t="s">
        <v>3</v>
      </c>
      <c r="BE82" t="s">
        <v>3</v>
      </c>
      <c r="BF82" t="s">
        <v>3</v>
      </c>
      <c r="BG82" t="s">
        <v>3</v>
      </c>
      <c r="BH82">
        <v>0</v>
      </c>
      <c r="BI82">
        <v>1</v>
      </c>
      <c r="BJ82" t="s">
        <v>128</v>
      </c>
      <c r="BM82">
        <v>149</v>
      </c>
      <c r="BN82">
        <v>0</v>
      </c>
      <c r="BO82" t="s">
        <v>125</v>
      </c>
      <c r="BP82">
        <v>1</v>
      </c>
      <c r="BQ82">
        <v>30</v>
      </c>
      <c r="BR82">
        <v>0</v>
      </c>
      <c r="BS82">
        <v>29.03</v>
      </c>
      <c r="BT82">
        <v>1</v>
      </c>
      <c r="BU82">
        <v>1</v>
      </c>
      <c r="BV82">
        <v>1</v>
      </c>
      <c r="BW82">
        <v>1</v>
      </c>
      <c r="BX82">
        <v>1</v>
      </c>
      <c r="BY82" t="s">
        <v>3</v>
      </c>
      <c r="BZ82">
        <v>115</v>
      </c>
      <c r="CA82">
        <v>41</v>
      </c>
      <c r="CB82" t="s">
        <v>3</v>
      </c>
      <c r="CE82">
        <v>30</v>
      </c>
      <c r="CF82">
        <v>0</v>
      </c>
      <c r="CG82">
        <v>0</v>
      </c>
      <c r="CM82">
        <v>0</v>
      </c>
      <c r="CN82" t="s">
        <v>1559</v>
      </c>
      <c r="CO82">
        <v>0</v>
      </c>
      <c r="CP82">
        <f t="shared" si="46"/>
        <v>6479.01</v>
      </c>
      <c r="CQ82">
        <f t="shared" si="47"/>
        <v>35794.800000000003</v>
      </c>
      <c r="CR82">
        <f>(ROUND((ROUND((((ET82*1.25))*AV82*1),2)*BB82),2)+ROUND((ROUND(((AE82-((EU82*1.25)))*AV82*1),2)*BS82),2))</f>
        <v>1499.58</v>
      </c>
      <c r="CS82">
        <f t="shared" si="48"/>
        <v>401.78</v>
      </c>
      <c r="CT82">
        <f t="shared" si="49"/>
        <v>25609.4</v>
      </c>
      <c r="CU82">
        <f t="shared" si="50"/>
        <v>0</v>
      </c>
      <c r="CV82">
        <f t="shared" si="51"/>
        <v>80.27</v>
      </c>
      <c r="CW82">
        <f t="shared" si="52"/>
        <v>0</v>
      </c>
      <c r="CX82">
        <f t="shared" si="53"/>
        <v>0</v>
      </c>
      <c r="CY82">
        <f>S82*(BZ82/100)</f>
        <v>3033.3204999999998</v>
      </c>
      <c r="CZ82">
        <f>S82*(CA82/100)</f>
        <v>1081.4447</v>
      </c>
      <c r="DC82" t="s">
        <v>3</v>
      </c>
      <c r="DD82" t="s">
        <v>3</v>
      </c>
      <c r="DE82" t="s">
        <v>86</v>
      </c>
      <c r="DF82" t="s">
        <v>86</v>
      </c>
      <c r="DG82" t="s">
        <v>87</v>
      </c>
      <c r="DH82" t="s">
        <v>3</v>
      </c>
      <c r="DI82" t="s">
        <v>87</v>
      </c>
      <c r="DJ82" t="s">
        <v>86</v>
      </c>
      <c r="DK82" t="s">
        <v>3</v>
      </c>
      <c r="DL82" t="s">
        <v>3</v>
      </c>
      <c r="DM82" t="s">
        <v>3</v>
      </c>
      <c r="DN82">
        <v>140</v>
      </c>
      <c r="DO82">
        <v>79</v>
      </c>
      <c r="DP82">
        <v>1</v>
      </c>
      <c r="DQ82">
        <v>1</v>
      </c>
      <c r="DU82">
        <v>1013</v>
      </c>
      <c r="DV82" t="s">
        <v>127</v>
      </c>
      <c r="DW82" t="s">
        <v>127</v>
      </c>
      <c r="DX82">
        <v>1</v>
      </c>
      <c r="DZ82" t="s">
        <v>3</v>
      </c>
      <c r="EA82" t="s">
        <v>3</v>
      </c>
      <c r="EB82" t="s">
        <v>3</v>
      </c>
      <c r="EC82" t="s">
        <v>3</v>
      </c>
      <c r="EE82">
        <v>126051610</v>
      </c>
      <c r="EF82">
        <v>30</v>
      </c>
      <c r="EG82" t="s">
        <v>23</v>
      </c>
      <c r="EH82">
        <v>0</v>
      </c>
      <c r="EI82" t="s">
        <v>3</v>
      </c>
      <c r="EJ82">
        <v>1</v>
      </c>
      <c r="EK82">
        <v>149</v>
      </c>
      <c r="EL82" t="s">
        <v>129</v>
      </c>
      <c r="EM82" t="s">
        <v>130</v>
      </c>
      <c r="EO82" t="s">
        <v>90</v>
      </c>
      <c r="EQ82">
        <v>131072</v>
      </c>
      <c r="ER82">
        <v>5185.83</v>
      </c>
      <c r="ES82">
        <v>4302.26</v>
      </c>
      <c r="ET82">
        <v>116.47</v>
      </c>
      <c r="EU82">
        <v>11.07</v>
      </c>
      <c r="EV82">
        <v>767.1</v>
      </c>
      <c r="EW82">
        <v>69.8</v>
      </c>
      <c r="EX82">
        <v>0</v>
      </c>
      <c r="EY82">
        <v>0</v>
      </c>
      <c r="FQ82">
        <v>0</v>
      </c>
      <c r="FR82">
        <f t="shared" si="54"/>
        <v>0</v>
      </c>
      <c r="FS82">
        <v>0</v>
      </c>
      <c r="FX82">
        <v>140</v>
      </c>
      <c r="FY82">
        <v>79</v>
      </c>
      <c r="GA82" t="s">
        <v>3</v>
      </c>
      <c r="GD82">
        <v>0</v>
      </c>
      <c r="GF82">
        <v>1670550423</v>
      </c>
      <c r="GG82">
        <v>2</v>
      </c>
      <c r="GH82">
        <v>1</v>
      </c>
      <c r="GI82">
        <v>2</v>
      </c>
      <c r="GJ82">
        <v>0</v>
      </c>
      <c r="GK82">
        <f>ROUND(R82*(S12)/100,2)</f>
        <v>66.42</v>
      </c>
      <c r="GL82">
        <f t="shared" si="55"/>
        <v>0</v>
      </c>
      <c r="GM82">
        <f t="shared" si="56"/>
        <v>10660.19</v>
      </c>
      <c r="GN82">
        <f t="shared" si="57"/>
        <v>10660.19</v>
      </c>
      <c r="GO82">
        <f t="shared" si="58"/>
        <v>0</v>
      </c>
      <c r="GP82">
        <f t="shared" si="59"/>
        <v>0</v>
      </c>
      <c r="GR82">
        <v>0</v>
      </c>
      <c r="GS82">
        <v>3</v>
      </c>
      <c r="GT82">
        <v>0</v>
      </c>
      <c r="GU82" t="s">
        <v>3</v>
      </c>
      <c r="GV82">
        <f t="shared" si="64"/>
        <v>0</v>
      </c>
      <c r="GW82">
        <v>1</v>
      </c>
      <c r="GX82">
        <f t="shared" si="61"/>
        <v>0</v>
      </c>
      <c r="HA82">
        <v>0</v>
      </c>
      <c r="HB82">
        <v>0</v>
      </c>
      <c r="HC82">
        <f t="shared" si="62"/>
        <v>0</v>
      </c>
      <c r="HE82" t="s">
        <v>3</v>
      </c>
      <c r="HF82" t="s">
        <v>3</v>
      </c>
      <c r="HM82" t="s">
        <v>3</v>
      </c>
      <c r="HN82" t="s">
        <v>3</v>
      </c>
      <c r="HO82" t="s">
        <v>3</v>
      </c>
      <c r="HP82" t="s">
        <v>3</v>
      </c>
      <c r="HQ82" t="s">
        <v>3</v>
      </c>
      <c r="IK82">
        <v>0</v>
      </c>
    </row>
    <row r="83" spans="1:255" x14ac:dyDescent="0.2">
      <c r="A83" s="2">
        <v>18</v>
      </c>
      <c r="B83" s="2">
        <v>1</v>
      </c>
      <c r="C83" s="2">
        <v>53</v>
      </c>
      <c r="D83" s="2"/>
      <c r="E83" s="2" t="s">
        <v>131</v>
      </c>
      <c r="F83" s="2" t="s">
        <v>132</v>
      </c>
      <c r="G83" s="2" t="s">
        <v>133</v>
      </c>
      <c r="H83" s="2" t="s">
        <v>94</v>
      </c>
      <c r="I83" s="2">
        <f>I81*J83</f>
        <v>0.44290000000000007</v>
      </c>
      <c r="J83" s="2">
        <v>4.3000000000000007</v>
      </c>
      <c r="K83" s="2">
        <v>4.3</v>
      </c>
      <c r="L83" s="2"/>
      <c r="M83" s="2"/>
      <c r="N83" s="2"/>
      <c r="O83" s="2">
        <f t="shared" si="32"/>
        <v>1056.6300000000001</v>
      </c>
      <c r="P83" s="2">
        <f t="shared" si="33"/>
        <v>1056.6300000000001</v>
      </c>
      <c r="Q83" s="2">
        <f>(ROUND((ROUND(((ET83)*AV83*I83),2)*BB83),2)+ROUND((ROUND(((AE83-(EU83))*AV83*I83),2)*BS83),2))</f>
        <v>0</v>
      </c>
      <c r="R83" s="2">
        <f t="shared" si="34"/>
        <v>0</v>
      </c>
      <c r="S83" s="2">
        <f t="shared" si="35"/>
        <v>0</v>
      </c>
      <c r="T83" s="2">
        <f t="shared" si="36"/>
        <v>0</v>
      </c>
      <c r="U83" s="2">
        <f t="shared" si="37"/>
        <v>0</v>
      </c>
      <c r="V83" s="2">
        <f t="shared" si="38"/>
        <v>0</v>
      </c>
      <c r="W83" s="2">
        <f t="shared" si="39"/>
        <v>0</v>
      </c>
      <c r="X83" s="2">
        <f t="shared" si="40"/>
        <v>0</v>
      </c>
      <c r="Y83" s="2">
        <f t="shared" si="41"/>
        <v>0</v>
      </c>
      <c r="Z83" s="2"/>
      <c r="AA83" s="2">
        <v>129761636</v>
      </c>
      <c r="AB83" s="2">
        <f t="shared" si="42"/>
        <v>2385.71</v>
      </c>
      <c r="AC83" s="2">
        <f t="shared" si="63"/>
        <v>2385.71</v>
      </c>
      <c r="AD83" s="2">
        <f>ROUND((((ET83)-(EU83))+AE83),6)</f>
        <v>0</v>
      </c>
      <c r="AE83" s="2">
        <f>ROUND((EU83),6)</f>
        <v>0</v>
      </c>
      <c r="AF83" s="2">
        <f>ROUND((EV83),6)</f>
        <v>0</v>
      </c>
      <c r="AG83" s="2">
        <f t="shared" si="44"/>
        <v>0</v>
      </c>
      <c r="AH83" s="2">
        <f>(EW83)</f>
        <v>0</v>
      </c>
      <c r="AI83" s="2">
        <f>(EX83)</f>
        <v>0</v>
      </c>
      <c r="AJ83" s="2">
        <f t="shared" si="45"/>
        <v>0</v>
      </c>
      <c r="AK83" s="2">
        <v>2385.71</v>
      </c>
      <c r="AL83" s="2">
        <v>2385.71</v>
      </c>
      <c r="AM83" s="2">
        <v>0</v>
      </c>
      <c r="AN83" s="2">
        <v>0</v>
      </c>
      <c r="AO83" s="2">
        <v>0</v>
      </c>
      <c r="AP83" s="2">
        <v>0</v>
      </c>
      <c r="AQ83" s="2">
        <v>0</v>
      </c>
      <c r="AR83" s="2">
        <v>0</v>
      </c>
      <c r="AS83" s="2">
        <v>0</v>
      </c>
      <c r="AT83" s="2">
        <v>140</v>
      </c>
      <c r="AU83" s="2">
        <v>79</v>
      </c>
      <c r="AV83" s="2">
        <v>1</v>
      </c>
      <c r="AW83" s="2">
        <v>1</v>
      </c>
      <c r="AX83" s="2"/>
      <c r="AY83" s="2"/>
      <c r="AZ83" s="2">
        <v>1</v>
      </c>
      <c r="BA83" s="2">
        <v>1</v>
      </c>
      <c r="BB83" s="2">
        <v>1</v>
      </c>
      <c r="BC83" s="2">
        <v>1</v>
      </c>
      <c r="BD83" s="2" t="s">
        <v>3</v>
      </c>
      <c r="BE83" s="2" t="s">
        <v>3</v>
      </c>
      <c r="BF83" s="2" t="s">
        <v>3</v>
      </c>
      <c r="BG83" s="2" t="s">
        <v>3</v>
      </c>
      <c r="BH83" s="2">
        <v>3</v>
      </c>
      <c r="BI83" s="2">
        <v>1</v>
      </c>
      <c r="BJ83" s="2" t="s">
        <v>134</v>
      </c>
      <c r="BK83" s="2"/>
      <c r="BL83" s="2"/>
      <c r="BM83" s="2">
        <v>149</v>
      </c>
      <c r="BN83" s="2">
        <v>0</v>
      </c>
      <c r="BO83" s="2" t="s">
        <v>3</v>
      </c>
      <c r="BP83" s="2">
        <v>0</v>
      </c>
      <c r="BQ83" s="2">
        <v>30</v>
      </c>
      <c r="BR83" s="2">
        <v>0</v>
      </c>
      <c r="BS83" s="2">
        <v>1</v>
      </c>
      <c r="BT83" s="2">
        <v>1</v>
      </c>
      <c r="BU83" s="2">
        <v>1</v>
      </c>
      <c r="BV83" s="2">
        <v>1</v>
      </c>
      <c r="BW83" s="2">
        <v>1</v>
      </c>
      <c r="BX83" s="2">
        <v>1</v>
      </c>
      <c r="BY83" s="2" t="s">
        <v>3</v>
      </c>
      <c r="BZ83" s="2">
        <v>140</v>
      </c>
      <c r="CA83" s="2">
        <v>79</v>
      </c>
      <c r="CB83" s="2" t="s">
        <v>3</v>
      </c>
      <c r="CC83" s="2"/>
      <c r="CD83" s="2"/>
      <c r="CE83" s="2">
        <v>30</v>
      </c>
      <c r="CF83" s="2">
        <v>0</v>
      </c>
      <c r="CG83" s="2">
        <v>0</v>
      </c>
      <c r="CH83" s="2"/>
      <c r="CI83" s="2"/>
      <c r="CJ83" s="2"/>
      <c r="CK83" s="2"/>
      <c r="CL83" s="2"/>
      <c r="CM83" s="2">
        <v>0</v>
      </c>
      <c r="CN83" s="2" t="s">
        <v>3</v>
      </c>
      <c r="CO83" s="2">
        <v>0</v>
      </c>
      <c r="CP83" s="2">
        <f t="shared" si="46"/>
        <v>1056.6300000000001</v>
      </c>
      <c r="CQ83" s="2">
        <f t="shared" si="47"/>
        <v>2385.71</v>
      </c>
      <c r="CR83" s="2">
        <f>(ROUND((ROUND(((ET83)*AV83*1),2)*BB83),2)+ROUND((ROUND(((AE83-(EU83))*AV83*1),2)*BS83),2))</f>
        <v>0</v>
      </c>
      <c r="CS83" s="2">
        <f t="shared" si="48"/>
        <v>0</v>
      </c>
      <c r="CT83" s="2">
        <f t="shared" si="49"/>
        <v>0</v>
      </c>
      <c r="CU83" s="2">
        <f t="shared" si="50"/>
        <v>0</v>
      </c>
      <c r="CV83" s="2">
        <f t="shared" si="51"/>
        <v>0</v>
      </c>
      <c r="CW83" s="2">
        <f t="shared" si="52"/>
        <v>0</v>
      </c>
      <c r="CX83" s="2">
        <f t="shared" si="53"/>
        <v>0</v>
      </c>
      <c r="CY83" s="2">
        <f>((S83*BZ83)/100)</f>
        <v>0</v>
      </c>
      <c r="CZ83" s="2">
        <f>((S83*CA83)/100)</f>
        <v>0</v>
      </c>
      <c r="DA83" s="2"/>
      <c r="DB83" s="2"/>
      <c r="DC83" s="2" t="s">
        <v>3</v>
      </c>
      <c r="DD83" s="2" t="s">
        <v>3</v>
      </c>
      <c r="DE83" s="2" t="s">
        <v>3</v>
      </c>
      <c r="DF83" s="2" t="s">
        <v>3</v>
      </c>
      <c r="DG83" s="2" t="s">
        <v>3</v>
      </c>
      <c r="DH83" s="2" t="s">
        <v>3</v>
      </c>
      <c r="DI83" s="2" t="s">
        <v>3</v>
      </c>
      <c r="DJ83" s="2" t="s">
        <v>3</v>
      </c>
      <c r="DK83" s="2" t="s">
        <v>3</v>
      </c>
      <c r="DL83" s="2" t="s">
        <v>3</v>
      </c>
      <c r="DM83" s="2" t="s">
        <v>3</v>
      </c>
      <c r="DN83" s="2">
        <v>0</v>
      </c>
      <c r="DO83" s="2">
        <v>0</v>
      </c>
      <c r="DP83" s="2">
        <v>1</v>
      </c>
      <c r="DQ83" s="2">
        <v>1</v>
      </c>
      <c r="DR83" s="2"/>
      <c r="DS83" s="2"/>
      <c r="DT83" s="2"/>
      <c r="DU83" s="2">
        <v>1007</v>
      </c>
      <c r="DV83" s="2" t="s">
        <v>94</v>
      </c>
      <c r="DW83" s="2" t="s">
        <v>94</v>
      </c>
      <c r="DX83" s="2">
        <v>1</v>
      </c>
      <c r="DY83" s="2"/>
      <c r="DZ83" s="2" t="s">
        <v>3</v>
      </c>
      <c r="EA83" s="2" t="s">
        <v>3</v>
      </c>
      <c r="EB83" s="2" t="s">
        <v>3</v>
      </c>
      <c r="EC83" s="2" t="s">
        <v>3</v>
      </c>
      <c r="ED83" s="2"/>
      <c r="EE83" s="2">
        <v>126051610</v>
      </c>
      <c r="EF83" s="2">
        <v>30</v>
      </c>
      <c r="EG83" s="2" t="s">
        <v>23</v>
      </c>
      <c r="EH83" s="2">
        <v>0</v>
      </c>
      <c r="EI83" s="2" t="s">
        <v>3</v>
      </c>
      <c r="EJ83" s="2">
        <v>1</v>
      </c>
      <c r="EK83" s="2">
        <v>149</v>
      </c>
      <c r="EL83" s="2" t="s">
        <v>129</v>
      </c>
      <c r="EM83" s="2" t="s">
        <v>130</v>
      </c>
      <c r="EN83" s="2"/>
      <c r="EO83" s="2" t="s">
        <v>3</v>
      </c>
      <c r="EP83" s="2"/>
      <c r="EQ83" s="2">
        <v>0</v>
      </c>
      <c r="ER83" s="2">
        <v>2385.71</v>
      </c>
      <c r="ES83" s="2">
        <v>2385.71</v>
      </c>
      <c r="ET83" s="2">
        <v>0</v>
      </c>
      <c r="EU83" s="2">
        <v>0</v>
      </c>
      <c r="EV83" s="2">
        <v>0</v>
      </c>
      <c r="EW83" s="2">
        <v>0</v>
      </c>
      <c r="EX83" s="2">
        <v>0</v>
      </c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>
        <v>0</v>
      </c>
      <c r="FR83" s="2">
        <f t="shared" si="54"/>
        <v>0</v>
      </c>
      <c r="FS83" s="2">
        <v>0</v>
      </c>
      <c r="FT83" s="2"/>
      <c r="FU83" s="2"/>
      <c r="FV83" s="2"/>
      <c r="FW83" s="2"/>
      <c r="FX83" s="2">
        <v>140</v>
      </c>
      <c r="FY83" s="2">
        <v>79</v>
      </c>
      <c r="FZ83" s="2"/>
      <c r="GA83" s="2" t="s">
        <v>3</v>
      </c>
      <c r="GB83" s="2"/>
      <c r="GC83" s="2"/>
      <c r="GD83" s="2">
        <v>0</v>
      </c>
      <c r="GE83" s="2"/>
      <c r="GF83" s="2">
        <v>889553512</v>
      </c>
      <c r="GG83" s="2">
        <v>2</v>
      </c>
      <c r="GH83" s="2">
        <v>1</v>
      </c>
      <c r="GI83" s="2">
        <v>-2</v>
      </c>
      <c r="GJ83" s="2">
        <v>0</v>
      </c>
      <c r="GK83" s="2">
        <f>ROUND(R83*(R12)/100,2)</f>
        <v>0</v>
      </c>
      <c r="GL83" s="2">
        <f t="shared" si="55"/>
        <v>0</v>
      </c>
      <c r="GM83" s="2">
        <f t="shared" si="56"/>
        <v>1056.6300000000001</v>
      </c>
      <c r="GN83" s="2">
        <f t="shared" si="57"/>
        <v>1056.6300000000001</v>
      </c>
      <c r="GO83" s="2">
        <f t="shared" si="58"/>
        <v>0</v>
      </c>
      <c r="GP83" s="2">
        <f t="shared" si="59"/>
        <v>0</v>
      </c>
      <c r="GQ83" s="2"/>
      <c r="GR83" s="2">
        <v>0</v>
      </c>
      <c r="GS83" s="2">
        <v>0</v>
      </c>
      <c r="GT83" s="2">
        <v>0</v>
      </c>
      <c r="GU83" s="2" t="s">
        <v>3</v>
      </c>
      <c r="GV83" s="2">
        <f t="shared" si="64"/>
        <v>0</v>
      </c>
      <c r="GW83" s="2">
        <v>1</v>
      </c>
      <c r="GX83" s="2">
        <f t="shared" si="61"/>
        <v>0</v>
      </c>
      <c r="GY83" s="2"/>
      <c r="GZ83" s="2"/>
      <c r="HA83" s="2">
        <v>0</v>
      </c>
      <c r="HB83" s="2">
        <v>0</v>
      </c>
      <c r="HC83" s="2">
        <f t="shared" si="62"/>
        <v>0</v>
      </c>
      <c r="HD83" s="2"/>
      <c r="HE83" s="2" t="s">
        <v>3</v>
      </c>
      <c r="HF83" s="2" t="s">
        <v>3</v>
      </c>
      <c r="HG83" s="2"/>
      <c r="HH83" s="2"/>
      <c r="HI83" s="2"/>
      <c r="HJ83" s="2"/>
      <c r="HK83" s="2"/>
      <c r="HL83" s="2"/>
      <c r="HM83" s="2" t="s">
        <v>3</v>
      </c>
      <c r="HN83" s="2" t="s">
        <v>3</v>
      </c>
      <c r="HO83" s="2" t="s">
        <v>3</v>
      </c>
      <c r="HP83" s="2" t="s">
        <v>3</v>
      </c>
      <c r="HQ83" s="2" t="s">
        <v>3</v>
      </c>
      <c r="HR83" s="2"/>
      <c r="HS83" s="2"/>
      <c r="HT83" s="2"/>
      <c r="HU83" s="2"/>
      <c r="HV83" s="2"/>
      <c r="HW83" s="2"/>
      <c r="HX83" s="2"/>
      <c r="HY83" s="2"/>
      <c r="HZ83" s="2"/>
      <c r="IA83" s="2"/>
      <c r="IB83" s="2"/>
      <c r="IC83" s="2"/>
      <c r="ID83" s="2"/>
      <c r="IE83" s="2"/>
      <c r="IF83" s="2"/>
      <c r="IG83" s="2"/>
      <c r="IH83" s="2"/>
      <c r="II83" s="2"/>
      <c r="IJ83" s="2"/>
      <c r="IK83" s="2">
        <v>0</v>
      </c>
      <c r="IL83" s="2"/>
      <c r="IM83" s="2"/>
      <c r="IN83" s="2"/>
      <c r="IO83" s="2"/>
      <c r="IP83" s="2"/>
      <c r="IQ83" s="2"/>
      <c r="IR83" s="2"/>
      <c r="IS83" s="2"/>
      <c r="IT83" s="2"/>
      <c r="IU83" s="2"/>
    </row>
    <row r="84" spans="1:255" x14ac:dyDescent="0.2">
      <c r="A84">
        <v>18</v>
      </c>
      <c r="B84">
        <v>1</v>
      </c>
      <c r="C84">
        <v>59</v>
      </c>
      <c r="E84" t="s">
        <v>131</v>
      </c>
      <c r="F84" t="s">
        <v>132</v>
      </c>
      <c r="G84" t="s">
        <v>133</v>
      </c>
      <c r="H84" t="s">
        <v>94</v>
      </c>
      <c r="I84">
        <f>I82*J84</f>
        <v>0.44290000000000007</v>
      </c>
      <c r="J84">
        <v>4.3000000000000007</v>
      </c>
      <c r="K84">
        <v>4.3</v>
      </c>
      <c r="O84">
        <f t="shared" si="32"/>
        <v>5452.21</v>
      </c>
      <c r="P84">
        <f t="shared" si="33"/>
        <v>5452.21</v>
      </c>
      <c r="Q84">
        <f>(ROUND((ROUND(((ET84)*AV84*I84),2)*BB84),2)+ROUND((ROUND(((AE84-(EU84))*AV84*I84),2)*BS84),2))</f>
        <v>0</v>
      </c>
      <c r="R84">
        <f t="shared" si="34"/>
        <v>0</v>
      </c>
      <c r="S84">
        <f t="shared" si="35"/>
        <v>0</v>
      </c>
      <c r="T84">
        <f t="shared" si="36"/>
        <v>0</v>
      </c>
      <c r="U84">
        <f t="shared" si="37"/>
        <v>0</v>
      </c>
      <c r="V84">
        <f t="shared" si="38"/>
        <v>0</v>
      </c>
      <c r="W84">
        <f t="shared" si="39"/>
        <v>0</v>
      </c>
      <c r="X84">
        <f t="shared" si="40"/>
        <v>0</v>
      </c>
      <c r="Y84">
        <f t="shared" si="41"/>
        <v>0</v>
      </c>
      <c r="AA84">
        <v>129761633</v>
      </c>
      <c r="AB84">
        <f t="shared" si="42"/>
        <v>2385.71</v>
      </c>
      <c r="AC84">
        <f t="shared" si="63"/>
        <v>2385.71</v>
      </c>
      <c r="AD84">
        <f>ROUND((((ET84)-(EU84))+AE84),6)</f>
        <v>0</v>
      </c>
      <c r="AE84">
        <f>ROUND((EU84),6)</f>
        <v>0</v>
      </c>
      <c r="AF84">
        <f>ROUND((EV84),6)</f>
        <v>0</v>
      </c>
      <c r="AG84">
        <f t="shared" si="44"/>
        <v>0</v>
      </c>
      <c r="AH84">
        <f>(EW84)</f>
        <v>0</v>
      </c>
      <c r="AI84">
        <f>(EX84)</f>
        <v>0</v>
      </c>
      <c r="AJ84">
        <f t="shared" si="45"/>
        <v>0</v>
      </c>
      <c r="AK84">
        <v>2385.71</v>
      </c>
      <c r="AL84">
        <v>2385.71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1</v>
      </c>
      <c r="AW84">
        <v>1</v>
      </c>
      <c r="AZ84">
        <v>1</v>
      </c>
      <c r="BA84">
        <v>1</v>
      </c>
      <c r="BB84">
        <v>1</v>
      </c>
      <c r="BC84">
        <v>5.16</v>
      </c>
      <c r="BD84" t="s">
        <v>3</v>
      </c>
      <c r="BE84" t="s">
        <v>3</v>
      </c>
      <c r="BF84" t="s">
        <v>3</v>
      </c>
      <c r="BG84" t="s">
        <v>3</v>
      </c>
      <c r="BH84">
        <v>3</v>
      </c>
      <c r="BI84">
        <v>1</v>
      </c>
      <c r="BJ84" t="s">
        <v>134</v>
      </c>
      <c r="BM84">
        <v>149</v>
      </c>
      <c r="BN84">
        <v>0</v>
      </c>
      <c r="BO84" t="s">
        <v>132</v>
      </c>
      <c r="BP84">
        <v>1</v>
      </c>
      <c r="BQ84">
        <v>30</v>
      </c>
      <c r="BR84">
        <v>0</v>
      </c>
      <c r="BS84">
        <v>1</v>
      </c>
      <c r="BT84">
        <v>1</v>
      </c>
      <c r="BU84">
        <v>1</v>
      </c>
      <c r="BV84">
        <v>1</v>
      </c>
      <c r="BW84">
        <v>1</v>
      </c>
      <c r="BX84">
        <v>1</v>
      </c>
      <c r="BY84" t="s">
        <v>3</v>
      </c>
      <c r="BZ84">
        <v>0</v>
      </c>
      <c r="CA84">
        <v>0</v>
      </c>
      <c r="CB84" t="s">
        <v>3</v>
      </c>
      <c r="CE84">
        <v>30</v>
      </c>
      <c r="CF84">
        <v>0</v>
      </c>
      <c r="CG84">
        <v>0</v>
      </c>
      <c r="CM84">
        <v>0</v>
      </c>
      <c r="CN84" t="s">
        <v>3</v>
      </c>
      <c r="CO84">
        <v>0</v>
      </c>
      <c r="CP84">
        <f t="shared" si="46"/>
        <v>5452.21</v>
      </c>
      <c r="CQ84">
        <f t="shared" si="47"/>
        <v>12310.26</v>
      </c>
      <c r="CR84">
        <f>(ROUND((ROUND(((ET84)*AV84*1),2)*BB84),2)+ROUND((ROUND(((AE84-(EU84))*AV84*1),2)*BS84),2))</f>
        <v>0</v>
      </c>
      <c r="CS84">
        <f t="shared" si="48"/>
        <v>0</v>
      </c>
      <c r="CT84">
        <f t="shared" si="49"/>
        <v>0</v>
      </c>
      <c r="CU84">
        <f t="shared" si="50"/>
        <v>0</v>
      </c>
      <c r="CV84">
        <f t="shared" si="51"/>
        <v>0</v>
      </c>
      <c r="CW84">
        <f t="shared" si="52"/>
        <v>0</v>
      </c>
      <c r="CX84">
        <f t="shared" si="53"/>
        <v>0</v>
      </c>
      <c r="CY84">
        <f>S84*(BZ84/100)</f>
        <v>0</v>
      </c>
      <c r="CZ84">
        <f>S84*(CA84/100)</f>
        <v>0</v>
      </c>
      <c r="DC84" t="s">
        <v>3</v>
      </c>
      <c r="DD84" t="s">
        <v>3</v>
      </c>
      <c r="DE84" t="s">
        <v>3</v>
      </c>
      <c r="DF84" t="s">
        <v>3</v>
      </c>
      <c r="DG84" t="s">
        <v>3</v>
      </c>
      <c r="DH84" t="s">
        <v>3</v>
      </c>
      <c r="DI84" t="s">
        <v>3</v>
      </c>
      <c r="DJ84" t="s">
        <v>3</v>
      </c>
      <c r="DK84" t="s">
        <v>3</v>
      </c>
      <c r="DL84" t="s">
        <v>3</v>
      </c>
      <c r="DM84" t="s">
        <v>3</v>
      </c>
      <c r="DN84">
        <v>140</v>
      </c>
      <c r="DO84">
        <v>79</v>
      </c>
      <c r="DP84">
        <v>1</v>
      </c>
      <c r="DQ84">
        <v>1</v>
      </c>
      <c r="DU84">
        <v>1007</v>
      </c>
      <c r="DV84" t="s">
        <v>94</v>
      </c>
      <c r="DW84" t="s">
        <v>94</v>
      </c>
      <c r="DX84">
        <v>1</v>
      </c>
      <c r="DZ84" t="s">
        <v>3</v>
      </c>
      <c r="EA84" t="s">
        <v>3</v>
      </c>
      <c r="EB84" t="s">
        <v>3</v>
      </c>
      <c r="EC84" t="s">
        <v>3</v>
      </c>
      <c r="EE84">
        <v>126051610</v>
      </c>
      <c r="EF84">
        <v>30</v>
      </c>
      <c r="EG84" t="s">
        <v>23</v>
      </c>
      <c r="EH84">
        <v>0</v>
      </c>
      <c r="EI84" t="s">
        <v>3</v>
      </c>
      <c r="EJ84">
        <v>1</v>
      </c>
      <c r="EK84">
        <v>149</v>
      </c>
      <c r="EL84" t="s">
        <v>129</v>
      </c>
      <c r="EM84" t="s">
        <v>130</v>
      </c>
      <c r="EO84" t="s">
        <v>3</v>
      </c>
      <c r="EQ84">
        <v>0</v>
      </c>
      <c r="ER84">
        <v>2385.71</v>
      </c>
      <c r="ES84">
        <v>2385.71</v>
      </c>
      <c r="ET84">
        <v>0</v>
      </c>
      <c r="EU84">
        <v>0</v>
      </c>
      <c r="EV84">
        <v>0</v>
      </c>
      <c r="EW84">
        <v>0</v>
      </c>
      <c r="EX84">
        <v>0</v>
      </c>
      <c r="FQ84">
        <v>0</v>
      </c>
      <c r="FR84">
        <f t="shared" si="54"/>
        <v>0</v>
      </c>
      <c r="FS84">
        <v>0</v>
      </c>
      <c r="FX84">
        <v>140</v>
      </c>
      <c r="FY84">
        <v>79</v>
      </c>
      <c r="GA84" t="s">
        <v>3</v>
      </c>
      <c r="GD84">
        <v>0</v>
      </c>
      <c r="GF84">
        <v>889553512</v>
      </c>
      <c r="GG84">
        <v>2</v>
      </c>
      <c r="GH84">
        <v>1</v>
      </c>
      <c r="GI84">
        <v>2</v>
      </c>
      <c r="GJ84">
        <v>0</v>
      </c>
      <c r="GK84">
        <f>ROUND(R84*(S12)/100,2)</f>
        <v>0</v>
      </c>
      <c r="GL84">
        <f t="shared" si="55"/>
        <v>0</v>
      </c>
      <c r="GM84">
        <f t="shared" si="56"/>
        <v>5452.21</v>
      </c>
      <c r="GN84">
        <f t="shared" si="57"/>
        <v>5452.21</v>
      </c>
      <c r="GO84">
        <f t="shared" si="58"/>
        <v>0</v>
      </c>
      <c r="GP84">
        <f t="shared" si="59"/>
        <v>0</v>
      </c>
      <c r="GR84">
        <v>0</v>
      </c>
      <c r="GS84">
        <v>3</v>
      </c>
      <c r="GT84">
        <v>0</v>
      </c>
      <c r="GU84" t="s">
        <v>3</v>
      </c>
      <c r="GV84">
        <f t="shared" si="64"/>
        <v>0</v>
      </c>
      <c r="GW84">
        <v>1</v>
      </c>
      <c r="GX84">
        <f t="shared" si="61"/>
        <v>0</v>
      </c>
      <c r="HA84">
        <v>0</v>
      </c>
      <c r="HB84">
        <v>0</v>
      </c>
      <c r="HC84">
        <f t="shared" si="62"/>
        <v>0</v>
      </c>
      <c r="HE84" t="s">
        <v>3</v>
      </c>
      <c r="HF84" t="s">
        <v>3</v>
      </c>
      <c r="HM84" t="s">
        <v>3</v>
      </c>
      <c r="HN84" t="s">
        <v>3</v>
      </c>
      <c r="HO84" t="s">
        <v>3</v>
      </c>
      <c r="HP84" t="s">
        <v>3</v>
      </c>
      <c r="HQ84" t="s">
        <v>3</v>
      </c>
      <c r="IK84">
        <v>0</v>
      </c>
    </row>
    <row r="86" spans="1:255" x14ac:dyDescent="0.2">
      <c r="A86" s="3">
        <v>51</v>
      </c>
      <c r="B86" s="3">
        <f>B61</f>
        <v>1</v>
      </c>
      <c r="C86" s="3">
        <f>A61</f>
        <v>4</v>
      </c>
      <c r="D86" s="3">
        <f>ROW(A61)</f>
        <v>61</v>
      </c>
      <c r="E86" s="3"/>
      <c r="F86" s="3" t="str">
        <f>IF(F61&lt;&gt;"",F61,"")</f>
        <v>Новый раздел</v>
      </c>
      <c r="G86" s="3" t="str">
        <f>IF(G61&lt;&gt;"",G61,"")</f>
        <v>Монтажные работы</v>
      </c>
      <c r="H86" s="3">
        <v>0</v>
      </c>
      <c r="I86" s="3"/>
      <c r="J86" s="3"/>
      <c r="K86" s="3"/>
      <c r="L86" s="3"/>
      <c r="M86" s="3"/>
      <c r="N86" s="3"/>
      <c r="O86" s="3">
        <f t="shared" ref="O86:T86" si="65">ROUND(AB86,2)</f>
        <v>3354.42</v>
      </c>
      <c r="P86" s="3">
        <f t="shared" si="65"/>
        <v>3016.91</v>
      </c>
      <c r="Q86" s="3">
        <f t="shared" si="65"/>
        <v>171.87</v>
      </c>
      <c r="R86" s="3">
        <f t="shared" si="65"/>
        <v>16.440000000000001</v>
      </c>
      <c r="S86" s="3">
        <f t="shared" si="65"/>
        <v>165.64</v>
      </c>
      <c r="T86" s="3">
        <f t="shared" si="65"/>
        <v>0</v>
      </c>
      <c r="U86" s="3">
        <f>AH86</f>
        <v>14.600353999999999</v>
      </c>
      <c r="V86" s="3">
        <f>AI86</f>
        <v>0</v>
      </c>
      <c r="W86" s="3">
        <f>ROUND(AJ86,2)</f>
        <v>0</v>
      </c>
      <c r="X86" s="3">
        <f>ROUND(AK86,2)</f>
        <v>231.89</v>
      </c>
      <c r="Y86" s="3">
        <f>ROUND(AL86,2)</f>
        <v>130.85</v>
      </c>
      <c r="Z86" s="3"/>
      <c r="AA86" s="3"/>
      <c r="AB86" s="3">
        <f>ROUND(SUMIF(AA65:AA84,"=129761636",O65:O84),2)</f>
        <v>3354.42</v>
      </c>
      <c r="AC86" s="3">
        <f>ROUND(SUMIF(AA65:AA84,"=129761636",P65:P84),2)</f>
        <v>3016.91</v>
      </c>
      <c r="AD86" s="3">
        <f>ROUND(SUMIF(AA65:AA84,"=129761636",Q65:Q84),2)</f>
        <v>171.87</v>
      </c>
      <c r="AE86" s="3">
        <f>ROUND(SUMIF(AA65:AA84,"=129761636",R65:R84),2)</f>
        <v>16.440000000000001</v>
      </c>
      <c r="AF86" s="3">
        <f>ROUND(SUMIF(AA65:AA84,"=129761636",S65:S84),2)</f>
        <v>165.64</v>
      </c>
      <c r="AG86" s="3">
        <f>ROUND(SUMIF(AA65:AA84,"=129761636",T65:T84),2)</f>
        <v>0</v>
      </c>
      <c r="AH86" s="3">
        <f>SUMIF(AA65:AA84,"=129761636",U65:U84)</f>
        <v>14.600353999999999</v>
      </c>
      <c r="AI86" s="3">
        <f>SUMIF(AA65:AA84,"=129761636",V65:V84)</f>
        <v>0</v>
      </c>
      <c r="AJ86" s="3">
        <f>ROUND(SUMIF(AA65:AA84,"=129761636",W65:W84),2)</f>
        <v>0</v>
      </c>
      <c r="AK86" s="3">
        <f>ROUND(SUMIF(AA65:AA84,"=129761636",X65:X84),2)</f>
        <v>231.89</v>
      </c>
      <c r="AL86" s="3">
        <f>ROUND(SUMIF(AA65:AA84,"=129761636",Y65:Y84),2)</f>
        <v>130.85</v>
      </c>
      <c r="AM86" s="3"/>
      <c r="AN86" s="3"/>
      <c r="AO86" s="3">
        <f t="shared" ref="AO86:BD86" si="66">ROUND(BX86,2)</f>
        <v>0</v>
      </c>
      <c r="AP86" s="3">
        <f t="shared" si="66"/>
        <v>0</v>
      </c>
      <c r="AQ86" s="3">
        <f t="shared" si="66"/>
        <v>0</v>
      </c>
      <c r="AR86" s="3">
        <f t="shared" si="66"/>
        <v>3745.93</v>
      </c>
      <c r="AS86" s="3">
        <f t="shared" si="66"/>
        <v>3745.93</v>
      </c>
      <c r="AT86" s="3">
        <f t="shared" si="66"/>
        <v>0</v>
      </c>
      <c r="AU86" s="3">
        <f t="shared" si="66"/>
        <v>0</v>
      </c>
      <c r="AV86" s="3">
        <f t="shared" si="66"/>
        <v>3016.91</v>
      </c>
      <c r="AW86" s="3">
        <f t="shared" si="66"/>
        <v>3016.91</v>
      </c>
      <c r="AX86" s="3">
        <f t="shared" si="66"/>
        <v>0</v>
      </c>
      <c r="AY86" s="3">
        <f t="shared" si="66"/>
        <v>3016.91</v>
      </c>
      <c r="AZ86" s="3">
        <f t="shared" si="66"/>
        <v>0</v>
      </c>
      <c r="BA86" s="3">
        <f t="shared" si="66"/>
        <v>0</v>
      </c>
      <c r="BB86" s="3">
        <f t="shared" si="66"/>
        <v>0</v>
      </c>
      <c r="BC86" s="3">
        <f t="shared" si="66"/>
        <v>0</v>
      </c>
      <c r="BD86" s="3">
        <f t="shared" si="66"/>
        <v>0</v>
      </c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>
        <f>ROUND(SUMIF(AA65:AA84,"=129761636",FQ65:FQ84),2)</f>
        <v>0</v>
      </c>
      <c r="BY86" s="3">
        <f>ROUND(SUMIF(AA65:AA84,"=129761636",FR65:FR84),2)</f>
        <v>0</v>
      </c>
      <c r="BZ86" s="3">
        <f>ROUND(SUMIF(AA65:AA84,"=129761636",GL65:GL84),2)</f>
        <v>0</v>
      </c>
      <c r="CA86" s="3">
        <f>ROUND(SUMIF(AA65:AA84,"=129761636",GM65:GM84),2)</f>
        <v>3745.93</v>
      </c>
      <c r="CB86" s="3">
        <f>ROUND(SUMIF(AA65:AA84,"=129761636",GN65:GN84),2)</f>
        <v>3745.93</v>
      </c>
      <c r="CC86" s="3">
        <f>ROUND(SUMIF(AA65:AA84,"=129761636",GO65:GO84),2)</f>
        <v>0</v>
      </c>
      <c r="CD86" s="3">
        <f>ROUND(SUMIF(AA65:AA84,"=129761636",GP65:GP84),2)</f>
        <v>0</v>
      </c>
      <c r="CE86" s="3">
        <f>AC86-BX86</f>
        <v>3016.91</v>
      </c>
      <c r="CF86" s="3">
        <f>AC86-BY86</f>
        <v>3016.91</v>
      </c>
      <c r="CG86" s="3">
        <f>BX86-BZ86</f>
        <v>0</v>
      </c>
      <c r="CH86" s="3">
        <f>AC86-BX86-BY86+BZ86</f>
        <v>3016.91</v>
      </c>
      <c r="CI86" s="3">
        <f>BY86-BZ86</f>
        <v>0</v>
      </c>
      <c r="CJ86" s="3">
        <f>ROUND(SUMIF(AA65:AA84,"=129761636",GX65:GX84),2)</f>
        <v>0</v>
      </c>
      <c r="CK86" s="3">
        <f>ROUND(SUMIF(AA65:AA84,"=129761636",GY65:GY84),2)</f>
        <v>0</v>
      </c>
      <c r="CL86" s="3">
        <f>ROUND(SUMIF(AA65:AA84,"=129761636",GZ65:GZ84),2)</f>
        <v>0</v>
      </c>
      <c r="CM86" s="3">
        <f>ROUND(SUMIF(AA65:AA84,"=129761636",HD65:HD84),2)</f>
        <v>0</v>
      </c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4">
        <f t="shared" ref="DG86:DL86" si="67">ROUND(DT86,2)</f>
        <v>35940.22</v>
      </c>
      <c r="DH86" s="4">
        <f t="shared" si="67"/>
        <v>29329.89</v>
      </c>
      <c r="DI86" s="4">
        <f t="shared" si="67"/>
        <v>1801.79</v>
      </c>
      <c r="DJ86" s="4">
        <f t="shared" si="67"/>
        <v>477.26</v>
      </c>
      <c r="DK86" s="4">
        <f t="shared" si="67"/>
        <v>4808.54</v>
      </c>
      <c r="DL86" s="4">
        <f t="shared" si="67"/>
        <v>0</v>
      </c>
      <c r="DM86" s="4">
        <f>DZ86</f>
        <v>14.600353999999999</v>
      </c>
      <c r="DN86" s="4">
        <f>EA86</f>
        <v>0</v>
      </c>
      <c r="DO86" s="4">
        <f>ROUND(EB86,2)</f>
        <v>0</v>
      </c>
      <c r="DP86" s="4">
        <f>ROUND(EC86,2)</f>
        <v>5529.81</v>
      </c>
      <c r="DQ86" s="4">
        <f>ROUND(ED86,2)</f>
        <v>1971.5</v>
      </c>
      <c r="DR86" s="4"/>
      <c r="DS86" s="4"/>
      <c r="DT86" s="4">
        <f>ROUND(SUMIF(AA65:AA84,"=129761633",O65:O84),2)</f>
        <v>35940.22</v>
      </c>
      <c r="DU86" s="4">
        <f>ROUND(SUMIF(AA65:AA84,"=129761633",P65:P84),2)</f>
        <v>29329.89</v>
      </c>
      <c r="DV86" s="4">
        <f>ROUND(SUMIF(AA65:AA84,"=129761633",Q65:Q84),2)</f>
        <v>1801.79</v>
      </c>
      <c r="DW86" s="4">
        <f>ROUND(SUMIF(AA65:AA84,"=129761633",R65:R84),2)</f>
        <v>477.26</v>
      </c>
      <c r="DX86" s="4">
        <f>ROUND(SUMIF(AA65:AA84,"=129761633",S65:S84),2)</f>
        <v>4808.54</v>
      </c>
      <c r="DY86" s="4">
        <f>ROUND(SUMIF(AA65:AA84,"=129761633",T65:T84),2)</f>
        <v>0</v>
      </c>
      <c r="DZ86" s="4">
        <f>SUMIF(AA65:AA84,"=129761633",U65:U84)</f>
        <v>14.600353999999999</v>
      </c>
      <c r="EA86" s="4">
        <f>SUMIF(AA65:AA84,"=129761633",V65:V84)</f>
        <v>0</v>
      </c>
      <c r="EB86" s="4">
        <f>ROUND(SUMIF(AA65:AA84,"=129761633",W65:W84),2)</f>
        <v>0</v>
      </c>
      <c r="EC86" s="4">
        <f>ROUND(SUMIF(AA65:AA84,"=129761633",X65:X84),2)</f>
        <v>5529.81</v>
      </c>
      <c r="ED86" s="4">
        <f>ROUND(SUMIF(AA65:AA84,"=129761633",Y65:Y84),2)</f>
        <v>1971.5</v>
      </c>
      <c r="EE86" s="4"/>
      <c r="EF86" s="4"/>
      <c r="EG86" s="4">
        <f t="shared" ref="EG86:EV86" si="68">ROUND(FP86,2)</f>
        <v>0</v>
      </c>
      <c r="EH86" s="4">
        <f t="shared" si="68"/>
        <v>0</v>
      </c>
      <c r="EI86" s="4">
        <f t="shared" si="68"/>
        <v>0</v>
      </c>
      <c r="EJ86" s="4">
        <f t="shared" si="68"/>
        <v>44205.15</v>
      </c>
      <c r="EK86" s="4">
        <f t="shared" si="68"/>
        <v>44205.15</v>
      </c>
      <c r="EL86" s="4">
        <f t="shared" si="68"/>
        <v>0</v>
      </c>
      <c r="EM86" s="4">
        <f t="shared" si="68"/>
        <v>0</v>
      </c>
      <c r="EN86" s="4">
        <f t="shared" si="68"/>
        <v>29329.89</v>
      </c>
      <c r="EO86" s="4">
        <f t="shared" si="68"/>
        <v>29329.89</v>
      </c>
      <c r="EP86" s="4">
        <f t="shared" si="68"/>
        <v>0</v>
      </c>
      <c r="EQ86" s="4">
        <f t="shared" si="68"/>
        <v>29329.89</v>
      </c>
      <c r="ER86" s="4">
        <f t="shared" si="68"/>
        <v>0</v>
      </c>
      <c r="ES86" s="4">
        <f t="shared" si="68"/>
        <v>0</v>
      </c>
      <c r="ET86" s="4">
        <f t="shared" si="68"/>
        <v>0</v>
      </c>
      <c r="EU86" s="4">
        <f t="shared" si="68"/>
        <v>0</v>
      </c>
      <c r="EV86" s="4">
        <f t="shared" si="68"/>
        <v>0</v>
      </c>
      <c r="EW86" s="4"/>
      <c r="EX86" s="4"/>
      <c r="EY86" s="4"/>
      <c r="EZ86" s="4"/>
      <c r="FA86" s="4"/>
      <c r="FB86" s="4"/>
      <c r="FC86" s="4"/>
      <c r="FD86" s="4"/>
      <c r="FE86" s="4"/>
      <c r="FF86" s="4"/>
      <c r="FG86" s="4"/>
      <c r="FH86" s="4"/>
      <c r="FI86" s="4"/>
      <c r="FJ86" s="4"/>
      <c r="FK86" s="4"/>
      <c r="FL86" s="4"/>
      <c r="FM86" s="4"/>
      <c r="FN86" s="4"/>
      <c r="FO86" s="4"/>
      <c r="FP86" s="4">
        <f>ROUND(SUMIF(AA65:AA84,"=129761633",FQ65:FQ84),2)</f>
        <v>0</v>
      </c>
      <c r="FQ86" s="4">
        <f>ROUND(SUMIF(AA65:AA84,"=129761633",FR65:FR84),2)</f>
        <v>0</v>
      </c>
      <c r="FR86" s="4">
        <f>ROUND(SUMIF(AA65:AA84,"=129761633",GL65:GL84),2)</f>
        <v>0</v>
      </c>
      <c r="FS86" s="4">
        <f>ROUND(SUMIF(AA65:AA84,"=129761633",GM65:GM84),2)</f>
        <v>44205.15</v>
      </c>
      <c r="FT86" s="4">
        <f>ROUND(SUMIF(AA65:AA84,"=129761633",GN65:GN84),2)</f>
        <v>44205.15</v>
      </c>
      <c r="FU86" s="4">
        <f>ROUND(SUMIF(AA65:AA84,"=129761633",GO65:GO84),2)</f>
        <v>0</v>
      </c>
      <c r="FV86" s="4">
        <f>ROUND(SUMIF(AA65:AA84,"=129761633",GP65:GP84),2)</f>
        <v>0</v>
      </c>
      <c r="FW86" s="4">
        <f>DU86-FP86</f>
        <v>29329.89</v>
      </c>
      <c r="FX86" s="4">
        <f>DU86-FQ86</f>
        <v>29329.89</v>
      </c>
      <c r="FY86" s="4">
        <f>FP86-FR86</f>
        <v>0</v>
      </c>
      <c r="FZ86" s="4">
        <f>DU86-FP86-FQ86+FR86</f>
        <v>29329.89</v>
      </c>
      <c r="GA86" s="4">
        <f>FQ86-FR86</f>
        <v>0</v>
      </c>
      <c r="GB86" s="4">
        <f>ROUND(SUMIF(AA65:AA84,"=129761633",GX65:GX84),2)</f>
        <v>0</v>
      </c>
      <c r="GC86" s="4">
        <f>ROUND(SUMIF(AA65:AA84,"=129761633",GY65:GY84),2)</f>
        <v>0</v>
      </c>
      <c r="GD86" s="4">
        <f>ROUND(SUMIF(AA65:AA84,"=129761633",GZ65:GZ84),2)</f>
        <v>0</v>
      </c>
      <c r="GE86" s="4">
        <f>ROUND(SUMIF(AA65:AA84,"=129761633",HD65:HD84),2)</f>
        <v>0</v>
      </c>
      <c r="GF86" s="4"/>
      <c r="GG86" s="4"/>
      <c r="GH86" s="4"/>
      <c r="GI86" s="4"/>
      <c r="GJ86" s="4"/>
      <c r="GK86" s="4"/>
      <c r="GL86" s="4"/>
      <c r="GM86" s="4"/>
      <c r="GN86" s="4"/>
      <c r="GO86" s="4"/>
      <c r="GP86" s="4"/>
      <c r="GQ86" s="4"/>
      <c r="GR86" s="4"/>
      <c r="GS86" s="4"/>
      <c r="GT86" s="4"/>
      <c r="GU86" s="4"/>
      <c r="GV86" s="4"/>
      <c r="GW86" s="4"/>
      <c r="GX86" s="4">
        <v>0</v>
      </c>
    </row>
    <row r="88" spans="1:255" x14ac:dyDescent="0.2">
      <c r="A88" s="5">
        <v>50</v>
      </c>
      <c r="B88" s="5">
        <v>0</v>
      </c>
      <c r="C88" s="5">
        <v>0</v>
      </c>
      <c r="D88" s="5">
        <v>1</v>
      </c>
      <c r="E88" s="5">
        <v>201</v>
      </c>
      <c r="F88" s="5">
        <f>ROUND(Source!O86,O88)</f>
        <v>3354.42</v>
      </c>
      <c r="G88" s="5" t="s">
        <v>26</v>
      </c>
      <c r="H88" s="5" t="s">
        <v>27</v>
      </c>
      <c r="I88" s="5"/>
      <c r="J88" s="5"/>
      <c r="K88" s="5">
        <v>201</v>
      </c>
      <c r="L88" s="5">
        <v>1</v>
      </c>
      <c r="M88" s="5">
        <v>3</v>
      </c>
      <c r="N88" s="5" t="s">
        <v>3</v>
      </c>
      <c r="O88" s="5">
        <v>2</v>
      </c>
      <c r="P88" s="5">
        <f>ROUND(Source!DG86,O88)</f>
        <v>35940.22</v>
      </c>
      <c r="Q88" s="5"/>
      <c r="R88" s="5"/>
      <c r="S88" s="5"/>
      <c r="T88" s="5"/>
      <c r="U88" s="5"/>
      <c r="V88" s="5"/>
      <c r="W88" s="5">
        <v>3354.42</v>
      </c>
      <c r="X88" s="5">
        <v>1</v>
      </c>
      <c r="Y88" s="5">
        <v>3354.42</v>
      </c>
      <c r="Z88" s="5">
        <v>35940.22</v>
      </c>
      <c r="AA88" s="5">
        <v>1</v>
      </c>
      <c r="AB88" s="5">
        <v>35940.22</v>
      </c>
    </row>
    <row r="89" spans="1:255" x14ac:dyDescent="0.2">
      <c r="A89" s="5">
        <v>50</v>
      </c>
      <c r="B89" s="5">
        <v>0</v>
      </c>
      <c r="C89" s="5">
        <v>0</v>
      </c>
      <c r="D89" s="5">
        <v>1</v>
      </c>
      <c r="E89" s="5">
        <v>202</v>
      </c>
      <c r="F89" s="5">
        <f>ROUND(Source!P86,O89)</f>
        <v>3016.91</v>
      </c>
      <c r="G89" s="5" t="s">
        <v>28</v>
      </c>
      <c r="H89" s="5" t="s">
        <v>29</v>
      </c>
      <c r="I89" s="5"/>
      <c r="J89" s="5"/>
      <c r="K89" s="5">
        <v>202</v>
      </c>
      <c r="L89" s="5">
        <v>2</v>
      </c>
      <c r="M89" s="5">
        <v>3</v>
      </c>
      <c r="N89" s="5" t="s">
        <v>3</v>
      </c>
      <c r="O89" s="5">
        <v>2</v>
      </c>
      <c r="P89" s="5">
        <f>ROUND(Source!DH86,O89)</f>
        <v>29329.89</v>
      </c>
      <c r="Q89" s="5"/>
      <c r="R89" s="5"/>
      <c r="S89" s="5"/>
      <c r="T89" s="5"/>
      <c r="U89" s="5"/>
      <c r="V89" s="5"/>
      <c r="W89" s="5">
        <v>3016.91</v>
      </c>
      <c r="X89" s="5">
        <v>1</v>
      </c>
      <c r="Y89" s="5">
        <v>3016.91</v>
      </c>
      <c r="Z89" s="5">
        <v>29329.89</v>
      </c>
      <c r="AA89" s="5">
        <v>1</v>
      </c>
      <c r="AB89" s="5">
        <v>29329.89</v>
      </c>
    </row>
    <row r="90" spans="1:255" x14ac:dyDescent="0.2">
      <c r="A90" s="5">
        <v>50</v>
      </c>
      <c r="B90" s="5">
        <v>0</v>
      </c>
      <c r="C90" s="5">
        <v>0</v>
      </c>
      <c r="D90" s="5">
        <v>1</v>
      </c>
      <c r="E90" s="5">
        <v>222</v>
      </c>
      <c r="F90" s="5">
        <f>ROUND(Source!AO86,O90)</f>
        <v>0</v>
      </c>
      <c r="G90" s="5" t="s">
        <v>30</v>
      </c>
      <c r="H90" s="5" t="s">
        <v>31</v>
      </c>
      <c r="I90" s="5"/>
      <c r="J90" s="5"/>
      <c r="K90" s="5">
        <v>222</v>
      </c>
      <c r="L90" s="5">
        <v>3</v>
      </c>
      <c r="M90" s="5">
        <v>3</v>
      </c>
      <c r="N90" s="5" t="s">
        <v>3</v>
      </c>
      <c r="O90" s="5">
        <v>2</v>
      </c>
      <c r="P90" s="5">
        <f>ROUND(Source!EG86,O90)</f>
        <v>0</v>
      </c>
      <c r="Q90" s="5"/>
      <c r="R90" s="5"/>
      <c r="S90" s="5"/>
      <c r="T90" s="5"/>
      <c r="U90" s="5"/>
      <c r="V90" s="5"/>
      <c r="W90" s="5">
        <v>0</v>
      </c>
      <c r="X90" s="5">
        <v>1</v>
      </c>
      <c r="Y90" s="5">
        <v>0</v>
      </c>
      <c r="Z90" s="5">
        <v>0</v>
      </c>
      <c r="AA90" s="5">
        <v>1</v>
      </c>
      <c r="AB90" s="5">
        <v>0</v>
      </c>
    </row>
    <row r="91" spans="1:255" x14ac:dyDescent="0.2">
      <c r="A91" s="5">
        <v>50</v>
      </c>
      <c r="B91" s="5">
        <v>0</v>
      </c>
      <c r="C91" s="5">
        <v>0</v>
      </c>
      <c r="D91" s="5">
        <v>1</v>
      </c>
      <c r="E91" s="5">
        <v>225</v>
      </c>
      <c r="F91" s="5">
        <f>ROUND(Source!AV86,O91)</f>
        <v>3016.91</v>
      </c>
      <c r="G91" s="5" t="s">
        <v>32</v>
      </c>
      <c r="H91" s="5" t="s">
        <v>33</v>
      </c>
      <c r="I91" s="5"/>
      <c r="J91" s="5"/>
      <c r="K91" s="5">
        <v>225</v>
      </c>
      <c r="L91" s="5">
        <v>4</v>
      </c>
      <c r="M91" s="5">
        <v>3</v>
      </c>
      <c r="N91" s="5" t="s">
        <v>3</v>
      </c>
      <c r="O91" s="5">
        <v>2</v>
      </c>
      <c r="P91" s="5">
        <f>ROUND(Source!EN86,O91)</f>
        <v>29329.89</v>
      </c>
      <c r="Q91" s="5"/>
      <c r="R91" s="5"/>
      <c r="S91" s="5"/>
      <c r="T91" s="5"/>
      <c r="U91" s="5"/>
      <c r="V91" s="5"/>
      <c r="W91" s="5">
        <v>3016.91</v>
      </c>
      <c r="X91" s="5">
        <v>1</v>
      </c>
      <c r="Y91" s="5">
        <v>3016.91</v>
      </c>
      <c r="Z91" s="5">
        <v>29329.89</v>
      </c>
      <c r="AA91" s="5">
        <v>1</v>
      </c>
      <c r="AB91" s="5">
        <v>29329.89</v>
      </c>
    </row>
    <row r="92" spans="1:255" x14ac:dyDescent="0.2">
      <c r="A92" s="5">
        <v>50</v>
      </c>
      <c r="B92" s="5">
        <v>0</v>
      </c>
      <c r="C92" s="5">
        <v>0</v>
      </c>
      <c r="D92" s="5">
        <v>1</v>
      </c>
      <c r="E92" s="5">
        <v>226</v>
      </c>
      <c r="F92" s="5">
        <f>ROUND(Source!AW86,O92)</f>
        <v>3016.91</v>
      </c>
      <c r="G92" s="5" t="s">
        <v>34</v>
      </c>
      <c r="H92" s="5" t="s">
        <v>35</v>
      </c>
      <c r="I92" s="5"/>
      <c r="J92" s="5"/>
      <c r="K92" s="5">
        <v>226</v>
      </c>
      <c r="L92" s="5">
        <v>5</v>
      </c>
      <c r="M92" s="5">
        <v>3</v>
      </c>
      <c r="N92" s="5" t="s">
        <v>3</v>
      </c>
      <c r="O92" s="5">
        <v>2</v>
      </c>
      <c r="P92" s="5">
        <f>ROUND(Source!EO86,O92)</f>
        <v>29329.89</v>
      </c>
      <c r="Q92" s="5"/>
      <c r="R92" s="5"/>
      <c r="S92" s="5"/>
      <c r="T92" s="5"/>
      <c r="U92" s="5"/>
      <c r="V92" s="5"/>
      <c r="W92" s="5">
        <v>3016.91</v>
      </c>
      <c r="X92" s="5">
        <v>1</v>
      </c>
      <c r="Y92" s="5">
        <v>3016.91</v>
      </c>
      <c r="Z92" s="5">
        <v>29329.89</v>
      </c>
      <c r="AA92" s="5">
        <v>1</v>
      </c>
      <c r="AB92" s="5">
        <v>29329.89</v>
      </c>
    </row>
    <row r="93" spans="1:255" x14ac:dyDescent="0.2">
      <c r="A93" s="5">
        <v>50</v>
      </c>
      <c r="B93" s="5">
        <v>0</v>
      </c>
      <c r="C93" s="5">
        <v>0</v>
      </c>
      <c r="D93" s="5">
        <v>1</v>
      </c>
      <c r="E93" s="5">
        <v>227</v>
      </c>
      <c r="F93" s="5">
        <f>ROUND(Source!AX86,O93)</f>
        <v>0</v>
      </c>
      <c r="G93" s="5" t="s">
        <v>36</v>
      </c>
      <c r="H93" s="5" t="s">
        <v>37</v>
      </c>
      <c r="I93" s="5"/>
      <c r="J93" s="5"/>
      <c r="K93" s="5">
        <v>227</v>
      </c>
      <c r="L93" s="5">
        <v>6</v>
      </c>
      <c r="M93" s="5">
        <v>3</v>
      </c>
      <c r="N93" s="5" t="s">
        <v>3</v>
      </c>
      <c r="O93" s="5">
        <v>2</v>
      </c>
      <c r="P93" s="5">
        <f>ROUND(Source!EP86,O93)</f>
        <v>0</v>
      </c>
      <c r="Q93" s="5"/>
      <c r="R93" s="5"/>
      <c r="S93" s="5"/>
      <c r="T93" s="5"/>
      <c r="U93" s="5"/>
      <c r="V93" s="5"/>
      <c r="W93" s="5">
        <v>0</v>
      </c>
      <c r="X93" s="5">
        <v>1</v>
      </c>
      <c r="Y93" s="5">
        <v>0</v>
      </c>
      <c r="Z93" s="5">
        <v>0</v>
      </c>
      <c r="AA93" s="5">
        <v>1</v>
      </c>
      <c r="AB93" s="5">
        <v>0</v>
      </c>
    </row>
    <row r="94" spans="1:255" x14ac:dyDescent="0.2">
      <c r="A94" s="5">
        <v>50</v>
      </c>
      <c r="B94" s="5">
        <v>0</v>
      </c>
      <c r="C94" s="5">
        <v>0</v>
      </c>
      <c r="D94" s="5">
        <v>1</v>
      </c>
      <c r="E94" s="5">
        <v>228</v>
      </c>
      <c r="F94" s="5">
        <f>ROUND(Source!AY86,O94)</f>
        <v>3016.91</v>
      </c>
      <c r="G94" s="5" t="s">
        <v>38</v>
      </c>
      <c r="H94" s="5" t="s">
        <v>39</v>
      </c>
      <c r="I94" s="5"/>
      <c r="J94" s="5"/>
      <c r="K94" s="5">
        <v>228</v>
      </c>
      <c r="L94" s="5">
        <v>7</v>
      </c>
      <c r="M94" s="5">
        <v>3</v>
      </c>
      <c r="N94" s="5" t="s">
        <v>3</v>
      </c>
      <c r="O94" s="5">
        <v>2</v>
      </c>
      <c r="P94" s="5">
        <f>ROUND(Source!EQ86,O94)</f>
        <v>29329.89</v>
      </c>
      <c r="Q94" s="5"/>
      <c r="R94" s="5"/>
      <c r="S94" s="5"/>
      <c r="T94" s="5"/>
      <c r="U94" s="5"/>
      <c r="V94" s="5"/>
      <c r="W94" s="5">
        <v>3016.91</v>
      </c>
      <c r="X94" s="5">
        <v>1</v>
      </c>
      <c r="Y94" s="5">
        <v>3016.91</v>
      </c>
      <c r="Z94" s="5">
        <v>29329.89</v>
      </c>
      <c r="AA94" s="5">
        <v>1</v>
      </c>
      <c r="AB94" s="5">
        <v>29329.89</v>
      </c>
    </row>
    <row r="95" spans="1:255" x14ac:dyDescent="0.2">
      <c r="A95" s="5">
        <v>50</v>
      </c>
      <c r="B95" s="5">
        <v>0</v>
      </c>
      <c r="C95" s="5">
        <v>0</v>
      </c>
      <c r="D95" s="5">
        <v>1</v>
      </c>
      <c r="E95" s="5">
        <v>216</v>
      </c>
      <c r="F95" s="5">
        <f>ROUND(Source!AP86,O95)</f>
        <v>0</v>
      </c>
      <c r="G95" s="5" t="s">
        <v>40</v>
      </c>
      <c r="H95" s="5" t="s">
        <v>41</v>
      </c>
      <c r="I95" s="5"/>
      <c r="J95" s="5"/>
      <c r="K95" s="5">
        <v>216</v>
      </c>
      <c r="L95" s="5">
        <v>8</v>
      </c>
      <c r="M95" s="5">
        <v>3</v>
      </c>
      <c r="N95" s="5" t="s">
        <v>3</v>
      </c>
      <c r="O95" s="5">
        <v>2</v>
      </c>
      <c r="P95" s="5">
        <f>ROUND(Source!EH86,O95)</f>
        <v>0</v>
      </c>
      <c r="Q95" s="5"/>
      <c r="R95" s="5"/>
      <c r="S95" s="5"/>
      <c r="T95" s="5"/>
      <c r="U95" s="5"/>
      <c r="V95" s="5"/>
      <c r="W95" s="5">
        <v>0</v>
      </c>
      <c r="X95" s="5">
        <v>1</v>
      </c>
      <c r="Y95" s="5">
        <v>0</v>
      </c>
      <c r="Z95" s="5">
        <v>0</v>
      </c>
      <c r="AA95" s="5">
        <v>1</v>
      </c>
      <c r="AB95" s="5">
        <v>0</v>
      </c>
    </row>
    <row r="96" spans="1:255" x14ac:dyDescent="0.2">
      <c r="A96" s="5">
        <v>50</v>
      </c>
      <c r="B96" s="5">
        <v>0</v>
      </c>
      <c r="C96" s="5">
        <v>0</v>
      </c>
      <c r="D96" s="5">
        <v>1</v>
      </c>
      <c r="E96" s="5">
        <v>223</v>
      </c>
      <c r="F96" s="5">
        <f>ROUND(Source!AQ86,O96)</f>
        <v>0</v>
      </c>
      <c r="G96" s="5" t="s">
        <v>42</v>
      </c>
      <c r="H96" s="5" t="s">
        <v>43</v>
      </c>
      <c r="I96" s="5"/>
      <c r="J96" s="5"/>
      <c r="K96" s="5">
        <v>223</v>
      </c>
      <c r="L96" s="5">
        <v>9</v>
      </c>
      <c r="M96" s="5">
        <v>3</v>
      </c>
      <c r="N96" s="5" t="s">
        <v>3</v>
      </c>
      <c r="O96" s="5">
        <v>2</v>
      </c>
      <c r="P96" s="5">
        <f>ROUND(Source!EI86,O96)</f>
        <v>0</v>
      </c>
      <c r="Q96" s="5"/>
      <c r="R96" s="5"/>
      <c r="S96" s="5"/>
      <c r="T96" s="5"/>
      <c r="U96" s="5"/>
      <c r="V96" s="5"/>
      <c r="W96" s="5">
        <v>0</v>
      </c>
      <c r="X96" s="5">
        <v>1</v>
      </c>
      <c r="Y96" s="5">
        <v>0</v>
      </c>
      <c r="Z96" s="5">
        <v>0</v>
      </c>
      <c r="AA96" s="5">
        <v>1</v>
      </c>
      <c r="AB96" s="5">
        <v>0</v>
      </c>
    </row>
    <row r="97" spans="1:28" x14ac:dyDescent="0.2">
      <c r="A97" s="5">
        <v>50</v>
      </c>
      <c r="B97" s="5">
        <v>0</v>
      </c>
      <c r="C97" s="5">
        <v>0</v>
      </c>
      <c r="D97" s="5">
        <v>1</v>
      </c>
      <c r="E97" s="5">
        <v>229</v>
      </c>
      <c r="F97" s="5">
        <f>ROUND(Source!AZ86,O97)</f>
        <v>0</v>
      </c>
      <c r="G97" s="5" t="s">
        <v>44</v>
      </c>
      <c r="H97" s="5" t="s">
        <v>45</v>
      </c>
      <c r="I97" s="5"/>
      <c r="J97" s="5"/>
      <c r="K97" s="5">
        <v>229</v>
      </c>
      <c r="L97" s="5">
        <v>10</v>
      </c>
      <c r="M97" s="5">
        <v>3</v>
      </c>
      <c r="N97" s="5" t="s">
        <v>3</v>
      </c>
      <c r="O97" s="5">
        <v>2</v>
      </c>
      <c r="P97" s="5">
        <f>ROUND(Source!ER86,O97)</f>
        <v>0</v>
      </c>
      <c r="Q97" s="5"/>
      <c r="R97" s="5"/>
      <c r="S97" s="5"/>
      <c r="T97" s="5"/>
      <c r="U97" s="5"/>
      <c r="V97" s="5"/>
      <c r="W97" s="5">
        <v>0</v>
      </c>
      <c r="X97" s="5">
        <v>1</v>
      </c>
      <c r="Y97" s="5">
        <v>0</v>
      </c>
      <c r="Z97" s="5">
        <v>0</v>
      </c>
      <c r="AA97" s="5">
        <v>1</v>
      </c>
      <c r="AB97" s="5">
        <v>0</v>
      </c>
    </row>
    <row r="98" spans="1:28" x14ac:dyDescent="0.2">
      <c r="A98" s="5">
        <v>50</v>
      </c>
      <c r="B98" s="5">
        <v>0</v>
      </c>
      <c r="C98" s="5">
        <v>0</v>
      </c>
      <c r="D98" s="5">
        <v>1</v>
      </c>
      <c r="E98" s="5">
        <v>203</v>
      </c>
      <c r="F98" s="5">
        <f>ROUND(Source!Q86,O98)</f>
        <v>171.87</v>
      </c>
      <c r="G98" s="5" t="s">
        <v>46</v>
      </c>
      <c r="H98" s="5" t="s">
        <v>47</v>
      </c>
      <c r="I98" s="5"/>
      <c r="J98" s="5"/>
      <c r="K98" s="5">
        <v>203</v>
      </c>
      <c r="L98" s="5">
        <v>11</v>
      </c>
      <c r="M98" s="5">
        <v>3</v>
      </c>
      <c r="N98" s="5" t="s">
        <v>3</v>
      </c>
      <c r="O98" s="5">
        <v>2</v>
      </c>
      <c r="P98" s="5">
        <f>ROUND(Source!DI86,O98)</f>
        <v>1801.79</v>
      </c>
      <c r="Q98" s="5"/>
      <c r="R98" s="5"/>
      <c r="S98" s="5"/>
      <c r="T98" s="5"/>
      <c r="U98" s="5"/>
      <c r="V98" s="5"/>
      <c r="W98" s="5">
        <v>171.87</v>
      </c>
      <c r="X98" s="5">
        <v>1</v>
      </c>
      <c r="Y98" s="5">
        <v>171.87</v>
      </c>
      <c r="Z98" s="5">
        <v>1801.79</v>
      </c>
      <c r="AA98" s="5">
        <v>1</v>
      </c>
      <c r="AB98" s="5">
        <v>1801.79</v>
      </c>
    </row>
    <row r="99" spans="1:28" x14ac:dyDescent="0.2">
      <c r="A99" s="5">
        <v>50</v>
      </c>
      <c r="B99" s="5">
        <v>0</v>
      </c>
      <c r="C99" s="5">
        <v>0</v>
      </c>
      <c r="D99" s="5">
        <v>1</v>
      </c>
      <c r="E99" s="5">
        <v>231</v>
      </c>
      <c r="F99" s="5">
        <f>ROUND(Source!BB86,O99)</f>
        <v>0</v>
      </c>
      <c r="G99" s="5" t="s">
        <v>48</v>
      </c>
      <c r="H99" s="5" t="s">
        <v>49</v>
      </c>
      <c r="I99" s="5"/>
      <c r="J99" s="5"/>
      <c r="K99" s="5">
        <v>231</v>
      </c>
      <c r="L99" s="5">
        <v>12</v>
      </c>
      <c r="M99" s="5">
        <v>3</v>
      </c>
      <c r="N99" s="5" t="s">
        <v>3</v>
      </c>
      <c r="O99" s="5">
        <v>2</v>
      </c>
      <c r="P99" s="5">
        <f>ROUND(Source!ET86,O99)</f>
        <v>0</v>
      </c>
      <c r="Q99" s="5"/>
      <c r="R99" s="5"/>
      <c r="S99" s="5"/>
      <c r="T99" s="5"/>
      <c r="U99" s="5"/>
      <c r="V99" s="5"/>
      <c r="W99" s="5">
        <v>0</v>
      </c>
      <c r="X99" s="5">
        <v>1</v>
      </c>
      <c r="Y99" s="5">
        <v>0</v>
      </c>
      <c r="Z99" s="5">
        <v>0</v>
      </c>
      <c r="AA99" s="5">
        <v>1</v>
      </c>
      <c r="AB99" s="5">
        <v>0</v>
      </c>
    </row>
    <row r="100" spans="1:28" x14ac:dyDescent="0.2">
      <c r="A100" s="5">
        <v>50</v>
      </c>
      <c r="B100" s="5">
        <v>0</v>
      </c>
      <c r="C100" s="5">
        <v>0</v>
      </c>
      <c r="D100" s="5">
        <v>1</v>
      </c>
      <c r="E100" s="5">
        <v>204</v>
      </c>
      <c r="F100" s="5">
        <f>ROUND(Source!R86,O100)</f>
        <v>16.440000000000001</v>
      </c>
      <c r="G100" s="5" t="s">
        <v>50</v>
      </c>
      <c r="H100" s="5" t="s">
        <v>51</v>
      </c>
      <c r="I100" s="5"/>
      <c r="J100" s="5"/>
      <c r="K100" s="5">
        <v>204</v>
      </c>
      <c r="L100" s="5">
        <v>13</v>
      </c>
      <c r="M100" s="5">
        <v>3</v>
      </c>
      <c r="N100" s="5" t="s">
        <v>3</v>
      </c>
      <c r="O100" s="5">
        <v>2</v>
      </c>
      <c r="P100" s="5">
        <f>ROUND(Source!DJ86,O100)</f>
        <v>477.26</v>
      </c>
      <c r="Q100" s="5"/>
      <c r="R100" s="5"/>
      <c r="S100" s="5"/>
      <c r="T100" s="5"/>
      <c r="U100" s="5"/>
      <c r="V100" s="5"/>
      <c r="W100" s="5">
        <v>16.440000000000001</v>
      </c>
      <c r="X100" s="5">
        <v>1</v>
      </c>
      <c r="Y100" s="5">
        <v>16.440000000000001</v>
      </c>
      <c r="Z100" s="5">
        <v>477.26</v>
      </c>
      <c r="AA100" s="5">
        <v>1</v>
      </c>
      <c r="AB100" s="5">
        <v>477.26</v>
      </c>
    </row>
    <row r="101" spans="1:28" x14ac:dyDescent="0.2">
      <c r="A101" s="5">
        <v>50</v>
      </c>
      <c r="B101" s="5">
        <v>0</v>
      </c>
      <c r="C101" s="5">
        <v>0</v>
      </c>
      <c r="D101" s="5">
        <v>1</v>
      </c>
      <c r="E101" s="5">
        <v>205</v>
      </c>
      <c r="F101" s="5">
        <f>ROUND(Source!S86,O101)</f>
        <v>165.64</v>
      </c>
      <c r="G101" s="5" t="s">
        <v>52</v>
      </c>
      <c r="H101" s="5" t="s">
        <v>53</v>
      </c>
      <c r="I101" s="5"/>
      <c r="J101" s="5"/>
      <c r="K101" s="5">
        <v>205</v>
      </c>
      <c r="L101" s="5">
        <v>14</v>
      </c>
      <c r="M101" s="5">
        <v>3</v>
      </c>
      <c r="N101" s="5" t="s">
        <v>3</v>
      </c>
      <c r="O101" s="5">
        <v>2</v>
      </c>
      <c r="P101" s="5">
        <f>ROUND(Source!DK86,O101)</f>
        <v>4808.54</v>
      </c>
      <c r="Q101" s="5"/>
      <c r="R101" s="5"/>
      <c r="S101" s="5"/>
      <c r="T101" s="5"/>
      <c r="U101" s="5"/>
      <c r="V101" s="5"/>
      <c r="W101" s="5">
        <v>165.64</v>
      </c>
      <c r="X101" s="5">
        <v>1</v>
      </c>
      <c r="Y101" s="5">
        <v>165.64</v>
      </c>
      <c r="Z101" s="5">
        <v>4808.54</v>
      </c>
      <c r="AA101" s="5">
        <v>1</v>
      </c>
      <c r="AB101" s="5">
        <v>4808.54</v>
      </c>
    </row>
    <row r="102" spans="1:28" x14ac:dyDescent="0.2">
      <c r="A102" s="5">
        <v>50</v>
      </c>
      <c r="B102" s="5">
        <v>0</v>
      </c>
      <c r="C102" s="5">
        <v>0</v>
      </c>
      <c r="D102" s="5">
        <v>1</v>
      </c>
      <c r="E102" s="5">
        <v>232</v>
      </c>
      <c r="F102" s="5">
        <f>ROUND(Source!BC86,O102)</f>
        <v>0</v>
      </c>
      <c r="G102" s="5" t="s">
        <v>54</v>
      </c>
      <c r="H102" s="5" t="s">
        <v>55</v>
      </c>
      <c r="I102" s="5"/>
      <c r="J102" s="5"/>
      <c r="K102" s="5">
        <v>232</v>
      </c>
      <c r="L102" s="5">
        <v>15</v>
      </c>
      <c r="M102" s="5">
        <v>3</v>
      </c>
      <c r="N102" s="5" t="s">
        <v>3</v>
      </c>
      <c r="O102" s="5">
        <v>2</v>
      </c>
      <c r="P102" s="5">
        <f>ROUND(Source!EU86,O102)</f>
        <v>0</v>
      </c>
      <c r="Q102" s="5"/>
      <c r="R102" s="5"/>
      <c r="S102" s="5"/>
      <c r="T102" s="5"/>
      <c r="U102" s="5"/>
      <c r="V102" s="5"/>
      <c r="W102" s="5">
        <v>0</v>
      </c>
      <c r="X102" s="5">
        <v>1</v>
      </c>
      <c r="Y102" s="5">
        <v>0</v>
      </c>
      <c r="Z102" s="5">
        <v>0</v>
      </c>
      <c r="AA102" s="5">
        <v>1</v>
      </c>
      <c r="AB102" s="5">
        <v>0</v>
      </c>
    </row>
    <row r="103" spans="1:28" x14ac:dyDescent="0.2">
      <c r="A103" s="5">
        <v>50</v>
      </c>
      <c r="B103" s="5">
        <v>0</v>
      </c>
      <c r="C103" s="5">
        <v>0</v>
      </c>
      <c r="D103" s="5">
        <v>1</v>
      </c>
      <c r="E103" s="5">
        <v>214</v>
      </c>
      <c r="F103" s="5">
        <f>ROUND(Source!AS86,O103)</f>
        <v>3745.93</v>
      </c>
      <c r="G103" s="5" t="s">
        <v>56</v>
      </c>
      <c r="H103" s="5" t="s">
        <v>57</v>
      </c>
      <c r="I103" s="5"/>
      <c r="J103" s="5"/>
      <c r="K103" s="5">
        <v>214</v>
      </c>
      <c r="L103" s="5">
        <v>16</v>
      </c>
      <c r="M103" s="5">
        <v>3</v>
      </c>
      <c r="N103" s="5" t="s">
        <v>3</v>
      </c>
      <c r="O103" s="5">
        <v>2</v>
      </c>
      <c r="P103" s="5">
        <f>ROUND(Source!EK86,O103)</f>
        <v>44205.15</v>
      </c>
      <c r="Q103" s="5"/>
      <c r="R103" s="5"/>
      <c r="S103" s="5"/>
      <c r="T103" s="5"/>
      <c r="U103" s="5"/>
      <c r="V103" s="5"/>
      <c r="W103" s="5">
        <v>3745.93</v>
      </c>
      <c r="X103" s="5">
        <v>1</v>
      </c>
      <c r="Y103" s="5">
        <v>3745.93</v>
      </c>
      <c r="Z103" s="5">
        <v>44205.15</v>
      </c>
      <c r="AA103" s="5">
        <v>1</v>
      </c>
      <c r="AB103" s="5">
        <v>44205.15</v>
      </c>
    </row>
    <row r="104" spans="1:28" x14ac:dyDescent="0.2">
      <c r="A104" s="5">
        <v>50</v>
      </c>
      <c r="B104" s="5">
        <v>0</v>
      </c>
      <c r="C104" s="5">
        <v>0</v>
      </c>
      <c r="D104" s="5">
        <v>1</v>
      </c>
      <c r="E104" s="5">
        <v>215</v>
      </c>
      <c r="F104" s="5">
        <f>ROUND(Source!AT86,O104)</f>
        <v>0</v>
      </c>
      <c r="G104" s="5" t="s">
        <v>58</v>
      </c>
      <c r="H104" s="5" t="s">
        <v>59</v>
      </c>
      <c r="I104" s="5"/>
      <c r="J104" s="5"/>
      <c r="K104" s="5">
        <v>215</v>
      </c>
      <c r="L104" s="5">
        <v>17</v>
      </c>
      <c r="M104" s="5">
        <v>3</v>
      </c>
      <c r="N104" s="5" t="s">
        <v>3</v>
      </c>
      <c r="O104" s="5">
        <v>2</v>
      </c>
      <c r="P104" s="5">
        <f>ROUND(Source!EL86,O104)</f>
        <v>0</v>
      </c>
      <c r="Q104" s="5"/>
      <c r="R104" s="5"/>
      <c r="S104" s="5"/>
      <c r="T104" s="5"/>
      <c r="U104" s="5"/>
      <c r="V104" s="5"/>
      <c r="W104" s="5">
        <v>0</v>
      </c>
      <c r="X104" s="5">
        <v>1</v>
      </c>
      <c r="Y104" s="5">
        <v>0</v>
      </c>
      <c r="Z104" s="5">
        <v>0</v>
      </c>
      <c r="AA104" s="5">
        <v>1</v>
      </c>
      <c r="AB104" s="5">
        <v>0</v>
      </c>
    </row>
    <row r="105" spans="1:28" x14ac:dyDescent="0.2">
      <c r="A105" s="5">
        <v>50</v>
      </c>
      <c r="B105" s="5">
        <v>0</v>
      </c>
      <c r="C105" s="5">
        <v>0</v>
      </c>
      <c r="D105" s="5">
        <v>1</v>
      </c>
      <c r="E105" s="5">
        <v>217</v>
      </c>
      <c r="F105" s="5">
        <f>ROUND(Source!AU86,O105)</f>
        <v>0</v>
      </c>
      <c r="G105" s="5" t="s">
        <v>60</v>
      </c>
      <c r="H105" s="5" t="s">
        <v>61</v>
      </c>
      <c r="I105" s="5"/>
      <c r="J105" s="5"/>
      <c r="K105" s="5">
        <v>217</v>
      </c>
      <c r="L105" s="5">
        <v>18</v>
      </c>
      <c r="M105" s="5">
        <v>3</v>
      </c>
      <c r="N105" s="5" t="s">
        <v>3</v>
      </c>
      <c r="O105" s="5">
        <v>2</v>
      </c>
      <c r="P105" s="5">
        <f>ROUND(Source!EM86,O105)</f>
        <v>0</v>
      </c>
      <c r="Q105" s="5"/>
      <c r="R105" s="5"/>
      <c r="S105" s="5"/>
      <c r="T105" s="5"/>
      <c r="U105" s="5"/>
      <c r="V105" s="5"/>
      <c r="W105" s="5">
        <v>0</v>
      </c>
      <c r="X105" s="5">
        <v>1</v>
      </c>
      <c r="Y105" s="5">
        <v>0</v>
      </c>
      <c r="Z105" s="5">
        <v>0</v>
      </c>
      <c r="AA105" s="5">
        <v>1</v>
      </c>
      <c r="AB105" s="5">
        <v>0</v>
      </c>
    </row>
    <row r="106" spans="1:28" x14ac:dyDescent="0.2">
      <c r="A106" s="5">
        <v>50</v>
      </c>
      <c r="B106" s="5">
        <v>0</v>
      </c>
      <c r="C106" s="5">
        <v>0</v>
      </c>
      <c r="D106" s="5">
        <v>1</v>
      </c>
      <c r="E106" s="5">
        <v>230</v>
      </c>
      <c r="F106" s="5">
        <f>ROUND(Source!BA86,O106)</f>
        <v>0</v>
      </c>
      <c r="G106" s="5" t="s">
        <v>62</v>
      </c>
      <c r="H106" s="5" t="s">
        <v>63</v>
      </c>
      <c r="I106" s="5"/>
      <c r="J106" s="5"/>
      <c r="K106" s="5">
        <v>230</v>
      </c>
      <c r="L106" s="5">
        <v>19</v>
      </c>
      <c r="M106" s="5">
        <v>3</v>
      </c>
      <c r="N106" s="5" t="s">
        <v>3</v>
      </c>
      <c r="O106" s="5">
        <v>2</v>
      </c>
      <c r="P106" s="5">
        <f>ROUND(Source!ES86,O106)</f>
        <v>0</v>
      </c>
      <c r="Q106" s="5"/>
      <c r="R106" s="5"/>
      <c r="S106" s="5"/>
      <c r="T106" s="5"/>
      <c r="U106" s="5"/>
      <c r="V106" s="5"/>
      <c r="W106" s="5">
        <v>0</v>
      </c>
      <c r="X106" s="5">
        <v>1</v>
      </c>
      <c r="Y106" s="5">
        <v>0</v>
      </c>
      <c r="Z106" s="5">
        <v>0</v>
      </c>
      <c r="AA106" s="5">
        <v>1</v>
      </c>
      <c r="AB106" s="5">
        <v>0</v>
      </c>
    </row>
    <row r="107" spans="1:28" x14ac:dyDescent="0.2">
      <c r="A107" s="5">
        <v>50</v>
      </c>
      <c r="B107" s="5">
        <v>0</v>
      </c>
      <c r="C107" s="5">
        <v>0</v>
      </c>
      <c r="D107" s="5">
        <v>1</v>
      </c>
      <c r="E107" s="5">
        <v>206</v>
      </c>
      <c r="F107" s="5">
        <f>ROUND(Source!T86,O107)</f>
        <v>0</v>
      </c>
      <c r="G107" s="5" t="s">
        <v>64</v>
      </c>
      <c r="H107" s="5" t="s">
        <v>65</v>
      </c>
      <c r="I107" s="5"/>
      <c r="J107" s="5"/>
      <c r="K107" s="5">
        <v>206</v>
      </c>
      <c r="L107" s="5">
        <v>20</v>
      </c>
      <c r="M107" s="5">
        <v>3</v>
      </c>
      <c r="N107" s="5" t="s">
        <v>3</v>
      </c>
      <c r="O107" s="5">
        <v>2</v>
      </c>
      <c r="P107" s="5">
        <f>ROUND(Source!DL86,O107)</f>
        <v>0</v>
      </c>
      <c r="Q107" s="5"/>
      <c r="R107" s="5"/>
      <c r="S107" s="5"/>
      <c r="T107" s="5"/>
      <c r="U107" s="5"/>
      <c r="V107" s="5"/>
      <c r="W107" s="5">
        <v>0</v>
      </c>
      <c r="X107" s="5">
        <v>1</v>
      </c>
      <c r="Y107" s="5">
        <v>0</v>
      </c>
      <c r="Z107" s="5">
        <v>0</v>
      </c>
      <c r="AA107" s="5">
        <v>1</v>
      </c>
      <c r="AB107" s="5">
        <v>0</v>
      </c>
    </row>
    <row r="108" spans="1:28" x14ac:dyDescent="0.2">
      <c r="A108" s="5">
        <v>50</v>
      </c>
      <c r="B108" s="5">
        <v>0</v>
      </c>
      <c r="C108" s="5">
        <v>0</v>
      </c>
      <c r="D108" s="5">
        <v>1</v>
      </c>
      <c r="E108" s="5">
        <v>207</v>
      </c>
      <c r="F108" s="5">
        <f>Source!U86</f>
        <v>14.600353999999999</v>
      </c>
      <c r="G108" s="5" t="s">
        <v>66</v>
      </c>
      <c r="H108" s="5" t="s">
        <v>67</v>
      </c>
      <c r="I108" s="5"/>
      <c r="J108" s="5"/>
      <c r="K108" s="5">
        <v>207</v>
      </c>
      <c r="L108" s="5">
        <v>21</v>
      </c>
      <c r="M108" s="5">
        <v>3</v>
      </c>
      <c r="N108" s="5" t="s">
        <v>3</v>
      </c>
      <c r="O108" s="5">
        <v>-1</v>
      </c>
      <c r="P108" s="5">
        <f>Source!DM86</f>
        <v>14.600353999999999</v>
      </c>
      <c r="Q108" s="5"/>
      <c r="R108" s="5"/>
      <c r="S108" s="5"/>
      <c r="T108" s="5"/>
      <c r="U108" s="5"/>
      <c r="V108" s="5"/>
      <c r="W108" s="5">
        <v>14.600354000000001</v>
      </c>
      <c r="X108" s="5">
        <v>1</v>
      </c>
      <c r="Y108" s="5">
        <v>14.600354000000001</v>
      </c>
      <c r="Z108" s="5">
        <v>14.600354000000001</v>
      </c>
      <c r="AA108" s="5">
        <v>1</v>
      </c>
      <c r="AB108" s="5">
        <v>14.600354000000001</v>
      </c>
    </row>
    <row r="109" spans="1:28" x14ac:dyDescent="0.2">
      <c r="A109" s="5">
        <v>50</v>
      </c>
      <c r="B109" s="5">
        <v>0</v>
      </c>
      <c r="C109" s="5">
        <v>0</v>
      </c>
      <c r="D109" s="5">
        <v>1</v>
      </c>
      <c r="E109" s="5">
        <v>208</v>
      </c>
      <c r="F109" s="5">
        <f>Source!V86</f>
        <v>0</v>
      </c>
      <c r="G109" s="5" t="s">
        <v>68</v>
      </c>
      <c r="H109" s="5" t="s">
        <v>69</v>
      </c>
      <c r="I109" s="5"/>
      <c r="J109" s="5"/>
      <c r="K109" s="5">
        <v>208</v>
      </c>
      <c r="L109" s="5">
        <v>22</v>
      </c>
      <c r="M109" s="5">
        <v>3</v>
      </c>
      <c r="N109" s="5" t="s">
        <v>3</v>
      </c>
      <c r="O109" s="5">
        <v>-1</v>
      </c>
      <c r="P109" s="5">
        <f>Source!DN86</f>
        <v>0</v>
      </c>
      <c r="Q109" s="5"/>
      <c r="R109" s="5"/>
      <c r="S109" s="5"/>
      <c r="T109" s="5"/>
      <c r="U109" s="5"/>
      <c r="V109" s="5"/>
      <c r="W109" s="5">
        <v>0</v>
      </c>
      <c r="X109" s="5">
        <v>1</v>
      </c>
      <c r="Y109" s="5">
        <v>0</v>
      </c>
      <c r="Z109" s="5">
        <v>0</v>
      </c>
      <c r="AA109" s="5">
        <v>1</v>
      </c>
      <c r="AB109" s="5">
        <v>0</v>
      </c>
    </row>
    <row r="110" spans="1:28" x14ac:dyDescent="0.2">
      <c r="A110" s="5">
        <v>50</v>
      </c>
      <c r="B110" s="5">
        <v>0</v>
      </c>
      <c r="C110" s="5">
        <v>0</v>
      </c>
      <c r="D110" s="5">
        <v>1</v>
      </c>
      <c r="E110" s="5">
        <v>209</v>
      </c>
      <c r="F110" s="5">
        <f>ROUND(Source!W86,O110)</f>
        <v>0</v>
      </c>
      <c r="G110" s="5" t="s">
        <v>70</v>
      </c>
      <c r="H110" s="5" t="s">
        <v>71</v>
      </c>
      <c r="I110" s="5"/>
      <c r="J110" s="5"/>
      <c r="K110" s="5">
        <v>209</v>
      </c>
      <c r="L110" s="5">
        <v>23</v>
      </c>
      <c r="M110" s="5">
        <v>3</v>
      </c>
      <c r="N110" s="5" t="s">
        <v>3</v>
      </c>
      <c r="O110" s="5">
        <v>2</v>
      </c>
      <c r="P110" s="5">
        <f>ROUND(Source!DO86,O110)</f>
        <v>0</v>
      </c>
      <c r="Q110" s="5"/>
      <c r="R110" s="5"/>
      <c r="S110" s="5"/>
      <c r="T110" s="5"/>
      <c r="U110" s="5"/>
      <c r="V110" s="5"/>
      <c r="W110" s="5">
        <v>0</v>
      </c>
      <c r="X110" s="5">
        <v>1</v>
      </c>
      <c r="Y110" s="5">
        <v>0</v>
      </c>
      <c r="Z110" s="5">
        <v>0</v>
      </c>
      <c r="AA110" s="5">
        <v>1</v>
      </c>
      <c r="AB110" s="5">
        <v>0</v>
      </c>
    </row>
    <row r="111" spans="1:28" x14ac:dyDescent="0.2">
      <c r="A111" s="5">
        <v>50</v>
      </c>
      <c r="B111" s="5">
        <v>0</v>
      </c>
      <c r="C111" s="5">
        <v>0</v>
      </c>
      <c r="D111" s="5">
        <v>1</v>
      </c>
      <c r="E111" s="5">
        <v>233</v>
      </c>
      <c r="F111" s="5">
        <f>ROUND(Source!BD86,O111)</f>
        <v>0</v>
      </c>
      <c r="G111" s="5" t="s">
        <v>72</v>
      </c>
      <c r="H111" s="5" t="s">
        <v>73</v>
      </c>
      <c r="I111" s="5"/>
      <c r="J111" s="5"/>
      <c r="K111" s="5">
        <v>233</v>
      </c>
      <c r="L111" s="5">
        <v>24</v>
      </c>
      <c r="M111" s="5">
        <v>3</v>
      </c>
      <c r="N111" s="5" t="s">
        <v>3</v>
      </c>
      <c r="O111" s="5">
        <v>2</v>
      </c>
      <c r="P111" s="5">
        <f>ROUND(Source!EV86,O111)</f>
        <v>0</v>
      </c>
      <c r="Q111" s="5"/>
      <c r="R111" s="5"/>
      <c r="S111" s="5"/>
      <c r="T111" s="5"/>
      <c r="U111" s="5"/>
      <c r="V111" s="5"/>
      <c r="W111" s="5">
        <v>0</v>
      </c>
      <c r="X111" s="5">
        <v>1</v>
      </c>
      <c r="Y111" s="5">
        <v>0</v>
      </c>
      <c r="Z111" s="5">
        <v>0</v>
      </c>
      <c r="AA111" s="5">
        <v>1</v>
      </c>
      <c r="AB111" s="5">
        <v>0</v>
      </c>
    </row>
    <row r="112" spans="1:28" x14ac:dyDescent="0.2">
      <c r="A112" s="5">
        <v>50</v>
      </c>
      <c r="B112" s="5">
        <v>0</v>
      </c>
      <c r="C112" s="5">
        <v>0</v>
      </c>
      <c r="D112" s="5">
        <v>1</v>
      </c>
      <c r="E112" s="5">
        <v>210</v>
      </c>
      <c r="F112" s="5">
        <f>ROUND(Source!X86,O112)</f>
        <v>231.89</v>
      </c>
      <c r="G112" s="5" t="s">
        <v>74</v>
      </c>
      <c r="H112" s="5" t="s">
        <v>75</v>
      </c>
      <c r="I112" s="5"/>
      <c r="J112" s="5"/>
      <c r="K112" s="5">
        <v>210</v>
      </c>
      <c r="L112" s="5">
        <v>25</v>
      </c>
      <c r="M112" s="5">
        <v>3</v>
      </c>
      <c r="N112" s="5" t="s">
        <v>3</v>
      </c>
      <c r="O112" s="5">
        <v>2</v>
      </c>
      <c r="P112" s="5">
        <f>ROUND(Source!DP86,O112)</f>
        <v>5529.81</v>
      </c>
      <c r="Q112" s="5"/>
      <c r="R112" s="5"/>
      <c r="S112" s="5"/>
      <c r="T112" s="5"/>
      <c r="U112" s="5"/>
      <c r="V112" s="5"/>
      <c r="W112" s="5">
        <v>231.89</v>
      </c>
      <c r="X112" s="5">
        <v>1</v>
      </c>
      <c r="Y112" s="5">
        <v>231.89</v>
      </c>
      <c r="Z112" s="5">
        <v>5529.81</v>
      </c>
      <c r="AA112" s="5">
        <v>1</v>
      </c>
      <c r="AB112" s="5">
        <v>5529.81</v>
      </c>
    </row>
    <row r="113" spans="1:206" x14ac:dyDescent="0.2">
      <c r="A113" s="5">
        <v>50</v>
      </c>
      <c r="B113" s="5">
        <v>0</v>
      </c>
      <c r="C113" s="5">
        <v>0</v>
      </c>
      <c r="D113" s="5">
        <v>1</v>
      </c>
      <c r="E113" s="5">
        <v>211</v>
      </c>
      <c r="F113" s="5">
        <f>ROUND(Source!Y86,O113)</f>
        <v>130.85</v>
      </c>
      <c r="G113" s="5" t="s">
        <v>76</v>
      </c>
      <c r="H113" s="5" t="s">
        <v>77</v>
      </c>
      <c r="I113" s="5"/>
      <c r="J113" s="5"/>
      <c r="K113" s="5">
        <v>211</v>
      </c>
      <c r="L113" s="5">
        <v>26</v>
      </c>
      <c r="M113" s="5">
        <v>3</v>
      </c>
      <c r="N113" s="5" t="s">
        <v>3</v>
      </c>
      <c r="O113" s="5">
        <v>2</v>
      </c>
      <c r="P113" s="5">
        <f>ROUND(Source!DQ86,O113)</f>
        <v>1971.5</v>
      </c>
      <c r="Q113" s="5"/>
      <c r="R113" s="5"/>
      <c r="S113" s="5"/>
      <c r="T113" s="5"/>
      <c r="U113" s="5"/>
      <c r="V113" s="5"/>
      <c r="W113" s="5">
        <v>130.85</v>
      </c>
      <c r="X113" s="5">
        <v>1</v>
      </c>
      <c r="Y113" s="5">
        <v>130.85</v>
      </c>
      <c r="Z113" s="5">
        <v>1971.5</v>
      </c>
      <c r="AA113" s="5">
        <v>1</v>
      </c>
      <c r="AB113" s="5">
        <v>1971.5</v>
      </c>
    </row>
    <row r="114" spans="1:206" x14ac:dyDescent="0.2">
      <c r="A114" s="5">
        <v>50</v>
      </c>
      <c r="B114" s="5">
        <v>0</v>
      </c>
      <c r="C114" s="5">
        <v>0</v>
      </c>
      <c r="D114" s="5">
        <v>1</v>
      </c>
      <c r="E114" s="5">
        <v>224</v>
      </c>
      <c r="F114" s="5">
        <f>ROUND(Source!AR86,O114)</f>
        <v>3745.93</v>
      </c>
      <c r="G114" s="5" t="s">
        <v>78</v>
      </c>
      <c r="H114" s="5" t="s">
        <v>79</v>
      </c>
      <c r="I114" s="5"/>
      <c r="J114" s="5"/>
      <c r="K114" s="5">
        <v>224</v>
      </c>
      <c r="L114" s="5">
        <v>27</v>
      </c>
      <c r="M114" s="5">
        <v>3</v>
      </c>
      <c r="N114" s="5" t="s">
        <v>3</v>
      </c>
      <c r="O114" s="5">
        <v>2</v>
      </c>
      <c r="P114" s="5">
        <f>ROUND(Source!EJ86,O114)</f>
        <v>44205.15</v>
      </c>
      <c r="Q114" s="5"/>
      <c r="R114" s="5"/>
      <c r="S114" s="5"/>
      <c r="T114" s="5"/>
      <c r="U114" s="5"/>
      <c r="V114" s="5"/>
      <c r="W114" s="5">
        <v>3745.93</v>
      </c>
      <c r="X114" s="5">
        <v>1</v>
      </c>
      <c r="Y114" s="5">
        <v>3745.93</v>
      </c>
      <c r="Z114" s="5">
        <v>44205.15</v>
      </c>
      <c r="AA114" s="5">
        <v>1</v>
      </c>
      <c r="AB114" s="5">
        <v>44205.15</v>
      </c>
    </row>
    <row r="116" spans="1:206" x14ac:dyDescent="0.2">
      <c r="A116" s="3">
        <v>51</v>
      </c>
      <c r="B116" s="3">
        <f>B20</f>
        <v>1</v>
      </c>
      <c r="C116" s="3">
        <f>A20</f>
        <v>3</v>
      </c>
      <c r="D116" s="3">
        <f>ROW(A20)</f>
        <v>20</v>
      </c>
      <c r="E116" s="3"/>
      <c r="F116" s="3" t="str">
        <f>IF(F20&lt;&gt;"",F20,"")</f>
        <v>02-01-01</v>
      </c>
      <c r="G116" s="3" t="str">
        <f>IF(G20&lt;&gt;"",G20,"")</f>
        <v>ПЗУ</v>
      </c>
      <c r="H116" s="3">
        <v>0</v>
      </c>
      <c r="I116" s="3"/>
      <c r="J116" s="3"/>
      <c r="K116" s="3"/>
      <c r="L116" s="3"/>
      <c r="M116" s="3"/>
      <c r="N116" s="3"/>
      <c r="O116" s="3">
        <f t="shared" ref="O116:T116" si="69">ROUND(O31+O86+AB116,2)</f>
        <v>3407.53</v>
      </c>
      <c r="P116" s="3">
        <f t="shared" si="69"/>
        <v>3016.91</v>
      </c>
      <c r="Q116" s="3">
        <f t="shared" si="69"/>
        <v>171.87</v>
      </c>
      <c r="R116" s="3">
        <f t="shared" si="69"/>
        <v>16.440000000000001</v>
      </c>
      <c r="S116" s="3">
        <f t="shared" si="69"/>
        <v>218.75</v>
      </c>
      <c r="T116" s="3">
        <f t="shared" si="69"/>
        <v>0</v>
      </c>
      <c r="U116" s="3">
        <f>U31+U86+AH116</f>
        <v>19.610554</v>
      </c>
      <c r="V116" s="3">
        <f>V31+V86+AI116</f>
        <v>0</v>
      </c>
      <c r="W116" s="3">
        <f>ROUND(W31+W86+AJ116,2)</f>
        <v>0</v>
      </c>
      <c r="X116" s="3">
        <f>ROUND(X31+X86+AK116,2)</f>
        <v>280.22000000000003</v>
      </c>
      <c r="Y116" s="3">
        <f>ROUND(Y31+Y86+AL116,2)</f>
        <v>166.43</v>
      </c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>
        <f t="shared" ref="AO116:BD116" si="70">ROUND(AO31+AO86+BX116,2)</f>
        <v>0</v>
      </c>
      <c r="AP116" s="3">
        <f t="shared" si="70"/>
        <v>0</v>
      </c>
      <c r="AQ116" s="3">
        <f t="shared" si="70"/>
        <v>0</v>
      </c>
      <c r="AR116" s="3">
        <f t="shared" si="70"/>
        <v>3882.95</v>
      </c>
      <c r="AS116" s="3">
        <f t="shared" si="70"/>
        <v>3882.95</v>
      </c>
      <c r="AT116" s="3">
        <f t="shared" si="70"/>
        <v>0</v>
      </c>
      <c r="AU116" s="3">
        <f t="shared" si="70"/>
        <v>0</v>
      </c>
      <c r="AV116" s="3">
        <f t="shared" si="70"/>
        <v>3016.91</v>
      </c>
      <c r="AW116" s="3">
        <f t="shared" si="70"/>
        <v>3016.91</v>
      </c>
      <c r="AX116" s="3">
        <f t="shared" si="70"/>
        <v>0</v>
      </c>
      <c r="AY116" s="3">
        <f t="shared" si="70"/>
        <v>3016.91</v>
      </c>
      <c r="AZ116" s="3">
        <f t="shared" si="70"/>
        <v>0</v>
      </c>
      <c r="BA116" s="3">
        <f t="shared" si="70"/>
        <v>0</v>
      </c>
      <c r="BB116" s="3">
        <f t="shared" si="70"/>
        <v>0</v>
      </c>
      <c r="BC116" s="3">
        <f t="shared" si="70"/>
        <v>0</v>
      </c>
      <c r="BD116" s="3">
        <f t="shared" si="70"/>
        <v>0</v>
      </c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4">
        <f t="shared" ref="DG116:DL116" si="71">ROUND(DG31+DG86+DT116,2)</f>
        <v>37482</v>
      </c>
      <c r="DH116" s="4">
        <f t="shared" si="71"/>
        <v>29329.89</v>
      </c>
      <c r="DI116" s="4">
        <f t="shared" si="71"/>
        <v>1801.79</v>
      </c>
      <c r="DJ116" s="4">
        <f t="shared" si="71"/>
        <v>477.26</v>
      </c>
      <c r="DK116" s="4">
        <f t="shared" si="71"/>
        <v>6350.32</v>
      </c>
      <c r="DL116" s="4">
        <f t="shared" si="71"/>
        <v>0</v>
      </c>
      <c r="DM116" s="4">
        <f>DM31+DM86+DZ116</f>
        <v>19.610554</v>
      </c>
      <c r="DN116" s="4">
        <f>DN31+DN86+EA116</f>
        <v>0</v>
      </c>
      <c r="DO116" s="4">
        <f>ROUND(DO31+DO86+EB116,2)</f>
        <v>0</v>
      </c>
      <c r="DP116" s="4">
        <f>ROUND(DP31+DP86+EC116,2)</f>
        <v>6686.15</v>
      </c>
      <c r="DQ116" s="4">
        <f>ROUND(DQ31+DQ86+ED116,2)</f>
        <v>2603.63</v>
      </c>
      <c r="DR116" s="4"/>
      <c r="DS116" s="4"/>
      <c r="DT116" s="4"/>
      <c r="DU116" s="4"/>
      <c r="DV116" s="4"/>
      <c r="DW116" s="4"/>
      <c r="DX116" s="4"/>
      <c r="DY116" s="4"/>
      <c r="DZ116" s="4"/>
      <c r="EA116" s="4"/>
      <c r="EB116" s="4"/>
      <c r="EC116" s="4"/>
      <c r="ED116" s="4"/>
      <c r="EE116" s="4"/>
      <c r="EF116" s="4"/>
      <c r="EG116" s="4">
        <f t="shared" ref="EG116:EV116" si="72">ROUND(EG31+EG86+FP116,2)</f>
        <v>0</v>
      </c>
      <c r="EH116" s="4">
        <f t="shared" si="72"/>
        <v>0</v>
      </c>
      <c r="EI116" s="4">
        <f t="shared" si="72"/>
        <v>0</v>
      </c>
      <c r="EJ116" s="4">
        <f t="shared" si="72"/>
        <v>47535.4</v>
      </c>
      <c r="EK116" s="4">
        <f t="shared" si="72"/>
        <v>47535.4</v>
      </c>
      <c r="EL116" s="4">
        <f t="shared" si="72"/>
        <v>0</v>
      </c>
      <c r="EM116" s="4">
        <f t="shared" si="72"/>
        <v>0</v>
      </c>
      <c r="EN116" s="4">
        <f t="shared" si="72"/>
        <v>29329.89</v>
      </c>
      <c r="EO116" s="4">
        <f t="shared" si="72"/>
        <v>29329.89</v>
      </c>
      <c r="EP116" s="4">
        <f t="shared" si="72"/>
        <v>0</v>
      </c>
      <c r="EQ116" s="4">
        <f t="shared" si="72"/>
        <v>29329.89</v>
      </c>
      <c r="ER116" s="4">
        <f t="shared" si="72"/>
        <v>0</v>
      </c>
      <c r="ES116" s="4">
        <f t="shared" si="72"/>
        <v>0</v>
      </c>
      <c r="ET116" s="4">
        <f t="shared" si="72"/>
        <v>0</v>
      </c>
      <c r="EU116" s="4">
        <f t="shared" si="72"/>
        <v>0</v>
      </c>
      <c r="EV116" s="4">
        <f t="shared" si="72"/>
        <v>0</v>
      </c>
      <c r="EW116" s="4"/>
      <c r="EX116" s="4"/>
      <c r="EY116" s="4"/>
      <c r="EZ116" s="4"/>
      <c r="FA116" s="4"/>
      <c r="FB116" s="4"/>
      <c r="FC116" s="4"/>
      <c r="FD116" s="4"/>
      <c r="FE116" s="4"/>
      <c r="FF116" s="4"/>
      <c r="FG116" s="4"/>
      <c r="FH116" s="4"/>
      <c r="FI116" s="4"/>
      <c r="FJ116" s="4"/>
      <c r="FK116" s="4"/>
      <c r="FL116" s="4"/>
      <c r="FM116" s="4"/>
      <c r="FN116" s="4"/>
      <c r="FO116" s="4"/>
      <c r="FP116" s="4"/>
      <c r="FQ116" s="4"/>
      <c r="FR116" s="4"/>
      <c r="FS116" s="4"/>
      <c r="FT116" s="4"/>
      <c r="FU116" s="4"/>
      <c r="FV116" s="4"/>
      <c r="FW116" s="4"/>
      <c r="FX116" s="4"/>
      <c r="FY116" s="4"/>
      <c r="FZ116" s="4"/>
      <c r="GA116" s="4"/>
      <c r="GB116" s="4"/>
      <c r="GC116" s="4"/>
      <c r="GD116" s="4"/>
      <c r="GE116" s="4"/>
      <c r="GF116" s="4"/>
      <c r="GG116" s="4"/>
      <c r="GH116" s="4"/>
      <c r="GI116" s="4"/>
      <c r="GJ116" s="4"/>
      <c r="GK116" s="4"/>
      <c r="GL116" s="4"/>
      <c r="GM116" s="4"/>
      <c r="GN116" s="4"/>
      <c r="GO116" s="4"/>
      <c r="GP116" s="4"/>
      <c r="GQ116" s="4"/>
      <c r="GR116" s="4"/>
      <c r="GS116" s="4"/>
      <c r="GT116" s="4"/>
      <c r="GU116" s="4"/>
      <c r="GV116" s="4"/>
      <c r="GW116" s="4"/>
      <c r="GX116" s="4">
        <v>0</v>
      </c>
    </row>
    <row r="118" spans="1:206" x14ac:dyDescent="0.2">
      <c r="A118" s="5">
        <v>50</v>
      </c>
      <c r="B118" s="5">
        <v>0</v>
      </c>
      <c r="C118" s="5">
        <v>0</v>
      </c>
      <c r="D118" s="5">
        <v>1</v>
      </c>
      <c r="E118" s="5">
        <v>201</v>
      </c>
      <c r="F118" s="5">
        <f>ROUND(Source!O116,O118)</f>
        <v>3407.53</v>
      </c>
      <c r="G118" s="5" t="s">
        <v>26</v>
      </c>
      <c r="H118" s="5" t="s">
        <v>27</v>
      </c>
      <c r="I118" s="5"/>
      <c r="J118" s="5"/>
      <c r="K118" s="5">
        <v>201</v>
      </c>
      <c r="L118" s="5">
        <v>1</v>
      </c>
      <c r="M118" s="5">
        <v>3</v>
      </c>
      <c r="N118" s="5" t="s">
        <v>3</v>
      </c>
      <c r="O118" s="5">
        <v>2</v>
      </c>
      <c r="P118" s="5">
        <f>ROUND(Source!DG116,O118)</f>
        <v>37482</v>
      </c>
      <c r="Q118" s="5"/>
      <c r="R118" s="5"/>
      <c r="S118" s="5"/>
      <c r="T118" s="5"/>
      <c r="U118" s="5"/>
      <c r="V118" s="5"/>
      <c r="W118" s="5">
        <v>3407.53</v>
      </c>
      <c r="X118" s="5">
        <v>1</v>
      </c>
      <c r="Y118" s="5">
        <v>3407.53</v>
      </c>
      <c r="Z118" s="5">
        <v>37482</v>
      </c>
      <c r="AA118" s="5">
        <v>1</v>
      </c>
      <c r="AB118" s="5">
        <v>37482</v>
      </c>
    </row>
    <row r="119" spans="1:206" x14ac:dyDescent="0.2">
      <c r="A119" s="5">
        <v>50</v>
      </c>
      <c r="B119" s="5">
        <v>0</v>
      </c>
      <c r="C119" s="5">
        <v>0</v>
      </c>
      <c r="D119" s="5">
        <v>1</v>
      </c>
      <c r="E119" s="5">
        <v>202</v>
      </c>
      <c r="F119" s="5">
        <f>ROUND(Source!P116,O119)</f>
        <v>3016.91</v>
      </c>
      <c r="G119" s="5" t="s">
        <v>28</v>
      </c>
      <c r="H119" s="5" t="s">
        <v>29</v>
      </c>
      <c r="I119" s="5"/>
      <c r="J119" s="5"/>
      <c r="K119" s="5">
        <v>202</v>
      </c>
      <c r="L119" s="5">
        <v>2</v>
      </c>
      <c r="M119" s="5">
        <v>3</v>
      </c>
      <c r="N119" s="5" t="s">
        <v>3</v>
      </c>
      <c r="O119" s="5">
        <v>2</v>
      </c>
      <c r="P119" s="5">
        <f>ROUND(Source!DH116,O119)</f>
        <v>29329.89</v>
      </c>
      <c r="Q119" s="5"/>
      <c r="R119" s="5"/>
      <c r="S119" s="5"/>
      <c r="T119" s="5"/>
      <c r="U119" s="5"/>
      <c r="V119" s="5"/>
      <c r="W119" s="5">
        <v>3016.91</v>
      </c>
      <c r="X119" s="5">
        <v>1</v>
      </c>
      <c r="Y119" s="5">
        <v>3016.91</v>
      </c>
      <c r="Z119" s="5">
        <v>29329.89</v>
      </c>
      <c r="AA119" s="5">
        <v>1</v>
      </c>
      <c r="AB119" s="5">
        <v>29329.89</v>
      </c>
    </row>
    <row r="120" spans="1:206" x14ac:dyDescent="0.2">
      <c r="A120" s="5">
        <v>50</v>
      </c>
      <c r="B120" s="5">
        <v>0</v>
      </c>
      <c r="C120" s="5">
        <v>0</v>
      </c>
      <c r="D120" s="5">
        <v>1</v>
      </c>
      <c r="E120" s="5">
        <v>222</v>
      </c>
      <c r="F120" s="5">
        <f>ROUND(Source!AO116,O120)</f>
        <v>0</v>
      </c>
      <c r="G120" s="5" t="s">
        <v>30</v>
      </c>
      <c r="H120" s="5" t="s">
        <v>31</v>
      </c>
      <c r="I120" s="5"/>
      <c r="J120" s="5"/>
      <c r="K120" s="5">
        <v>222</v>
      </c>
      <c r="L120" s="5">
        <v>3</v>
      </c>
      <c r="M120" s="5">
        <v>3</v>
      </c>
      <c r="N120" s="5" t="s">
        <v>3</v>
      </c>
      <c r="O120" s="5">
        <v>2</v>
      </c>
      <c r="P120" s="5">
        <f>ROUND(Source!EG116,O120)</f>
        <v>0</v>
      </c>
      <c r="Q120" s="5"/>
      <c r="R120" s="5"/>
      <c r="S120" s="5"/>
      <c r="T120" s="5"/>
      <c r="U120" s="5"/>
      <c r="V120" s="5"/>
      <c r="W120" s="5">
        <v>0</v>
      </c>
      <c r="X120" s="5">
        <v>1</v>
      </c>
      <c r="Y120" s="5">
        <v>0</v>
      </c>
      <c r="Z120" s="5">
        <v>0</v>
      </c>
      <c r="AA120" s="5">
        <v>1</v>
      </c>
      <c r="AB120" s="5">
        <v>0</v>
      </c>
    </row>
    <row r="121" spans="1:206" x14ac:dyDescent="0.2">
      <c r="A121" s="5">
        <v>50</v>
      </c>
      <c r="B121" s="5">
        <v>0</v>
      </c>
      <c r="C121" s="5">
        <v>0</v>
      </c>
      <c r="D121" s="5">
        <v>1</v>
      </c>
      <c r="E121" s="5">
        <v>225</v>
      </c>
      <c r="F121" s="5">
        <f>ROUND(Source!AV116,O121)</f>
        <v>3016.91</v>
      </c>
      <c r="G121" s="5" t="s">
        <v>32</v>
      </c>
      <c r="H121" s="5" t="s">
        <v>33</v>
      </c>
      <c r="I121" s="5"/>
      <c r="J121" s="5"/>
      <c r="K121" s="5">
        <v>225</v>
      </c>
      <c r="L121" s="5">
        <v>4</v>
      </c>
      <c r="M121" s="5">
        <v>3</v>
      </c>
      <c r="N121" s="5" t="s">
        <v>3</v>
      </c>
      <c r="O121" s="5">
        <v>2</v>
      </c>
      <c r="P121" s="5">
        <f>ROUND(Source!EN116,O121)</f>
        <v>29329.89</v>
      </c>
      <c r="Q121" s="5"/>
      <c r="R121" s="5"/>
      <c r="S121" s="5"/>
      <c r="T121" s="5"/>
      <c r="U121" s="5"/>
      <c r="V121" s="5"/>
      <c r="W121" s="5">
        <v>3016.91</v>
      </c>
      <c r="X121" s="5">
        <v>1</v>
      </c>
      <c r="Y121" s="5">
        <v>3016.91</v>
      </c>
      <c r="Z121" s="5">
        <v>29329.89</v>
      </c>
      <c r="AA121" s="5">
        <v>1</v>
      </c>
      <c r="AB121" s="5">
        <v>29329.89</v>
      </c>
    </row>
    <row r="122" spans="1:206" x14ac:dyDescent="0.2">
      <c r="A122" s="5">
        <v>50</v>
      </c>
      <c r="B122" s="5">
        <v>0</v>
      </c>
      <c r="C122" s="5">
        <v>0</v>
      </c>
      <c r="D122" s="5">
        <v>1</v>
      </c>
      <c r="E122" s="5">
        <v>226</v>
      </c>
      <c r="F122" s="5">
        <f>ROUND(Source!AW116,O122)</f>
        <v>3016.91</v>
      </c>
      <c r="G122" s="5" t="s">
        <v>34</v>
      </c>
      <c r="H122" s="5" t="s">
        <v>35</v>
      </c>
      <c r="I122" s="5"/>
      <c r="J122" s="5"/>
      <c r="K122" s="5">
        <v>226</v>
      </c>
      <c r="L122" s="5">
        <v>5</v>
      </c>
      <c r="M122" s="5">
        <v>3</v>
      </c>
      <c r="N122" s="5" t="s">
        <v>3</v>
      </c>
      <c r="O122" s="5">
        <v>2</v>
      </c>
      <c r="P122" s="5">
        <f>ROUND(Source!EO116,O122)</f>
        <v>29329.89</v>
      </c>
      <c r="Q122" s="5"/>
      <c r="R122" s="5"/>
      <c r="S122" s="5"/>
      <c r="T122" s="5"/>
      <c r="U122" s="5"/>
      <c r="V122" s="5"/>
      <c r="W122" s="5">
        <v>3016.91</v>
      </c>
      <c r="X122" s="5">
        <v>1</v>
      </c>
      <c r="Y122" s="5">
        <v>3016.91</v>
      </c>
      <c r="Z122" s="5">
        <v>29329.89</v>
      </c>
      <c r="AA122" s="5">
        <v>1</v>
      </c>
      <c r="AB122" s="5">
        <v>29329.89</v>
      </c>
    </row>
    <row r="123" spans="1:206" x14ac:dyDescent="0.2">
      <c r="A123" s="5">
        <v>50</v>
      </c>
      <c r="B123" s="5">
        <v>0</v>
      </c>
      <c r="C123" s="5">
        <v>0</v>
      </c>
      <c r="D123" s="5">
        <v>1</v>
      </c>
      <c r="E123" s="5">
        <v>227</v>
      </c>
      <c r="F123" s="5">
        <f>ROUND(Source!AX116,O123)</f>
        <v>0</v>
      </c>
      <c r="G123" s="5" t="s">
        <v>36</v>
      </c>
      <c r="H123" s="5" t="s">
        <v>37</v>
      </c>
      <c r="I123" s="5"/>
      <c r="J123" s="5"/>
      <c r="K123" s="5">
        <v>227</v>
      </c>
      <c r="L123" s="5">
        <v>6</v>
      </c>
      <c r="M123" s="5">
        <v>3</v>
      </c>
      <c r="N123" s="5" t="s">
        <v>3</v>
      </c>
      <c r="O123" s="5">
        <v>2</v>
      </c>
      <c r="P123" s="5">
        <f>ROUND(Source!EP116,O123)</f>
        <v>0</v>
      </c>
      <c r="Q123" s="5"/>
      <c r="R123" s="5"/>
      <c r="S123" s="5"/>
      <c r="T123" s="5"/>
      <c r="U123" s="5"/>
      <c r="V123" s="5"/>
      <c r="W123" s="5">
        <v>0</v>
      </c>
      <c r="X123" s="5">
        <v>1</v>
      </c>
      <c r="Y123" s="5">
        <v>0</v>
      </c>
      <c r="Z123" s="5">
        <v>0</v>
      </c>
      <c r="AA123" s="5">
        <v>1</v>
      </c>
      <c r="AB123" s="5">
        <v>0</v>
      </c>
    </row>
    <row r="124" spans="1:206" x14ac:dyDescent="0.2">
      <c r="A124" s="5">
        <v>50</v>
      </c>
      <c r="B124" s="5">
        <v>0</v>
      </c>
      <c r="C124" s="5">
        <v>0</v>
      </c>
      <c r="D124" s="5">
        <v>1</v>
      </c>
      <c r="E124" s="5">
        <v>228</v>
      </c>
      <c r="F124" s="5">
        <f>ROUND(Source!AY116,O124)</f>
        <v>3016.91</v>
      </c>
      <c r="G124" s="5" t="s">
        <v>38</v>
      </c>
      <c r="H124" s="5" t="s">
        <v>39</v>
      </c>
      <c r="I124" s="5"/>
      <c r="J124" s="5"/>
      <c r="K124" s="5">
        <v>228</v>
      </c>
      <c r="L124" s="5">
        <v>7</v>
      </c>
      <c r="M124" s="5">
        <v>3</v>
      </c>
      <c r="N124" s="5" t="s">
        <v>3</v>
      </c>
      <c r="O124" s="5">
        <v>2</v>
      </c>
      <c r="P124" s="5">
        <f>ROUND(Source!EQ116,O124)</f>
        <v>29329.89</v>
      </c>
      <c r="Q124" s="5"/>
      <c r="R124" s="5"/>
      <c r="S124" s="5"/>
      <c r="T124" s="5"/>
      <c r="U124" s="5"/>
      <c r="V124" s="5"/>
      <c r="W124" s="5">
        <v>3016.91</v>
      </c>
      <c r="X124" s="5">
        <v>1</v>
      </c>
      <c r="Y124" s="5">
        <v>3016.91</v>
      </c>
      <c r="Z124" s="5">
        <v>29329.89</v>
      </c>
      <c r="AA124" s="5">
        <v>1</v>
      </c>
      <c r="AB124" s="5">
        <v>29329.89</v>
      </c>
    </row>
    <row r="125" spans="1:206" x14ac:dyDescent="0.2">
      <c r="A125" s="5">
        <v>50</v>
      </c>
      <c r="B125" s="5">
        <v>0</v>
      </c>
      <c r="C125" s="5">
        <v>0</v>
      </c>
      <c r="D125" s="5">
        <v>1</v>
      </c>
      <c r="E125" s="5">
        <v>216</v>
      </c>
      <c r="F125" s="5">
        <f>ROUND(Source!AP116,O125)</f>
        <v>0</v>
      </c>
      <c r="G125" s="5" t="s">
        <v>40</v>
      </c>
      <c r="H125" s="5" t="s">
        <v>41</v>
      </c>
      <c r="I125" s="5"/>
      <c r="J125" s="5"/>
      <c r="K125" s="5">
        <v>216</v>
      </c>
      <c r="L125" s="5">
        <v>8</v>
      </c>
      <c r="M125" s="5">
        <v>3</v>
      </c>
      <c r="N125" s="5" t="s">
        <v>3</v>
      </c>
      <c r="O125" s="5">
        <v>2</v>
      </c>
      <c r="P125" s="5">
        <f>ROUND(Source!EH116,O125)</f>
        <v>0</v>
      </c>
      <c r="Q125" s="5"/>
      <c r="R125" s="5"/>
      <c r="S125" s="5"/>
      <c r="T125" s="5"/>
      <c r="U125" s="5"/>
      <c r="V125" s="5"/>
      <c r="W125" s="5">
        <v>0</v>
      </c>
      <c r="X125" s="5">
        <v>1</v>
      </c>
      <c r="Y125" s="5">
        <v>0</v>
      </c>
      <c r="Z125" s="5">
        <v>0</v>
      </c>
      <c r="AA125" s="5">
        <v>1</v>
      </c>
      <c r="AB125" s="5">
        <v>0</v>
      </c>
    </row>
    <row r="126" spans="1:206" x14ac:dyDescent="0.2">
      <c r="A126" s="5">
        <v>50</v>
      </c>
      <c r="B126" s="5">
        <v>0</v>
      </c>
      <c r="C126" s="5">
        <v>0</v>
      </c>
      <c r="D126" s="5">
        <v>1</v>
      </c>
      <c r="E126" s="5">
        <v>223</v>
      </c>
      <c r="F126" s="5">
        <f>ROUND(Source!AQ116,O126)</f>
        <v>0</v>
      </c>
      <c r="G126" s="5" t="s">
        <v>42</v>
      </c>
      <c r="H126" s="5" t="s">
        <v>43</v>
      </c>
      <c r="I126" s="5"/>
      <c r="J126" s="5"/>
      <c r="K126" s="5">
        <v>223</v>
      </c>
      <c r="L126" s="5">
        <v>9</v>
      </c>
      <c r="M126" s="5">
        <v>3</v>
      </c>
      <c r="N126" s="5" t="s">
        <v>3</v>
      </c>
      <c r="O126" s="5">
        <v>2</v>
      </c>
      <c r="P126" s="5">
        <f>ROUND(Source!EI116,O126)</f>
        <v>0</v>
      </c>
      <c r="Q126" s="5"/>
      <c r="R126" s="5"/>
      <c r="S126" s="5"/>
      <c r="T126" s="5"/>
      <c r="U126" s="5"/>
      <c r="V126" s="5"/>
      <c r="W126" s="5">
        <v>0</v>
      </c>
      <c r="X126" s="5">
        <v>1</v>
      </c>
      <c r="Y126" s="5">
        <v>0</v>
      </c>
      <c r="Z126" s="5">
        <v>0</v>
      </c>
      <c r="AA126" s="5">
        <v>1</v>
      </c>
      <c r="AB126" s="5">
        <v>0</v>
      </c>
    </row>
    <row r="127" spans="1:206" x14ac:dyDescent="0.2">
      <c r="A127" s="5">
        <v>50</v>
      </c>
      <c r="B127" s="5">
        <v>0</v>
      </c>
      <c r="C127" s="5">
        <v>0</v>
      </c>
      <c r="D127" s="5">
        <v>1</v>
      </c>
      <c r="E127" s="5">
        <v>229</v>
      </c>
      <c r="F127" s="5">
        <f>ROUND(Source!AZ116,O127)</f>
        <v>0</v>
      </c>
      <c r="G127" s="5" t="s">
        <v>44</v>
      </c>
      <c r="H127" s="5" t="s">
        <v>45</v>
      </c>
      <c r="I127" s="5"/>
      <c r="J127" s="5"/>
      <c r="K127" s="5">
        <v>229</v>
      </c>
      <c r="L127" s="5">
        <v>10</v>
      </c>
      <c r="M127" s="5">
        <v>3</v>
      </c>
      <c r="N127" s="5" t="s">
        <v>3</v>
      </c>
      <c r="O127" s="5">
        <v>2</v>
      </c>
      <c r="P127" s="5">
        <f>ROUND(Source!ER116,O127)</f>
        <v>0</v>
      </c>
      <c r="Q127" s="5"/>
      <c r="R127" s="5"/>
      <c r="S127" s="5"/>
      <c r="T127" s="5"/>
      <c r="U127" s="5"/>
      <c r="V127" s="5"/>
      <c r="W127" s="5">
        <v>0</v>
      </c>
      <c r="X127" s="5">
        <v>1</v>
      </c>
      <c r="Y127" s="5">
        <v>0</v>
      </c>
      <c r="Z127" s="5">
        <v>0</v>
      </c>
      <c r="AA127" s="5">
        <v>1</v>
      </c>
      <c r="AB127" s="5">
        <v>0</v>
      </c>
    </row>
    <row r="128" spans="1:206" x14ac:dyDescent="0.2">
      <c r="A128" s="5">
        <v>50</v>
      </c>
      <c r="B128" s="5">
        <v>0</v>
      </c>
      <c r="C128" s="5">
        <v>0</v>
      </c>
      <c r="D128" s="5">
        <v>1</v>
      </c>
      <c r="E128" s="5">
        <v>203</v>
      </c>
      <c r="F128" s="5">
        <f>ROUND(Source!Q116,O128)</f>
        <v>171.87</v>
      </c>
      <c r="G128" s="5" t="s">
        <v>46</v>
      </c>
      <c r="H128" s="5" t="s">
        <v>47</v>
      </c>
      <c r="I128" s="5"/>
      <c r="J128" s="5"/>
      <c r="K128" s="5">
        <v>203</v>
      </c>
      <c r="L128" s="5">
        <v>11</v>
      </c>
      <c r="M128" s="5">
        <v>3</v>
      </c>
      <c r="N128" s="5" t="s">
        <v>3</v>
      </c>
      <c r="O128" s="5">
        <v>2</v>
      </c>
      <c r="P128" s="5">
        <f>ROUND(Source!DI116,O128)</f>
        <v>1801.79</v>
      </c>
      <c r="Q128" s="5"/>
      <c r="R128" s="5"/>
      <c r="S128" s="5"/>
      <c r="T128" s="5"/>
      <c r="U128" s="5"/>
      <c r="V128" s="5"/>
      <c r="W128" s="5">
        <v>171.87</v>
      </c>
      <c r="X128" s="5">
        <v>1</v>
      </c>
      <c r="Y128" s="5">
        <v>171.87</v>
      </c>
      <c r="Z128" s="5">
        <v>1801.79</v>
      </c>
      <c r="AA128" s="5">
        <v>1</v>
      </c>
      <c r="AB128" s="5">
        <v>1801.79</v>
      </c>
    </row>
    <row r="129" spans="1:28" x14ac:dyDescent="0.2">
      <c r="A129" s="5">
        <v>50</v>
      </c>
      <c r="B129" s="5">
        <v>0</v>
      </c>
      <c r="C129" s="5">
        <v>0</v>
      </c>
      <c r="D129" s="5">
        <v>1</v>
      </c>
      <c r="E129" s="5">
        <v>231</v>
      </c>
      <c r="F129" s="5">
        <f>ROUND(Source!BB116,O129)</f>
        <v>0</v>
      </c>
      <c r="G129" s="5" t="s">
        <v>48</v>
      </c>
      <c r="H129" s="5" t="s">
        <v>49</v>
      </c>
      <c r="I129" s="5"/>
      <c r="J129" s="5"/>
      <c r="K129" s="5">
        <v>231</v>
      </c>
      <c r="L129" s="5">
        <v>12</v>
      </c>
      <c r="M129" s="5">
        <v>3</v>
      </c>
      <c r="N129" s="5" t="s">
        <v>3</v>
      </c>
      <c r="O129" s="5">
        <v>2</v>
      </c>
      <c r="P129" s="5">
        <f>ROUND(Source!ET116,O129)</f>
        <v>0</v>
      </c>
      <c r="Q129" s="5"/>
      <c r="R129" s="5"/>
      <c r="S129" s="5"/>
      <c r="T129" s="5"/>
      <c r="U129" s="5"/>
      <c r="V129" s="5"/>
      <c r="W129" s="5">
        <v>0</v>
      </c>
      <c r="X129" s="5">
        <v>1</v>
      </c>
      <c r="Y129" s="5">
        <v>0</v>
      </c>
      <c r="Z129" s="5">
        <v>0</v>
      </c>
      <c r="AA129" s="5">
        <v>1</v>
      </c>
      <c r="AB129" s="5">
        <v>0</v>
      </c>
    </row>
    <row r="130" spans="1:28" x14ac:dyDescent="0.2">
      <c r="A130" s="5">
        <v>50</v>
      </c>
      <c r="B130" s="5">
        <v>0</v>
      </c>
      <c r="C130" s="5">
        <v>0</v>
      </c>
      <c r="D130" s="5">
        <v>1</v>
      </c>
      <c r="E130" s="5">
        <v>204</v>
      </c>
      <c r="F130" s="5">
        <f>ROUND(Source!R116,O130)</f>
        <v>16.440000000000001</v>
      </c>
      <c r="G130" s="5" t="s">
        <v>50</v>
      </c>
      <c r="H130" s="5" t="s">
        <v>51</v>
      </c>
      <c r="I130" s="5"/>
      <c r="J130" s="5"/>
      <c r="K130" s="5">
        <v>204</v>
      </c>
      <c r="L130" s="5">
        <v>13</v>
      </c>
      <c r="M130" s="5">
        <v>3</v>
      </c>
      <c r="N130" s="5" t="s">
        <v>3</v>
      </c>
      <c r="O130" s="5">
        <v>2</v>
      </c>
      <c r="P130" s="5">
        <f>ROUND(Source!DJ116,O130)</f>
        <v>477.26</v>
      </c>
      <c r="Q130" s="5"/>
      <c r="R130" s="5"/>
      <c r="S130" s="5"/>
      <c r="T130" s="5"/>
      <c r="U130" s="5"/>
      <c r="V130" s="5"/>
      <c r="W130" s="5">
        <v>16.440000000000001</v>
      </c>
      <c r="X130" s="5">
        <v>1</v>
      </c>
      <c r="Y130" s="5">
        <v>16.440000000000001</v>
      </c>
      <c r="Z130" s="5">
        <v>477.26</v>
      </c>
      <c r="AA130" s="5">
        <v>1</v>
      </c>
      <c r="AB130" s="5">
        <v>477.26</v>
      </c>
    </row>
    <row r="131" spans="1:28" x14ac:dyDescent="0.2">
      <c r="A131" s="5">
        <v>50</v>
      </c>
      <c r="B131" s="5">
        <v>0</v>
      </c>
      <c r="C131" s="5">
        <v>0</v>
      </c>
      <c r="D131" s="5">
        <v>1</v>
      </c>
      <c r="E131" s="5">
        <v>205</v>
      </c>
      <c r="F131" s="5">
        <f>ROUND(Source!S116,O131)</f>
        <v>218.75</v>
      </c>
      <c r="G131" s="5" t="s">
        <v>52</v>
      </c>
      <c r="H131" s="5" t="s">
        <v>53</v>
      </c>
      <c r="I131" s="5"/>
      <c r="J131" s="5"/>
      <c r="K131" s="5">
        <v>205</v>
      </c>
      <c r="L131" s="5">
        <v>14</v>
      </c>
      <c r="M131" s="5">
        <v>3</v>
      </c>
      <c r="N131" s="5" t="s">
        <v>3</v>
      </c>
      <c r="O131" s="5">
        <v>2</v>
      </c>
      <c r="P131" s="5">
        <f>ROUND(Source!DK116,O131)</f>
        <v>6350.32</v>
      </c>
      <c r="Q131" s="5"/>
      <c r="R131" s="5"/>
      <c r="S131" s="5"/>
      <c r="T131" s="5"/>
      <c r="U131" s="5"/>
      <c r="V131" s="5"/>
      <c r="W131" s="5">
        <v>218.75</v>
      </c>
      <c r="X131" s="5">
        <v>1</v>
      </c>
      <c r="Y131" s="5">
        <v>218.75</v>
      </c>
      <c r="Z131" s="5">
        <v>6350.32</v>
      </c>
      <c r="AA131" s="5">
        <v>1</v>
      </c>
      <c r="AB131" s="5">
        <v>6350.32</v>
      </c>
    </row>
    <row r="132" spans="1:28" x14ac:dyDescent="0.2">
      <c r="A132" s="5">
        <v>50</v>
      </c>
      <c r="B132" s="5">
        <v>0</v>
      </c>
      <c r="C132" s="5">
        <v>0</v>
      </c>
      <c r="D132" s="5">
        <v>1</v>
      </c>
      <c r="E132" s="5">
        <v>232</v>
      </c>
      <c r="F132" s="5">
        <f>ROUND(Source!BC116,O132)</f>
        <v>0</v>
      </c>
      <c r="G132" s="5" t="s">
        <v>54</v>
      </c>
      <c r="H132" s="5" t="s">
        <v>55</v>
      </c>
      <c r="I132" s="5"/>
      <c r="J132" s="5"/>
      <c r="K132" s="5">
        <v>232</v>
      </c>
      <c r="L132" s="5">
        <v>15</v>
      </c>
      <c r="M132" s="5">
        <v>3</v>
      </c>
      <c r="N132" s="5" t="s">
        <v>3</v>
      </c>
      <c r="O132" s="5">
        <v>2</v>
      </c>
      <c r="P132" s="5">
        <f>ROUND(Source!EU116,O132)</f>
        <v>0</v>
      </c>
      <c r="Q132" s="5"/>
      <c r="R132" s="5"/>
      <c r="S132" s="5"/>
      <c r="T132" s="5"/>
      <c r="U132" s="5"/>
      <c r="V132" s="5"/>
      <c r="W132" s="5">
        <v>0</v>
      </c>
      <c r="X132" s="5">
        <v>1</v>
      </c>
      <c r="Y132" s="5">
        <v>0</v>
      </c>
      <c r="Z132" s="5">
        <v>0</v>
      </c>
      <c r="AA132" s="5">
        <v>1</v>
      </c>
      <c r="AB132" s="5">
        <v>0</v>
      </c>
    </row>
    <row r="133" spans="1:28" x14ac:dyDescent="0.2">
      <c r="A133" s="5">
        <v>50</v>
      </c>
      <c r="B133" s="5">
        <v>0</v>
      </c>
      <c r="C133" s="5">
        <v>0</v>
      </c>
      <c r="D133" s="5">
        <v>1</v>
      </c>
      <c r="E133" s="5">
        <v>214</v>
      </c>
      <c r="F133" s="5">
        <f>ROUND(Source!AS116,O133)</f>
        <v>3882.95</v>
      </c>
      <c r="G133" s="5" t="s">
        <v>56</v>
      </c>
      <c r="H133" s="5" t="s">
        <v>57</v>
      </c>
      <c r="I133" s="5"/>
      <c r="J133" s="5"/>
      <c r="K133" s="5">
        <v>214</v>
      </c>
      <c r="L133" s="5">
        <v>16</v>
      </c>
      <c r="M133" s="5">
        <v>3</v>
      </c>
      <c r="N133" s="5" t="s">
        <v>3</v>
      </c>
      <c r="O133" s="5">
        <v>2</v>
      </c>
      <c r="P133" s="5">
        <f>ROUND(Source!EK116,O133)</f>
        <v>47535.4</v>
      </c>
      <c r="Q133" s="5"/>
      <c r="R133" s="5"/>
      <c r="S133" s="5"/>
      <c r="T133" s="5"/>
      <c r="U133" s="5"/>
      <c r="V133" s="5"/>
      <c r="W133" s="5">
        <v>3882.95</v>
      </c>
      <c r="X133" s="5">
        <v>1</v>
      </c>
      <c r="Y133" s="5">
        <v>3882.95</v>
      </c>
      <c r="Z133" s="5">
        <v>47535.4</v>
      </c>
      <c r="AA133" s="5">
        <v>1</v>
      </c>
      <c r="AB133" s="5">
        <v>47535.4</v>
      </c>
    </row>
    <row r="134" spans="1:28" x14ac:dyDescent="0.2">
      <c r="A134" s="5">
        <v>50</v>
      </c>
      <c r="B134" s="5">
        <v>0</v>
      </c>
      <c r="C134" s="5">
        <v>0</v>
      </c>
      <c r="D134" s="5">
        <v>1</v>
      </c>
      <c r="E134" s="5">
        <v>215</v>
      </c>
      <c r="F134" s="5">
        <f>ROUND(Source!AT116,O134)</f>
        <v>0</v>
      </c>
      <c r="G134" s="5" t="s">
        <v>58</v>
      </c>
      <c r="H134" s="5" t="s">
        <v>59</v>
      </c>
      <c r="I134" s="5"/>
      <c r="J134" s="5"/>
      <c r="K134" s="5">
        <v>215</v>
      </c>
      <c r="L134" s="5">
        <v>17</v>
      </c>
      <c r="M134" s="5">
        <v>3</v>
      </c>
      <c r="N134" s="5" t="s">
        <v>3</v>
      </c>
      <c r="O134" s="5">
        <v>2</v>
      </c>
      <c r="P134" s="5">
        <f>ROUND(Source!EL116,O134)</f>
        <v>0</v>
      </c>
      <c r="Q134" s="5"/>
      <c r="R134" s="5"/>
      <c r="S134" s="5"/>
      <c r="T134" s="5"/>
      <c r="U134" s="5"/>
      <c r="V134" s="5"/>
      <c r="W134" s="5">
        <v>0</v>
      </c>
      <c r="X134" s="5">
        <v>1</v>
      </c>
      <c r="Y134" s="5">
        <v>0</v>
      </c>
      <c r="Z134" s="5">
        <v>0</v>
      </c>
      <c r="AA134" s="5">
        <v>1</v>
      </c>
      <c r="AB134" s="5">
        <v>0</v>
      </c>
    </row>
    <row r="135" spans="1:28" x14ac:dyDescent="0.2">
      <c r="A135" s="5">
        <v>50</v>
      </c>
      <c r="B135" s="5">
        <v>0</v>
      </c>
      <c r="C135" s="5">
        <v>0</v>
      </c>
      <c r="D135" s="5">
        <v>1</v>
      </c>
      <c r="E135" s="5">
        <v>217</v>
      </c>
      <c r="F135" s="5">
        <f>ROUND(Source!AU116,O135)</f>
        <v>0</v>
      </c>
      <c r="G135" s="5" t="s">
        <v>60</v>
      </c>
      <c r="H135" s="5" t="s">
        <v>61</v>
      </c>
      <c r="I135" s="5"/>
      <c r="J135" s="5"/>
      <c r="K135" s="5">
        <v>217</v>
      </c>
      <c r="L135" s="5">
        <v>18</v>
      </c>
      <c r="M135" s="5">
        <v>3</v>
      </c>
      <c r="N135" s="5" t="s">
        <v>3</v>
      </c>
      <c r="O135" s="5">
        <v>2</v>
      </c>
      <c r="P135" s="5">
        <f>ROUND(Source!EM116,O135)</f>
        <v>0</v>
      </c>
      <c r="Q135" s="5"/>
      <c r="R135" s="5"/>
      <c r="S135" s="5"/>
      <c r="T135" s="5"/>
      <c r="U135" s="5"/>
      <c r="V135" s="5"/>
      <c r="W135" s="5">
        <v>0</v>
      </c>
      <c r="X135" s="5">
        <v>1</v>
      </c>
      <c r="Y135" s="5">
        <v>0</v>
      </c>
      <c r="Z135" s="5">
        <v>0</v>
      </c>
      <c r="AA135" s="5">
        <v>1</v>
      </c>
      <c r="AB135" s="5">
        <v>0</v>
      </c>
    </row>
    <row r="136" spans="1:28" x14ac:dyDescent="0.2">
      <c r="A136" s="5">
        <v>50</v>
      </c>
      <c r="B136" s="5">
        <v>0</v>
      </c>
      <c r="C136" s="5">
        <v>0</v>
      </c>
      <c r="D136" s="5">
        <v>1</v>
      </c>
      <c r="E136" s="5">
        <v>230</v>
      </c>
      <c r="F136" s="5">
        <f>ROUND(Source!BA116,O136)</f>
        <v>0</v>
      </c>
      <c r="G136" s="5" t="s">
        <v>62</v>
      </c>
      <c r="H136" s="5" t="s">
        <v>63</v>
      </c>
      <c r="I136" s="5"/>
      <c r="J136" s="5"/>
      <c r="K136" s="5">
        <v>230</v>
      </c>
      <c r="L136" s="5">
        <v>19</v>
      </c>
      <c r="M136" s="5">
        <v>3</v>
      </c>
      <c r="N136" s="5" t="s">
        <v>3</v>
      </c>
      <c r="O136" s="5">
        <v>2</v>
      </c>
      <c r="P136" s="5">
        <f>ROUND(Source!ES116,O136)</f>
        <v>0</v>
      </c>
      <c r="Q136" s="5"/>
      <c r="R136" s="5"/>
      <c r="S136" s="5"/>
      <c r="T136" s="5"/>
      <c r="U136" s="5"/>
      <c r="V136" s="5"/>
      <c r="W136" s="5">
        <v>0</v>
      </c>
      <c r="X136" s="5">
        <v>1</v>
      </c>
      <c r="Y136" s="5">
        <v>0</v>
      </c>
      <c r="Z136" s="5">
        <v>0</v>
      </c>
      <c r="AA136" s="5">
        <v>1</v>
      </c>
      <c r="AB136" s="5">
        <v>0</v>
      </c>
    </row>
    <row r="137" spans="1:28" x14ac:dyDescent="0.2">
      <c r="A137" s="5">
        <v>50</v>
      </c>
      <c r="B137" s="5">
        <v>0</v>
      </c>
      <c r="C137" s="5">
        <v>0</v>
      </c>
      <c r="D137" s="5">
        <v>1</v>
      </c>
      <c r="E137" s="5">
        <v>206</v>
      </c>
      <c r="F137" s="5">
        <f>ROUND(Source!T116,O137)</f>
        <v>0</v>
      </c>
      <c r="G137" s="5" t="s">
        <v>64</v>
      </c>
      <c r="H137" s="5" t="s">
        <v>65</v>
      </c>
      <c r="I137" s="5"/>
      <c r="J137" s="5"/>
      <c r="K137" s="5">
        <v>206</v>
      </c>
      <c r="L137" s="5">
        <v>20</v>
      </c>
      <c r="M137" s="5">
        <v>3</v>
      </c>
      <c r="N137" s="5" t="s">
        <v>3</v>
      </c>
      <c r="O137" s="5">
        <v>2</v>
      </c>
      <c r="P137" s="5">
        <f>ROUND(Source!DL116,O137)</f>
        <v>0</v>
      </c>
      <c r="Q137" s="5"/>
      <c r="R137" s="5"/>
      <c r="S137" s="5"/>
      <c r="T137" s="5"/>
      <c r="U137" s="5"/>
      <c r="V137" s="5"/>
      <c r="W137" s="5">
        <v>0</v>
      </c>
      <c r="X137" s="5">
        <v>1</v>
      </c>
      <c r="Y137" s="5">
        <v>0</v>
      </c>
      <c r="Z137" s="5">
        <v>0</v>
      </c>
      <c r="AA137" s="5">
        <v>1</v>
      </c>
      <c r="AB137" s="5">
        <v>0</v>
      </c>
    </row>
    <row r="138" spans="1:28" x14ac:dyDescent="0.2">
      <c r="A138" s="5">
        <v>50</v>
      </c>
      <c r="B138" s="5">
        <v>0</v>
      </c>
      <c r="C138" s="5">
        <v>0</v>
      </c>
      <c r="D138" s="5">
        <v>1</v>
      </c>
      <c r="E138" s="5">
        <v>207</v>
      </c>
      <c r="F138" s="5">
        <f>Source!U116</f>
        <v>19.610554</v>
      </c>
      <c r="G138" s="5" t="s">
        <v>66</v>
      </c>
      <c r="H138" s="5" t="s">
        <v>67</v>
      </c>
      <c r="I138" s="5"/>
      <c r="J138" s="5"/>
      <c r="K138" s="5">
        <v>207</v>
      </c>
      <c r="L138" s="5">
        <v>21</v>
      </c>
      <c r="M138" s="5">
        <v>3</v>
      </c>
      <c r="N138" s="5" t="s">
        <v>3</v>
      </c>
      <c r="O138" s="5">
        <v>-1</v>
      </c>
      <c r="P138" s="5">
        <f>Source!DM116</f>
        <v>19.610554</v>
      </c>
      <c r="Q138" s="5"/>
      <c r="R138" s="5"/>
      <c r="S138" s="5"/>
      <c r="T138" s="5"/>
      <c r="U138" s="5"/>
      <c r="V138" s="5"/>
      <c r="W138" s="5">
        <v>19.610554</v>
      </c>
      <c r="X138" s="5">
        <v>1</v>
      </c>
      <c r="Y138" s="5">
        <v>19.610554</v>
      </c>
      <c r="Z138" s="5">
        <v>19.610554</v>
      </c>
      <c r="AA138" s="5">
        <v>1</v>
      </c>
      <c r="AB138" s="5">
        <v>19.610554</v>
      </c>
    </row>
    <row r="139" spans="1:28" x14ac:dyDescent="0.2">
      <c r="A139" s="5">
        <v>50</v>
      </c>
      <c r="B139" s="5">
        <v>0</v>
      </c>
      <c r="C139" s="5">
        <v>0</v>
      </c>
      <c r="D139" s="5">
        <v>1</v>
      </c>
      <c r="E139" s="5">
        <v>208</v>
      </c>
      <c r="F139" s="5">
        <f>Source!V116</f>
        <v>0</v>
      </c>
      <c r="G139" s="5" t="s">
        <v>68</v>
      </c>
      <c r="H139" s="5" t="s">
        <v>69</v>
      </c>
      <c r="I139" s="5"/>
      <c r="J139" s="5"/>
      <c r="K139" s="5">
        <v>208</v>
      </c>
      <c r="L139" s="5">
        <v>22</v>
      </c>
      <c r="M139" s="5">
        <v>3</v>
      </c>
      <c r="N139" s="5" t="s">
        <v>3</v>
      </c>
      <c r="O139" s="5">
        <v>-1</v>
      </c>
      <c r="P139" s="5">
        <f>Source!DN116</f>
        <v>0</v>
      </c>
      <c r="Q139" s="5"/>
      <c r="R139" s="5"/>
      <c r="S139" s="5"/>
      <c r="T139" s="5"/>
      <c r="U139" s="5"/>
      <c r="V139" s="5"/>
      <c r="W139" s="5">
        <v>0</v>
      </c>
      <c r="X139" s="5">
        <v>1</v>
      </c>
      <c r="Y139" s="5">
        <v>0</v>
      </c>
      <c r="Z139" s="5">
        <v>0</v>
      </c>
      <c r="AA139" s="5">
        <v>1</v>
      </c>
      <c r="AB139" s="5">
        <v>0</v>
      </c>
    </row>
    <row r="140" spans="1:28" x14ac:dyDescent="0.2">
      <c r="A140" s="5">
        <v>50</v>
      </c>
      <c r="B140" s="5">
        <v>0</v>
      </c>
      <c r="C140" s="5">
        <v>0</v>
      </c>
      <c r="D140" s="5">
        <v>1</v>
      </c>
      <c r="E140" s="5">
        <v>209</v>
      </c>
      <c r="F140" s="5">
        <f>ROUND(Source!W116,O140)</f>
        <v>0</v>
      </c>
      <c r="G140" s="5" t="s">
        <v>70</v>
      </c>
      <c r="H140" s="5" t="s">
        <v>71</v>
      </c>
      <c r="I140" s="5"/>
      <c r="J140" s="5"/>
      <c r="K140" s="5">
        <v>209</v>
      </c>
      <c r="L140" s="5">
        <v>23</v>
      </c>
      <c r="M140" s="5">
        <v>3</v>
      </c>
      <c r="N140" s="5" t="s">
        <v>3</v>
      </c>
      <c r="O140" s="5">
        <v>2</v>
      </c>
      <c r="P140" s="5">
        <f>ROUND(Source!DO116,O140)</f>
        <v>0</v>
      </c>
      <c r="Q140" s="5"/>
      <c r="R140" s="5"/>
      <c r="S140" s="5"/>
      <c r="T140" s="5"/>
      <c r="U140" s="5"/>
      <c r="V140" s="5"/>
      <c r="W140" s="5">
        <v>0</v>
      </c>
      <c r="X140" s="5">
        <v>1</v>
      </c>
      <c r="Y140" s="5">
        <v>0</v>
      </c>
      <c r="Z140" s="5">
        <v>0</v>
      </c>
      <c r="AA140" s="5">
        <v>1</v>
      </c>
      <c r="AB140" s="5">
        <v>0</v>
      </c>
    </row>
    <row r="141" spans="1:28" x14ac:dyDescent="0.2">
      <c r="A141" s="5">
        <v>50</v>
      </c>
      <c r="B141" s="5">
        <v>0</v>
      </c>
      <c r="C141" s="5">
        <v>0</v>
      </c>
      <c r="D141" s="5">
        <v>1</v>
      </c>
      <c r="E141" s="5">
        <v>233</v>
      </c>
      <c r="F141" s="5">
        <f>ROUND(Source!BD116,O141)</f>
        <v>0</v>
      </c>
      <c r="G141" s="5" t="s">
        <v>72</v>
      </c>
      <c r="H141" s="5" t="s">
        <v>73</v>
      </c>
      <c r="I141" s="5"/>
      <c r="J141" s="5"/>
      <c r="K141" s="5">
        <v>233</v>
      </c>
      <c r="L141" s="5">
        <v>24</v>
      </c>
      <c r="M141" s="5">
        <v>3</v>
      </c>
      <c r="N141" s="5" t="s">
        <v>3</v>
      </c>
      <c r="O141" s="5">
        <v>2</v>
      </c>
      <c r="P141" s="5">
        <f>ROUND(Source!EV116,O141)</f>
        <v>0</v>
      </c>
      <c r="Q141" s="5"/>
      <c r="R141" s="5"/>
      <c r="S141" s="5"/>
      <c r="T141" s="5"/>
      <c r="U141" s="5"/>
      <c r="V141" s="5"/>
      <c r="W141" s="5">
        <v>0</v>
      </c>
      <c r="X141" s="5">
        <v>1</v>
      </c>
      <c r="Y141" s="5">
        <v>0</v>
      </c>
      <c r="Z141" s="5">
        <v>0</v>
      </c>
      <c r="AA141" s="5">
        <v>1</v>
      </c>
      <c r="AB141" s="5">
        <v>0</v>
      </c>
    </row>
    <row r="142" spans="1:28" x14ac:dyDescent="0.2">
      <c r="A142" s="5">
        <v>50</v>
      </c>
      <c r="B142" s="5">
        <v>0</v>
      </c>
      <c r="C142" s="5">
        <v>0</v>
      </c>
      <c r="D142" s="5">
        <v>1</v>
      </c>
      <c r="E142" s="5">
        <v>210</v>
      </c>
      <c r="F142" s="5">
        <f>ROUND(Source!X116,O142)</f>
        <v>280.22000000000003</v>
      </c>
      <c r="G142" s="5" t="s">
        <v>74</v>
      </c>
      <c r="H142" s="5" t="s">
        <v>75</v>
      </c>
      <c r="I142" s="5"/>
      <c r="J142" s="5"/>
      <c r="K142" s="5">
        <v>210</v>
      </c>
      <c r="L142" s="5">
        <v>25</v>
      </c>
      <c r="M142" s="5">
        <v>3</v>
      </c>
      <c r="N142" s="5" t="s">
        <v>3</v>
      </c>
      <c r="O142" s="5">
        <v>2</v>
      </c>
      <c r="P142" s="5">
        <f>ROUND(Source!DP116,O142)</f>
        <v>6686.15</v>
      </c>
      <c r="Q142" s="5"/>
      <c r="R142" s="5"/>
      <c r="S142" s="5"/>
      <c r="T142" s="5"/>
      <c r="U142" s="5"/>
      <c r="V142" s="5"/>
      <c r="W142" s="5">
        <v>280.22000000000003</v>
      </c>
      <c r="X142" s="5">
        <v>1</v>
      </c>
      <c r="Y142" s="5">
        <v>280.22000000000003</v>
      </c>
      <c r="Z142" s="5">
        <v>6686.15</v>
      </c>
      <c r="AA142" s="5">
        <v>1</v>
      </c>
      <c r="AB142" s="5">
        <v>6686.15</v>
      </c>
    </row>
    <row r="143" spans="1:28" x14ac:dyDescent="0.2">
      <c r="A143" s="5">
        <v>50</v>
      </c>
      <c r="B143" s="5">
        <v>0</v>
      </c>
      <c r="C143" s="5">
        <v>0</v>
      </c>
      <c r="D143" s="5">
        <v>1</v>
      </c>
      <c r="E143" s="5">
        <v>211</v>
      </c>
      <c r="F143" s="5">
        <f>ROUND(Source!Y116,O143)</f>
        <v>166.43</v>
      </c>
      <c r="G143" s="5" t="s">
        <v>76</v>
      </c>
      <c r="H143" s="5" t="s">
        <v>77</v>
      </c>
      <c r="I143" s="5"/>
      <c r="J143" s="5"/>
      <c r="K143" s="5">
        <v>211</v>
      </c>
      <c r="L143" s="5">
        <v>26</v>
      </c>
      <c r="M143" s="5">
        <v>3</v>
      </c>
      <c r="N143" s="5" t="s">
        <v>3</v>
      </c>
      <c r="O143" s="5">
        <v>2</v>
      </c>
      <c r="P143" s="5">
        <f>ROUND(Source!DQ116,O143)</f>
        <v>2603.63</v>
      </c>
      <c r="Q143" s="5"/>
      <c r="R143" s="5"/>
      <c r="S143" s="5"/>
      <c r="T143" s="5"/>
      <c r="U143" s="5"/>
      <c r="V143" s="5"/>
      <c r="W143" s="5">
        <v>166.43</v>
      </c>
      <c r="X143" s="5">
        <v>1</v>
      </c>
      <c r="Y143" s="5">
        <v>166.43</v>
      </c>
      <c r="Z143" s="5">
        <v>2603.63</v>
      </c>
      <c r="AA143" s="5">
        <v>1</v>
      </c>
      <c r="AB143" s="5">
        <v>2603.63</v>
      </c>
    </row>
    <row r="144" spans="1:28" x14ac:dyDescent="0.2">
      <c r="A144" s="5">
        <v>50</v>
      </c>
      <c r="B144" s="5">
        <v>0</v>
      </c>
      <c r="C144" s="5">
        <v>0</v>
      </c>
      <c r="D144" s="5">
        <v>1</v>
      </c>
      <c r="E144" s="5">
        <v>224</v>
      </c>
      <c r="F144" s="5">
        <f>ROUND(Source!AR116,O144)</f>
        <v>3882.95</v>
      </c>
      <c r="G144" s="5" t="s">
        <v>78</v>
      </c>
      <c r="H144" s="5" t="s">
        <v>79</v>
      </c>
      <c r="I144" s="5"/>
      <c r="J144" s="5"/>
      <c r="K144" s="5">
        <v>224</v>
      </c>
      <c r="L144" s="5">
        <v>27</v>
      </c>
      <c r="M144" s="5">
        <v>3</v>
      </c>
      <c r="N144" s="5" t="s">
        <v>3</v>
      </c>
      <c r="O144" s="5">
        <v>2</v>
      </c>
      <c r="P144" s="5">
        <f>ROUND(Source!EJ116,O144)</f>
        <v>47535.4</v>
      </c>
      <c r="Q144" s="5"/>
      <c r="R144" s="5"/>
      <c r="S144" s="5"/>
      <c r="T144" s="5"/>
      <c r="U144" s="5"/>
      <c r="V144" s="5"/>
      <c r="W144" s="5">
        <v>3882.95</v>
      </c>
      <c r="X144" s="5">
        <v>1</v>
      </c>
      <c r="Y144" s="5">
        <v>3882.95</v>
      </c>
      <c r="Z144" s="5">
        <v>47535.4</v>
      </c>
      <c r="AA144" s="5">
        <v>1</v>
      </c>
      <c r="AB144" s="5">
        <v>47535.4</v>
      </c>
    </row>
    <row r="146" spans="1:255" x14ac:dyDescent="0.2">
      <c r="A146" s="1">
        <v>3</v>
      </c>
      <c r="B146" s="1">
        <v>1</v>
      </c>
      <c r="C146" s="1"/>
      <c r="D146" s="1">
        <f>ROW(A421)</f>
        <v>421</v>
      </c>
      <c r="E146" s="1"/>
      <c r="F146" s="1" t="s">
        <v>135</v>
      </c>
      <c r="G146" s="1" t="s">
        <v>136</v>
      </c>
      <c r="H146" s="1" t="s">
        <v>3</v>
      </c>
      <c r="I146" s="1">
        <v>0</v>
      </c>
      <c r="J146" s="1" t="s">
        <v>3</v>
      </c>
      <c r="K146" s="1">
        <v>-1</v>
      </c>
      <c r="L146" s="1" t="s">
        <v>3</v>
      </c>
      <c r="M146" s="1" t="s">
        <v>3</v>
      </c>
      <c r="N146" s="1"/>
      <c r="O146" s="1"/>
      <c r="P146" s="1"/>
      <c r="Q146" s="1"/>
      <c r="R146" s="1"/>
      <c r="S146" s="1">
        <v>0</v>
      </c>
      <c r="T146" s="1">
        <v>0</v>
      </c>
      <c r="U146" s="1" t="s">
        <v>3</v>
      </c>
      <c r="V146" s="1">
        <v>0</v>
      </c>
      <c r="W146" s="1"/>
      <c r="X146" s="1"/>
      <c r="Y146" s="1"/>
      <c r="Z146" s="1"/>
      <c r="AA146" s="1"/>
      <c r="AB146" s="1" t="s">
        <v>3</v>
      </c>
      <c r="AC146" s="1" t="s">
        <v>3</v>
      </c>
      <c r="AD146" s="1" t="s">
        <v>3</v>
      </c>
      <c r="AE146" s="1" t="s">
        <v>3</v>
      </c>
      <c r="AF146" s="1" t="s">
        <v>3</v>
      </c>
      <c r="AG146" s="1" t="s">
        <v>3</v>
      </c>
      <c r="AH146" s="1"/>
      <c r="AI146" s="1"/>
      <c r="AJ146" s="1"/>
      <c r="AK146" s="1"/>
      <c r="AL146" s="1"/>
      <c r="AM146" s="1"/>
      <c r="AN146" s="1"/>
      <c r="AO146" s="1"/>
      <c r="AP146" s="1" t="s">
        <v>3</v>
      </c>
      <c r="AQ146" s="1" t="s">
        <v>3</v>
      </c>
      <c r="AR146" s="1" t="s">
        <v>3</v>
      </c>
      <c r="AS146" s="1"/>
      <c r="AT146" s="1"/>
      <c r="AU146" s="1"/>
      <c r="AV146" s="1"/>
      <c r="AW146" s="1"/>
      <c r="AX146" s="1"/>
      <c r="AY146" s="1"/>
      <c r="AZ146" s="1" t="s">
        <v>3</v>
      </c>
      <c r="BA146" s="1"/>
      <c r="BB146" s="1" t="s">
        <v>3</v>
      </c>
      <c r="BC146" s="1" t="s">
        <v>3</v>
      </c>
      <c r="BD146" s="1" t="s">
        <v>3</v>
      </c>
      <c r="BE146" s="1" t="s">
        <v>3</v>
      </c>
      <c r="BF146" s="1" t="s">
        <v>3</v>
      </c>
      <c r="BG146" s="1" t="s">
        <v>3</v>
      </c>
      <c r="BH146" s="1" t="s">
        <v>3</v>
      </c>
      <c r="BI146" s="1" t="s">
        <v>3</v>
      </c>
      <c r="BJ146" s="1" t="s">
        <v>3</v>
      </c>
      <c r="BK146" s="1" t="s">
        <v>3</v>
      </c>
      <c r="BL146" s="1" t="s">
        <v>3</v>
      </c>
      <c r="BM146" s="1" t="s">
        <v>3</v>
      </c>
      <c r="BN146" s="1" t="s">
        <v>3</v>
      </c>
      <c r="BO146" s="1" t="s">
        <v>3</v>
      </c>
      <c r="BP146" s="1" t="s">
        <v>3</v>
      </c>
      <c r="BQ146" s="1"/>
      <c r="BR146" s="1"/>
      <c r="BS146" s="1"/>
      <c r="BT146" s="1"/>
      <c r="BU146" s="1"/>
      <c r="BV146" s="1"/>
      <c r="BW146" s="1"/>
      <c r="BX146" s="1">
        <v>0</v>
      </c>
      <c r="BY146" s="1"/>
      <c r="BZ146" s="1"/>
      <c r="CA146" s="1"/>
      <c r="CB146" s="1"/>
      <c r="CC146" s="1"/>
      <c r="CD146" s="1"/>
      <c r="CE146" s="1"/>
      <c r="CF146" s="1">
        <v>0</v>
      </c>
      <c r="CG146" s="1">
        <v>0</v>
      </c>
      <c r="CH146" s="1"/>
      <c r="CI146" s="1" t="s">
        <v>3</v>
      </c>
      <c r="CJ146" s="1" t="s">
        <v>3</v>
      </c>
      <c r="CK146" t="s">
        <v>3</v>
      </c>
      <c r="CL146" t="s">
        <v>3</v>
      </c>
      <c r="CM146" t="s">
        <v>3</v>
      </c>
      <c r="CN146" t="s">
        <v>3</v>
      </c>
      <c r="CO146" t="s">
        <v>3</v>
      </c>
      <c r="CP146" t="s">
        <v>3</v>
      </c>
      <c r="CQ146" t="s">
        <v>3</v>
      </c>
    </row>
    <row r="148" spans="1:255" x14ac:dyDescent="0.2">
      <c r="A148" s="3">
        <v>52</v>
      </c>
      <c r="B148" s="3">
        <f t="shared" ref="B148:G148" si="73">B421</f>
        <v>1</v>
      </c>
      <c r="C148" s="3">
        <f t="shared" si="73"/>
        <v>3</v>
      </c>
      <c r="D148" s="3">
        <f t="shared" si="73"/>
        <v>146</v>
      </c>
      <c r="E148" s="3">
        <f t="shared" si="73"/>
        <v>0</v>
      </c>
      <c r="F148" s="3" t="str">
        <f t="shared" si="73"/>
        <v>02-01-02</v>
      </c>
      <c r="G148" s="3" t="str">
        <f t="shared" si="73"/>
        <v>Архитектурные решения</v>
      </c>
      <c r="H148" s="3"/>
      <c r="I148" s="3"/>
      <c r="J148" s="3"/>
      <c r="K148" s="3"/>
      <c r="L148" s="3"/>
      <c r="M148" s="3"/>
      <c r="N148" s="3"/>
      <c r="O148" s="3">
        <f t="shared" ref="O148:AT148" si="74">O421</f>
        <v>43779.75</v>
      </c>
      <c r="P148" s="3">
        <f t="shared" si="74"/>
        <v>30799.61</v>
      </c>
      <c r="Q148" s="3">
        <f t="shared" si="74"/>
        <v>5490.85</v>
      </c>
      <c r="R148" s="3">
        <f t="shared" si="74"/>
        <v>568.79</v>
      </c>
      <c r="S148" s="3">
        <f t="shared" si="74"/>
        <v>7489.29</v>
      </c>
      <c r="T148" s="3">
        <f t="shared" si="74"/>
        <v>0</v>
      </c>
      <c r="U148" s="3">
        <f t="shared" si="74"/>
        <v>630.45396745000005</v>
      </c>
      <c r="V148" s="3">
        <f t="shared" si="74"/>
        <v>0</v>
      </c>
      <c r="W148" s="3">
        <f t="shared" si="74"/>
        <v>0</v>
      </c>
      <c r="X148" s="3">
        <f t="shared" si="74"/>
        <v>6804.42</v>
      </c>
      <c r="Y148" s="3">
        <f t="shared" si="74"/>
        <v>4551.83</v>
      </c>
      <c r="Z148" s="3">
        <f t="shared" si="74"/>
        <v>0</v>
      </c>
      <c r="AA148" s="3">
        <f t="shared" si="74"/>
        <v>0</v>
      </c>
      <c r="AB148" s="3">
        <f t="shared" si="74"/>
        <v>0</v>
      </c>
      <c r="AC148" s="3">
        <f t="shared" si="74"/>
        <v>0</v>
      </c>
      <c r="AD148" s="3">
        <f t="shared" si="74"/>
        <v>0</v>
      </c>
      <c r="AE148" s="3">
        <f t="shared" si="74"/>
        <v>0</v>
      </c>
      <c r="AF148" s="3">
        <f t="shared" si="74"/>
        <v>0</v>
      </c>
      <c r="AG148" s="3">
        <f t="shared" si="74"/>
        <v>0</v>
      </c>
      <c r="AH148" s="3">
        <f t="shared" si="74"/>
        <v>0</v>
      </c>
      <c r="AI148" s="3">
        <f t="shared" si="74"/>
        <v>0</v>
      </c>
      <c r="AJ148" s="3">
        <f t="shared" si="74"/>
        <v>0</v>
      </c>
      <c r="AK148" s="3">
        <f t="shared" si="74"/>
        <v>0</v>
      </c>
      <c r="AL148" s="3">
        <f t="shared" si="74"/>
        <v>0</v>
      </c>
      <c r="AM148" s="3">
        <f t="shared" si="74"/>
        <v>0</v>
      </c>
      <c r="AN148" s="3">
        <f t="shared" si="74"/>
        <v>0</v>
      </c>
      <c r="AO148" s="3">
        <f t="shared" si="74"/>
        <v>0</v>
      </c>
      <c r="AP148" s="3">
        <f t="shared" si="74"/>
        <v>0</v>
      </c>
      <c r="AQ148" s="3">
        <f t="shared" si="74"/>
        <v>0</v>
      </c>
      <c r="AR148" s="3">
        <f t="shared" si="74"/>
        <v>56131.41</v>
      </c>
      <c r="AS148" s="3">
        <f t="shared" si="74"/>
        <v>53704.94</v>
      </c>
      <c r="AT148" s="3">
        <f t="shared" si="74"/>
        <v>0</v>
      </c>
      <c r="AU148" s="3">
        <f t="shared" ref="AU148:BZ148" si="75">AU421</f>
        <v>2426.4699999999998</v>
      </c>
      <c r="AV148" s="3">
        <f t="shared" si="75"/>
        <v>30799.61</v>
      </c>
      <c r="AW148" s="3">
        <f t="shared" si="75"/>
        <v>30799.61</v>
      </c>
      <c r="AX148" s="3">
        <f t="shared" si="75"/>
        <v>0</v>
      </c>
      <c r="AY148" s="3">
        <f t="shared" si="75"/>
        <v>30799.61</v>
      </c>
      <c r="AZ148" s="3">
        <f t="shared" si="75"/>
        <v>0</v>
      </c>
      <c r="BA148" s="3">
        <f t="shared" si="75"/>
        <v>0</v>
      </c>
      <c r="BB148" s="3">
        <f t="shared" si="75"/>
        <v>0</v>
      </c>
      <c r="BC148" s="3">
        <f t="shared" si="75"/>
        <v>0</v>
      </c>
      <c r="BD148" s="3">
        <f t="shared" si="75"/>
        <v>0</v>
      </c>
      <c r="BE148" s="3">
        <f t="shared" si="75"/>
        <v>0</v>
      </c>
      <c r="BF148" s="3">
        <f t="shared" si="75"/>
        <v>0</v>
      </c>
      <c r="BG148" s="3">
        <f t="shared" si="75"/>
        <v>0</v>
      </c>
      <c r="BH148" s="3">
        <f t="shared" si="75"/>
        <v>0</v>
      </c>
      <c r="BI148" s="3">
        <f t="shared" si="75"/>
        <v>0</v>
      </c>
      <c r="BJ148" s="3">
        <f t="shared" si="75"/>
        <v>0</v>
      </c>
      <c r="BK148" s="3">
        <f t="shared" si="75"/>
        <v>0</v>
      </c>
      <c r="BL148" s="3">
        <f t="shared" si="75"/>
        <v>0</v>
      </c>
      <c r="BM148" s="3">
        <f t="shared" si="75"/>
        <v>0</v>
      </c>
      <c r="BN148" s="3">
        <f t="shared" si="75"/>
        <v>0</v>
      </c>
      <c r="BO148" s="3">
        <f t="shared" si="75"/>
        <v>0</v>
      </c>
      <c r="BP148" s="3">
        <f t="shared" si="75"/>
        <v>0</v>
      </c>
      <c r="BQ148" s="3">
        <f t="shared" si="75"/>
        <v>0</v>
      </c>
      <c r="BR148" s="3">
        <f t="shared" si="75"/>
        <v>0</v>
      </c>
      <c r="BS148" s="3">
        <f t="shared" si="75"/>
        <v>0</v>
      </c>
      <c r="BT148" s="3">
        <f t="shared" si="75"/>
        <v>0</v>
      </c>
      <c r="BU148" s="3">
        <f t="shared" si="75"/>
        <v>0</v>
      </c>
      <c r="BV148" s="3">
        <f t="shared" si="75"/>
        <v>0</v>
      </c>
      <c r="BW148" s="3">
        <f t="shared" si="75"/>
        <v>0</v>
      </c>
      <c r="BX148" s="3">
        <f t="shared" si="75"/>
        <v>0</v>
      </c>
      <c r="BY148" s="3">
        <f t="shared" si="75"/>
        <v>0</v>
      </c>
      <c r="BZ148" s="3">
        <f t="shared" si="75"/>
        <v>0</v>
      </c>
      <c r="CA148" s="3">
        <f t="shared" ref="CA148:DF148" si="76">CA421</f>
        <v>0</v>
      </c>
      <c r="CB148" s="3">
        <f t="shared" si="76"/>
        <v>0</v>
      </c>
      <c r="CC148" s="3">
        <f t="shared" si="76"/>
        <v>0</v>
      </c>
      <c r="CD148" s="3">
        <f t="shared" si="76"/>
        <v>0</v>
      </c>
      <c r="CE148" s="3">
        <f t="shared" si="76"/>
        <v>0</v>
      </c>
      <c r="CF148" s="3">
        <f t="shared" si="76"/>
        <v>0</v>
      </c>
      <c r="CG148" s="3">
        <f t="shared" si="76"/>
        <v>0</v>
      </c>
      <c r="CH148" s="3">
        <f t="shared" si="76"/>
        <v>0</v>
      </c>
      <c r="CI148" s="3">
        <f t="shared" si="76"/>
        <v>0</v>
      </c>
      <c r="CJ148" s="3">
        <f t="shared" si="76"/>
        <v>0</v>
      </c>
      <c r="CK148" s="3">
        <f t="shared" si="76"/>
        <v>0</v>
      </c>
      <c r="CL148" s="3">
        <f t="shared" si="76"/>
        <v>0</v>
      </c>
      <c r="CM148" s="3">
        <f t="shared" si="76"/>
        <v>0</v>
      </c>
      <c r="CN148" s="3">
        <f t="shared" si="76"/>
        <v>0</v>
      </c>
      <c r="CO148" s="3">
        <f t="shared" si="76"/>
        <v>0</v>
      </c>
      <c r="CP148" s="3">
        <f t="shared" si="76"/>
        <v>0</v>
      </c>
      <c r="CQ148" s="3">
        <f t="shared" si="76"/>
        <v>0</v>
      </c>
      <c r="CR148" s="3">
        <f t="shared" si="76"/>
        <v>0</v>
      </c>
      <c r="CS148" s="3">
        <f t="shared" si="76"/>
        <v>0</v>
      </c>
      <c r="CT148" s="3">
        <f t="shared" si="76"/>
        <v>0</v>
      </c>
      <c r="CU148" s="3">
        <f t="shared" si="76"/>
        <v>0</v>
      </c>
      <c r="CV148" s="3">
        <f t="shared" si="76"/>
        <v>0</v>
      </c>
      <c r="CW148" s="3">
        <f t="shared" si="76"/>
        <v>0</v>
      </c>
      <c r="CX148" s="3">
        <f t="shared" si="76"/>
        <v>0</v>
      </c>
      <c r="CY148" s="3">
        <f t="shared" si="76"/>
        <v>0</v>
      </c>
      <c r="CZ148" s="3">
        <f t="shared" si="76"/>
        <v>0</v>
      </c>
      <c r="DA148" s="3">
        <f t="shared" si="76"/>
        <v>0</v>
      </c>
      <c r="DB148" s="3">
        <f t="shared" si="76"/>
        <v>0</v>
      </c>
      <c r="DC148" s="3">
        <f t="shared" si="76"/>
        <v>0</v>
      </c>
      <c r="DD148" s="3">
        <f t="shared" si="76"/>
        <v>0</v>
      </c>
      <c r="DE148" s="3">
        <f t="shared" si="76"/>
        <v>0</v>
      </c>
      <c r="DF148" s="3">
        <f t="shared" si="76"/>
        <v>0</v>
      </c>
      <c r="DG148" s="4">
        <f t="shared" ref="DG148:EL148" si="77">DG421</f>
        <v>804370.76</v>
      </c>
      <c r="DH148" s="4">
        <f t="shared" si="77"/>
        <v>520744.63</v>
      </c>
      <c r="DI148" s="4">
        <f t="shared" si="77"/>
        <v>66212.03</v>
      </c>
      <c r="DJ148" s="4">
        <f t="shared" si="77"/>
        <v>16511.95</v>
      </c>
      <c r="DK148" s="4">
        <f t="shared" si="77"/>
        <v>217414.1</v>
      </c>
      <c r="DL148" s="4">
        <f t="shared" si="77"/>
        <v>0</v>
      </c>
      <c r="DM148" s="4">
        <f t="shared" si="77"/>
        <v>630.45396745000005</v>
      </c>
      <c r="DN148" s="4">
        <f t="shared" si="77"/>
        <v>0</v>
      </c>
      <c r="DO148" s="4">
        <f t="shared" si="77"/>
        <v>0</v>
      </c>
      <c r="DP148" s="4">
        <f t="shared" si="77"/>
        <v>167335.43</v>
      </c>
      <c r="DQ148" s="4">
        <f t="shared" si="77"/>
        <v>89139.77</v>
      </c>
      <c r="DR148" s="4">
        <f t="shared" si="77"/>
        <v>0</v>
      </c>
      <c r="DS148" s="4">
        <f t="shared" si="77"/>
        <v>0</v>
      </c>
      <c r="DT148" s="4">
        <f t="shared" si="77"/>
        <v>0</v>
      </c>
      <c r="DU148" s="4">
        <f t="shared" si="77"/>
        <v>0</v>
      </c>
      <c r="DV148" s="4">
        <f t="shared" si="77"/>
        <v>0</v>
      </c>
      <c r="DW148" s="4">
        <f t="shared" si="77"/>
        <v>0</v>
      </c>
      <c r="DX148" s="4">
        <f t="shared" si="77"/>
        <v>0</v>
      </c>
      <c r="DY148" s="4">
        <f t="shared" si="77"/>
        <v>0</v>
      </c>
      <c r="DZ148" s="4">
        <f t="shared" si="77"/>
        <v>0</v>
      </c>
      <c r="EA148" s="4">
        <f t="shared" si="77"/>
        <v>0</v>
      </c>
      <c r="EB148" s="4">
        <f t="shared" si="77"/>
        <v>0</v>
      </c>
      <c r="EC148" s="4">
        <f t="shared" si="77"/>
        <v>0</v>
      </c>
      <c r="ED148" s="4">
        <f t="shared" si="77"/>
        <v>0</v>
      </c>
      <c r="EE148" s="4">
        <f t="shared" si="77"/>
        <v>0</v>
      </c>
      <c r="EF148" s="4">
        <f t="shared" si="77"/>
        <v>0</v>
      </c>
      <c r="EG148" s="4">
        <f t="shared" si="77"/>
        <v>0</v>
      </c>
      <c r="EH148" s="4">
        <f t="shared" si="77"/>
        <v>0</v>
      </c>
      <c r="EI148" s="4">
        <f t="shared" si="77"/>
        <v>0</v>
      </c>
      <c r="EJ148" s="4">
        <f t="shared" si="77"/>
        <v>1087265.07</v>
      </c>
      <c r="EK148" s="4">
        <f t="shared" si="77"/>
        <v>1059109.8700000001</v>
      </c>
      <c r="EL148" s="4">
        <f t="shared" si="77"/>
        <v>0</v>
      </c>
      <c r="EM148" s="4">
        <f t="shared" ref="EM148:FR148" si="78">EM421</f>
        <v>28155.200000000001</v>
      </c>
      <c r="EN148" s="4">
        <f t="shared" si="78"/>
        <v>520744.63</v>
      </c>
      <c r="EO148" s="4">
        <f t="shared" si="78"/>
        <v>520744.63</v>
      </c>
      <c r="EP148" s="4">
        <f t="shared" si="78"/>
        <v>0</v>
      </c>
      <c r="EQ148" s="4">
        <f t="shared" si="78"/>
        <v>520744.63</v>
      </c>
      <c r="ER148" s="4">
        <f t="shared" si="78"/>
        <v>0</v>
      </c>
      <c r="ES148" s="4">
        <f t="shared" si="78"/>
        <v>0</v>
      </c>
      <c r="ET148" s="4">
        <f t="shared" si="78"/>
        <v>0</v>
      </c>
      <c r="EU148" s="4">
        <f t="shared" si="78"/>
        <v>0</v>
      </c>
      <c r="EV148" s="4">
        <f t="shared" si="78"/>
        <v>0</v>
      </c>
      <c r="EW148" s="4">
        <f t="shared" si="78"/>
        <v>0</v>
      </c>
      <c r="EX148" s="4">
        <f t="shared" si="78"/>
        <v>0</v>
      </c>
      <c r="EY148" s="4">
        <f t="shared" si="78"/>
        <v>0</v>
      </c>
      <c r="EZ148" s="4">
        <f t="shared" si="78"/>
        <v>0</v>
      </c>
      <c r="FA148" s="4">
        <f t="shared" si="78"/>
        <v>0</v>
      </c>
      <c r="FB148" s="4">
        <f t="shared" si="78"/>
        <v>0</v>
      </c>
      <c r="FC148" s="4">
        <f t="shared" si="78"/>
        <v>0</v>
      </c>
      <c r="FD148" s="4">
        <f t="shared" si="78"/>
        <v>0</v>
      </c>
      <c r="FE148" s="4">
        <f t="shared" si="78"/>
        <v>0</v>
      </c>
      <c r="FF148" s="4">
        <f t="shared" si="78"/>
        <v>0</v>
      </c>
      <c r="FG148" s="4">
        <f t="shared" si="78"/>
        <v>0</v>
      </c>
      <c r="FH148" s="4">
        <f t="shared" si="78"/>
        <v>0</v>
      </c>
      <c r="FI148" s="4">
        <f t="shared" si="78"/>
        <v>0</v>
      </c>
      <c r="FJ148" s="4">
        <f t="shared" si="78"/>
        <v>0</v>
      </c>
      <c r="FK148" s="4">
        <f t="shared" si="78"/>
        <v>0</v>
      </c>
      <c r="FL148" s="4">
        <f t="shared" si="78"/>
        <v>0</v>
      </c>
      <c r="FM148" s="4">
        <f t="shared" si="78"/>
        <v>0</v>
      </c>
      <c r="FN148" s="4">
        <f t="shared" si="78"/>
        <v>0</v>
      </c>
      <c r="FO148" s="4">
        <f t="shared" si="78"/>
        <v>0</v>
      </c>
      <c r="FP148" s="4">
        <f t="shared" si="78"/>
        <v>0</v>
      </c>
      <c r="FQ148" s="4">
        <f t="shared" si="78"/>
        <v>0</v>
      </c>
      <c r="FR148" s="4">
        <f t="shared" si="78"/>
        <v>0</v>
      </c>
      <c r="FS148" s="4">
        <f t="shared" ref="FS148:GX148" si="79">FS421</f>
        <v>0</v>
      </c>
      <c r="FT148" s="4">
        <f t="shared" si="79"/>
        <v>0</v>
      </c>
      <c r="FU148" s="4">
        <f t="shared" si="79"/>
        <v>0</v>
      </c>
      <c r="FV148" s="4">
        <f t="shared" si="79"/>
        <v>0</v>
      </c>
      <c r="FW148" s="4">
        <f t="shared" si="79"/>
        <v>0</v>
      </c>
      <c r="FX148" s="4">
        <f t="shared" si="79"/>
        <v>0</v>
      </c>
      <c r="FY148" s="4">
        <f t="shared" si="79"/>
        <v>0</v>
      </c>
      <c r="FZ148" s="4">
        <f t="shared" si="79"/>
        <v>0</v>
      </c>
      <c r="GA148" s="4">
        <f t="shared" si="79"/>
        <v>0</v>
      </c>
      <c r="GB148" s="4">
        <f t="shared" si="79"/>
        <v>0</v>
      </c>
      <c r="GC148" s="4">
        <f t="shared" si="79"/>
        <v>0</v>
      </c>
      <c r="GD148" s="4">
        <f t="shared" si="79"/>
        <v>0</v>
      </c>
      <c r="GE148" s="4">
        <f t="shared" si="79"/>
        <v>0</v>
      </c>
      <c r="GF148" s="4">
        <f t="shared" si="79"/>
        <v>0</v>
      </c>
      <c r="GG148" s="4">
        <f t="shared" si="79"/>
        <v>0</v>
      </c>
      <c r="GH148" s="4">
        <f t="shared" si="79"/>
        <v>0</v>
      </c>
      <c r="GI148" s="4">
        <f t="shared" si="79"/>
        <v>0</v>
      </c>
      <c r="GJ148" s="4">
        <f t="shared" si="79"/>
        <v>0</v>
      </c>
      <c r="GK148" s="4">
        <f t="shared" si="79"/>
        <v>0</v>
      </c>
      <c r="GL148" s="4">
        <f t="shared" si="79"/>
        <v>0</v>
      </c>
      <c r="GM148" s="4">
        <f t="shared" si="79"/>
        <v>0</v>
      </c>
      <c r="GN148" s="4">
        <f t="shared" si="79"/>
        <v>0</v>
      </c>
      <c r="GO148" s="4">
        <f t="shared" si="79"/>
        <v>0</v>
      </c>
      <c r="GP148" s="4">
        <f t="shared" si="79"/>
        <v>0</v>
      </c>
      <c r="GQ148" s="4">
        <f t="shared" si="79"/>
        <v>0</v>
      </c>
      <c r="GR148" s="4">
        <f t="shared" si="79"/>
        <v>0</v>
      </c>
      <c r="GS148" s="4">
        <f t="shared" si="79"/>
        <v>0</v>
      </c>
      <c r="GT148" s="4">
        <f t="shared" si="79"/>
        <v>0</v>
      </c>
      <c r="GU148" s="4">
        <f t="shared" si="79"/>
        <v>0</v>
      </c>
      <c r="GV148" s="4">
        <f t="shared" si="79"/>
        <v>0</v>
      </c>
      <c r="GW148" s="4">
        <f t="shared" si="79"/>
        <v>0</v>
      </c>
      <c r="GX148" s="4">
        <f t="shared" si="79"/>
        <v>0</v>
      </c>
    </row>
    <row r="150" spans="1:255" x14ac:dyDescent="0.2">
      <c r="A150" s="1">
        <v>4</v>
      </c>
      <c r="B150" s="1">
        <v>1</v>
      </c>
      <c r="C150" s="1"/>
      <c r="D150" s="1">
        <f>ROW(A193)</f>
        <v>193</v>
      </c>
      <c r="E150" s="1"/>
      <c r="F150" s="1" t="s">
        <v>16</v>
      </c>
      <c r="G150" s="1" t="s">
        <v>17</v>
      </c>
      <c r="H150" s="1" t="s">
        <v>3</v>
      </c>
      <c r="I150" s="1">
        <v>0</v>
      </c>
      <c r="J150" s="1"/>
      <c r="K150" s="1">
        <v>0</v>
      </c>
      <c r="L150" s="1"/>
      <c r="M150" s="1" t="s">
        <v>3</v>
      </c>
      <c r="N150" s="1"/>
      <c r="O150" s="1"/>
      <c r="P150" s="1"/>
      <c r="Q150" s="1"/>
      <c r="R150" s="1"/>
      <c r="S150" s="1">
        <v>0</v>
      </c>
      <c r="T150" s="1">
        <v>0</v>
      </c>
      <c r="U150" s="1" t="s">
        <v>3</v>
      </c>
      <c r="V150" s="1">
        <v>0</v>
      </c>
      <c r="W150" s="1"/>
      <c r="X150" s="1"/>
      <c r="Y150" s="1"/>
      <c r="Z150" s="1"/>
      <c r="AA150" s="1"/>
      <c r="AB150" s="1" t="s">
        <v>3</v>
      </c>
      <c r="AC150" s="1" t="s">
        <v>3</v>
      </c>
      <c r="AD150" s="1" t="s">
        <v>3</v>
      </c>
      <c r="AE150" s="1" t="s">
        <v>3</v>
      </c>
      <c r="AF150" s="1" t="s">
        <v>3</v>
      </c>
      <c r="AG150" s="1" t="s">
        <v>3</v>
      </c>
      <c r="AH150" s="1"/>
      <c r="AI150" s="1"/>
      <c r="AJ150" s="1"/>
      <c r="AK150" s="1"/>
      <c r="AL150" s="1"/>
      <c r="AM150" s="1"/>
      <c r="AN150" s="1"/>
      <c r="AO150" s="1"/>
      <c r="AP150" s="1" t="s">
        <v>3</v>
      </c>
      <c r="AQ150" s="1" t="s">
        <v>3</v>
      </c>
      <c r="AR150" s="1" t="s">
        <v>3</v>
      </c>
      <c r="AS150" s="1"/>
      <c r="AT150" s="1"/>
      <c r="AU150" s="1"/>
      <c r="AV150" s="1"/>
      <c r="AW150" s="1"/>
      <c r="AX150" s="1"/>
      <c r="AY150" s="1"/>
      <c r="AZ150" s="1" t="s">
        <v>3</v>
      </c>
      <c r="BA150" s="1"/>
      <c r="BB150" s="1" t="s">
        <v>3</v>
      </c>
      <c r="BC150" s="1" t="s">
        <v>3</v>
      </c>
      <c r="BD150" s="1" t="s">
        <v>3</v>
      </c>
      <c r="BE150" s="1" t="s">
        <v>3</v>
      </c>
      <c r="BF150" s="1" t="s">
        <v>3</v>
      </c>
      <c r="BG150" s="1" t="s">
        <v>3</v>
      </c>
      <c r="BH150" s="1" t="s">
        <v>3</v>
      </c>
      <c r="BI150" s="1" t="s">
        <v>3</v>
      </c>
      <c r="BJ150" s="1" t="s">
        <v>3</v>
      </c>
      <c r="BK150" s="1" t="s">
        <v>3</v>
      </c>
      <c r="BL150" s="1" t="s">
        <v>3</v>
      </c>
      <c r="BM150" s="1" t="s">
        <v>3</v>
      </c>
      <c r="BN150" s="1" t="s">
        <v>3</v>
      </c>
      <c r="BO150" s="1" t="s">
        <v>3</v>
      </c>
      <c r="BP150" s="1" t="s">
        <v>3</v>
      </c>
      <c r="BQ150" s="1"/>
      <c r="BR150" s="1"/>
      <c r="BS150" s="1"/>
      <c r="BT150" s="1"/>
      <c r="BU150" s="1"/>
      <c r="BV150" s="1"/>
      <c r="BW150" s="1"/>
      <c r="BX150" s="1">
        <v>0</v>
      </c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>
        <v>0</v>
      </c>
    </row>
    <row r="152" spans="1:255" x14ac:dyDescent="0.2">
      <c r="A152" s="3">
        <v>52</v>
      </c>
      <c r="B152" s="3">
        <f t="shared" ref="B152:G152" si="80">B193</f>
        <v>1</v>
      </c>
      <c r="C152" s="3">
        <f t="shared" si="80"/>
        <v>4</v>
      </c>
      <c r="D152" s="3">
        <f t="shared" si="80"/>
        <v>150</v>
      </c>
      <c r="E152" s="3">
        <f t="shared" si="80"/>
        <v>0</v>
      </c>
      <c r="F152" s="3" t="str">
        <f t="shared" si="80"/>
        <v>Новый раздел</v>
      </c>
      <c r="G152" s="3" t="str">
        <f t="shared" si="80"/>
        <v>Демонтажные работы</v>
      </c>
      <c r="H152" s="3"/>
      <c r="I152" s="3"/>
      <c r="J152" s="3"/>
      <c r="K152" s="3"/>
      <c r="L152" s="3"/>
      <c r="M152" s="3"/>
      <c r="N152" s="3"/>
      <c r="O152" s="3">
        <f t="shared" ref="O152:AT152" si="81">O193</f>
        <v>5917.53</v>
      </c>
      <c r="P152" s="3">
        <f t="shared" si="81"/>
        <v>6.47</v>
      </c>
      <c r="Q152" s="3">
        <f t="shared" si="81"/>
        <v>2488.5300000000002</v>
      </c>
      <c r="R152" s="3">
        <f t="shared" si="81"/>
        <v>473.49</v>
      </c>
      <c r="S152" s="3">
        <f t="shared" si="81"/>
        <v>3422.53</v>
      </c>
      <c r="T152" s="3">
        <f t="shared" si="81"/>
        <v>0</v>
      </c>
      <c r="U152" s="3">
        <f t="shared" si="81"/>
        <v>288.509478</v>
      </c>
      <c r="V152" s="3">
        <f t="shared" si="81"/>
        <v>0</v>
      </c>
      <c r="W152" s="3">
        <f t="shared" si="81"/>
        <v>0</v>
      </c>
      <c r="X152" s="3">
        <f t="shared" si="81"/>
        <v>2745.96</v>
      </c>
      <c r="Y152" s="3">
        <f t="shared" si="81"/>
        <v>1906.23</v>
      </c>
      <c r="Z152" s="3">
        <f t="shared" si="81"/>
        <v>0</v>
      </c>
      <c r="AA152" s="3">
        <f t="shared" si="81"/>
        <v>0</v>
      </c>
      <c r="AB152" s="3">
        <f t="shared" si="81"/>
        <v>5917.53</v>
      </c>
      <c r="AC152" s="3">
        <f t="shared" si="81"/>
        <v>6.47</v>
      </c>
      <c r="AD152" s="3">
        <f t="shared" si="81"/>
        <v>2488.5300000000002</v>
      </c>
      <c r="AE152" s="3">
        <f t="shared" si="81"/>
        <v>473.49</v>
      </c>
      <c r="AF152" s="3">
        <f t="shared" si="81"/>
        <v>3422.53</v>
      </c>
      <c r="AG152" s="3">
        <f t="shared" si="81"/>
        <v>0</v>
      </c>
      <c r="AH152" s="3">
        <f t="shared" si="81"/>
        <v>288.509478</v>
      </c>
      <c r="AI152" s="3">
        <f t="shared" si="81"/>
        <v>0</v>
      </c>
      <c r="AJ152" s="3">
        <f t="shared" si="81"/>
        <v>0</v>
      </c>
      <c r="AK152" s="3">
        <f t="shared" si="81"/>
        <v>2745.96</v>
      </c>
      <c r="AL152" s="3">
        <f t="shared" si="81"/>
        <v>1906.23</v>
      </c>
      <c r="AM152" s="3">
        <f t="shared" si="81"/>
        <v>0</v>
      </c>
      <c r="AN152" s="3">
        <f t="shared" si="81"/>
        <v>0</v>
      </c>
      <c r="AO152" s="3">
        <f t="shared" si="81"/>
        <v>0</v>
      </c>
      <c r="AP152" s="3">
        <f t="shared" si="81"/>
        <v>0</v>
      </c>
      <c r="AQ152" s="3">
        <f t="shared" si="81"/>
        <v>0</v>
      </c>
      <c r="AR152" s="3">
        <f t="shared" si="81"/>
        <v>11398.33</v>
      </c>
      <c r="AS152" s="3">
        <f t="shared" si="81"/>
        <v>11398.33</v>
      </c>
      <c r="AT152" s="3">
        <f t="shared" si="81"/>
        <v>0</v>
      </c>
      <c r="AU152" s="3">
        <f t="shared" ref="AU152:BZ152" si="82">AU193</f>
        <v>0</v>
      </c>
      <c r="AV152" s="3">
        <f t="shared" si="82"/>
        <v>6.47</v>
      </c>
      <c r="AW152" s="3">
        <f t="shared" si="82"/>
        <v>6.47</v>
      </c>
      <c r="AX152" s="3">
        <f t="shared" si="82"/>
        <v>0</v>
      </c>
      <c r="AY152" s="3">
        <f t="shared" si="82"/>
        <v>6.47</v>
      </c>
      <c r="AZ152" s="3">
        <f t="shared" si="82"/>
        <v>0</v>
      </c>
      <c r="BA152" s="3">
        <f t="shared" si="82"/>
        <v>0</v>
      </c>
      <c r="BB152" s="3">
        <f t="shared" si="82"/>
        <v>0</v>
      </c>
      <c r="BC152" s="3">
        <f t="shared" si="82"/>
        <v>0</v>
      </c>
      <c r="BD152" s="3">
        <f t="shared" si="82"/>
        <v>0</v>
      </c>
      <c r="BE152" s="3">
        <f t="shared" si="82"/>
        <v>0</v>
      </c>
      <c r="BF152" s="3">
        <f t="shared" si="82"/>
        <v>0</v>
      </c>
      <c r="BG152" s="3">
        <f t="shared" si="82"/>
        <v>0</v>
      </c>
      <c r="BH152" s="3">
        <f t="shared" si="82"/>
        <v>0</v>
      </c>
      <c r="BI152" s="3">
        <f t="shared" si="82"/>
        <v>0</v>
      </c>
      <c r="BJ152" s="3">
        <f t="shared" si="82"/>
        <v>0</v>
      </c>
      <c r="BK152" s="3">
        <f t="shared" si="82"/>
        <v>0</v>
      </c>
      <c r="BL152" s="3">
        <f t="shared" si="82"/>
        <v>0</v>
      </c>
      <c r="BM152" s="3">
        <f t="shared" si="82"/>
        <v>0</v>
      </c>
      <c r="BN152" s="3">
        <f t="shared" si="82"/>
        <v>0</v>
      </c>
      <c r="BO152" s="3">
        <f t="shared" si="82"/>
        <v>0</v>
      </c>
      <c r="BP152" s="3">
        <f t="shared" si="82"/>
        <v>0</v>
      </c>
      <c r="BQ152" s="3">
        <f t="shared" si="82"/>
        <v>0</v>
      </c>
      <c r="BR152" s="3">
        <f t="shared" si="82"/>
        <v>0</v>
      </c>
      <c r="BS152" s="3">
        <f t="shared" si="82"/>
        <v>0</v>
      </c>
      <c r="BT152" s="3">
        <f t="shared" si="82"/>
        <v>0</v>
      </c>
      <c r="BU152" s="3">
        <f t="shared" si="82"/>
        <v>0</v>
      </c>
      <c r="BV152" s="3">
        <f t="shared" si="82"/>
        <v>0</v>
      </c>
      <c r="BW152" s="3">
        <f t="shared" si="82"/>
        <v>0</v>
      </c>
      <c r="BX152" s="3">
        <f t="shared" si="82"/>
        <v>0</v>
      </c>
      <c r="BY152" s="3">
        <f t="shared" si="82"/>
        <v>0</v>
      </c>
      <c r="BZ152" s="3">
        <f t="shared" si="82"/>
        <v>0</v>
      </c>
      <c r="CA152" s="3">
        <f t="shared" ref="CA152:DF152" si="83">CA193</f>
        <v>11398.33</v>
      </c>
      <c r="CB152" s="3">
        <f t="shared" si="83"/>
        <v>11398.33</v>
      </c>
      <c r="CC152" s="3">
        <f t="shared" si="83"/>
        <v>0</v>
      </c>
      <c r="CD152" s="3">
        <f t="shared" si="83"/>
        <v>0</v>
      </c>
      <c r="CE152" s="3">
        <f t="shared" si="83"/>
        <v>6.47</v>
      </c>
      <c r="CF152" s="3">
        <f t="shared" si="83"/>
        <v>6.47</v>
      </c>
      <c r="CG152" s="3">
        <f t="shared" si="83"/>
        <v>0</v>
      </c>
      <c r="CH152" s="3">
        <f t="shared" si="83"/>
        <v>6.47</v>
      </c>
      <c r="CI152" s="3">
        <f t="shared" si="83"/>
        <v>0</v>
      </c>
      <c r="CJ152" s="3">
        <f t="shared" si="83"/>
        <v>0</v>
      </c>
      <c r="CK152" s="3">
        <f t="shared" si="83"/>
        <v>0</v>
      </c>
      <c r="CL152" s="3">
        <f t="shared" si="83"/>
        <v>0</v>
      </c>
      <c r="CM152" s="3">
        <f t="shared" si="83"/>
        <v>0</v>
      </c>
      <c r="CN152" s="3">
        <f t="shared" si="83"/>
        <v>0</v>
      </c>
      <c r="CO152" s="3">
        <f t="shared" si="83"/>
        <v>0</v>
      </c>
      <c r="CP152" s="3">
        <f t="shared" si="83"/>
        <v>0</v>
      </c>
      <c r="CQ152" s="3">
        <f t="shared" si="83"/>
        <v>0</v>
      </c>
      <c r="CR152" s="3">
        <f t="shared" si="83"/>
        <v>0</v>
      </c>
      <c r="CS152" s="3">
        <f t="shared" si="83"/>
        <v>0</v>
      </c>
      <c r="CT152" s="3">
        <f t="shared" si="83"/>
        <v>0</v>
      </c>
      <c r="CU152" s="3">
        <f t="shared" si="83"/>
        <v>0</v>
      </c>
      <c r="CV152" s="3">
        <f t="shared" si="83"/>
        <v>0</v>
      </c>
      <c r="CW152" s="3">
        <f t="shared" si="83"/>
        <v>0</v>
      </c>
      <c r="CX152" s="3">
        <f t="shared" si="83"/>
        <v>0</v>
      </c>
      <c r="CY152" s="3">
        <f t="shared" si="83"/>
        <v>0</v>
      </c>
      <c r="CZ152" s="3">
        <f t="shared" si="83"/>
        <v>0</v>
      </c>
      <c r="DA152" s="3">
        <f t="shared" si="83"/>
        <v>0</v>
      </c>
      <c r="DB152" s="3">
        <f t="shared" si="83"/>
        <v>0</v>
      </c>
      <c r="DC152" s="3">
        <f t="shared" si="83"/>
        <v>0</v>
      </c>
      <c r="DD152" s="3">
        <f t="shared" si="83"/>
        <v>0</v>
      </c>
      <c r="DE152" s="3">
        <f t="shared" si="83"/>
        <v>0</v>
      </c>
      <c r="DF152" s="3">
        <f t="shared" si="83"/>
        <v>0</v>
      </c>
      <c r="DG152" s="4">
        <f t="shared" ref="DG152:EL152" si="84">DG193</f>
        <v>130646.36</v>
      </c>
      <c r="DH152" s="4">
        <f t="shared" si="84"/>
        <v>131.22999999999999</v>
      </c>
      <c r="DI152" s="4">
        <f t="shared" si="84"/>
        <v>31159.08</v>
      </c>
      <c r="DJ152" s="4">
        <f t="shared" si="84"/>
        <v>13745.4</v>
      </c>
      <c r="DK152" s="4">
        <f t="shared" si="84"/>
        <v>99356.05</v>
      </c>
      <c r="DL152" s="4">
        <f t="shared" si="84"/>
        <v>0</v>
      </c>
      <c r="DM152" s="4">
        <f t="shared" si="84"/>
        <v>288.509478</v>
      </c>
      <c r="DN152" s="4">
        <f t="shared" si="84"/>
        <v>0</v>
      </c>
      <c r="DO152" s="4">
        <f t="shared" si="84"/>
        <v>0</v>
      </c>
      <c r="DP152" s="4">
        <f t="shared" si="84"/>
        <v>69549.25</v>
      </c>
      <c r="DQ152" s="4">
        <f t="shared" si="84"/>
        <v>40735.97</v>
      </c>
      <c r="DR152" s="4">
        <f t="shared" si="84"/>
        <v>0</v>
      </c>
      <c r="DS152" s="4">
        <f t="shared" si="84"/>
        <v>0</v>
      </c>
      <c r="DT152" s="4">
        <f t="shared" si="84"/>
        <v>130646.36</v>
      </c>
      <c r="DU152" s="4">
        <f t="shared" si="84"/>
        <v>131.22999999999999</v>
      </c>
      <c r="DV152" s="4">
        <f t="shared" si="84"/>
        <v>31159.08</v>
      </c>
      <c r="DW152" s="4">
        <f t="shared" si="84"/>
        <v>13745.4</v>
      </c>
      <c r="DX152" s="4">
        <f t="shared" si="84"/>
        <v>99356.05</v>
      </c>
      <c r="DY152" s="4">
        <f t="shared" si="84"/>
        <v>0</v>
      </c>
      <c r="DZ152" s="4">
        <f t="shared" si="84"/>
        <v>288.509478</v>
      </c>
      <c r="EA152" s="4">
        <f t="shared" si="84"/>
        <v>0</v>
      </c>
      <c r="EB152" s="4">
        <f t="shared" si="84"/>
        <v>0</v>
      </c>
      <c r="EC152" s="4">
        <f t="shared" si="84"/>
        <v>69549.25</v>
      </c>
      <c r="ED152" s="4">
        <f t="shared" si="84"/>
        <v>40735.97</v>
      </c>
      <c r="EE152" s="4">
        <f t="shared" si="84"/>
        <v>0</v>
      </c>
      <c r="EF152" s="4">
        <f t="shared" si="84"/>
        <v>0</v>
      </c>
      <c r="EG152" s="4">
        <f t="shared" si="84"/>
        <v>0</v>
      </c>
      <c r="EH152" s="4">
        <f t="shared" si="84"/>
        <v>0</v>
      </c>
      <c r="EI152" s="4">
        <f t="shared" si="84"/>
        <v>0</v>
      </c>
      <c r="EJ152" s="4">
        <f t="shared" si="84"/>
        <v>262924.21999999997</v>
      </c>
      <c r="EK152" s="4">
        <f t="shared" si="84"/>
        <v>262924.21999999997</v>
      </c>
      <c r="EL152" s="4">
        <f t="shared" si="84"/>
        <v>0</v>
      </c>
      <c r="EM152" s="4">
        <f t="shared" ref="EM152:FR152" si="85">EM193</f>
        <v>0</v>
      </c>
      <c r="EN152" s="4">
        <f t="shared" si="85"/>
        <v>131.22999999999999</v>
      </c>
      <c r="EO152" s="4">
        <f t="shared" si="85"/>
        <v>131.22999999999999</v>
      </c>
      <c r="EP152" s="4">
        <f t="shared" si="85"/>
        <v>0</v>
      </c>
      <c r="EQ152" s="4">
        <f t="shared" si="85"/>
        <v>131.22999999999999</v>
      </c>
      <c r="ER152" s="4">
        <f t="shared" si="85"/>
        <v>0</v>
      </c>
      <c r="ES152" s="4">
        <f t="shared" si="85"/>
        <v>0</v>
      </c>
      <c r="ET152" s="4">
        <f t="shared" si="85"/>
        <v>0</v>
      </c>
      <c r="EU152" s="4">
        <f t="shared" si="85"/>
        <v>0</v>
      </c>
      <c r="EV152" s="4">
        <f t="shared" si="85"/>
        <v>0</v>
      </c>
      <c r="EW152" s="4">
        <f t="shared" si="85"/>
        <v>0</v>
      </c>
      <c r="EX152" s="4">
        <f t="shared" si="85"/>
        <v>0</v>
      </c>
      <c r="EY152" s="4">
        <f t="shared" si="85"/>
        <v>0</v>
      </c>
      <c r="EZ152" s="4">
        <f t="shared" si="85"/>
        <v>0</v>
      </c>
      <c r="FA152" s="4">
        <f t="shared" si="85"/>
        <v>0</v>
      </c>
      <c r="FB152" s="4">
        <f t="shared" si="85"/>
        <v>0</v>
      </c>
      <c r="FC152" s="4">
        <f t="shared" si="85"/>
        <v>0</v>
      </c>
      <c r="FD152" s="4">
        <f t="shared" si="85"/>
        <v>0</v>
      </c>
      <c r="FE152" s="4">
        <f t="shared" si="85"/>
        <v>0</v>
      </c>
      <c r="FF152" s="4">
        <f t="shared" si="85"/>
        <v>0</v>
      </c>
      <c r="FG152" s="4">
        <f t="shared" si="85"/>
        <v>0</v>
      </c>
      <c r="FH152" s="4">
        <f t="shared" si="85"/>
        <v>0</v>
      </c>
      <c r="FI152" s="4">
        <f t="shared" si="85"/>
        <v>0</v>
      </c>
      <c r="FJ152" s="4">
        <f t="shared" si="85"/>
        <v>0</v>
      </c>
      <c r="FK152" s="4">
        <f t="shared" si="85"/>
        <v>0</v>
      </c>
      <c r="FL152" s="4">
        <f t="shared" si="85"/>
        <v>0</v>
      </c>
      <c r="FM152" s="4">
        <f t="shared" si="85"/>
        <v>0</v>
      </c>
      <c r="FN152" s="4">
        <f t="shared" si="85"/>
        <v>0</v>
      </c>
      <c r="FO152" s="4">
        <f t="shared" si="85"/>
        <v>0</v>
      </c>
      <c r="FP152" s="4">
        <f t="shared" si="85"/>
        <v>0</v>
      </c>
      <c r="FQ152" s="4">
        <f t="shared" si="85"/>
        <v>0</v>
      </c>
      <c r="FR152" s="4">
        <f t="shared" si="85"/>
        <v>0</v>
      </c>
      <c r="FS152" s="4">
        <f t="shared" ref="FS152:GX152" si="86">FS193</f>
        <v>262924.21999999997</v>
      </c>
      <c r="FT152" s="4">
        <f t="shared" si="86"/>
        <v>262924.21999999997</v>
      </c>
      <c r="FU152" s="4">
        <f t="shared" si="86"/>
        <v>0</v>
      </c>
      <c r="FV152" s="4">
        <f t="shared" si="86"/>
        <v>0</v>
      </c>
      <c r="FW152" s="4">
        <f t="shared" si="86"/>
        <v>131.22999999999999</v>
      </c>
      <c r="FX152" s="4">
        <f t="shared" si="86"/>
        <v>131.22999999999999</v>
      </c>
      <c r="FY152" s="4">
        <f t="shared" si="86"/>
        <v>0</v>
      </c>
      <c r="FZ152" s="4">
        <f t="shared" si="86"/>
        <v>131.22999999999999</v>
      </c>
      <c r="GA152" s="4">
        <f t="shared" si="86"/>
        <v>0</v>
      </c>
      <c r="GB152" s="4">
        <f t="shared" si="86"/>
        <v>0</v>
      </c>
      <c r="GC152" s="4">
        <f t="shared" si="86"/>
        <v>0</v>
      </c>
      <c r="GD152" s="4">
        <f t="shared" si="86"/>
        <v>0</v>
      </c>
      <c r="GE152" s="4">
        <f t="shared" si="86"/>
        <v>0</v>
      </c>
      <c r="GF152" s="4">
        <f t="shared" si="86"/>
        <v>0</v>
      </c>
      <c r="GG152" s="4">
        <f t="shared" si="86"/>
        <v>0</v>
      </c>
      <c r="GH152" s="4">
        <f t="shared" si="86"/>
        <v>0</v>
      </c>
      <c r="GI152" s="4">
        <f t="shared" si="86"/>
        <v>0</v>
      </c>
      <c r="GJ152" s="4">
        <f t="shared" si="86"/>
        <v>0</v>
      </c>
      <c r="GK152" s="4">
        <f t="shared" si="86"/>
        <v>0</v>
      </c>
      <c r="GL152" s="4">
        <f t="shared" si="86"/>
        <v>0</v>
      </c>
      <c r="GM152" s="4">
        <f t="shared" si="86"/>
        <v>0</v>
      </c>
      <c r="GN152" s="4">
        <f t="shared" si="86"/>
        <v>0</v>
      </c>
      <c r="GO152" s="4">
        <f t="shared" si="86"/>
        <v>0</v>
      </c>
      <c r="GP152" s="4">
        <f t="shared" si="86"/>
        <v>0</v>
      </c>
      <c r="GQ152" s="4">
        <f t="shared" si="86"/>
        <v>0</v>
      </c>
      <c r="GR152" s="4">
        <f t="shared" si="86"/>
        <v>0</v>
      </c>
      <c r="GS152" s="4">
        <f t="shared" si="86"/>
        <v>0</v>
      </c>
      <c r="GT152" s="4">
        <f t="shared" si="86"/>
        <v>0</v>
      </c>
      <c r="GU152" s="4">
        <f t="shared" si="86"/>
        <v>0</v>
      </c>
      <c r="GV152" s="4">
        <f t="shared" si="86"/>
        <v>0</v>
      </c>
      <c r="GW152" s="4">
        <f t="shared" si="86"/>
        <v>0</v>
      </c>
      <c r="GX152" s="4">
        <f t="shared" si="86"/>
        <v>0</v>
      </c>
    </row>
    <row r="154" spans="1:255" x14ac:dyDescent="0.2">
      <c r="A154" s="2">
        <v>17</v>
      </c>
      <c r="B154" s="2">
        <v>1</v>
      </c>
      <c r="C154" s="2">
        <f>ROW(SmtRes!A66)</f>
        <v>66</v>
      </c>
      <c r="D154" s="2">
        <f>ROW(EtalonRes!A67)</f>
        <v>67</v>
      </c>
      <c r="E154" s="2" t="s">
        <v>18</v>
      </c>
      <c r="F154" s="2" t="s">
        <v>137</v>
      </c>
      <c r="G154" s="2" t="s">
        <v>138</v>
      </c>
      <c r="H154" s="2" t="s">
        <v>139</v>
      </c>
      <c r="I154" s="2">
        <v>0.1736</v>
      </c>
      <c r="J154" s="2">
        <v>0</v>
      </c>
      <c r="K154" s="2">
        <v>0.1736</v>
      </c>
      <c r="L154" s="2"/>
      <c r="M154" s="2"/>
      <c r="N154" s="2"/>
      <c r="O154" s="2">
        <f t="shared" ref="O154:O191" si="87">ROUND(CP154,2)</f>
        <v>141.94999999999999</v>
      </c>
      <c r="P154" s="2">
        <f t="shared" ref="P154:P191" si="88">ROUND((ROUND((AC154*AW154*I154),2)*BC154),2)</f>
        <v>4.6399999999999997</v>
      </c>
      <c r="Q154" s="2">
        <f>(ROUND((ROUND((((ET154*0.6))*AV154*I154),2)*BB154),2)+ROUND((ROUND(((AE154-((EU154*0.6)))*AV154*I154),2)*BS154),2))</f>
        <v>24.43</v>
      </c>
      <c r="R154" s="2">
        <f t="shared" ref="R154:R191" si="89">ROUND((ROUND((AE154*AV154*I154),2)*BS154),2)</f>
        <v>5.72</v>
      </c>
      <c r="S154" s="2">
        <f t="shared" ref="S154:S191" si="90">ROUND((ROUND((AF154*AV154*I154),2)*BA154),2)</f>
        <v>112.88</v>
      </c>
      <c r="T154" s="2">
        <f t="shared" ref="T154:T191" si="91">ROUND(CU154*I154,2)</f>
        <v>0</v>
      </c>
      <c r="U154" s="2">
        <f t="shared" ref="U154:U191" si="92">CV154*I154</f>
        <v>8.5515360000000005</v>
      </c>
      <c r="V154" s="2">
        <f t="shared" ref="V154:V191" si="93">CW154*I154</f>
        <v>0</v>
      </c>
      <c r="W154" s="2">
        <f t="shared" ref="W154:W191" si="94">ROUND(CX154*I154,2)</f>
        <v>0</v>
      </c>
      <c r="X154" s="2">
        <f t="shared" ref="X154:X191" si="95">ROUND(CY154,2)</f>
        <v>95.95</v>
      </c>
      <c r="Y154" s="2">
        <f t="shared" ref="Y154:Y191" si="96">ROUND(CZ154,2)</f>
        <v>79.02</v>
      </c>
      <c r="Z154" s="2"/>
      <c r="AA154" s="2">
        <v>129761636</v>
      </c>
      <c r="AB154" s="2">
        <f t="shared" ref="AB154:AB191" si="97">ROUND((AC154+AD154+AF154),6)</f>
        <v>817.69200000000001</v>
      </c>
      <c r="AC154" s="2">
        <f>ROUND(((ES154*0.6)),6)</f>
        <v>26.706</v>
      </c>
      <c r="AD154" s="2">
        <f>ROUND(((((ET154*0.6))-((EU154*0.6)))+AE154),6)</f>
        <v>140.75399999999999</v>
      </c>
      <c r="AE154" s="2">
        <f>ROUND(((EU154*0.6)),6)</f>
        <v>32.957999999999998</v>
      </c>
      <c r="AF154" s="2">
        <f>ROUND(((EV154*0.6)),6)</f>
        <v>650.23199999999997</v>
      </c>
      <c r="AG154" s="2">
        <f t="shared" ref="AG154:AG191" si="98">ROUND((AP154),6)</f>
        <v>0</v>
      </c>
      <c r="AH154" s="2">
        <f>((EW154*0.6))</f>
        <v>49.26</v>
      </c>
      <c r="AI154" s="2">
        <f>((EX154*0.6))</f>
        <v>0</v>
      </c>
      <c r="AJ154" s="2">
        <f t="shared" ref="AJ154:AJ191" si="99">(AS154)</f>
        <v>0</v>
      </c>
      <c r="AK154" s="2">
        <v>1362.82</v>
      </c>
      <c r="AL154" s="2">
        <v>44.51</v>
      </c>
      <c r="AM154" s="2">
        <v>234.59</v>
      </c>
      <c r="AN154" s="2">
        <v>54.93</v>
      </c>
      <c r="AO154" s="2">
        <v>1083.72</v>
      </c>
      <c r="AP154" s="2">
        <v>0</v>
      </c>
      <c r="AQ154" s="2">
        <v>82.1</v>
      </c>
      <c r="AR154" s="2">
        <v>0</v>
      </c>
      <c r="AS154" s="2">
        <v>0</v>
      </c>
      <c r="AT154" s="2">
        <v>85</v>
      </c>
      <c r="AU154" s="2">
        <v>70</v>
      </c>
      <c r="AV154" s="2">
        <v>1</v>
      </c>
      <c r="AW154" s="2">
        <v>1</v>
      </c>
      <c r="AX154" s="2"/>
      <c r="AY154" s="2"/>
      <c r="AZ154" s="2">
        <v>1</v>
      </c>
      <c r="BA154" s="2">
        <v>1</v>
      </c>
      <c r="BB154" s="2">
        <v>1</v>
      </c>
      <c r="BC154" s="2">
        <v>1</v>
      </c>
      <c r="BD154" s="2" t="s">
        <v>3</v>
      </c>
      <c r="BE154" s="2" t="s">
        <v>3</v>
      </c>
      <c r="BF154" s="2" t="s">
        <v>3</v>
      </c>
      <c r="BG154" s="2" t="s">
        <v>3</v>
      </c>
      <c r="BH154" s="2">
        <v>0</v>
      </c>
      <c r="BI154" s="2">
        <v>1</v>
      </c>
      <c r="BJ154" s="2" t="s">
        <v>140</v>
      </c>
      <c r="BK154" s="2"/>
      <c r="BL154" s="2"/>
      <c r="BM154" s="2">
        <v>80</v>
      </c>
      <c r="BN154" s="2">
        <v>0</v>
      </c>
      <c r="BO154" s="2" t="s">
        <v>3</v>
      </c>
      <c r="BP154" s="2">
        <v>0</v>
      </c>
      <c r="BQ154" s="2">
        <v>30</v>
      </c>
      <c r="BR154" s="2">
        <v>0</v>
      </c>
      <c r="BS154" s="2">
        <v>1</v>
      </c>
      <c r="BT154" s="2">
        <v>1</v>
      </c>
      <c r="BU154" s="2">
        <v>1</v>
      </c>
      <c r="BV154" s="2">
        <v>1</v>
      </c>
      <c r="BW154" s="2">
        <v>1</v>
      </c>
      <c r="BX154" s="2">
        <v>1</v>
      </c>
      <c r="BY154" s="2" t="s">
        <v>3</v>
      </c>
      <c r="BZ154" s="2">
        <v>85</v>
      </c>
      <c r="CA154" s="2">
        <v>70</v>
      </c>
      <c r="CB154" s="2" t="s">
        <v>3</v>
      </c>
      <c r="CC154" s="2"/>
      <c r="CD154" s="2"/>
      <c r="CE154" s="2">
        <v>30</v>
      </c>
      <c r="CF154" s="2">
        <v>0</v>
      </c>
      <c r="CG154" s="2">
        <v>0</v>
      </c>
      <c r="CH154" s="2"/>
      <c r="CI154" s="2"/>
      <c r="CJ154" s="2"/>
      <c r="CK154" s="2"/>
      <c r="CL154" s="2"/>
      <c r="CM154" s="2">
        <v>0</v>
      </c>
      <c r="CN154" s="2" t="s">
        <v>141</v>
      </c>
      <c r="CO154" s="2">
        <v>0</v>
      </c>
      <c r="CP154" s="2">
        <f t="shared" ref="CP154:CP191" si="100">(P154+Q154+S154)</f>
        <v>141.94999999999999</v>
      </c>
      <c r="CQ154" s="2">
        <f t="shared" ref="CQ154:CQ191" si="101">ROUND((ROUND((AC154*AW154*1),2)*BC154),2)</f>
        <v>26.71</v>
      </c>
      <c r="CR154" s="2">
        <f>(ROUND((ROUND((((ET154*0.6))*AV154*1),2)*BB154),2)+ROUND((ROUND(((AE154-((EU154*0.6)))*AV154*1),2)*BS154),2))</f>
        <v>140.75</v>
      </c>
      <c r="CS154" s="2">
        <f t="shared" ref="CS154:CS191" si="102">ROUND((ROUND((AE154*AV154*1),2)*BS154),2)</f>
        <v>32.96</v>
      </c>
      <c r="CT154" s="2">
        <f t="shared" ref="CT154:CT191" si="103">ROUND((ROUND((AF154*AV154*1),2)*BA154),2)</f>
        <v>650.23</v>
      </c>
      <c r="CU154" s="2">
        <f t="shared" ref="CU154:CU191" si="104">AG154</f>
        <v>0</v>
      </c>
      <c r="CV154" s="2">
        <f t="shared" ref="CV154:CV191" si="105">(AH154*AV154)</f>
        <v>49.26</v>
      </c>
      <c r="CW154" s="2">
        <f t="shared" ref="CW154:CW191" si="106">AI154</f>
        <v>0</v>
      </c>
      <c r="CX154" s="2">
        <f t="shared" ref="CX154:CX191" si="107">AJ154</f>
        <v>0</v>
      </c>
      <c r="CY154" s="2">
        <f>((S154*BZ154)/100)</f>
        <v>95.947999999999993</v>
      </c>
      <c r="CZ154" s="2">
        <f>((S154*CA154)/100)</f>
        <v>79.015999999999991</v>
      </c>
      <c r="DA154" s="2"/>
      <c r="DB154" s="2"/>
      <c r="DC154" s="2" t="s">
        <v>3</v>
      </c>
      <c r="DD154" s="2" t="s">
        <v>142</v>
      </c>
      <c r="DE154" s="2" t="s">
        <v>142</v>
      </c>
      <c r="DF154" s="2" t="s">
        <v>142</v>
      </c>
      <c r="DG154" s="2" t="s">
        <v>142</v>
      </c>
      <c r="DH154" s="2" t="s">
        <v>3</v>
      </c>
      <c r="DI154" s="2" t="s">
        <v>142</v>
      </c>
      <c r="DJ154" s="2" t="s">
        <v>142</v>
      </c>
      <c r="DK154" s="2" t="s">
        <v>3</v>
      </c>
      <c r="DL154" s="2" t="s">
        <v>3</v>
      </c>
      <c r="DM154" s="2" t="s">
        <v>3</v>
      </c>
      <c r="DN154" s="2">
        <v>0</v>
      </c>
      <c r="DO154" s="2">
        <v>0</v>
      </c>
      <c r="DP154" s="2">
        <v>1</v>
      </c>
      <c r="DQ154" s="2">
        <v>1</v>
      </c>
      <c r="DR154" s="2"/>
      <c r="DS154" s="2"/>
      <c r="DT154" s="2"/>
      <c r="DU154" s="2">
        <v>1013</v>
      </c>
      <c r="DV154" s="2" t="s">
        <v>139</v>
      </c>
      <c r="DW154" s="2" t="s">
        <v>139</v>
      </c>
      <c r="DX154" s="2">
        <v>1</v>
      </c>
      <c r="DY154" s="2"/>
      <c r="DZ154" s="2" t="s">
        <v>3</v>
      </c>
      <c r="EA154" s="2" t="s">
        <v>3</v>
      </c>
      <c r="EB154" s="2" t="s">
        <v>3</v>
      </c>
      <c r="EC154" s="2" t="s">
        <v>3</v>
      </c>
      <c r="ED154" s="2"/>
      <c r="EE154" s="2">
        <v>126051541</v>
      </c>
      <c r="EF154" s="2">
        <v>30</v>
      </c>
      <c r="EG154" s="2" t="s">
        <v>23</v>
      </c>
      <c r="EH154" s="2">
        <v>0</v>
      </c>
      <c r="EI154" s="2" t="s">
        <v>3</v>
      </c>
      <c r="EJ154" s="2">
        <v>1</v>
      </c>
      <c r="EK154" s="2">
        <v>80</v>
      </c>
      <c r="EL154" s="2" t="s">
        <v>143</v>
      </c>
      <c r="EM154" s="2" t="s">
        <v>144</v>
      </c>
      <c r="EN154" s="2"/>
      <c r="EO154" s="2" t="s">
        <v>145</v>
      </c>
      <c r="EP154" s="2"/>
      <c r="EQ154" s="2">
        <v>131072</v>
      </c>
      <c r="ER154" s="2">
        <v>1362.82</v>
      </c>
      <c r="ES154" s="2">
        <v>44.51</v>
      </c>
      <c r="ET154" s="2">
        <v>234.59</v>
      </c>
      <c r="EU154" s="2">
        <v>54.93</v>
      </c>
      <c r="EV154" s="2">
        <v>1083.72</v>
      </c>
      <c r="EW154" s="2">
        <v>82.1</v>
      </c>
      <c r="EX154" s="2">
        <v>0</v>
      </c>
      <c r="EY154" s="2">
        <v>0</v>
      </c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>
        <v>0</v>
      </c>
      <c r="FR154" s="2">
        <f t="shared" ref="FR154:FR191" si="108">ROUND(IF(AND(BH154=3,BI154=3),P154,0),2)</f>
        <v>0</v>
      </c>
      <c r="FS154" s="2">
        <v>0</v>
      </c>
      <c r="FT154" s="2"/>
      <c r="FU154" s="2"/>
      <c r="FV154" s="2"/>
      <c r="FW154" s="2"/>
      <c r="FX154" s="2">
        <v>85</v>
      </c>
      <c r="FY154" s="2">
        <v>70</v>
      </c>
      <c r="FZ154" s="2"/>
      <c r="GA154" s="2" t="s">
        <v>3</v>
      </c>
      <c r="GB154" s="2"/>
      <c r="GC154" s="2"/>
      <c r="GD154" s="2">
        <v>0</v>
      </c>
      <c r="GE154" s="2"/>
      <c r="GF154" s="2">
        <v>885218915</v>
      </c>
      <c r="GG154" s="2">
        <v>2</v>
      </c>
      <c r="GH154" s="2">
        <v>1</v>
      </c>
      <c r="GI154" s="2">
        <v>-2</v>
      </c>
      <c r="GJ154" s="2">
        <v>0</v>
      </c>
      <c r="GK154" s="2">
        <f>ROUND(R154*(R12)/100,2)</f>
        <v>10.01</v>
      </c>
      <c r="GL154" s="2">
        <f t="shared" ref="GL154:GL191" si="109">ROUND(IF(AND(BH154=3,BI154=3,FS154&lt;&gt;0),P154,0),2)</f>
        <v>0</v>
      </c>
      <c r="GM154" s="2">
        <f t="shared" ref="GM154:GM191" si="110">ROUND(O154+X154+Y154+GK154,2)+GX154</f>
        <v>326.93</v>
      </c>
      <c r="GN154" s="2">
        <f t="shared" ref="GN154:GN191" si="111">IF(OR(BI154=0,BI154=1),ROUND(O154+X154+Y154+GK154,2),0)</f>
        <v>326.93</v>
      </c>
      <c r="GO154" s="2">
        <f t="shared" ref="GO154:GO191" si="112">IF(BI154=2,ROUND(O154+X154+Y154+GK154,2),0)</f>
        <v>0</v>
      </c>
      <c r="GP154" s="2">
        <f t="shared" ref="GP154:GP191" si="113">IF(BI154=4,ROUND(O154+X154+Y154+GK154,2)+GX154,0)</f>
        <v>0</v>
      </c>
      <c r="GQ154" s="2"/>
      <c r="GR154" s="2">
        <v>0</v>
      </c>
      <c r="GS154" s="2">
        <v>0</v>
      </c>
      <c r="GT154" s="2">
        <v>0</v>
      </c>
      <c r="GU154" s="2" t="s">
        <v>3</v>
      </c>
      <c r="GV154" s="2">
        <f t="shared" ref="GV154:GV181" si="114">ROUND((GT154),6)</f>
        <v>0</v>
      </c>
      <c r="GW154" s="2">
        <v>1</v>
      </c>
      <c r="GX154" s="2">
        <f t="shared" ref="GX154:GX191" si="115">ROUND(HC154*I154,2)</f>
        <v>0</v>
      </c>
      <c r="GY154" s="2"/>
      <c r="GZ154" s="2"/>
      <c r="HA154" s="2">
        <v>0</v>
      </c>
      <c r="HB154" s="2">
        <v>0</v>
      </c>
      <c r="HC154" s="2">
        <f t="shared" ref="HC154:HC191" si="116">GV154*GW154</f>
        <v>0</v>
      </c>
      <c r="HD154" s="2"/>
      <c r="HE154" s="2" t="s">
        <v>3</v>
      </c>
      <c r="HF154" s="2" t="s">
        <v>3</v>
      </c>
      <c r="HG154" s="2"/>
      <c r="HH154" s="2"/>
      <c r="HI154" s="2"/>
      <c r="HJ154" s="2"/>
      <c r="HK154" s="2"/>
      <c r="HL154" s="2"/>
      <c r="HM154" s="2" t="s">
        <v>3</v>
      </c>
      <c r="HN154" s="2" t="s">
        <v>3</v>
      </c>
      <c r="HO154" s="2" t="s">
        <v>3</v>
      </c>
      <c r="HP154" s="2" t="s">
        <v>3</v>
      </c>
      <c r="HQ154" s="2" t="s">
        <v>3</v>
      </c>
      <c r="HR154" s="2"/>
      <c r="HS154" s="2"/>
      <c r="HT154" s="2"/>
      <c r="HU154" s="2"/>
      <c r="HV154" s="2"/>
      <c r="HW154" s="2"/>
      <c r="HX154" s="2"/>
      <c r="HY154" s="2"/>
      <c r="HZ154" s="2"/>
      <c r="IA154" s="2"/>
      <c r="IB154" s="2"/>
      <c r="IC154" s="2"/>
      <c r="ID154" s="2"/>
      <c r="IE154" s="2"/>
      <c r="IF154" s="2"/>
      <c r="IG154" s="2"/>
      <c r="IH154" s="2"/>
      <c r="II154" s="2"/>
      <c r="IJ154" s="2"/>
      <c r="IK154" s="2">
        <v>0</v>
      </c>
      <c r="IL154" s="2"/>
      <c r="IM154" s="2"/>
      <c r="IN154" s="2"/>
      <c r="IO154" s="2"/>
      <c r="IP154" s="2"/>
      <c r="IQ154" s="2"/>
      <c r="IR154" s="2"/>
      <c r="IS154" s="2"/>
      <c r="IT154" s="2"/>
      <c r="IU154" s="2"/>
    </row>
    <row r="155" spans="1:255" x14ac:dyDescent="0.2">
      <c r="A155">
        <v>17</v>
      </c>
      <c r="B155">
        <v>1</v>
      </c>
      <c r="C155">
        <f>ROW(SmtRes!A72)</f>
        <v>72</v>
      </c>
      <c r="D155">
        <f>ROW(EtalonRes!A74)</f>
        <v>74</v>
      </c>
      <c r="E155" t="s">
        <v>18</v>
      </c>
      <c r="F155" t="s">
        <v>137</v>
      </c>
      <c r="G155" t="s">
        <v>138</v>
      </c>
      <c r="H155" t="s">
        <v>139</v>
      </c>
      <c r="I155">
        <v>0.1736</v>
      </c>
      <c r="J155">
        <v>0</v>
      </c>
      <c r="K155">
        <v>0.1736</v>
      </c>
      <c r="O155">
        <f t="shared" si="87"/>
        <v>3699.15</v>
      </c>
      <c r="P155">
        <f t="shared" si="88"/>
        <v>94.15</v>
      </c>
      <c r="Q155">
        <f>(ROUND((ROUND((((ET155*0.6))*AV155*I155),2)*BB155),2)+ROUND((ROUND(((AE155-((EU155*0.6)))*AV155*I155),2)*BS155),2))</f>
        <v>328.09</v>
      </c>
      <c r="R155">
        <f t="shared" si="89"/>
        <v>166.05</v>
      </c>
      <c r="S155">
        <f t="shared" si="90"/>
        <v>3276.91</v>
      </c>
      <c r="T155">
        <f t="shared" si="91"/>
        <v>0</v>
      </c>
      <c r="U155">
        <f t="shared" si="92"/>
        <v>8.5515360000000005</v>
      </c>
      <c r="V155">
        <f t="shared" si="93"/>
        <v>0</v>
      </c>
      <c r="W155">
        <f t="shared" si="94"/>
        <v>0</v>
      </c>
      <c r="X155">
        <f t="shared" si="95"/>
        <v>2293.84</v>
      </c>
      <c r="Y155">
        <f t="shared" si="96"/>
        <v>1343.53</v>
      </c>
      <c r="AA155">
        <v>129761633</v>
      </c>
      <c r="AB155">
        <f t="shared" si="97"/>
        <v>817.69200000000001</v>
      </c>
      <c r="AC155">
        <f>ROUND(((ES155*0.6)),6)</f>
        <v>26.706</v>
      </c>
      <c r="AD155">
        <f>ROUND(((((ET155*0.6))-((EU155*0.6)))+AE155),6)</f>
        <v>140.75399999999999</v>
      </c>
      <c r="AE155">
        <f>ROUND(((EU155*0.6)),6)</f>
        <v>32.957999999999998</v>
      </c>
      <c r="AF155">
        <f>ROUND(((EV155*0.6)),6)</f>
        <v>650.23199999999997</v>
      </c>
      <c r="AG155">
        <f t="shared" si="98"/>
        <v>0</v>
      </c>
      <c r="AH155">
        <f>((EW155*0.6))</f>
        <v>49.26</v>
      </c>
      <c r="AI155">
        <f>((EX155*0.6))</f>
        <v>0</v>
      </c>
      <c r="AJ155">
        <f t="shared" si="99"/>
        <v>0</v>
      </c>
      <c r="AK155">
        <v>1362.82</v>
      </c>
      <c r="AL155">
        <v>44.51</v>
      </c>
      <c r="AM155">
        <v>234.59</v>
      </c>
      <c r="AN155">
        <v>54.93</v>
      </c>
      <c r="AO155">
        <v>1083.72</v>
      </c>
      <c r="AP155">
        <v>0</v>
      </c>
      <c r="AQ155">
        <v>82.1</v>
      </c>
      <c r="AR155">
        <v>0</v>
      </c>
      <c r="AS155">
        <v>0</v>
      </c>
      <c r="AT155">
        <v>70</v>
      </c>
      <c r="AU155">
        <v>41</v>
      </c>
      <c r="AV155">
        <v>1</v>
      </c>
      <c r="AW155">
        <v>1</v>
      </c>
      <c r="AZ155">
        <v>1</v>
      </c>
      <c r="BA155">
        <v>29.03</v>
      </c>
      <c r="BB155">
        <v>13.43</v>
      </c>
      <c r="BC155">
        <v>20.29</v>
      </c>
      <c r="BD155" t="s">
        <v>3</v>
      </c>
      <c r="BE155" t="s">
        <v>3</v>
      </c>
      <c r="BF155" t="s">
        <v>3</v>
      </c>
      <c r="BG155" t="s">
        <v>3</v>
      </c>
      <c r="BH155">
        <v>0</v>
      </c>
      <c r="BI155">
        <v>1</v>
      </c>
      <c r="BJ155" t="s">
        <v>140</v>
      </c>
      <c r="BM155">
        <v>80</v>
      </c>
      <c r="BN155">
        <v>0</v>
      </c>
      <c r="BO155" t="s">
        <v>137</v>
      </c>
      <c r="BP155">
        <v>1</v>
      </c>
      <c r="BQ155">
        <v>30</v>
      </c>
      <c r="BR155">
        <v>0</v>
      </c>
      <c r="BS155">
        <v>29.03</v>
      </c>
      <c r="BT155">
        <v>1</v>
      </c>
      <c r="BU155">
        <v>1</v>
      </c>
      <c r="BV155">
        <v>1</v>
      </c>
      <c r="BW155">
        <v>1</v>
      </c>
      <c r="BX155">
        <v>1</v>
      </c>
      <c r="BY155" t="s">
        <v>3</v>
      </c>
      <c r="BZ155">
        <v>70</v>
      </c>
      <c r="CA155">
        <v>41</v>
      </c>
      <c r="CB155" t="s">
        <v>3</v>
      </c>
      <c r="CE155">
        <v>30</v>
      </c>
      <c r="CF155">
        <v>0</v>
      </c>
      <c r="CG155">
        <v>0</v>
      </c>
      <c r="CM155">
        <v>0</v>
      </c>
      <c r="CN155" t="s">
        <v>141</v>
      </c>
      <c r="CO155">
        <v>0</v>
      </c>
      <c r="CP155">
        <f t="shared" si="100"/>
        <v>3699.1499999999996</v>
      </c>
      <c r="CQ155">
        <f t="shared" si="101"/>
        <v>541.95000000000005</v>
      </c>
      <c r="CR155">
        <f>(ROUND((ROUND((((ET155*0.6))*AV155*1),2)*BB155),2)+ROUND((ROUND(((AE155-((EU155*0.6)))*AV155*1),2)*BS155),2))</f>
        <v>1890.27</v>
      </c>
      <c r="CS155">
        <f t="shared" si="102"/>
        <v>956.83</v>
      </c>
      <c r="CT155">
        <f t="shared" si="103"/>
        <v>18876.18</v>
      </c>
      <c r="CU155">
        <f t="shared" si="104"/>
        <v>0</v>
      </c>
      <c r="CV155">
        <f t="shared" si="105"/>
        <v>49.26</v>
      </c>
      <c r="CW155">
        <f t="shared" si="106"/>
        <v>0</v>
      </c>
      <c r="CX155">
        <f t="shared" si="107"/>
        <v>0</v>
      </c>
      <c r="CY155">
        <f>S155*(BZ155/100)</f>
        <v>2293.8369999999995</v>
      </c>
      <c r="CZ155">
        <f>S155*(CA155/100)</f>
        <v>1343.5330999999999</v>
      </c>
      <c r="DC155" t="s">
        <v>3</v>
      </c>
      <c r="DD155" t="s">
        <v>142</v>
      </c>
      <c r="DE155" t="s">
        <v>142</v>
      </c>
      <c r="DF155" t="s">
        <v>142</v>
      </c>
      <c r="DG155" t="s">
        <v>142</v>
      </c>
      <c r="DH155" t="s">
        <v>3</v>
      </c>
      <c r="DI155" t="s">
        <v>142</v>
      </c>
      <c r="DJ155" t="s">
        <v>142</v>
      </c>
      <c r="DK155" t="s">
        <v>3</v>
      </c>
      <c r="DL155" t="s">
        <v>3</v>
      </c>
      <c r="DM155" t="s">
        <v>3</v>
      </c>
      <c r="DN155">
        <v>85</v>
      </c>
      <c r="DO155">
        <v>70</v>
      </c>
      <c r="DP155">
        <v>1</v>
      </c>
      <c r="DQ155">
        <v>1</v>
      </c>
      <c r="DU155">
        <v>1013</v>
      </c>
      <c r="DV155" t="s">
        <v>139</v>
      </c>
      <c r="DW155" t="s">
        <v>139</v>
      </c>
      <c r="DX155">
        <v>1</v>
      </c>
      <c r="DZ155" t="s">
        <v>3</v>
      </c>
      <c r="EA155" t="s">
        <v>3</v>
      </c>
      <c r="EB155" t="s">
        <v>3</v>
      </c>
      <c r="EC155" t="s">
        <v>3</v>
      </c>
      <c r="EE155">
        <v>126051541</v>
      </c>
      <c r="EF155">
        <v>30</v>
      </c>
      <c r="EG155" t="s">
        <v>23</v>
      </c>
      <c r="EH155">
        <v>0</v>
      </c>
      <c r="EI155" t="s">
        <v>3</v>
      </c>
      <c r="EJ155">
        <v>1</v>
      </c>
      <c r="EK155">
        <v>80</v>
      </c>
      <c r="EL155" t="s">
        <v>143</v>
      </c>
      <c r="EM155" t="s">
        <v>144</v>
      </c>
      <c r="EO155" t="s">
        <v>145</v>
      </c>
      <c r="EQ155">
        <v>131072</v>
      </c>
      <c r="ER155">
        <v>1362.82</v>
      </c>
      <c r="ES155">
        <v>44.51</v>
      </c>
      <c r="ET155">
        <v>234.59</v>
      </c>
      <c r="EU155">
        <v>54.93</v>
      </c>
      <c r="EV155">
        <v>1083.72</v>
      </c>
      <c r="EW155">
        <v>82.1</v>
      </c>
      <c r="EX155">
        <v>0</v>
      </c>
      <c r="EY155">
        <v>0</v>
      </c>
      <c r="FQ155">
        <v>0</v>
      </c>
      <c r="FR155">
        <f t="shared" si="108"/>
        <v>0</v>
      </c>
      <c r="FS155">
        <v>0</v>
      </c>
      <c r="FX155">
        <v>85</v>
      </c>
      <c r="FY155">
        <v>70</v>
      </c>
      <c r="GA155" t="s">
        <v>3</v>
      </c>
      <c r="GD155">
        <v>0</v>
      </c>
      <c r="GF155">
        <v>885218915</v>
      </c>
      <c r="GG155">
        <v>2</v>
      </c>
      <c r="GH155">
        <v>1</v>
      </c>
      <c r="GI155">
        <v>2</v>
      </c>
      <c r="GJ155">
        <v>0</v>
      </c>
      <c r="GK155">
        <f>ROUND(R155*(S12)/100,2)</f>
        <v>265.68</v>
      </c>
      <c r="GL155">
        <f t="shared" si="109"/>
        <v>0</v>
      </c>
      <c r="GM155">
        <f t="shared" si="110"/>
        <v>7602.2</v>
      </c>
      <c r="GN155">
        <f t="shared" si="111"/>
        <v>7602.2</v>
      </c>
      <c r="GO155">
        <f t="shared" si="112"/>
        <v>0</v>
      </c>
      <c r="GP155">
        <f t="shared" si="113"/>
        <v>0</v>
      </c>
      <c r="GR155">
        <v>0</v>
      </c>
      <c r="GS155">
        <v>3</v>
      </c>
      <c r="GT155">
        <v>0</v>
      </c>
      <c r="GU155" t="s">
        <v>3</v>
      </c>
      <c r="GV155">
        <f t="shared" si="114"/>
        <v>0</v>
      </c>
      <c r="GW155">
        <v>1</v>
      </c>
      <c r="GX155">
        <f t="shared" si="115"/>
        <v>0</v>
      </c>
      <c r="HA155">
        <v>0</v>
      </c>
      <c r="HB155">
        <v>0</v>
      </c>
      <c r="HC155">
        <f t="shared" si="116"/>
        <v>0</v>
      </c>
      <c r="HE155" t="s">
        <v>3</v>
      </c>
      <c r="HF155" t="s">
        <v>3</v>
      </c>
      <c r="HM155" t="s">
        <v>3</v>
      </c>
      <c r="HN155" t="s">
        <v>3</v>
      </c>
      <c r="HO155" t="s">
        <v>3</v>
      </c>
      <c r="HP155" t="s">
        <v>3</v>
      </c>
      <c r="HQ155" t="s">
        <v>3</v>
      </c>
      <c r="IK155">
        <v>0</v>
      </c>
    </row>
    <row r="156" spans="1:255" x14ac:dyDescent="0.2">
      <c r="A156" s="2">
        <v>17</v>
      </c>
      <c r="B156" s="2">
        <v>1</v>
      </c>
      <c r="C156" s="2">
        <f>ROW(SmtRes!A73)</f>
        <v>73</v>
      </c>
      <c r="D156" s="2">
        <f>ROW(EtalonRes!A75)</f>
        <v>75</v>
      </c>
      <c r="E156" s="2" t="s">
        <v>81</v>
      </c>
      <c r="F156" s="2" t="s">
        <v>146</v>
      </c>
      <c r="G156" s="2" t="s">
        <v>147</v>
      </c>
      <c r="H156" s="2" t="s">
        <v>148</v>
      </c>
      <c r="I156" s="2">
        <v>8.09E-2</v>
      </c>
      <c r="J156" s="2">
        <v>0</v>
      </c>
      <c r="K156" s="2">
        <v>8.09E-2</v>
      </c>
      <c r="L156" s="2"/>
      <c r="M156" s="2"/>
      <c r="N156" s="2"/>
      <c r="O156" s="2">
        <f t="shared" si="87"/>
        <v>78.16</v>
      </c>
      <c r="P156" s="2">
        <f t="shared" si="88"/>
        <v>0</v>
      </c>
      <c r="Q156" s="2">
        <f t="shared" ref="Q156:Q171" si="117">(ROUND((ROUND(((ET156)*AV156*I156),2)*BB156),2)+ROUND((ROUND(((AE156-(EU156))*AV156*I156),2)*BS156),2))</f>
        <v>0</v>
      </c>
      <c r="R156" s="2">
        <f t="shared" si="89"/>
        <v>0</v>
      </c>
      <c r="S156" s="2">
        <f t="shared" si="90"/>
        <v>78.16</v>
      </c>
      <c r="T156" s="2">
        <f t="shared" si="91"/>
        <v>0</v>
      </c>
      <c r="U156" s="2">
        <f t="shared" si="92"/>
        <v>7.3740350000000001</v>
      </c>
      <c r="V156" s="2">
        <f t="shared" si="93"/>
        <v>0</v>
      </c>
      <c r="W156" s="2">
        <f t="shared" si="94"/>
        <v>0</v>
      </c>
      <c r="X156" s="2">
        <f t="shared" si="95"/>
        <v>62.53</v>
      </c>
      <c r="Y156" s="2">
        <f t="shared" si="96"/>
        <v>42.99</v>
      </c>
      <c r="Z156" s="2"/>
      <c r="AA156" s="2">
        <v>129761636</v>
      </c>
      <c r="AB156" s="2">
        <f t="shared" si="97"/>
        <v>966.19</v>
      </c>
      <c r="AC156" s="2">
        <f t="shared" ref="AC156:AC171" si="118">ROUND((ES156),6)</f>
        <v>0</v>
      </c>
      <c r="AD156" s="2">
        <f t="shared" ref="AD156:AD171" si="119">ROUND((((ET156)-(EU156))+AE156),6)</f>
        <v>0</v>
      </c>
      <c r="AE156" s="2">
        <f t="shared" ref="AE156:AE171" si="120">ROUND((EU156),6)</f>
        <v>0</v>
      </c>
      <c r="AF156" s="2">
        <f t="shared" ref="AF156:AF171" si="121">ROUND((EV156),6)</f>
        <v>966.19</v>
      </c>
      <c r="AG156" s="2">
        <f t="shared" si="98"/>
        <v>0</v>
      </c>
      <c r="AH156" s="2">
        <f t="shared" ref="AH156:AH171" si="122">(EW156)</f>
        <v>91.15</v>
      </c>
      <c r="AI156" s="2">
        <f t="shared" ref="AI156:AI171" si="123">(EX156)</f>
        <v>0</v>
      </c>
      <c r="AJ156" s="2">
        <f t="shared" si="99"/>
        <v>0</v>
      </c>
      <c r="AK156" s="2">
        <v>966.19</v>
      </c>
      <c r="AL156" s="2">
        <v>0</v>
      </c>
      <c r="AM156" s="2">
        <v>0</v>
      </c>
      <c r="AN156" s="2">
        <v>0</v>
      </c>
      <c r="AO156" s="2">
        <v>966.19</v>
      </c>
      <c r="AP156" s="2">
        <v>0</v>
      </c>
      <c r="AQ156" s="2">
        <v>91.15</v>
      </c>
      <c r="AR156" s="2">
        <v>0</v>
      </c>
      <c r="AS156" s="2">
        <v>0</v>
      </c>
      <c r="AT156" s="2">
        <v>80</v>
      </c>
      <c r="AU156" s="2">
        <v>55</v>
      </c>
      <c r="AV156" s="2">
        <v>1</v>
      </c>
      <c r="AW156" s="2">
        <v>1</v>
      </c>
      <c r="AX156" s="2"/>
      <c r="AY156" s="2"/>
      <c r="AZ156" s="2">
        <v>1</v>
      </c>
      <c r="BA156" s="2">
        <v>1</v>
      </c>
      <c r="BB156" s="2">
        <v>1</v>
      </c>
      <c r="BC156" s="2">
        <v>1</v>
      </c>
      <c r="BD156" s="2" t="s">
        <v>3</v>
      </c>
      <c r="BE156" s="2" t="s">
        <v>3</v>
      </c>
      <c r="BF156" s="2" t="s">
        <v>3</v>
      </c>
      <c r="BG156" s="2" t="s">
        <v>3</v>
      </c>
      <c r="BH156" s="2">
        <v>0</v>
      </c>
      <c r="BI156" s="2">
        <v>1</v>
      </c>
      <c r="BJ156" s="2" t="s">
        <v>149</v>
      </c>
      <c r="BK156" s="2"/>
      <c r="BL156" s="2"/>
      <c r="BM156" s="2">
        <v>438</v>
      </c>
      <c r="BN156" s="2">
        <v>0</v>
      </c>
      <c r="BO156" s="2" t="s">
        <v>3</v>
      </c>
      <c r="BP156" s="2">
        <v>0</v>
      </c>
      <c r="BQ156" s="2">
        <v>60</v>
      </c>
      <c r="BR156" s="2">
        <v>0</v>
      </c>
      <c r="BS156" s="2">
        <v>1</v>
      </c>
      <c r="BT156" s="2">
        <v>1</v>
      </c>
      <c r="BU156" s="2">
        <v>1</v>
      </c>
      <c r="BV156" s="2">
        <v>1</v>
      </c>
      <c r="BW156" s="2">
        <v>1</v>
      </c>
      <c r="BX156" s="2">
        <v>1</v>
      </c>
      <c r="BY156" s="2" t="s">
        <v>3</v>
      </c>
      <c r="BZ156" s="2">
        <v>80</v>
      </c>
      <c r="CA156" s="2">
        <v>55</v>
      </c>
      <c r="CB156" s="2" t="s">
        <v>3</v>
      </c>
      <c r="CC156" s="2"/>
      <c r="CD156" s="2"/>
      <c r="CE156" s="2">
        <v>30</v>
      </c>
      <c r="CF156" s="2">
        <v>0</v>
      </c>
      <c r="CG156" s="2">
        <v>0</v>
      </c>
      <c r="CH156" s="2"/>
      <c r="CI156" s="2"/>
      <c r="CJ156" s="2"/>
      <c r="CK156" s="2"/>
      <c r="CL156" s="2"/>
      <c r="CM156" s="2">
        <v>0</v>
      </c>
      <c r="CN156" s="2" t="s">
        <v>3</v>
      </c>
      <c r="CO156" s="2">
        <v>0</v>
      </c>
      <c r="CP156" s="2">
        <f t="shared" si="100"/>
        <v>78.16</v>
      </c>
      <c r="CQ156" s="2">
        <f t="shared" si="101"/>
        <v>0</v>
      </c>
      <c r="CR156" s="2">
        <f t="shared" ref="CR156:CR171" si="124">(ROUND((ROUND(((ET156)*AV156*1),2)*BB156),2)+ROUND((ROUND(((AE156-(EU156))*AV156*1),2)*BS156),2))</f>
        <v>0</v>
      </c>
      <c r="CS156" s="2">
        <f t="shared" si="102"/>
        <v>0</v>
      </c>
      <c r="CT156" s="2">
        <f t="shared" si="103"/>
        <v>966.19</v>
      </c>
      <c r="CU156" s="2">
        <f t="shared" si="104"/>
        <v>0</v>
      </c>
      <c r="CV156" s="2">
        <f t="shared" si="105"/>
        <v>91.15</v>
      </c>
      <c r="CW156" s="2">
        <f t="shared" si="106"/>
        <v>0</v>
      </c>
      <c r="CX156" s="2">
        <f t="shared" si="107"/>
        <v>0</v>
      </c>
      <c r="CY156" s="2">
        <f>((S156*BZ156)/100)</f>
        <v>62.527999999999992</v>
      </c>
      <c r="CZ156" s="2">
        <f>((S156*CA156)/100)</f>
        <v>42.988</v>
      </c>
      <c r="DA156" s="2"/>
      <c r="DB156" s="2"/>
      <c r="DC156" s="2" t="s">
        <v>3</v>
      </c>
      <c r="DD156" s="2" t="s">
        <v>3</v>
      </c>
      <c r="DE156" s="2" t="s">
        <v>3</v>
      </c>
      <c r="DF156" s="2" t="s">
        <v>3</v>
      </c>
      <c r="DG156" s="2" t="s">
        <v>3</v>
      </c>
      <c r="DH156" s="2" t="s">
        <v>3</v>
      </c>
      <c r="DI156" s="2" t="s">
        <v>3</v>
      </c>
      <c r="DJ156" s="2" t="s">
        <v>3</v>
      </c>
      <c r="DK156" s="2" t="s">
        <v>3</v>
      </c>
      <c r="DL156" s="2" t="s">
        <v>3</v>
      </c>
      <c r="DM156" s="2" t="s">
        <v>3</v>
      </c>
      <c r="DN156" s="2">
        <v>0</v>
      </c>
      <c r="DO156" s="2">
        <v>0</v>
      </c>
      <c r="DP156" s="2">
        <v>1</v>
      </c>
      <c r="DQ156" s="2">
        <v>1</v>
      </c>
      <c r="DR156" s="2"/>
      <c r="DS156" s="2"/>
      <c r="DT156" s="2"/>
      <c r="DU156" s="2">
        <v>1005</v>
      </c>
      <c r="DV156" s="2" t="s">
        <v>148</v>
      </c>
      <c r="DW156" s="2" t="s">
        <v>148</v>
      </c>
      <c r="DX156" s="2">
        <v>100</v>
      </c>
      <c r="DY156" s="2"/>
      <c r="DZ156" s="2" t="s">
        <v>3</v>
      </c>
      <c r="EA156" s="2" t="s">
        <v>3</v>
      </c>
      <c r="EB156" s="2" t="s">
        <v>3</v>
      </c>
      <c r="EC156" s="2" t="s">
        <v>3</v>
      </c>
      <c r="ED156" s="2"/>
      <c r="EE156" s="2">
        <v>126051899</v>
      </c>
      <c r="EF156" s="2">
        <v>60</v>
      </c>
      <c r="EG156" s="2" t="s">
        <v>150</v>
      </c>
      <c r="EH156" s="2">
        <v>0</v>
      </c>
      <c r="EI156" s="2" t="s">
        <v>3</v>
      </c>
      <c r="EJ156" s="2">
        <v>1</v>
      </c>
      <c r="EK156" s="2">
        <v>438</v>
      </c>
      <c r="EL156" s="2" t="s">
        <v>151</v>
      </c>
      <c r="EM156" s="2" t="s">
        <v>152</v>
      </c>
      <c r="EN156" s="2"/>
      <c r="EO156" s="2" t="s">
        <v>3</v>
      </c>
      <c r="EP156" s="2"/>
      <c r="EQ156" s="2">
        <v>131072</v>
      </c>
      <c r="ER156" s="2">
        <v>966.19</v>
      </c>
      <c r="ES156" s="2">
        <v>0</v>
      </c>
      <c r="ET156" s="2">
        <v>0</v>
      </c>
      <c r="EU156" s="2">
        <v>0</v>
      </c>
      <c r="EV156" s="2">
        <v>966.19</v>
      </c>
      <c r="EW156" s="2">
        <v>91.15</v>
      </c>
      <c r="EX156" s="2">
        <v>0</v>
      </c>
      <c r="EY156" s="2">
        <v>0</v>
      </c>
      <c r="EZ156" s="2"/>
      <c r="FA156" s="2"/>
      <c r="FB156" s="2"/>
      <c r="FC156" s="2"/>
      <c r="FD156" s="2"/>
      <c r="FE156" s="2"/>
      <c r="FF156" s="2"/>
      <c r="FG156" s="2"/>
      <c r="FH156" s="2"/>
      <c r="FI156" s="2"/>
      <c r="FJ156" s="2"/>
      <c r="FK156" s="2"/>
      <c r="FL156" s="2"/>
      <c r="FM156" s="2"/>
      <c r="FN156" s="2"/>
      <c r="FO156" s="2"/>
      <c r="FP156" s="2"/>
      <c r="FQ156" s="2">
        <v>0</v>
      </c>
      <c r="FR156" s="2">
        <f t="shared" si="108"/>
        <v>0</v>
      </c>
      <c r="FS156" s="2">
        <v>0</v>
      </c>
      <c r="FT156" s="2"/>
      <c r="FU156" s="2"/>
      <c r="FV156" s="2"/>
      <c r="FW156" s="2"/>
      <c r="FX156" s="2">
        <v>80</v>
      </c>
      <c r="FY156" s="2">
        <v>55</v>
      </c>
      <c r="FZ156" s="2"/>
      <c r="GA156" s="2" t="s">
        <v>3</v>
      </c>
      <c r="GB156" s="2"/>
      <c r="GC156" s="2"/>
      <c r="GD156" s="2">
        <v>0</v>
      </c>
      <c r="GE156" s="2"/>
      <c r="GF156" s="2">
        <v>351886927</v>
      </c>
      <c r="GG156" s="2">
        <v>2</v>
      </c>
      <c r="GH156" s="2">
        <v>1</v>
      </c>
      <c r="GI156" s="2">
        <v>-2</v>
      </c>
      <c r="GJ156" s="2">
        <v>0</v>
      </c>
      <c r="GK156" s="2">
        <f>ROUND(R156*(R12)/100,2)</f>
        <v>0</v>
      </c>
      <c r="GL156" s="2">
        <f t="shared" si="109"/>
        <v>0</v>
      </c>
      <c r="GM156" s="2">
        <f t="shared" si="110"/>
        <v>183.68</v>
      </c>
      <c r="GN156" s="2">
        <f t="shared" si="111"/>
        <v>183.68</v>
      </c>
      <c r="GO156" s="2">
        <f t="shared" si="112"/>
        <v>0</v>
      </c>
      <c r="GP156" s="2">
        <f t="shared" si="113"/>
        <v>0</v>
      </c>
      <c r="GQ156" s="2"/>
      <c r="GR156" s="2">
        <v>0</v>
      </c>
      <c r="GS156" s="2">
        <v>0</v>
      </c>
      <c r="GT156" s="2">
        <v>0</v>
      </c>
      <c r="GU156" s="2" t="s">
        <v>3</v>
      </c>
      <c r="GV156" s="2">
        <f t="shared" si="114"/>
        <v>0</v>
      </c>
      <c r="GW156" s="2">
        <v>1</v>
      </c>
      <c r="GX156" s="2">
        <f t="shared" si="115"/>
        <v>0</v>
      </c>
      <c r="GY156" s="2"/>
      <c r="GZ156" s="2"/>
      <c r="HA156" s="2">
        <v>0</v>
      </c>
      <c r="HB156" s="2">
        <v>0</v>
      </c>
      <c r="HC156" s="2">
        <f t="shared" si="116"/>
        <v>0</v>
      </c>
      <c r="HD156" s="2"/>
      <c r="HE156" s="2" t="s">
        <v>3</v>
      </c>
      <c r="HF156" s="2" t="s">
        <v>3</v>
      </c>
      <c r="HG156" s="2"/>
      <c r="HH156" s="2"/>
      <c r="HI156" s="2"/>
      <c r="HJ156" s="2"/>
      <c r="HK156" s="2"/>
      <c r="HL156" s="2"/>
      <c r="HM156" s="2" t="s">
        <v>3</v>
      </c>
      <c r="HN156" s="2" t="s">
        <v>3</v>
      </c>
      <c r="HO156" s="2" t="s">
        <v>3</v>
      </c>
      <c r="HP156" s="2" t="s">
        <v>3</v>
      </c>
      <c r="HQ156" s="2" t="s">
        <v>3</v>
      </c>
      <c r="HR156" s="2"/>
      <c r="HS156" s="2"/>
      <c r="HT156" s="2"/>
      <c r="HU156" s="2"/>
      <c r="HV156" s="2"/>
      <c r="HW156" s="2"/>
      <c r="HX156" s="2"/>
      <c r="HY156" s="2"/>
      <c r="HZ156" s="2"/>
      <c r="IA156" s="2"/>
      <c r="IB156" s="2"/>
      <c r="IC156" s="2"/>
      <c r="ID156" s="2"/>
      <c r="IE156" s="2"/>
      <c r="IF156" s="2"/>
      <c r="IG156" s="2"/>
      <c r="IH156" s="2"/>
      <c r="II156" s="2"/>
      <c r="IJ156" s="2"/>
      <c r="IK156" s="2">
        <v>0</v>
      </c>
      <c r="IL156" s="2"/>
      <c r="IM156" s="2"/>
      <c r="IN156" s="2"/>
      <c r="IO156" s="2"/>
      <c r="IP156" s="2"/>
      <c r="IQ156" s="2"/>
      <c r="IR156" s="2"/>
      <c r="IS156" s="2"/>
      <c r="IT156" s="2"/>
      <c r="IU156" s="2"/>
    </row>
    <row r="157" spans="1:255" x14ac:dyDescent="0.2">
      <c r="A157">
        <v>17</v>
      </c>
      <c r="B157">
        <v>1</v>
      </c>
      <c r="C157">
        <f>ROW(SmtRes!A74)</f>
        <v>74</v>
      </c>
      <c r="D157">
        <f>ROW(EtalonRes!A76)</f>
        <v>76</v>
      </c>
      <c r="E157" t="s">
        <v>81</v>
      </c>
      <c r="F157" t="s">
        <v>146</v>
      </c>
      <c r="G157" t="s">
        <v>147</v>
      </c>
      <c r="H157" t="s">
        <v>148</v>
      </c>
      <c r="I157">
        <v>8.09E-2</v>
      </c>
      <c r="J157">
        <v>0</v>
      </c>
      <c r="K157">
        <v>8.09E-2</v>
      </c>
      <c r="O157">
        <f t="shared" si="87"/>
        <v>2268.98</v>
      </c>
      <c r="P157">
        <f t="shared" si="88"/>
        <v>0</v>
      </c>
      <c r="Q157">
        <f t="shared" si="117"/>
        <v>0</v>
      </c>
      <c r="R157">
        <f t="shared" si="89"/>
        <v>0</v>
      </c>
      <c r="S157">
        <f t="shared" si="90"/>
        <v>2268.98</v>
      </c>
      <c r="T157">
        <f t="shared" si="91"/>
        <v>0</v>
      </c>
      <c r="U157">
        <f t="shared" si="92"/>
        <v>7.3740350000000001</v>
      </c>
      <c r="V157">
        <f t="shared" si="93"/>
        <v>0</v>
      </c>
      <c r="W157">
        <f t="shared" si="94"/>
        <v>0</v>
      </c>
      <c r="X157">
        <f t="shared" si="95"/>
        <v>1588.29</v>
      </c>
      <c r="Y157">
        <f t="shared" si="96"/>
        <v>930.28</v>
      </c>
      <c r="AA157">
        <v>129761633</v>
      </c>
      <c r="AB157">
        <f t="shared" si="97"/>
        <v>966.19</v>
      </c>
      <c r="AC157">
        <f t="shared" si="118"/>
        <v>0</v>
      </c>
      <c r="AD157">
        <f t="shared" si="119"/>
        <v>0</v>
      </c>
      <c r="AE157">
        <f t="shared" si="120"/>
        <v>0</v>
      </c>
      <c r="AF157">
        <f t="shared" si="121"/>
        <v>966.19</v>
      </c>
      <c r="AG157">
        <f t="shared" si="98"/>
        <v>0</v>
      </c>
      <c r="AH157">
        <f t="shared" si="122"/>
        <v>91.15</v>
      </c>
      <c r="AI157">
        <f t="shared" si="123"/>
        <v>0</v>
      </c>
      <c r="AJ157">
        <f t="shared" si="99"/>
        <v>0</v>
      </c>
      <c r="AK157">
        <v>966.19</v>
      </c>
      <c r="AL157">
        <v>0</v>
      </c>
      <c r="AM157">
        <v>0</v>
      </c>
      <c r="AN157">
        <v>0</v>
      </c>
      <c r="AO157">
        <v>966.19</v>
      </c>
      <c r="AP157">
        <v>0</v>
      </c>
      <c r="AQ157">
        <v>91.15</v>
      </c>
      <c r="AR157">
        <v>0</v>
      </c>
      <c r="AS157">
        <v>0</v>
      </c>
      <c r="AT157">
        <v>70</v>
      </c>
      <c r="AU157">
        <v>41</v>
      </c>
      <c r="AV157">
        <v>1</v>
      </c>
      <c r="AW157">
        <v>1</v>
      </c>
      <c r="AZ157">
        <v>1</v>
      </c>
      <c r="BA157">
        <v>29.03</v>
      </c>
      <c r="BB157">
        <v>1</v>
      </c>
      <c r="BC157">
        <v>1</v>
      </c>
      <c r="BD157" t="s">
        <v>3</v>
      </c>
      <c r="BE157" t="s">
        <v>3</v>
      </c>
      <c r="BF157" t="s">
        <v>3</v>
      </c>
      <c r="BG157" t="s">
        <v>3</v>
      </c>
      <c r="BH157">
        <v>0</v>
      </c>
      <c r="BI157">
        <v>1</v>
      </c>
      <c r="BJ157" t="s">
        <v>149</v>
      </c>
      <c r="BM157">
        <v>438</v>
      </c>
      <c r="BN157">
        <v>0</v>
      </c>
      <c r="BO157" t="s">
        <v>146</v>
      </c>
      <c r="BP157">
        <v>1</v>
      </c>
      <c r="BQ157">
        <v>60</v>
      </c>
      <c r="BR157">
        <v>0</v>
      </c>
      <c r="BS157">
        <v>29.03</v>
      </c>
      <c r="BT157">
        <v>1</v>
      </c>
      <c r="BU157">
        <v>1</v>
      </c>
      <c r="BV157">
        <v>1</v>
      </c>
      <c r="BW157">
        <v>1</v>
      </c>
      <c r="BX157">
        <v>1</v>
      </c>
      <c r="BY157" t="s">
        <v>3</v>
      </c>
      <c r="BZ157">
        <v>70</v>
      </c>
      <c r="CA157">
        <v>41</v>
      </c>
      <c r="CB157" t="s">
        <v>3</v>
      </c>
      <c r="CE157">
        <v>30</v>
      </c>
      <c r="CF157">
        <v>0</v>
      </c>
      <c r="CG157">
        <v>0</v>
      </c>
      <c r="CM157">
        <v>0</v>
      </c>
      <c r="CN157" t="s">
        <v>3</v>
      </c>
      <c r="CO157">
        <v>0</v>
      </c>
      <c r="CP157">
        <f t="shared" si="100"/>
        <v>2268.98</v>
      </c>
      <c r="CQ157">
        <f t="shared" si="101"/>
        <v>0</v>
      </c>
      <c r="CR157">
        <f t="shared" si="124"/>
        <v>0</v>
      </c>
      <c r="CS157">
        <f t="shared" si="102"/>
        <v>0</v>
      </c>
      <c r="CT157">
        <f t="shared" si="103"/>
        <v>28048.5</v>
      </c>
      <c r="CU157">
        <f t="shared" si="104"/>
        <v>0</v>
      </c>
      <c r="CV157">
        <f t="shared" si="105"/>
        <v>91.15</v>
      </c>
      <c r="CW157">
        <f t="shared" si="106"/>
        <v>0</v>
      </c>
      <c r="CX157">
        <f t="shared" si="107"/>
        <v>0</v>
      </c>
      <c r="CY157">
        <f>S157*(BZ157/100)</f>
        <v>1588.2859999999998</v>
      </c>
      <c r="CZ157">
        <f>S157*(CA157/100)</f>
        <v>930.28179999999998</v>
      </c>
      <c r="DC157" t="s">
        <v>3</v>
      </c>
      <c r="DD157" t="s">
        <v>3</v>
      </c>
      <c r="DE157" t="s">
        <v>3</v>
      </c>
      <c r="DF157" t="s">
        <v>3</v>
      </c>
      <c r="DG157" t="s">
        <v>3</v>
      </c>
      <c r="DH157" t="s">
        <v>3</v>
      </c>
      <c r="DI157" t="s">
        <v>3</v>
      </c>
      <c r="DJ157" t="s">
        <v>3</v>
      </c>
      <c r="DK157" t="s">
        <v>3</v>
      </c>
      <c r="DL157" t="s">
        <v>3</v>
      </c>
      <c r="DM157" t="s">
        <v>3</v>
      </c>
      <c r="DN157">
        <v>80</v>
      </c>
      <c r="DO157">
        <v>55</v>
      </c>
      <c r="DP157">
        <v>1</v>
      </c>
      <c r="DQ157">
        <v>1</v>
      </c>
      <c r="DU157">
        <v>1005</v>
      </c>
      <c r="DV157" t="s">
        <v>148</v>
      </c>
      <c r="DW157" t="s">
        <v>148</v>
      </c>
      <c r="DX157">
        <v>100</v>
      </c>
      <c r="DZ157" t="s">
        <v>3</v>
      </c>
      <c r="EA157" t="s">
        <v>3</v>
      </c>
      <c r="EB157" t="s">
        <v>3</v>
      </c>
      <c r="EC157" t="s">
        <v>3</v>
      </c>
      <c r="EE157">
        <v>126051899</v>
      </c>
      <c r="EF157">
        <v>60</v>
      </c>
      <c r="EG157" t="s">
        <v>150</v>
      </c>
      <c r="EH157">
        <v>0</v>
      </c>
      <c r="EI157" t="s">
        <v>3</v>
      </c>
      <c r="EJ157">
        <v>1</v>
      </c>
      <c r="EK157">
        <v>438</v>
      </c>
      <c r="EL157" t="s">
        <v>151</v>
      </c>
      <c r="EM157" t="s">
        <v>152</v>
      </c>
      <c r="EO157" t="s">
        <v>3</v>
      </c>
      <c r="EQ157">
        <v>131072</v>
      </c>
      <c r="ER157">
        <v>966.19</v>
      </c>
      <c r="ES157">
        <v>0</v>
      </c>
      <c r="ET157">
        <v>0</v>
      </c>
      <c r="EU157">
        <v>0</v>
      </c>
      <c r="EV157">
        <v>966.19</v>
      </c>
      <c r="EW157">
        <v>91.15</v>
      </c>
      <c r="EX157">
        <v>0</v>
      </c>
      <c r="EY157">
        <v>0</v>
      </c>
      <c r="FQ157">
        <v>0</v>
      </c>
      <c r="FR157">
        <f t="shared" si="108"/>
        <v>0</v>
      </c>
      <c r="FS157">
        <v>0</v>
      </c>
      <c r="FX157">
        <v>80</v>
      </c>
      <c r="FY157">
        <v>55</v>
      </c>
      <c r="GA157" t="s">
        <v>3</v>
      </c>
      <c r="GD157">
        <v>0</v>
      </c>
      <c r="GF157">
        <v>351886927</v>
      </c>
      <c r="GG157">
        <v>2</v>
      </c>
      <c r="GH157">
        <v>1</v>
      </c>
      <c r="GI157">
        <v>2</v>
      </c>
      <c r="GJ157">
        <v>0</v>
      </c>
      <c r="GK157">
        <f>ROUND(R157*(S12)/100,2)</f>
        <v>0</v>
      </c>
      <c r="GL157">
        <f t="shared" si="109"/>
        <v>0</v>
      </c>
      <c r="GM157">
        <f t="shared" si="110"/>
        <v>4787.55</v>
      </c>
      <c r="GN157">
        <f t="shared" si="111"/>
        <v>4787.55</v>
      </c>
      <c r="GO157">
        <f t="shared" si="112"/>
        <v>0</v>
      </c>
      <c r="GP157">
        <f t="shared" si="113"/>
        <v>0</v>
      </c>
      <c r="GR157">
        <v>0</v>
      </c>
      <c r="GS157">
        <v>3</v>
      </c>
      <c r="GT157">
        <v>0</v>
      </c>
      <c r="GU157" t="s">
        <v>3</v>
      </c>
      <c r="GV157">
        <f t="shared" si="114"/>
        <v>0</v>
      </c>
      <c r="GW157">
        <v>1</v>
      </c>
      <c r="GX157">
        <f t="shared" si="115"/>
        <v>0</v>
      </c>
      <c r="HA157">
        <v>0</v>
      </c>
      <c r="HB157">
        <v>0</v>
      </c>
      <c r="HC157">
        <f t="shared" si="116"/>
        <v>0</v>
      </c>
      <c r="HE157" t="s">
        <v>3</v>
      </c>
      <c r="HF157" t="s">
        <v>3</v>
      </c>
      <c r="HM157" t="s">
        <v>3</v>
      </c>
      <c r="HN157" t="s">
        <v>3</v>
      </c>
      <c r="HO157" t="s">
        <v>3</v>
      </c>
      <c r="HP157" t="s">
        <v>3</v>
      </c>
      <c r="HQ157" t="s">
        <v>3</v>
      </c>
      <c r="IK157">
        <v>0</v>
      </c>
    </row>
    <row r="158" spans="1:255" x14ac:dyDescent="0.2">
      <c r="A158" s="2">
        <v>17</v>
      </c>
      <c r="B158" s="2">
        <v>1</v>
      </c>
      <c r="C158" s="2">
        <f>ROW(SmtRes!A75)</f>
        <v>75</v>
      </c>
      <c r="D158" s="2">
        <f>ROW(EtalonRes!A77)</f>
        <v>77</v>
      </c>
      <c r="E158" s="2" t="s">
        <v>96</v>
      </c>
      <c r="F158" s="2" t="s">
        <v>153</v>
      </c>
      <c r="G158" s="2" t="s">
        <v>154</v>
      </c>
      <c r="H158" s="2" t="s">
        <v>148</v>
      </c>
      <c r="I158" s="2">
        <v>2.18E-2</v>
      </c>
      <c r="J158" s="2">
        <v>0</v>
      </c>
      <c r="K158" s="2">
        <v>2.18E-2</v>
      </c>
      <c r="L158" s="2"/>
      <c r="M158" s="2"/>
      <c r="N158" s="2"/>
      <c r="O158" s="2">
        <f t="shared" si="87"/>
        <v>35.020000000000003</v>
      </c>
      <c r="P158" s="2">
        <f t="shared" si="88"/>
        <v>0</v>
      </c>
      <c r="Q158" s="2">
        <f t="shared" si="117"/>
        <v>0</v>
      </c>
      <c r="R158" s="2">
        <f t="shared" si="89"/>
        <v>0</v>
      </c>
      <c r="S158" s="2">
        <f t="shared" si="90"/>
        <v>35.020000000000003</v>
      </c>
      <c r="T158" s="2">
        <f t="shared" si="91"/>
        <v>0</v>
      </c>
      <c r="U158" s="2">
        <f t="shared" si="92"/>
        <v>3.303572</v>
      </c>
      <c r="V158" s="2">
        <f t="shared" si="93"/>
        <v>0</v>
      </c>
      <c r="W158" s="2">
        <f t="shared" si="94"/>
        <v>0</v>
      </c>
      <c r="X158" s="2">
        <f t="shared" si="95"/>
        <v>28.02</v>
      </c>
      <c r="Y158" s="2">
        <f t="shared" si="96"/>
        <v>19.260000000000002</v>
      </c>
      <c r="Z158" s="2"/>
      <c r="AA158" s="2">
        <v>129761636</v>
      </c>
      <c r="AB158" s="2">
        <f t="shared" si="97"/>
        <v>1606.32</v>
      </c>
      <c r="AC158" s="2">
        <f t="shared" si="118"/>
        <v>0</v>
      </c>
      <c r="AD158" s="2">
        <f t="shared" si="119"/>
        <v>0</v>
      </c>
      <c r="AE158" s="2">
        <f t="shared" si="120"/>
        <v>0</v>
      </c>
      <c r="AF158" s="2">
        <f t="shared" si="121"/>
        <v>1606.32</v>
      </c>
      <c r="AG158" s="2">
        <f t="shared" si="98"/>
        <v>0</v>
      </c>
      <c r="AH158" s="2">
        <f t="shared" si="122"/>
        <v>151.54</v>
      </c>
      <c r="AI158" s="2">
        <f t="shared" si="123"/>
        <v>0</v>
      </c>
      <c r="AJ158" s="2">
        <f t="shared" si="99"/>
        <v>0</v>
      </c>
      <c r="AK158" s="2">
        <v>1606.32</v>
      </c>
      <c r="AL158" s="2">
        <v>0</v>
      </c>
      <c r="AM158" s="2">
        <v>0</v>
      </c>
      <c r="AN158" s="2">
        <v>0</v>
      </c>
      <c r="AO158" s="2">
        <v>1606.32</v>
      </c>
      <c r="AP158" s="2">
        <v>0</v>
      </c>
      <c r="AQ158" s="2">
        <v>151.54</v>
      </c>
      <c r="AR158" s="2">
        <v>0</v>
      </c>
      <c r="AS158" s="2">
        <v>0</v>
      </c>
      <c r="AT158" s="2">
        <v>80</v>
      </c>
      <c r="AU158" s="2">
        <v>55</v>
      </c>
      <c r="AV158" s="2">
        <v>1</v>
      </c>
      <c r="AW158" s="2">
        <v>1</v>
      </c>
      <c r="AX158" s="2"/>
      <c r="AY158" s="2"/>
      <c r="AZ158" s="2">
        <v>1</v>
      </c>
      <c r="BA158" s="2">
        <v>1</v>
      </c>
      <c r="BB158" s="2">
        <v>1</v>
      </c>
      <c r="BC158" s="2">
        <v>1</v>
      </c>
      <c r="BD158" s="2" t="s">
        <v>3</v>
      </c>
      <c r="BE158" s="2" t="s">
        <v>3</v>
      </c>
      <c r="BF158" s="2" t="s">
        <v>3</v>
      </c>
      <c r="BG158" s="2" t="s">
        <v>3</v>
      </c>
      <c r="BH158" s="2">
        <v>0</v>
      </c>
      <c r="BI158" s="2">
        <v>1</v>
      </c>
      <c r="BJ158" s="2" t="s">
        <v>155</v>
      </c>
      <c r="BK158" s="2"/>
      <c r="BL158" s="2"/>
      <c r="BM158" s="2">
        <v>438</v>
      </c>
      <c r="BN158" s="2">
        <v>0</v>
      </c>
      <c r="BO158" s="2" t="s">
        <v>3</v>
      </c>
      <c r="BP158" s="2">
        <v>0</v>
      </c>
      <c r="BQ158" s="2">
        <v>60</v>
      </c>
      <c r="BR158" s="2">
        <v>0</v>
      </c>
      <c r="BS158" s="2">
        <v>1</v>
      </c>
      <c r="BT158" s="2">
        <v>1</v>
      </c>
      <c r="BU158" s="2">
        <v>1</v>
      </c>
      <c r="BV158" s="2">
        <v>1</v>
      </c>
      <c r="BW158" s="2">
        <v>1</v>
      </c>
      <c r="BX158" s="2">
        <v>1</v>
      </c>
      <c r="BY158" s="2" t="s">
        <v>3</v>
      </c>
      <c r="BZ158" s="2">
        <v>80</v>
      </c>
      <c r="CA158" s="2">
        <v>55</v>
      </c>
      <c r="CB158" s="2" t="s">
        <v>3</v>
      </c>
      <c r="CC158" s="2"/>
      <c r="CD158" s="2"/>
      <c r="CE158" s="2">
        <v>30</v>
      </c>
      <c r="CF158" s="2">
        <v>0</v>
      </c>
      <c r="CG158" s="2">
        <v>0</v>
      </c>
      <c r="CH158" s="2"/>
      <c r="CI158" s="2"/>
      <c r="CJ158" s="2"/>
      <c r="CK158" s="2"/>
      <c r="CL158" s="2"/>
      <c r="CM158" s="2">
        <v>0</v>
      </c>
      <c r="CN158" s="2" t="s">
        <v>3</v>
      </c>
      <c r="CO158" s="2">
        <v>0</v>
      </c>
      <c r="CP158" s="2">
        <f t="shared" si="100"/>
        <v>35.020000000000003</v>
      </c>
      <c r="CQ158" s="2">
        <f t="shared" si="101"/>
        <v>0</v>
      </c>
      <c r="CR158" s="2">
        <f t="shared" si="124"/>
        <v>0</v>
      </c>
      <c r="CS158" s="2">
        <f t="shared" si="102"/>
        <v>0</v>
      </c>
      <c r="CT158" s="2">
        <f t="shared" si="103"/>
        <v>1606.32</v>
      </c>
      <c r="CU158" s="2">
        <f t="shared" si="104"/>
        <v>0</v>
      </c>
      <c r="CV158" s="2">
        <f t="shared" si="105"/>
        <v>151.54</v>
      </c>
      <c r="CW158" s="2">
        <f t="shared" si="106"/>
        <v>0</v>
      </c>
      <c r="CX158" s="2">
        <f t="shared" si="107"/>
        <v>0</v>
      </c>
      <c r="CY158" s="2">
        <f>((S158*BZ158)/100)</f>
        <v>28.016000000000005</v>
      </c>
      <c r="CZ158" s="2">
        <f>((S158*CA158)/100)</f>
        <v>19.261000000000003</v>
      </c>
      <c r="DA158" s="2"/>
      <c r="DB158" s="2"/>
      <c r="DC158" s="2" t="s">
        <v>3</v>
      </c>
      <c r="DD158" s="2" t="s">
        <v>3</v>
      </c>
      <c r="DE158" s="2" t="s">
        <v>3</v>
      </c>
      <c r="DF158" s="2" t="s">
        <v>3</v>
      </c>
      <c r="DG158" s="2" t="s">
        <v>3</v>
      </c>
      <c r="DH158" s="2" t="s">
        <v>3</v>
      </c>
      <c r="DI158" s="2" t="s">
        <v>3</v>
      </c>
      <c r="DJ158" s="2" t="s">
        <v>3</v>
      </c>
      <c r="DK158" s="2" t="s">
        <v>3</v>
      </c>
      <c r="DL158" s="2" t="s">
        <v>3</v>
      </c>
      <c r="DM158" s="2" t="s">
        <v>3</v>
      </c>
      <c r="DN158" s="2">
        <v>0</v>
      </c>
      <c r="DO158" s="2">
        <v>0</v>
      </c>
      <c r="DP158" s="2">
        <v>1</v>
      </c>
      <c r="DQ158" s="2">
        <v>1</v>
      </c>
      <c r="DR158" s="2"/>
      <c r="DS158" s="2"/>
      <c r="DT158" s="2"/>
      <c r="DU158" s="2">
        <v>1005</v>
      </c>
      <c r="DV158" s="2" t="s">
        <v>148</v>
      </c>
      <c r="DW158" s="2" t="s">
        <v>148</v>
      </c>
      <c r="DX158" s="2">
        <v>100</v>
      </c>
      <c r="DY158" s="2"/>
      <c r="DZ158" s="2" t="s">
        <v>3</v>
      </c>
      <c r="EA158" s="2" t="s">
        <v>3</v>
      </c>
      <c r="EB158" s="2" t="s">
        <v>3</v>
      </c>
      <c r="EC158" s="2" t="s">
        <v>3</v>
      </c>
      <c r="ED158" s="2"/>
      <c r="EE158" s="2">
        <v>126051899</v>
      </c>
      <c r="EF158" s="2">
        <v>60</v>
      </c>
      <c r="EG158" s="2" t="s">
        <v>150</v>
      </c>
      <c r="EH158" s="2">
        <v>0</v>
      </c>
      <c r="EI158" s="2" t="s">
        <v>3</v>
      </c>
      <c r="EJ158" s="2">
        <v>1</v>
      </c>
      <c r="EK158" s="2">
        <v>438</v>
      </c>
      <c r="EL158" s="2" t="s">
        <v>151</v>
      </c>
      <c r="EM158" s="2" t="s">
        <v>152</v>
      </c>
      <c r="EN158" s="2"/>
      <c r="EO158" s="2" t="s">
        <v>3</v>
      </c>
      <c r="EP158" s="2"/>
      <c r="EQ158" s="2">
        <v>131072</v>
      </c>
      <c r="ER158" s="2">
        <v>1606.32</v>
      </c>
      <c r="ES158" s="2">
        <v>0</v>
      </c>
      <c r="ET158" s="2">
        <v>0</v>
      </c>
      <c r="EU158" s="2">
        <v>0</v>
      </c>
      <c r="EV158" s="2">
        <v>1606.32</v>
      </c>
      <c r="EW158" s="2">
        <v>151.54</v>
      </c>
      <c r="EX158" s="2">
        <v>0</v>
      </c>
      <c r="EY158" s="2">
        <v>0</v>
      </c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>
        <v>0</v>
      </c>
      <c r="FR158" s="2">
        <f t="shared" si="108"/>
        <v>0</v>
      </c>
      <c r="FS158" s="2">
        <v>0</v>
      </c>
      <c r="FT158" s="2"/>
      <c r="FU158" s="2"/>
      <c r="FV158" s="2"/>
      <c r="FW158" s="2"/>
      <c r="FX158" s="2">
        <v>80</v>
      </c>
      <c r="FY158" s="2">
        <v>55</v>
      </c>
      <c r="FZ158" s="2"/>
      <c r="GA158" s="2" t="s">
        <v>3</v>
      </c>
      <c r="GB158" s="2"/>
      <c r="GC158" s="2"/>
      <c r="GD158" s="2">
        <v>0</v>
      </c>
      <c r="GE158" s="2"/>
      <c r="GF158" s="2">
        <v>-1168513765</v>
      </c>
      <c r="GG158" s="2">
        <v>2</v>
      </c>
      <c r="GH158" s="2">
        <v>1</v>
      </c>
      <c r="GI158" s="2">
        <v>-2</v>
      </c>
      <c r="GJ158" s="2">
        <v>0</v>
      </c>
      <c r="GK158" s="2">
        <f>ROUND(R158*(R12)/100,2)</f>
        <v>0</v>
      </c>
      <c r="GL158" s="2">
        <f t="shared" si="109"/>
        <v>0</v>
      </c>
      <c r="GM158" s="2">
        <f t="shared" si="110"/>
        <v>82.3</v>
      </c>
      <c r="GN158" s="2">
        <f t="shared" si="111"/>
        <v>82.3</v>
      </c>
      <c r="GO158" s="2">
        <f t="shared" si="112"/>
        <v>0</v>
      </c>
      <c r="GP158" s="2">
        <f t="shared" si="113"/>
        <v>0</v>
      </c>
      <c r="GQ158" s="2"/>
      <c r="GR158" s="2">
        <v>0</v>
      </c>
      <c r="GS158" s="2">
        <v>0</v>
      </c>
      <c r="GT158" s="2">
        <v>0</v>
      </c>
      <c r="GU158" s="2" t="s">
        <v>3</v>
      </c>
      <c r="GV158" s="2">
        <f t="shared" si="114"/>
        <v>0</v>
      </c>
      <c r="GW158" s="2">
        <v>1</v>
      </c>
      <c r="GX158" s="2">
        <f t="shared" si="115"/>
        <v>0</v>
      </c>
      <c r="GY158" s="2"/>
      <c r="GZ158" s="2"/>
      <c r="HA158" s="2">
        <v>0</v>
      </c>
      <c r="HB158" s="2">
        <v>0</v>
      </c>
      <c r="HC158" s="2">
        <f t="shared" si="116"/>
        <v>0</v>
      </c>
      <c r="HD158" s="2"/>
      <c r="HE158" s="2" t="s">
        <v>3</v>
      </c>
      <c r="HF158" s="2" t="s">
        <v>3</v>
      </c>
      <c r="HG158" s="2"/>
      <c r="HH158" s="2"/>
      <c r="HI158" s="2"/>
      <c r="HJ158" s="2"/>
      <c r="HK158" s="2"/>
      <c r="HL158" s="2"/>
      <c r="HM158" s="2" t="s">
        <v>3</v>
      </c>
      <c r="HN158" s="2" t="s">
        <v>3</v>
      </c>
      <c r="HO158" s="2" t="s">
        <v>3</v>
      </c>
      <c r="HP158" s="2" t="s">
        <v>3</v>
      </c>
      <c r="HQ158" s="2" t="s">
        <v>3</v>
      </c>
      <c r="HR158" s="2"/>
      <c r="HS158" s="2"/>
      <c r="HT158" s="2"/>
      <c r="HU158" s="2"/>
      <c r="HV158" s="2"/>
      <c r="HW158" s="2"/>
      <c r="HX158" s="2"/>
      <c r="HY158" s="2"/>
      <c r="HZ158" s="2"/>
      <c r="IA158" s="2"/>
      <c r="IB158" s="2"/>
      <c r="IC158" s="2"/>
      <c r="ID158" s="2"/>
      <c r="IE158" s="2"/>
      <c r="IF158" s="2"/>
      <c r="IG158" s="2"/>
      <c r="IH158" s="2"/>
      <c r="II158" s="2"/>
      <c r="IJ158" s="2"/>
      <c r="IK158" s="2">
        <v>0</v>
      </c>
      <c r="IL158" s="2"/>
      <c r="IM158" s="2"/>
      <c r="IN158" s="2"/>
      <c r="IO158" s="2"/>
      <c r="IP158" s="2"/>
      <c r="IQ158" s="2"/>
      <c r="IR158" s="2"/>
      <c r="IS158" s="2"/>
      <c r="IT158" s="2"/>
      <c r="IU158" s="2"/>
    </row>
    <row r="159" spans="1:255" x14ac:dyDescent="0.2">
      <c r="A159">
        <v>17</v>
      </c>
      <c r="B159">
        <v>1</v>
      </c>
      <c r="C159">
        <f>ROW(SmtRes!A76)</f>
        <v>76</v>
      </c>
      <c r="D159">
        <f>ROW(EtalonRes!A78)</f>
        <v>78</v>
      </c>
      <c r="E159" t="s">
        <v>96</v>
      </c>
      <c r="F159" t="s">
        <v>153</v>
      </c>
      <c r="G159" t="s">
        <v>154</v>
      </c>
      <c r="H159" t="s">
        <v>148</v>
      </c>
      <c r="I159">
        <v>2.18E-2</v>
      </c>
      <c r="J159">
        <v>0</v>
      </c>
      <c r="K159">
        <v>2.18E-2</v>
      </c>
      <c r="O159">
        <f t="shared" si="87"/>
        <v>1016.63</v>
      </c>
      <c r="P159">
        <f t="shared" si="88"/>
        <v>0</v>
      </c>
      <c r="Q159">
        <f t="shared" si="117"/>
        <v>0</v>
      </c>
      <c r="R159">
        <f t="shared" si="89"/>
        <v>0</v>
      </c>
      <c r="S159">
        <f t="shared" si="90"/>
        <v>1016.63</v>
      </c>
      <c r="T159">
        <f t="shared" si="91"/>
        <v>0</v>
      </c>
      <c r="U159">
        <f t="shared" si="92"/>
        <v>3.303572</v>
      </c>
      <c r="V159">
        <f t="shared" si="93"/>
        <v>0</v>
      </c>
      <c r="W159">
        <f t="shared" si="94"/>
        <v>0</v>
      </c>
      <c r="X159">
        <f t="shared" si="95"/>
        <v>711.64</v>
      </c>
      <c r="Y159">
        <f t="shared" si="96"/>
        <v>416.82</v>
      </c>
      <c r="AA159">
        <v>129761633</v>
      </c>
      <c r="AB159">
        <f t="shared" si="97"/>
        <v>1606.32</v>
      </c>
      <c r="AC159">
        <f t="shared" si="118"/>
        <v>0</v>
      </c>
      <c r="AD159">
        <f t="shared" si="119"/>
        <v>0</v>
      </c>
      <c r="AE159">
        <f t="shared" si="120"/>
        <v>0</v>
      </c>
      <c r="AF159">
        <f t="shared" si="121"/>
        <v>1606.32</v>
      </c>
      <c r="AG159">
        <f t="shared" si="98"/>
        <v>0</v>
      </c>
      <c r="AH159">
        <f t="shared" si="122"/>
        <v>151.54</v>
      </c>
      <c r="AI159">
        <f t="shared" si="123"/>
        <v>0</v>
      </c>
      <c r="AJ159">
        <f t="shared" si="99"/>
        <v>0</v>
      </c>
      <c r="AK159">
        <v>1606.32</v>
      </c>
      <c r="AL159">
        <v>0</v>
      </c>
      <c r="AM159">
        <v>0</v>
      </c>
      <c r="AN159">
        <v>0</v>
      </c>
      <c r="AO159">
        <v>1606.32</v>
      </c>
      <c r="AP159">
        <v>0</v>
      </c>
      <c r="AQ159">
        <v>151.54</v>
      </c>
      <c r="AR159">
        <v>0</v>
      </c>
      <c r="AS159">
        <v>0</v>
      </c>
      <c r="AT159">
        <v>70</v>
      </c>
      <c r="AU159">
        <v>41</v>
      </c>
      <c r="AV159">
        <v>1</v>
      </c>
      <c r="AW159">
        <v>1</v>
      </c>
      <c r="AZ159">
        <v>1</v>
      </c>
      <c r="BA159">
        <v>29.03</v>
      </c>
      <c r="BB159">
        <v>1</v>
      </c>
      <c r="BC159">
        <v>1</v>
      </c>
      <c r="BD159" t="s">
        <v>3</v>
      </c>
      <c r="BE159" t="s">
        <v>3</v>
      </c>
      <c r="BF159" t="s">
        <v>3</v>
      </c>
      <c r="BG159" t="s">
        <v>3</v>
      </c>
      <c r="BH159">
        <v>0</v>
      </c>
      <c r="BI159">
        <v>1</v>
      </c>
      <c r="BJ159" t="s">
        <v>155</v>
      </c>
      <c r="BM159">
        <v>438</v>
      </c>
      <c r="BN159">
        <v>0</v>
      </c>
      <c r="BO159" t="s">
        <v>153</v>
      </c>
      <c r="BP159">
        <v>1</v>
      </c>
      <c r="BQ159">
        <v>60</v>
      </c>
      <c r="BR159">
        <v>0</v>
      </c>
      <c r="BS159">
        <v>29.03</v>
      </c>
      <c r="BT159">
        <v>1</v>
      </c>
      <c r="BU159">
        <v>1</v>
      </c>
      <c r="BV159">
        <v>1</v>
      </c>
      <c r="BW159">
        <v>1</v>
      </c>
      <c r="BX159">
        <v>1</v>
      </c>
      <c r="BY159" t="s">
        <v>3</v>
      </c>
      <c r="BZ159">
        <v>70</v>
      </c>
      <c r="CA159">
        <v>41</v>
      </c>
      <c r="CB159" t="s">
        <v>3</v>
      </c>
      <c r="CE159">
        <v>30</v>
      </c>
      <c r="CF159">
        <v>0</v>
      </c>
      <c r="CG159">
        <v>0</v>
      </c>
      <c r="CM159">
        <v>0</v>
      </c>
      <c r="CN159" t="s">
        <v>3</v>
      </c>
      <c r="CO159">
        <v>0</v>
      </c>
      <c r="CP159">
        <f t="shared" si="100"/>
        <v>1016.63</v>
      </c>
      <c r="CQ159">
        <f t="shared" si="101"/>
        <v>0</v>
      </c>
      <c r="CR159">
        <f t="shared" si="124"/>
        <v>0</v>
      </c>
      <c r="CS159">
        <f t="shared" si="102"/>
        <v>0</v>
      </c>
      <c r="CT159">
        <f t="shared" si="103"/>
        <v>46631.47</v>
      </c>
      <c r="CU159">
        <f t="shared" si="104"/>
        <v>0</v>
      </c>
      <c r="CV159">
        <f t="shared" si="105"/>
        <v>151.54</v>
      </c>
      <c r="CW159">
        <f t="shared" si="106"/>
        <v>0</v>
      </c>
      <c r="CX159">
        <f t="shared" si="107"/>
        <v>0</v>
      </c>
      <c r="CY159">
        <f>S159*(BZ159/100)</f>
        <v>711.64099999999996</v>
      </c>
      <c r="CZ159">
        <f>S159*(CA159/100)</f>
        <v>416.81829999999997</v>
      </c>
      <c r="DC159" t="s">
        <v>3</v>
      </c>
      <c r="DD159" t="s">
        <v>3</v>
      </c>
      <c r="DE159" t="s">
        <v>3</v>
      </c>
      <c r="DF159" t="s">
        <v>3</v>
      </c>
      <c r="DG159" t="s">
        <v>3</v>
      </c>
      <c r="DH159" t="s">
        <v>3</v>
      </c>
      <c r="DI159" t="s">
        <v>3</v>
      </c>
      <c r="DJ159" t="s">
        <v>3</v>
      </c>
      <c r="DK159" t="s">
        <v>3</v>
      </c>
      <c r="DL159" t="s">
        <v>3</v>
      </c>
      <c r="DM159" t="s">
        <v>3</v>
      </c>
      <c r="DN159">
        <v>80</v>
      </c>
      <c r="DO159">
        <v>55</v>
      </c>
      <c r="DP159">
        <v>1</v>
      </c>
      <c r="DQ159">
        <v>1</v>
      </c>
      <c r="DU159">
        <v>1005</v>
      </c>
      <c r="DV159" t="s">
        <v>148</v>
      </c>
      <c r="DW159" t="s">
        <v>148</v>
      </c>
      <c r="DX159">
        <v>100</v>
      </c>
      <c r="DZ159" t="s">
        <v>3</v>
      </c>
      <c r="EA159" t="s">
        <v>3</v>
      </c>
      <c r="EB159" t="s">
        <v>3</v>
      </c>
      <c r="EC159" t="s">
        <v>3</v>
      </c>
      <c r="EE159">
        <v>126051899</v>
      </c>
      <c r="EF159">
        <v>60</v>
      </c>
      <c r="EG159" t="s">
        <v>150</v>
      </c>
      <c r="EH159">
        <v>0</v>
      </c>
      <c r="EI159" t="s">
        <v>3</v>
      </c>
      <c r="EJ159">
        <v>1</v>
      </c>
      <c r="EK159">
        <v>438</v>
      </c>
      <c r="EL159" t="s">
        <v>151</v>
      </c>
      <c r="EM159" t="s">
        <v>152</v>
      </c>
      <c r="EO159" t="s">
        <v>3</v>
      </c>
      <c r="EQ159">
        <v>131072</v>
      </c>
      <c r="ER159">
        <v>1606.32</v>
      </c>
      <c r="ES159">
        <v>0</v>
      </c>
      <c r="ET159">
        <v>0</v>
      </c>
      <c r="EU159">
        <v>0</v>
      </c>
      <c r="EV159">
        <v>1606.32</v>
      </c>
      <c r="EW159">
        <v>151.54</v>
      </c>
      <c r="EX159">
        <v>0</v>
      </c>
      <c r="EY159">
        <v>0</v>
      </c>
      <c r="FQ159">
        <v>0</v>
      </c>
      <c r="FR159">
        <f t="shared" si="108"/>
        <v>0</v>
      </c>
      <c r="FS159">
        <v>0</v>
      </c>
      <c r="FX159">
        <v>80</v>
      </c>
      <c r="FY159">
        <v>55</v>
      </c>
      <c r="GA159" t="s">
        <v>3</v>
      </c>
      <c r="GD159">
        <v>0</v>
      </c>
      <c r="GF159">
        <v>-1168513765</v>
      </c>
      <c r="GG159">
        <v>2</v>
      </c>
      <c r="GH159">
        <v>1</v>
      </c>
      <c r="GI159">
        <v>2</v>
      </c>
      <c r="GJ159">
        <v>0</v>
      </c>
      <c r="GK159">
        <f>ROUND(R159*(S12)/100,2)</f>
        <v>0</v>
      </c>
      <c r="GL159">
        <f t="shared" si="109"/>
        <v>0</v>
      </c>
      <c r="GM159">
        <f t="shared" si="110"/>
        <v>2145.09</v>
      </c>
      <c r="GN159">
        <f t="shared" si="111"/>
        <v>2145.09</v>
      </c>
      <c r="GO159">
        <f t="shared" si="112"/>
        <v>0</v>
      </c>
      <c r="GP159">
        <f t="shared" si="113"/>
        <v>0</v>
      </c>
      <c r="GR159">
        <v>0</v>
      </c>
      <c r="GS159">
        <v>3</v>
      </c>
      <c r="GT159">
        <v>0</v>
      </c>
      <c r="GU159" t="s">
        <v>3</v>
      </c>
      <c r="GV159">
        <f t="shared" si="114"/>
        <v>0</v>
      </c>
      <c r="GW159">
        <v>1</v>
      </c>
      <c r="GX159">
        <f t="shared" si="115"/>
        <v>0</v>
      </c>
      <c r="HA159">
        <v>0</v>
      </c>
      <c r="HB159">
        <v>0</v>
      </c>
      <c r="HC159">
        <f t="shared" si="116"/>
        <v>0</v>
      </c>
      <c r="HE159" t="s">
        <v>3</v>
      </c>
      <c r="HF159" t="s">
        <v>3</v>
      </c>
      <c r="HM159" t="s">
        <v>3</v>
      </c>
      <c r="HN159" t="s">
        <v>3</v>
      </c>
      <c r="HO159" t="s">
        <v>3</v>
      </c>
      <c r="HP159" t="s">
        <v>3</v>
      </c>
      <c r="HQ159" t="s">
        <v>3</v>
      </c>
      <c r="IK159">
        <v>0</v>
      </c>
    </row>
    <row r="160" spans="1:255" x14ac:dyDescent="0.2">
      <c r="A160" s="2">
        <v>17</v>
      </c>
      <c r="B160" s="2">
        <v>1</v>
      </c>
      <c r="C160" s="2">
        <f>ROW(SmtRes!A78)</f>
        <v>78</v>
      </c>
      <c r="D160" s="2">
        <f>ROW(EtalonRes!A80)</f>
        <v>80</v>
      </c>
      <c r="E160" s="2" t="s">
        <v>104</v>
      </c>
      <c r="F160" s="2" t="s">
        <v>156</v>
      </c>
      <c r="G160" s="2" t="s">
        <v>157</v>
      </c>
      <c r="H160" s="2" t="s">
        <v>158</v>
      </c>
      <c r="I160" s="2">
        <v>6.2</v>
      </c>
      <c r="J160" s="2">
        <v>0</v>
      </c>
      <c r="K160" s="2">
        <v>6.2</v>
      </c>
      <c r="L160" s="2"/>
      <c r="M160" s="2"/>
      <c r="N160" s="2"/>
      <c r="O160" s="2">
        <f t="shared" si="87"/>
        <v>1006.01</v>
      </c>
      <c r="P160" s="2">
        <f t="shared" si="88"/>
        <v>0</v>
      </c>
      <c r="Q160" s="2">
        <f t="shared" si="117"/>
        <v>0</v>
      </c>
      <c r="R160" s="2">
        <f t="shared" si="89"/>
        <v>0</v>
      </c>
      <c r="S160" s="2">
        <f t="shared" si="90"/>
        <v>1006.01</v>
      </c>
      <c r="T160" s="2">
        <f t="shared" si="91"/>
        <v>0</v>
      </c>
      <c r="U160" s="2">
        <f t="shared" si="92"/>
        <v>98.456000000000003</v>
      </c>
      <c r="V160" s="2">
        <f t="shared" si="93"/>
        <v>0</v>
      </c>
      <c r="W160" s="2">
        <f t="shared" si="94"/>
        <v>0</v>
      </c>
      <c r="X160" s="2">
        <f t="shared" si="95"/>
        <v>804.81</v>
      </c>
      <c r="Y160" s="2">
        <f t="shared" si="96"/>
        <v>553.30999999999995</v>
      </c>
      <c r="Z160" s="2"/>
      <c r="AA160" s="2">
        <v>129761636</v>
      </c>
      <c r="AB160" s="2">
        <f t="shared" si="97"/>
        <v>162.26</v>
      </c>
      <c r="AC160" s="2">
        <f t="shared" si="118"/>
        <v>0</v>
      </c>
      <c r="AD160" s="2">
        <f t="shared" si="119"/>
        <v>0</v>
      </c>
      <c r="AE160" s="2">
        <f t="shared" si="120"/>
        <v>0</v>
      </c>
      <c r="AF160" s="2">
        <f t="shared" si="121"/>
        <v>162.26</v>
      </c>
      <c r="AG160" s="2">
        <f t="shared" si="98"/>
        <v>0</v>
      </c>
      <c r="AH160" s="2">
        <f t="shared" si="122"/>
        <v>15.88</v>
      </c>
      <c r="AI160" s="2">
        <f t="shared" si="123"/>
        <v>0</v>
      </c>
      <c r="AJ160" s="2">
        <f t="shared" si="99"/>
        <v>0</v>
      </c>
      <c r="AK160" s="2">
        <v>162.26</v>
      </c>
      <c r="AL160" s="2">
        <v>0</v>
      </c>
      <c r="AM160" s="2">
        <v>0</v>
      </c>
      <c r="AN160" s="2">
        <v>0</v>
      </c>
      <c r="AO160" s="2">
        <v>162.26</v>
      </c>
      <c r="AP160" s="2">
        <v>0</v>
      </c>
      <c r="AQ160" s="2">
        <v>15.88</v>
      </c>
      <c r="AR160" s="2">
        <v>0</v>
      </c>
      <c r="AS160" s="2">
        <v>0</v>
      </c>
      <c r="AT160" s="2">
        <v>80</v>
      </c>
      <c r="AU160" s="2">
        <v>55</v>
      </c>
      <c r="AV160" s="2">
        <v>1</v>
      </c>
      <c r="AW160" s="2">
        <v>1</v>
      </c>
      <c r="AX160" s="2"/>
      <c r="AY160" s="2"/>
      <c r="AZ160" s="2">
        <v>1</v>
      </c>
      <c r="BA160" s="2">
        <v>1</v>
      </c>
      <c r="BB160" s="2">
        <v>1</v>
      </c>
      <c r="BC160" s="2">
        <v>1</v>
      </c>
      <c r="BD160" s="2" t="s">
        <v>3</v>
      </c>
      <c r="BE160" s="2" t="s">
        <v>3</v>
      </c>
      <c r="BF160" s="2" t="s">
        <v>3</v>
      </c>
      <c r="BG160" s="2" t="s">
        <v>3</v>
      </c>
      <c r="BH160" s="2">
        <v>0</v>
      </c>
      <c r="BI160" s="2">
        <v>1</v>
      </c>
      <c r="BJ160" s="2" t="s">
        <v>159</v>
      </c>
      <c r="BK160" s="2"/>
      <c r="BL160" s="2"/>
      <c r="BM160" s="2">
        <v>427</v>
      </c>
      <c r="BN160" s="2">
        <v>0</v>
      </c>
      <c r="BO160" s="2" t="s">
        <v>3</v>
      </c>
      <c r="BP160" s="2">
        <v>0</v>
      </c>
      <c r="BQ160" s="2">
        <v>60</v>
      </c>
      <c r="BR160" s="2">
        <v>0</v>
      </c>
      <c r="BS160" s="2">
        <v>1</v>
      </c>
      <c r="BT160" s="2">
        <v>1</v>
      </c>
      <c r="BU160" s="2">
        <v>1</v>
      </c>
      <c r="BV160" s="2">
        <v>1</v>
      </c>
      <c r="BW160" s="2">
        <v>1</v>
      </c>
      <c r="BX160" s="2">
        <v>1</v>
      </c>
      <c r="BY160" s="2" t="s">
        <v>3</v>
      </c>
      <c r="BZ160" s="2">
        <v>80</v>
      </c>
      <c r="CA160" s="2">
        <v>55</v>
      </c>
      <c r="CB160" s="2" t="s">
        <v>3</v>
      </c>
      <c r="CC160" s="2"/>
      <c r="CD160" s="2"/>
      <c r="CE160" s="2">
        <v>30</v>
      </c>
      <c r="CF160" s="2">
        <v>0</v>
      </c>
      <c r="CG160" s="2">
        <v>0</v>
      </c>
      <c r="CH160" s="2"/>
      <c r="CI160" s="2"/>
      <c r="CJ160" s="2"/>
      <c r="CK160" s="2"/>
      <c r="CL160" s="2"/>
      <c r="CM160" s="2">
        <v>0</v>
      </c>
      <c r="CN160" s="2" t="s">
        <v>3</v>
      </c>
      <c r="CO160" s="2">
        <v>0</v>
      </c>
      <c r="CP160" s="2">
        <f t="shared" si="100"/>
        <v>1006.01</v>
      </c>
      <c r="CQ160" s="2">
        <f t="shared" si="101"/>
        <v>0</v>
      </c>
      <c r="CR160" s="2">
        <f t="shared" si="124"/>
        <v>0</v>
      </c>
      <c r="CS160" s="2">
        <f t="shared" si="102"/>
        <v>0</v>
      </c>
      <c r="CT160" s="2">
        <f t="shared" si="103"/>
        <v>162.26</v>
      </c>
      <c r="CU160" s="2">
        <f t="shared" si="104"/>
        <v>0</v>
      </c>
      <c r="CV160" s="2">
        <f t="shared" si="105"/>
        <v>15.88</v>
      </c>
      <c r="CW160" s="2">
        <f t="shared" si="106"/>
        <v>0</v>
      </c>
      <c r="CX160" s="2">
        <f t="shared" si="107"/>
        <v>0</v>
      </c>
      <c r="CY160" s="2">
        <f>((S160*BZ160)/100)</f>
        <v>804.80799999999999</v>
      </c>
      <c r="CZ160" s="2">
        <f>((S160*CA160)/100)</f>
        <v>553.30550000000005</v>
      </c>
      <c r="DA160" s="2"/>
      <c r="DB160" s="2"/>
      <c r="DC160" s="2" t="s">
        <v>3</v>
      </c>
      <c r="DD160" s="2" t="s">
        <v>3</v>
      </c>
      <c r="DE160" s="2" t="s">
        <v>3</v>
      </c>
      <c r="DF160" s="2" t="s">
        <v>3</v>
      </c>
      <c r="DG160" s="2" t="s">
        <v>3</v>
      </c>
      <c r="DH160" s="2" t="s">
        <v>3</v>
      </c>
      <c r="DI160" s="2" t="s">
        <v>3</v>
      </c>
      <c r="DJ160" s="2" t="s">
        <v>3</v>
      </c>
      <c r="DK160" s="2" t="s">
        <v>3</v>
      </c>
      <c r="DL160" s="2" t="s">
        <v>3</v>
      </c>
      <c r="DM160" s="2" t="s">
        <v>3</v>
      </c>
      <c r="DN160" s="2">
        <v>0</v>
      </c>
      <c r="DO160" s="2">
        <v>0</v>
      </c>
      <c r="DP160" s="2">
        <v>1</v>
      </c>
      <c r="DQ160" s="2">
        <v>1</v>
      </c>
      <c r="DR160" s="2"/>
      <c r="DS160" s="2"/>
      <c r="DT160" s="2"/>
      <c r="DU160" s="2">
        <v>1013</v>
      </c>
      <c r="DV160" s="2" t="s">
        <v>158</v>
      </c>
      <c r="DW160" s="2" t="s">
        <v>158</v>
      </c>
      <c r="DX160" s="2">
        <v>1</v>
      </c>
      <c r="DY160" s="2"/>
      <c r="DZ160" s="2" t="s">
        <v>3</v>
      </c>
      <c r="EA160" s="2" t="s">
        <v>3</v>
      </c>
      <c r="EB160" s="2" t="s">
        <v>3</v>
      </c>
      <c r="EC160" s="2" t="s">
        <v>3</v>
      </c>
      <c r="ED160" s="2"/>
      <c r="EE160" s="2">
        <v>126051888</v>
      </c>
      <c r="EF160" s="2">
        <v>60</v>
      </c>
      <c r="EG160" s="2" t="s">
        <v>150</v>
      </c>
      <c r="EH160" s="2">
        <v>0</v>
      </c>
      <c r="EI160" s="2" t="s">
        <v>3</v>
      </c>
      <c r="EJ160" s="2">
        <v>1</v>
      </c>
      <c r="EK160" s="2">
        <v>427</v>
      </c>
      <c r="EL160" s="2" t="s">
        <v>160</v>
      </c>
      <c r="EM160" s="2" t="s">
        <v>161</v>
      </c>
      <c r="EN160" s="2"/>
      <c r="EO160" s="2" t="s">
        <v>3</v>
      </c>
      <c r="EP160" s="2"/>
      <c r="EQ160" s="2">
        <v>131072</v>
      </c>
      <c r="ER160" s="2">
        <v>162.26</v>
      </c>
      <c r="ES160" s="2">
        <v>0</v>
      </c>
      <c r="ET160" s="2">
        <v>0</v>
      </c>
      <c r="EU160" s="2">
        <v>0</v>
      </c>
      <c r="EV160" s="2">
        <v>162.26</v>
      </c>
      <c r="EW160" s="2">
        <v>15.88</v>
      </c>
      <c r="EX160" s="2">
        <v>0</v>
      </c>
      <c r="EY160" s="2">
        <v>0</v>
      </c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2"/>
      <c r="FP160" s="2"/>
      <c r="FQ160" s="2">
        <v>0</v>
      </c>
      <c r="FR160" s="2">
        <f t="shared" si="108"/>
        <v>0</v>
      </c>
      <c r="FS160" s="2">
        <v>0</v>
      </c>
      <c r="FT160" s="2"/>
      <c r="FU160" s="2"/>
      <c r="FV160" s="2"/>
      <c r="FW160" s="2"/>
      <c r="FX160" s="2">
        <v>80</v>
      </c>
      <c r="FY160" s="2">
        <v>55</v>
      </c>
      <c r="FZ160" s="2"/>
      <c r="GA160" s="2" t="s">
        <v>3</v>
      </c>
      <c r="GB160" s="2"/>
      <c r="GC160" s="2"/>
      <c r="GD160" s="2">
        <v>0</v>
      </c>
      <c r="GE160" s="2"/>
      <c r="GF160" s="2">
        <v>1261926347</v>
      </c>
      <c r="GG160" s="2">
        <v>2</v>
      </c>
      <c r="GH160" s="2">
        <v>1</v>
      </c>
      <c r="GI160" s="2">
        <v>-2</v>
      </c>
      <c r="GJ160" s="2">
        <v>0</v>
      </c>
      <c r="GK160" s="2">
        <f>ROUND(R160*(R12)/100,2)</f>
        <v>0</v>
      </c>
      <c r="GL160" s="2">
        <f t="shared" si="109"/>
        <v>0</v>
      </c>
      <c r="GM160" s="2">
        <f t="shared" si="110"/>
        <v>2364.13</v>
      </c>
      <c r="GN160" s="2">
        <f t="shared" si="111"/>
        <v>2364.13</v>
      </c>
      <c r="GO160" s="2">
        <f t="shared" si="112"/>
        <v>0</v>
      </c>
      <c r="GP160" s="2">
        <f t="shared" si="113"/>
        <v>0</v>
      </c>
      <c r="GQ160" s="2"/>
      <c r="GR160" s="2">
        <v>0</v>
      </c>
      <c r="GS160" s="2">
        <v>0</v>
      </c>
      <c r="GT160" s="2">
        <v>0</v>
      </c>
      <c r="GU160" s="2" t="s">
        <v>3</v>
      </c>
      <c r="GV160" s="2">
        <f t="shared" si="114"/>
        <v>0</v>
      </c>
      <c r="GW160" s="2">
        <v>1</v>
      </c>
      <c r="GX160" s="2">
        <f t="shared" si="115"/>
        <v>0</v>
      </c>
      <c r="GY160" s="2"/>
      <c r="GZ160" s="2"/>
      <c r="HA160" s="2">
        <v>0</v>
      </c>
      <c r="HB160" s="2">
        <v>0</v>
      </c>
      <c r="HC160" s="2">
        <f t="shared" si="116"/>
        <v>0</v>
      </c>
      <c r="HD160" s="2"/>
      <c r="HE160" s="2" t="s">
        <v>3</v>
      </c>
      <c r="HF160" s="2" t="s">
        <v>3</v>
      </c>
      <c r="HG160" s="2"/>
      <c r="HH160" s="2"/>
      <c r="HI160" s="2"/>
      <c r="HJ160" s="2"/>
      <c r="HK160" s="2"/>
      <c r="HL160" s="2"/>
      <c r="HM160" s="2" t="s">
        <v>3</v>
      </c>
      <c r="HN160" s="2" t="s">
        <v>3</v>
      </c>
      <c r="HO160" s="2" t="s">
        <v>3</v>
      </c>
      <c r="HP160" s="2" t="s">
        <v>3</v>
      </c>
      <c r="HQ160" s="2" t="s">
        <v>3</v>
      </c>
      <c r="HR160" s="2"/>
      <c r="HS160" s="2"/>
      <c r="HT160" s="2"/>
      <c r="HU160" s="2"/>
      <c r="HV160" s="2"/>
      <c r="HW160" s="2"/>
      <c r="HX160" s="2"/>
      <c r="HY160" s="2"/>
      <c r="HZ160" s="2"/>
      <c r="IA160" s="2"/>
      <c r="IB160" s="2"/>
      <c r="IC160" s="2"/>
      <c r="ID160" s="2"/>
      <c r="IE160" s="2"/>
      <c r="IF160" s="2"/>
      <c r="IG160" s="2"/>
      <c r="IH160" s="2"/>
      <c r="II160" s="2"/>
      <c r="IJ160" s="2"/>
      <c r="IK160" s="2">
        <v>0</v>
      </c>
      <c r="IL160" s="2"/>
      <c r="IM160" s="2"/>
      <c r="IN160" s="2"/>
      <c r="IO160" s="2"/>
      <c r="IP160" s="2"/>
      <c r="IQ160" s="2"/>
      <c r="IR160" s="2"/>
      <c r="IS160" s="2"/>
      <c r="IT160" s="2"/>
      <c r="IU160" s="2"/>
    </row>
    <row r="161" spans="1:255" x14ac:dyDescent="0.2">
      <c r="A161">
        <v>17</v>
      </c>
      <c r="B161">
        <v>1</v>
      </c>
      <c r="C161">
        <f>ROW(SmtRes!A80)</f>
        <v>80</v>
      </c>
      <c r="D161">
        <f>ROW(EtalonRes!A82)</f>
        <v>82</v>
      </c>
      <c r="E161" t="s">
        <v>104</v>
      </c>
      <c r="F161" t="s">
        <v>156</v>
      </c>
      <c r="G161" t="s">
        <v>157</v>
      </c>
      <c r="H161" t="s">
        <v>158</v>
      </c>
      <c r="I161">
        <v>6.2</v>
      </c>
      <c r="J161">
        <v>0</v>
      </c>
      <c r="K161">
        <v>6.2</v>
      </c>
      <c r="O161">
        <f t="shared" si="87"/>
        <v>29204.47</v>
      </c>
      <c r="P161">
        <f t="shared" si="88"/>
        <v>0</v>
      </c>
      <c r="Q161">
        <f t="shared" si="117"/>
        <v>0</v>
      </c>
      <c r="R161">
        <f t="shared" si="89"/>
        <v>0</v>
      </c>
      <c r="S161">
        <f t="shared" si="90"/>
        <v>29204.47</v>
      </c>
      <c r="T161">
        <f t="shared" si="91"/>
        <v>0</v>
      </c>
      <c r="U161">
        <f t="shared" si="92"/>
        <v>98.456000000000003</v>
      </c>
      <c r="V161">
        <f t="shared" si="93"/>
        <v>0</v>
      </c>
      <c r="W161">
        <f t="shared" si="94"/>
        <v>0</v>
      </c>
      <c r="X161">
        <f t="shared" si="95"/>
        <v>20443.13</v>
      </c>
      <c r="Y161">
        <f t="shared" si="96"/>
        <v>11973.83</v>
      </c>
      <c r="AA161">
        <v>129761633</v>
      </c>
      <c r="AB161">
        <f t="shared" si="97"/>
        <v>162.26</v>
      </c>
      <c r="AC161">
        <f t="shared" si="118"/>
        <v>0</v>
      </c>
      <c r="AD161">
        <f t="shared" si="119"/>
        <v>0</v>
      </c>
      <c r="AE161">
        <f t="shared" si="120"/>
        <v>0</v>
      </c>
      <c r="AF161">
        <f t="shared" si="121"/>
        <v>162.26</v>
      </c>
      <c r="AG161">
        <f t="shared" si="98"/>
        <v>0</v>
      </c>
      <c r="AH161">
        <f t="shared" si="122"/>
        <v>15.88</v>
      </c>
      <c r="AI161">
        <f t="shared" si="123"/>
        <v>0</v>
      </c>
      <c r="AJ161">
        <f t="shared" si="99"/>
        <v>0</v>
      </c>
      <c r="AK161">
        <v>162.26</v>
      </c>
      <c r="AL161">
        <v>0</v>
      </c>
      <c r="AM161">
        <v>0</v>
      </c>
      <c r="AN161">
        <v>0</v>
      </c>
      <c r="AO161">
        <v>162.26</v>
      </c>
      <c r="AP161">
        <v>0</v>
      </c>
      <c r="AQ161">
        <v>15.88</v>
      </c>
      <c r="AR161">
        <v>0</v>
      </c>
      <c r="AS161">
        <v>0</v>
      </c>
      <c r="AT161">
        <v>70</v>
      </c>
      <c r="AU161">
        <v>41</v>
      </c>
      <c r="AV161">
        <v>1</v>
      </c>
      <c r="AW161">
        <v>1</v>
      </c>
      <c r="AZ161">
        <v>1</v>
      </c>
      <c r="BA161">
        <v>29.03</v>
      </c>
      <c r="BB161">
        <v>1</v>
      </c>
      <c r="BC161">
        <v>1</v>
      </c>
      <c r="BD161" t="s">
        <v>3</v>
      </c>
      <c r="BE161" t="s">
        <v>3</v>
      </c>
      <c r="BF161" t="s">
        <v>3</v>
      </c>
      <c r="BG161" t="s">
        <v>3</v>
      </c>
      <c r="BH161">
        <v>0</v>
      </c>
      <c r="BI161">
        <v>1</v>
      </c>
      <c r="BJ161" t="s">
        <v>159</v>
      </c>
      <c r="BM161">
        <v>427</v>
      </c>
      <c r="BN161">
        <v>0</v>
      </c>
      <c r="BO161" t="s">
        <v>156</v>
      </c>
      <c r="BP161">
        <v>1</v>
      </c>
      <c r="BQ161">
        <v>60</v>
      </c>
      <c r="BR161">
        <v>0</v>
      </c>
      <c r="BS161">
        <v>29.03</v>
      </c>
      <c r="BT161">
        <v>1</v>
      </c>
      <c r="BU161">
        <v>1</v>
      </c>
      <c r="BV161">
        <v>1</v>
      </c>
      <c r="BW161">
        <v>1</v>
      </c>
      <c r="BX161">
        <v>1</v>
      </c>
      <c r="BY161" t="s">
        <v>3</v>
      </c>
      <c r="BZ161">
        <v>70</v>
      </c>
      <c r="CA161">
        <v>41</v>
      </c>
      <c r="CB161" t="s">
        <v>3</v>
      </c>
      <c r="CE161">
        <v>30</v>
      </c>
      <c r="CF161">
        <v>0</v>
      </c>
      <c r="CG161">
        <v>0</v>
      </c>
      <c r="CM161">
        <v>0</v>
      </c>
      <c r="CN161" t="s">
        <v>3</v>
      </c>
      <c r="CO161">
        <v>0</v>
      </c>
      <c r="CP161">
        <f t="shared" si="100"/>
        <v>29204.47</v>
      </c>
      <c r="CQ161">
        <f t="shared" si="101"/>
        <v>0</v>
      </c>
      <c r="CR161">
        <f t="shared" si="124"/>
        <v>0</v>
      </c>
      <c r="CS161">
        <f t="shared" si="102"/>
        <v>0</v>
      </c>
      <c r="CT161">
        <f t="shared" si="103"/>
        <v>4710.41</v>
      </c>
      <c r="CU161">
        <f t="shared" si="104"/>
        <v>0</v>
      </c>
      <c r="CV161">
        <f t="shared" si="105"/>
        <v>15.88</v>
      </c>
      <c r="CW161">
        <f t="shared" si="106"/>
        <v>0</v>
      </c>
      <c r="CX161">
        <f t="shared" si="107"/>
        <v>0</v>
      </c>
      <c r="CY161">
        <f>S161*(BZ161/100)</f>
        <v>20443.129000000001</v>
      </c>
      <c r="CZ161">
        <f>S161*(CA161/100)</f>
        <v>11973.832699999999</v>
      </c>
      <c r="DC161" t="s">
        <v>3</v>
      </c>
      <c r="DD161" t="s">
        <v>3</v>
      </c>
      <c r="DE161" t="s">
        <v>3</v>
      </c>
      <c r="DF161" t="s">
        <v>3</v>
      </c>
      <c r="DG161" t="s">
        <v>3</v>
      </c>
      <c r="DH161" t="s">
        <v>3</v>
      </c>
      <c r="DI161" t="s">
        <v>3</v>
      </c>
      <c r="DJ161" t="s">
        <v>3</v>
      </c>
      <c r="DK161" t="s">
        <v>3</v>
      </c>
      <c r="DL161" t="s">
        <v>3</v>
      </c>
      <c r="DM161" t="s">
        <v>3</v>
      </c>
      <c r="DN161">
        <v>80</v>
      </c>
      <c r="DO161">
        <v>55</v>
      </c>
      <c r="DP161">
        <v>1</v>
      </c>
      <c r="DQ161">
        <v>1</v>
      </c>
      <c r="DU161">
        <v>1013</v>
      </c>
      <c r="DV161" t="s">
        <v>158</v>
      </c>
      <c r="DW161" t="s">
        <v>158</v>
      </c>
      <c r="DX161">
        <v>1</v>
      </c>
      <c r="DZ161" t="s">
        <v>3</v>
      </c>
      <c r="EA161" t="s">
        <v>3</v>
      </c>
      <c r="EB161" t="s">
        <v>3</v>
      </c>
      <c r="EC161" t="s">
        <v>3</v>
      </c>
      <c r="EE161">
        <v>126051888</v>
      </c>
      <c r="EF161">
        <v>60</v>
      </c>
      <c r="EG161" t="s">
        <v>150</v>
      </c>
      <c r="EH161">
        <v>0</v>
      </c>
      <c r="EI161" t="s">
        <v>3</v>
      </c>
      <c r="EJ161">
        <v>1</v>
      </c>
      <c r="EK161">
        <v>427</v>
      </c>
      <c r="EL161" t="s">
        <v>160</v>
      </c>
      <c r="EM161" t="s">
        <v>161</v>
      </c>
      <c r="EO161" t="s">
        <v>3</v>
      </c>
      <c r="EQ161">
        <v>131072</v>
      </c>
      <c r="ER161">
        <v>162.26</v>
      </c>
      <c r="ES161">
        <v>0</v>
      </c>
      <c r="ET161">
        <v>0</v>
      </c>
      <c r="EU161">
        <v>0</v>
      </c>
      <c r="EV161">
        <v>162.26</v>
      </c>
      <c r="EW161">
        <v>15.88</v>
      </c>
      <c r="EX161">
        <v>0</v>
      </c>
      <c r="EY161">
        <v>0</v>
      </c>
      <c r="FQ161">
        <v>0</v>
      </c>
      <c r="FR161">
        <f t="shared" si="108"/>
        <v>0</v>
      </c>
      <c r="FS161">
        <v>0</v>
      </c>
      <c r="FX161">
        <v>80</v>
      </c>
      <c r="FY161">
        <v>55</v>
      </c>
      <c r="GA161" t="s">
        <v>3</v>
      </c>
      <c r="GD161">
        <v>0</v>
      </c>
      <c r="GF161">
        <v>1261926347</v>
      </c>
      <c r="GG161">
        <v>2</v>
      </c>
      <c r="GH161">
        <v>1</v>
      </c>
      <c r="GI161">
        <v>2</v>
      </c>
      <c r="GJ161">
        <v>0</v>
      </c>
      <c r="GK161">
        <f>ROUND(R161*(S12)/100,2)</f>
        <v>0</v>
      </c>
      <c r="GL161">
        <f t="shared" si="109"/>
        <v>0</v>
      </c>
      <c r="GM161">
        <f t="shared" si="110"/>
        <v>61621.43</v>
      </c>
      <c r="GN161">
        <f t="shared" si="111"/>
        <v>61621.43</v>
      </c>
      <c r="GO161">
        <f t="shared" si="112"/>
        <v>0</v>
      </c>
      <c r="GP161">
        <f t="shared" si="113"/>
        <v>0</v>
      </c>
      <c r="GR161">
        <v>0</v>
      </c>
      <c r="GS161">
        <v>3</v>
      </c>
      <c r="GT161">
        <v>0</v>
      </c>
      <c r="GU161" t="s">
        <v>3</v>
      </c>
      <c r="GV161">
        <f t="shared" si="114"/>
        <v>0</v>
      </c>
      <c r="GW161">
        <v>1</v>
      </c>
      <c r="GX161">
        <f t="shared" si="115"/>
        <v>0</v>
      </c>
      <c r="HA161">
        <v>0</v>
      </c>
      <c r="HB161">
        <v>0</v>
      </c>
      <c r="HC161">
        <f t="shared" si="116"/>
        <v>0</v>
      </c>
      <c r="HE161" t="s">
        <v>3</v>
      </c>
      <c r="HF161" t="s">
        <v>3</v>
      </c>
      <c r="HM161" t="s">
        <v>3</v>
      </c>
      <c r="HN161" t="s">
        <v>3</v>
      </c>
      <c r="HO161" t="s">
        <v>3</v>
      </c>
      <c r="HP161" t="s">
        <v>3</v>
      </c>
      <c r="HQ161" t="s">
        <v>3</v>
      </c>
      <c r="IK161">
        <v>0</v>
      </c>
    </row>
    <row r="162" spans="1:255" x14ac:dyDescent="0.2">
      <c r="A162" s="2">
        <v>18</v>
      </c>
      <c r="B162" s="2">
        <v>1</v>
      </c>
      <c r="C162" s="2">
        <v>78</v>
      </c>
      <c r="D162" s="2"/>
      <c r="E162" s="2" t="s">
        <v>111</v>
      </c>
      <c r="F162" s="2" t="s">
        <v>162</v>
      </c>
      <c r="G162" s="2" t="s">
        <v>163</v>
      </c>
      <c r="H162" s="2" t="s">
        <v>114</v>
      </c>
      <c r="I162" s="2">
        <f>I160*J162</f>
        <v>-12.4</v>
      </c>
      <c r="J162" s="2">
        <v>-2</v>
      </c>
      <c r="K162" s="2">
        <v>-2</v>
      </c>
      <c r="L162" s="2"/>
      <c r="M162" s="2"/>
      <c r="N162" s="2"/>
      <c r="O162" s="2">
        <f t="shared" si="87"/>
        <v>0</v>
      </c>
      <c r="P162" s="2">
        <f t="shared" si="88"/>
        <v>0</v>
      </c>
      <c r="Q162" s="2">
        <f t="shared" si="117"/>
        <v>0</v>
      </c>
      <c r="R162" s="2">
        <f t="shared" si="89"/>
        <v>0</v>
      </c>
      <c r="S162" s="2">
        <f t="shared" si="90"/>
        <v>0</v>
      </c>
      <c r="T162" s="2">
        <f t="shared" si="91"/>
        <v>0</v>
      </c>
      <c r="U162" s="2">
        <f t="shared" si="92"/>
        <v>0</v>
      </c>
      <c r="V162" s="2">
        <f t="shared" si="93"/>
        <v>0</v>
      </c>
      <c r="W162" s="2">
        <f t="shared" si="94"/>
        <v>0</v>
      </c>
      <c r="X162" s="2">
        <f t="shared" si="95"/>
        <v>0</v>
      </c>
      <c r="Y162" s="2">
        <f t="shared" si="96"/>
        <v>0</v>
      </c>
      <c r="Z162" s="2"/>
      <c r="AA162" s="2">
        <v>129761636</v>
      </c>
      <c r="AB162" s="2">
        <f t="shared" si="97"/>
        <v>0</v>
      </c>
      <c r="AC162" s="2">
        <f t="shared" si="118"/>
        <v>0</v>
      </c>
      <c r="AD162" s="2">
        <f t="shared" si="119"/>
        <v>0</v>
      </c>
      <c r="AE162" s="2">
        <f t="shared" si="120"/>
        <v>0</v>
      </c>
      <c r="AF162" s="2">
        <f t="shared" si="121"/>
        <v>0</v>
      </c>
      <c r="AG162" s="2">
        <f t="shared" si="98"/>
        <v>0</v>
      </c>
      <c r="AH162" s="2">
        <f t="shared" si="122"/>
        <v>0</v>
      </c>
      <c r="AI162" s="2">
        <f t="shared" si="123"/>
        <v>0</v>
      </c>
      <c r="AJ162" s="2">
        <f t="shared" si="99"/>
        <v>0</v>
      </c>
      <c r="AK162" s="2">
        <v>0</v>
      </c>
      <c r="AL162" s="2">
        <v>0</v>
      </c>
      <c r="AM162" s="2">
        <v>0</v>
      </c>
      <c r="AN162" s="2">
        <v>0</v>
      </c>
      <c r="AO162" s="2">
        <v>0</v>
      </c>
      <c r="AP162" s="2">
        <v>0</v>
      </c>
      <c r="AQ162" s="2">
        <v>0</v>
      </c>
      <c r="AR162" s="2">
        <v>0</v>
      </c>
      <c r="AS162" s="2">
        <v>0</v>
      </c>
      <c r="AT162" s="2">
        <v>80</v>
      </c>
      <c r="AU162" s="2">
        <v>55</v>
      </c>
      <c r="AV162" s="2">
        <v>1</v>
      </c>
      <c r="AW162" s="2">
        <v>1</v>
      </c>
      <c r="AX162" s="2"/>
      <c r="AY162" s="2"/>
      <c r="AZ162" s="2">
        <v>1</v>
      </c>
      <c r="BA162" s="2">
        <v>1</v>
      </c>
      <c r="BB162" s="2">
        <v>1</v>
      </c>
      <c r="BC162" s="2">
        <v>1</v>
      </c>
      <c r="BD162" s="2" t="s">
        <v>3</v>
      </c>
      <c r="BE162" s="2" t="s">
        <v>3</v>
      </c>
      <c r="BF162" s="2" t="s">
        <v>3</v>
      </c>
      <c r="BG162" s="2" t="s">
        <v>3</v>
      </c>
      <c r="BH162" s="2">
        <v>3</v>
      </c>
      <c r="BI162" s="2">
        <v>1</v>
      </c>
      <c r="BJ162" s="2" t="s">
        <v>3</v>
      </c>
      <c r="BK162" s="2"/>
      <c r="BL162" s="2"/>
      <c r="BM162" s="2">
        <v>427</v>
      </c>
      <c r="BN162" s="2">
        <v>0</v>
      </c>
      <c r="BO162" s="2" t="s">
        <v>3</v>
      </c>
      <c r="BP162" s="2">
        <v>0</v>
      </c>
      <c r="BQ162" s="2">
        <v>60</v>
      </c>
      <c r="BR162" s="2">
        <v>1</v>
      </c>
      <c r="BS162" s="2">
        <v>1</v>
      </c>
      <c r="BT162" s="2">
        <v>1</v>
      </c>
      <c r="BU162" s="2">
        <v>1</v>
      </c>
      <c r="BV162" s="2">
        <v>1</v>
      </c>
      <c r="BW162" s="2">
        <v>1</v>
      </c>
      <c r="BX162" s="2">
        <v>1</v>
      </c>
      <c r="BY162" s="2" t="s">
        <v>3</v>
      </c>
      <c r="BZ162" s="2">
        <v>80</v>
      </c>
      <c r="CA162" s="2">
        <v>55</v>
      </c>
      <c r="CB162" s="2" t="s">
        <v>3</v>
      </c>
      <c r="CC162" s="2"/>
      <c r="CD162" s="2"/>
      <c r="CE162" s="2">
        <v>30</v>
      </c>
      <c r="CF162" s="2">
        <v>0</v>
      </c>
      <c r="CG162" s="2">
        <v>0</v>
      </c>
      <c r="CH162" s="2"/>
      <c r="CI162" s="2"/>
      <c r="CJ162" s="2"/>
      <c r="CK162" s="2"/>
      <c r="CL162" s="2"/>
      <c r="CM162" s="2">
        <v>0</v>
      </c>
      <c r="CN162" s="2" t="s">
        <v>3</v>
      </c>
      <c r="CO162" s="2">
        <v>0</v>
      </c>
      <c r="CP162" s="2">
        <f t="shared" si="100"/>
        <v>0</v>
      </c>
      <c r="CQ162" s="2">
        <f t="shared" si="101"/>
        <v>0</v>
      </c>
      <c r="CR162" s="2">
        <f t="shared" si="124"/>
        <v>0</v>
      </c>
      <c r="CS162" s="2">
        <f t="shared" si="102"/>
        <v>0</v>
      </c>
      <c r="CT162" s="2">
        <f t="shared" si="103"/>
        <v>0</v>
      </c>
      <c r="CU162" s="2">
        <f t="shared" si="104"/>
        <v>0</v>
      </c>
      <c r="CV162" s="2">
        <f t="shared" si="105"/>
        <v>0</v>
      </c>
      <c r="CW162" s="2">
        <f t="shared" si="106"/>
        <v>0</v>
      </c>
      <c r="CX162" s="2">
        <f t="shared" si="107"/>
        <v>0</v>
      </c>
      <c r="CY162" s="2">
        <f>((S162*BZ162)/100)</f>
        <v>0</v>
      </c>
      <c r="CZ162" s="2">
        <f>((S162*CA162)/100)</f>
        <v>0</v>
      </c>
      <c r="DA162" s="2"/>
      <c r="DB162" s="2"/>
      <c r="DC162" s="2" t="s">
        <v>3</v>
      </c>
      <c r="DD162" s="2" t="s">
        <v>3</v>
      </c>
      <c r="DE162" s="2" t="s">
        <v>3</v>
      </c>
      <c r="DF162" s="2" t="s">
        <v>3</v>
      </c>
      <c r="DG162" s="2" t="s">
        <v>3</v>
      </c>
      <c r="DH162" s="2" t="s">
        <v>3</v>
      </c>
      <c r="DI162" s="2" t="s">
        <v>3</v>
      </c>
      <c r="DJ162" s="2" t="s">
        <v>3</v>
      </c>
      <c r="DK162" s="2" t="s">
        <v>3</v>
      </c>
      <c r="DL162" s="2" t="s">
        <v>3</v>
      </c>
      <c r="DM162" s="2" t="s">
        <v>3</v>
      </c>
      <c r="DN162" s="2">
        <v>0</v>
      </c>
      <c r="DO162" s="2">
        <v>0</v>
      </c>
      <c r="DP162" s="2">
        <v>1</v>
      </c>
      <c r="DQ162" s="2">
        <v>1</v>
      </c>
      <c r="DR162" s="2"/>
      <c r="DS162" s="2"/>
      <c r="DT162" s="2"/>
      <c r="DU162" s="2">
        <v>1009</v>
      </c>
      <c r="DV162" s="2" t="s">
        <v>114</v>
      </c>
      <c r="DW162" s="2" t="s">
        <v>114</v>
      </c>
      <c r="DX162" s="2">
        <v>1000</v>
      </c>
      <c r="DY162" s="2"/>
      <c r="DZ162" s="2" t="s">
        <v>3</v>
      </c>
      <c r="EA162" s="2" t="s">
        <v>3</v>
      </c>
      <c r="EB162" s="2" t="s">
        <v>3</v>
      </c>
      <c r="EC162" s="2" t="s">
        <v>3</v>
      </c>
      <c r="ED162" s="2"/>
      <c r="EE162" s="2">
        <v>126051888</v>
      </c>
      <c r="EF162" s="2">
        <v>60</v>
      </c>
      <c r="EG162" s="2" t="s">
        <v>150</v>
      </c>
      <c r="EH162" s="2">
        <v>0</v>
      </c>
      <c r="EI162" s="2" t="s">
        <v>3</v>
      </c>
      <c r="EJ162" s="2">
        <v>1</v>
      </c>
      <c r="EK162" s="2">
        <v>427</v>
      </c>
      <c r="EL162" s="2" t="s">
        <v>160</v>
      </c>
      <c r="EM162" s="2" t="s">
        <v>161</v>
      </c>
      <c r="EN162" s="2"/>
      <c r="EO162" s="2" t="s">
        <v>3</v>
      </c>
      <c r="EP162" s="2"/>
      <c r="EQ162" s="2">
        <v>0</v>
      </c>
      <c r="ER162" s="2">
        <v>0</v>
      </c>
      <c r="ES162" s="2">
        <v>0</v>
      </c>
      <c r="ET162" s="2">
        <v>0</v>
      </c>
      <c r="EU162" s="2">
        <v>0</v>
      </c>
      <c r="EV162" s="2">
        <v>0</v>
      </c>
      <c r="EW162" s="2">
        <v>0</v>
      </c>
      <c r="EX162" s="2">
        <v>0</v>
      </c>
      <c r="EY162" s="2"/>
      <c r="EZ162" s="2"/>
      <c r="FA162" s="2"/>
      <c r="FB162" s="2"/>
      <c r="FC162" s="2"/>
      <c r="FD162" s="2"/>
      <c r="FE162" s="2"/>
      <c r="FF162" s="2"/>
      <c r="FG162" s="2"/>
      <c r="FH162" s="2"/>
      <c r="FI162" s="2"/>
      <c r="FJ162" s="2"/>
      <c r="FK162" s="2"/>
      <c r="FL162" s="2"/>
      <c r="FM162" s="2"/>
      <c r="FN162" s="2"/>
      <c r="FO162" s="2"/>
      <c r="FP162" s="2"/>
      <c r="FQ162" s="2">
        <v>0</v>
      </c>
      <c r="FR162" s="2">
        <f t="shared" si="108"/>
        <v>0</v>
      </c>
      <c r="FS162" s="2">
        <v>0</v>
      </c>
      <c r="FT162" s="2"/>
      <c r="FU162" s="2"/>
      <c r="FV162" s="2"/>
      <c r="FW162" s="2"/>
      <c r="FX162" s="2">
        <v>80</v>
      </c>
      <c r="FY162" s="2">
        <v>55</v>
      </c>
      <c r="FZ162" s="2"/>
      <c r="GA162" s="2" t="s">
        <v>3</v>
      </c>
      <c r="GB162" s="2"/>
      <c r="GC162" s="2"/>
      <c r="GD162" s="2">
        <v>0</v>
      </c>
      <c r="GE162" s="2"/>
      <c r="GF162" s="2">
        <v>1489638031</v>
      </c>
      <c r="GG162" s="2">
        <v>2</v>
      </c>
      <c r="GH162" s="2">
        <v>1</v>
      </c>
      <c r="GI162" s="2">
        <v>-2</v>
      </c>
      <c r="GJ162" s="2">
        <v>0</v>
      </c>
      <c r="GK162" s="2">
        <f>ROUND(R162*(R12)/100,2)</f>
        <v>0</v>
      </c>
      <c r="GL162" s="2">
        <f t="shared" si="109"/>
        <v>0</v>
      </c>
      <c r="GM162" s="2">
        <f t="shared" si="110"/>
        <v>0</v>
      </c>
      <c r="GN162" s="2">
        <f t="shared" si="111"/>
        <v>0</v>
      </c>
      <c r="GO162" s="2">
        <f t="shared" si="112"/>
        <v>0</v>
      </c>
      <c r="GP162" s="2">
        <f t="shared" si="113"/>
        <v>0</v>
      </c>
      <c r="GQ162" s="2"/>
      <c r="GR162" s="2">
        <v>0</v>
      </c>
      <c r="GS162" s="2">
        <v>0</v>
      </c>
      <c r="GT162" s="2">
        <v>0</v>
      </c>
      <c r="GU162" s="2" t="s">
        <v>3</v>
      </c>
      <c r="GV162" s="2">
        <f t="shared" si="114"/>
        <v>0</v>
      </c>
      <c r="GW162" s="2">
        <v>1</v>
      </c>
      <c r="GX162" s="2">
        <f t="shared" si="115"/>
        <v>0</v>
      </c>
      <c r="GY162" s="2"/>
      <c r="GZ162" s="2"/>
      <c r="HA162" s="2">
        <v>0</v>
      </c>
      <c r="HB162" s="2">
        <v>0</v>
      </c>
      <c r="HC162" s="2">
        <f t="shared" si="116"/>
        <v>0</v>
      </c>
      <c r="HD162" s="2"/>
      <c r="HE162" s="2" t="s">
        <v>3</v>
      </c>
      <c r="HF162" s="2" t="s">
        <v>3</v>
      </c>
      <c r="HG162" s="2"/>
      <c r="HH162" s="2"/>
      <c r="HI162" s="2"/>
      <c r="HJ162" s="2"/>
      <c r="HK162" s="2"/>
      <c r="HL162" s="2"/>
      <c r="HM162" s="2" t="s">
        <v>3</v>
      </c>
      <c r="HN162" s="2" t="s">
        <v>3</v>
      </c>
      <c r="HO162" s="2" t="s">
        <v>3</v>
      </c>
      <c r="HP162" s="2" t="s">
        <v>3</v>
      </c>
      <c r="HQ162" s="2" t="s">
        <v>3</v>
      </c>
      <c r="HR162" s="2"/>
      <c r="HS162" s="2"/>
      <c r="HT162" s="2"/>
      <c r="HU162" s="2"/>
      <c r="HV162" s="2"/>
      <c r="HW162" s="2"/>
      <c r="HX162" s="2"/>
      <c r="HY162" s="2"/>
      <c r="HZ162" s="2"/>
      <c r="IA162" s="2"/>
      <c r="IB162" s="2"/>
      <c r="IC162" s="2"/>
      <c r="ID162" s="2"/>
      <c r="IE162" s="2"/>
      <c r="IF162" s="2"/>
      <c r="IG162" s="2"/>
      <c r="IH162" s="2"/>
      <c r="II162" s="2"/>
      <c r="IJ162" s="2"/>
      <c r="IK162" s="2">
        <v>0</v>
      </c>
      <c r="IL162" s="2"/>
      <c r="IM162" s="2"/>
      <c r="IN162" s="2"/>
      <c r="IO162" s="2"/>
      <c r="IP162" s="2"/>
      <c r="IQ162" s="2"/>
      <c r="IR162" s="2"/>
      <c r="IS162" s="2"/>
      <c r="IT162" s="2"/>
      <c r="IU162" s="2"/>
    </row>
    <row r="163" spans="1:255" x14ac:dyDescent="0.2">
      <c r="A163">
        <v>18</v>
      </c>
      <c r="B163">
        <v>1</v>
      </c>
      <c r="C163">
        <v>80</v>
      </c>
      <c r="E163" t="s">
        <v>111</v>
      </c>
      <c r="F163" t="s">
        <v>162</v>
      </c>
      <c r="G163" t="s">
        <v>163</v>
      </c>
      <c r="H163" t="s">
        <v>114</v>
      </c>
      <c r="I163">
        <f>I161*J163</f>
        <v>-12.4</v>
      </c>
      <c r="J163">
        <v>-2</v>
      </c>
      <c r="K163">
        <v>-2</v>
      </c>
      <c r="O163">
        <f t="shared" si="87"/>
        <v>0</v>
      </c>
      <c r="P163">
        <f t="shared" si="88"/>
        <v>0</v>
      </c>
      <c r="Q163">
        <f t="shared" si="117"/>
        <v>0</v>
      </c>
      <c r="R163">
        <f t="shared" si="89"/>
        <v>0</v>
      </c>
      <c r="S163">
        <f t="shared" si="90"/>
        <v>0</v>
      </c>
      <c r="T163">
        <f t="shared" si="91"/>
        <v>0</v>
      </c>
      <c r="U163">
        <f t="shared" si="92"/>
        <v>0</v>
      </c>
      <c r="V163">
        <f t="shared" si="93"/>
        <v>0</v>
      </c>
      <c r="W163">
        <f t="shared" si="94"/>
        <v>0</v>
      </c>
      <c r="X163">
        <f t="shared" si="95"/>
        <v>0</v>
      </c>
      <c r="Y163">
        <f t="shared" si="96"/>
        <v>0</v>
      </c>
      <c r="AA163">
        <v>129761633</v>
      </c>
      <c r="AB163">
        <f t="shared" si="97"/>
        <v>0</v>
      </c>
      <c r="AC163">
        <f t="shared" si="118"/>
        <v>0</v>
      </c>
      <c r="AD163">
        <f t="shared" si="119"/>
        <v>0</v>
      </c>
      <c r="AE163">
        <f t="shared" si="120"/>
        <v>0</v>
      </c>
      <c r="AF163">
        <f t="shared" si="121"/>
        <v>0</v>
      </c>
      <c r="AG163">
        <f t="shared" si="98"/>
        <v>0</v>
      </c>
      <c r="AH163">
        <f t="shared" si="122"/>
        <v>0</v>
      </c>
      <c r="AI163">
        <f t="shared" si="123"/>
        <v>0</v>
      </c>
      <c r="AJ163">
        <f t="shared" si="99"/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1</v>
      </c>
      <c r="AW163">
        <v>1</v>
      </c>
      <c r="AZ163">
        <v>1</v>
      </c>
      <c r="BA163">
        <v>1</v>
      </c>
      <c r="BB163">
        <v>1</v>
      </c>
      <c r="BC163">
        <v>8.65</v>
      </c>
      <c r="BD163" t="s">
        <v>3</v>
      </c>
      <c r="BE163" t="s">
        <v>3</v>
      </c>
      <c r="BF163" t="s">
        <v>3</v>
      </c>
      <c r="BG163" t="s">
        <v>3</v>
      </c>
      <c r="BH163">
        <v>3</v>
      </c>
      <c r="BI163">
        <v>1</v>
      </c>
      <c r="BJ163" t="s">
        <v>3</v>
      </c>
      <c r="BM163">
        <v>427</v>
      </c>
      <c r="BN163">
        <v>0</v>
      </c>
      <c r="BO163" t="s">
        <v>3</v>
      </c>
      <c r="BP163">
        <v>0</v>
      </c>
      <c r="BQ163">
        <v>60</v>
      </c>
      <c r="BR163">
        <v>1</v>
      </c>
      <c r="BS163">
        <v>1</v>
      </c>
      <c r="BT163">
        <v>1</v>
      </c>
      <c r="BU163">
        <v>1</v>
      </c>
      <c r="BV163">
        <v>1</v>
      </c>
      <c r="BW163">
        <v>1</v>
      </c>
      <c r="BX163">
        <v>1</v>
      </c>
      <c r="BY163" t="s">
        <v>3</v>
      </c>
      <c r="BZ163">
        <v>0</v>
      </c>
      <c r="CA163">
        <v>0</v>
      </c>
      <c r="CB163" t="s">
        <v>3</v>
      </c>
      <c r="CE163">
        <v>30</v>
      </c>
      <c r="CF163">
        <v>0</v>
      </c>
      <c r="CG163">
        <v>0</v>
      </c>
      <c r="CM163">
        <v>0</v>
      </c>
      <c r="CN163" t="s">
        <v>3</v>
      </c>
      <c r="CO163">
        <v>0</v>
      </c>
      <c r="CP163">
        <f t="shared" si="100"/>
        <v>0</v>
      </c>
      <c r="CQ163">
        <f t="shared" si="101"/>
        <v>0</v>
      </c>
      <c r="CR163">
        <f t="shared" si="124"/>
        <v>0</v>
      </c>
      <c r="CS163">
        <f t="shared" si="102"/>
        <v>0</v>
      </c>
      <c r="CT163">
        <f t="shared" si="103"/>
        <v>0</v>
      </c>
      <c r="CU163">
        <f t="shared" si="104"/>
        <v>0</v>
      </c>
      <c r="CV163">
        <f t="shared" si="105"/>
        <v>0</v>
      </c>
      <c r="CW163">
        <f t="shared" si="106"/>
        <v>0</v>
      </c>
      <c r="CX163">
        <f t="shared" si="107"/>
        <v>0</v>
      </c>
      <c r="CY163">
        <f>S163*(BZ163/100)</f>
        <v>0</v>
      </c>
      <c r="CZ163">
        <f>S163*(CA163/100)</f>
        <v>0</v>
      </c>
      <c r="DC163" t="s">
        <v>3</v>
      </c>
      <c r="DD163" t="s">
        <v>3</v>
      </c>
      <c r="DE163" t="s">
        <v>3</v>
      </c>
      <c r="DF163" t="s">
        <v>3</v>
      </c>
      <c r="DG163" t="s">
        <v>3</v>
      </c>
      <c r="DH163" t="s">
        <v>3</v>
      </c>
      <c r="DI163" t="s">
        <v>3</v>
      </c>
      <c r="DJ163" t="s">
        <v>3</v>
      </c>
      <c r="DK163" t="s">
        <v>3</v>
      </c>
      <c r="DL163" t="s">
        <v>3</v>
      </c>
      <c r="DM163" t="s">
        <v>3</v>
      </c>
      <c r="DN163">
        <v>80</v>
      </c>
      <c r="DO163">
        <v>55</v>
      </c>
      <c r="DP163">
        <v>1</v>
      </c>
      <c r="DQ163">
        <v>1</v>
      </c>
      <c r="DU163">
        <v>1009</v>
      </c>
      <c r="DV163" t="s">
        <v>114</v>
      </c>
      <c r="DW163" t="s">
        <v>114</v>
      </c>
      <c r="DX163">
        <v>1000</v>
      </c>
      <c r="DZ163" t="s">
        <v>3</v>
      </c>
      <c r="EA163" t="s">
        <v>3</v>
      </c>
      <c r="EB163" t="s">
        <v>3</v>
      </c>
      <c r="EC163" t="s">
        <v>3</v>
      </c>
      <c r="EE163">
        <v>126051888</v>
      </c>
      <c r="EF163">
        <v>60</v>
      </c>
      <c r="EG163" t="s">
        <v>150</v>
      </c>
      <c r="EH163">
        <v>0</v>
      </c>
      <c r="EI163" t="s">
        <v>3</v>
      </c>
      <c r="EJ163">
        <v>1</v>
      </c>
      <c r="EK163">
        <v>427</v>
      </c>
      <c r="EL163" t="s">
        <v>160</v>
      </c>
      <c r="EM163" t="s">
        <v>161</v>
      </c>
      <c r="EO163" t="s">
        <v>3</v>
      </c>
      <c r="EQ163">
        <v>0</v>
      </c>
      <c r="ER163">
        <v>0</v>
      </c>
      <c r="ES163">
        <v>0</v>
      </c>
      <c r="ET163">
        <v>0</v>
      </c>
      <c r="EU163">
        <v>0</v>
      </c>
      <c r="EV163">
        <v>0</v>
      </c>
      <c r="EW163">
        <v>0</v>
      </c>
      <c r="EX163">
        <v>0</v>
      </c>
      <c r="FQ163">
        <v>0</v>
      </c>
      <c r="FR163">
        <f t="shared" si="108"/>
        <v>0</v>
      </c>
      <c r="FS163">
        <v>0</v>
      </c>
      <c r="FX163">
        <v>80</v>
      </c>
      <c r="FY163">
        <v>55</v>
      </c>
      <c r="GA163" t="s">
        <v>3</v>
      </c>
      <c r="GD163">
        <v>0</v>
      </c>
      <c r="GF163">
        <v>1489638031</v>
      </c>
      <c r="GG163">
        <v>2</v>
      </c>
      <c r="GH163">
        <v>1</v>
      </c>
      <c r="GI163">
        <v>5</v>
      </c>
      <c r="GJ163">
        <v>0</v>
      </c>
      <c r="GK163">
        <f>ROUND(R163*(S12)/100,2)</f>
        <v>0</v>
      </c>
      <c r="GL163">
        <f t="shared" si="109"/>
        <v>0</v>
      </c>
      <c r="GM163">
        <f t="shared" si="110"/>
        <v>0</v>
      </c>
      <c r="GN163">
        <f t="shared" si="111"/>
        <v>0</v>
      </c>
      <c r="GO163">
        <f t="shared" si="112"/>
        <v>0</v>
      </c>
      <c r="GP163">
        <f t="shared" si="113"/>
        <v>0</v>
      </c>
      <c r="GR163">
        <v>0</v>
      </c>
      <c r="GS163">
        <v>3</v>
      </c>
      <c r="GT163">
        <v>0</v>
      </c>
      <c r="GU163" t="s">
        <v>3</v>
      </c>
      <c r="GV163">
        <f t="shared" si="114"/>
        <v>0</v>
      </c>
      <c r="GW163">
        <v>1</v>
      </c>
      <c r="GX163">
        <f t="shared" si="115"/>
        <v>0</v>
      </c>
      <c r="HA163">
        <v>0</v>
      </c>
      <c r="HB163">
        <v>0</v>
      </c>
      <c r="HC163">
        <f t="shared" si="116"/>
        <v>0</v>
      </c>
      <c r="HE163" t="s">
        <v>3</v>
      </c>
      <c r="HF163" t="s">
        <v>3</v>
      </c>
      <c r="HM163" t="s">
        <v>3</v>
      </c>
      <c r="HN163" t="s">
        <v>3</v>
      </c>
      <c r="HO163" t="s">
        <v>3</v>
      </c>
      <c r="HP163" t="s">
        <v>3</v>
      </c>
      <c r="HQ163" t="s">
        <v>3</v>
      </c>
      <c r="IK163">
        <v>0</v>
      </c>
    </row>
    <row r="164" spans="1:255" x14ac:dyDescent="0.2">
      <c r="A164" s="2">
        <v>17</v>
      </c>
      <c r="B164" s="2">
        <v>1</v>
      </c>
      <c r="C164" s="2">
        <f>ROW(SmtRes!A83)</f>
        <v>83</v>
      </c>
      <c r="D164" s="2">
        <f>ROW(EtalonRes!A85)</f>
        <v>85</v>
      </c>
      <c r="E164" s="2" t="s">
        <v>116</v>
      </c>
      <c r="F164" s="2" t="s">
        <v>164</v>
      </c>
      <c r="G164" s="2" t="s">
        <v>165</v>
      </c>
      <c r="H164" s="2" t="s">
        <v>166</v>
      </c>
      <c r="I164" s="2">
        <v>7.5</v>
      </c>
      <c r="J164" s="2">
        <v>0</v>
      </c>
      <c r="K164" s="2">
        <v>7.5</v>
      </c>
      <c r="L164" s="2"/>
      <c r="M164" s="2"/>
      <c r="N164" s="2"/>
      <c r="O164" s="2">
        <f t="shared" si="87"/>
        <v>3820.51</v>
      </c>
      <c r="P164" s="2">
        <f t="shared" si="88"/>
        <v>0</v>
      </c>
      <c r="Q164" s="2">
        <f t="shared" si="117"/>
        <v>2425.88</v>
      </c>
      <c r="R164" s="2">
        <f t="shared" si="89"/>
        <v>456.83</v>
      </c>
      <c r="S164" s="2">
        <f t="shared" si="90"/>
        <v>1394.63</v>
      </c>
      <c r="T164" s="2">
        <f t="shared" si="91"/>
        <v>0</v>
      </c>
      <c r="U164" s="2">
        <f t="shared" si="92"/>
        <v>99.9</v>
      </c>
      <c r="V164" s="2">
        <f t="shared" si="93"/>
        <v>0</v>
      </c>
      <c r="W164" s="2">
        <f t="shared" si="94"/>
        <v>0</v>
      </c>
      <c r="X164" s="2">
        <f t="shared" si="95"/>
        <v>1115.7</v>
      </c>
      <c r="Y164" s="2">
        <f t="shared" si="96"/>
        <v>767.05</v>
      </c>
      <c r="Z164" s="2"/>
      <c r="AA164" s="2">
        <v>129761636</v>
      </c>
      <c r="AB164" s="2">
        <f t="shared" si="97"/>
        <v>509.4</v>
      </c>
      <c r="AC164" s="2">
        <f t="shared" si="118"/>
        <v>0</v>
      </c>
      <c r="AD164" s="2">
        <f t="shared" si="119"/>
        <v>323.45</v>
      </c>
      <c r="AE164" s="2">
        <f t="shared" si="120"/>
        <v>60.91</v>
      </c>
      <c r="AF164" s="2">
        <f t="shared" si="121"/>
        <v>185.95</v>
      </c>
      <c r="AG164" s="2">
        <f t="shared" si="98"/>
        <v>0</v>
      </c>
      <c r="AH164" s="2">
        <f t="shared" si="122"/>
        <v>13.32</v>
      </c>
      <c r="AI164" s="2">
        <f t="shared" si="123"/>
        <v>0</v>
      </c>
      <c r="AJ164" s="2">
        <f t="shared" si="99"/>
        <v>0</v>
      </c>
      <c r="AK164" s="2">
        <v>509.4</v>
      </c>
      <c r="AL164" s="2">
        <v>0</v>
      </c>
      <c r="AM164" s="2">
        <v>323.45</v>
      </c>
      <c r="AN164" s="2">
        <v>60.91</v>
      </c>
      <c r="AO164" s="2">
        <v>185.95</v>
      </c>
      <c r="AP164" s="2">
        <v>0</v>
      </c>
      <c r="AQ164" s="2">
        <v>13.32</v>
      </c>
      <c r="AR164" s="2">
        <v>0</v>
      </c>
      <c r="AS164" s="2">
        <v>0</v>
      </c>
      <c r="AT164" s="2">
        <v>80</v>
      </c>
      <c r="AU164" s="2">
        <v>55</v>
      </c>
      <c r="AV164" s="2">
        <v>1</v>
      </c>
      <c r="AW164" s="2">
        <v>1</v>
      </c>
      <c r="AX164" s="2"/>
      <c r="AY164" s="2"/>
      <c r="AZ164" s="2">
        <v>1</v>
      </c>
      <c r="BA164" s="2">
        <v>1</v>
      </c>
      <c r="BB164" s="2">
        <v>1</v>
      </c>
      <c r="BC164" s="2">
        <v>1</v>
      </c>
      <c r="BD164" s="2" t="s">
        <v>3</v>
      </c>
      <c r="BE164" s="2" t="s">
        <v>3</v>
      </c>
      <c r="BF164" s="2" t="s">
        <v>3</v>
      </c>
      <c r="BG164" s="2" t="s">
        <v>3</v>
      </c>
      <c r="BH164" s="2">
        <v>0</v>
      </c>
      <c r="BI164" s="2">
        <v>1</v>
      </c>
      <c r="BJ164" s="2" t="s">
        <v>167</v>
      </c>
      <c r="BK164" s="2"/>
      <c r="BL164" s="2"/>
      <c r="BM164" s="2">
        <v>394</v>
      </c>
      <c r="BN164" s="2">
        <v>0</v>
      </c>
      <c r="BO164" s="2" t="s">
        <v>3</v>
      </c>
      <c r="BP164" s="2">
        <v>0</v>
      </c>
      <c r="BQ164" s="2">
        <v>60</v>
      </c>
      <c r="BR164" s="2">
        <v>0</v>
      </c>
      <c r="BS164" s="2">
        <v>1</v>
      </c>
      <c r="BT164" s="2">
        <v>1</v>
      </c>
      <c r="BU164" s="2">
        <v>1</v>
      </c>
      <c r="BV164" s="2">
        <v>1</v>
      </c>
      <c r="BW164" s="2">
        <v>1</v>
      </c>
      <c r="BX164" s="2">
        <v>1</v>
      </c>
      <c r="BY164" s="2" t="s">
        <v>3</v>
      </c>
      <c r="BZ164" s="2">
        <v>80</v>
      </c>
      <c r="CA164" s="2">
        <v>55</v>
      </c>
      <c r="CB164" s="2" t="s">
        <v>3</v>
      </c>
      <c r="CC164" s="2"/>
      <c r="CD164" s="2"/>
      <c r="CE164" s="2">
        <v>30</v>
      </c>
      <c r="CF164" s="2">
        <v>0</v>
      </c>
      <c r="CG164" s="2">
        <v>0</v>
      </c>
      <c r="CH164" s="2"/>
      <c r="CI164" s="2"/>
      <c r="CJ164" s="2"/>
      <c r="CK164" s="2"/>
      <c r="CL164" s="2"/>
      <c r="CM164" s="2">
        <v>0</v>
      </c>
      <c r="CN164" s="2" t="s">
        <v>3</v>
      </c>
      <c r="CO164" s="2">
        <v>0</v>
      </c>
      <c r="CP164" s="2">
        <f t="shared" si="100"/>
        <v>3820.51</v>
      </c>
      <c r="CQ164" s="2">
        <f t="shared" si="101"/>
        <v>0</v>
      </c>
      <c r="CR164" s="2">
        <f t="shared" si="124"/>
        <v>323.45</v>
      </c>
      <c r="CS164" s="2">
        <f t="shared" si="102"/>
        <v>60.91</v>
      </c>
      <c r="CT164" s="2">
        <f t="shared" si="103"/>
        <v>185.95</v>
      </c>
      <c r="CU164" s="2">
        <f t="shared" si="104"/>
        <v>0</v>
      </c>
      <c r="CV164" s="2">
        <f t="shared" si="105"/>
        <v>13.32</v>
      </c>
      <c r="CW164" s="2">
        <f t="shared" si="106"/>
        <v>0</v>
      </c>
      <c r="CX164" s="2">
        <f t="shared" si="107"/>
        <v>0</v>
      </c>
      <c r="CY164" s="2">
        <f>((S164*BZ164)/100)</f>
        <v>1115.7040000000002</v>
      </c>
      <c r="CZ164" s="2">
        <f>((S164*CA164)/100)</f>
        <v>767.04650000000004</v>
      </c>
      <c r="DA164" s="2"/>
      <c r="DB164" s="2"/>
      <c r="DC164" s="2" t="s">
        <v>3</v>
      </c>
      <c r="DD164" s="2" t="s">
        <v>3</v>
      </c>
      <c r="DE164" s="2" t="s">
        <v>3</v>
      </c>
      <c r="DF164" s="2" t="s">
        <v>3</v>
      </c>
      <c r="DG164" s="2" t="s">
        <v>3</v>
      </c>
      <c r="DH164" s="2" t="s">
        <v>3</v>
      </c>
      <c r="DI164" s="2" t="s">
        <v>3</v>
      </c>
      <c r="DJ164" s="2" t="s">
        <v>3</v>
      </c>
      <c r="DK164" s="2" t="s">
        <v>3</v>
      </c>
      <c r="DL164" s="2" t="s">
        <v>3</v>
      </c>
      <c r="DM164" s="2" t="s">
        <v>3</v>
      </c>
      <c r="DN164" s="2">
        <v>0</v>
      </c>
      <c r="DO164" s="2">
        <v>0</v>
      </c>
      <c r="DP164" s="2">
        <v>1</v>
      </c>
      <c r="DQ164" s="2">
        <v>1</v>
      </c>
      <c r="DR164" s="2"/>
      <c r="DS164" s="2"/>
      <c r="DT164" s="2"/>
      <c r="DU164" s="2">
        <v>1013</v>
      </c>
      <c r="DV164" s="2" t="s">
        <v>166</v>
      </c>
      <c r="DW164" s="2" t="s">
        <v>166</v>
      </c>
      <c r="DX164" s="2">
        <v>1</v>
      </c>
      <c r="DY164" s="2"/>
      <c r="DZ164" s="2" t="s">
        <v>3</v>
      </c>
      <c r="EA164" s="2" t="s">
        <v>3</v>
      </c>
      <c r="EB164" s="2" t="s">
        <v>3</v>
      </c>
      <c r="EC164" s="2" t="s">
        <v>3</v>
      </c>
      <c r="ED164" s="2"/>
      <c r="EE164" s="2">
        <v>126051855</v>
      </c>
      <c r="EF164" s="2">
        <v>60</v>
      </c>
      <c r="EG164" s="2" t="s">
        <v>150</v>
      </c>
      <c r="EH164" s="2">
        <v>0</v>
      </c>
      <c r="EI164" s="2" t="s">
        <v>3</v>
      </c>
      <c r="EJ164" s="2">
        <v>1</v>
      </c>
      <c r="EK164" s="2">
        <v>394</v>
      </c>
      <c r="EL164" s="2" t="s">
        <v>168</v>
      </c>
      <c r="EM164" s="2" t="s">
        <v>169</v>
      </c>
      <c r="EN164" s="2"/>
      <c r="EO164" s="2" t="s">
        <v>3</v>
      </c>
      <c r="EP164" s="2"/>
      <c r="EQ164" s="2">
        <v>131072</v>
      </c>
      <c r="ER164" s="2">
        <v>509.4</v>
      </c>
      <c r="ES164" s="2">
        <v>0</v>
      </c>
      <c r="ET164" s="2">
        <v>323.45</v>
      </c>
      <c r="EU164" s="2">
        <v>60.91</v>
      </c>
      <c r="EV164" s="2">
        <v>185.95</v>
      </c>
      <c r="EW164" s="2">
        <v>13.32</v>
      </c>
      <c r="EX164" s="2">
        <v>0</v>
      </c>
      <c r="EY164" s="2">
        <v>0</v>
      </c>
      <c r="EZ164" s="2"/>
      <c r="FA164" s="2"/>
      <c r="FB164" s="2"/>
      <c r="FC164" s="2"/>
      <c r="FD164" s="2"/>
      <c r="FE164" s="2"/>
      <c r="FF164" s="2"/>
      <c r="FG164" s="2"/>
      <c r="FH164" s="2"/>
      <c r="FI164" s="2"/>
      <c r="FJ164" s="2"/>
      <c r="FK164" s="2"/>
      <c r="FL164" s="2"/>
      <c r="FM164" s="2"/>
      <c r="FN164" s="2"/>
      <c r="FO164" s="2"/>
      <c r="FP164" s="2"/>
      <c r="FQ164" s="2">
        <v>0</v>
      </c>
      <c r="FR164" s="2">
        <f t="shared" si="108"/>
        <v>0</v>
      </c>
      <c r="FS164" s="2">
        <v>0</v>
      </c>
      <c r="FT164" s="2"/>
      <c r="FU164" s="2"/>
      <c r="FV164" s="2"/>
      <c r="FW164" s="2"/>
      <c r="FX164" s="2">
        <v>80</v>
      </c>
      <c r="FY164" s="2">
        <v>55</v>
      </c>
      <c r="FZ164" s="2"/>
      <c r="GA164" s="2" t="s">
        <v>3</v>
      </c>
      <c r="GB164" s="2"/>
      <c r="GC164" s="2"/>
      <c r="GD164" s="2">
        <v>0</v>
      </c>
      <c r="GE164" s="2"/>
      <c r="GF164" s="2">
        <v>-1227391806</v>
      </c>
      <c r="GG164" s="2">
        <v>2</v>
      </c>
      <c r="GH164" s="2">
        <v>1</v>
      </c>
      <c r="GI164" s="2">
        <v>-2</v>
      </c>
      <c r="GJ164" s="2">
        <v>0</v>
      </c>
      <c r="GK164" s="2">
        <f>ROUND(R164*(R12)/100,2)</f>
        <v>799.45</v>
      </c>
      <c r="GL164" s="2">
        <f t="shared" si="109"/>
        <v>0</v>
      </c>
      <c r="GM164" s="2">
        <f t="shared" si="110"/>
        <v>6502.71</v>
      </c>
      <c r="GN164" s="2">
        <f t="shared" si="111"/>
        <v>6502.71</v>
      </c>
      <c r="GO164" s="2">
        <f t="shared" si="112"/>
        <v>0</v>
      </c>
      <c r="GP164" s="2">
        <f t="shared" si="113"/>
        <v>0</v>
      </c>
      <c r="GQ164" s="2"/>
      <c r="GR164" s="2">
        <v>0</v>
      </c>
      <c r="GS164" s="2">
        <v>0</v>
      </c>
      <c r="GT164" s="2">
        <v>0</v>
      </c>
      <c r="GU164" s="2" t="s">
        <v>3</v>
      </c>
      <c r="GV164" s="2">
        <f t="shared" si="114"/>
        <v>0</v>
      </c>
      <c r="GW164" s="2">
        <v>1</v>
      </c>
      <c r="GX164" s="2">
        <f t="shared" si="115"/>
        <v>0</v>
      </c>
      <c r="GY164" s="2"/>
      <c r="GZ164" s="2"/>
      <c r="HA164" s="2">
        <v>0</v>
      </c>
      <c r="HB164" s="2">
        <v>0</v>
      </c>
      <c r="HC164" s="2">
        <f t="shared" si="116"/>
        <v>0</v>
      </c>
      <c r="HD164" s="2"/>
      <c r="HE164" s="2" t="s">
        <v>3</v>
      </c>
      <c r="HF164" s="2" t="s">
        <v>3</v>
      </c>
      <c r="HG164" s="2"/>
      <c r="HH164" s="2"/>
      <c r="HI164" s="2"/>
      <c r="HJ164" s="2"/>
      <c r="HK164" s="2"/>
      <c r="HL164" s="2"/>
      <c r="HM164" s="2" t="s">
        <v>3</v>
      </c>
      <c r="HN164" s="2" t="s">
        <v>3</v>
      </c>
      <c r="HO164" s="2" t="s">
        <v>3</v>
      </c>
      <c r="HP164" s="2" t="s">
        <v>3</v>
      </c>
      <c r="HQ164" s="2" t="s">
        <v>3</v>
      </c>
      <c r="HR164" s="2"/>
      <c r="HS164" s="2"/>
      <c r="HT164" s="2"/>
      <c r="HU164" s="2"/>
      <c r="HV164" s="2"/>
      <c r="HW164" s="2"/>
      <c r="HX164" s="2"/>
      <c r="HY164" s="2"/>
      <c r="HZ164" s="2"/>
      <c r="IA164" s="2"/>
      <c r="IB164" s="2"/>
      <c r="IC164" s="2"/>
      <c r="ID164" s="2"/>
      <c r="IE164" s="2"/>
      <c r="IF164" s="2"/>
      <c r="IG164" s="2"/>
      <c r="IH164" s="2"/>
      <c r="II164" s="2"/>
      <c r="IJ164" s="2"/>
      <c r="IK164" s="2">
        <v>0</v>
      </c>
      <c r="IL164" s="2"/>
      <c r="IM164" s="2"/>
      <c r="IN164" s="2"/>
      <c r="IO164" s="2"/>
      <c r="IP164" s="2"/>
      <c r="IQ164" s="2"/>
      <c r="IR164" s="2"/>
      <c r="IS164" s="2"/>
      <c r="IT164" s="2"/>
      <c r="IU164" s="2"/>
    </row>
    <row r="165" spans="1:255" x14ac:dyDescent="0.2">
      <c r="A165">
        <v>17</v>
      </c>
      <c r="B165">
        <v>1</v>
      </c>
      <c r="C165">
        <f>ROW(SmtRes!A86)</f>
        <v>86</v>
      </c>
      <c r="D165">
        <f>ROW(EtalonRes!A88)</f>
        <v>88</v>
      </c>
      <c r="E165" t="s">
        <v>116</v>
      </c>
      <c r="F165" t="s">
        <v>164</v>
      </c>
      <c r="G165" t="s">
        <v>165</v>
      </c>
      <c r="H165" t="s">
        <v>166</v>
      </c>
      <c r="I165">
        <v>7.5</v>
      </c>
      <c r="J165">
        <v>0</v>
      </c>
      <c r="K165">
        <v>7.5</v>
      </c>
      <c r="O165">
        <f t="shared" si="87"/>
        <v>70712.570000000007</v>
      </c>
      <c r="P165">
        <f t="shared" si="88"/>
        <v>0</v>
      </c>
      <c r="Q165">
        <f t="shared" si="117"/>
        <v>30226.46</v>
      </c>
      <c r="R165">
        <f t="shared" si="89"/>
        <v>13261.77</v>
      </c>
      <c r="S165">
        <f t="shared" si="90"/>
        <v>40486.11</v>
      </c>
      <c r="T165">
        <f t="shared" si="91"/>
        <v>0</v>
      </c>
      <c r="U165">
        <f t="shared" si="92"/>
        <v>99.9</v>
      </c>
      <c r="V165">
        <f t="shared" si="93"/>
        <v>0</v>
      </c>
      <c r="W165">
        <f t="shared" si="94"/>
        <v>0</v>
      </c>
      <c r="X165">
        <f t="shared" si="95"/>
        <v>28340.28</v>
      </c>
      <c r="Y165">
        <f t="shared" si="96"/>
        <v>16599.310000000001</v>
      </c>
      <c r="AA165">
        <v>129761633</v>
      </c>
      <c r="AB165">
        <f t="shared" si="97"/>
        <v>509.4</v>
      </c>
      <c r="AC165">
        <f t="shared" si="118"/>
        <v>0</v>
      </c>
      <c r="AD165">
        <f t="shared" si="119"/>
        <v>323.45</v>
      </c>
      <c r="AE165">
        <f t="shared" si="120"/>
        <v>60.91</v>
      </c>
      <c r="AF165">
        <f t="shared" si="121"/>
        <v>185.95</v>
      </c>
      <c r="AG165">
        <f t="shared" si="98"/>
        <v>0</v>
      </c>
      <c r="AH165">
        <f t="shared" si="122"/>
        <v>13.32</v>
      </c>
      <c r="AI165">
        <f t="shared" si="123"/>
        <v>0</v>
      </c>
      <c r="AJ165">
        <f t="shared" si="99"/>
        <v>0</v>
      </c>
      <c r="AK165">
        <v>509.4</v>
      </c>
      <c r="AL165">
        <v>0</v>
      </c>
      <c r="AM165">
        <v>323.45</v>
      </c>
      <c r="AN165">
        <v>60.91</v>
      </c>
      <c r="AO165">
        <v>185.95</v>
      </c>
      <c r="AP165">
        <v>0</v>
      </c>
      <c r="AQ165">
        <v>13.32</v>
      </c>
      <c r="AR165">
        <v>0</v>
      </c>
      <c r="AS165">
        <v>0</v>
      </c>
      <c r="AT165">
        <v>70</v>
      </c>
      <c r="AU165">
        <v>41</v>
      </c>
      <c r="AV165">
        <v>1</v>
      </c>
      <c r="AW165">
        <v>1</v>
      </c>
      <c r="AZ165">
        <v>1</v>
      </c>
      <c r="BA165">
        <v>29.03</v>
      </c>
      <c r="BB165">
        <v>12.46</v>
      </c>
      <c r="BC165">
        <v>1</v>
      </c>
      <c r="BD165" t="s">
        <v>3</v>
      </c>
      <c r="BE165" t="s">
        <v>3</v>
      </c>
      <c r="BF165" t="s">
        <v>3</v>
      </c>
      <c r="BG165" t="s">
        <v>3</v>
      </c>
      <c r="BH165">
        <v>0</v>
      </c>
      <c r="BI165">
        <v>1</v>
      </c>
      <c r="BJ165" t="s">
        <v>167</v>
      </c>
      <c r="BM165">
        <v>394</v>
      </c>
      <c r="BN165">
        <v>0</v>
      </c>
      <c r="BO165" t="s">
        <v>164</v>
      </c>
      <c r="BP165">
        <v>1</v>
      </c>
      <c r="BQ165">
        <v>60</v>
      </c>
      <c r="BR165">
        <v>0</v>
      </c>
      <c r="BS165">
        <v>29.03</v>
      </c>
      <c r="BT165">
        <v>1</v>
      </c>
      <c r="BU165">
        <v>1</v>
      </c>
      <c r="BV165">
        <v>1</v>
      </c>
      <c r="BW165">
        <v>1</v>
      </c>
      <c r="BX165">
        <v>1</v>
      </c>
      <c r="BY165" t="s">
        <v>3</v>
      </c>
      <c r="BZ165">
        <v>70</v>
      </c>
      <c r="CA165">
        <v>41</v>
      </c>
      <c r="CB165" t="s">
        <v>3</v>
      </c>
      <c r="CE165">
        <v>30</v>
      </c>
      <c r="CF165">
        <v>0</v>
      </c>
      <c r="CG165">
        <v>0</v>
      </c>
      <c r="CM165">
        <v>0</v>
      </c>
      <c r="CN165" t="s">
        <v>3</v>
      </c>
      <c r="CO165">
        <v>0</v>
      </c>
      <c r="CP165">
        <f t="shared" si="100"/>
        <v>70712.570000000007</v>
      </c>
      <c r="CQ165">
        <f t="shared" si="101"/>
        <v>0</v>
      </c>
      <c r="CR165">
        <f t="shared" si="124"/>
        <v>4030.19</v>
      </c>
      <c r="CS165">
        <f t="shared" si="102"/>
        <v>1768.22</v>
      </c>
      <c r="CT165">
        <f t="shared" si="103"/>
        <v>5398.13</v>
      </c>
      <c r="CU165">
        <f t="shared" si="104"/>
        <v>0</v>
      </c>
      <c r="CV165">
        <f t="shared" si="105"/>
        <v>13.32</v>
      </c>
      <c r="CW165">
        <f t="shared" si="106"/>
        <v>0</v>
      </c>
      <c r="CX165">
        <f t="shared" si="107"/>
        <v>0</v>
      </c>
      <c r="CY165">
        <f>S165*(BZ165/100)</f>
        <v>28340.276999999998</v>
      </c>
      <c r="CZ165">
        <f>S165*(CA165/100)</f>
        <v>16599.305099999998</v>
      </c>
      <c r="DC165" t="s">
        <v>3</v>
      </c>
      <c r="DD165" t="s">
        <v>3</v>
      </c>
      <c r="DE165" t="s">
        <v>3</v>
      </c>
      <c r="DF165" t="s">
        <v>3</v>
      </c>
      <c r="DG165" t="s">
        <v>3</v>
      </c>
      <c r="DH165" t="s">
        <v>3</v>
      </c>
      <c r="DI165" t="s">
        <v>3</v>
      </c>
      <c r="DJ165" t="s">
        <v>3</v>
      </c>
      <c r="DK165" t="s">
        <v>3</v>
      </c>
      <c r="DL165" t="s">
        <v>3</v>
      </c>
      <c r="DM165" t="s">
        <v>3</v>
      </c>
      <c r="DN165">
        <v>80</v>
      </c>
      <c r="DO165">
        <v>55</v>
      </c>
      <c r="DP165">
        <v>1</v>
      </c>
      <c r="DQ165">
        <v>1</v>
      </c>
      <c r="DU165">
        <v>1013</v>
      </c>
      <c r="DV165" t="s">
        <v>166</v>
      </c>
      <c r="DW165" t="s">
        <v>166</v>
      </c>
      <c r="DX165">
        <v>1</v>
      </c>
      <c r="DZ165" t="s">
        <v>3</v>
      </c>
      <c r="EA165" t="s">
        <v>3</v>
      </c>
      <c r="EB165" t="s">
        <v>3</v>
      </c>
      <c r="EC165" t="s">
        <v>3</v>
      </c>
      <c r="EE165">
        <v>126051855</v>
      </c>
      <c r="EF165">
        <v>60</v>
      </c>
      <c r="EG165" t="s">
        <v>150</v>
      </c>
      <c r="EH165">
        <v>0</v>
      </c>
      <c r="EI165" t="s">
        <v>3</v>
      </c>
      <c r="EJ165">
        <v>1</v>
      </c>
      <c r="EK165">
        <v>394</v>
      </c>
      <c r="EL165" t="s">
        <v>168</v>
      </c>
      <c r="EM165" t="s">
        <v>169</v>
      </c>
      <c r="EO165" t="s">
        <v>3</v>
      </c>
      <c r="EQ165">
        <v>131072</v>
      </c>
      <c r="ER165">
        <v>509.4</v>
      </c>
      <c r="ES165">
        <v>0</v>
      </c>
      <c r="ET165">
        <v>323.45</v>
      </c>
      <c r="EU165">
        <v>60.91</v>
      </c>
      <c r="EV165">
        <v>185.95</v>
      </c>
      <c r="EW165">
        <v>13.32</v>
      </c>
      <c r="EX165">
        <v>0</v>
      </c>
      <c r="EY165">
        <v>0</v>
      </c>
      <c r="FQ165">
        <v>0</v>
      </c>
      <c r="FR165">
        <f t="shared" si="108"/>
        <v>0</v>
      </c>
      <c r="FS165">
        <v>0</v>
      </c>
      <c r="FX165">
        <v>80</v>
      </c>
      <c r="FY165">
        <v>55</v>
      </c>
      <c r="GA165" t="s">
        <v>3</v>
      </c>
      <c r="GD165">
        <v>0</v>
      </c>
      <c r="GF165">
        <v>-1227391806</v>
      </c>
      <c r="GG165">
        <v>2</v>
      </c>
      <c r="GH165">
        <v>1</v>
      </c>
      <c r="GI165">
        <v>2</v>
      </c>
      <c r="GJ165">
        <v>0</v>
      </c>
      <c r="GK165">
        <f>ROUND(R165*(S12)/100,2)</f>
        <v>21218.83</v>
      </c>
      <c r="GL165">
        <f t="shared" si="109"/>
        <v>0</v>
      </c>
      <c r="GM165">
        <f t="shared" si="110"/>
        <v>136870.99</v>
      </c>
      <c r="GN165">
        <f t="shared" si="111"/>
        <v>136870.99</v>
      </c>
      <c r="GO165">
        <f t="shared" si="112"/>
        <v>0</v>
      </c>
      <c r="GP165">
        <f t="shared" si="113"/>
        <v>0</v>
      </c>
      <c r="GR165">
        <v>0</v>
      </c>
      <c r="GS165">
        <v>3</v>
      </c>
      <c r="GT165">
        <v>0</v>
      </c>
      <c r="GU165" t="s">
        <v>3</v>
      </c>
      <c r="GV165">
        <f t="shared" si="114"/>
        <v>0</v>
      </c>
      <c r="GW165">
        <v>1</v>
      </c>
      <c r="GX165">
        <f t="shared" si="115"/>
        <v>0</v>
      </c>
      <c r="HA165">
        <v>0</v>
      </c>
      <c r="HB165">
        <v>0</v>
      </c>
      <c r="HC165">
        <f t="shared" si="116"/>
        <v>0</v>
      </c>
      <c r="HE165" t="s">
        <v>3</v>
      </c>
      <c r="HF165" t="s">
        <v>3</v>
      </c>
      <c r="HM165" t="s">
        <v>3</v>
      </c>
      <c r="HN165" t="s">
        <v>3</v>
      </c>
      <c r="HO165" t="s">
        <v>3</v>
      </c>
      <c r="HP165" t="s">
        <v>3</v>
      </c>
      <c r="HQ165" t="s">
        <v>3</v>
      </c>
      <c r="IK165">
        <v>0</v>
      </c>
    </row>
    <row r="166" spans="1:255" x14ac:dyDescent="0.2">
      <c r="A166" s="2">
        <v>18</v>
      </c>
      <c r="B166" s="2">
        <v>1</v>
      </c>
      <c r="C166" s="2">
        <v>83</v>
      </c>
      <c r="D166" s="2"/>
      <c r="E166" s="2" t="s">
        <v>123</v>
      </c>
      <c r="F166" s="2" t="s">
        <v>162</v>
      </c>
      <c r="G166" s="2" t="s">
        <v>163</v>
      </c>
      <c r="H166" s="2" t="s">
        <v>114</v>
      </c>
      <c r="I166" s="2">
        <f>I164*J166</f>
        <v>-18.75</v>
      </c>
      <c r="J166" s="2">
        <v>-2.5</v>
      </c>
      <c r="K166" s="2">
        <v>-2.5</v>
      </c>
      <c r="L166" s="2"/>
      <c r="M166" s="2"/>
      <c r="N166" s="2"/>
      <c r="O166" s="2">
        <f t="shared" si="87"/>
        <v>0</v>
      </c>
      <c r="P166" s="2">
        <f t="shared" si="88"/>
        <v>0</v>
      </c>
      <c r="Q166" s="2">
        <f t="shared" si="117"/>
        <v>0</v>
      </c>
      <c r="R166" s="2">
        <f t="shared" si="89"/>
        <v>0</v>
      </c>
      <c r="S166" s="2">
        <f t="shared" si="90"/>
        <v>0</v>
      </c>
      <c r="T166" s="2">
        <f t="shared" si="91"/>
        <v>0</v>
      </c>
      <c r="U166" s="2">
        <f t="shared" si="92"/>
        <v>0</v>
      </c>
      <c r="V166" s="2">
        <f t="shared" si="93"/>
        <v>0</v>
      </c>
      <c r="W166" s="2">
        <f t="shared" si="94"/>
        <v>0</v>
      </c>
      <c r="X166" s="2">
        <f t="shared" si="95"/>
        <v>0</v>
      </c>
      <c r="Y166" s="2">
        <f t="shared" si="96"/>
        <v>0</v>
      </c>
      <c r="Z166" s="2"/>
      <c r="AA166" s="2">
        <v>129761636</v>
      </c>
      <c r="AB166" s="2">
        <f t="shared" si="97"/>
        <v>0</v>
      </c>
      <c r="AC166" s="2">
        <f t="shared" si="118"/>
        <v>0</v>
      </c>
      <c r="AD166" s="2">
        <f t="shared" si="119"/>
        <v>0</v>
      </c>
      <c r="AE166" s="2">
        <f t="shared" si="120"/>
        <v>0</v>
      </c>
      <c r="AF166" s="2">
        <f t="shared" si="121"/>
        <v>0</v>
      </c>
      <c r="AG166" s="2">
        <f t="shared" si="98"/>
        <v>0</v>
      </c>
      <c r="AH166" s="2">
        <f t="shared" si="122"/>
        <v>0</v>
      </c>
      <c r="AI166" s="2">
        <f t="shared" si="123"/>
        <v>0</v>
      </c>
      <c r="AJ166" s="2">
        <f t="shared" si="99"/>
        <v>0</v>
      </c>
      <c r="AK166" s="2">
        <v>0</v>
      </c>
      <c r="AL166" s="2">
        <v>0</v>
      </c>
      <c r="AM166" s="2">
        <v>0</v>
      </c>
      <c r="AN166" s="2">
        <v>0</v>
      </c>
      <c r="AO166" s="2">
        <v>0</v>
      </c>
      <c r="AP166" s="2">
        <v>0</v>
      </c>
      <c r="AQ166" s="2">
        <v>0</v>
      </c>
      <c r="AR166" s="2">
        <v>0</v>
      </c>
      <c r="AS166" s="2">
        <v>0</v>
      </c>
      <c r="AT166" s="2">
        <v>80</v>
      </c>
      <c r="AU166" s="2">
        <v>55</v>
      </c>
      <c r="AV166" s="2">
        <v>1</v>
      </c>
      <c r="AW166" s="2">
        <v>1</v>
      </c>
      <c r="AX166" s="2"/>
      <c r="AY166" s="2"/>
      <c r="AZ166" s="2">
        <v>1</v>
      </c>
      <c r="BA166" s="2">
        <v>1</v>
      </c>
      <c r="BB166" s="2">
        <v>1</v>
      </c>
      <c r="BC166" s="2">
        <v>1</v>
      </c>
      <c r="BD166" s="2" t="s">
        <v>3</v>
      </c>
      <c r="BE166" s="2" t="s">
        <v>3</v>
      </c>
      <c r="BF166" s="2" t="s">
        <v>3</v>
      </c>
      <c r="BG166" s="2" t="s">
        <v>3</v>
      </c>
      <c r="BH166" s="2">
        <v>3</v>
      </c>
      <c r="BI166" s="2">
        <v>1</v>
      </c>
      <c r="BJ166" s="2" t="s">
        <v>3</v>
      </c>
      <c r="BK166" s="2"/>
      <c r="BL166" s="2"/>
      <c r="BM166" s="2">
        <v>394</v>
      </c>
      <c r="BN166" s="2">
        <v>0</v>
      </c>
      <c r="BO166" s="2" t="s">
        <v>3</v>
      </c>
      <c r="BP166" s="2">
        <v>0</v>
      </c>
      <c r="BQ166" s="2">
        <v>60</v>
      </c>
      <c r="BR166" s="2">
        <v>1</v>
      </c>
      <c r="BS166" s="2">
        <v>1</v>
      </c>
      <c r="BT166" s="2">
        <v>1</v>
      </c>
      <c r="BU166" s="2">
        <v>1</v>
      </c>
      <c r="BV166" s="2">
        <v>1</v>
      </c>
      <c r="BW166" s="2">
        <v>1</v>
      </c>
      <c r="BX166" s="2">
        <v>1</v>
      </c>
      <c r="BY166" s="2" t="s">
        <v>3</v>
      </c>
      <c r="BZ166" s="2">
        <v>80</v>
      </c>
      <c r="CA166" s="2">
        <v>55</v>
      </c>
      <c r="CB166" s="2" t="s">
        <v>3</v>
      </c>
      <c r="CC166" s="2"/>
      <c r="CD166" s="2"/>
      <c r="CE166" s="2">
        <v>30</v>
      </c>
      <c r="CF166" s="2">
        <v>0</v>
      </c>
      <c r="CG166" s="2">
        <v>0</v>
      </c>
      <c r="CH166" s="2"/>
      <c r="CI166" s="2"/>
      <c r="CJ166" s="2"/>
      <c r="CK166" s="2"/>
      <c r="CL166" s="2"/>
      <c r="CM166" s="2">
        <v>0</v>
      </c>
      <c r="CN166" s="2" t="s">
        <v>3</v>
      </c>
      <c r="CO166" s="2">
        <v>0</v>
      </c>
      <c r="CP166" s="2">
        <f t="shared" si="100"/>
        <v>0</v>
      </c>
      <c r="CQ166" s="2">
        <f t="shared" si="101"/>
        <v>0</v>
      </c>
      <c r="CR166" s="2">
        <f t="shared" si="124"/>
        <v>0</v>
      </c>
      <c r="CS166" s="2">
        <f t="shared" si="102"/>
        <v>0</v>
      </c>
      <c r="CT166" s="2">
        <f t="shared" si="103"/>
        <v>0</v>
      </c>
      <c r="CU166" s="2">
        <f t="shared" si="104"/>
        <v>0</v>
      </c>
      <c r="CV166" s="2">
        <f t="shared" si="105"/>
        <v>0</v>
      </c>
      <c r="CW166" s="2">
        <f t="shared" si="106"/>
        <v>0</v>
      </c>
      <c r="CX166" s="2">
        <f t="shared" si="107"/>
        <v>0</v>
      </c>
      <c r="CY166" s="2">
        <f>((S166*BZ166)/100)</f>
        <v>0</v>
      </c>
      <c r="CZ166" s="2">
        <f>((S166*CA166)/100)</f>
        <v>0</v>
      </c>
      <c r="DA166" s="2"/>
      <c r="DB166" s="2"/>
      <c r="DC166" s="2" t="s">
        <v>3</v>
      </c>
      <c r="DD166" s="2" t="s">
        <v>3</v>
      </c>
      <c r="DE166" s="2" t="s">
        <v>3</v>
      </c>
      <c r="DF166" s="2" t="s">
        <v>3</v>
      </c>
      <c r="DG166" s="2" t="s">
        <v>3</v>
      </c>
      <c r="DH166" s="2" t="s">
        <v>3</v>
      </c>
      <c r="DI166" s="2" t="s">
        <v>3</v>
      </c>
      <c r="DJ166" s="2" t="s">
        <v>3</v>
      </c>
      <c r="DK166" s="2" t="s">
        <v>3</v>
      </c>
      <c r="DL166" s="2" t="s">
        <v>3</v>
      </c>
      <c r="DM166" s="2" t="s">
        <v>3</v>
      </c>
      <c r="DN166" s="2">
        <v>0</v>
      </c>
      <c r="DO166" s="2">
        <v>0</v>
      </c>
      <c r="DP166" s="2">
        <v>1</v>
      </c>
      <c r="DQ166" s="2">
        <v>1</v>
      </c>
      <c r="DR166" s="2"/>
      <c r="DS166" s="2"/>
      <c r="DT166" s="2"/>
      <c r="DU166" s="2">
        <v>1009</v>
      </c>
      <c r="DV166" s="2" t="s">
        <v>114</v>
      </c>
      <c r="DW166" s="2" t="s">
        <v>114</v>
      </c>
      <c r="DX166" s="2">
        <v>1000</v>
      </c>
      <c r="DY166" s="2"/>
      <c r="DZ166" s="2" t="s">
        <v>3</v>
      </c>
      <c r="EA166" s="2" t="s">
        <v>3</v>
      </c>
      <c r="EB166" s="2" t="s">
        <v>3</v>
      </c>
      <c r="EC166" s="2" t="s">
        <v>3</v>
      </c>
      <c r="ED166" s="2"/>
      <c r="EE166" s="2">
        <v>126051855</v>
      </c>
      <c r="EF166" s="2">
        <v>60</v>
      </c>
      <c r="EG166" s="2" t="s">
        <v>150</v>
      </c>
      <c r="EH166" s="2">
        <v>0</v>
      </c>
      <c r="EI166" s="2" t="s">
        <v>3</v>
      </c>
      <c r="EJ166" s="2">
        <v>1</v>
      </c>
      <c r="EK166" s="2">
        <v>394</v>
      </c>
      <c r="EL166" s="2" t="s">
        <v>168</v>
      </c>
      <c r="EM166" s="2" t="s">
        <v>169</v>
      </c>
      <c r="EN166" s="2"/>
      <c r="EO166" s="2" t="s">
        <v>3</v>
      </c>
      <c r="EP166" s="2"/>
      <c r="EQ166" s="2">
        <v>0</v>
      </c>
      <c r="ER166" s="2">
        <v>0</v>
      </c>
      <c r="ES166" s="2">
        <v>0</v>
      </c>
      <c r="ET166" s="2">
        <v>0</v>
      </c>
      <c r="EU166" s="2">
        <v>0</v>
      </c>
      <c r="EV166" s="2">
        <v>0</v>
      </c>
      <c r="EW166" s="2">
        <v>0</v>
      </c>
      <c r="EX166" s="2">
        <v>0</v>
      </c>
      <c r="EY166" s="2"/>
      <c r="EZ166" s="2"/>
      <c r="FA166" s="2"/>
      <c r="FB166" s="2"/>
      <c r="FC166" s="2"/>
      <c r="FD166" s="2"/>
      <c r="FE166" s="2"/>
      <c r="FF166" s="2"/>
      <c r="FG166" s="2"/>
      <c r="FH166" s="2"/>
      <c r="FI166" s="2"/>
      <c r="FJ166" s="2"/>
      <c r="FK166" s="2"/>
      <c r="FL166" s="2"/>
      <c r="FM166" s="2"/>
      <c r="FN166" s="2"/>
      <c r="FO166" s="2"/>
      <c r="FP166" s="2"/>
      <c r="FQ166" s="2">
        <v>0</v>
      </c>
      <c r="FR166" s="2">
        <f t="shared" si="108"/>
        <v>0</v>
      </c>
      <c r="FS166" s="2">
        <v>0</v>
      </c>
      <c r="FT166" s="2"/>
      <c r="FU166" s="2"/>
      <c r="FV166" s="2"/>
      <c r="FW166" s="2"/>
      <c r="FX166" s="2">
        <v>80</v>
      </c>
      <c r="FY166" s="2">
        <v>55</v>
      </c>
      <c r="FZ166" s="2"/>
      <c r="GA166" s="2" t="s">
        <v>3</v>
      </c>
      <c r="GB166" s="2"/>
      <c r="GC166" s="2"/>
      <c r="GD166" s="2">
        <v>0</v>
      </c>
      <c r="GE166" s="2"/>
      <c r="GF166" s="2">
        <v>1489638031</v>
      </c>
      <c r="GG166" s="2">
        <v>2</v>
      </c>
      <c r="GH166" s="2">
        <v>1</v>
      </c>
      <c r="GI166" s="2">
        <v>-2</v>
      </c>
      <c r="GJ166" s="2">
        <v>0</v>
      </c>
      <c r="GK166" s="2">
        <f>ROUND(R166*(R12)/100,2)</f>
        <v>0</v>
      </c>
      <c r="GL166" s="2">
        <f t="shared" si="109"/>
        <v>0</v>
      </c>
      <c r="GM166" s="2">
        <f t="shared" si="110"/>
        <v>0</v>
      </c>
      <c r="GN166" s="2">
        <f t="shared" si="111"/>
        <v>0</v>
      </c>
      <c r="GO166" s="2">
        <f t="shared" si="112"/>
        <v>0</v>
      </c>
      <c r="GP166" s="2">
        <f t="shared" si="113"/>
        <v>0</v>
      </c>
      <c r="GQ166" s="2"/>
      <c r="GR166" s="2">
        <v>0</v>
      </c>
      <c r="GS166" s="2">
        <v>0</v>
      </c>
      <c r="GT166" s="2">
        <v>0</v>
      </c>
      <c r="GU166" s="2" t="s">
        <v>3</v>
      </c>
      <c r="GV166" s="2">
        <f t="shared" si="114"/>
        <v>0</v>
      </c>
      <c r="GW166" s="2">
        <v>1</v>
      </c>
      <c r="GX166" s="2">
        <f t="shared" si="115"/>
        <v>0</v>
      </c>
      <c r="GY166" s="2"/>
      <c r="GZ166" s="2"/>
      <c r="HA166" s="2">
        <v>0</v>
      </c>
      <c r="HB166" s="2">
        <v>0</v>
      </c>
      <c r="HC166" s="2">
        <f t="shared" si="116"/>
        <v>0</v>
      </c>
      <c r="HD166" s="2"/>
      <c r="HE166" s="2" t="s">
        <v>3</v>
      </c>
      <c r="HF166" s="2" t="s">
        <v>3</v>
      </c>
      <c r="HG166" s="2"/>
      <c r="HH166" s="2"/>
      <c r="HI166" s="2"/>
      <c r="HJ166" s="2"/>
      <c r="HK166" s="2"/>
      <c r="HL166" s="2"/>
      <c r="HM166" s="2" t="s">
        <v>3</v>
      </c>
      <c r="HN166" s="2" t="s">
        <v>3</v>
      </c>
      <c r="HO166" s="2" t="s">
        <v>3</v>
      </c>
      <c r="HP166" s="2" t="s">
        <v>3</v>
      </c>
      <c r="HQ166" s="2" t="s">
        <v>3</v>
      </c>
      <c r="HR166" s="2"/>
      <c r="HS166" s="2"/>
      <c r="HT166" s="2"/>
      <c r="HU166" s="2"/>
      <c r="HV166" s="2"/>
      <c r="HW166" s="2"/>
      <c r="HX166" s="2"/>
      <c r="HY166" s="2"/>
      <c r="HZ166" s="2"/>
      <c r="IA166" s="2"/>
      <c r="IB166" s="2"/>
      <c r="IC166" s="2"/>
      <c r="ID166" s="2"/>
      <c r="IE166" s="2"/>
      <c r="IF166" s="2"/>
      <c r="IG166" s="2"/>
      <c r="IH166" s="2"/>
      <c r="II166" s="2"/>
      <c r="IJ166" s="2"/>
      <c r="IK166" s="2">
        <v>0</v>
      </c>
      <c r="IL166" s="2"/>
      <c r="IM166" s="2"/>
      <c r="IN166" s="2"/>
      <c r="IO166" s="2"/>
      <c r="IP166" s="2"/>
      <c r="IQ166" s="2"/>
      <c r="IR166" s="2"/>
      <c r="IS166" s="2"/>
      <c r="IT166" s="2"/>
      <c r="IU166" s="2"/>
    </row>
    <row r="167" spans="1:255" x14ac:dyDescent="0.2">
      <c r="A167">
        <v>18</v>
      </c>
      <c r="B167">
        <v>1</v>
      </c>
      <c r="C167">
        <v>86</v>
      </c>
      <c r="E167" t="s">
        <v>123</v>
      </c>
      <c r="F167" t="s">
        <v>162</v>
      </c>
      <c r="G167" t="s">
        <v>163</v>
      </c>
      <c r="H167" t="s">
        <v>114</v>
      </c>
      <c r="I167">
        <f>I165*J167</f>
        <v>-18.75</v>
      </c>
      <c r="J167">
        <v>-2.5</v>
      </c>
      <c r="K167">
        <v>-2.5</v>
      </c>
      <c r="O167">
        <f t="shared" si="87"/>
        <v>0</v>
      </c>
      <c r="P167">
        <f t="shared" si="88"/>
        <v>0</v>
      </c>
      <c r="Q167">
        <f t="shared" si="117"/>
        <v>0</v>
      </c>
      <c r="R167">
        <f t="shared" si="89"/>
        <v>0</v>
      </c>
      <c r="S167">
        <f t="shared" si="90"/>
        <v>0</v>
      </c>
      <c r="T167">
        <f t="shared" si="91"/>
        <v>0</v>
      </c>
      <c r="U167">
        <f t="shared" si="92"/>
        <v>0</v>
      </c>
      <c r="V167">
        <f t="shared" si="93"/>
        <v>0</v>
      </c>
      <c r="W167">
        <f t="shared" si="94"/>
        <v>0</v>
      </c>
      <c r="X167">
        <f t="shared" si="95"/>
        <v>0</v>
      </c>
      <c r="Y167">
        <f t="shared" si="96"/>
        <v>0</v>
      </c>
      <c r="AA167">
        <v>129761633</v>
      </c>
      <c r="AB167">
        <f t="shared" si="97"/>
        <v>0</v>
      </c>
      <c r="AC167">
        <f t="shared" si="118"/>
        <v>0</v>
      </c>
      <c r="AD167">
        <f t="shared" si="119"/>
        <v>0</v>
      </c>
      <c r="AE167">
        <f t="shared" si="120"/>
        <v>0</v>
      </c>
      <c r="AF167">
        <f t="shared" si="121"/>
        <v>0</v>
      </c>
      <c r="AG167">
        <f t="shared" si="98"/>
        <v>0</v>
      </c>
      <c r="AH167">
        <f t="shared" si="122"/>
        <v>0</v>
      </c>
      <c r="AI167">
        <f t="shared" si="123"/>
        <v>0</v>
      </c>
      <c r="AJ167">
        <f t="shared" si="99"/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1</v>
      </c>
      <c r="AW167">
        <v>1</v>
      </c>
      <c r="AZ167">
        <v>1</v>
      </c>
      <c r="BA167">
        <v>1</v>
      </c>
      <c r="BB167">
        <v>1</v>
      </c>
      <c r="BC167">
        <v>8.65</v>
      </c>
      <c r="BD167" t="s">
        <v>3</v>
      </c>
      <c r="BE167" t="s">
        <v>3</v>
      </c>
      <c r="BF167" t="s">
        <v>3</v>
      </c>
      <c r="BG167" t="s">
        <v>3</v>
      </c>
      <c r="BH167">
        <v>3</v>
      </c>
      <c r="BI167">
        <v>1</v>
      </c>
      <c r="BJ167" t="s">
        <v>3</v>
      </c>
      <c r="BM167">
        <v>394</v>
      </c>
      <c r="BN167">
        <v>0</v>
      </c>
      <c r="BO167" t="s">
        <v>3</v>
      </c>
      <c r="BP167">
        <v>0</v>
      </c>
      <c r="BQ167">
        <v>60</v>
      </c>
      <c r="BR167">
        <v>1</v>
      </c>
      <c r="BS167">
        <v>1</v>
      </c>
      <c r="BT167">
        <v>1</v>
      </c>
      <c r="BU167">
        <v>1</v>
      </c>
      <c r="BV167">
        <v>1</v>
      </c>
      <c r="BW167">
        <v>1</v>
      </c>
      <c r="BX167">
        <v>1</v>
      </c>
      <c r="BY167" t="s">
        <v>3</v>
      </c>
      <c r="BZ167">
        <v>0</v>
      </c>
      <c r="CA167">
        <v>0</v>
      </c>
      <c r="CB167" t="s">
        <v>3</v>
      </c>
      <c r="CE167">
        <v>30</v>
      </c>
      <c r="CF167">
        <v>0</v>
      </c>
      <c r="CG167">
        <v>0</v>
      </c>
      <c r="CM167">
        <v>0</v>
      </c>
      <c r="CN167" t="s">
        <v>3</v>
      </c>
      <c r="CO167">
        <v>0</v>
      </c>
      <c r="CP167">
        <f t="shared" si="100"/>
        <v>0</v>
      </c>
      <c r="CQ167">
        <f t="shared" si="101"/>
        <v>0</v>
      </c>
      <c r="CR167">
        <f t="shared" si="124"/>
        <v>0</v>
      </c>
      <c r="CS167">
        <f t="shared" si="102"/>
        <v>0</v>
      </c>
      <c r="CT167">
        <f t="shared" si="103"/>
        <v>0</v>
      </c>
      <c r="CU167">
        <f t="shared" si="104"/>
        <v>0</v>
      </c>
      <c r="CV167">
        <f t="shared" si="105"/>
        <v>0</v>
      </c>
      <c r="CW167">
        <f t="shared" si="106"/>
        <v>0</v>
      </c>
      <c r="CX167">
        <f t="shared" si="107"/>
        <v>0</v>
      </c>
      <c r="CY167">
        <f>S167*(BZ167/100)</f>
        <v>0</v>
      </c>
      <c r="CZ167">
        <f>S167*(CA167/100)</f>
        <v>0</v>
      </c>
      <c r="DC167" t="s">
        <v>3</v>
      </c>
      <c r="DD167" t="s">
        <v>3</v>
      </c>
      <c r="DE167" t="s">
        <v>3</v>
      </c>
      <c r="DF167" t="s">
        <v>3</v>
      </c>
      <c r="DG167" t="s">
        <v>3</v>
      </c>
      <c r="DH167" t="s">
        <v>3</v>
      </c>
      <c r="DI167" t="s">
        <v>3</v>
      </c>
      <c r="DJ167" t="s">
        <v>3</v>
      </c>
      <c r="DK167" t="s">
        <v>3</v>
      </c>
      <c r="DL167" t="s">
        <v>3</v>
      </c>
      <c r="DM167" t="s">
        <v>3</v>
      </c>
      <c r="DN167">
        <v>80</v>
      </c>
      <c r="DO167">
        <v>55</v>
      </c>
      <c r="DP167">
        <v>1</v>
      </c>
      <c r="DQ167">
        <v>1</v>
      </c>
      <c r="DU167">
        <v>1009</v>
      </c>
      <c r="DV167" t="s">
        <v>114</v>
      </c>
      <c r="DW167" t="s">
        <v>114</v>
      </c>
      <c r="DX167">
        <v>1000</v>
      </c>
      <c r="DZ167" t="s">
        <v>3</v>
      </c>
      <c r="EA167" t="s">
        <v>3</v>
      </c>
      <c r="EB167" t="s">
        <v>3</v>
      </c>
      <c r="EC167" t="s">
        <v>3</v>
      </c>
      <c r="EE167">
        <v>126051855</v>
      </c>
      <c r="EF167">
        <v>60</v>
      </c>
      <c r="EG167" t="s">
        <v>150</v>
      </c>
      <c r="EH167">
        <v>0</v>
      </c>
      <c r="EI167" t="s">
        <v>3</v>
      </c>
      <c r="EJ167">
        <v>1</v>
      </c>
      <c r="EK167">
        <v>394</v>
      </c>
      <c r="EL167" t="s">
        <v>168</v>
      </c>
      <c r="EM167" t="s">
        <v>169</v>
      </c>
      <c r="EO167" t="s">
        <v>3</v>
      </c>
      <c r="EQ167">
        <v>0</v>
      </c>
      <c r="ER167">
        <v>0</v>
      </c>
      <c r="ES167">
        <v>0</v>
      </c>
      <c r="ET167">
        <v>0</v>
      </c>
      <c r="EU167">
        <v>0</v>
      </c>
      <c r="EV167">
        <v>0</v>
      </c>
      <c r="EW167">
        <v>0</v>
      </c>
      <c r="EX167">
        <v>0</v>
      </c>
      <c r="FQ167">
        <v>0</v>
      </c>
      <c r="FR167">
        <f t="shared" si="108"/>
        <v>0</v>
      </c>
      <c r="FS167">
        <v>0</v>
      </c>
      <c r="FX167">
        <v>80</v>
      </c>
      <c r="FY167">
        <v>55</v>
      </c>
      <c r="GA167" t="s">
        <v>3</v>
      </c>
      <c r="GD167">
        <v>0</v>
      </c>
      <c r="GF167">
        <v>1489638031</v>
      </c>
      <c r="GG167">
        <v>2</v>
      </c>
      <c r="GH167">
        <v>1</v>
      </c>
      <c r="GI167">
        <v>5</v>
      </c>
      <c r="GJ167">
        <v>0</v>
      </c>
      <c r="GK167">
        <f>ROUND(R167*(S12)/100,2)</f>
        <v>0</v>
      </c>
      <c r="GL167">
        <f t="shared" si="109"/>
        <v>0</v>
      </c>
      <c r="GM167">
        <f t="shared" si="110"/>
        <v>0</v>
      </c>
      <c r="GN167">
        <f t="shared" si="111"/>
        <v>0</v>
      </c>
      <c r="GO167">
        <f t="shared" si="112"/>
        <v>0</v>
      </c>
      <c r="GP167">
        <f t="shared" si="113"/>
        <v>0</v>
      </c>
      <c r="GR167">
        <v>0</v>
      </c>
      <c r="GS167">
        <v>3</v>
      </c>
      <c r="GT167">
        <v>0</v>
      </c>
      <c r="GU167" t="s">
        <v>3</v>
      </c>
      <c r="GV167">
        <f t="shared" si="114"/>
        <v>0</v>
      </c>
      <c r="GW167">
        <v>1</v>
      </c>
      <c r="GX167">
        <f t="shared" si="115"/>
        <v>0</v>
      </c>
      <c r="HA167">
        <v>0</v>
      </c>
      <c r="HB167">
        <v>0</v>
      </c>
      <c r="HC167">
        <f t="shared" si="116"/>
        <v>0</v>
      </c>
      <c r="HE167" t="s">
        <v>3</v>
      </c>
      <c r="HF167" t="s">
        <v>3</v>
      </c>
      <c r="HM167" t="s">
        <v>3</v>
      </c>
      <c r="HN167" t="s">
        <v>3</v>
      </c>
      <c r="HO167" t="s">
        <v>3</v>
      </c>
      <c r="HP167" t="s">
        <v>3</v>
      </c>
      <c r="HQ167" t="s">
        <v>3</v>
      </c>
      <c r="IK167">
        <v>0</v>
      </c>
    </row>
    <row r="168" spans="1:255" x14ac:dyDescent="0.2">
      <c r="A168" s="2">
        <v>17</v>
      </c>
      <c r="B168" s="2">
        <v>1</v>
      </c>
      <c r="C168" s="2">
        <f>ROW(SmtRes!A89)</f>
        <v>89</v>
      </c>
      <c r="D168" s="2">
        <f>ROW(EtalonRes!A91)</f>
        <v>91</v>
      </c>
      <c r="E168" s="2" t="s">
        <v>124</v>
      </c>
      <c r="F168" s="2" t="s">
        <v>170</v>
      </c>
      <c r="G168" s="2" t="s">
        <v>171</v>
      </c>
      <c r="H168" s="2" t="s">
        <v>172</v>
      </c>
      <c r="I168" s="2">
        <v>0.01</v>
      </c>
      <c r="J168" s="2">
        <v>0</v>
      </c>
      <c r="K168" s="2">
        <v>0.01</v>
      </c>
      <c r="L168" s="2"/>
      <c r="M168" s="2"/>
      <c r="N168" s="2"/>
      <c r="O168" s="2">
        <f t="shared" si="87"/>
        <v>6.96</v>
      </c>
      <c r="P168" s="2">
        <f t="shared" si="88"/>
        <v>0</v>
      </c>
      <c r="Q168" s="2">
        <f t="shared" si="117"/>
        <v>2.04</v>
      </c>
      <c r="R168" s="2">
        <f t="shared" si="89"/>
        <v>0.13</v>
      </c>
      <c r="S168" s="2">
        <f t="shared" si="90"/>
        <v>4.92</v>
      </c>
      <c r="T168" s="2">
        <f t="shared" si="91"/>
        <v>0</v>
      </c>
      <c r="U168" s="2">
        <f t="shared" si="92"/>
        <v>0.47299999999999998</v>
      </c>
      <c r="V168" s="2">
        <f t="shared" si="93"/>
        <v>0</v>
      </c>
      <c r="W168" s="2">
        <f t="shared" si="94"/>
        <v>0</v>
      </c>
      <c r="X168" s="2">
        <f t="shared" si="95"/>
        <v>3.94</v>
      </c>
      <c r="Y168" s="2">
        <f t="shared" si="96"/>
        <v>2.71</v>
      </c>
      <c r="Z168" s="2"/>
      <c r="AA168" s="2">
        <v>129761636</v>
      </c>
      <c r="AB168" s="2">
        <f t="shared" si="97"/>
        <v>696.37</v>
      </c>
      <c r="AC168" s="2">
        <f t="shared" si="118"/>
        <v>0</v>
      </c>
      <c r="AD168" s="2">
        <f t="shared" si="119"/>
        <v>203.98</v>
      </c>
      <c r="AE168" s="2">
        <f t="shared" si="120"/>
        <v>12.6</v>
      </c>
      <c r="AF168" s="2">
        <f t="shared" si="121"/>
        <v>492.39</v>
      </c>
      <c r="AG168" s="2">
        <f t="shared" si="98"/>
        <v>0</v>
      </c>
      <c r="AH168" s="2">
        <f t="shared" si="122"/>
        <v>47.3</v>
      </c>
      <c r="AI168" s="2">
        <f t="shared" si="123"/>
        <v>0</v>
      </c>
      <c r="AJ168" s="2">
        <f t="shared" si="99"/>
        <v>0</v>
      </c>
      <c r="AK168" s="2">
        <v>696.37</v>
      </c>
      <c r="AL168" s="2">
        <v>0</v>
      </c>
      <c r="AM168" s="2">
        <v>203.98</v>
      </c>
      <c r="AN168" s="2">
        <v>12.6</v>
      </c>
      <c r="AO168" s="2">
        <v>492.39</v>
      </c>
      <c r="AP168" s="2">
        <v>0</v>
      </c>
      <c r="AQ168" s="2">
        <v>47.3</v>
      </c>
      <c r="AR168" s="2">
        <v>0</v>
      </c>
      <c r="AS168" s="2">
        <v>0</v>
      </c>
      <c r="AT168" s="2">
        <v>80</v>
      </c>
      <c r="AU168" s="2">
        <v>55</v>
      </c>
      <c r="AV168" s="2">
        <v>1</v>
      </c>
      <c r="AW168" s="2">
        <v>1</v>
      </c>
      <c r="AX168" s="2"/>
      <c r="AY168" s="2"/>
      <c r="AZ168" s="2">
        <v>1</v>
      </c>
      <c r="BA168" s="2">
        <v>1</v>
      </c>
      <c r="BB168" s="2">
        <v>1</v>
      </c>
      <c r="BC168" s="2">
        <v>1</v>
      </c>
      <c r="BD168" s="2" t="s">
        <v>3</v>
      </c>
      <c r="BE168" s="2" t="s">
        <v>3</v>
      </c>
      <c r="BF168" s="2" t="s">
        <v>3</v>
      </c>
      <c r="BG168" s="2" t="s">
        <v>3</v>
      </c>
      <c r="BH168" s="2">
        <v>0</v>
      </c>
      <c r="BI168" s="2">
        <v>1</v>
      </c>
      <c r="BJ168" s="2" t="s">
        <v>173</v>
      </c>
      <c r="BK168" s="2"/>
      <c r="BL168" s="2"/>
      <c r="BM168" s="2">
        <v>445</v>
      </c>
      <c r="BN168" s="2">
        <v>0</v>
      </c>
      <c r="BO168" s="2" t="s">
        <v>3</v>
      </c>
      <c r="BP168" s="2">
        <v>0</v>
      </c>
      <c r="BQ168" s="2">
        <v>60</v>
      </c>
      <c r="BR168" s="2">
        <v>0</v>
      </c>
      <c r="BS168" s="2">
        <v>1</v>
      </c>
      <c r="BT168" s="2">
        <v>1</v>
      </c>
      <c r="BU168" s="2">
        <v>1</v>
      </c>
      <c r="BV168" s="2">
        <v>1</v>
      </c>
      <c r="BW168" s="2">
        <v>1</v>
      </c>
      <c r="BX168" s="2">
        <v>1</v>
      </c>
      <c r="BY168" s="2" t="s">
        <v>3</v>
      </c>
      <c r="BZ168" s="2">
        <v>80</v>
      </c>
      <c r="CA168" s="2">
        <v>55</v>
      </c>
      <c r="CB168" s="2" t="s">
        <v>3</v>
      </c>
      <c r="CC168" s="2"/>
      <c r="CD168" s="2"/>
      <c r="CE168" s="2">
        <v>30</v>
      </c>
      <c r="CF168" s="2">
        <v>0</v>
      </c>
      <c r="CG168" s="2">
        <v>0</v>
      </c>
      <c r="CH168" s="2"/>
      <c r="CI168" s="2"/>
      <c r="CJ168" s="2"/>
      <c r="CK168" s="2"/>
      <c r="CL168" s="2"/>
      <c r="CM168" s="2">
        <v>0</v>
      </c>
      <c r="CN168" s="2" t="s">
        <v>3</v>
      </c>
      <c r="CO168" s="2">
        <v>0</v>
      </c>
      <c r="CP168" s="2">
        <f t="shared" si="100"/>
        <v>6.96</v>
      </c>
      <c r="CQ168" s="2">
        <f t="shared" si="101"/>
        <v>0</v>
      </c>
      <c r="CR168" s="2">
        <f t="shared" si="124"/>
        <v>203.98</v>
      </c>
      <c r="CS168" s="2">
        <f t="shared" si="102"/>
        <v>12.6</v>
      </c>
      <c r="CT168" s="2">
        <f t="shared" si="103"/>
        <v>492.39</v>
      </c>
      <c r="CU168" s="2">
        <f t="shared" si="104"/>
        <v>0</v>
      </c>
      <c r="CV168" s="2">
        <f t="shared" si="105"/>
        <v>47.3</v>
      </c>
      <c r="CW168" s="2">
        <f t="shared" si="106"/>
        <v>0</v>
      </c>
      <c r="CX168" s="2">
        <f t="shared" si="107"/>
        <v>0</v>
      </c>
      <c r="CY168" s="2">
        <f>((S168*BZ168)/100)</f>
        <v>3.9360000000000004</v>
      </c>
      <c r="CZ168" s="2">
        <f>((S168*CA168)/100)</f>
        <v>2.7060000000000004</v>
      </c>
      <c r="DA168" s="2"/>
      <c r="DB168" s="2"/>
      <c r="DC168" s="2" t="s">
        <v>3</v>
      </c>
      <c r="DD168" s="2" t="s">
        <v>3</v>
      </c>
      <c r="DE168" s="2" t="s">
        <v>3</v>
      </c>
      <c r="DF168" s="2" t="s">
        <v>3</v>
      </c>
      <c r="DG168" s="2" t="s">
        <v>3</v>
      </c>
      <c r="DH168" s="2" t="s">
        <v>3</v>
      </c>
      <c r="DI168" s="2" t="s">
        <v>3</v>
      </c>
      <c r="DJ168" s="2" t="s">
        <v>3</v>
      </c>
      <c r="DK168" s="2" t="s">
        <v>3</v>
      </c>
      <c r="DL168" s="2" t="s">
        <v>3</v>
      </c>
      <c r="DM168" s="2" t="s">
        <v>3</v>
      </c>
      <c r="DN168" s="2">
        <v>0</v>
      </c>
      <c r="DO168" s="2">
        <v>0</v>
      </c>
      <c r="DP168" s="2">
        <v>1</v>
      </c>
      <c r="DQ168" s="2">
        <v>1</v>
      </c>
      <c r="DR168" s="2"/>
      <c r="DS168" s="2"/>
      <c r="DT168" s="2"/>
      <c r="DU168" s="2">
        <v>1013</v>
      </c>
      <c r="DV168" s="2" t="s">
        <v>172</v>
      </c>
      <c r="DW168" s="2" t="s">
        <v>172</v>
      </c>
      <c r="DX168" s="2">
        <v>1</v>
      </c>
      <c r="DY168" s="2"/>
      <c r="DZ168" s="2" t="s">
        <v>3</v>
      </c>
      <c r="EA168" s="2" t="s">
        <v>3</v>
      </c>
      <c r="EB168" s="2" t="s">
        <v>3</v>
      </c>
      <c r="EC168" s="2" t="s">
        <v>3</v>
      </c>
      <c r="ED168" s="2"/>
      <c r="EE168" s="2">
        <v>126051906</v>
      </c>
      <c r="EF168" s="2">
        <v>60</v>
      </c>
      <c r="EG168" s="2" t="s">
        <v>150</v>
      </c>
      <c r="EH168" s="2">
        <v>0</v>
      </c>
      <c r="EI168" s="2" t="s">
        <v>3</v>
      </c>
      <c r="EJ168" s="2">
        <v>1</v>
      </c>
      <c r="EK168" s="2">
        <v>445</v>
      </c>
      <c r="EL168" s="2" t="s">
        <v>174</v>
      </c>
      <c r="EM168" s="2" t="s">
        <v>175</v>
      </c>
      <c r="EN168" s="2"/>
      <c r="EO168" s="2" t="s">
        <v>3</v>
      </c>
      <c r="EP168" s="2"/>
      <c r="EQ168" s="2">
        <v>131072</v>
      </c>
      <c r="ER168" s="2">
        <v>696.37</v>
      </c>
      <c r="ES168" s="2">
        <v>0</v>
      </c>
      <c r="ET168" s="2">
        <v>203.98</v>
      </c>
      <c r="EU168" s="2">
        <v>12.6</v>
      </c>
      <c r="EV168" s="2">
        <v>492.39</v>
      </c>
      <c r="EW168" s="2">
        <v>47.3</v>
      </c>
      <c r="EX168" s="2">
        <v>0</v>
      </c>
      <c r="EY168" s="2">
        <v>0</v>
      </c>
      <c r="EZ168" s="2"/>
      <c r="FA168" s="2"/>
      <c r="FB168" s="2"/>
      <c r="FC168" s="2"/>
      <c r="FD168" s="2"/>
      <c r="FE168" s="2"/>
      <c r="FF168" s="2"/>
      <c r="FG168" s="2"/>
      <c r="FH168" s="2"/>
      <c r="FI168" s="2"/>
      <c r="FJ168" s="2"/>
      <c r="FK168" s="2"/>
      <c r="FL168" s="2"/>
      <c r="FM168" s="2"/>
      <c r="FN168" s="2"/>
      <c r="FO168" s="2"/>
      <c r="FP168" s="2"/>
      <c r="FQ168" s="2">
        <v>0</v>
      </c>
      <c r="FR168" s="2">
        <f t="shared" si="108"/>
        <v>0</v>
      </c>
      <c r="FS168" s="2">
        <v>0</v>
      </c>
      <c r="FT168" s="2"/>
      <c r="FU168" s="2"/>
      <c r="FV168" s="2"/>
      <c r="FW168" s="2"/>
      <c r="FX168" s="2">
        <v>80</v>
      </c>
      <c r="FY168" s="2">
        <v>55</v>
      </c>
      <c r="FZ168" s="2"/>
      <c r="GA168" s="2" t="s">
        <v>3</v>
      </c>
      <c r="GB168" s="2"/>
      <c r="GC168" s="2"/>
      <c r="GD168" s="2">
        <v>0</v>
      </c>
      <c r="GE168" s="2"/>
      <c r="GF168" s="2">
        <v>2091057900</v>
      </c>
      <c r="GG168" s="2">
        <v>2</v>
      </c>
      <c r="GH168" s="2">
        <v>1</v>
      </c>
      <c r="GI168" s="2">
        <v>-2</v>
      </c>
      <c r="GJ168" s="2">
        <v>0</v>
      </c>
      <c r="GK168" s="2">
        <f>ROUND(R168*(R12)/100,2)</f>
        <v>0.23</v>
      </c>
      <c r="GL168" s="2">
        <f t="shared" si="109"/>
        <v>0</v>
      </c>
      <c r="GM168" s="2">
        <f t="shared" si="110"/>
        <v>13.84</v>
      </c>
      <c r="GN168" s="2">
        <f t="shared" si="111"/>
        <v>13.84</v>
      </c>
      <c r="GO168" s="2">
        <f t="shared" si="112"/>
        <v>0</v>
      </c>
      <c r="GP168" s="2">
        <f t="shared" si="113"/>
        <v>0</v>
      </c>
      <c r="GQ168" s="2"/>
      <c r="GR168" s="2">
        <v>0</v>
      </c>
      <c r="GS168" s="2">
        <v>0</v>
      </c>
      <c r="GT168" s="2">
        <v>0</v>
      </c>
      <c r="GU168" s="2" t="s">
        <v>3</v>
      </c>
      <c r="GV168" s="2">
        <f t="shared" si="114"/>
        <v>0</v>
      </c>
      <c r="GW168" s="2">
        <v>1</v>
      </c>
      <c r="GX168" s="2">
        <f t="shared" si="115"/>
        <v>0</v>
      </c>
      <c r="GY168" s="2"/>
      <c r="GZ168" s="2"/>
      <c r="HA168" s="2">
        <v>0</v>
      </c>
      <c r="HB168" s="2">
        <v>0</v>
      </c>
      <c r="HC168" s="2">
        <f t="shared" si="116"/>
        <v>0</v>
      </c>
      <c r="HD168" s="2"/>
      <c r="HE168" s="2" t="s">
        <v>3</v>
      </c>
      <c r="HF168" s="2" t="s">
        <v>3</v>
      </c>
      <c r="HG168" s="2"/>
      <c r="HH168" s="2"/>
      <c r="HI168" s="2"/>
      <c r="HJ168" s="2"/>
      <c r="HK168" s="2"/>
      <c r="HL168" s="2"/>
      <c r="HM168" s="2" t="s">
        <v>3</v>
      </c>
      <c r="HN168" s="2" t="s">
        <v>3</v>
      </c>
      <c r="HO168" s="2" t="s">
        <v>3</v>
      </c>
      <c r="HP168" s="2" t="s">
        <v>3</v>
      </c>
      <c r="HQ168" s="2" t="s">
        <v>3</v>
      </c>
      <c r="HR168" s="2"/>
      <c r="HS168" s="2"/>
      <c r="HT168" s="2"/>
      <c r="HU168" s="2"/>
      <c r="HV168" s="2"/>
      <c r="HW168" s="2"/>
      <c r="HX168" s="2"/>
      <c r="HY168" s="2"/>
      <c r="HZ168" s="2"/>
      <c r="IA168" s="2"/>
      <c r="IB168" s="2"/>
      <c r="IC168" s="2"/>
      <c r="ID168" s="2"/>
      <c r="IE168" s="2"/>
      <c r="IF168" s="2"/>
      <c r="IG168" s="2"/>
      <c r="IH168" s="2"/>
      <c r="II168" s="2"/>
      <c r="IJ168" s="2"/>
      <c r="IK168" s="2">
        <v>0</v>
      </c>
      <c r="IL168" s="2"/>
      <c r="IM168" s="2"/>
      <c r="IN168" s="2"/>
      <c r="IO168" s="2"/>
      <c r="IP168" s="2"/>
      <c r="IQ168" s="2"/>
      <c r="IR168" s="2"/>
      <c r="IS168" s="2"/>
      <c r="IT168" s="2"/>
      <c r="IU168" s="2"/>
    </row>
    <row r="169" spans="1:255" x14ac:dyDescent="0.2">
      <c r="A169">
        <v>17</v>
      </c>
      <c r="B169">
        <v>1</v>
      </c>
      <c r="C169">
        <f>ROW(SmtRes!A92)</f>
        <v>92</v>
      </c>
      <c r="D169">
        <f>ROW(EtalonRes!A94)</f>
        <v>94</v>
      </c>
      <c r="E169" t="s">
        <v>124</v>
      </c>
      <c r="F169" t="s">
        <v>170</v>
      </c>
      <c r="G169" t="s">
        <v>171</v>
      </c>
      <c r="H169" t="s">
        <v>172</v>
      </c>
      <c r="I169">
        <v>0.01</v>
      </c>
      <c r="J169">
        <v>0</v>
      </c>
      <c r="K169">
        <v>0.01</v>
      </c>
      <c r="O169">
        <f t="shared" si="87"/>
        <v>162.99</v>
      </c>
      <c r="P169">
        <f t="shared" si="88"/>
        <v>0</v>
      </c>
      <c r="Q169">
        <f t="shared" si="117"/>
        <v>20.16</v>
      </c>
      <c r="R169">
        <f t="shared" si="89"/>
        <v>3.77</v>
      </c>
      <c r="S169">
        <f t="shared" si="90"/>
        <v>142.83000000000001</v>
      </c>
      <c r="T169">
        <f t="shared" si="91"/>
        <v>0</v>
      </c>
      <c r="U169">
        <f t="shared" si="92"/>
        <v>0.47299999999999998</v>
      </c>
      <c r="V169">
        <f t="shared" si="93"/>
        <v>0</v>
      </c>
      <c r="W169">
        <f t="shared" si="94"/>
        <v>0</v>
      </c>
      <c r="X169">
        <f t="shared" si="95"/>
        <v>99.98</v>
      </c>
      <c r="Y169">
        <f t="shared" si="96"/>
        <v>58.56</v>
      </c>
      <c r="AA169">
        <v>129761633</v>
      </c>
      <c r="AB169">
        <f t="shared" si="97"/>
        <v>696.37</v>
      </c>
      <c r="AC169">
        <f t="shared" si="118"/>
        <v>0</v>
      </c>
      <c r="AD169">
        <f t="shared" si="119"/>
        <v>203.98</v>
      </c>
      <c r="AE169">
        <f t="shared" si="120"/>
        <v>12.6</v>
      </c>
      <c r="AF169">
        <f t="shared" si="121"/>
        <v>492.39</v>
      </c>
      <c r="AG169">
        <f t="shared" si="98"/>
        <v>0</v>
      </c>
      <c r="AH169">
        <f t="shared" si="122"/>
        <v>47.3</v>
      </c>
      <c r="AI169">
        <f t="shared" si="123"/>
        <v>0</v>
      </c>
      <c r="AJ169">
        <f t="shared" si="99"/>
        <v>0</v>
      </c>
      <c r="AK169">
        <v>696.37</v>
      </c>
      <c r="AL169">
        <v>0</v>
      </c>
      <c r="AM169">
        <v>203.98</v>
      </c>
      <c r="AN169">
        <v>12.6</v>
      </c>
      <c r="AO169">
        <v>492.39</v>
      </c>
      <c r="AP169">
        <v>0</v>
      </c>
      <c r="AQ169">
        <v>47.3</v>
      </c>
      <c r="AR169">
        <v>0</v>
      </c>
      <c r="AS169">
        <v>0</v>
      </c>
      <c r="AT169">
        <v>70</v>
      </c>
      <c r="AU169">
        <v>41</v>
      </c>
      <c r="AV169">
        <v>1</v>
      </c>
      <c r="AW169">
        <v>1</v>
      </c>
      <c r="AZ169">
        <v>1</v>
      </c>
      <c r="BA169">
        <v>29.03</v>
      </c>
      <c r="BB169">
        <v>9.8800000000000008</v>
      </c>
      <c r="BC169">
        <v>1</v>
      </c>
      <c r="BD169" t="s">
        <v>3</v>
      </c>
      <c r="BE169" t="s">
        <v>3</v>
      </c>
      <c r="BF169" t="s">
        <v>3</v>
      </c>
      <c r="BG169" t="s">
        <v>3</v>
      </c>
      <c r="BH169">
        <v>0</v>
      </c>
      <c r="BI169">
        <v>1</v>
      </c>
      <c r="BJ169" t="s">
        <v>173</v>
      </c>
      <c r="BM169">
        <v>445</v>
      </c>
      <c r="BN169">
        <v>0</v>
      </c>
      <c r="BO169" t="s">
        <v>170</v>
      </c>
      <c r="BP169">
        <v>1</v>
      </c>
      <c r="BQ169">
        <v>60</v>
      </c>
      <c r="BR169">
        <v>0</v>
      </c>
      <c r="BS169">
        <v>29.03</v>
      </c>
      <c r="BT169">
        <v>1</v>
      </c>
      <c r="BU169">
        <v>1</v>
      </c>
      <c r="BV169">
        <v>1</v>
      </c>
      <c r="BW169">
        <v>1</v>
      </c>
      <c r="BX169">
        <v>1</v>
      </c>
      <c r="BY169" t="s">
        <v>3</v>
      </c>
      <c r="BZ169">
        <v>70</v>
      </c>
      <c r="CA169">
        <v>41</v>
      </c>
      <c r="CB169" t="s">
        <v>3</v>
      </c>
      <c r="CE169">
        <v>30</v>
      </c>
      <c r="CF169">
        <v>0</v>
      </c>
      <c r="CG169">
        <v>0</v>
      </c>
      <c r="CM169">
        <v>0</v>
      </c>
      <c r="CN169" t="s">
        <v>3</v>
      </c>
      <c r="CO169">
        <v>0</v>
      </c>
      <c r="CP169">
        <f t="shared" si="100"/>
        <v>162.99</v>
      </c>
      <c r="CQ169">
        <f t="shared" si="101"/>
        <v>0</v>
      </c>
      <c r="CR169">
        <f t="shared" si="124"/>
        <v>2015.32</v>
      </c>
      <c r="CS169">
        <f t="shared" si="102"/>
        <v>365.78</v>
      </c>
      <c r="CT169">
        <f t="shared" si="103"/>
        <v>14294.08</v>
      </c>
      <c r="CU169">
        <f t="shared" si="104"/>
        <v>0</v>
      </c>
      <c r="CV169">
        <f t="shared" si="105"/>
        <v>47.3</v>
      </c>
      <c r="CW169">
        <f t="shared" si="106"/>
        <v>0</v>
      </c>
      <c r="CX169">
        <f t="shared" si="107"/>
        <v>0</v>
      </c>
      <c r="CY169">
        <f>S169*(BZ169/100)</f>
        <v>99.981000000000009</v>
      </c>
      <c r="CZ169">
        <f>S169*(CA169/100)</f>
        <v>58.560300000000005</v>
      </c>
      <c r="DC169" t="s">
        <v>3</v>
      </c>
      <c r="DD169" t="s">
        <v>3</v>
      </c>
      <c r="DE169" t="s">
        <v>3</v>
      </c>
      <c r="DF169" t="s">
        <v>3</v>
      </c>
      <c r="DG169" t="s">
        <v>3</v>
      </c>
      <c r="DH169" t="s">
        <v>3</v>
      </c>
      <c r="DI169" t="s">
        <v>3</v>
      </c>
      <c r="DJ169" t="s">
        <v>3</v>
      </c>
      <c r="DK169" t="s">
        <v>3</v>
      </c>
      <c r="DL169" t="s">
        <v>3</v>
      </c>
      <c r="DM169" t="s">
        <v>3</v>
      </c>
      <c r="DN169">
        <v>80</v>
      </c>
      <c r="DO169">
        <v>55</v>
      </c>
      <c r="DP169">
        <v>1</v>
      </c>
      <c r="DQ169">
        <v>1</v>
      </c>
      <c r="DU169">
        <v>1013</v>
      </c>
      <c r="DV169" t="s">
        <v>172</v>
      </c>
      <c r="DW169" t="s">
        <v>172</v>
      </c>
      <c r="DX169">
        <v>1</v>
      </c>
      <c r="DZ169" t="s">
        <v>3</v>
      </c>
      <c r="EA169" t="s">
        <v>3</v>
      </c>
      <c r="EB169" t="s">
        <v>3</v>
      </c>
      <c r="EC169" t="s">
        <v>3</v>
      </c>
      <c r="EE169">
        <v>126051906</v>
      </c>
      <c r="EF169">
        <v>60</v>
      </c>
      <c r="EG169" t="s">
        <v>150</v>
      </c>
      <c r="EH169">
        <v>0</v>
      </c>
      <c r="EI169" t="s">
        <v>3</v>
      </c>
      <c r="EJ169">
        <v>1</v>
      </c>
      <c r="EK169">
        <v>445</v>
      </c>
      <c r="EL169" t="s">
        <v>174</v>
      </c>
      <c r="EM169" t="s">
        <v>175</v>
      </c>
      <c r="EO169" t="s">
        <v>3</v>
      </c>
      <c r="EQ169">
        <v>131072</v>
      </c>
      <c r="ER169">
        <v>696.37</v>
      </c>
      <c r="ES169">
        <v>0</v>
      </c>
      <c r="ET169">
        <v>203.98</v>
      </c>
      <c r="EU169">
        <v>12.6</v>
      </c>
      <c r="EV169">
        <v>492.39</v>
      </c>
      <c r="EW169">
        <v>47.3</v>
      </c>
      <c r="EX169">
        <v>0</v>
      </c>
      <c r="EY169">
        <v>0</v>
      </c>
      <c r="FQ169">
        <v>0</v>
      </c>
      <c r="FR169">
        <f t="shared" si="108"/>
        <v>0</v>
      </c>
      <c r="FS169">
        <v>0</v>
      </c>
      <c r="FX169">
        <v>80</v>
      </c>
      <c r="FY169">
        <v>55</v>
      </c>
      <c r="GA169" t="s">
        <v>3</v>
      </c>
      <c r="GD169">
        <v>0</v>
      </c>
      <c r="GF169">
        <v>2091057900</v>
      </c>
      <c r="GG169">
        <v>2</v>
      </c>
      <c r="GH169">
        <v>1</v>
      </c>
      <c r="GI169">
        <v>2</v>
      </c>
      <c r="GJ169">
        <v>0</v>
      </c>
      <c r="GK169">
        <f>ROUND(R169*(S12)/100,2)</f>
        <v>6.03</v>
      </c>
      <c r="GL169">
        <f t="shared" si="109"/>
        <v>0</v>
      </c>
      <c r="GM169">
        <f t="shared" si="110"/>
        <v>327.56</v>
      </c>
      <c r="GN169">
        <f t="shared" si="111"/>
        <v>327.56</v>
      </c>
      <c r="GO169">
        <f t="shared" si="112"/>
        <v>0</v>
      </c>
      <c r="GP169">
        <f t="shared" si="113"/>
        <v>0</v>
      </c>
      <c r="GR169">
        <v>0</v>
      </c>
      <c r="GS169">
        <v>3</v>
      </c>
      <c r="GT169">
        <v>0</v>
      </c>
      <c r="GU169" t="s">
        <v>3</v>
      </c>
      <c r="GV169">
        <f t="shared" si="114"/>
        <v>0</v>
      </c>
      <c r="GW169">
        <v>1</v>
      </c>
      <c r="GX169">
        <f t="shared" si="115"/>
        <v>0</v>
      </c>
      <c r="HA169">
        <v>0</v>
      </c>
      <c r="HB169">
        <v>0</v>
      </c>
      <c r="HC169">
        <f t="shared" si="116"/>
        <v>0</v>
      </c>
      <c r="HE169" t="s">
        <v>3</v>
      </c>
      <c r="HF169" t="s">
        <v>3</v>
      </c>
      <c r="HM169" t="s">
        <v>3</v>
      </c>
      <c r="HN169" t="s">
        <v>3</v>
      </c>
      <c r="HO169" t="s">
        <v>3</v>
      </c>
      <c r="HP169" t="s">
        <v>3</v>
      </c>
      <c r="HQ169" t="s">
        <v>3</v>
      </c>
      <c r="IK169">
        <v>0</v>
      </c>
    </row>
    <row r="170" spans="1:255" x14ac:dyDescent="0.2">
      <c r="A170" s="2">
        <v>18</v>
      </c>
      <c r="B170" s="2">
        <v>1</v>
      </c>
      <c r="C170" s="2">
        <v>89</v>
      </c>
      <c r="D170" s="2"/>
      <c r="E170" s="2" t="s">
        <v>131</v>
      </c>
      <c r="F170" s="2" t="s">
        <v>162</v>
      </c>
      <c r="G170" s="2" t="s">
        <v>163</v>
      </c>
      <c r="H170" s="2" t="s">
        <v>114</v>
      </c>
      <c r="I170" s="2">
        <f>I168*J170</f>
        <v>-2.5000000000000001E-2</v>
      </c>
      <c r="J170" s="2">
        <v>-2.5</v>
      </c>
      <c r="K170" s="2">
        <v>-2.5</v>
      </c>
      <c r="L170" s="2"/>
      <c r="M170" s="2"/>
      <c r="N170" s="2"/>
      <c r="O170" s="2">
        <f t="shared" si="87"/>
        <v>0</v>
      </c>
      <c r="P170" s="2">
        <f t="shared" si="88"/>
        <v>0</v>
      </c>
      <c r="Q170" s="2">
        <f t="shared" si="117"/>
        <v>0</v>
      </c>
      <c r="R170" s="2">
        <f t="shared" si="89"/>
        <v>0</v>
      </c>
      <c r="S170" s="2">
        <f t="shared" si="90"/>
        <v>0</v>
      </c>
      <c r="T170" s="2">
        <f t="shared" si="91"/>
        <v>0</v>
      </c>
      <c r="U170" s="2">
        <f t="shared" si="92"/>
        <v>0</v>
      </c>
      <c r="V170" s="2">
        <f t="shared" si="93"/>
        <v>0</v>
      </c>
      <c r="W170" s="2">
        <f t="shared" si="94"/>
        <v>0</v>
      </c>
      <c r="X170" s="2">
        <f t="shared" si="95"/>
        <v>0</v>
      </c>
      <c r="Y170" s="2">
        <f t="shared" si="96"/>
        <v>0</v>
      </c>
      <c r="Z170" s="2"/>
      <c r="AA170" s="2">
        <v>129761636</v>
      </c>
      <c r="AB170" s="2">
        <f t="shared" si="97"/>
        <v>0</v>
      </c>
      <c r="AC170" s="2">
        <f t="shared" si="118"/>
        <v>0</v>
      </c>
      <c r="AD170" s="2">
        <f t="shared" si="119"/>
        <v>0</v>
      </c>
      <c r="AE170" s="2">
        <f t="shared" si="120"/>
        <v>0</v>
      </c>
      <c r="AF170" s="2">
        <f t="shared" si="121"/>
        <v>0</v>
      </c>
      <c r="AG170" s="2">
        <f t="shared" si="98"/>
        <v>0</v>
      </c>
      <c r="AH170" s="2">
        <f t="shared" si="122"/>
        <v>0</v>
      </c>
      <c r="AI170" s="2">
        <f t="shared" si="123"/>
        <v>0</v>
      </c>
      <c r="AJ170" s="2">
        <f t="shared" si="99"/>
        <v>0</v>
      </c>
      <c r="AK170" s="2">
        <v>0</v>
      </c>
      <c r="AL170" s="2">
        <v>0</v>
      </c>
      <c r="AM170" s="2">
        <v>0</v>
      </c>
      <c r="AN170" s="2">
        <v>0</v>
      </c>
      <c r="AO170" s="2">
        <v>0</v>
      </c>
      <c r="AP170" s="2">
        <v>0</v>
      </c>
      <c r="AQ170" s="2">
        <v>0</v>
      </c>
      <c r="AR170" s="2">
        <v>0</v>
      </c>
      <c r="AS170" s="2">
        <v>0</v>
      </c>
      <c r="AT170" s="2">
        <v>80</v>
      </c>
      <c r="AU170" s="2">
        <v>55</v>
      </c>
      <c r="AV170" s="2">
        <v>1</v>
      </c>
      <c r="AW170" s="2">
        <v>1</v>
      </c>
      <c r="AX170" s="2"/>
      <c r="AY170" s="2"/>
      <c r="AZ170" s="2">
        <v>1</v>
      </c>
      <c r="BA170" s="2">
        <v>1</v>
      </c>
      <c r="BB170" s="2">
        <v>1</v>
      </c>
      <c r="BC170" s="2">
        <v>1</v>
      </c>
      <c r="BD170" s="2" t="s">
        <v>3</v>
      </c>
      <c r="BE170" s="2" t="s">
        <v>3</v>
      </c>
      <c r="BF170" s="2" t="s">
        <v>3</v>
      </c>
      <c r="BG170" s="2" t="s">
        <v>3</v>
      </c>
      <c r="BH170" s="2">
        <v>3</v>
      </c>
      <c r="BI170" s="2">
        <v>1</v>
      </c>
      <c r="BJ170" s="2" t="s">
        <v>3</v>
      </c>
      <c r="BK170" s="2"/>
      <c r="BL170" s="2"/>
      <c r="BM170" s="2">
        <v>445</v>
      </c>
      <c r="BN170" s="2">
        <v>0</v>
      </c>
      <c r="BO170" s="2" t="s">
        <v>3</v>
      </c>
      <c r="BP170" s="2">
        <v>0</v>
      </c>
      <c r="BQ170" s="2">
        <v>60</v>
      </c>
      <c r="BR170" s="2">
        <v>1</v>
      </c>
      <c r="BS170" s="2">
        <v>1</v>
      </c>
      <c r="BT170" s="2">
        <v>1</v>
      </c>
      <c r="BU170" s="2">
        <v>1</v>
      </c>
      <c r="BV170" s="2">
        <v>1</v>
      </c>
      <c r="BW170" s="2">
        <v>1</v>
      </c>
      <c r="BX170" s="2">
        <v>1</v>
      </c>
      <c r="BY170" s="2" t="s">
        <v>3</v>
      </c>
      <c r="BZ170" s="2">
        <v>80</v>
      </c>
      <c r="CA170" s="2">
        <v>55</v>
      </c>
      <c r="CB170" s="2" t="s">
        <v>3</v>
      </c>
      <c r="CC170" s="2"/>
      <c r="CD170" s="2"/>
      <c r="CE170" s="2">
        <v>30</v>
      </c>
      <c r="CF170" s="2">
        <v>0</v>
      </c>
      <c r="CG170" s="2">
        <v>0</v>
      </c>
      <c r="CH170" s="2"/>
      <c r="CI170" s="2"/>
      <c r="CJ170" s="2"/>
      <c r="CK170" s="2"/>
      <c r="CL170" s="2"/>
      <c r="CM170" s="2">
        <v>0</v>
      </c>
      <c r="CN170" s="2" t="s">
        <v>3</v>
      </c>
      <c r="CO170" s="2">
        <v>0</v>
      </c>
      <c r="CP170" s="2">
        <f t="shared" si="100"/>
        <v>0</v>
      </c>
      <c r="CQ170" s="2">
        <f t="shared" si="101"/>
        <v>0</v>
      </c>
      <c r="CR170" s="2">
        <f t="shared" si="124"/>
        <v>0</v>
      </c>
      <c r="CS170" s="2">
        <f t="shared" si="102"/>
        <v>0</v>
      </c>
      <c r="CT170" s="2">
        <f t="shared" si="103"/>
        <v>0</v>
      </c>
      <c r="CU170" s="2">
        <f t="shared" si="104"/>
        <v>0</v>
      </c>
      <c r="CV170" s="2">
        <f t="shared" si="105"/>
        <v>0</v>
      </c>
      <c r="CW170" s="2">
        <f t="shared" si="106"/>
        <v>0</v>
      </c>
      <c r="CX170" s="2">
        <f t="shared" si="107"/>
        <v>0</v>
      </c>
      <c r="CY170" s="2">
        <f>((S170*BZ170)/100)</f>
        <v>0</v>
      </c>
      <c r="CZ170" s="2">
        <f>((S170*CA170)/100)</f>
        <v>0</v>
      </c>
      <c r="DA170" s="2"/>
      <c r="DB170" s="2"/>
      <c r="DC170" s="2" t="s">
        <v>3</v>
      </c>
      <c r="DD170" s="2" t="s">
        <v>3</v>
      </c>
      <c r="DE170" s="2" t="s">
        <v>3</v>
      </c>
      <c r="DF170" s="2" t="s">
        <v>3</v>
      </c>
      <c r="DG170" s="2" t="s">
        <v>3</v>
      </c>
      <c r="DH170" s="2" t="s">
        <v>3</v>
      </c>
      <c r="DI170" s="2" t="s">
        <v>3</v>
      </c>
      <c r="DJ170" s="2" t="s">
        <v>3</v>
      </c>
      <c r="DK170" s="2" t="s">
        <v>3</v>
      </c>
      <c r="DL170" s="2" t="s">
        <v>3</v>
      </c>
      <c r="DM170" s="2" t="s">
        <v>3</v>
      </c>
      <c r="DN170" s="2">
        <v>0</v>
      </c>
      <c r="DO170" s="2">
        <v>0</v>
      </c>
      <c r="DP170" s="2">
        <v>1</v>
      </c>
      <c r="DQ170" s="2">
        <v>1</v>
      </c>
      <c r="DR170" s="2"/>
      <c r="DS170" s="2"/>
      <c r="DT170" s="2"/>
      <c r="DU170" s="2">
        <v>1009</v>
      </c>
      <c r="DV170" s="2" t="s">
        <v>114</v>
      </c>
      <c r="DW170" s="2" t="s">
        <v>114</v>
      </c>
      <c r="DX170" s="2">
        <v>1000</v>
      </c>
      <c r="DY170" s="2"/>
      <c r="DZ170" s="2" t="s">
        <v>3</v>
      </c>
      <c r="EA170" s="2" t="s">
        <v>3</v>
      </c>
      <c r="EB170" s="2" t="s">
        <v>3</v>
      </c>
      <c r="EC170" s="2" t="s">
        <v>3</v>
      </c>
      <c r="ED170" s="2"/>
      <c r="EE170" s="2">
        <v>126051906</v>
      </c>
      <c r="EF170" s="2">
        <v>60</v>
      </c>
      <c r="EG170" s="2" t="s">
        <v>150</v>
      </c>
      <c r="EH170" s="2">
        <v>0</v>
      </c>
      <c r="EI170" s="2" t="s">
        <v>3</v>
      </c>
      <c r="EJ170" s="2">
        <v>1</v>
      </c>
      <c r="EK170" s="2">
        <v>445</v>
      </c>
      <c r="EL170" s="2" t="s">
        <v>174</v>
      </c>
      <c r="EM170" s="2" t="s">
        <v>175</v>
      </c>
      <c r="EN170" s="2"/>
      <c r="EO170" s="2" t="s">
        <v>3</v>
      </c>
      <c r="EP170" s="2"/>
      <c r="EQ170" s="2">
        <v>0</v>
      </c>
      <c r="ER170" s="2">
        <v>0</v>
      </c>
      <c r="ES170" s="2">
        <v>0</v>
      </c>
      <c r="ET170" s="2">
        <v>0</v>
      </c>
      <c r="EU170" s="2">
        <v>0</v>
      </c>
      <c r="EV170" s="2">
        <v>0</v>
      </c>
      <c r="EW170" s="2">
        <v>0</v>
      </c>
      <c r="EX170" s="2">
        <v>0</v>
      </c>
      <c r="EY170" s="2"/>
      <c r="EZ170" s="2"/>
      <c r="FA170" s="2"/>
      <c r="FB170" s="2"/>
      <c r="FC170" s="2"/>
      <c r="FD170" s="2"/>
      <c r="FE170" s="2"/>
      <c r="FF170" s="2"/>
      <c r="FG170" s="2"/>
      <c r="FH170" s="2"/>
      <c r="FI170" s="2"/>
      <c r="FJ170" s="2"/>
      <c r="FK170" s="2"/>
      <c r="FL170" s="2"/>
      <c r="FM170" s="2"/>
      <c r="FN170" s="2"/>
      <c r="FO170" s="2"/>
      <c r="FP170" s="2"/>
      <c r="FQ170" s="2">
        <v>0</v>
      </c>
      <c r="FR170" s="2">
        <f t="shared" si="108"/>
        <v>0</v>
      </c>
      <c r="FS170" s="2">
        <v>0</v>
      </c>
      <c r="FT170" s="2"/>
      <c r="FU170" s="2"/>
      <c r="FV170" s="2"/>
      <c r="FW170" s="2"/>
      <c r="FX170" s="2">
        <v>80</v>
      </c>
      <c r="FY170" s="2">
        <v>55</v>
      </c>
      <c r="FZ170" s="2"/>
      <c r="GA170" s="2" t="s">
        <v>3</v>
      </c>
      <c r="GB170" s="2"/>
      <c r="GC170" s="2"/>
      <c r="GD170" s="2">
        <v>0</v>
      </c>
      <c r="GE170" s="2"/>
      <c r="GF170" s="2">
        <v>1489638031</v>
      </c>
      <c r="GG170" s="2">
        <v>2</v>
      </c>
      <c r="GH170" s="2">
        <v>1</v>
      </c>
      <c r="GI170" s="2">
        <v>-2</v>
      </c>
      <c r="GJ170" s="2">
        <v>0</v>
      </c>
      <c r="GK170" s="2">
        <f>ROUND(R170*(R12)/100,2)</f>
        <v>0</v>
      </c>
      <c r="GL170" s="2">
        <f t="shared" si="109"/>
        <v>0</v>
      </c>
      <c r="GM170" s="2">
        <f t="shared" si="110"/>
        <v>0</v>
      </c>
      <c r="GN170" s="2">
        <f t="shared" si="111"/>
        <v>0</v>
      </c>
      <c r="GO170" s="2">
        <f t="shared" si="112"/>
        <v>0</v>
      </c>
      <c r="GP170" s="2">
        <f t="shared" si="113"/>
        <v>0</v>
      </c>
      <c r="GQ170" s="2"/>
      <c r="GR170" s="2">
        <v>0</v>
      </c>
      <c r="GS170" s="2">
        <v>0</v>
      </c>
      <c r="GT170" s="2">
        <v>0</v>
      </c>
      <c r="GU170" s="2" t="s">
        <v>3</v>
      </c>
      <c r="GV170" s="2">
        <f t="shared" si="114"/>
        <v>0</v>
      </c>
      <c r="GW170" s="2">
        <v>1</v>
      </c>
      <c r="GX170" s="2">
        <f t="shared" si="115"/>
        <v>0</v>
      </c>
      <c r="GY170" s="2"/>
      <c r="GZ170" s="2"/>
      <c r="HA170" s="2">
        <v>0</v>
      </c>
      <c r="HB170" s="2">
        <v>0</v>
      </c>
      <c r="HC170" s="2">
        <f t="shared" si="116"/>
        <v>0</v>
      </c>
      <c r="HD170" s="2"/>
      <c r="HE170" s="2" t="s">
        <v>3</v>
      </c>
      <c r="HF170" s="2" t="s">
        <v>3</v>
      </c>
      <c r="HG170" s="2"/>
      <c r="HH170" s="2"/>
      <c r="HI170" s="2"/>
      <c r="HJ170" s="2"/>
      <c r="HK170" s="2"/>
      <c r="HL170" s="2"/>
      <c r="HM170" s="2" t="s">
        <v>3</v>
      </c>
      <c r="HN170" s="2" t="s">
        <v>3</v>
      </c>
      <c r="HO170" s="2" t="s">
        <v>3</v>
      </c>
      <c r="HP170" s="2" t="s">
        <v>3</v>
      </c>
      <c r="HQ170" s="2" t="s">
        <v>3</v>
      </c>
      <c r="HR170" s="2"/>
      <c r="HS170" s="2"/>
      <c r="HT170" s="2"/>
      <c r="HU170" s="2"/>
      <c r="HV170" s="2"/>
      <c r="HW170" s="2"/>
      <c r="HX170" s="2"/>
      <c r="HY170" s="2"/>
      <c r="HZ170" s="2"/>
      <c r="IA170" s="2"/>
      <c r="IB170" s="2"/>
      <c r="IC170" s="2"/>
      <c r="ID170" s="2"/>
      <c r="IE170" s="2"/>
      <c r="IF170" s="2"/>
      <c r="IG170" s="2"/>
      <c r="IH170" s="2"/>
      <c r="II170" s="2"/>
      <c r="IJ170" s="2"/>
      <c r="IK170" s="2">
        <v>0</v>
      </c>
      <c r="IL170" s="2"/>
      <c r="IM170" s="2"/>
      <c r="IN170" s="2"/>
      <c r="IO170" s="2"/>
      <c r="IP170" s="2"/>
      <c r="IQ170" s="2"/>
      <c r="IR170" s="2"/>
      <c r="IS170" s="2"/>
      <c r="IT170" s="2"/>
      <c r="IU170" s="2"/>
    </row>
    <row r="171" spans="1:255" x14ac:dyDescent="0.2">
      <c r="A171">
        <v>18</v>
      </c>
      <c r="B171">
        <v>1</v>
      </c>
      <c r="C171">
        <v>92</v>
      </c>
      <c r="E171" t="s">
        <v>131</v>
      </c>
      <c r="F171" t="s">
        <v>162</v>
      </c>
      <c r="G171" t="s">
        <v>163</v>
      </c>
      <c r="H171" t="s">
        <v>114</v>
      </c>
      <c r="I171">
        <f>I169*J171</f>
        <v>-2.5000000000000001E-2</v>
      </c>
      <c r="J171">
        <v>-2.5</v>
      </c>
      <c r="K171">
        <v>-2.5</v>
      </c>
      <c r="O171">
        <f t="shared" si="87"/>
        <v>0</v>
      </c>
      <c r="P171">
        <f t="shared" si="88"/>
        <v>0</v>
      </c>
      <c r="Q171">
        <f t="shared" si="117"/>
        <v>0</v>
      </c>
      <c r="R171">
        <f t="shared" si="89"/>
        <v>0</v>
      </c>
      <c r="S171">
        <f t="shared" si="90"/>
        <v>0</v>
      </c>
      <c r="T171">
        <f t="shared" si="91"/>
        <v>0</v>
      </c>
      <c r="U171">
        <f t="shared" si="92"/>
        <v>0</v>
      </c>
      <c r="V171">
        <f t="shared" si="93"/>
        <v>0</v>
      </c>
      <c r="W171">
        <f t="shared" si="94"/>
        <v>0</v>
      </c>
      <c r="X171">
        <f t="shared" si="95"/>
        <v>0</v>
      </c>
      <c r="Y171">
        <f t="shared" si="96"/>
        <v>0</v>
      </c>
      <c r="AA171">
        <v>129761633</v>
      </c>
      <c r="AB171">
        <f t="shared" si="97"/>
        <v>0</v>
      </c>
      <c r="AC171">
        <f t="shared" si="118"/>
        <v>0</v>
      </c>
      <c r="AD171">
        <f t="shared" si="119"/>
        <v>0</v>
      </c>
      <c r="AE171">
        <f t="shared" si="120"/>
        <v>0</v>
      </c>
      <c r="AF171">
        <f t="shared" si="121"/>
        <v>0</v>
      </c>
      <c r="AG171">
        <f t="shared" si="98"/>
        <v>0</v>
      </c>
      <c r="AH171">
        <f t="shared" si="122"/>
        <v>0</v>
      </c>
      <c r="AI171">
        <f t="shared" si="123"/>
        <v>0</v>
      </c>
      <c r="AJ171">
        <f t="shared" si="99"/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1</v>
      </c>
      <c r="AW171">
        <v>1</v>
      </c>
      <c r="AZ171">
        <v>1</v>
      </c>
      <c r="BA171">
        <v>1</v>
      </c>
      <c r="BB171">
        <v>1</v>
      </c>
      <c r="BC171">
        <v>8.65</v>
      </c>
      <c r="BD171" t="s">
        <v>3</v>
      </c>
      <c r="BE171" t="s">
        <v>3</v>
      </c>
      <c r="BF171" t="s">
        <v>3</v>
      </c>
      <c r="BG171" t="s">
        <v>3</v>
      </c>
      <c r="BH171">
        <v>3</v>
      </c>
      <c r="BI171">
        <v>1</v>
      </c>
      <c r="BJ171" t="s">
        <v>3</v>
      </c>
      <c r="BM171">
        <v>445</v>
      </c>
      <c r="BN171">
        <v>0</v>
      </c>
      <c r="BO171" t="s">
        <v>3</v>
      </c>
      <c r="BP171">
        <v>0</v>
      </c>
      <c r="BQ171">
        <v>60</v>
      </c>
      <c r="BR171">
        <v>1</v>
      </c>
      <c r="BS171">
        <v>1</v>
      </c>
      <c r="BT171">
        <v>1</v>
      </c>
      <c r="BU171">
        <v>1</v>
      </c>
      <c r="BV171">
        <v>1</v>
      </c>
      <c r="BW171">
        <v>1</v>
      </c>
      <c r="BX171">
        <v>1</v>
      </c>
      <c r="BY171" t="s">
        <v>3</v>
      </c>
      <c r="BZ171">
        <v>0</v>
      </c>
      <c r="CA171">
        <v>0</v>
      </c>
      <c r="CB171" t="s">
        <v>3</v>
      </c>
      <c r="CE171">
        <v>30</v>
      </c>
      <c r="CF171">
        <v>0</v>
      </c>
      <c r="CG171">
        <v>0</v>
      </c>
      <c r="CM171">
        <v>0</v>
      </c>
      <c r="CN171" t="s">
        <v>3</v>
      </c>
      <c r="CO171">
        <v>0</v>
      </c>
      <c r="CP171">
        <f t="shared" si="100"/>
        <v>0</v>
      </c>
      <c r="CQ171">
        <f t="shared" si="101"/>
        <v>0</v>
      </c>
      <c r="CR171">
        <f t="shared" si="124"/>
        <v>0</v>
      </c>
      <c r="CS171">
        <f t="shared" si="102"/>
        <v>0</v>
      </c>
      <c r="CT171">
        <f t="shared" si="103"/>
        <v>0</v>
      </c>
      <c r="CU171">
        <f t="shared" si="104"/>
        <v>0</v>
      </c>
      <c r="CV171">
        <f t="shared" si="105"/>
        <v>0</v>
      </c>
      <c r="CW171">
        <f t="shared" si="106"/>
        <v>0</v>
      </c>
      <c r="CX171">
        <f t="shared" si="107"/>
        <v>0</v>
      </c>
      <c r="CY171">
        <f>S171*(BZ171/100)</f>
        <v>0</v>
      </c>
      <c r="CZ171">
        <f>S171*(CA171/100)</f>
        <v>0</v>
      </c>
      <c r="DC171" t="s">
        <v>3</v>
      </c>
      <c r="DD171" t="s">
        <v>3</v>
      </c>
      <c r="DE171" t="s">
        <v>3</v>
      </c>
      <c r="DF171" t="s">
        <v>3</v>
      </c>
      <c r="DG171" t="s">
        <v>3</v>
      </c>
      <c r="DH171" t="s">
        <v>3</v>
      </c>
      <c r="DI171" t="s">
        <v>3</v>
      </c>
      <c r="DJ171" t="s">
        <v>3</v>
      </c>
      <c r="DK171" t="s">
        <v>3</v>
      </c>
      <c r="DL171" t="s">
        <v>3</v>
      </c>
      <c r="DM171" t="s">
        <v>3</v>
      </c>
      <c r="DN171">
        <v>80</v>
      </c>
      <c r="DO171">
        <v>55</v>
      </c>
      <c r="DP171">
        <v>1</v>
      </c>
      <c r="DQ171">
        <v>1</v>
      </c>
      <c r="DU171">
        <v>1009</v>
      </c>
      <c r="DV171" t="s">
        <v>114</v>
      </c>
      <c r="DW171" t="s">
        <v>114</v>
      </c>
      <c r="DX171">
        <v>1000</v>
      </c>
      <c r="DZ171" t="s">
        <v>3</v>
      </c>
      <c r="EA171" t="s">
        <v>3</v>
      </c>
      <c r="EB171" t="s">
        <v>3</v>
      </c>
      <c r="EC171" t="s">
        <v>3</v>
      </c>
      <c r="EE171">
        <v>126051906</v>
      </c>
      <c r="EF171">
        <v>60</v>
      </c>
      <c r="EG171" t="s">
        <v>150</v>
      </c>
      <c r="EH171">
        <v>0</v>
      </c>
      <c r="EI171" t="s">
        <v>3</v>
      </c>
      <c r="EJ171">
        <v>1</v>
      </c>
      <c r="EK171">
        <v>445</v>
      </c>
      <c r="EL171" t="s">
        <v>174</v>
      </c>
      <c r="EM171" t="s">
        <v>175</v>
      </c>
      <c r="EO171" t="s">
        <v>3</v>
      </c>
      <c r="EQ171">
        <v>0</v>
      </c>
      <c r="ER171">
        <v>0</v>
      </c>
      <c r="ES171">
        <v>0</v>
      </c>
      <c r="ET171">
        <v>0</v>
      </c>
      <c r="EU171">
        <v>0</v>
      </c>
      <c r="EV171">
        <v>0</v>
      </c>
      <c r="EW171">
        <v>0</v>
      </c>
      <c r="EX171">
        <v>0</v>
      </c>
      <c r="FQ171">
        <v>0</v>
      </c>
      <c r="FR171">
        <f t="shared" si="108"/>
        <v>0</v>
      </c>
      <c r="FS171">
        <v>0</v>
      </c>
      <c r="FX171">
        <v>80</v>
      </c>
      <c r="FY171">
        <v>55</v>
      </c>
      <c r="GA171" t="s">
        <v>3</v>
      </c>
      <c r="GD171">
        <v>0</v>
      </c>
      <c r="GF171">
        <v>1489638031</v>
      </c>
      <c r="GG171">
        <v>2</v>
      </c>
      <c r="GH171">
        <v>1</v>
      </c>
      <c r="GI171">
        <v>5</v>
      </c>
      <c r="GJ171">
        <v>0</v>
      </c>
      <c r="GK171">
        <f>ROUND(R171*(S12)/100,2)</f>
        <v>0</v>
      </c>
      <c r="GL171">
        <f t="shared" si="109"/>
        <v>0</v>
      </c>
      <c r="GM171">
        <f t="shared" si="110"/>
        <v>0</v>
      </c>
      <c r="GN171">
        <f t="shared" si="111"/>
        <v>0</v>
      </c>
      <c r="GO171">
        <f t="shared" si="112"/>
        <v>0</v>
      </c>
      <c r="GP171">
        <f t="shared" si="113"/>
        <v>0</v>
      </c>
      <c r="GR171">
        <v>0</v>
      </c>
      <c r="GS171">
        <v>3</v>
      </c>
      <c r="GT171">
        <v>0</v>
      </c>
      <c r="GU171" t="s">
        <v>3</v>
      </c>
      <c r="GV171">
        <f t="shared" si="114"/>
        <v>0</v>
      </c>
      <c r="GW171">
        <v>1</v>
      </c>
      <c r="GX171">
        <f t="shared" si="115"/>
        <v>0</v>
      </c>
      <c r="HA171">
        <v>0</v>
      </c>
      <c r="HB171">
        <v>0</v>
      </c>
      <c r="HC171">
        <f t="shared" si="116"/>
        <v>0</v>
      </c>
      <c r="HE171" t="s">
        <v>3</v>
      </c>
      <c r="HF171" t="s">
        <v>3</v>
      </c>
      <c r="HM171" t="s">
        <v>3</v>
      </c>
      <c r="HN171" t="s">
        <v>3</v>
      </c>
      <c r="HO171" t="s">
        <v>3</v>
      </c>
      <c r="HP171" t="s">
        <v>3</v>
      </c>
      <c r="HQ171" t="s">
        <v>3</v>
      </c>
      <c r="IK171">
        <v>0</v>
      </c>
    </row>
    <row r="172" spans="1:255" x14ac:dyDescent="0.2">
      <c r="A172" s="2">
        <v>17</v>
      </c>
      <c r="B172" s="2">
        <v>1</v>
      </c>
      <c r="C172" s="2">
        <f>ROW(SmtRes!A96)</f>
        <v>96</v>
      </c>
      <c r="D172" s="2">
        <f>ROW(EtalonRes!A100)</f>
        <v>100</v>
      </c>
      <c r="E172" s="2" t="s">
        <v>176</v>
      </c>
      <c r="F172" s="2" t="s">
        <v>177</v>
      </c>
      <c r="G172" s="2" t="s">
        <v>178</v>
      </c>
      <c r="H172" s="2" t="s">
        <v>179</v>
      </c>
      <c r="I172" s="2">
        <v>0.05</v>
      </c>
      <c r="J172" s="2">
        <v>0</v>
      </c>
      <c r="K172" s="2">
        <v>0.05</v>
      </c>
      <c r="L172" s="2"/>
      <c r="M172" s="2"/>
      <c r="N172" s="2"/>
      <c r="O172" s="2">
        <f t="shared" si="87"/>
        <v>49.71</v>
      </c>
      <c r="P172" s="2">
        <f t="shared" si="88"/>
        <v>1.83</v>
      </c>
      <c r="Q172" s="2">
        <f>(ROUND((ROUND((((ET172*0.6))*AV172*I172),2)*BB172),2)+ROUND((ROUND(((AE172-((EU172*0.6)))*AV172*I172),2)*BS172),2))</f>
        <v>1.94</v>
      </c>
      <c r="R172" s="2">
        <f t="shared" si="89"/>
        <v>0.13</v>
      </c>
      <c r="S172" s="2">
        <f t="shared" si="90"/>
        <v>45.94</v>
      </c>
      <c r="T172" s="2">
        <f t="shared" si="91"/>
        <v>0</v>
      </c>
      <c r="U172" s="2">
        <f t="shared" si="92"/>
        <v>3.48</v>
      </c>
      <c r="V172" s="2">
        <f t="shared" si="93"/>
        <v>0</v>
      </c>
      <c r="W172" s="2">
        <f t="shared" si="94"/>
        <v>0</v>
      </c>
      <c r="X172" s="2">
        <f t="shared" si="95"/>
        <v>39.049999999999997</v>
      </c>
      <c r="Y172" s="2">
        <f t="shared" si="96"/>
        <v>32.159999999999997</v>
      </c>
      <c r="Z172" s="2"/>
      <c r="AA172" s="2">
        <v>129761636</v>
      </c>
      <c r="AB172" s="2">
        <f t="shared" si="97"/>
        <v>994.05600000000004</v>
      </c>
      <c r="AC172" s="2">
        <f>ROUND(((ES172*0.6)),6)</f>
        <v>36.636000000000003</v>
      </c>
      <c r="AD172" s="2">
        <f>ROUND(((((ET172*0.6))-((EU172*0.6)))+AE172),6)</f>
        <v>38.700000000000003</v>
      </c>
      <c r="AE172" s="2">
        <f>ROUND(((EU172*0.6)),6)</f>
        <v>2.6459999999999999</v>
      </c>
      <c r="AF172" s="2">
        <f>ROUND(((EV172*0.6)),6)</f>
        <v>918.72</v>
      </c>
      <c r="AG172" s="2">
        <f t="shared" si="98"/>
        <v>0</v>
      </c>
      <c r="AH172" s="2">
        <f>((EW172*0.6))</f>
        <v>69.599999999999994</v>
      </c>
      <c r="AI172" s="2">
        <f>((EX172*0.6))</f>
        <v>0</v>
      </c>
      <c r="AJ172" s="2">
        <f t="shared" si="99"/>
        <v>0</v>
      </c>
      <c r="AK172" s="2">
        <v>1656.76</v>
      </c>
      <c r="AL172" s="2">
        <v>61.06</v>
      </c>
      <c r="AM172" s="2">
        <v>64.5</v>
      </c>
      <c r="AN172" s="2">
        <v>4.41</v>
      </c>
      <c r="AO172" s="2">
        <v>1531.2</v>
      </c>
      <c r="AP172" s="2">
        <v>0</v>
      </c>
      <c r="AQ172" s="2">
        <v>116</v>
      </c>
      <c r="AR172" s="2">
        <v>0</v>
      </c>
      <c r="AS172" s="2">
        <v>0</v>
      </c>
      <c r="AT172" s="2">
        <v>85</v>
      </c>
      <c r="AU172" s="2">
        <v>70</v>
      </c>
      <c r="AV172" s="2">
        <v>1</v>
      </c>
      <c r="AW172" s="2">
        <v>1</v>
      </c>
      <c r="AX172" s="2"/>
      <c r="AY172" s="2"/>
      <c r="AZ172" s="2">
        <v>1</v>
      </c>
      <c r="BA172" s="2">
        <v>1</v>
      </c>
      <c r="BB172" s="2">
        <v>1</v>
      </c>
      <c r="BC172" s="2">
        <v>1</v>
      </c>
      <c r="BD172" s="2" t="s">
        <v>3</v>
      </c>
      <c r="BE172" s="2" t="s">
        <v>3</v>
      </c>
      <c r="BF172" s="2" t="s">
        <v>3</v>
      </c>
      <c r="BG172" s="2" t="s">
        <v>3</v>
      </c>
      <c r="BH172" s="2">
        <v>0</v>
      </c>
      <c r="BI172" s="2">
        <v>1</v>
      </c>
      <c r="BJ172" s="2" t="s">
        <v>180</v>
      </c>
      <c r="BK172" s="2"/>
      <c r="BL172" s="2"/>
      <c r="BM172" s="2">
        <v>80</v>
      </c>
      <c r="BN172" s="2">
        <v>0</v>
      </c>
      <c r="BO172" s="2" t="s">
        <v>3</v>
      </c>
      <c r="BP172" s="2">
        <v>0</v>
      </c>
      <c r="BQ172" s="2">
        <v>30</v>
      </c>
      <c r="BR172" s="2">
        <v>0</v>
      </c>
      <c r="BS172" s="2">
        <v>1</v>
      </c>
      <c r="BT172" s="2">
        <v>1</v>
      </c>
      <c r="BU172" s="2">
        <v>1</v>
      </c>
      <c r="BV172" s="2">
        <v>1</v>
      </c>
      <c r="BW172" s="2">
        <v>1</v>
      </c>
      <c r="BX172" s="2">
        <v>1</v>
      </c>
      <c r="BY172" s="2" t="s">
        <v>3</v>
      </c>
      <c r="BZ172" s="2">
        <v>85</v>
      </c>
      <c r="CA172" s="2">
        <v>70</v>
      </c>
      <c r="CB172" s="2" t="s">
        <v>3</v>
      </c>
      <c r="CC172" s="2"/>
      <c r="CD172" s="2"/>
      <c r="CE172" s="2">
        <v>30</v>
      </c>
      <c r="CF172" s="2">
        <v>0</v>
      </c>
      <c r="CG172" s="2">
        <v>0</v>
      </c>
      <c r="CH172" s="2"/>
      <c r="CI172" s="2"/>
      <c r="CJ172" s="2"/>
      <c r="CK172" s="2"/>
      <c r="CL172" s="2"/>
      <c r="CM172" s="2">
        <v>0</v>
      </c>
      <c r="CN172" s="2" t="s">
        <v>141</v>
      </c>
      <c r="CO172" s="2">
        <v>0</v>
      </c>
      <c r="CP172" s="2">
        <f t="shared" si="100"/>
        <v>49.71</v>
      </c>
      <c r="CQ172" s="2">
        <f t="shared" si="101"/>
        <v>36.64</v>
      </c>
      <c r="CR172" s="2">
        <f>(ROUND((ROUND((((ET172*0.6))*AV172*1),2)*BB172),2)+ROUND((ROUND(((AE172-((EU172*0.6)))*AV172*1),2)*BS172),2))</f>
        <v>38.700000000000003</v>
      </c>
      <c r="CS172" s="2">
        <f t="shared" si="102"/>
        <v>2.65</v>
      </c>
      <c r="CT172" s="2">
        <f t="shared" si="103"/>
        <v>918.72</v>
      </c>
      <c r="CU172" s="2">
        <f t="shared" si="104"/>
        <v>0</v>
      </c>
      <c r="CV172" s="2">
        <f t="shared" si="105"/>
        <v>69.599999999999994</v>
      </c>
      <c r="CW172" s="2">
        <f t="shared" si="106"/>
        <v>0</v>
      </c>
      <c r="CX172" s="2">
        <f t="shared" si="107"/>
        <v>0</v>
      </c>
      <c r="CY172" s="2">
        <f>((S172*BZ172)/100)</f>
        <v>39.048999999999999</v>
      </c>
      <c r="CZ172" s="2">
        <f>((S172*CA172)/100)</f>
        <v>32.157999999999994</v>
      </c>
      <c r="DA172" s="2"/>
      <c r="DB172" s="2"/>
      <c r="DC172" s="2" t="s">
        <v>3</v>
      </c>
      <c r="DD172" s="2" t="s">
        <v>142</v>
      </c>
      <c r="DE172" s="2" t="s">
        <v>142</v>
      </c>
      <c r="DF172" s="2" t="s">
        <v>142</v>
      </c>
      <c r="DG172" s="2" t="s">
        <v>142</v>
      </c>
      <c r="DH172" s="2" t="s">
        <v>3</v>
      </c>
      <c r="DI172" s="2" t="s">
        <v>142</v>
      </c>
      <c r="DJ172" s="2" t="s">
        <v>142</v>
      </c>
      <c r="DK172" s="2" t="s">
        <v>3</v>
      </c>
      <c r="DL172" s="2" t="s">
        <v>3</v>
      </c>
      <c r="DM172" s="2" t="s">
        <v>3</v>
      </c>
      <c r="DN172" s="2">
        <v>0</v>
      </c>
      <c r="DO172" s="2">
        <v>0</v>
      </c>
      <c r="DP172" s="2">
        <v>1</v>
      </c>
      <c r="DQ172" s="2">
        <v>1</v>
      </c>
      <c r="DR172" s="2"/>
      <c r="DS172" s="2"/>
      <c r="DT172" s="2"/>
      <c r="DU172" s="2">
        <v>1013</v>
      </c>
      <c r="DV172" s="2" t="s">
        <v>179</v>
      </c>
      <c r="DW172" s="2" t="s">
        <v>179</v>
      </c>
      <c r="DX172" s="2">
        <v>1</v>
      </c>
      <c r="DY172" s="2"/>
      <c r="DZ172" s="2" t="s">
        <v>3</v>
      </c>
      <c r="EA172" s="2" t="s">
        <v>3</v>
      </c>
      <c r="EB172" s="2" t="s">
        <v>3</v>
      </c>
      <c r="EC172" s="2" t="s">
        <v>3</v>
      </c>
      <c r="ED172" s="2"/>
      <c r="EE172" s="2">
        <v>126051541</v>
      </c>
      <c r="EF172" s="2">
        <v>30</v>
      </c>
      <c r="EG172" s="2" t="s">
        <v>23</v>
      </c>
      <c r="EH172" s="2">
        <v>0</v>
      </c>
      <c r="EI172" s="2" t="s">
        <v>3</v>
      </c>
      <c r="EJ172" s="2">
        <v>1</v>
      </c>
      <c r="EK172" s="2">
        <v>80</v>
      </c>
      <c r="EL172" s="2" t="s">
        <v>143</v>
      </c>
      <c r="EM172" s="2" t="s">
        <v>144</v>
      </c>
      <c r="EN172" s="2"/>
      <c r="EO172" s="2" t="s">
        <v>145</v>
      </c>
      <c r="EP172" s="2"/>
      <c r="EQ172" s="2">
        <v>131072</v>
      </c>
      <c r="ER172" s="2">
        <v>1656.76</v>
      </c>
      <c r="ES172" s="2">
        <v>61.06</v>
      </c>
      <c r="ET172" s="2">
        <v>64.5</v>
      </c>
      <c r="EU172" s="2">
        <v>4.41</v>
      </c>
      <c r="EV172" s="2">
        <v>1531.2</v>
      </c>
      <c r="EW172" s="2">
        <v>116</v>
      </c>
      <c r="EX172" s="2">
        <v>0</v>
      </c>
      <c r="EY172" s="2">
        <v>0</v>
      </c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/>
      <c r="FK172" s="2"/>
      <c r="FL172" s="2"/>
      <c r="FM172" s="2"/>
      <c r="FN172" s="2"/>
      <c r="FO172" s="2"/>
      <c r="FP172" s="2"/>
      <c r="FQ172" s="2">
        <v>0</v>
      </c>
      <c r="FR172" s="2">
        <f t="shared" si="108"/>
        <v>0</v>
      </c>
      <c r="FS172" s="2">
        <v>0</v>
      </c>
      <c r="FT172" s="2"/>
      <c r="FU172" s="2"/>
      <c r="FV172" s="2"/>
      <c r="FW172" s="2"/>
      <c r="FX172" s="2">
        <v>85</v>
      </c>
      <c r="FY172" s="2">
        <v>70</v>
      </c>
      <c r="FZ172" s="2"/>
      <c r="GA172" s="2" t="s">
        <v>3</v>
      </c>
      <c r="GB172" s="2"/>
      <c r="GC172" s="2"/>
      <c r="GD172" s="2">
        <v>0</v>
      </c>
      <c r="GE172" s="2"/>
      <c r="GF172" s="2">
        <v>-1954847381</v>
      </c>
      <c r="GG172" s="2">
        <v>2</v>
      </c>
      <c r="GH172" s="2">
        <v>1</v>
      </c>
      <c r="GI172" s="2">
        <v>-2</v>
      </c>
      <c r="GJ172" s="2">
        <v>0</v>
      </c>
      <c r="GK172" s="2">
        <f>ROUND(R172*(R12)/100,2)</f>
        <v>0.23</v>
      </c>
      <c r="GL172" s="2">
        <f t="shared" si="109"/>
        <v>0</v>
      </c>
      <c r="GM172" s="2">
        <f t="shared" si="110"/>
        <v>121.15</v>
      </c>
      <c r="GN172" s="2">
        <f t="shared" si="111"/>
        <v>121.15</v>
      </c>
      <c r="GO172" s="2">
        <f t="shared" si="112"/>
        <v>0</v>
      </c>
      <c r="GP172" s="2">
        <f t="shared" si="113"/>
        <v>0</v>
      </c>
      <c r="GQ172" s="2"/>
      <c r="GR172" s="2">
        <v>0</v>
      </c>
      <c r="GS172" s="2">
        <v>0</v>
      </c>
      <c r="GT172" s="2">
        <v>0</v>
      </c>
      <c r="GU172" s="2" t="s">
        <v>3</v>
      </c>
      <c r="GV172" s="2">
        <f t="shared" si="114"/>
        <v>0</v>
      </c>
      <c r="GW172" s="2">
        <v>1</v>
      </c>
      <c r="GX172" s="2">
        <f t="shared" si="115"/>
        <v>0</v>
      </c>
      <c r="GY172" s="2"/>
      <c r="GZ172" s="2"/>
      <c r="HA172" s="2">
        <v>0</v>
      </c>
      <c r="HB172" s="2">
        <v>0</v>
      </c>
      <c r="HC172" s="2">
        <f t="shared" si="116"/>
        <v>0</v>
      </c>
      <c r="HD172" s="2"/>
      <c r="HE172" s="2" t="s">
        <v>3</v>
      </c>
      <c r="HF172" s="2" t="s">
        <v>3</v>
      </c>
      <c r="HG172" s="2"/>
      <c r="HH172" s="2"/>
      <c r="HI172" s="2"/>
      <c r="HJ172" s="2"/>
      <c r="HK172" s="2"/>
      <c r="HL172" s="2"/>
      <c r="HM172" s="2" t="s">
        <v>3</v>
      </c>
      <c r="HN172" s="2" t="s">
        <v>3</v>
      </c>
      <c r="HO172" s="2" t="s">
        <v>3</v>
      </c>
      <c r="HP172" s="2" t="s">
        <v>3</v>
      </c>
      <c r="HQ172" s="2" t="s">
        <v>3</v>
      </c>
      <c r="HR172" s="2"/>
      <c r="HS172" s="2"/>
      <c r="HT172" s="2"/>
      <c r="HU172" s="2"/>
      <c r="HV172" s="2"/>
      <c r="HW172" s="2"/>
      <c r="HX172" s="2"/>
      <c r="HY172" s="2"/>
      <c r="HZ172" s="2"/>
      <c r="IA172" s="2"/>
      <c r="IB172" s="2"/>
      <c r="IC172" s="2"/>
      <c r="ID172" s="2"/>
      <c r="IE172" s="2"/>
      <c r="IF172" s="2"/>
      <c r="IG172" s="2"/>
      <c r="IH172" s="2"/>
      <c r="II172" s="2"/>
      <c r="IJ172" s="2"/>
      <c r="IK172" s="2">
        <v>0</v>
      </c>
      <c r="IL172" s="2"/>
      <c r="IM172" s="2"/>
      <c r="IN172" s="2"/>
      <c r="IO172" s="2"/>
      <c r="IP172" s="2"/>
      <c r="IQ172" s="2"/>
      <c r="IR172" s="2"/>
      <c r="IS172" s="2"/>
      <c r="IT172" s="2"/>
      <c r="IU172" s="2"/>
    </row>
    <row r="173" spans="1:255" x14ac:dyDescent="0.2">
      <c r="A173">
        <v>17</v>
      </c>
      <c r="B173">
        <v>1</v>
      </c>
      <c r="C173">
        <f>ROW(SmtRes!A100)</f>
        <v>100</v>
      </c>
      <c r="D173">
        <f>ROW(EtalonRes!A106)</f>
        <v>106</v>
      </c>
      <c r="E173" t="s">
        <v>176</v>
      </c>
      <c r="F173" t="s">
        <v>177</v>
      </c>
      <c r="G173" t="s">
        <v>178</v>
      </c>
      <c r="H173" t="s">
        <v>179</v>
      </c>
      <c r="I173">
        <v>0.05</v>
      </c>
      <c r="J173">
        <v>0</v>
      </c>
      <c r="K173">
        <v>0.05</v>
      </c>
      <c r="O173">
        <f t="shared" si="87"/>
        <v>1386.74</v>
      </c>
      <c r="P173">
        <f t="shared" si="88"/>
        <v>37.08</v>
      </c>
      <c r="Q173">
        <f>(ROUND((ROUND((((ET173*0.6))*AV173*I173),2)*BB173),2)+ROUND((ROUND(((AE173-((EU173*0.6)))*AV173*I173),2)*BS173),2))</f>
        <v>16.02</v>
      </c>
      <c r="R173">
        <f t="shared" si="89"/>
        <v>3.77</v>
      </c>
      <c r="S173">
        <f t="shared" si="90"/>
        <v>1333.64</v>
      </c>
      <c r="T173">
        <f t="shared" si="91"/>
        <v>0</v>
      </c>
      <c r="U173">
        <f t="shared" si="92"/>
        <v>3.48</v>
      </c>
      <c r="V173">
        <f t="shared" si="93"/>
        <v>0</v>
      </c>
      <c r="W173">
        <f t="shared" si="94"/>
        <v>0</v>
      </c>
      <c r="X173">
        <f t="shared" si="95"/>
        <v>933.55</v>
      </c>
      <c r="Y173">
        <f t="shared" si="96"/>
        <v>546.79</v>
      </c>
      <c r="AA173">
        <v>129761633</v>
      </c>
      <c r="AB173">
        <f t="shared" si="97"/>
        <v>994.05600000000004</v>
      </c>
      <c r="AC173">
        <f>ROUND(((ES173*0.6)),6)</f>
        <v>36.636000000000003</v>
      </c>
      <c r="AD173">
        <f>ROUND(((((ET173*0.6))-((EU173*0.6)))+AE173),6)</f>
        <v>38.700000000000003</v>
      </c>
      <c r="AE173">
        <f>ROUND(((EU173*0.6)),6)</f>
        <v>2.6459999999999999</v>
      </c>
      <c r="AF173">
        <f>ROUND(((EV173*0.6)),6)</f>
        <v>918.72</v>
      </c>
      <c r="AG173">
        <f t="shared" si="98"/>
        <v>0</v>
      </c>
      <c r="AH173">
        <f>((EW173*0.6))</f>
        <v>69.599999999999994</v>
      </c>
      <c r="AI173">
        <f>((EX173*0.6))</f>
        <v>0</v>
      </c>
      <c r="AJ173">
        <f t="shared" si="99"/>
        <v>0</v>
      </c>
      <c r="AK173">
        <v>1656.76</v>
      </c>
      <c r="AL173">
        <v>61.06</v>
      </c>
      <c r="AM173">
        <v>64.5</v>
      </c>
      <c r="AN173">
        <v>4.41</v>
      </c>
      <c r="AO173">
        <v>1531.2</v>
      </c>
      <c r="AP173">
        <v>0</v>
      </c>
      <c r="AQ173">
        <v>116</v>
      </c>
      <c r="AR173">
        <v>0</v>
      </c>
      <c r="AS173">
        <v>0</v>
      </c>
      <c r="AT173">
        <v>70</v>
      </c>
      <c r="AU173">
        <v>41</v>
      </c>
      <c r="AV173">
        <v>1</v>
      </c>
      <c r="AW173">
        <v>1</v>
      </c>
      <c r="AZ173">
        <v>1</v>
      </c>
      <c r="BA173">
        <v>29.03</v>
      </c>
      <c r="BB173">
        <v>8.26</v>
      </c>
      <c r="BC173">
        <v>20.260000000000002</v>
      </c>
      <c r="BD173" t="s">
        <v>3</v>
      </c>
      <c r="BE173" t="s">
        <v>3</v>
      </c>
      <c r="BF173" t="s">
        <v>3</v>
      </c>
      <c r="BG173" t="s">
        <v>3</v>
      </c>
      <c r="BH173">
        <v>0</v>
      </c>
      <c r="BI173">
        <v>1</v>
      </c>
      <c r="BJ173" t="s">
        <v>180</v>
      </c>
      <c r="BM173">
        <v>80</v>
      </c>
      <c r="BN173">
        <v>0</v>
      </c>
      <c r="BO173" t="s">
        <v>177</v>
      </c>
      <c r="BP173">
        <v>1</v>
      </c>
      <c r="BQ173">
        <v>30</v>
      </c>
      <c r="BR173">
        <v>0</v>
      </c>
      <c r="BS173">
        <v>29.03</v>
      </c>
      <c r="BT173">
        <v>1</v>
      </c>
      <c r="BU173">
        <v>1</v>
      </c>
      <c r="BV173">
        <v>1</v>
      </c>
      <c r="BW173">
        <v>1</v>
      </c>
      <c r="BX173">
        <v>1</v>
      </c>
      <c r="BY173" t="s">
        <v>3</v>
      </c>
      <c r="BZ173">
        <v>70</v>
      </c>
      <c r="CA173">
        <v>41</v>
      </c>
      <c r="CB173" t="s">
        <v>3</v>
      </c>
      <c r="CE173">
        <v>30</v>
      </c>
      <c r="CF173">
        <v>0</v>
      </c>
      <c r="CG173">
        <v>0</v>
      </c>
      <c r="CM173">
        <v>0</v>
      </c>
      <c r="CN173" t="s">
        <v>141</v>
      </c>
      <c r="CO173">
        <v>0</v>
      </c>
      <c r="CP173">
        <f t="shared" si="100"/>
        <v>1386.74</v>
      </c>
      <c r="CQ173">
        <f t="shared" si="101"/>
        <v>742.33</v>
      </c>
      <c r="CR173">
        <f>(ROUND((ROUND((((ET173*0.6))*AV173*1),2)*BB173),2)+ROUND((ROUND(((AE173-((EU173*0.6)))*AV173*1),2)*BS173),2))</f>
        <v>319.66000000000003</v>
      </c>
      <c r="CS173">
        <f t="shared" si="102"/>
        <v>76.930000000000007</v>
      </c>
      <c r="CT173">
        <f t="shared" si="103"/>
        <v>26670.44</v>
      </c>
      <c r="CU173">
        <f t="shared" si="104"/>
        <v>0</v>
      </c>
      <c r="CV173">
        <f t="shared" si="105"/>
        <v>69.599999999999994</v>
      </c>
      <c r="CW173">
        <f t="shared" si="106"/>
        <v>0</v>
      </c>
      <c r="CX173">
        <f t="shared" si="107"/>
        <v>0</v>
      </c>
      <c r="CY173">
        <f>S173*(BZ173/100)</f>
        <v>933.548</v>
      </c>
      <c r="CZ173">
        <f>S173*(CA173/100)</f>
        <v>546.79240000000004</v>
      </c>
      <c r="DC173" t="s">
        <v>3</v>
      </c>
      <c r="DD173" t="s">
        <v>142</v>
      </c>
      <c r="DE173" t="s">
        <v>142</v>
      </c>
      <c r="DF173" t="s">
        <v>142</v>
      </c>
      <c r="DG173" t="s">
        <v>142</v>
      </c>
      <c r="DH173" t="s">
        <v>3</v>
      </c>
      <c r="DI173" t="s">
        <v>142</v>
      </c>
      <c r="DJ173" t="s">
        <v>142</v>
      </c>
      <c r="DK173" t="s">
        <v>3</v>
      </c>
      <c r="DL173" t="s">
        <v>3</v>
      </c>
      <c r="DM173" t="s">
        <v>3</v>
      </c>
      <c r="DN173">
        <v>85</v>
      </c>
      <c r="DO173">
        <v>70</v>
      </c>
      <c r="DP173">
        <v>1</v>
      </c>
      <c r="DQ173">
        <v>1</v>
      </c>
      <c r="DU173">
        <v>1013</v>
      </c>
      <c r="DV173" t="s">
        <v>179</v>
      </c>
      <c r="DW173" t="s">
        <v>179</v>
      </c>
      <c r="DX173">
        <v>1</v>
      </c>
      <c r="DZ173" t="s">
        <v>3</v>
      </c>
      <c r="EA173" t="s">
        <v>3</v>
      </c>
      <c r="EB173" t="s">
        <v>3</v>
      </c>
      <c r="EC173" t="s">
        <v>3</v>
      </c>
      <c r="EE173">
        <v>126051541</v>
      </c>
      <c r="EF173">
        <v>30</v>
      </c>
      <c r="EG173" t="s">
        <v>23</v>
      </c>
      <c r="EH173">
        <v>0</v>
      </c>
      <c r="EI173" t="s">
        <v>3</v>
      </c>
      <c r="EJ173">
        <v>1</v>
      </c>
      <c r="EK173">
        <v>80</v>
      </c>
      <c r="EL173" t="s">
        <v>143</v>
      </c>
      <c r="EM173" t="s">
        <v>144</v>
      </c>
      <c r="EO173" t="s">
        <v>145</v>
      </c>
      <c r="EQ173">
        <v>131072</v>
      </c>
      <c r="ER173">
        <v>1656.76</v>
      </c>
      <c r="ES173">
        <v>61.06</v>
      </c>
      <c r="ET173">
        <v>64.5</v>
      </c>
      <c r="EU173">
        <v>4.41</v>
      </c>
      <c r="EV173">
        <v>1531.2</v>
      </c>
      <c r="EW173">
        <v>116</v>
      </c>
      <c r="EX173">
        <v>0</v>
      </c>
      <c r="EY173">
        <v>0</v>
      </c>
      <c r="FQ173">
        <v>0</v>
      </c>
      <c r="FR173">
        <f t="shared" si="108"/>
        <v>0</v>
      </c>
      <c r="FS173">
        <v>0</v>
      </c>
      <c r="FX173">
        <v>85</v>
      </c>
      <c r="FY173">
        <v>70</v>
      </c>
      <c r="GA173" t="s">
        <v>3</v>
      </c>
      <c r="GD173">
        <v>0</v>
      </c>
      <c r="GF173">
        <v>-1954847381</v>
      </c>
      <c r="GG173">
        <v>2</v>
      </c>
      <c r="GH173">
        <v>1</v>
      </c>
      <c r="GI173">
        <v>2</v>
      </c>
      <c r="GJ173">
        <v>0</v>
      </c>
      <c r="GK173">
        <f>ROUND(R173*(S12)/100,2)</f>
        <v>6.03</v>
      </c>
      <c r="GL173">
        <f t="shared" si="109"/>
        <v>0</v>
      </c>
      <c r="GM173">
        <f t="shared" si="110"/>
        <v>2873.11</v>
      </c>
      <c r="GN173">
        <f t="shared" si="111"/>
        <v>2873.11</v>
      </c>
      <c r="GO173">
        <f t="shared" si="112"/>
        <v>0</v>
      </c>
      <c r="GP173">
        <f t="shared" si="113"/>
        <v>0</v>
      </c>
      <c r="GR173">
        <v>0</v>
      </c>
      <c r="GS173">
        <v>3</v>
      </c>
      <c r="GT173">
        <v>0</v>
      </c>
      <c r="GU173" t="s">
        <v>3</v>
      </c>
      <c r="GV173">
        <f t="shared" si="114"/>
        <v>0</v>
      </c>
      <c r="GW173">
        <v>1</v>
      </c>
      <c r="GX173">
        <f t="shared" si="115"/>
        <v>0</v>
      </c>
      <c r="HA173">
        <v>0</v>
      </c>
      <c r="HB173">
        <v>0</v>
      </c>
      <c r="HC173">
        <f t="shared" si="116"/>
        <v>0</v>
      </c>
      <c r="HE173" t="s">
        <v>3</v>
      </c>
      <c r="HF173" t="s">
        <v>3</v>
      </c>
      <c r="HM173" t="s">
        <v>3</v>
      </c>
      <c r="HN173" t="s">
        <v>3</v>
      </c>
      <c r="HO173" t="s">
        <v>3</v>
      </c>
      <c r="HP173" t="s">
        <v>3</v>
      </c>
      <c r="HQ173" t="s">
        <v>3</v>
      </c>
      <c r="IK173">
        <v>0</v>
      </c>
    </row>
    <row r="174" spans="1:255" x14ac:dyDescent="0.2">
      <c r="A174" s="2">
        <v>17</v>
      </c>
      <c r="B174" s="2">
        <v>1</v>
      </c>
      <c r="C174" s="2">
        <f>ROW(SmtRes!A104)</f>
        <v>104</v>
      </c>
      <c r="D174" s="2">
        <f>ROW(EtalonRes!A110)</f>
        <v>110</v>
      </c>
      <c r="E174" s="2" t="s">
        <v>181</v>
      </c>
      <c r="F174" s="2" t="s">
        <v>182</v>
      </c>
      <c r="G174" s="2" t="s">
        <v>183</v>
      </c>
      <c r="H174" s="2" t="s">
        <v>107</v>
      </c>
      <c r="I174" s="2">
        <v>6.0999999999999999E-2</v>
      </c>
      <c r="J174" s="2">
        <v>0</v>
      </c>
      <c r="K174" s="2">
        <v>6.0999999999999999E-2</v>
      </c>
      <c r="L174" s="2"/>
      <c r="M174" s="2"/>
      <c r="N174" s="2"/>
      <c r="O174" s="2">
        <f t="shared" si="87"/>
        <v>25.8</v>
      </c>
      <c r="P174" s="2">
        <f t="shared" si="88"/>
        <v>0</v>
      </c>
      <c r="Q174" s="2">
        <f>(ROUND((ROUND((((ET174*0.5))*AV174*I174),2)*BB174),2)+ROUND((ROUND(((AE174-((EU174*0.5)))*AV174*I174),2)*BS174),2))</f>
        <v>1.97</v>
      </c>
      <c r="R174" s="2">
        <f t="shared" si="89"/>
        <v>0.59</v>
      </c>
      <c r="S174" s="2">
        <f t="shared" si="90"/>
        <v>23.83</v>
      </c>
      <c r="T174" s="2">
        <f t="shared" si="91"/>
        <v>0</v>
      </c>
      <c r="U174" s="2">
        <f t="shared" si="92"/>
        <v>2.1310350000000002</v>
      </c>
      <c r="V174" s="2">
        <f t="shared" si="93"/>
        <v>0</v>
      </c>
      <c r="W174" s="2">
        <f t="shared" si="94"/>
        <v>0</v>
      </c>
      <c r="X174" s="2">
        <f t="shared" si="95"/>
        <v>19.059999999999999</v>
      </c>
      <c r="Y174" s="2">
        <f t="shared" si="96"/>
        <v>13.11</v>
      </c>
      <c r="Z174" s="2"/>
      <c r="AA174" s="2">
        <v>129761636</v>
      </c>
      <c r="AB174" s="2">
        <f t="shared" si="97"/>
        <v>422.815</v>
      </c>
      <c r="AC174" s="2">
        <f t="shared" ref="AC174:AC181" si="125">ROUND((ES174),6)</f>
        <v>0</v>
      </c>
      <c r="AD174" s="2">
        <f>ROUND(((((ET174*0.5))-((EU174*0.5)))+AE174),6)</f>
        <v>32.24</v>
      </c>
      <c r="AE174" s="2">
        <f>ROUND(((EU174*0.5)),6)</f>
        <v>9.625</v>
      </c>
      <c r="AF174" s="2">
        <f>ROUND(((EV174*0.5)),6)</f>
        <v>390.57499999999999</v>
      </c>
      <c r="AG174" s="2">
        <f t="shared" si="98"/>
        <v>0</v>
      </c>
      <c r="AH174" s="2">
        <f>((EW174*0.5))</f>
        <v>34.935000000000002</v>
      </c>
      <c r="AI174" s="2">
        <f>((EX174*0.5))</f>
        <v>0</v>
      </c>
      <c r="AJ174" s="2">
        <f t="shared" si="99"/>
        <v>0</v>
      </c>
      <c r="AK174" s="2">
        <v>845.63</v>
      </c>
      <c r="AL174" s="2">
        <v>0</v>
      </c>
      <c r="AM174" s="2">
        <v>64.48</v>
      </c>
      <c r="AN174" s="2">
        <v>19.25</v>
      </c>
      <c r="AO174" s="2">
        <v>781.15</v>
      </c>
      <c r="AP174" s="2">
        <v>0</v>
      </c>
      <c r="AQ174" s="2">
        <v>69.87</v>
      </c>
      <c r="AR174" s="2">
        <v>0</v>
      </c>
      <c r="AS174" s="2">
        <v>0</v>
      </c>
      <c r="AT174" s="2">
        <v>80</v>
      </c>
      <c r="AU174" s="2">
        <v>55</v>
      </c>
      <c r="AV174" s="2">
        <v>1</v>
      </c>
      <c r="AW174" s="2">
        <v>1</v>
      </c>
      <c r="AX174" s="2"/>
      <c r="AY174" s="2"/>
      <c r="AZ174" s="2">
        <v>1</v>
      </c>
      <c r="BA174" s="2">
        <v>1</v>
      </c>
      <c r="BB174" s="2">
        <v>1</v>
      </c>
      <c r="BC174" s="2">
        <v>1</v>
      </c>
      <c r="BD174" s="2" t="s">
        <v>3</v>
      </c>
      <c r="BE174" s="2" t="s">
        <v>3</v>
      </c>
      <c r="BF174" s="2" t="s">
        <v>3</v>
      </c>
      <c r="BG174" s="2" t="s">
        <v>3</v>
      </c>
      <c r="BH174" s="2">
        <v>0</v>
      </c>
      <c r="BI174" s="2">
        <v>1</v>
      </c>
      <c r="BJ174" s="2" t="s">
        <v>184</v>
      </c>
      <c r="BK174" s="2"/>
      <c r="BL174" s="2"/>
      <c r="BM174" s="2">
        <v>439</v>
      </c>
      <c r="BN174" s="2">
        <v>0</v>
      </c>
      <c r="BO174" s="2" t="s">
        <v>3</v>
      </c>
      <c r="BP174" s="2">
        <v>0</v>
      </c>
      <c r="BQ174" s="2">
        <v>60</v>
      </c>
      <c r="BR174" s="2">
        <v>0</v>
      </c>
      <c r="BS174" s="2">
        <v>1</v>
      </c>
      <c r="BT174" s="2">
        <v>1</v>
      </c>
      <c r="BU174" s="2">
        <v>1</v>
      </c>
      <c r="BV174" s="2">
        <v>1</v>
      </c>
      <c r="BW174" s="2">
        <v>1</v>
      </c>
      <c r="BX174" s="2">
        <v>1</v>
      </c>
      <c r="BY174" s="2" t="s">
        <v>3</v>
      </c>
      <c r="BZ174" s="2">
        <v>80</v>
      </c>
      <c r="CA174" s="2">
        <v>55</v>
      </c>
      <c r="CB174" s="2" t="s">
        <v>3</v>
      </c>
      <c r="CC174" s="2"/>
      <c r="CD174" s="2"/>
      <c r="CE174" s="2">
        <v>30</v>
      </c>
      <c r="CF174" s="2">
        <v>0</v>
      </c>
      <c r="CG174" s="2">
        <v>0</v>
      </c>
      <c r="CH174" s="2"/>
      <c r="CI174" s="2"/>
      <c r="CJ174" s="2"/>
      <c r="CK174" s="2"/>
      <c r="CL174" s="2"/>
      <c r="CM174" s="2">
        <v>0</v>
      </c>
      <c r="CN174" s="2" t="s">
        <v>185</v>
      </c>
      <c r="CO174" s="2">
        <v>0</v>
      </c>
      <c r="CP174" s="2">
        <f t="shared" si="100"/>
        <v>25.799999999999997</v>
      </c>
      <c r="CQ174" s="2">
        <f t="shared" si="101"/>
        <v>0</v>
      </c>
      <c r="CR174" s="2">
        <f>(ROUND((ROUND((((ET174*0.5))*AV174*1),2)*BB174),2)+ROUND((ROUND(((AE174-((EU174*0.5)))*AV174*1),2)*BS174),2))</f>
        <v>32.24</v>
      </c>
      <c r="CS174" s="2">
        <f t="shared" si="102"/>
        <v>9.6300000000000008</v>
      </c>
      <c r="CT174" s="2">
        <f t="shared" si="103"/>
        <v>390.58</v>
      </c>
      <c r="CU174" s="2">
        <f t="shared" si="104"/>
        <v>0</v>
      </c>
      <c r="CV174" s="2">
        <f t="shared" si="105"/>
        <v>34.935000000000002</v>
      </c>
      <c r="CW174" s="2">
        <f t="shared" si="106"/>
        <v>0</v>
      </c>
      <c r="CX174" s="2">
        <f t="shared" si="107"/>
        <v>0</v>
      </c>
      <c r="CY174" s="2">
        <f>((S174*BZ174)/100)</f>
        <v>19.064</v>
      </c>
      <c r="CZ174" s="2">
        <f>((S174*CA174)/100)</f>
        <v>13.106499999999999</v>
      </c>
      <c r="DA174" s="2"/>
      <c r="DB174" s="2"/>
      <c r="DC174" s="2" t="s">
        <v>3</v>
      </c>
      <c r="DD174" s="2" t="s">
        <v>3</v>
      </c>
      <c r="DE174" s="2" t="s">
        <v>186</v>
      </c>
      <c r="DF174" s="2" t="s">
        <v>186</v>
      </c>
      <c r="DG174" s="2" t="s">
        <v>186</v>
      </c>
      <c r="DH174" s="2" t="s">
        <v>3</v>
      </c>
      <c r="DI174" s="2" t="s">
        <v>186</v>
      </c>
      <c r="DJ174" s="2" t="s">
        <v>186</v>
      </c>
      <c r="DK174" s="2" t="s">
        <v>3</v>
      </c>
      <c r="DL174" s="2" t="s">
        <v>3</v>
      </c>
      <c r="DM174" s="2" t="s">
        <v>3</v>
      </c>
      <c r="DN174" s="2">
        <v>0</v>
      </c>
      <c r="DO174" s="2">
        <v>0</v>
      </c>
      <c r="DP174" s="2">
        <v>1</v>
      </c>
      <c r="DQ174" s="2">
        <v>1</v>
      </c>
      <c r="DR174" s="2"/>
      <c r="DS174" s="2"/>
      <c r="DT174" s="2"/>
      <c r="DU174" s="2">
        <v>1013</v>
      </c>
      <c r="DV174" s="2" t="s">
        <v>107</v>
      </c>
      <c r="DW174" s="2" t="s">
        <v>107</v>
      </c>
      <c r="DX174" s="2">
        <v>1</v>
      </c>
      <c r="DY174" s="2"/>
      <c r="DZ174" s="2" t="s">
        <v>3</v>
      </c>
      <c r="EA174" s="2" t="s">
        <v>3</v>
      </c>
      <c r="EB174" s="2" t="s">
        <v>3</v>
      </c>
      <c r="EC174" s="2" t="s">
        <v>3</v>
      </c>
      <c r="ED174" s="2"/>
      <c r="EE174" s="2">
        <v>126051900</v>
      </c>
      <c r="EF174" s="2">
        <v>60</v>
      </c>
      <c r="EG174" s="2" t="s">
        <v>150</v>
      </c>
      <c r="EH174" s="2">
        <v>0</v>
      </c>
      <c r="EI174" s="2" t="s">
        <v>3</v>
      </c>
      <c r="EJ174" s="2">
        <v>1</v>
      </c>
      <c r="EK174" s="2">
        <v>439</v>
      </c>
      <c r="EL174" s="2" t="s">
        <v>187</v>
      </c>
      <c r="EM174" s="2" t="s">
        <v>188</v>
      </c>
      <c r="EN174" s="2"/>
      <c r="EO174" s="2" t="s">
        <v>189</v>
      </c>
      <c r="EP174" s="2"/>
      <c r="EQ174" s="2">
        <v>131072</v>
      </c>
      <c r="ER174" s="2">
        <v>845.63</v>
      </c>
      <c r="ES174" s="2">
        <v>0</v>
      </c>
      <c r="ET174" s="2">
        <v>64.48</v>
      </c>
      <c r="EU174" s="2">
        <v>19.25</v>
      </c>
      <c r="EV174" s="2">
        <v>781.15</v>
      </c>
      <c r="EW174" s="2">
        <v>69.87</v>
      </c>
      <c r="EX174" s="2">
        <v>0</v>
      </c>
      <c r="EY174" s="2">
        <v>0</v>
      </c>
      <c r="EZ174" s="2"/>
      <c r="FA174" s="2"/>
      <c r="FB174" s="2"/>
      <c r="FC174" s="2"/>
      <c r="FD174" s="2"/>
      <c r="FE174" s="2"/>
      <c r="FF174" s="2"/>
      <c r="FG174" s="2"/>
      <c r="FH174" s="2"/>
      <c r="FI174" s="2"/>
      <c r="FJ174" s="2"/>
      <c r="FK174" s="2"/>
      <c r="FL174" s="2"/>
      <c r="FM174" s="2"/>
      <c r="FN174" s="2"/>
      <c r="FO174" s="2"/>
      <c r="FP174" s="2"/>
      <c r="FQ174" s="2">
        <v>0</v>
      </c>
      <c r="FR174" s="2">
        <f t="shared" si="108"/>
        <v>0</v>
      </c>
      <c r="FS174" s="2">
        <v>0</v>
      </c>
      <c r="FT174" s="2"/>
      <c r="FU174" s="2"/>
      <c r="FV174" s="2"/>
      <c r="FW174" s="2"/>
      <c r="FX174" s="2">
        <v>80</v>
      </c>
      <c r="FY174" s="2">
        <v>55</v>
      </c>
      <c r="FZ174" s="2"/>
      <c r="GA174" s="2" t="s">
        <v>3</v>
      </c>
      <c r="GB174" s="2"/>
      <c r="GC174" s="2"/>
      <c r="GD174" s="2">
        <v>0</v>
      </c>
      <c r="GE174" s="2"/>
      <c r="GF174" s="2">
        <v>-511312319</v>
      </c>
      <c r="GG174" s="2">
        <v>2</v>
      </c>
      <c r="GH174" s="2">
        <v>1</v>
      </c>
      <c r="GI174" s="2">
        <v>-2</v>
      </c>
      <c r="GJ174" s="2">
        <v>0</v>
      </c>
      <c r="GK174" s="2">
        <f>ROUND(R174*(R12)/100,2)</f>
        <v>1.03</v>
      </c>
      <c r="GL174" s="2">
        <f t="shared" si="109"/>
        <v>0</v>
      </c>
      <c r="GM174" s="2">
        <f t="shared" si="110"/>
        <v>59</v>
      </c>
      <c r="GN174" s="2">
        <f t="shared" si="111"/>
        <v>59</v>
      </c>
      <c r="GO174" s="2">
        <f t="shared" si="112"/>
        <v>0</v>
      </c>
      <c r="GP174" s="2">
        <f t="shared" si="113"/>
        <v>0</v>
      </c>
      <c r="GQ174" s="2"/>
      <c r="GR174" s="2">
        <v>0</v>
      </c>
      <c r="GS174" s="2">
        <v>0</v>
      </c>
      <c r="GT174" s="2">
        <v>0</v>
      </c>
      <c r="GU174" s="2" t="s">
        <v>3</v>
      </c>
      <c r="GV174" s="2">
        <f t="shared" si="114"/>
        <v>0</v>
      </c>
      <c r="GW174" s="2">
        <v>1</v>
      </c>
      <c r="GX174" s="2">
        <f t="shared" si="115"/>
        <v>0</v>
      </c>
      <c r="GY174" s="2"/>
      <c r="GZ174" s="2"/>
      <c r="HA174" s="2">
        <v>0</v>
      </c>
      <c r="HB174" s="2">
        <v>0</v>
      </c>
      <c r="HC174" s="2">
        <f t="shared" si="116"/>
        <v>0</v>
      </c>
      <c r="HD174" s="2"/>
      <c r="HE174" s="2" t="s">
        <v>3</v>
      </c>
      <c r="HF174" s="2" t="s">
        <v>3</v>
      </c>
      <c r="HG174" s="2"/>
      <c r="HH174" s="2"/>
      <c r="HI174" s="2"/>
      <c r="HJ174" s="2"/>
      <c r="HK174" s="2"/>
      <c r="HL174" s="2"/>
      <c r="HM174" s="2" t="s">
        <v>3</v>
      </c>
      <c r="HN174" s="2" t="s">
        <v>3</v>
      </c>
      <c r="HO174" s="2" t="s">
        <v>3</v>
      </c>
      <c r="HP174" s="2" t="s">
        <v>3</v>
      </c>
      <c r="HQ174" s="2" t="s">
        <v>3</v>
      </c>
      <c r="HR174" s="2"/>
      <c r="HS174" s="2"/>
      <c r="HT174" s="2"/>
      <c r="HU174" s="2"/>
      <c r="HV174" s="2"/>
      <c r="HW174" s="2"/>
      <c r="HX174" s="2"/>
      <c r="HY174" s="2"/>
      <c r="HZ174" s="2"/>
      <c r="IA174" s="2"/>
      <c r="IB174" s="2"/>
      <c r="IC174" s="2"/>
      <c r="ID174" s="2"/>
      <c r="IE174" s="2"/>
      <c r="IF174" s="2"/>
      <c r="IG174" s="2"/>
      <c r="IH174" s="2"/>
      <c r="II174" s="2"/>
      <c r="IJ174" s="2"/>
      <c r="IK174" s="2">
        <v>0</v>
      </c>
      <c r="IL174" s="2"/>
      <c r="IM174" s="2"/>
      <c r="IN174" s="2"/>
      <c r="IO174" s="2"/>
      <c r="IP174" s="2"/>
      <c r="IQ174" s="2"/>
      <c r="IR174" s="2"/>
      <c r="IS174" s="2"/>
      <c r="IT174" s="2"/>
      <c r="IU174" s="2"/>
    </row>
    <row r="175" spans="1:255" x14ac:dyDescent="0.2">
      <c r="A175">
        <v>17</v>
      </c>
      <c r="B175">
        <v>1</v>
      </c>
      <c r="C175">
        <f>ROW(SmtRes!A108)</f>
        <v>108</v>
      </c>
      <c r="D175">
        <f>ROW(EtalonRes!A114)</f>
        <v>114</v>
      </c>
      <c r="E175" t="s">
        <v>181</v>
      </c>
      <c r="F175" t="s">
        <v>182</v>
      </c>
      <c r="G175" t="s">
        <v>183</v>
      </c>
      <c r="H175" t="s">
        <v>107</v>
      </c>
      <c r="I175">
        <v>6.0999999999999999E-2</v>
      </c>
      <c r="J175">
        <v>0</v>
      </c>
      <c r="K175">
        <v>6.0999999999999999E-2</v>
      </c>
      <c r="O175">
        <f t="shared" si="87"/>
        <v>724.15</v>
      </c>
      <c r="P175">
        <f t="shared" si="88"/>
        <v>0</v>
      </c>
      <c r="Q175">
        <f>(ROUND((ROUND((((ET175*0.5))*AV175*I175),2)*BB175),2)+ROUND((ROUND(((AE175-((EU175*0.5)))*AV175*I175),2)*BS175),2))</f>
        <v>32.369999999999997</v>
      </c>
      <c r="R175">
        <f t="shared" si="89"/>
        <v>17.13</v>
      </c>
      <c r="S175">
        <f t="shared" si="90"/>
        <v>691.78</v>
      </c>
      <c r="T175">
        <f t="shared" si="91"/>
        <v>0</v>
      </c>
      <c r="U175">
        <f t="shared" si="92"/>
        <v>2.1310350000000002</v>
      </c>
      <c r="V175">
        <f t="shared" si="93"/>
        <v>0</v>
      </c>
      <c r="W175">
        <f t="shared" si="94"/>
        <v>0</v>
      </c>
      <c r="X175">
        <f t="shared" si="95"/>
        <v>484.25</v>
      </c>
      <c r="Y175">
        <f t="shared" si="96"/>
        <v>283.63</v>
      </c>
      <c r="AA175">
        <v>129761633</v>
      </c>
      <c r="AB175">
        <f t="shared" si="97"/>
        <v>422.815</v>
      </c>
      <c r="AC175">
        <f t="shared" si="125"/>
        <v>0</v>
      </c>
      <c r="AD175">
        <f>ROUND(((((ET175*0.5))-((EU175*0.5)))+AE175),6)</f>
        <v>32.24</v>
      </c>
      <c r="AE175">
        <f>ROUND(((EU175*0.5)),6)</f>
        <v>9.625</v>
      </c>
      <c r="AF175">
        <f>ROUND(((EV175*0.5)),6)</f>
        <v>390.57499999999999</v>
      </c>
      <c r="AG175">
        <f t="shared" si="98"/>
        <v>0</v>
      </c>
      <c r="AH175">
        <f>((EW175*0.5))</f>
        <v>34.935000000000002</v>
      </c>
      <c r="AI175">
        <f>((EX175*0.5))</f>
        <v>0</v>
      </c>
      <c r="AJ175">
        <f t="shared" si="99"/>
        <v>0</v>
      </c>
      <c r="AK175">
        <v>845.63</v>
      </c>
      <c r="AL175">
        <v>0</v>
      </c>
      <c r="AM175">
        <v>64.48</v>
      </c>
      <c r="AN175">
        <v>19.25</v>
      </c>
      <c r="AO175">
        <v>781.15</v>
      </c>
      <c r="AP175">
        <v>0</v>
      </c>
      <c r="AQ175">
        <v>69.87</v>
      </c>
      <c r="AR175">
        <v>0</v>
      </c>
      <c r="AS175">
        <v>0</v>
      </c>
      <c r="AT175">
        <v>70</v>
      </c>
      <c r="AU175">
        <v>41</v>
      </c>
      <c r="AV175">
        <v>1</v>
      </c>
      <c r="AW175">
        <v>1</v>
      </c>
      <c r="AZ175">
        <v>1</v>
      </c>
      <c r="BA175">
        <v>29.03</v>
      </c>
      <c r="BB175">
        <v>16.43</v>
      </c>
      <c r="BC175">
        <v>1</v>
      </c>
      <c r="BD175" t="s">
        <v>3</v>
      </c>
      <c r="BE175" t="s">
        <v>3</v>
      </c>
      <c r="BF175" t="s">
        <v>3</v>
      </c>
      <c r="BG175" t="s">
        <v>3</v>
      </c>
      <c r="BH175">
        <v>0</v>
      </c>
      <c r="BI175">
        <v>1</v>
      </c>
      <c r="BJ175" t="s">
        <v>184</v>
      </c>
      <c r="BM175">
        <v>439</v>
      </c>
      <c r="BN175">
        <v>0</v>
      </c>
      <c r="BO175" t="s">
        <v>182</v>
      </c>
      <c r="BP175">
        <v>1</v>
      </c>
      <c r="BQ175">
        <v>60</v>
      </c>
      <c r="BR175">
        <v>0</v>
      </c>
      <c r="BS175">
        <v>29.03</v>
      </c>
      <c r="BT175">
        <v>1</v>
      </c>
      <c r="BU175">
        <v>1</v>
      </c>
      <c r="BV175">
        <v>1</v>
      </c>
      <c r="BW175">
        <v>1</v>
      </c>
      <c r="BX175">
        <v>1</v>
      </c>
      <c r="BY175" t="s">
        <v>3</v>
      </c>
      <c r="BZ175">
        <v>70</v>
      </c>
      <c r="CA175">
        <v>41</v>
      </c>
      <c r="CB175" t="s">
        <v>3</v>
      </c>
      <c r="CE175">
        <v>30</v>
      </c>
      <c r="CF175">
        <v>0</v>
      </c>
      <c r="CG175">
        <v>0</v>
      </c>
      <c r="CM175">
        <v>0</v>
      </c>
      <c r="CN175" t="s">
        <v>185</v>
      </c>
      <c r="CO175">
        <v>0</v>
      </c>
      <c r="CP175">
        <f t="shared" si="100"/>
        <v>724.15</v>
      </c>
      <c r="CQ175">
        <f t="shared" si="101"/>
        <v>0</v>
      </c>
      <c r="CR175">
        <f>(ROUND((ROUND((((ET175*0.5))*AV175*1),2)*BB175),2)+ROUND((ROUND(((AE175-((EU175*0.5)))*AV175*1),2)*BS175),2))</f>
        <v>529.70000000000005</v>
      </c>
      <c r="CS175">
        <f t="shared" si="102"/>
        <v>279.56</v>
      </c>
      <c r="CT175">
        <f t="shared" si="103"/>
        <v>11338.54</v>
      </c>
      <c r="CU175">
        <f t="shared" si="104"/>
        <v>0</v>
      </c>
      <c r="CV175">
        <f t="shared" si="105"/>
        <v>34.935000000000002</v>
      </c>
      <c r="CW175">
        <f t="shared" si="106"/>
        <v>0</v>
      </c>
      <c r="CX175">
        <f t="shared" si="107"/>
        <v>0</v>
      </c>
      <c r="CY175">
        <f>S175*(BZ175/100)</f>
        <v>484.24599999999992</v>
      </c>
      <c r="CZ175">
        <f>S175*(CA175/100)</f>
        <v>283.62979999999999</v>
      </c>
      <c r="DC175" t="s">
        <v>3</v>
      </c>
      <c r="DD175" t="s">
        <v>3</v>
      </c>
      <c r="DE175" t="s">
        <v>186</v>
      </c>
      <c r="DF175" t="s">
        <v>186</v>
      </c>
      <c r="DG175" t="s">
        <v>186</v>
      </c>
      <c r="DH175" t="s">
        <v>3</v>
      </c>
      <c r="DI175" t="s">
        <v>186</v>
      </c>
      <c r="DJ175" t="s">
        <v>186</v>
      </c>
      <c r="DK175" t="s">
        <v>3</v>
      </c>
      <c r="DL175" t="s">
        <v>3</v>
      </c>
      <c r="DM175" t="s">
        <v>3</v>
      </c>
      <c r="DN175">
        <v>80</v>
      </c>
      <c r="DO175">
        <v>55</v>
      </c>
      <c r="DP175">
        <v>1</v>
      </c>
      <c r="DQ175">
        <v>1</v>
      </c>
      <c r="DU175">
        <v>1013</v>
      </c>
      <c r="DV175" t="s">
        <v>107</v>
      </c>
      <c r="DW175" t="s">
        <v>107</v>
      </c>
      <c r="DX175">
        <v>1</v>
      </c>
      <c r="DZ175" t="s">
        <v>3</v>
      </c>
      <c r="EA175" t="s">
        <v>3</v>
      </c>
      <c r="EB175" t="s">
        <v>3</v>
      </c>
      <c r="EC175" t="s">
        <v>3</v>
      </c>
      <c r="EE175">
        <v>126051900</v>
      </c>
      <c r="EF175">
        <v>60</v>
      </c>
      <c r="EG175" t="s">
        <v>150</v>
      </c>
      <c r="EH175">
        <v>0</v>
      </c>
      <c r="EI175" t="s">
        <v>3</v>
      </c>
      <c r="EJ175">
        <v>1</v>
      </c>
      <c r="EK175">
        <v>439</v>
      </c>
      <c r="EL175" t="s">
        <v>187</v>
      </c>
      <c r="EM175" t="s">
        <v>188</v>
      </c>
      <c r="EO175" t="s">
        <v>189</v>
      </c>
      <c r="EQ175">
        <v>131072</v>
      </c>
      <c r="ER175">
        <v>845.63</v>
      </c>
      <c r="ES175">
        <v>0</v>
      </c>
      <c r="ET175">
        <v>64.48</v>
      </c>
      <c r="EU175">
        <v>19.25</v>
      </c>
      <c r="EV175">
        <v>781.15</v>
      </c>
      <c r="EW175">
        <v>69.87</v>
      </c>
      <c r="EX175">
        <v>0</v>
      </c>
      <c r="EY175">
        <v>0</v>
      </c>
      <c r="FQ175">
        <v>0</v>
      </c>
      <c r="FR175">
        <f t="shared" si="108"/>
        <v>0</v>
      </c>
      <c r="FS175">
        <v>0</v>
      </c>
      <c r="FX175">
        <v>80</v>
      </c>
      <c r="FY175">
        <v>55</v>
      </c>
      <c r="GA175" t="s">
        <v>3</v>
      </c>
      <c r="GD175">
        <v>0</v>
      </c>
      <c r="GF175">
        <v>-511312319</v>
      </c>
      <c r="GG175">
        <v>2</v>
      </c>
      <c r="GH175">
        <v>1</v>
      </c>
      <c r="GI175">
        <v>2</v>
      </c>
      <c r="GJ175">
        <v>0</v>
      </c>
      <c r="GK175">
        <f>ROUND(R175*(S12)/100,2)</f>
        <v>27.41</v>
      </c>
      <c r="GL175">
        <f t="shared" si="109"/>
        <v>0</v>
      </c>
      <c r="GM175">
        <f t="shared" si="110"/>
        <v>1519.44</v>
      </c>
      <c r="GN175">
        <f t="shared" si="111"/>
        <v>1519.44</v>
      </c>
      <c r="GO175">
        <f t="shared" si="112"/>
        <v>0</v>
      </c>
      <c r="GP175">
        <f t="shared" si="113"/>
        <v>0</v>
      </c>
      <c r="GR175">
        <v>0</v>
      </c>
      <c r="GS175">
        <v>3</v>
      </c>
      <c r="GT175">
        <v>0</v>
      </c>
      <c r="GU175" t="s">
        <v>3</v>
      </c>
      <c r="GV175">
        <f t="shared" si="114"/>
        <v>0</v>
      </c>
      <c r="GW175">
        <v>1</v>
      </c>
      <c r="GX175">
        <f t="shared" si="115"/>
        <v>0</v>
      </c>
      <c r="HA175">
        <v>0</v>
      </c>
      <c r="HB175">
        <v>0</v>
      </c>
      <c r="HC175">
        <f t="shared" si="116"/>
        <v>0</v>
      </c>
      <c r="HE175" t="s">
        <v>3</v>
      </c>
      <c r="HF175" t="s">
        <v>3</v>
      </c>
      <c r="HM175" t="s">
        <v>3</v>
      </c>
      <c r="HN175" t="s">
        <v>3</v>
      </c>
      <c r="HO175" t="s">
        <v>3</v>
      </c>
      <c r="HP175" t="s">
        <v>3</v>
      </c>
      <c r="HQ175" t="s">
        <v>3</v>
      </c>
      <c r="IK175">
        <v>0</v>
      </c>
    </row>
    <row r="176" spans="1:255" x14ac:dyDescent="0.2">
      <c r="A176" s="2">
        <v>18</v>
      </c>
      <c r="B176" s="2">
        <v>1</v>
      </c>
      <c r="C176" s="2">
        <v>104</v>
      </c>
      <c r="D176" s="2"/>
      <c r="E176" s="2" t="s">
        <v>190</v>
      </c>
      <c r="F176" s="2" t="s">
        <v>162</v>
      </c>
      <c r="G176" s="2" t="s">
        <v>163</v>
      </c>
      <c r="H176" s="2" t="s">
        <v>114</v>
      </c>
      <c r="I176" s="2">
        <f>I174*J176</f>
        <v>-0.31719999999999998</v>
      </c>
      <c r="J176" s="2">
        <v>-5.2</v>
      </c>
      <c r="K176" s="2">
        <v>-5.2</v>
      </c>
      <c r="L176" s="2"/>
      <c r="M176" s="2"/>
      <c r="N176" s="2"/>
      <c r="O176" s="2">
        <f t="shared" si="87"/>
        <v>0</v>
      </c>
      <c r="P176" s="2">
        <f t="shared" si="88"/>
        <v>0</v>
      </c>
      <c r="Q176" s="2">
        <f t="shared" ref="Q176:Q181" si="126">(ROUND((ROUND(((ET176)*AV176*I176),2)*BB176),2)+ROUND((ROUND(((AE176-(EU176))*AV176*I176),2)*BS176),2))</f>
        <v>0</v>
      </c>
      <c r="R176" s="2">
        <f t="shared" si="89"/>
        <v>0</v>
      </c>
      <c r="S176" s="2">
        <f t="shared" si="90"/>
        <v>0</v>
      </c>
      <c r="T176" s="2">
        <f t="shared" si="91"/>
        <v>0</v>
      </c>
      <c r="U176" s="2">
        <f t="shared" si="92"/>
        <v>0</v>
      </c>
      <c r="V176" s="2">
        <f t="shared" si="93"/>
        <v>0</v>
      </c>
      <c r="W176" s="2">
        <f t="shared" si="94"/>
        <v>0</v>
      </c>
      <c r="X176" s="2">
        <f t="shared" si="95"/>
        <v>0</v>
      </c>
      <c r="Y176" s="2">
        <f t="shared" si="96"/>
        <v>0</v>
      </c>
      <c r="Z176" s="2"/>
      <c r="AA176" s="2">
        <v>129761636</v>
      </c>
      <c r="AB176" s="2">
        <f t="shared" si="97"/>
        <v>0</v>
      </c>
      <c r="AC176" s="2">
        <f t="shared" si="125"/>
        <v>0</v>
      </c>
      <c r="AD176" s="2">
        <f t="shared" ref="AD176:AD181" si="127">ROUND((((ET176)-(EU176))+AE176),6)</f>
        <v>0</v>
      </c>
      <c r="AE176" s="2">
        <f t="shared" ref="AE176:AF181" si="128">ROUND((EU176),6)</f>
        <v>0</v>
      </c>
      <c r="AF176" s="2">
        <f t="shared" si="128"/>
        <v>0</v>
      </c>
      <c r="AG176" s="2">
        <f t="shared" si="98"/>
        <v>0</v>
      </c>
      <c r="AH176" s="2">
        <f t="shared" ref="AH176:AI181" si="129">(EW176)</f>
        <v>0</v>
      </c>
      <c r="AI176" s="2">
        <f t="shared" si="129"/>
        <v>0</v>
      </c>
      <c r="AJ176" s="2">
        <f t="shared" si="99"/>
        <v>0</v>
      </c>
      <c r="AK176" s="2">
        <v>0</v>
      </c>
      <c r="AL176" s="2">
        <v>0</v>
      </c>
      <c r="AM176" s="2">
        <v>0</v>
      </c>
      <c r="AN176" s="2">
        <v>0</v>
      </c>
      <c r="AO176" s="2">
        <v>0</v>
      </c>
      <c r="AP176" s="2">
        <v>0</v>
      </c>
      <c r="AQ176" s="2">
        <v>0</v>
      </c>
      <c r="AR176" s="2">
        <v>0</v>
      </c>
      <c r="AS176" s="2">
        <v>0</v>
      </c>
      <c r="AT176" s="2">
        <v>80</v>
      </c>
      <c r="AU176" s="2">
        <v>55</v>
      </c>
      <c r="AV176" s="2">
        <v>1</v>
      </c>
      <c r="AW176" s="2">
        <v>1</v>
      </c>
      <c r="AX176" s="2"/>
      <c r="AY176" s="2"/>
      <c r="AZ176" s="2">
        <v>1</v>
      </c>
      <c r="BA176" s="2">
        <v>1</v>
      </c>
      <c r="BB176" s="2">
        <v>1</v>
      </c>
      <c r="BC176" s="2">
        <v>1</v>
      </c>
      <c r="BD176" s="2" t="s">
        <v>3</v>
      </c>
      <c r="BE176" s="2" t="s">
        <v>3</v>
      </c>
      <c r="BF176" s="2" t="s">
        <v>3</v>
      </c>
      <c r="BG176" s="2" t="s">
        <v>3</v>
      </c>
      <c r="BH176" s="2">
        <v>3</v>
      </c>
      <c r="BI176" s="2">
        <v>1</v>
      </c>
      <c r="BJ176" s="2" t="s">
        <v>3</v>
      </c>
      <c r="BK176" s="2"/>
      <c r="BL176" s="2"/>
      <c r="BM176" s="2">
        <v>439</v>
      </c>
      <c r="BN176" s="2">
        <v>0</v>
      </c>
      <c r="BO176" s="2" t="s">
        <v>3</v>
      </c>
      <c r="BP176" s="2">
        <v>0</v>
      </c>
      <c r="BQ176" s="2">
        <v>60</v>
      </c>
      <c r="BR176" s="2">
        <v>1</v>
      </c>
      <c r="BS176" s="2">
        <v>1</v>
      </c>
      <c r="BT176" s="2">
        <v>1</v>
      </c>
      <c r="BU176" s="2">
        <v>1</v>
      </c>
      <c r="BV176" s="2">
        <v>1</v>
      </c>
      <c r="BW176" s="2">
        <v>1</v>
      </c>
      <c r="BX176" s="2">
        <v>1</v>
      </c>
      <c r="BY176" s="2" t="s">
        <v>3</v>
      </c>
      <c r="BZ176" s="2">
        <v>80</v>
      </c>
      <c r="CA176" s="2">
        <v>55</v>
      </c>
      <c r="CB176" s="2" t="s">
        <v>3</v>
      </c>
      <c r="CC176" s="2"/>
      <c r="CD176" s="2"/>
      <c r="CE176" s="2">
        <v>30</v>
      </c>
      <c r="CF176" s="2">
        <v>0</v>
      </c>
      <c r="CG176" s="2">
        <v>0</v>
      </c>
      <c r="CH176" s="2"/>
      <c r="CI176" s="2"/>
      <c r="CJ176" s="2"/>
      <c r="CK176" s="2"/>
      <c r="CL176" s="2"/>
      <c r="CM176" s="2">
        <v>0</v>
      </c>
      <c r="CN176" s="2" t="s">
        <v>3</v>
      </c>
      <c r="CO176" s="2">
        <v>0</v>
      </c>
      <c r="CP176" s="2">
        <f t="shared" si="100"/>
        <v>0</v>
      </c>
      <c r="CQ176" s="2">
        <f t="shared" si="101"/>
        <v>0</v>
      </c>
      <c r="CR176" s="2">
        <f t="shared" ref="CR176:CR181" si="130">(ROUND((ROUND(((ET176)*AV176*1),2)*BB176),2)+ROUND((ROUND(((AE176-(EU176))*AV176*1),2)*BS176),2))</f>
        <v>0</v>
      </c>
      <c r="CS176" s="2">
        <f t="shared" si="102"/>
        <v>0</v>
      </c>
      <c r="CT176" s="2">
        <f t="shared" si="103"/>
        <v>0</v>
      </c>
      <c r="CU176" s="2">
        <f t="shared" si="104"/>
        <v>0</v>
      </c>
      <c r="CV176" s="2">
        <f t="shared" si="105"/>
        <v>0</v>
      </c>
      <c r="CW176" s="2">
        <f t="shared" si="106"/>
        <v>0</v>
      </c>
      <c r="CX176" s="2">
        <f t="shared" si="107"/>
        <v>0</v>
      </c>
      <c r="CY176" s="2">
        <f>((S176*BZ176)/100)</f>
        <v>0</v>
      </c>
      <c r="CZ176" s="2">
        <f>((S176*CA176)/100)</f>
        <v>0</v>
      </c>
      <c r="DA176" s="2"/>
      <c r="DB176" s="2"/>
      <c r="DC176" s="2" t="s">
        <v>3</v>
      </c>
      <c r="DD176" s="2" t="s">
        <v>3</v>
      </c>
      <c r="DE176" s="2" t="s">
        <v>3</v>
      </c>
      <c r="DF176" s="2" t="s">
        <v>3</v>
      </c>
      <c r="DG176" s="2" t="s">
        <v>3</v>
      </c>
      <c r="DH176" s="2" t="s">
        <v>3</v>
      </c>
      <c r="DI176" s="2" t="s">
        <v>3</v>
      </c>
      <c r="DJ176" s="2" t="s">
        <v>3</v>
      </c>
      <c r="DK176" s="2" t="s">
        <v>3</v>
      </c>
      <c r="DL176" s="2" t="s">
        <v>3</v>
      </c>
      <c r="DM176" s="2" t="s">
        <v>3</v>
      </c>
      <c r="DN176" s="2">
        <v>0</v>
      </c>
      <c r="DO176" s="2">
        <v>0</v>
      </c>
      <c r="DP176" s="2">
        <v>1</v>
      </c>
      <c r="DQ176" s="2">
        <v>1</v>
      </c>
      <c r="DR176" s="2"/>
      <c r="DS176" s="2"/>
      <c r="DT176" s="2"/>
      <c r="DU176" s="2">
        <v>1009</v>
      </c>
      <c r="DV176" s="2" t="s">
        <v>114</v>
      </c>
      <c r="DW176" s="2" t="s">
        <v>114</v>
      </c>
      <c r="DX176" s="2">
        <v>1000</v>
      </c>
      <c r="DY176" s="2"/>
      <c r="DZ176" s="2" t="s">
        <v>3</v>
      </c>
      <c r="EA176" s="2" t="s">
        <v>3</v>
      </c>
      <c r="EB176" s="2" t="s">
        <v>3</v>
      </c>
      <c r="EC176" s="2" t="s">
        <v>3</v>
      </c>
      <c r="ED176" s="2"/>
      <c r="EE176" s="2">
        <v>126051900</v>
      </c>
      <c r="EF176" s="2">
        <v>60</v>
      </c>
      <c r="EG176" s="2" t="s">
        <v>150</v>
      </c>
      <c r="EH176" s="2">
        <v>0</v>
      </c>
      <c r="EI176" s="2" t="s">
        <v>3</v>
      </c>
      <c r="EJ176" s="2">
        <v>1</v>
      </c>
      <c r="EK176" s="2">
        <v>439</v>
      </c>
      <c r="EL176" s="2" t="s">
        <v>187</v>
      </c>
      <c r="EM176" s="2" t="s">
        <v>188</v>
      </c>
      <c r="EN176" s="2"/>
      <c r="EO176" s="2" t="s">
        <v>3</v>
      </c>
      <c r="EP176" s="2"/>
      <c r="EQ176" s="2">
        <v>0</v>
      </c>
      <c r="ER176" s="2">
        <v>0</v>
      </c>
      <c r="ES176" s="2">
        <v>0</v>
      </c>
      <c r="ET176" s="2">
        <v>0</v>
      </c>
      <c r="EU176" s="2">
        <v>0</v>
      </c>
      <c r="EV176" s="2">
        <v>0</v>
      </c>
      <c r="EW176" s="2">
        <v>0</v>
      </c>
      <c r="EX176" s="2">
        <v>0</v>
      </c>
      <c r="EY176" s="2"/>
      <c r="EZ176" s="2"/>
      <c r="FA176" s="2"/>
      <c r="FB176" s="2"/>
      <c r="FC176" s="2"/>
      <c r="FD176" s="2"/>
      <c r="FE176" s="2"/>
      <c r="FF176" s="2"/>
      <c r="FG176" s="2"/>
      <c r="FH176" s="2"/>
      <c r="FI176" s="2"/>
      <c r="FJ176" s="2"/>
      <c r="FK176" s="2"/>
      <c r="FL176" s="2"/>
      <c r="FM176" s="2"/>
      <c r="FN176" s="2"/>
      <c r="FO176" s="2"/>
      <c r="FP176" s="2"/>
      <c r="FQ176" s="2">
        <v>0</v>
      </c>
      <c r="FR176" s="2">
        <f t="shared" si="108"/>
        <v>0</v>
      </c>
      <c r="FS176" s="2">
        <v>0</v>
      </c>
      <c r="FT176" s="2"/>
      <c r="FU176" s="2"/>
      <c r="FV176" s="2"/>
      <c r="FW176" s="2"/>
      <c r="FX176" s="2">
        <v>80</v>
      </c>
      <c r="FY176" s="2">
        <v>55</v>
      </c>
      <c r="FZ176" s="2"/>
      <c r="GA176" s="2" t="s">
        <v>3</v>
      </c>
      <c r="GB176" s="2"/>
      <c r="GC176" s="2"/>
      <c r="GD176" s="2">
        <v>0</v>
      </c>
      <c r="GE176" s="2"/>
      <c r="GF176" s="2">
        <v>1489638031</v>
      </c>
      <c r="GG176" s="2">
        <v>2</v>
      </c>
      <c r="GH176" s="2">
        <v>1</v>
      </c>
      <c r="GI176" s="2">
        <v>-2</v>
      </c>
      <c r="GJ176" s="2">
        <v>0</v>
      </c>
      <c r="GK176" s="2">
        <f>ROUND(R176*(R12)/100,2)</f>
        <v>0</v>
      </c>
      <c r="GL176" s="2">
        <f t="shared" si="109"/>
        <v>0</v>
      </c>
      <c r="GM176" s="2">
        <f t="shared" si="110"/>
        <v>0</v>
      </c>
      <c r="GN176" s="2">
        <f t="shared" si="111"/>
        <v>0</v>
      </c>
      <c r="GO176" s="2">
        <f t="shared" si="112"/>
        <v>0</v>
      </c>
      <c r="GP176" s="2">
        <f t="shared" si="113"/>
        <v>0</v>
      </c>
      <c r="GQ176" s="2"/>
      <c r="GR176" s="2">
        <v>0</v>
      </c>
      <c r="GS176" s="2">
        <v>0</v>
      </c>
      <c r="GT176" s="2">
        <v>0</v>
      </c>
      <c r="GU176" s="2" t="s">
        <v>3</v>
      </c>
      <c r="GV176" s="2">
        <f t="shared" si="114"/>
        <v>0</v>
      </c>
      <c r="GW176" s="2">
        <v>1</v>
      </c>
      <c r="GX176" s="2">
        <f t="shared" si="115"/>
        <v>0</v>
      </c>
      <c r="GY176" s="2"/>
      <c r="GZ176" s="2"/>
      <c r="HA176" s="2">
        <v>0</v>
      </c>
      <c r="HB176" s="2">
        <v>0</v>
      </c>
      <c r="HC176" s="2">
        <f t="shared" si="116"/>
        <v>0</v>
      </c>
      <c r="HD176" s="2"/>
      <c r="HE176" s="2" t="s">
        <v>3</v>
      </c>
      <c r="HF176" s="2" t="s">
        <v>3</v>
      </c>
      <c r="HG176" s="2"/>
      <c r="HH176" s="2"/>
      <c r="HI176" s="2"/>
      <c r="HJ176" s="2"/>
      <c r="HK176" s="2"/>
      <c r="HL176" s="2"/>
      <c r="HM176" s="2" t="s">
        <v>3</v>
      </c>
      <c r="HN176" s="2" t="s">
        <v>3</v>
      </c>
      <c r="HO176" s="2" t="s">
        <v>3</v>
      </c>
      <c r="HP176" s="2" t="s">
        <v>3</v>
      </c>
      <c r="HQ176" s="2" t="s">
        <v>3</v>
      </c>
      <c r="HR176" s="2"/>
      <c r="HS176" s="2"/>
      <c r="HT176" s="2"/>
      <c r="HU176" s="2"/>
      <c r="HV176" s="2"/>
      <c r="HW176" s="2"/>
      <c r="HX176" s="2"/>
      <c r="HY176" s="2"/>
      <c r="HZ176" s="2"/>
      <c r="IA176" s="2"/>
      <c r="IB176" s="2"/>
      <c r="IC176" s="2"/>
      <c r="ID176" s="2"/>
      <c r="IE176" s="2"/>
      <c r="IF176" s="2"/>
      <c r="IG176" s="2"/>
      <c r="IH176" s="2"/>
      <c r="II176" s="2"/>
      <c r="IJ176" s="2"/>
      <c r="IK176" s="2">
        <v>0</v>
      </c>
      <c r="IL176" s="2"/>
      <c r="IM176" s="2"/>
      <c r="IN176" s="2"/>
      <c r="IO176" s="2"/>
      <c r="IP176" s="2"/>
      <c r="IQ176" s="2"/>
      <c r="IR176" s="2"/>
      <c r="IS176" s="2"/>
      <c r="IT176" s="2"/>
      <c r="IU176" s="2"/>
    </row>
    <row r="177" spans="1:255" x14ac:dyDescent="0.2">
      <c r="A177">
        <v>18</v>
      </c>
      <c r="B177">
        <v>1</v>
      </c>
      <c r="C177">
        <v>108</v>
      </c>
      <c r="E177" t="s">
        <v>190</v>
      </c>
      <c r="F177" t="s">
        <v>162</v>
      </c>
      <c r="G177" t="s">
        <v>163</v>
      </c>
      <c r="H177" t="s">
        <v>114</v>
      </c>
      <c r="I177">
        <f>I175*J177</f>
        <v>-0.31719999999999998</v>
      </c>
      <c r="J177">
        <v>-5.2</v>
      </c>
      <c r="K177">
        <v>-5.2</v>
      </c>
      <c r="O177">
        <f t="shared" si="87"/>
        <v>0</v>
      </c>
      <c r="P177">
        <f t="shared" si="88"/>
        <v>0</v>
      </c>
      <c r="Q177">
        <f t="shared" si="126"/>
        <v>0</v>
      </c>
      <c r="R177">
        <f t="shared" si="89"/>
        <v>0</v>
      </c>
      <c r="S177">
        <f t="shared" si="90"/>
        <v>0</v>
      </c>
      <c r="T177">
        <f t="shared" si="91"/>
        <v>0</v>
      </c>
      <c r="U177">
        <f t="shared" si="92"/>
        <v>0</v>
      </c>
      <c r="V177">
        <f t="shared" si="93"/>
        <v>0</v>
      </c>
      <c r="W177">
        <f t="shared" si="94"/>
        <v>0</v>
      </c>
      <c r="X177">
        <f t="shared" si="95"/>
        <v>0</v>
      </c>
      <c r="Y177">
        <f t="shared" si="96"/>
        <v>0</v>
      </c>
      <c r="AA177">
        <v>129761633</v>
      </c>
      <c r="AB177">
        <f t="shared" si="97"/>
        <v>0</v>
      </c>
      <c r="AC177">
        <f t="shared" si="125"/>
        <v>0</v>
      </c>
      <c r="AD177">
        <f t="shared" si="127"/>
        <v>0</v>
      </c>
      <c r="AE177">
        <f t="shared" si="128"/>
        <v>0</v>
      </c>
      <c r="AF177">
        <f t="shared" si="128"/>
        <v>0</v>
      </c>
      <c r="AG177">
        <f t="shared" si="98"/>
        <v>0</v>
      </c>
      <c r="AH177">
        <f t="shared" si="129"/>
        <v>0</v>
      </c>
      <c r="AI177">
        <f t="shared" si="129"/>
        <v>0</v>
      </c>
      <c r="AJ177">
        <f t="shared" si="99"/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1</v>
      </c>
      <c r="AW177">
        <v>1</v>
      </c>
      <c r="AZ177">
        <v>1</v>
      </c>
      <c r="BA177">
        <v>1</v>
      </c>
      <c r="BB177">
        <v>1</v>
      </c>
      <c r="BC177">
        <v>8.65</v>
      </c>
      <c r="BD177" t="s">
        <v>3</v>
      </c>
      <c r="BE177" t="s">
        <v>3</v>
      </c>
      <c r="BF177" t="s">
        <v>3</v>
      </c>
      <c r="BG177" t="s">
        <v>3</v>
      </c>
      <c r="BH177">
        <v>3</v>
      </c>
      <c r="BI177">
        <v>1</v>
      </c>
      <c r="BJ177" t="s">
        <v>3</v>
      </c>
      <c r="BM177">
        <v>439</v>
      </c>
      <c r="BN177">
        <v>0</v>
      </c>
      <c r="BO177" t="s">
        <v>3</v>
      </c>
      <c r="BP177">
        <v>0</v>
      </c>
      <c r="BQ177">
        <v>60</v>
      </c>
      <c r="BR177">
        <v>1</v>
      </c>
      <c r="BS177">
        <v>1</v>
      </c>
      <c r="BT177">
        <v>1</v>
      </c>
      <c r="BU177">
        <v>1</v>
      </c>
      <c r="BV177">
        <v>1</v>
      </c>
      <c r="BW177">
        <v>1</v>
      </c>
      <c r="BX177">
        <v>1</v>
      </c>
      <c r="BY177" t="s">
        <v>3</v>
      </c>
      <c r="BZ177">
        <v>0</v>
      </c>
      <c r="CA177">
        <v>0</v>
      </c>
      <c r="CB177" t="s">
        <v>3</v>
      </c>
      <c r="CE177">
        <v>30</v>
      </c>
      <c r="CF177">
        <v>0</v>
      </c>
      <c r="CG177">
        <v>0</v>
      </c>
      <c r="CM177">
        <v>0</v>
      </c>
      <c r="CN177" t="s">
        <v>3</v>
      </c>
      <c r="CO177">
        <v>0</v>
      </c>
      <c r="CP177">
        <f t="shared" si="100"/>
        <v>0</v>
      </c>
      <c r="CQ177">
        <f t="shared" si="101"/>
        <v>0</v>
      </c>
      <c r="CR177">
        <f t="shared" si="130"/>
        <v>0</v>
      </c>
      <c r="CS177">
        <f t="shared" si="102"/>
        <v>0</v>
      </c>
      <c r="CT177">
        <f t="shared" si="103"/>
        <v>0</v>
      </c>
      <c r="CU177">
        <f t="shared" si="104"/>
        <v>0</v>
      </c>
      <c r="CV177">
        <f t="shared" si="105"/>
        <v>0</v>
      </c>
      <c r="CW177">
        <f t="shared" si="106"/>
        <v>0</v>
      </c>
      <c r="CX177">
        <f t="shared" si="107"/>
        <v>0</v>
      </c>
      <c r="CY177">
        <f>S177*(BZ177/100)</f>
        <v>0</v>
      </c>
      <c r="CZ177">
        <f>S177*(CA177/100)</f>
        <v>0</v>
      </c>
      <c r="DC177" t="s">
        <v>3</v>
      </c>
      <c r="DD177" t="s">
        <v>3</v>
      </c>
      <c r="DE177" t="s">
        <v>3</v>
      </c>
      <c r="DF177" t="s">
        <v>3</v>
      </c>
      <c r="DG177" t="s">
        <v>3</v>
      </c>
      <c r="DH177" t="s">
        <v>3</v>
      </c>
      <c r="DI177" t="s">
        <v>3</v>
      </c>
      <c r="DJ177" t="s">
        <v>3</v>
      </c>
      <c r="DK177" t="s">
        <v>3</v>
      </c>
      <c r="DL177" t="s">
        <v>3</v>
      </c>
      <c r="DM177" t="s">
        <v>3</v>
      </c>
      <c r="DN177">
        <v>80</v>
      </c>
      <c r="DO177">
        <v>55</v>
      </c>
      <c r="DP177">
        <v>1</v>
      </c>
      <c r="DQ177">
        <v>1</v>
      </c>
      <c r="DU177">
        <v>1009</v>
      </c>
      <c r="DV177" t="s">
        <v>114</v>
      </c>
      <c r="DW177" t="s">
        <v>114</v>
      </c>
      <c r="DX177">
        <v>1000</v>
      </c>
      <c r="DZ177" t="s">
        <v>3</v>
      </c>
      <c r="EA177" t="s">
        <v>3</v>
      </c>
      <c r="EB177" t="s">
        <v>3</v>
      </c>
      <c r="EC177" t="s">
        <v>3</v>
      </c>
      <c r="EE177">
        <v>126051900</v>
      </c>
      <c r="EF177">
        <v>60</v>
      </c>
      <c r="EG177" t="s">
        <v>150</v>
      </c>
      <c r="EH177">
        <v>0</v>
      </c>
      <c r="EI177" t="s">
        <v>3</v>
      </c>
      <c r="EJ177">
        <v>1</v>
      </c>
      <c r="EK177">
        <v>439</v>
      </c>
      <c r="EL177" t="s">
        <v>187</v>
      </c>
      <c r="EM177" t="s">
        <v>188</v>
      </c>
      <c r="EO177" t="s">
        <v>3</v>
      </c>
      <c r="EQ177">
        <v>0</v>
      </c>
      <c r="ER177">
        <v>0</v>
      </c>
      <c r="ES177">
        <v>0</v>
      </c>
      <c r="ET177">
        <v>0</v>
      </c>
      <c r="EU177">
        <v>0</v>
      </c>
      <c r="EV177">
        <v>0</v>
      </c>
      <c r="EW177">
        <v>0</v>
      </c>
      <c r="EX177">
        <v>0</v>
      </c>
      <c r="FQ177">
        <v>0</v>
      </c>
      <c r="FR177">
        <f t="shared" si="108"/>
        <v>0</v>
      </c>
      <c r="FS177">
        <v>0</v>
      </c>
      <c r="FX177">
        <v>80</v>
      </c>
      <c r="FY177">
        <v>55</v>
      </c>
      <c r="GA177" t="s">
        <v>3</v>
      </c>
      <c r="GD177">
        <v>0</v>
      </c>
      <c r="GF177">
        <v>1489638031</v>
      </c>
      <c r="GG177">
        <v>2</v>
      </c>
      <c r="GH177">
        <v>1</v>
      </c>
      <c r="GI177">
        <v>5</v>
      </c>
      <c r="GJ177">
        <v>0</v>
      </c>
      <c r="GK177">
        <f>ROUND(R177*(S12)/100,2)</f>
        <v>0</v>
      </c>
      <c r="GL177">
        <f t="shared" si="109"/>
        <v>0</v>
      </c>
      <c r="GM177">
        <f t="shared" si="110"/>
        <v>0</v>
      </c>
      <c r="GN177">
        <f t="shared" si="111"/>
        <v>0</v>
      </c>
      <c r="GO177">
        <f t="shared" si="112"/>
        <v>0</v>
      </c>
      <c r="GP177">
        <f t="shared" si="113"/>
        <v>0</v>
      </c>
      <c r="GR177">
        <v>0</v>
      </c>
      <c r="GS177">
        <v>3</v>
      </c>
      <c r="GT177">
        <v>0</v>
      </c>
      <c r="GU177" t="s">
        <v>3</v>
      </c>
      <c r="GV177">
        <f t="shared" si="114"/>
        <v>0</v>
      </c>
      <c r="GW177">
        <v>1</v>
      </c>
      <c r="GX177">
        <f t="shared" si="115"/>
        <v>0</v>
      </c>
      <c r="HA177">
        <v>0</v>
      </c>
      <c r="HB177">
        <v>0</v>
      </c>
      <c r="HC177">
        <f t="shared" si="116"/>
        <v>0</v>
      </c>
      <c r="HE177" t="s">
        <v>3</v>
      </c>
      <c r="HF177" t="s">
        <v>3</v>
      </c>
      <c r="HM177" t="s">
        <v>3</v>
      </c>
      <c r="HN177" t="s">
        <v>3</v>
      </c>
      <c r="HO177" t="s">
        <v>3</v>
      </c>
      <c r="HP177" t="s">
        <v>3</v>
      </c>
      <c r="HQ177" t="s">
        <v>3</v>
      </c>
      <c r="IK177">
        <v>0</v>
      </c>
    </row>
    <row r="178" spans="1:255" x14ac:dyDescent="0.2">
      <c r="A178" s="2">
        <v>17</v>
      </c>
      <c r="B178" s="2">
        <v>1</v>
      </c>
      <c r="C178" s="2">
        <f>ROW(SmtRes!A112)</f>
        <v>112</v>
      </c>
      <c r="D178" s="2">
        <f>ROW(EtalonRes!A118)</f>
        <v>118</v>
      </c>
      <c r="E178" s="2" t="s">
        <v>191</v>
      </c>
      <c r="F178" s="2" t="s">
        <v>192</v>
      </c>
      <c r="G178" s="2" t="s">
        <v>193</v>
      </c>
      <c r="H178" s="2" t="s">
        <v>107</v>
      </c>
      <c r="I178" s="2">
        <v>6.5000000000000002E-2</v>
      </c>
      <c r="J178" s="2">
        <v>0</v>
      </c>
      <c r="K178" s="2">
        <v>6.5000000000000002E-2</v>
      </c>
      <c r="L178" s="2"/>
      <c r="M178" s="2"/>
      <c r="N178" s="2"/>
      <c r="O178" s="2">
        <f t="shared" si="87"/>
        <v>48.15</v>
      </c>
      <c r="P178" s="2">
        <f t="shared" si="88"/>
        <v>0</v>
      </c>
      <c r="Q178" s="2">
        <f t="shared" si="126"/>
        <v>30.27</v>
      </c>
      <c r="R178" s="2">
        <f t="shared" si="89"/>
        <v>9.0399999999999991</v>
      </c>
      <c r="S178" s="2">
        <f t="shared" si="90"/>
        <v>17.88</v>
      </c>
      <c r="T178" s="2">
        <f t="shared" si="91"/>
        <v>0</v>
      </c>
      <c r="U178" s="2">
        <f t="shared" si="92"/>
        <v>1.5990000000000002</v>
      </c>
      <c r="V178" s="2">
        <f t="shared" si="93"/>
        <v>0</v>
      </c>
      <c r="W178" s="2">
        <f t="shared" si="94"/>
        <v>0</v>
      </c>
      <c r="X178" s="2">
        <f t="shared" si="95"/>
        <v>14.3</v>
      </c>
      <c r="Y178" s="2">
        <f t="shared" si="96"/>
        <v>9.83</v>
      </c>
      <c r="Z178" s="2"/>
      <c r="AA178" s="2">
        <v>129761636</v>
      </c>
      <c r="AB178" s="2">
        <f t="shared" si="97"/>
        <v>740.74</v>
      </c>
      <c r="AC178" s="2">
        <f t="shared" si="125"/>
        <v>0</v>
      </c>
      <c r="AD178" s="2">
        <f t="shared" si="127"/>
        <v>465.71</v>
      </c>
      <c r="AE178" s="2">
        <f t="shared" si="128"/>
        <v>139.05000000000001</v>
      </c>
      <c r="AF178" s="2">
        <f t="shared" si="128"/>
        <v>275.02999999999997</v>
      </c>
      <c r="AG178" s="2">
        <f t="shared" si="98"/>
        <v>0</v>
      </c>
      <c r="AH178" s="2">
        <f t="shared" si="129"/>
        <v>24.6</v>
      </c>
      <c r="AI178" s="2">
        <f t="shared" si="129"/>
        <v>0</v>
      </c>
      <c r="AJ178" s="2">
        <f t="shared" si="99"/>
        <v>0</v>
      </c>
      <c r="AK178" s="2">
        <v>740.74</v>
      </c>
      <c r="AL178" s="2">
        <v>0</v>
      </c>
      <c r="AM178" s="2">
        <v>465.71</v>
      </c>
      <c r="AN178" s="2">
        <v>139.05000000000001</v>
      </c>
      <c r="AO178" s="2">
        <v>275.02999999999997</v>
      </c>
      <c r="AP178" s="2">
        <v>0</v>
      </c>
      <c r="AQ178" s="2">
        <v>24.6</v>
      </c>
      <c r="AR178" s="2">
        <v>0</v>
      </c>
      <c r="AS178" s="2">
        <v>0</v>
      </c>
      <c r="AT178" s="2">
        <v>80</v>
      </c>
      <c r="AU178" s="2">
        <v>55</v>
      </c>
      <c r="AV178" s="2">
        <v>1</v>
      </c>
      <c r="AW178" s="2">
        <v>1</v>
      </c>
      <c r="AX178" s="2"/>
      <c r="AY178" s="2"/>
      <c r="AZ178" s="2">
        <v>1</v>
      </c>
      <c r="BA178" s="2">
        <v>1</v>
      </c>
      <c r="BB178" s="2">
        <v>1</v>
      </c>
      <c r="BC178" s="2">
        <v>1</v>
      </c>
      <c r="BD178" s="2" t="s">
        <v>3</v>
      </c>
      <c r="BE178" s="2" t="s">
        <v>3</v>
      </c>
      <c r="BF178" s="2" t="s">
        <v>3</v>
      </c>
      <c r="BG178" s="2" t="s">
        <v>3</v>
      </c>
      <c r="BH178" s="2">
        <v>0</v>
      </c>
      <c r="BI178" s="2">
        <v>1</v>
      </c>
      <c r="BJ178" s="2" t="s">
        <v>194</v>
      </c>
      <c r="BK178" s="2"/>
      <c r="BL178" s="2"/>
      <c r="BM178" s="2">
        <v>439</v>
      </c>
      <c r="BN178" s="2">
        <v>0</v>
      </c>
      <c r="BO178" s="2" t="s">
        <v>3</v>
      </c>
      <c r="BP178" s="2">
        <v>0</v>
      </c>
      <c r="BQ178" s="2">
        <v>60</v>
      </c>
      <c r="BR178" s="2">
        <v>0</v>
      </c>
      <c r="BS178" s="2">
        <v>1</v>
      </c>
      <c r="BT178" s="2">
        <v>1</v>
      </c>
      <c r="BU178" s="2">
        <v>1</v>
      </c>
      <c r="BV178" s="2">
        <v>1</v>
      </c>
      <c r="BW178" s="2">
        <v>1</v>
      </c>
      <c r="BX178" s="2">
        <v>1</v>
      </c>
      <c r="BY178" s="2" t="s">
        <v>3</v>
      </c>
      <c r="BZ178" s="2">
        <v>80</v>
      </c>
      <c r="CA178" s="2">
        <v>55</v>
      </c>
      <c r="CB178" s="2" t="s">
        <v>3</v>
      </c>
      <c r="CC178" s="2"/>
      <c r="CD178" s="2"/>
      <c r="CE178" s="2">
        <v>30</v>
      </c>
      <c r="CF178" s="2">
        <v>0</v>
      </c>
      <c r="CG178" s="2">
        <v>0</v>
      </c>
      <c r="CH178" s="2"/>
      <c r="CI178" s="2"/>
      <c r="CJ178" s="2"/>
      <c r="CK178" s="2"/>
      <c r="CL178" s="2"/>
      <c r="CM178" s="2">
        <v>0</v>
      </c>
      <c r="CN178" s="2" t="s">
        <v>3</v>
      </c>
      <c r="CO178" s="2">
        <v>0</v>
      </c>
      <c r="CP178" s="2">
        <f t="shared" si="100"/>
        <v>48.15</v>
      </c>
      <c r="CQ178" s="2">
        <f t="shared" si="101"/>
        <v>0</v>
      </c>
      <c r="CR178" s="2">
        <f t="shared" si="130"/>
        <v>465.71</v>
      </c>
      <c r="CS178" s="2">
        <f t="shared" si="102"/>
        <v>139.05000000000001</v>
      </c>
      <c r="CT178" s="2">
        <f t="shared" si="103"/>
        <v>275.02999999999997</v>
      </c>
      <c r="CU178" s="2">
        <f t="shared" si="104"/>
        <v>0</v>
      </c>
      <c r="CV178" s="2">
        <f t="shared" si="105"/>
        <v>24.6</v>
      </c>
      <c r="CW178" s="2">
        <f t="shared" si="106"/>
        <v>0</v>
      </c>
      <c r="CX178" s="2">
        <f t="shared" si="107"/>
        <v>0</v>
      </c>
      <c r="CY178" s="2">
        <f>((S178*BZ178)/100)</f>
        <v>14.303999999999998</v>
      </c>
      <c r="CZ178" s="2">
        <f>((S178*CA178)/100)</f>
        <v>9.8339999999999996</v>
      </c>
      <c r="DA178" s="2"/>
      <c r="DB178" s="2"/>
      <c r="DC178" s="2" t="s">
        <v>3</v>
      </c>
      <c r="DD178" s="2" t="s">
        <v>3</v>
      </c>
      <c r="DE178" s="2" t="s">
        <v>3</v>
      </c>
      <c r="DF178" s="2" t="s">
        <v>3</v>
      </c>
      <c r="DG178" s="2" t="s">
        <v>3</v>
      </c>
      <c r="DH178" s="2" t="s">
        <v>3</v>
      </c>
      <c r="DI178" s="2" t="s">
        <v>3</v>
      </c>
      <c r="DJ178" s="2" t="s">
        <v>3</v>
      </c>
      <c r="DK178" s="2" t="s">
        <v>3</v>
      </c>
      <c r="DL178" s="2" t="s">
        <v>3</v>
      </c>
      <c r="DM178" s="2" t="s">
        <v>3</v>
      </c>
      <c r="DN178" s="2">
        <v>0</v>
      </c>
      <c r="DO178" s="2">
        <v>0</v>
      </c>
      <c r="DP178" s="2">
        <v>1</v>
      </c>
      <c r="DQ178" s="2">
        <v>1</v>
      </c>
      <c r="DR178" s="2"/>
      <c r="DS178" s="2"/>
      <c r="DT178" s="2"/>
      <c r="DU178" s="2">
        <v>1013</v>
      </c>
      <c r="DV178" s="2" t="s">
        <v>107</v>
      </c>
      <c r="DW178" s="2" t="s">
        <v>107</v>
      </c>
      <c r="DX178" s="2">
        <v>1</v>
      </c>
      <c r="DY178" s="2"/>
      <c r="DZ178" s="2" t="s">
        <v>3</v>
      </c>
      <c r="EA178" s="2" t="s">
        <v>3</v>
      </c>
      <c r="EB178" s="2" t="s">
        <v>3</v>
      </c>
      <c r="EC178" s="2" t="s">
        <v>3</v>
      </c>
      <c r="ED178" s="2"/>
      <c r="EE178" s="2">
        <v>126051900</v>
      </c>
      <c r="EF178" s="2">
        <v>60</v>
      </c>
      <c r="EG178" s="2" t="s">
        <v>150</v>
      </c>
      <c r="EH178" s="2">
        <v>0</v>
      </c>
      <c r="EI178" s="2" t="s">
        <v>3</v>
      </c>
      <c r="EJ178" s="2">
        <v>1</v>
      </c>
      <c r="EK178" s="2">
        <v>439</v>
      </c>
      <c r="EL178" s="2" t="s">
        <v>187</v>
      </c>
      <c r="EM178" s="2" t="s">
        <v>188</v>
      </c>
      <c r="EN178" s="2"/>
      <c r="EO178" s="2" t="s">
        <v>3</v>
      </c>
      <c r="EP178" s="2"/>
      <c r="EQ178" s="2">
        <v>131072</v>
      </c>
      <c r="ER178" s="2">
        <v>740.74</v>
      </c>
      <c r="ES178" s="2">
        <v>0</v>
      </c>
      <c r="ET178" s="2">
        <v>465.71</v>
      </c>
      <c r="EU178" s="2">
        <v>139.05000000000001</v>
      </c>
      <c r="EV178" s="2">
        <v>275.02999999999997</v>
      </c>
      <c r="EW178" s="2">
        <v>24.6</v>
      </c>
      <c r="EX178" s="2">
        <v>0</v>
      </c>
      <c r="EY178" s="2">
        <v>0</v>
      </c>
      <c r="EZ178" s="2"/>
      <c r="FA178" s="2"/>
      <c r="FB178" s="2"/>
      <c r="FC178" s="2"/>
      <c r="FD178" s="2"/>
      <c r="FE178" s="2"/>
      <c r="FF178" s="2"/>
      <c r="FG178" s="2"/>
      <c r="FH178" s="2"/>
      <c r="FI178" s="2"/>
      <c r="FJ178" s="2"/>
      <c r="FK178" s="2"/>
      <c r="FL178" s="2"/>
      <c r="FM178" s="2"/>
      <c r="FN178" s="2"/>
      <c r="FO178" s="2"/>
      <c r="FP178" s="2"/>
      <c r="FQ178" s="2">
        <v>0</v>
      </c>
      <c r="FR178" s="2">
        <f t="shared" si="108"/>
        <v>0</v>
      </c>
      <c r="FS178" s="2">
        <v>0</v>
      </c>
      <c r="FT178" s="2"/>
      <c r="FU178" s="2"/>
      <c r="FV178" s="2"/>
      <c r="FW178" s="2"/>
      <c r="FX178" s="2">
        <v>80</v>
      </c>
      <c r="FY178" s="2">
        <v>55</v>
      </c>
      <c r="FZ178" s="2"/>
      <c r="GA178" s="2" t="s">
        <v>3</v>
      </c>
      <c r="GB178" s="2"/>
      <c r="GC178" s="2"/>
      <c r="GD178" s="2">
        <v>0</v>
      </c>
      <c r="GE178" s="2"/>
      <c r="GF178" s="2">
        <v>469587119</v>
      </c>
      <c r="GG178" s="2">
        <v>2</v>
      </c>
      <c r="GH178" s="2">
        <v>1</v>
      </c>
      <c r="GI178" s="2">
        <v>-2</v>
      </c>
      <c r="GJ178" s="2">
        <v>0</v>
      </c>
      <c r="GK178" s="2">
        <f>ROUND(R178*(R12)/100,2)</f>
        <v>15.82</v>
      </c>
      <c r="GL178" s="2">
        <f t="shared" si="109"/>
        <v>0</v>
      </c>
      <c r="GM178" s="2">
        <f t="shared" si="110"/>
        <v>88.1</v>
      </c>
      <c r="GN178" s="2">
        <f t="shared" si="111"/>
        <v>88.1</v>
      </c>
      <c r="GO178" s="2">
        <f t="shared" si="112"/>
        <v>0</v>
      </c>
      <c r="GP178" s="2">
        <f t="shared" si="113"/>
        <v>0</v>
      </c>
      <c r="GQ178" s="2"/>
      <c r="GR178" s="2">
        <v>0</v>
      </c>
      <c r="GS178" s="2">
        <v>0</v>
      </c>
      <c r="GT178" s="2">
        <v>0</v>
      </c>
      <c r="GU178" s="2" t="s">
        <v>3</v>
      </c>
      <c r="GV178" s="2">
        <f t="shared" si="114"/>
        <v>0</v>
      </c>
      <c r="GW178" s="2">
        <v>1</v>
      </c>
      <c r="GX178" s="2">
        <f t="shared" si="115"/>
        <v>0</v>
      </c>
      <c r="GY178" s="2"/>
      <c r="GZ178" s="2"/>
      <c r="HA178" s="2">
        <v>0</v>
      </c>
      <c r="HB178" s="2">
        <v>0</v>
      </c>
      <c r="HC178" s="2">
        <f t="shared" si="116"/>
        <v>0</v>
      </c>
      <c r="HD178" s="2"/>
      <c r="HE178" s="2" t="s">
        <v>3</v>
      </c>
      <c r="HF178" s="2" t="s">
        <v>3</v>
      </c>
      <c r="HG178" s="2"/>
      <c r="HH178" s="2"/>
      <c r="HI178" s="2"/>
      <c r="HJ178" s="2"/>
      <c r="HK178" s="2"/>
      <c r="HL178" s="2"/>
      <c r="HM178" s="2" t="s">
        <v>3</v>
      </c>
      <c r="HN178" s="2" t="s">
        <v>3</v>
      </c>
      <c r="HO178" s="2" t="s">
        <v>3</v>
      </c>
      <c r="HP178" s="2" t="s">
        <v>3</v>
      </c>
      <c r="HQ178" s="2" t="s">
        <v>3</v>
      </c>
      <c r="HR178" s="2"/>
      <c r="HS178" s="2"/>
      <c r="HT178" s="2"/>
      <c r="HU178" s="2"/>
      <c r="HV178" s="2"/>
      <c r="HW178" s="2"/>
      <c r="HX178" s="2"/>
      <c r="HY178" s="2"/>
      <c r="HZ178" s="2"/>
      <c r="IA178" s="2"/>
      <c r="IB178" s="2"/>
      <c r="IC178" s="2"/>
      <c r="ID178" s="2"/>
      <c r="IE178" s="2"/>
      <c r="IF178" s="2"/>
      <c r="IG178" s="2"/>
      <c r="IH178" s="2"/>
      <c r="II178" s="2"/>
      <c r="IJ178" s="2"/>
      <c r="IK178" s="2">
        <v>0</v>
      </c>
      <c r="IL178" s="2"/>
      <c r="IM178" s="2"/>
      <c r="IN178" s="2"/>
      <c r="IO178" s="2"/>
      <c r="IP178" s="2"/>
      <c r="IQ178" s="2"/>
      <c r="IR178" s="2"/>
      <c r="IS178" s="2"/>
      <c r="IT178" s="2"/>
      <c r="IU178" s="2"/>
    </row>
    <row r="179" spans="1:255" x14ac:dyDescent="0.2">
      <c r="A179">
        <v>17</v>
      </c>
      <c r="B179">
        <v>1</v>
      </c>
      <c r="C179">
        <f>ROW(SmtRes!A116)</f>
        <v>116</v>
      </c>
      <c r="D179">
        <f>ROW(EtalonRes!A122)</f>
        <v>122</v>
      </c>
      <c r="E179" t="s">
        <v>191</v>
      </c>
      <c r="F179" t="s">
        <v>192</v>
      </c>
      <c r="G179" t="s">
        <v>193</v>
      </c>
      <c r="H179" t="s">
        <v>107</v>
      </c>
      <c r="I179">
        <v>6.5000000000000002E-2</v>
      </c>
      <c r="J179">
        <v>0</v>
      </c>
      <c r="K179">
        <v>6.5000000000000002E-2</v>
      </c>
      <c r="O179">
        <f t="shared" si="87"/>
        <v>1016.4</v>
      </c>
      <c r="P179">
        <f t="shared" si="88"/>
        <v>0</v>
      </c>
      <c r="Q179">
        <f t="shared" si="126"/>
        <v>497.34</v>
      </c>
      <c r="R179">
        <f t="shared" si="89"/>
        <v>262.43</v>
      </c>
      <c r="S179">
        <f t="shared" si="90"/>
        <v>519.05999999999995</v>
      </c>
      <c r="T179">
        <f t="shared" si="91"/>
        <v>0</v>
      </c>
      <c r="U179">
        <f t="shared" si="92"/>
        <v>1.5990000000000002</v>
      </c>
      <c r="V179">
        <f t="shared" si="93"/>
        <v>0</v>
      </c>
      <c r="W179">
        <f t="shared" si="94"/>
        <v>0</v>
      </c>
      <c r="X179">
        <f t="shared" si="95"/>
        <v>363.34</v>
      </c>
      <c r="Y179">
        <f t="shared" si="96"/>
        <v>212.81</v>
      </c>
      <c r="AA179">
        <v>129761633</v>
      </c>
      <c r="AB179">
        <f t="shared" si="97"/>
        <v>740.74</v>
      </c>
      <c r="AC179">
        <f t="shared" si="125"/>
        <v>0</v>
      </c>
      <c r="AD179">
        <f t="shared" si="127"/>
        <v>465.71</v>
      </c>
      <c r="AE179">
        <f t="shared" si="128"/>
        <v>139.05000000000001</v>
      </c>
      <c r="AF179">
        <f t="shared" si="128"/>
        <v>275.02999999999997</v>
      </c>
      <c r="AG179">
        <f t="shared" si="98"/>
        <v>0</v>
      </c>
      <c r="AH179">
        <f t="shared" si="129"/>
        <v>24.6</v>
      </c>
      <c r="AI179">
        <f t="shared" si="129"/>
        <v>0</v>
      </c>
      <c r="AJ179">
        <f t="shared" si="99"/>
        <v>0</v>
      </c>
      <c r="AK179">
        <v>740.74</v>
      </c>
      <c r="AL179">
        <v>0</v>
      </c>
      <c r="AM179">
        <v>465.71</v>
      </c>
      <c r="AN179">
        <v>139.05000000000001</v>
      </c>
      <c r="AO179">
        <v>275.02999999999997</v>
      </c>
      <c r="AP179">
        <v>0</v>
      </c>
      <c r="AQ179">
        <v>24.6</v>
      </c>
      <c r="AR179">
        <v>0</v>
      </c>
      <c r="AS179">
        <v>0</v>
      </c>
      <c r="AT179">
        <v>70</v>
      </c>
      <c r="AU179">
        <v>41</v>
      </c>
      <c r="AV179">
        <v>1</v>
      </c>
      <c r="AW179">
        <v>1</v>
      </c>
      <c r="AZ179">
        <v>1</v>
      </c>
      <c r="BA179">
        <v>29.03</v>
      </c>
      <c r="BB179">
        <v>16.43</v>
      </c>
      <c r="BC179">
        <v>1</v>
      </c>
      <c r="BD179" t="s">
        <v>3</v>
      </c>
      <c r="BE179" t="s">
        <v>3</v>
      </c>
      <c r="BF179" t="s">
        <v>3</v>
      </c>
      <c r="BG179" t="s">
        <v>3</v>
      </c>
      <c r="BH179">
        <v>0</v>
      </c>
      <c r="BI179">
        <v>1</v>
      </c>
      <c r="BJ179" t="s">
        <v>194</v>
      </c>
      <c r="BM179">
        <v>439</v>
      </c>
      <c r="BN179">
        <v>0</v>
      </c>
      <c r="BO179" t="s">
        <v>192</v>
      </c>
      <c r="BP179">
        <v>1</v>
      </c>
      <c r="BQ179">
        <v>60</v>
      </c>
      <c r="BR179">
        <v>0</v>
      </c>
      <c r="BS179">
        <v>29.03</v>
      </c>
      <c r="BT179">
        <v>1</v>
      </c>
      <c r="BU179">
        <v>1</v>
      </c>
      <c r="BV179">
        <v>1</v>
      </c>
      <c r="BW179">
        <v>1</v>
      </c>
      <c r="BX179">
        <v>1</v>
      </c>
      <c r="BY179" t="s">
        <v>3</v>
      </c>
      <c r="BZ179">
        <v>70</v>
      </c>
      <c r="CA179">
        <v>41</v>
      </c>
      <c r="CB179" t="s">
        <v>3</v>
      </c>
      <c r="CE179">
        <v>30</v>
      </c>
      <c r="CF179">
        <v>0</v>
      </c>
      <c r="CG179">
        <v>0</v>
      </c>
      <c r="CM179">
        <v>0</v>
      </c>
      <c r="CN179" t="s">
        <v>3</v>
      </c>
      <c r="CO179">
        <v>0</v>
      </c>
      <c r="CP179">
        <f t="shared" si="100"/>
        <v>1016.3999999999999</v>
      </c>
      <c r="CQ179">
        <f t="shared" si="101"/>
        <v>0</v>
      </c>
      <c r="CR179">
        <f t="shared" si="130"/>
        <v>7651.62</v>
      </c>
      <c r="CS179">
        <f t="shared" si="102"/>
        <v>4036.62</v>
      </c>
      <c r="CT179">
        <f t="shared" si="103"/>
        <v>7984.12</v>
      </c>
      <c r="CU179">
        <f t="shared" si="104"/>
        <v>0</v>
      </c>
      <c r="CV179">
        <f t="shared" si="105"/>
        <v>24.6</v>
      </c>
      <c r="CW179">
        <f t="shared" si="106"/>
        <v>0</v>
      </c>
      <c r="CX179">
        <f t="shared" si="107"/>
        <v>0</v>
      </c>
      <c r="CY179">
        <f>S179*(BZ179/100)</f>
        <v>363.34199999999993</v>
      </c>
      <c r="CZ179">
        <f>S179*(CA179/100)</f>
        <v>212.81459999999996</v>
      </c>
      <c r="DC179" t="s">
        <v>3</v>
      </c>
      <c r="DD179" t="s">
        <v>3</v>
      </c>
      <c r="DE179" t="s">
        <v>3</v>
      </c>
      <c r="DF179" t="s">
        <v>3</v>
      </c>
      <c r="DG179" t="s">
        <v>3</v>
      </c>
      <c r="DH179" t="s">
        <v>3</v>
      </c>
      <c r="DI179" t="s">
        <v>3</v>
      </c>
      <c r="DJ179" t="s">
        <v>3</v>
      </c>
      <c r="DK179" t="s">
        <v>3</v>
      </c>
      <c r="DL179" t="s">
        <v>3</v>
      </c>
      <c r="DM179" t="s">
        <v>3</v>
      </c>
      <c r="DN179">
        <v>80</v>
      </c>
      <c r="DO179">
        <v>55</v>
      </c>
      <c r="DP179">
        <v>1</v>
      </c>
      <c r="DQ179">
        <v>1</v>
      </c>
      <c r="DU179">
        <v>1013</v>
      </c>
      <c r="DV179" t="s">
        <v>107</v>
      </c>
      <c r="DW179" t="s">
        <v>107</v>
      </c>
      <c r="DX179">
        <v>1</v>
      </c>
      <c r="DZ179" t="s">
        <v>3</v>
      </c>
      <c r="EA179" t="s">
        <v>3</v>
      </c>
      <c r="EB179" t="s">
        <v>3</v>
      </c>
      <c r="EC179" t="s">
        <v>3</v>
      </c>
      <c r="EE179">
        <v>126051900</v>
      </c>
      <c r="EF179">
        <v>60</v>
      </c>
      <c r="EG179" t="s">
        <v>150</v>
      </c>
      <c r="EH179">
        <v>0</v>
      </c>
      <c r="EI179" t="s">
        <v>3</v>
      </c>
      <c r="EJ179">
        <v>1</v>
      </c>
      <c r="EK179">
        <v>439</v>
      </c>
      <c r="EL179" t="s">
        <v>187</v>
      </c>
      <c r="EM179" t="s">
        <v>188</v>
      </c>
      <c r="EO179" t="s">
        <v>3</v>
      </c>
      <c r="EQ179">
        <v>131072</v>
      </c>
      <c r="ER179">
        <v>740.74</v>
      </c>
      <c r="ES179">
        <v>0</v>
      </c>
      <c r="ET179">
        <v>465.71</v>
      </c>
      <c r="EU179">
        <v>139.05000000000001</v>
      </c>
      <c r="EV179">
        <v>275.02999999999997</v>
      </c>
      <c r="EW179">
        <v>24.6</v>
      </c>
      <c r="EX179">
        <v>0</v>
      </c>
      <c r="EY179">
        <v>0</v>
      </c>
      <c r="FQ179">
        <v>0</v>
      </c>
      <c r="FR179">
        <f t="shared" si="108"/>
        <v>0</v>
      </c>
      <c r="FS179">
        <v>0</v>
      </c>
      <c r="FX179">
        <v>80</v>
      </c>
      <c r="FY179">
        <v>55</v>
      </c>
      <c r="GA179" t="s">
        <v>3</v>
      </c>
      <c r="GD179">
        <v>0</v>
      </c>
      <c r="GF179">
        <v>469587119</v>
      </c>
      <c r="GG179">
        <v>2</v>
      </c>
      <c r="GH179">
        <v>1</v>
      </c>
      <c r="GI179">
        <v>2</v>
      </c>
      <c r="GJ179">
        <v>0</v>
      </c>
      <c r="GK179">
        <f>ROUND(R179*(S12)/100,2)</f>
        <v>419.89</v>
      </c>
      <c r="GL179">
        <f t="shared" si="109"/>
        <v>0</v>
      </c>
      <c r="GM179">
        <f t="shared" si="110"/>
        <v>2012.44</v>
      </c>
      <c r="GN179">
        <f t="shared" si="111"/>
        <v>2012.44</v>
      </c>
      <c r="GO179">
        <f t="shared" si="112"/>
        <v>0</v>
      </c>
      <c r="GP179">
        <f t="shared" si="113"/>
        <v>0</v>
      </c>
      <c r="GR179">
        <v>0</v>
      </c>
      <c r="GS179">
        <v>3</v>
      </c>
      <c r="GT179">
        <v>0</v>
      </c>
      <c r="GU179" t="s">
        <v>3</v>
      </c>
      <c r="GV179">
        <f t="shared" si="114"/>
        <v>0</v>
      </c>
      <c r="GW179">
        <v>1</v>
      </c>
      <c r="GX179">
        <f t="shared" si="115"/>
        <v>0</v>
      </c>
      <c r="HA179">
        <v>0</v>
      </c>
      <c r="HB179">
        <v>0</v>
      </c>
      <c r="HC179">
        <f t="shared" si="116"/>
        <v>0</v>
      </c>
      <c r="HE179" t="s">
        <v>3</v>
      </c>
      <c r="HF179" t="s">
        <v>3</v>
      </c>
      <c r="HM179" t="s">
        <v>3</v>
      </c>
      <c r="HN179" t="s">
        <v>3</v>
      </c>
      <c r="HO179" t="s">
        <v>3</v>
      </c>
      <c r="HP179" t="s">
        <v>3</v>
      </c>
      <c r="HQ179" t="s">
        <v>3</v>
      </c>
      <c r="IK179">
        <v>0</v>
      </c>
    </row>
    <row r="180" spans="1:255" x14ac:dyDescent="0.2">
      <c r="A180" s="2">
        <v>18</v>
      </c>
      <c r="B180" s="2">
        <v>1</v>
      </c>
      <c r="C180" s="2">
        <v>112</v>
      </c>
      <c r="D180" s="2"/>
      <c r="E180" s="2" t="s">
        <v>195</v>
      </c>
      <c r="F180" s="2" t="s">
        <v>162</v>
      </c>
      <c r="G180" s="2" t="s">
        <v>163</v>
      </c>
      <c r="H180" s="2" t="s">
        <v>114</v>
      </c>
      <c r="I180" s="2">
        <f>I178*J180</f>
        <v>-0.42899999999999999</v>
      </c>
      <c r="J180" s="2">
        <v>-6.6</v>
      </c>
      <c r="K180" s="2">
        <v>-6.6</v>
      </c>
      <c r="L180" s="2"/>
      <c r="M180" s="2"/>
      <c r="N180" s="2"/>
      <c r="O180" s="2">
        <f t="shared" si="87"/>
        <v>0</v>
      </c>
      <c r="P180" s="2">
        <f t="shared" si="88"/>
        <v>0</v>
      </c>
      <c r="Q180" s="2">
        <f t="shared" si="126"/>
        <v>0</v>
      </c>
      <c r="R180" s="2">
        <f t="shared" si="89"/>
        <v>0</v>
      </c>
      <c r="S180" s="2">
        <f t="shared" si="90"/>
        <v>0</v>
      </c>
      <c r="T180" s="2">
        <f t="shared" si="91"/>
        <v>0</v>
      </c>
      <c r="U180" s="2">
        <f t="shared" si="92"/>
        <v>0</v>
      </c>
      <c r="V180" s="2">
        <f t="shared" si="93"/>
        <v>0</v>
      </c>
      <c r="W180" s="2">
        <f t="shared" si="94"/>
        <v>0</v>
      </c>
      <c r="X180" s="2">
        <f t="shared" si="95"/>
        <v>0</v>
      </c>
      <c r="Y180" s="2">
        <f t="shared" si="96"/>
        <v>0</v>
      </c>
      <c r="Z180" s="2"/>
      <c r="AA180" s="2">
        <v>129761636</v>
      </c>
      <c r="AB180" s="2">
        <f t="shared" si="97"/>
        <v>0</v>
      </c>
      <c r="AC180" s="2">
        <f t="shared" si="125"/>
        <v>0</v>
      </c>
      <c r="AD180" s="2">
        <f t="shared" si="127"/>
        <v>0</v>
      </c>
      <c r="AE180" s="2">
        <f t="shared" si="128"/>
        <v>0</v>
      </c>
      <c r="AF180" s="2">
        <f t="shared" si="128"/>
        <v>0</v>
      </c>
      <c r="AG180" s="2">
        <f t="shared" si="98"/>
        <v>0</v>
      </c>
      <c r="AH180" s="2">
        <f t="shared" si="129"/>
        <v>0</v>
      </c>
      <c r="AI180" s="2">
        <f t="shared" si="129"/>
        <v>0</v>
      </c>
      <c r="AJ180" s="2">
        <f t="shared" si="99"/>
        <v>0</v>
      </c>
      <c r="AK180" s="2">
        <v>0</v>
      </c>
      <c r="AL180" s="2">
        <v>0</v>
      </c>
      <c r="AM180" s="2">
        <v>0</v>
      </c>
      <c r="AN180" s="2">
        <v>0</v>
      </c>
      <c r="AO180" s="2">
        <v>0</v>
      </c>
      <c r="AP180" s="2">
        <v>0</v>
      </c>
      <c r="AQ180" s="2">
        <v>0</v>
      </c>
      <c r="AR180" s="2">
        <v>0</v>
      </c>
      <c r="AS180" s="2">
        <v>0</v>
      </c>
      <c r="AT180" s="2">
        <v>80</v>
      </c>
      <c r="AU180" s="2">
        <v>55</v>
      </c>
      <c r="AV180" s="2">
        <v>1</v>
      </c>
      <c r="AW180" s="2">
        <v>1</v>
      </c>
      <c r="AX180" s="2"/>
      <c r="AY180" s="2"/>
      <c r="AZ180" s="2">
        <v>1</v>
      </c>
      <c r="BA180" s="2">
        <v>1</v>
      </c>
      <c r="BB180" s="2">
        <v>1</v>
      </c>
      <c r="BC180" s="2">
        <v>1</v>
      </c>
      <c r="BD180" s="2" t="s">
        <v>3</v>
      </c>
      <c r="BE180" s="2" t="s">
        <v>3</v>
      </c>
      <c r="BF180" s="2" t="s">
        <v>3</v>
      </c>
      <c r="BG180" s="2" t="s">
        <v>3</v>
      </c>
      <c r="BH180" s="2">
        <v>3</v>
      </c>
      <c r="BI180" s="2">
        <v>1</v>
      </c>
      <c r="BJ180" s="2" t="s">
        <v>3</v>
      </c>
      <c r="BK180" s="2"/>
      <c r="BL180" s="2"/>
      <c r="BM180" s="2">
        <v>439</v>
      </c>
      <c r="BN180" s="2">
        <v>0</v>
      </c>
      <c r="BO180" s="2" t="s">
        <v>3</v>
      </c>
      <c r="BP180" s="2">
        <v>0</v>
      </c>
      <c r="BQ180" s="2">
        <v>60</v>
      </c>
      <c r="BR180" s="2">
        <v>1</v>
      </c>
      <c r="BS180" s="2">
        <v>1</v>
      </c>
      <c r="BT180" s="2">
        <v>1</v>
      </c>
      <c r="BU180" s="2">
        <v>1</v>
      </c>
      <c r="BV180" s="2">
        <v>1</v>
      </c>
      <c r="BW180" s="2">
        <v>1</v>
      </c>
      <c r="BX180" s="2">
        <v>1</v>
      </c>
      <c r="BY180" s="2" t="s">
        <v>3</v>
      </c>
      <c r="BZ180" s="2">
        <v>80</v>
      </c>
      <c r="CA180" s="2">
        <v>55</v>
      </c>
      <c r="CB180" s="2" t="s">
        <v>3</v>
      </c>
      <c r="CC180" s="2"/>
      <c r="CD180" s="2"/>
      <c r="CE180" s="2">
        <v>30</v>
      </c>
      <c r="CF180" s="2">
        <v>0</v>
      </c>
      <c r="CG180" s="2">
        <v>0</v>
      </c>
      <c r="CH180" s="2"/>
      <c r="CI180" s="2"/>
      <c r="CJ180" s="2"/>
      <c r="CK180" s="2"/>
      <c r="CL180" s="2"/>
      <c r="CM180" s="2">
        <v>0</v>
      </c>
      <c r="CN180" s="2" t="s">
        <v>3</v>
      </c>
      <c r="CO180" s="2">
        <v>0</v>
      </c>
      <c r="CP180" s="2">
        <f t="shared" si="100"/>
        <v>0</v>
      </c>
      <c r="CQ180" s="2">
        <f t="shared" si="101"/>
        <v>0</v>
      </c>
      <c r="CR180" s="2">
        <f t="shared" si="130"/>
        <v>0</v>
      </c>
      <c r="CS180" s="2">
        <f t="shared" si="102"/>
        <v>0</v>
      </c>
      <c r="CT180" s="2">
        <f t="shared" si="103"/>
        <v>0</v>
      </c>
      <c r="CU180" s="2">
        <f t="shared" si="104"/>
        <v>0</v>
      </c>
      <c r="CV180" s="2">
        <f t="shared" si="105"/>
        <v>0</v>
      </c>
      <c r="CW180" s="2">
        <f t="shared" si="106"/>
        <v>0</v>
      </c>
      <c r="CX180" s="2">
        <f t="shared" si="107"/>
        <v>0</v>
      </c>
      <c r="CY180" s="2">
        <f>((S180*BZ180)/100)</f>
        <v>0</v>
      </c>
      <c r="CZ180" s="2">
        <f>((S180*CA180)/100)</f>
        <v>0</v>
      </c>
      <c r="DA180" s="2"/>
      <c r="DB180" s="2"/>
      <c r="DC180" s="2" t="s">
        <v>3</v>
      </c>
      <c r="DD180" s="2" t="s">
        <v>3</v>
      </c>
      <c r="DE180" s="2" t="s">
        <v>3</v>
      </c>
      <c r="DF180" s="2" t="s">
        <v>3</v>
      </c>
      <c r="DG180" s="2" t="s">
        <v>3</v>
      </c>
      <c r="DH180" s="2" t="s">
        <v>3</v>
      </c>
      <c r="DI180" s="2" t="s">
        <v>3</v>
      </c>
      <c r="DJ180" s="2" t="s">
        <v>3</v>
      </c>
      <c r="DK180" s="2" t="s">
        <v>3</v>
      </c>
      <c r="DL180" s="2" t="s">
        <v>3</v>
      </c>
      <c r="DM180" s="2" t="s">
        <v>3</v>
      </c>
      <c r="DN180" s="2">
        <v>0</v>
      </c>
      <c r="DO180" s="2">
        <v>0</v>
      </c>
      <c r="DP180" s="2">
        <v>1</v>
      </c>
      <c r="DQ180" s="2">
        <v>1</v>
      </c>
      <c r="DR180" s="2"/>
      <c r="DS180" s="2"/>
      <c r="DT180" s="2"/>
      <c r="DU180" s="2">
        <v>1009</v>
      </c>
      <c r="DV180" s="2" t="s">
        <v>114</v>
      </c>
      <c r="DW180" s="2" t="s">
        <v>114</v>
      </c>
      <c r="DX180" s="2">
        <v>1000</v>
      </c>
      <c r="DY180" s="2"/>
      <c r="DZ180" s="2" t="s">
        <v>3</v>
      </c>
      <c r="EA180" s="2" t="s">
        <v>3</v>
      </c>
      <c r="EB180" s="2" t="s">
        <v>3</v>
      </c>
      <c r="EC180" s="2" t="s">
        <v>3</v>
      </c>
      <c r="ED180" s="2"/>
      <c r="EE180" s="2">
        <v>126051900</v>
      </c>
      <c r="EF180" s="2">
        <v>60</v>
      </c>
      <c r="EG180" s="2" t="s">
        <v>150</v>
      </c>
      <c r="EH180" s="2">
        <v>0</v>
      </c>
      <c r="EI180" s="2" t="s">
        <v>3</v>
      </c>
      <c r="EJ180" s="2">
        <v>1</v>
      </c>
      <c r="EK180" s="2">
        <v>439</v>
      </c>
      <c r="EL180" s="2" t="s">
        <v>187</v>
      </c>
      <c r="EM180" s="2" t="s">
        <v>188</v>
      </c>
      <c r="EN180" s="2"/>
      <c r="EO180" s="2" t="s">
        <v>3</v>
      </c>
      <c r="EP180" s="2"/>
      <c r="EQ180" s="2">
        <v>0</v>
      </c>
      <c r="ER180" s="2">
        <v>0</v>
      </c>
      <c r="ES180" s="2">
        <v>0</v>
      </c>
      <c r="ET180" s="2">
        <v>0</v>
      </c>
      <c r="EU180" s="2">
        <v>0</v>
      </c>
      <c r="EV180" s="2">
        <v>0</v>
      </c>
      <c r="EW180" s="2">
        <v>0</v>
      </c>
      <c r="EX180" s="2">
        <v>0</v>
      </c>
      <c r="EY180" s="2"/>
      <c r="EZ180" s="2"/>
      <c r="FA180" s="2"/>
      <c r="FB180" s="2"/>
      <c r="FC180" s="2"/>
      <c r="FD180" s="2"/>
      <c r="FE180" s="2"/>
      <c r="FF180" s="2"/>
      <c r="FG180" s="2"/>
      <c r="FH180" s="2"/>
      <c r="FI180" s="2"/>
      <c r="FJ180" s="2"/>
      <c r="FK180" s="2"/>
      <c r="FL180" s="2"/>
      <c r="FM180" s="2"/>
      <c r="FN180" s="2"/>
      <c r="FO180" s="2"/>
      <c r="FP180" s="2"/>
      <c r="FQ180" s="2">
        <v>0</v>
      </c>
      <c r="FR180" s="2">
        <f t="shared" si="108"/>
        <v>0</v>
      </c>
      <c r="FS180" s="2">
        <v>0</v>
      </c>
      <c r="FT180" s="2"/>
      <c r="FU180" s="2"/>
      <c r="FV180" s="2"/>
      <c r="FW180" s="2"/>
      <c r="FX180" s="2">
        <v>80</v>
      </c>
      <c r="FY180" s="2">
        <v>55</v>
      </c>
      <c r="FZ180" s="2"/>
      <c r="GA180" s="2" t="s">
        <v>3</v>
      </c>
      <c r="GB180" s="2"/>
      <c r="GC180" s="2"/>
      <c r="GD180" s="2">
        <v>0</v>
      </c>
      <c r="GE180" s="2"/>
      <c r="GF180" s="2">
        <v>1489638031</v>
      </c>
      <c r="GG180" s="2">
        <v>2</v>
      </c>
      <c r="GH180" s="2">
        <v>1</v>
      </c>
      <c r="GI180" s="2">
        <v>-2</v>
      </c>
      <c r="GJ180" s="2">
        <v>0</v>
      </c>
      <c r="GK180" s="2">
        <f>ROUND(R180*(R12)/100,2)</f>
        <v>0</v>
      </c>
      <c r="GL180" s="2">
        <f t="shared" si="109"/>
        <v>0</v>
      </c>
      <c r="GM180" s="2">
        <f t="shared" si="110"/>
        <v>0</v>
      </c>
      <c r="GN180" s="2">
        <f t="shared" si="111"/>
        <v>0</v>
      </c>
      <c r="GO180" s="2">
        <f t="shared" si="112"/>
        <v>0</v>
      </c>
      <c r="GP180" s="2">
        <f t="shared" si="113"/>
        <v>0</v>
      </c>
      <c r="GQ180" s="2"/>
      <c r="GR180" s="2">
        <v>0</v>
      </c>
      <c r="GS180" s="2">
        <v>0</v>
      </c>
      <c r="GT180" s="2">
        <v>0</v>
      </c>
      <c r="GU180" s="2" t="s">
        <v>3</v>
      </c>
      <c r="GV180" s="2">
        <f t="shared" si="114"/>
        <v>0</v>
      </c>
      <c r="GW180" s="2">
        <v>1</v>
      </c>
      <c r="GX180" s="2">
        <f t="shared" si="115"/>
        <v>0</v>
      </c>
      <c r="GY180" s="2"/>
      <c r="GZ180" s="2"/>
      <c r="HA180" s="2">
        <v>0</v>
      </c>
      <c r="HB180" s="2">
        <v>0</v>
      </c>
      <c r="HC180" s="2">
        <f t="shared" si="116"/>
        <v>0</v>
      </c>
      <c r="HD180" s="2"/>
      <c r="HE180" s="2" t="s">
        <v>3</v>
      </c>
      <c r="HF180" s="2" t="s">
        <v>3</v>
      </c>
      <c r="HG180" s="2"/>
      <c r="HH180" s="2"/>
      <c r="HI180" s="2"/>
      <c r="HJ180" s="2"/>
      <c r="HK180" s="2"/>
      <c r="HL180" s="2"/>
      <c r="HM180" s="2" t="s">
        <v>3</v>
      </c>
      <c r="HN180" s="2" t="s">
        <v>3</v>
      </c>
      <c r="HO180" s="2" t="s">
        <v>3</v>
      </c>
      <c r="HP180" s="2" t="s">
        <v>3</v>
      </c>
      <c r="HQ180" s="2" t="s">
        <v>3</v>
      </c>
      <c r="HR180" s="2"/>
      <c r="HS180" s="2"/>
      <c r="HT180" s="2"/>
      <c r="HU180" s="2"/>
      <c r="HV180" s="2"/>
      <c r="HW180" s="2"/>
      <c r="HX180" s="2"/>
      <c r="HY180" s="2"/>
      <c r="HZ180" s="2"/>
      <c r="IA180" s="2"/>
      <c r="IB180" s="2"/>
      <c r="IC180" s="2"/>
      <c r="ID180" s="2"/>
      <c r="IE180" s="2"/>
      <c r="IF180" s="2"/>
      <c r="IG180" s="2"/>
      <c r="IH180" s="2"/>
      <c r="II180" s="2"/>
      <c r="IJ180" s="2"/>
      <c r="IK180" s="2">
        <v>0</v>
      </c>
      <c r="IL180" s="2"/>
      <c r="IM180" s="2"/>
      <c r="IN180" s="2"/>
      <c r="IO180" s="2"/>
      <c r="IP180" s="2"/>
      <c r="IQ180" s="2"/>
      <c r="IR180" s="2"/>
      <c r="IS180" s="2"/>
      <c r="IT180" s="2"/>
      <c r="IU180" s="2"/>
    </row>
    <row r="181" spans="1:255" x14ac:dyDescent="0.2">
      <c r="A181">
        <v>18</v>
      </c>
      <c r="B181">
        <v>1</v>
      </c>
      <c r="C181">
        <v>116</v>
      </c>
      <c r="E181" t="s">
        <v>195</v>
      </c>
      <c r="F181" t="s">
        <v>162</v>
      </c>
      <c r="G181" t="s">
        <v>163</v>
      </c>
      <c r="H181" t="s">
        <v>114</v>
      </c>
      <c r="I181">
        <f>I179*J181</f>
        <v>-0.42899999999999999</v>
      </c>
      <c r="J181">
        <v>-6.6</v>
      </c>
      <c r="K181">
        <v>-6.6</v>
      </c>
      <c r="O181">
        <f t="shared" si="87"/>
        <v>0</v>
      </c>
      <c r="P181">
        <f t="shared" si="88"/>
        <v>0</v>
      </c>
      <c r="Q181">
        <f t="shared" si="126"/>
        <v>0</v>
      </c>
      <c r="R181">
        <f t="shared" si="89"/>
        <v>0</v>
      </c>
      <c r="S181">
        <f t="shared" si="90"/>
        <v>0</v>
      </c>
      <c r="T181">
        <f t="shared" si="91"/>
        <v>0</v>
      </c>
      <c r="U181">
        <f t="shared" si="92"/>
        <v>0</v>
      </c>
      <c r="V181">
        <f t="shared" si="93"/>
        <v>0</v>
      </c>
      <c r="W181">
        <f t="shared" si="94"/>
        <v>0</v>
      </c>
      <c r="X181">
        <f t="shared" si="95"/>
        <v>0</v>
      </c>
      <c r="Y181">
        <f t="shared" si="96"/>
        <v>0</v>
      </c>
      <c r="AA181">
        <v>129761633</v>
      </c>
      <c r="AB181">
        <f t="shared" si="97"/>
        <v>0</v>
      </c>
      <c r="AC181">
        <f t="shared" si="125"/>
        <v>0</v>
      </c>
      <c r="AD181">
        <f t="shared" si="127"/>
        <v>0</v>
      </c>
      <c r="AE181">
        <f t="shared" si="128"/>
        <v>0</v>
      </c>
      <c r="AF181">
        <f t="shared" si="128"/>
        <v>0</v>
      </c>
      <c r="AG181">
        <f t="shared" si="98"/>
        <v>0</v>
      </c>
      <c r="AH181">
        <f t="shared" si="129"/>
        <v>0</v>
      </c>
      <c r="AI181">
        <f t="shared" si="129"/>
        <v>0</v>
      </c>
      <c r="AJ181">
        <f t="shared" si="99"/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1</v>
      </c>
      <c r="AW181">
        <v>1</v>
      </c>
      <c r="AZ181">
        <v>1</v>
      </c>
      <c r="BA181">
        <v>1</v>
      </c>
      <c r="BB181">
        <v>1</v>
      </c>
      <c r="BC181">
        <v>8.65</v>
      </c>
      <c r="BD181" t="s">
        <v>3</v>
      </c>
      <c r="BE181" t="s">
        <v>3</v>
      </c>
      <c r="BF181" t="s">
        <v>3</v>
      </c>
      <c r="BG181" t="s">
        <v>3</v>
      </c>
      <c r="BH181">
        <v>3</v>
      </c>
      <c r="BI181">
        <v>1</v>
      </c>
      <c r="BJ181" t="s">
        <v>3</v>
      </c>
      <c r="BM181">
        <v>439</v>
      </c>
      <c r="BN181">
        <v>0</v>
      </c>
      <c r="BO181" t="s">
        <v>3</v>
      </c>
      <c r="BP181">
        <v>0</v>
      </c>
      <c r="BQ181">
        <v>60</v>
      </c>
      <c r="BR181">
        <v>1</v>
      </c>
      <c r="BS181">
        <v>1</v>
      </c>
      <c r="BT181">
        <v>1</v>
      </c>
      <c r="BU181">
        <v>1</v>
      </c>
      <c r="BV181">
        <v>1</v>
      </c>
      <c r="BW181">
        <v>1</v>
      </c>
      <c r="BX181">
        <v>1</v>
      </c>
      <c r="BY181" t="s">
        <v>3</v>
      </c>
      <c r="BZ181">
        <v>0</v>
      </c>
      <c r="CA181">
        <v>0</v>
      </c>
      <c r="CB181" t="s">
        <v>3</v>
      </c>
      <c r="CE181">
        <v>30</v>
      </c>
      <c r="CF181">
        <v>0</v>
      </c>
      <c r="CG181">
        <v>0</v>
      </c>
      <c r="CM181">
        <v>0</v>
      </c>
      <c r="CN181" t="s">
        <v>3</v>
      </c>
      <c r="CO181">
        <v>0</v>
      </c>
      <c r="CP181">
        <f t="shared" si="100"/>
        <v>0</v>
      </c>
      <c r="CQ181">
        <f t="shared" si="101"/>
        <v>0</v>
      </c>
      <c r="CR181">
        <f t="shared" si="130"/>
        <v>0</v>
      </c>
      <c r="CS181">
        <f t="shared" si="102"/>
        <v>0</v>
      </c>
      <c r="CT181">
        <f t="shared" si="103"/>
        <v>0</v>
      </c>
      <c r="CU181">
        <f t="shared" si="104"/>
        <v>0</v>
      </c>
      <c r="CV181">
        <f t="shared" si="105"/>
        <v>0</v>
      </c>
      <c r="CW181">
        <f t="shared" si="106"/>
        <v>0</v>
      </c>
      <c r="CX181">
        <f t="shared" si="107"/>
        <v>0</v>
      </c>
      <c r="CY181">
        <f>S181*(BZ181/100)</f>
        <v>0</v>
      </c>
      <c r="CZ181">
        <f>S181*(CA181/100)</f>
        <v>0</v>
      </c>
      <c r="DC181" t="s">
        <v>3</v>
      </c>
      <c r="DD181" t="s">
        <v>3</v>
      </c>
      <c r="DE181" t="s">
        <v>3</v>
      </c>
      <c r="DF181" t="s">
        <v>3</v>
      </c>
      <c r="DG181" t="s">
        <v>3</v>
      </c>
      <c r="DH181" t="s">
        <v>3</v>
      </c>
      <c r="DI181" t="s">
        <v>3</v>
      </c>
      <c r="DJ181" t="s">
        <v>3</v>
      </c>
      <c r="DK181" t="s">
        <v>3</v>
      </c>
      <c r="DL181" t="s">
        <v>3</v>
      </c>
      <c r="DM181" t="s">
        <v>3</v>
      </c>
      <c r="DN181">
        <v>80</v>
      </c>
      <c r="DO181">
        <v>55</v>
      </c>
      <c r="DP181">
        <v>1</v>
      </c>
      <c r="DQ181">
        <v>1</v>
      </c>
      <c r="DU181">
        <v>1009</v>
      </c>
      <c r="DV181" t="s">
        <v>114</v>
      </c>
      <c r="DW181" t="s">
        <v>114</v>
      </c>
      <c r="DX181">
        <v>1000</v>
      </c>
      <c r="DZ181" t="s">
        <v>3</v>
      </c>
      <c r="EA181" t="s">
        <v>3</v>
      </c>
      <c r="EB181" t="s">
        <v>3</v>
      </c>
      <c r="EC181" t="s">
        <v>3</v>
      </c>
      <c r="EE181">
        <v>126051900</v>
      </c>
      <c r="EF181">
        <v>60</v>
      </c>
      <c r="EG181" t="s">
        <v>150</v>
      </c>
      <c r="EH181">
        <v>0</v>
      </c>
      <c r="EI181" t="s">
        <v>3</v>
      </c>
      <c r="EJ181">
        <v>1</v>
      </c>
      <c r="EK181">
        <v>439</v>
      </c>
      <c r="EL181" t="s">
        <v>187</v>
      </c>
      <c r="EM181" t="s">
        <v>188</v>
      </c>
      <c r="EO181" t="s">
        <v>3</v>
      </c>
      <c r="EQ181">
        <v>0</v>
      </c>
      <c r="ER181">
        <v>0</v>
      </c>
      <c r="ES181">
        <v>0</v>
      </c>
      <c r="ET181">
        <v>0</v>
      </c>
      <c r="EU181">
        <v>0</v>
      </c>
      <c r="EV181">
        <v>0</v>
      </c>
      <c r="EW181">
        <v>0</v>
      </c>
      <c r="EX181">
        <v>0</v>
      </c>
      <c r="FQ181">
        <v>0</v>
      </c>
      <c r="FR181">
        <f t="shared" si="108"/>
        <v>0</v>
      </c>
      <c r="FS181">
        <v>0</v>
      </c>
      <c r="FX181">
        <v>80</v>
      </c>
      <c r="FY181">
        <v>55</v>
      </c>
      <c r="GA181" t="s">
        <v>3</v>
      </c>
      <c r="GD181">
        <v>0</v>
      </c>
      <c r="GF181">
        <v>1489638031</v>
      </c>
      <c r="GG181">
        <v>2</v>
      </c>
      <c r="GH181">
        <v>1</v>
      </c>
      <c r="GI181">
        <v>5</v>
      </c>
      <c r="GJ181">
        <v>0</v>
      </c>
      <c r="GK181">
        <f>ROUND(R181*(S12)/100,2)</f>
        <v>0</v>
      </c>
      <c r="GL181">
        <f t="shared" si="109"/>
        <v>0</v>
      </c>
      <c r="GM181">
        <f t="shared" si="110"/>
        <v>0</v>
      </c>
      <c r="GN181">
        <f t="shared" si="111"/>
        <v>0</v>
      </c>
      <c r="GO181">
        <f t="shared" si="112"/>
        <v>0</v>
      </c>
      <c r="GP181">
        <f t="shared" si="113"/>
        <v>0</v>
      </c>
      <c r="GR181">
        <v>0</v>
      </c>
      <c r="GS181">
        <v>3</v>
      </c>
      <c r="GT181">
        <v>0</v>
      </c>
      <c r="GU181" t="s">
        <v>3</v>
      </c>
      <c r="GV181">
        <f t="shared" si="114"/>
        <v>0</v>
      </c>
      <c r="GW181">
        <v>1</v>
      </c>
      <c r="GX181">
        <f t="shared" si="115"/>
        <v>0</v>
      </c>
      <c r="HA181">
        <v>0</v>
      </c>
      <c r="HB181">
        <v>0</v>
      </c>
      <c r="HC181">
        <f t="shared" si="116"/>
        <v>0</v>
      </c>
      <c r="HE181" t="s">
        <v>3</v>
      </c>
      <c r="HF181" t="s">
        <v>3</v>
      </c>
      <c r="HM181" t="s">
        <v>3</v>
      </c>
      <c r="HN181" t="s">
        <v>3</v>
      </c>
      <c r="HO181" t="s">
        <v>3</v>
      </c>
      <c r="HP181" t="s">
        <v>3</v>
      </c>
      <c r="HQ181" t="s">
        <v>3</v>
      </c>
      <c r="IK181">
        <v>0</v>
      </c>
    </row>
    <row r="182" spans="1:255" x14ac:dyDescent="0.2">
      <c r="A182" s="2">
        <v>17</v>
      </c>
      <c r="B182" s="2">
        <v>1</v>
      </c>
      <c r="C182" s="2">
        <f>ROW(SmtRes!A118)</f>
        <v>118</v>
      </c>
      <c r="D182" s="2">
        <f>ROW(EtalonRes!A124)</f>
        <v>124</v>
      </c>
      <c r="E182" s="2" t="s">
        <v>196</v>
      </c>
      <c r="F182" s="2" t="s">
        <v>197</v>
      </c>
      <c r="G182" s="2" t="s">
        <v>198</v>
      </c>
      <c r="H182" s="2" t="s">
        <v>107</v>
      </c>
      <c r="I182" s="2">
        <v>5.7000000000000002E-2</v>
      </c>
      <c r="J182" s="2">
        <v>0</v>
      </c>
      <c r="K182" s="2">
        <v>5.7000000000000002E-2</v>
      </c>
      <c r="L182" s="2"/>
      <c r="M182" s="2"/>
      <c r="N182" s="2"/>
      <c r="O182" s="2">
        <f t="shared" si="87"/>
        <v>7.65</v>
      </c>
      <c r="P182" s="2">
        <f t="shared" si="88"/>
        <v>0</v>
      </c>
      <c r="Q182" s="2">
        <f>(ROUND((ROUND((((ET182*4))*AV182*I182),2)*BB182),2)+ROUND((ROUND(((AE182-((EU182*4)))*AV182*I182),2)*BS182),2))</f>
        <v>0</v>
      </c>
      <c r="R182" s="2">
        <f t="shared" si="89"/>
        <v>0</v>
      </c>
      <c r="S182" s="2">
        <f t="shared" si="90"/>
        <v>7.65</v>
      </c>
      <c r="T182" s="2">
        <f t="shared" si="91"/>
        <v>0</v>
      </c>
      <c r="U182" s="2">
        <f t="shared" si="92"/>
        <v>0.68400000000000005</v>
      </c>
      <c r="V182" s="2">
        <f t="shared" si="93"/>
        <v>0</v>
      </c>
      <c r="W182" s="2">
        <f t="shared" si="94"/>
        <v>0</v>
      </c>
      <c r="X182" s="2">
        <f t="shared" si="95"/>
        <v>6.12</v>
      </c>
      <c r="Y182" s="2">
        <f t="shared" si="96"/>
        <v>4.21</v>
      </c>
      <c r="Z182" s="2"/>
      <c r="AA182" s="2">
        <v>129761636</v>
      </c>
      <c r="AB182" s="2">
        <f t="shared" si="97"/>
        <v>134.16</v>
      </c>
      <c r="AC182" s="2">
        <f>ROUND(((ES182*4)),6)</f>
        <v>0</v>
      </c>
      <c r="AD182" s="2">
        <f>ROUND(((((ET182*4))-((EU182*4)))+AE182),6)</f>
        <v>0</v>
      </c>
      <c r="AE182" s="2">
        <f>ROUND(((EU182*4)),6)</f>
        <v>0</v>
      </c>
      <c r="AF182" s="2">
        <f>ROUND(((EV182*4)),6)</f>
        <v>134.16</v>
      </c>
      <c r="AG182" s="2">
        <f t="shared" si="98"/>
        <v>0</v>
      </c>
      <c r="AH182" s="2">
        <f>((EW182*4))</f>
        <v>12</v>
      </c>
      <c r="AI182" s="2">
        <f>((EX182*4))</f>
        <v>0</v>
      </c>
      <c r="AJ182" s="2">
        <f t="shared" si="99"/>
        <v>0</v>
      </c>
      <c r="AK182" s="2">
        <v>33.54</v>
      </c>
      <c r="AL182" s="2">
        <v>0</v>
      </c>
      <c r="AM182" s="2">
        <v>0</v>
      </c>
      <c r="AN182" s="2">
        <v>0</v>
      </c>
      <c r="AO182" s="2">
        <v>33.54</v>
      </c>
      <c r="AP182" s="2">
        <v>0</v>
      </c>
      <c r="AQ182" s="2">
        <v>3</v>
      </c>
      <c r="AR182" s="2">
        <v>0</v>
      </c>
      <c r="AS182" s="2">
        <v>0</v>
      </c>
      <c r="AT182" s="2">
        <v>80</v>
      </c>
      <c r="AU182" s="2">
        <v>55</v>
      </c>
      <c r="AV182" s="2">
        <v>1</v>
      </c>
      <c r="AW182" s="2">
        <v>1</v>
      </c>
      <c r="AX182" s="2"/>
      <c r="AY182" s="2"/>
      <c r="AZ182" s="2">
        <v>1</v>
      </c>
      <c r="BA182" s="2">
        <v>1</v>
      </c>
      <c r="BB182" s="2">
        <v>1</v>
      </c>
      <c r="BC182" s="2">
        <v>1</v>
      </c>
      <c r="BD182" s="2" t="s">
        <v>3</v>
      </c>
      <c r="BE182" s="2" t="s">
        <v>3</v>
      </c>
      <c r="BF182" s="2" t="s">
        <v>3</v>
      </c>
      <c r="BG182" s="2" t="s">
        <v>3</v>
      </c>
      <c r="BH182" s="2">
        <v>0</v>
      </c>
      <c r="BI182" s="2">
        <v>1</v>
      </c>
      <c r="BJ182" s="2" t="s">
        <v>199</v>
      </c>
      <c r="BK182" s="2"/>
      <c r="BL182" s="2"/>
      <c r="BM182" s="2">
        <v>439</v>
      </c>
      <c r="BN182" s="2">
        <v>0</v>
      </c>
      <c r="BO182" s="2" t="s">
        <v>3</v>
      </c>
      <c r="BP182" s="2">
        <v>0</v>
      </c>
      <c r="BQ182" s="2">
        <v>60</v>
      </c>
      <c r="BR182" s="2">
        <v>0</v>
      </c>
      <c r="BS182" s="2">
        <v>1</v>
      </c>
      <c r="BT182" s="2">
        <v>1</v>
      </c>
      <c r="BU182" s="2">
        <v>1</v>
      </c>
      <c r="BV182" s="2">
        <v>1</v>
      </c>
      <c r="BW182" s="2">
        <v>1</v>
      </c>
      <c r="BX182" s="2">
        <v>1</v>
      </c>
      <c r="BY182" s="2" t="s">
        <v>3</v>
      </c>
      <c r="BZ182" s="2">
        <v>80</v>
      </c>
      <c r="CA182" s="2">
        <v>55</v>
      </c>
      <c r="CB182" s="2" t="s">
        <v>3</v>
      </c>
      <c r="CC182" s="2"/>
      <c r="CD182" s="2"/>
      <c r="CE182" s="2">
        <v>30</v>
      </c>
      <c r="CF182" s="2">
        <v>0</v>
      </c>
      <c r="CG182" s="2">
        <v>0</v>
      </c>
      <c r="CH182" s="2"/>
      <c r="CI182" s="2"/>
      <c r="CJ182" s="2"/>
      <c r="CK182" s="2"/>
      <c r="CL182" s="2"/>
      <c r="CM182" s="2">
        <v>0</v>
      </c>
      <c r="CN182" s="2" t="s">
        <v>3</v>
      </c>
      <c r="CO182" s="2">
        <v>0</v>
      </c>
      <c r="CP182" s="2">
        <f t="shared" si="100"/>
        <v>7.65</v>
      </c>
      <c r="CQ182" s="2">
        <f t="shared" si="101"/>
        <v>0</v>
      </c>
      <c r="CR182" s="2">
        <f>(ROUND((ROUND((((ET182*4))*AV182*1),2)*BB182),2)+ROUND((ROUND(((AE182-((EU182*4)))*AV182*1),2)*BS182),2))</f>
        <v>0</v>
      </c>
      <c r="CS182" s="2">
        <f t="shared" si="102"/>
        <v>0</v>
      </c>
      <c r="CT182" s="2">
        <f t="shared" si="103"/>
        <v>134.16</v>
      </c>
      <c r="CU182" s="2">
        <f t="shared" si="104"/>
        <v>0</v>
      </c>
      <c r="CV182" s="2">
        <f t="shared" si="105"/>
        <v>12</v>
      </c>
      <c r="CW182" s="2">
        <f t="shared" si="106"/>
        <v>0</v>
      </c>
      <c r="CX182" s="2">
        <f t="shared" si="107"/>
        <v>0</v>
      </c>
      <c r="CY182" s="2">
        <f>((S182*BZ182)/100)</f>
        <v>6.12</v>
      </c>
      <c r="CZ182" s="2">
        <f>((S182*CA182)/100)</f>
        <v>4.2074999999999996</v>
      </c>
      <c r="DA182" s="2"/>
      <c r="DB182" s="2"/>
      <c r="DC182" s="2" t="s">
        <v>3</v>
      </c>
      <c r="DD182" s="2" t="s">
        <v>200</v>
      </c>
      <c r="DE182" s="2" t="s">
        <v>200</v>
      </c>
      <c r="DF182" s="2" t="s">
        <v>200</v>
      </c>
      <c r="DG182" s="2" t="s">
        <v>200</v>
      </c>
      <c r="DH182" s="2" t="s">
        <v>3</v>
      </c>
      <c r="DI182" s="2" t="s">
        <v>200</v>
      </c>
      <c r="DJ182" s="2" t="s">
        <v>200</v>
      </c>
      <c r="DK182" s="2" t="s">
        <v>3</v>
      </c>
      <c r="DL182" s="2" t="s">
        <v>200</v>
      </c>
      <c r="DM182" s="2" t="s">
        <v>200</v>
      </c>
      <c r="DN182" s="2">
        <v>0</v>
      </c>
      <c r="DO182" s="2">
        <v>0</v>
      </c>
      <c r="DP182" s="2">
        <v>1</v>
      </c>
      <c r="DQ182" s="2">
        <v>1</v>
      </c>
      <c r="DR182" s="2"/>
      <c r="DS182" s="2"/>
      <c r="DT182" s="2"/>
      <c r="DU182" s="2">
        <v>1013</v>
      </c>
      <c r="DV182" s="2" t="s">
        <v>107</v>
      </c>
      <c r="DW182" s="2" t="s">
        <v>107</v>
      </c>
      <c r="DX182" s="2">
        <v>1</v>
      </c>
      <c r="DY182" s="2"/>
      <c r="DZ182" s="2" t="s">
        <v>3</v>
      </c>
      <c r="EA182" s="2" t="s">
        <v>3</v>
      </c>
      <c r="EB182" s="2" t="s">
        <v>3</v>
      </c>
      <c r="EC182" s="2" t="s">
        <v>3</v>
      </c>
      <c r="ED182" s="2"/>
      <c r="EE182" s="2">
        <v>126051900</v>
      </c>
      <c r="EF182" s="2">
        <v>60</v>
      </c>
      <c r="EG182" s="2" t="s">
        <v>150</v>
      </c>
      <c r="EH182" s="2">
        <v>0</v>
      </c>
      <c r="EI182" s="2" t="s">
        <v>3</v>
      </c>
      <c r="EJ182" s="2">
        <v>1</v>
      </c>
      <c r="EK182" s="2">
        <v>439</v>
      </c>
      <c r="EL182" s="2" t="s">
        <v>187</v>
      </c>
      <c r="EM182" s="2" t="s">
        <v>188</v>
      </c>
      <c r="EN182" s="2"/>
      <c r="EO182" s="2" t="s">
        <v>3</v>
      </c>
      <c r="EP182" s="2"/>
      <c r="EQ182" s="2">
        <v>131072</v>
      </c>
      <c r="ER182" s="2">
        <v>33.54</v>
      </c>
      <c r="ES182" s="2">
        <v>0</v>
      </c>
      <c r="ET182" s="2">
        <v>0</v>
      </c>
      <c r="EU182" s="2">
        <v>0</v>
      </c>
      <c r="EV182" s="2">
        <v>33.54</v>
      </c>
      <c r="EW182" s="2">
        <v>3</v>
      </c>
      <c r="EX182" s="2">
        <v>0</v>
      </c>
      <c r="EY182" s="2">
        <v>0</v>
      </c>
      <c r="EZ182" s="2"/>
      <c r="FA182" s="2"/>
      <c r="FB182" s="2"/>
      <c r="FC182" s="2"/>
      <c r="FD182" s="2"/>
      <c r="FE182" s="2"/>
      <c r="FF182" s="2"/>
      <c r="FG182" s="2"/>
      <c r="FH182" s="2"/>
      <c r="FI182" s="2"/>
      <c r="FJ182" s="2"/>
      <c r="FK182" s="2"/>
      <c r="FL182" s="2"/>
      <c r="FM182" s="2"/>
      <c r="FN182" s="2"/>
      <c r="FO182" s="2"/>
      <c r="FP182" s="2"/>
      <c r="FQ182" s="2">
        <v>0</v>
      </c>
      <c r="FR182" s="2">
        <f t="shared" si="108"/>
        <v>0</v>
      </c>
      <c r="FS182" s="2">
        <v>0</v>
      </c>
      <c r="FT182" s="2"/>
      <c r="FU182" s="2"/>
      <c r="FV182" s="2"/>
      <c r="FW182" s="2"/>
      <c r="FX182" s="2">
        <v>320</v>
      </c>
      <c r="FY182" s="2">
        <v>220</v>
      </c>
      <c r="FZ182" s="2"/>
      <c r="GA182" s="2" t="s">
        <v>3</v>
      </c>
      <c r="GB182" s="2"/>
      <c r="GC182" s="2"/>
      <c r="GD182" s="2">
        <v>0</v>
      </c>
      <c r="GE182" s="2"/>
      <c r="GF182" s="2">
        <v>1559874590</v>
      </c>
      <c r="GG182" s="2">
        <v>2</v>
      </c>
      <c r="GH182" s="2">
        <v>1</v>
      </c>
      <c r="GI182" s="2">
        <v>-2</v>
      </c>
      <c r="GJ182" s="2">
        <v>0</v>
      </c>
      <c r="GK182" s="2">
        <f>ROUND(R182*(R12)/100,2)</f>
        <v>0</v>
      </c>
      <c r="GL182" s="2">
        <f t="shared" si="109"/>
        <v>0</v>
      </c>
      <c r="GM182" s="2">
        <f t="shared" si="110"/>
        <v>17.98</v>
      </c>
      <c r="GN182" s="2">
        <f t="shared" si="111"/>
        <v>17.98</v>
      </c>
      <c r="GO182" s="2">
        <f t="shared" si="112"/>
        <v>0</v>
      </c>
      <c r="GP182" s="2">
        <f t="shared" si="113"/>
        <v>0</v>
      </c>
      <c r="GQ182" s="2"/>
      <c r="GR182" s="2">
        <v>0</v>
      </c>
      <c r="GS182" s="2">
        <v>0</v>
      </c>
      <c r="GT182" s="2">
        <v>0</v>
      </c>
      <c r="GU182" s="2" t="s">
        <v>200</v>
      </c>
      <c r="GV182" s="2">
        <f>ROUND(((GT182*4)),6)</f>
        <v>0</v>
      </c>
      <c r="GW182" s="2">
        <v>1</v>
      </c>
      <c r="GX182" s="2">
        <f t="shared" si="115"/>
        <v>0</v>
      </c>
      <c r="GY182" s="2"/>
      <c r="GZ182" s="2"/>
      <c r="HA182" s="2">
        <v>0</v>
      </c>
      <c r="HB182" s="2">
        <v>0</v>
      </c>
      <c r="HC182" s="2">
        <f t="shared" si="116"/>
        <v>0</v>
      </c>
      <c r="HD182" s="2"/>
      <c r="HE182" s="2" t="s">
        <v>3</v>
      </c>
      <c r="HF182" s="2" t="s">
        <v>3</v>
      </c>
      <c r="HG182" s="2"/>
      <c r="HH182" s="2"/>
      <c r="HI182" s="2"/>
      <c r="HJ182" s="2"/>
      <c r="HK182" s="2"/>
      <c r="HL182" s="2"/>
      <c r="HM182" s="2" t="s">
        <v>3</v>
      </c>
      <c r="HN182" s="2" t="s">
        <v>3</v>
      </c>
      <c r="HO182" s="2" t="s">
        <v>3</v>
      </c>
      <c r="HP182" s="2" t="s">
        <v>3</v>
      </c>
      <c r="HQ182" s="2" t="s">
        <v>3</v>
      </c>
      <c r="HR182" s="2"/>
      <c r="HS182" s="2"/>
      <c r="HT182" s="2"/>
      <c r="HU182" s="2"/>
      <c r="HV182" s="2"/>
      <c r="HW182" s="2"/>
      <c r="HX182" s="2"/>
      <c r="HY182" s="2"/>
      <c r="HZ182" s="2"/>
      <c r="IA182" s="2"/>
      <c r="IB182" s="2"/>
      <c r="IC182" s="2"/>
      <c r="ID182" s="2"/>
      <c r="IE182" s="2"/>
      <c r="IF182" s="2"/>
      <c r="IG182" s="2"/>
      <c r="IH182" s="2"/>
      <c r="II182" s="2"/>
      <c r="IJ182" s="2"/>
      <c r="IK182" s="2">
        <v>0</v>
      </c>
      <c r="IL182" s="2"/>
      <c r="IM182" s="2"/>
      <c r="IN182" s="2"/>
      <c r="IO182" s="2"/>
      <c r="IP182" s="2"/>
      <c r="IQ182" s="2"/>
      <c r="IR182" s="2"/>
      <c r="IS182" s="2"/>
      <c r="IT182" s="2"/>
      <c r="IU182" s="2"/>
    </row>
    <row r="183" spans="1:255" x14ac:dyDescent="0.2">
      <c r="A183">
        <v>17</v>
      </c>
      <c r="B183">
        <v>1</v>
      </c>
      <c r="C183">
        <f>ROW(SmtRes!A120)</f>
        <v>120</v>
      </c>
      <c r="D183">
        <f>ROW(EtalonRes!A126)</f>
        <v>126</v>
      </c>
      <c r="E183" t="s">
        <v>196</v>
      </c>
      <c r="F183" t="s">
        <v>197</v>
      </c>
      <c r="G183" t="s">
        <v>198</v>
      </c>
      <c r="H183" t="s">
        <v>107</v>
      </c>
      <c r="I183">
        <v>5.7000000000000002E-2</v>
      </c>
      <c r="J183">
        <v>0</v>
      </c>
      <c r="K183">
        <v>5.7000000000000002E-2</v>
      </c>
      <c r="O183">
        <f t="shared" si="87"/>
        <v>222.08</v>
      </c>
      <c r="P183">
        <f t="shared" si="88"/>
        <v>0</v>
      </c>
      <c r="Q183">
        <f>(ROUND((ROUND((((ET183*4))*AV183*I183),2)*BB183),2)+ROUND((ROUND(((AE183-((EU183*4)))*AV183*I183),2)*BS183),2))</f>
        <v>0</v>
      </c>
      <c r="R183">
        <f t="shared" si="89"/>
        <v>0</v>
      </c>
      <c r="S183">
        <f t="shared" si="90"/>
        <v>222.08</v>
      </c>
      <c r="T183">
        <f t="shared" si="91"/>
        <v>0</v>
      </c>
      <c r="U183">
        <f t="shared" si="92"/>
        <v>0.68400000000000005</v>
      </c>
      <c r="V183">
        <f t="shared" si="93"/>
        <v>0</v>
      </c>
      <c r="W183">
        <f t="shared" si="94"/>
        <v>0</v>
      </c>
      <c r="X183">
        <f t="shared" si="95"/>
        <v>155.46</v>
      </c>
      <c r="Y183">
        <f t="shared" si="96"/>
        <v>91.05</v>
      </c>
      <c r="AA183">
        <v>129761633</v>
      </c>
      <c r="AB183">
        <f t="shared" si="97"/>
        <v>134.16</v>
      </c>
      <c r="AC183">
        <f>ROUND(((ES183*4)),6)</f>
        <v>0</v>
      </c>
      <c r="AD183">
        <f>ROUND(((((ET183*4))-((EU183*4)))+AE183),6)</f>
        <v>0</v>
      </c>
      <c r="AE183">
        <f>ROUND(((EU183*4)),6)</f>
        <v>0</v>
      </c>
      <c r="AF183">
        <f>ROUND(((EV183*4)),6)</f>
        <v>134.16</v>
      </c>
      <c r="AG183">
        <f t="shared" si="98"/>
        <v>0</v>
      </c>
      <c r="AH183">
        <f>((EW183*4))</f>
        <v>12</v>
      </c>
      <c r="AI183">
        <f>((EX183*4))</f>
        <v>0</v>
      </c>
      <c r="AJ183">
        <f t="shared" si="99"/>
        <v>0</v>
      </c>
      <c r="AK183">
        <v>33.54</v>
      </c>
      <c r="AL183">
        <v>0</v>
      </c>
      <c r="AM183">
        <v>0</v>
      </c>
      <c r="AN183">
        <v>0</v>
      </c>
      <c r="AO183">
        <v>33.54</v>
      </c>
      <c r="AP183">
        <v>0</v>
      </c>
      <c r="AQ183">
        <v>3</v>
      </c>
      <c r="AR183">
        <v>0</v>
      </c>
      <c r="AS183">
        <v>0</v>
      </c>
      <c r="AT183">
        <v>70</v>
      </c>
      <c r="AU183">
        <v>41</v>
      </c>
      <c r="AV183">
        <v>1</v>
      </c>
      <c r="AW183">
        <v>1</v>
      </c>
      <c r="AZ183">
        <v>1</v>
      </c>
      <c r="BA183">
        <v>29.03</v>
      </c>
      <c r="BB183">
        <v>1</v>
      </c>
      <c r="BC183">
        <v>1</v>
      </c>
      <c r="BD183" t="s">
        <v>3</v>
      </c>
      <c r="BE183" t="s">
        <v>3</v>
      </c>
      <c r="BF183" t="s">
        <v>3</v>
      </c>
      <c r="BG183" t="s">
        <v>3</v>
      </c>
      <c r="BH183">
        <v>0</v>
      </c>
      <c r="BI183">
        <v>1</v>
      </c>
      <c r="BJ183" t="s">
        <v>199</v>
      </c>
      <c r="BM183">
        <v>439</v>
      </c>
      <c r="BN183">
        <v>0</v>
      </c>
      <c r="BO183" t="s">
        <v>197</v>
      </c>
      <c r="BP183">
        <v>1</v>
      </c>
      <c r="BQ183">
        <v>60</v>
      </c>
      <c r="BR183">
        <v>0</v>
      </c>
      <c r="BS183">
        <v>29.03</v>
      </c>
      <c r="BT183">
        <v>1</v>
      </c>
      <c r="BU183">
        <v>1</v>
      </c>
      <c r="BV183">
        <v>1</v>
      </c>
      <c r="BW183">
        <v>1</v>
      </c>
      <c r="BX183">
        <v>1</v>
      </c>
      <c r="BY183" t="s">
        <v>3</v>
      </c>
      <c r="BZ183">
        <v>70</v>
      </c>
      <c r="CA183">
        <v>41</v>
      </c>
      <c r="CB183" t="s">
        <v>3</v>
      </c>
      <c r="CE183">
        <v>30</v>
      </c>
      <c r="CF183">
        <v>0</v>
      </c>
      <c r="CG183">
        <v>0</v>
      </c>
      <c r="CM183">
        <v>0</v>
      </c>
      <c r="CN183" t="s">
        <v>3</v>
      </c>
      <c r="CO183">
        <v>0</v>
      </c>
      <c r="CP183">
        <f t="shared" si="100"/>
        <v>222.08</v>
      </c>
      <c r="CQ183">
        <f t="shared" si="101"/>
        <v>0</v>
      </c>
      <c r="CR183">
        <f>(ROUND((ROUND((((ET183*4))*AV183*1),2)*BB183),2)+ROUND((ROUND(((AE183-((EU183*4)))*AV183*1),2)*BS183),2))</f>
        <v>0</v>
      </c>
      <c r="CS183">
        <f t="shared" si="102"/>
        <v>0</v>
      </c>
      <c r="CT183">
        <f t="shared" si="103"/>
        <v>3894.66</v>
      </c>
      <c r="CU183">
        <f t="shared" si="104"/>
        <v>0</v>
      </c>
      <c r="CV183">
        <f t="shared" si="105"/>
        <v>12</v>
      </c>
      <c r="CW183">
        <f t="shared" si="106"/>
        <v>0</v>
      </c>
      <c r="CX183">
        <f t="shared" si="107"/>
        <v>0</v>
      </c>
      <c r="CY183">
        <f>S183*(BZ183/100)</f>
        <v>155.45599999999999</v>
      </c>
      <c r="CZ183">
        <f>S183*(CA183/100)</f>
        <v>91.052800000000005</v>
      </c>
      <c r="DC183" t="s">
        <v>3</v>
      </c>
      <c r="DD183" t="s">
        <v>200</v>
      </c>
      <c r="DE183" t="s">
        <v>200</v>
      </c>
      <c r="DF183" t="s">
        <v>200</v>
      </c>
      <c r="DG183" t="s">
        <v>200</v>
      </c>
      <c r="DH183" t="s">
        <v>3</v>
      </c>
      <c r="DI183" t="s">
        <v>200</v>
      </c>
      <c r="DJ183" t="s">
        <v>200</v>
      </c>
      <c r="DK183" t="s">
        <v>3</v>
      </c>
      <c r="DL183" t="s">
        <v>200</v>
      </c>
      <c r="DM183" t="s">
        <v>200</v>
      </c>
      <c r="DN183">
        <v>80</v>
      </c>
      <c r="DO183">
        <v>55</v>
      </c>
      <c r="DP183">
        <v>1</v>
      </c>
      <c r="DQ183">
        <v>1</v>
      </c>
      <c r="DU183">
        <v>1013</v>
      </c>
      <c r="DV183" t="s">
        <v>107</v>
      </c>
      <c r="DW183" t="s">
        <v>107</v>
      </c>
      <c r="DX183">
        <v>1</v>
      </c>
      <c r="DZ183" t="s">
        <v>3</v>
      </c>
      <c r="EA183" t="s">
        <v>3</v>
      </c>
      <c r="EB183" t="s">
        <v>3</v>
      </c>
      <c r="EC183" t="s">
        <v>3</v>
      </c>
      <c r="EE183">
        <v>126051900</v>
      </c>
      <c r="EF183">
        <v>60</v>
      </c>
      <c r="EG183" t="s">
        <v>150</v>
      </c>
      <c r="EH183">
        <v>0</v>
      </c>
      <c r="EI183" t="s">
        <v>3</v>
      </c>
      <c r="EJ183">
        <v>1</v>
      </c>
      <c r="EK183">
        <v>439</v>
      </c>
      <c r="EL183" t="s">
        <v>187</v>
      </c>
      <c r="EM183" t="s">
        <v>188</v>
      </c>
      <c r="EO183" t="s">
        <v>3</v>
      </c>
      <c r="EQ183">
        <v>131072</v>
      </c>
      <c r="ER183">
        <v>33.54</v>
      </c>
      <c r="ES183">
        <v>0</v>
      </c>
      <c r="ET183">
        <v>0</v>
      </c>
      <c r="EU183">
        <v>0</v>
      </c>
      <c r="EV183">
        <v>33.54</v>
      </c>
      <c r="EW183">
        <v>3</v>
      </c>
      <c r="EX183">
        <v>0</v>
      </c>
      <c r="EY183">
        <v>0</v>
      </c>
      <c r="FQ183">
        <v>0</v>
      </c>
      <c r="FR183">
        <f t="shared" si="108"/>
        <v>0</v>
      </c>
      <c r="FS183">
        <v>0</v>
      </c>
      <c r="FX183">
        <v>320</v>
      </c>
      <c r="FY183">
        <v>220</v>
      </c>
      <c r="GA183" t="s">
        <v>3</v>
      </c>
      <c r="GD183">
        <v>0</v>
      </c>
      <c r="GF183">
        <v>1559874590</v>
      </c>
      <c r="GG183">
        <v>2</v>
      </c>
      <c r="GH183">
        <v>1</v>
      </c>
      <c r="GI183">
        <v>2</v>
      </c>
      <c r="GJ183">
        <v>0</v>
      </c>
      <c r="GK183">
        <f>ROUND(R183*(S12)/100,2)</f>
        <v>0</v>
      </c>
      <c r="GL183">
        <f t="shared" si="109"/>
        <v>0</v>
      </c>
      <c r="GM183">
        <f t="shared" si="110"/>
        <v>468.59</v>
      </c>
      <c r="GN183">
        <f t="shared" si="111"/>
        <v>468.59</v>
      </c>
      <c r="GO183">
        <f t="shared" si="112"/>
        <v>0</v>
      </c>
      <c r="GP183">
        <f t="shared" si="113"/>
        <v>0</v>
      </c>
      <c r="GR183">
        <v>0</v>
      </c>
      <c r="GS183">
        <v>3</v>
      </c>
      <c r="GT183">
        <v>0</v>
      </c>
      <c r="GU183" t="s">
        <v>200</v>
      </c>
      <c r="GV183">
        <f>ROUND(((GT183*4)),6)</f>
        <v>0</v>
      </c>
      <c r="GW183">
        <v>1</v>
      </c>
      <c r="GX183">
        <f t="shared" si="115"/>
        <v>0</v>
      </c>
      <c r="HA183">
        <v>0</v>
      </c>
      <c r="HB183">
        <v>0</v>
      </c>
      <c r="HC183">
        <f t="shared" si="116"/>
        <v>0</v>
      </c>
      <c r="HE183" t="s">
        <v>3</v>
      </c>
      <c r="HF183" t="s">
        <v>3</v>
      </c>
      <c r="HM183" t="s">
        <v>3</v>
      </c>
      <c r="HN183" t="s">
        <v>3</v>
      </c>
      <c r="HO183" t="s">
        <v>3</v>
      </c>
      <c r="HP183" t="s">
        <v>3</v>
      </c>
      <c r="HQ183" t="s">
        <v>3</v>
      </c>
      <c r="IK183">
        <v>0</v>
      </c>
    </row>
    <row r="184" spans="1:255" x14ac:dyDescent="0.2">
      <c r="A184" s="2">
        <v>18</v>
      </c>
      <c r="B184" s="2">
        <v>1</v>
      </c>
      <c r="C184" s="2">
        <v>118</v>
      </c>
      <c r="D184" s="2"/>
      <c r="E184" s="2" t="s">
        <v>201</v>
      </c>
      <c r="F184" s="2" t="s">
        <v>162</v>
      </c>
      <c r="G184" s="2" t="s">
        <v>163</v>
      </c>
      <c r="H184" s="2" t="s">
        <v>114</v>
      </c>
      <c r="I184" s="2">
        <f>I182*J184</f>
        <v>-0.25080000000000002</v>
      </c>
      <c r="J184" s="2">
        <v>-4.4000000000000004</v>
      </c>
      <c r="K184" s="2">
        <v>-1.1000000000000001</v>
      </c>
      <c r="L184" s="2"/>
      <c r="M184" s="2"/>
      <c r="N184" s="2"/>
      <c r="O184" s="2">
        <f t="shared" si="87"/>
        <v>0</v>
      </c>
      <c r="P184" s="2">
        <f t="shared" si="88"/>
        <v>0</v>
      </c>
      <c r="Q184" s="2">
        <f t="shared" ref="Q184:Q191" si="131">(ROUND((ROUND(((ET184)*AV184*I184),2)*BB184),2)+ROUND((ROUND(((AE184-(EU184))*AV184*I184),2)*BS184),2))</f>
        <v>0</v>
      </c>
      <c r="R184" s="2">
        <f t="shared" si="89"/>
        <v>0</v>
      </c>
      <c r="S184" s="2">
        <f t="shared" si="90"/>
        <v>0</v>
      </c>
      <c r="T184" s="2">
        <f t="shared" si="91"/>
        <v>0</v>
      </c>
      <c r="U184" s="2">
        <f t="shared" si="92"/>
        <v>0</v>
      </c>
      <c r="V184" s="2">
        <f t="shared" si="93"/>
        <v>0</v>
      </c>
      <c r="W184" s="2">
        <f t="shared" si="94"/>
        <v>0</v>
      </c>
      <c r="X184" s="2">
        <f t="shared" si="95"/>
        <v>0</v>
      </c>
      <c r="Y184" s="2">
        <f t="shared" si="96"/>
        <v>0</v>
      </c>
      <c r="Z184" s="2"/>
      <c r="AA184" s="2">
        <v>129761636</v>
      </c>
      <c r="AB184" s="2">
        <f t="shared" si="97"/>
        <v>0</v>
      </c>
      <c r="AC184" s="2">
        <f t="shared" ref="AC184:AC191" si="132">ROUND((ES184),6)</f>
        <v>0</v>
      </c>
      <c r="AD184" s="2">
        <f t="shared" ref="AD184:AD191" si="133">ROUND((((ET184)-(EU184))+AE184),6)</f>
        <v>0</v>
      </c>
      <c r="AE184" s="2">
        <f t="shared" ref="AE184:AF187" si="134">ROUND((EU184),6)</f>
        <v>0</v>
      </c>
      <c r="AF184" s="2">
        <f t="shared" si="134"/>
        <v>0</v>
      </c>
      <c r="AG184" s="2">
        <f t="shared" si="98"/>
        <v>0</v>
      </c>
      <c r="AH184" s="2">
        <f t="shared" ref="AH184:AI187" si="135">(EW184)</f>
        <v>0</v>
      </c>
      <c r="AI184" s="2">
        <f t="shared" si="135"/>
        <v>0</v>
      </c>
      <c r="AJ184" s="2">
        <f t="shared" si="99"/>
        <v>0</v>
      </c>
      <c r="AK184" s="2">
        <v>0</v>
      </c>
      <c r="AL184" s="2">
        <v>0</v>
      </c>
      <c r="AM184" s="2">
        <v>0</v>
      </c>
      <c r="AN184" s="2">
        <v>0</v>
      </c>
      <c r="AO184" s="2">
        <v>0</v>
      </c>
      <c r="AP184" s="2">
        <v>0</v>
      </c>
      <c r="AQ184" s="2">
        <v>0</v>
      </c>
      <c r="AR184" s="2">
        <v>0</v>
      </c>
      <c r="AS184" s="2">
        <v>0</v>
      </c>
      <c r="AT184" s="2">
        <v>80</v>
      </c>
      <c r="AU184" s="2">
        <v>55</v>
      </c>
      <c r="AV184" s="2">
        <v>1</v>
      </c>
      <c r="AW184" s="2">
        <v>1</v>
      </c>
      <c r="AX184" s="2"/>
      <c r="AY184" s="2"/>
      <c r="AZ184" s="2">
        <v>1</v>
      </c>
      <c r="BA184" s="2">
        <v>1</v>
      </c>
      <c r="BB184" s="2">
        <v>1</v>
      </c>
      <c r="BC184" s="2">
        <v>1</v>
      </c>
      <c r="BD184" s="2" t="s">
        <v>3</v>
      </c>
      <c r="BE184" s="2" t="s">
        <v>3</v>
      </c>
      <c r="BF184" s="2" t="s">
        <v>3</v>
      </c>
      <c r="BG184" s="2" t="s">
        <v>3</v>
      </c>
      <c r="BH184" s="2">
        <v>3</v>
      </c>
      <c r="BI184" s="2">
        <v>1</v>
      </c>
      <c r="BJ184" s="2" t="s">
        <v>3</v>
      </c>
      <c r="BK184" s="2"/>
      <c r="BL184" s="2"/>
      <c r="BM184" s="2">
        <v>439</v>
      </c>
      <c r="BN184" s="2">
        <v>0</v>
      </c>
      <c r="BO184" s="2" t="s">
        <v>3</v>
      </c>
      <c r="BP184" s="2">
        <v>0</v>
      </c>
      <c r="BQ184" s="2">
        <v>60</v>
      </c>
      <c r="BR184" s="2">
        <v>1</v>
      </c>
      <c r="BS184" s="2">
        <v>1</v>
      </c>
      <c r="BT184" s="2">
        <v>1</v>
      </c>
      <c r="BU184" s="2">
        <v>1</v>
      </c>
      <c r="BV184" s="2">
        <v>1</v>
      </c>
      <c r="BW184" s="2">
        <v>1</v>
      </c>
      <c r="BX184" s="2">
        <v>1</v>
      </c>
      <c r="BY184" s="2" t="s">
        <v>3</v>
      </c>
      <c r="BZ184" s="2">
        <v>80</v>
      </c>
      <c r="CA184" s="2">
        <v>55</v>
      </c>
      <c r="CB184" s="2" t="s">
        <v>3</v>
      </c>
      <c r="CC184" s="2"/>
      <c r="CD184" s="2"/>
      <c r="CE184" s="2">
        <v>30</v>
      </c>
      <c r="CF184" s="2">
        <v>0</v>
      </c>
      <c r="CG184" s="2">
        <v>0</v>
      </c>
      <c r="CH184" s="2"/>
      <c r="CI184" s="2"/>
      <c r="CJ184" s="2"/>
      <c r="CK184" s="2"/>
      <c r="CL184" s="2"/>
      <c r="CM184" s="2">
        <v>0</v>
      </c>
      <c r="CN184" s="2" t="s">
        <v>3</v>
      </c>
      <c r="CO184" s="2">
        <v>0</v>
      </c>
      <c r="CP184" s="2">
        <f t="shared" si="100"/>
        <v>0</v>
      </c>
      <c r="CQ184" s="2">
        <f t="shared" si="101"/>
        <v>0</v>
      </c>
      <c r="CR184" s="2">
        <f t="shared" ref="CR184:CR191" si="136">(ROUND((ROUND(((ET184)*AV184*1),2)*BB184),2)+ROUND((ROUND(((AE184-(EU184))*AV184*1),2)*BS184),2))</f>
        <v>0</v>
      </c>
      <c r="CS184" s="2">
        <f t="shared" si="102"/>
        <v>0</v>
      </c>
      <c r="CT184" s="2">
        <f t="shared" si="103"/>
        <v>0</v>
      </c>
      <c r="CU184" s="2">
        <f t="shared" si="104"/>
        <v>0</v>
      </c>
      <c r="CV184" s="2">
        <f t="shared" si="105"/>
        <v>0</v>
      </c>
      <c r="CW184" s="2">
        <f t="shared" si="106"/>
        <v>0</v>
      </c>
      <c r="CX184" s="2">
        <f t="shared" si="107"/>
        <v>0</v>
      </c>
      <c r="CY184" s="2">
        <f>((S184*BZ184)/100)</f>
        <v>0</v>
      </c>
      <c r="CZ184" s="2">
        <f>((S184*CA184)/100)</f>
        <v>0</v>
      </c>
      <c r="DA184" s="2"/>
      <c r="DB184" s="2"/>
      <c r="DC184" s="2" t="s">
        <v>3</v>
      </c>
      <c r="DD184" s="2" t="s">
        <v>3</v>
      </c>
      <c r="DE184" s="2" t="s">
        <v>3</v>
      </c>
      <c r="DF184" s="2" t="s">
        <v>3</v>
      </c>
      <c r="DG184" s="2" t="s">
        <v>3</v>
      </c>
      <c r="DH184" s="2" t="s">
        <v>3</v>
      </c>
      <c r="DI184" s="2" t="s">
        <v>3</v>
      </c>
      <c r="DJ184" s="2" t="s">
        <v>3</v>
      </c>
      <c r="DK184" s="2" t="s">
        <v>3</v>
      </c>
      <c r="DL184" s="2" t="s">
        <v>3</v>
      </c>
      <c r="DM184" s="2" t="s">
        <v>3</v>
      </c>
      <c r="DN184" s="2">
        <v>0</v>
      </c>
      <c r="DO184" s="2">
        <v>0</v>
      </c>
      <c r="DP184" s="2">
        <v>1</v>
      </c>
      <c r="DQ184" s="2">
        <v>1</v>
      </c>
      <c r="DR184" s="2"/>
      <c r="DS184" s="2"/>
      <c r="DT184" s="2"/>
      <c r="DU184" s="2">
        <v>1009</v>
      </c>
      <c r="DV184" s="2" t="s">
        <v>114</v>
      </c>
      <c r="DW184" s="2" t="s">
        <v>114</v>
      </c>
      <c r="DX184" s="2">
        <v>1000</v>
      </c>
      <c r="DY184" s="2"/>
      <c r="DZ184" s="2" t="s">
        <v>3</v>
      </c>
      <c r="EA184" s="2" t="s">
        <v>3</v>
      </c>
      <c r="EB184" s="2" t="s">
        <v>3</v>
      </c>
      <c r="EC184" s="2" t="s">
        <v>3</v>
      </c>
      <c r="ED184" s="2"/>
      <c r="EE184" s="2">
        <v>126051900</v>
      </c>
      <c r="EF184" s="2">
        <v>60</v>
      </c>
      <c r="EG184" s="2" t="s">
        <v>150</v>
      </c>
      <c r="EH184" s="2">
        <v>0</v>
      </c>
      <c r="EI184" s="2" t="s">
        <v>3</v>
      </c>
      <c r="EJ184" s="2">
        <v>1</v>
      </c>
      <c r="EK184" s="2">
        <v>439</v>
      </c>
      <c r="EL184" s="2" t="s">
        <v>187</v>
      </c>
      <c r="EM184" s="2" t="s">
        <v>188</v>
      </c>
      <c r="EN184" s="2"/>
      <c r="EO184" s="2" t="s">
        <v>3</v>
      </c>
      <c r="EP184" s="2"/>
      <c r="EQ184" s="2">
        <v>0</v>
      </c>
      <c r="ER184" s="2">
        <v>0</v>
      </c>
      <c r="ES184" s="2">
        <v>0</v>
      </c>
      <c r="ET184" s="2">
        <v>0</v>
      </c>
      <c r="EU184" s="2">
        <v>0</v>
      </c>
      <c r="EV184" s="2">
        <v>0</v>
      </c>
      <c r="EW184" s="2">
        <v>0</v>
      </c>
      <c r="EX184" s="2">
        <v>0</v>
      </c>
      <c r="EY184" s="2"/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>
        <v>0</v>
      </c>
      <c r="FR184" s="2">
        <f t="shared" si="108"/>
        <v>0</v>
      </c>
      <c r="FS184" s="2">
        <v>0</v>
      </c>
      <c r="FT184" s="2"/>
      <c r="FU184" s="2"/>
      <c r="FV184" s="2"/>
      <c r="FW184" s="2"/>
      <c r="FX184" s="2">
        <v>80</v>
      </c>
      <c r="FY184" s="2">
        <v>55</v>
      </c>
      <c r="FZ184" s="2"/>
      <c r="GA184" s="2" t="s">
        <v>3</v>
      </c>
      <c r="GB184" s="2"/>
      <c r="GC184" s="2"/>
      <c r="GD184" s="2">
        <v>0</v>
      </c>
      <c r="GE184" s="2"/>
      <c r="GF184" s="2">
        <v>1489638031</v>
      </c>
      <c r="GG184" s="2">
        <v>2</v>
      </c>
      <c r="GH184" s="2">
        <v>1</v>
      </c>
      <c r="GI184" s="2">
        <v>-2</v>
      </c>
      <c r="GJ184" s="2">
        <v>0</v>
      </c>
      <c r="GK184" s="2">
        <f>ROUND(R184*(R12)/100,2)</f>
        <v>0</v>
      </c>
      <c r="GL184" s="2">
        <f t="shared" si="109"/>
        <v>0</v>
      </c>
      <c r="GM184" s="2">
        <f t="shared" si="110"/>
        <v>0</v>
      </c>
      <c r="GN184" s="2">
        <f t="shared" si="111"/>
        <v>0</v>
      </c>
      <c r="GO184" s="2">
        <f t="shared" si="112"/>
        <v>0</v>
      </c>
      <c r="GP184" s="2">
        <f t="shared" si="113"/>
        <v>0</v>
      </c>
      <c r="GQ184" s="2"/>
      <c r="GR184" s="2">
        <v>0</v>
      </c>
      <c r="GS184" s="2">
        <v>0</v>
      </c>
      <c r="GT184" s="2">
        <v>0</v>
      </c>
      <c r="GU184" s="2" t="s">
        <v>3</v>
      </c>
      <c r="GV184" s="2">
        <f t="shared" ref="GV184:GV191" si="137">ROUND((GT184),6)</f>
        <v>0</v>
      </c>
      <c r="GW184" s="2">
        <v>1</v>
      </c>
      <c r="GX184" s="2">
        <f t="shared" si="115"/>
        <v>0</v>
      </c>
      <c r="GY184" s="2"/>
      <c r="GZ184" s="2"/>
      <c r="HA184" s="2">
        <v>0</v>
      </c>
      <c r="HB184" s="2">
        <v>0</v>
      </c>
      <c r="HC184" s="2">
        <f t="shared" si="116"/>
        <v>0</v>
      </c>
      <c r="HD184" s="2"/>
      <c r="HE184" s="2" t="s">
        <v>3</v>
      </c>
      <c r="HF184" s="2" t="s">
        <v>3</v>
      </c>
      <c r="HG184" s="2"/>
      <c r="HH184" s="2"/>
      <c r="HI184" s="2"/>
      <c r="HJ184" s="2"/>
      <c r="HK184" s="2"/>
      <c r="HL184" s="2"/>
      <c r="HM184" s="2" t="s">
        <v>200</v>
      </c>
      <c r="HN184" s="2" t="s">
        <v>3</v>
      </c>
      <c r="HO184" s="2" t="s">
        <v>3</v>
      </c>
      <c r="HP184" s="2" t="s">
        <v>3</v>
      </c>
      <c r="HQ184" s="2" t="s">
        <v>3</v>
      </c>
      <c r="HR184" s="2"/>
      <c r="HS184" s="2"/>
      <c r="HT184" s="2"/>
      <c r="HU184" s="2"/>
      <c r="HV184" s="2"/>
      <c r="HW184" s="2"/>
      <c r="HX184" s="2"/>
      <c r="HY184" s="2"/>
      <c r="HZ184" s="2"/>
      <c r="IA184" s="2"/>
      <c r="IB184" s="2"/>
      <c r="IC184" s="2"/>
      <c r="ID184" s="2"/>
      <c r="IE184" s="2"/>
      <c r="IF184" s="2"/>
      <c r="IG184" s="2"/>
      <c r="IH184" s="2"/>
      <c r="II184" s="2"/>
      <c r="IJ184" s="2"/>
      <c r="IK184" s="2">
        <v>0</v>
      </c>
      <c r="IL184" s="2"/>
      <c r="IM184" s="2"/>
      <c r="IN184" s="2"/>
      <c r="IO184" s="2"/>
      <c r="IP184" s="2"/>
      <c r="IQ184" s="2"/>
      <c r="IR184" s="2"/>
      <c r="IS184" s="2"/>
      <c r="IT184" s="2"/>
      <c r="IU184" s="2"/>
    </row>
    <row r="185" spans="1:255" x14ac:dyDescent="0.2">
      <c r="A185">
        <v>18</v>
      </c>
      <c r="B185">
        <v>1</v>
      </c>
      <c r="C185">
        <v>120</v>
      </c>
      <c r="E185" t="s">
        <v>201</v>
      </c>
      <c r="F185" t="s">
        <v>162</v>
      </c>
      <c r="G185" t="s">
        <v>163</v>
      </c>
      <c r="H185" t="s">
        <v>114</v>
      </c>
      <c r="I185">
        <f>I183*J185</f>
        <v>-0.25080000000000002</v>
      </c>
      <c r="J185">
        <v>-4.4000000000000004</v>
      </c>
      <c r="K185">
        <v>-1.1000000000000001</v>
      </c>
      <c r="O185">
        <f t="shared" si="87"/>
        <v>0</v>
      </c>
      <c r="P185">
        <f t="shared" si="88"/>
        <v>0</v>
      </c>
      <c r="Q185">
        <f t="shared" si="131"/>
        <v>0</v>
      </c>
      <c r="R185">
        <f t="shared" si="89"/>
        <v>0</v>
      </c>
      <c r="S185">
        <f t="shared" si="90"/>
        <v>0</v>
      </c>
      <c r="T185">
        <f t="shared" si="91"/>
        <v>0</v>
      </c>
      <c r="U185">
        <f t="shared" si="92"/>
        <v>0</v>
      </c>
      <c r="V185">
        <f t="shared" si="93"/>
        <v>0</v>
      </c>
      <c r="W185">
        <f t="shared" si="94"/>
        <v>0</v>
      </c>
      <c r="X185">
        <f t="shared" si="95"/>
        <v>0</v>
      </c>
      <c r="Y185">
        <f t="shared" si="96"/>
        <v>0</v>
      </c>
      <c r="AA185">
        <v>129761633</v>
      </c>
      <c r="AB185">
        <f t="shared" si="97"/>
        <v>0</v>
      </c>
      <c r="AC185">
        <f t="shared" si="132"/>
        <v>0</v>
      </c>
      <c r="AD185">
        <f t="shared" si="133"/>
        <v>0</v>
      </c>
      <c r="AE185">
        <f t="shared" si="134"/>
        <v>0</v>
      </c>
      <c r="AF185">
        <f t="shared" si="134"/>
        <v>0</v>
      </c>
      <c r="AG185">
        <f t="shared" si="98"/>
        <v>0</v>
      </c>
      <c r="AH185">
        <f t="shared" si="135"/>
        <v>0</v>
      </c>
      <c r="AI185">
        <f t="shared" si="135"/>
        <v>0</v>
      </c>
      <c r="AJ185">
        <f t="shared" si="99"/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1</v>
      </c>
      <c r="AW185">
        <v>1</v>
      </c>
      <c r="AZ185">
        <v>1</v>
      </c>
      <c r="BA185">
        <v>1</v>
      </c>
      <c r="BB185">
        <v>1</v>
      </c>
      <c r="BC185">
        <v>8.65</v>
      </c>
      <c r="BD185" t="s">
        <v>3</v>
      </c>
      <c r="BE185" t="s">
        <v>3</v>
      </c>
      <c r="BF185" t="s">
        <v>3</v>
      </c>
      <c r="BG185" t="s">
        <v>3</v>
      </c>
      <c r="BH185">
        <v>3</v>
      </c>
      <c r="BI185">
        <v>1</v>
      </c>
      <c r="BJ185" t="s">
        <v>3</v>
      </c>
      <c r="BM185">
        <v>439</v>
      </c>
      <c r="BN185">
        <v>0</v>
      </c>
      <c r="BO185" t="s">
        <v>3</v>
      </c>
      <c r="BP185">
        <v>0</v>
      </c>
      <c r="BQ185">
        <v>60</v>
      </c>
      <c r="BR185">
        <v>1</v>
      </c>
      <c r="BS185">
        <v>1</v>
      </c>
      <c r="BT185">
        <v>1</v>
      </c>
      <c r="BU185">
        <v>1</v>
      </c>
      <c r="BV185">
        <v>1</v>
      </c>
      <c r="BW185">
        <v>1</v>
      </c>
      <c r="BX185">
        <v>1</v>
      </c>
      <c r="BY185" t="s">
        <v>3</v>
      </c>
      <c r="BZ185">
        <v>0</v>
      </c>
      <c r="CA185">
        <v>0</v>
      </c>
      <c r="CB185" t="s">
        <v>3</v>
      </c>
      <c r="CE185">
        <v>30</v>
      </c>
      <c r="CF185">
        <v>0</v>
      </c>
      <c r="CG185">
        <v>0</v>
      </c>
      <c r="CM185">
        <v>0</v>
      </c>
      <c r="CN185" t="s">
        <v>3</v>
      </c>
      <c r="CO185">
        <v>0</v>
      </c>
      <c r="CP185">
        <f t="shared" si="100"/>
        <v>0</v>
      </c>
      <c r="CQ185">
        <f t="shared" si="101"/>
        <v>0</v>
      </c>
      <c r="CR185">
        <f t="shared" si="136"/>
        <v>0</v>
      </c>
      <c r="CS185">
        <f t="shared" si="102"/>
        <v>0</v>
      </c>
      <c r="CT185">
        <f t="shared" si="103"/>
        <v>0</v>
      </c>
      <c r="CU185">
        <f t="shared" si="104"/>
        <v>0</v>
      </c>
      <c r="CV185">
        <f t="shared" si="105"/>
        <v>0</v>
      </c>
      <c r="CW185">
        <f t="shared" si="106"/>
        <v>0</v>
      </c>
      <c r="CX185">
        <f t="shared" si="107"/>
        <v>0</v>
      </c>
      <c r="CY185">
        <f>S185*(BZ185/100)</f>
        <v>0</v>
      </c>
      <c r="CZ185">
        <f>S185*(CA185/100)</f>
        <v>0</v>
      </c>
      <c r="DC185" t="s">
        <v>3</v>
      </c>
      <c r="DD185" t="s">
        <v>3</v>
      </c>
      <c r="DE185" t="s">
        <v>3</v>
      </c>
      <c r="DF185" t="s">
        <v>3</v>
      </c>
      <c r="DG185" t="s">
        <v>3</v>
      </c>
      <c r="DH185" t="s">
        <v>3</v>
      </c>
      <c r="DI185" t="s">
        <v>3</v>
      </c>
      <c r="DJ185" t="s">
        <v>3</v>
      </c>
      <c r="DK185" t="s">
        <v>3</v>
      </c>
      <c r="DL185" t="s">
        <v>3</v>
      </c>
      <c r="DM185" t="s">
        <v>3</v>
      </c>
      <c r="DN185">
        <v>80</v>
      </c>
      <c r="DO185">
        <v>55</v>
      </c>
      <c r="DP185">
        <v>1</v>
      </c>
      <c r="DQ185">
        <v>1</v>
      </c>
      <c r="DU185">
        <v>1009</v>
      </c>
      <c r="DV185" t="s">
        <v>114</v>
      </c>
      <c r="DW185" t="s">
        <v>114</v>
      </c>
      <c r="DX185">
        <v>1000</v>
      </c>
      <c r="DZ185" t="s">
        <v>3</v>
      </c>
      <c r="EA185" t="s">
        <v>3</v>
      </c>
      <c r="EB185" t="s">
        <v>3</v>
      </c>
      <c r="EC185" t="s">
        <v>3</v>
      </c>
      <c r="EE185">
        <v>126051900</v>
      </c>
      <c r="EF185">
        <v>60</v>
      </c>
      <c r="EG185" t="s">
        <v>150</v>
      </c>
      <c r="EH185">
        <v>0</v>
      </c>
      <c r="EI185" t="s">
        <v>3</v>
      </c>
      <c r="EJ185">
        <v>1</v>
      </c>
      <c r="EK185">
        <v>439</v>
      </c>
      <c r="EL185" t="s">
        <v>187</v>
      </c>
      <c r="EM185" t="s">
        <v>188</v>
      </c>
      <c r="EO185" t="s">
        <v>3</v>
      </c>
      <c r="EQ185">
        <v>0</v>
      </c>
      <c r="ER185">
        <v>0</v>
      </c>
      <c r="ES185">
        <v>0</v>
      </c>
      <c r="ET185">
        <v>0</v>
      </c>
      <c r="EU185">
        <v>0</v>
      </c>
      <c r="EV185">
        <v>0</v>
      </c>
      <c r="EW185">
        <v>0</v>
      </c>
      <c r="EX185">
        <v>0</v>
      </c>
      <c r="FQ185">
        <v>0</v>
      </c>
      <c r="FR185">
        <f t="shared" si="108"/>
        <v>0</v>
      </c>
      <c r="FS185">
        <v>0</v>
      </c>
      <c r="FX185">
        <v>80</v>
      </c>
      <c r="FY185">
        <v>55</v>
      </c>
      <c r="GA185" t="s">
        <v>3</v>
      </c>
      <c r="GD185">
        <v>0</v>
      </c>
      <c r="GF185">
        <v>1489638031</v>
      </c>
      <c r="GG185">
        <v>2</v>
      </c>
      <c r="GH185">
        <v>1</v>
      </c>
      <c r="GI185">
        <v>5</v>
      </c>
      <c r="GJ185">
        <v>0</v>
      </c>
      <c r="GK185">
        <f>ROUND(R185*(S12)/100,2)</f>
        <v>0</v>
      </c>
      <c r="GL185">
        <f t="shared" si="109"/>
        <v>0</v>
      </c>
      <c r="GM185">
        <f t="shared" si="110"/>
        <v>0</v>
      </c>
      <c r="GN185">
        <f t="shared" si="111"/>
        <v>0</v>
      </c>
      <c r="GO185">
        <f t="shared" si="112"/>
        <v>0</v>
      </c>
      <c r="GP185">
        <f t="shared" si="113"/>
        <v>0</v>
      </c>
      <c r="GR185">
        <v>0</v>
      </c>
      <c r="GS185">
        <v>3</v>
      </c>
      <c r="GT185">
        <v>0</v>
      </c>
      <c r="GU185" t="s">
        <v>3</v>
      </c>
      <c r="GV185">
        <f t="shared" si="137"/>
        <v>0</v>
      </c>
      <c r="GW185">
        <v>1</v>
      </c>
      <c r="GX185">
        <f t="shared" si="115"/>
        <v>0</v>
      </c>
      <c r="HA185">
        <v>0</v>
      </c>
      <c r="HB185">
        <v>0</v>
      </c>
      <c r="HC185">
        <f t="shared" si="116"/>
        <v>0</v>
      </c>
      <c r="HE185" t="s">
        <v>3</v>
      </c>
      <c r="HF185" t="s">
        <v>3</v>
      </c>
      <c r="HM185" t="s">
        <v>200</v>
      </c>
      <c r="HN185" t="s">
        <v>3</v>
      </c>
      <c r="HO185" t="s">
        <v>3</v>
      </c>
      <c r="HP185" t="s">
        <v>3</v>
      </c>
      <c r="HQ185" t="s">
        <v>3</v>
      </c>
      <c r="IK185">
        <v>0</v>
      </c>
    </row>
    <row r="186" spans="1:255" x14ac:dyDescent="0.2">
      <c r="A186" s="2">
        <v>17</v>
      </c>
      <c r="B186" s="2">
        <v>1</v>
      </c>
      <c r="C186" s="2">
        <f>ROW(SmtRes!A122)</f>
        <v>122</v>
      </c>
      <c r="D186" s="2">
        <f>ROW(EtalonRes!A128)</f>
        <v>128</v>
      </c>
      <c r="E186" s="2" t="s">
        <v>202</v>
      </c>
      <c r="F186" s="2" t="s">
        <v>203</v>
      </c>
      <c r="G186" s="2" t="s">
        <v>204</v>
      </c>
      <c r="H186" s="2" t="s">
        <v>205</v>
      </c>
      <c r="I186" s="2">
        <v>0.21099999999999999</v>
      </c>
      <c r="J186" s="2">
        <v>0</v>
      </c>
      <c r="K186" s="2">
        <v>0.21099999999999999</v>
      </c>
      <c r="L186" s="2"/>
      <c r="M186" s="2"/>
      <c r="N186" s="2"/>
      <c r="O186" s="2">
        <f t="shared" si="87"/>
        <v>164.93</v>
      </c>
      <c r="P186" s="2">
        <f t="shared" si="88"/>
        <v>0</v>
      </c>
      <c r="Q186" s="2">
        <f t="shared" si="131"/>
        <v>0</v>
      </c>
      <c r="R186" s="2">
        <f t="shared" si="89"/>
        <v>0</v>
      </c>
      <c r="S186" s="2">
        <f t="shared" si="90"/>
        <v>164.93</v>
      </c>
      <c r="T186" s="2">
        <f t="shared" si="91"/>
        <v>0</v>
      </c>
      <c r="U186" s="2">
        <f t="shared" si="92"/>
        <v>15.677299999999999</v>
      </c>
      <c r="V186" s="2">
        <f t="shared" si="93"/>
        <v>0</v>
      </c>
      <c r="W186" s="2">
        <f t="shared" si="94"/>
        <v>0</v>
      </c>
      <c r="X186" s="2">
        <f t="shared" si="95"/>
        <v>131.94</v>
      </c>
      <c r="Y186" s="2">
        <f t="shared" si="96"/>
        <v>90.71</v>
      </c>
      <c r="Z186" s="2"/>
      <c r="AA186" s="2">
        <v>129761636</v>
      </c>
      <c r="AB186" s="2">
        <f t="shared" si="97"/>
        <v>781.64</v>
      </c>
      <c r="AC186" s="2">
        <f t="shared" si="132"/>
        <v>0</v>
      </c>
      <c r="AD186" s="2">
        <f t="shared" si="133"/>
        <v>0</v>
      </c>
      <c r="AE186" s="2">
        <f t="shared" si="134"/>
        <v>0</v>
      </c>
      <c r="AF186" s="2">
        <f t="shared" si="134"/>
        <v>781.64</v>
      </c>
      <c r="AG186" s="2">
        <f t="shared" si="98"/>
        <v>0</v>
      </c>
      <c r="AH186" s="2">
        <f t="shared" si="135"/>
        <v>74.3</v>
      </c>
      <c r="AI186" s="2">
        <f t="shared" si="135"/>
        <v>0</v>
      </c>
      <c r="AJ186" s="2">
        <f t="shared" si="99"/>
        <v>0</v>
      </c>
      <c r="AK186" s="2">
        <v>781.64</v>
      </c>
      <c r="AL186" s="2">
        <v>0</v>
      </c>
      <c r="AM186" s="2">
        <v>0</v>
      </c>
      <c r="AN186" s="2">
        <v>0</v>
      </c>
      <c r="AO186" s="2">
        <v>781.64</v>
      </c>
      <c r="AP186" s="2">
        <v>0</v>
      </c>
      <c r="AQ186" s="2">
        <v>74.3</v>
      </c>
      <c r="AR186" s="2">
        <v>0</v>
      </c>
      <c r="AS186" s="2">
        <v>0</v>
      </c>
      <c r="AT186" s="2">
        <v>80</v>
      </c>
      <c r="AU186" s="2">
        <v>55</v>
      </c>
      <c r="AV186" s="2">
        <v>1</v>
      </c>
      <c r="AW186" s="2">
        <v>1</v>
      </c>
      <c r="AX186" s="2"/>
      <c r="AY186" s="2"/>
      <c r="AZ186" s="2">
        <v>1</v>
      </c>
      <c r="BA186" s="2">
        <v>1</v>
      </c>
      <c r="BB186" s="2">
        <v>1</v>
      </c>
      <c r="BC186" s="2">
        <v>1</v>
      </c>
      <c r="BD186" s="2" t="s">
        <v>3</v>
      </c>
      <c r="BE186" s="2" t="s">
        <v>3</v>
      </c>
      <c r="BF186" s="2" t="s">
        <v>3</v>
      </c>
      <c r="BG186" s="2" t="s">
        <v>3</v>
      </c>
      <c r="BH186" s="2">
        <v>0</v>
      </c>
      <c r="BI186" s="2">
        <v>1</v>
      </c>
      <c r="BJ186" s="2" t="s">
        <v>206</v>
      </c>
      <c r="BK186" s="2"/>
      <c r="BL186" s="2"/>
      <c r="BM186" s="2">
        <v>483</v>
      </c>
      <c r="BN186" s="2">
        <v>0</v>
      </c>
      <c r="BO186" s="2" t="s">
        <v>3</v>
      </c>
      <c r="BP186" s="2">
        <v>0</v>
      </c>
      <c r="BQ186" s="2">
        <v>60</v>
      </c>
      <c r="BR186" s="2">
        <v>0</v>
      </c>
      <c r="BS186" s="2">
        <v>1</v>
      </c>
      <c r="BT186" s="2">
        <v>1</v>
      </c>
      <c r="BU186" s="2">
        <v>1</v>
      </c>
      <c r="BV186" s="2">
        <v>1</v>
      </c>
      <c r="BW186" s="2">
        <v>1</v>
      </c>
      <c r="BX186" s="2">
        <v>1</v>
      </c>
      <c r="BY186" s="2" t="s">
        <v>3</v>
      </c>
      <c r="BZ186" s="2">
        <v>80</v>
      </c>
      <c r="CA186" s="2">
        <v>55</v>
      </c>
      <c r="CB186" s="2" t="s">
        <v>3</v>
      </c>
      <c r="CC186" s="2"/>
      <c r="CD186" s="2"/>
      <c r="CE186" s="2">
        <v>30</v>
      </c>
      <c r="CF186" s="2">
        <v>0</v>
      </c>
      <c r="CG186" s="2">
        <v>0</v>
      </c>
      <c r="CH186" s="2"/>
      <c r="CI186" s="2"/>
      <c r="CJ186" s="2"/>
      <c r="CK186" s="2"/>
      <c r="CL186" s="2"/>
      <c r="CM186" s="2">
        <v>0</v>
      </c>
      <c r="CN186" s="2" t="s">
        <v>3</v>
      </c>
      <c r="CO186" s="2">
        <v>0</v>
      </c>
      <c r="CP186" s="2">
        <f t="shared" si="100"/>
        <v>164.93</v>
      </c>
      <c r="CQ186" s="2">
        <f t="shared" si="101"/>
        <v>0</v>
      </c>
      <c r="CR186" s="2">
        <f t="shared" si="136"/>
        <v>0</v>
      </c>
      <c r="CS186" s="2">
        <f t="shared" si="102"/>
        <v>0</v>
      </c>
      <c r="CT186" s="2">
        <f t="shared" si="103"/>
        <v>781.64</v>
      </c>
      <c r="CU186" s="2">
        <f t="shared" si="104"/>
        <v>0</v>
      </c>
      <c r="CV186" s="2">
        <f t="shared" si="105"/>
        <v>74.3</v>
      </c>
      <c r="CW186" s="2">
        <f t="shared" si="106"/>
        <v>0</v>
      </c>
      <c r="CX186" s="2">
        <f t="shared" si="107"/>
        <v>0</v>
      </c>
      <c r="CY186" s="2">
        <f>((S186*BZ186)/100)</f>
        <v>131.94400000000002</v>
      </c>
      <c r="CZ186" s="2">
        <f>((S186*CA186)/100)</f>
        <v>90.711500000000001</v>
      </c>
      <c r="DA186" s="2"/>
      <c r="DB186" s="2"/>
      <c r="DC186" s="2" t="s">
        <v>3</v>
      </c>
      <c r="DD186" s="2" t="s">
        <v>3</v>
      </c>
      <c r="DE186" s="2" t="s">
        <v>3</v>
      </c>
      <c r="DF186" s="2" t="s">
        <v>3</v>
      </c>
      <c r="DG186" s="2" t="s">
        <v>3</v>
      </c>
      <c r="DH186" s="2" t="s">
        <v>3</v>
      </c>
      <c r="DI186" s="2" t="s">
        <v>3</v>
      </c>
      <c r="DJ186" s="2" t="s">
        <v>3</v>
      </c>
      <c r="DK186" s="2" t="s">
        <v>3</v>
      </c>
      <c r="DL186" s="2" t="s">
        <v>3</v>
      </c>
      <c r="DM186" s="2" t="s">
        <v>3</v>
      </c>
      <c r="DN186" s="2">
        <v>0</v>
      </c>
      <c r="DO186" s="2">
        <v>0</v>
      </c>
      <c r="DP186" s="2">
        <v>1</v>
      </c>
      <c r="DQ186" s="2">
        <v>1</v>
      </c>
      <c r="DR186" s="2"/>
      <c r="DS186" s="2"/>
      <c r="DT186" s="2"/>
      <c r="DU186" s="2">
        <v>1013</v>
      </c>
      <c r="DV186" s="2" t="s">
        <v>205</v>
      </c>
      <c r="DW186" s="2" t="s">
        <v>205</v>
      </c>
      <c r="DX186" s="2">
        <v>1</v>
      </c>
      <c r="DY186" s="2"/>
      <c r="DZ186" s="2" t="s">
        <v>3</v>
      </c>
      <c r="EA186" s="2" t="s">
        <v>3</v>
      </c>
      <c r="EB186" s="2" t="s">
        <v>3</v>
      </c>
      <c r="EC186" s="2" t="s">
        <v>3</v>
      </c>
      <c r="ED186" s="2"/>
      <c r="EE186" s="2">
        <v>126051944</v>
      </c>
      <c r="EF186" s="2">
        <v>60</v>
      </c>
      <c r="EG186" s="2" t="s">
        <v>150</v>
      </c>
      <c r="EH186" s="2">
        <v>0</v>
      </c>
      <c r="EI186" s="2" t="s">
        <v>3</v>
      </c>
      <c r="EJ186" s="2">
        <v>1</v>
      </c>
      <c r="EK186" s="2">
        <v>483</v>
      </c>
      <c r="EL186" s="2" t="s">
        <v>207</v>
      </c>
      <c r="EM186" s="2" t="s">
        <v>208</v>
      </c>
      <c r="EN186" s="2"/>
      <c r="EO186" s="2" t="s">
        <v>3</v>
      </c>
      <c r="EP186" s="2"/>
      <c r="EQ186" s="2">
        <v>131072</v>
      </c>
      <c r="ER186" s="2">
        <v>781.64</v>
      </c>
      <c r="ES186" s="2">
        <v>0</v>
      </c>
      <c r="ET186" s="2">
        <v>0</v>
      </c>
      <c r="EU186" s="2">
        <v>0</v>
      </c>
      <c r="EV186" s="2">
        <v>781.64</v>
      </c>
      <c r="EW186" s="2">
        <v>74.3</v>
      </c>
      <c r="EX186" s="2">
        <v>0</v>
      </c>
      <c r="EY186" s="2">
        <v>0</v>
      </c>
      <c r="EZ186" s="2"/>
      <c r="FA186" s="2"/>
      <c r="FB186" s="2"/>
      <c r="FC186" s="2"/>
      <c r="FD186" s="2"/>
      <c r="FE186" s="2"/>
      <c r="FF186" s="2"/>
      <c r="FG186" s="2"/>
      <c r="FH186" s="2"/>
      <c r="FI186" s="2"/>
      <c r="FJ186" s="2"/>
      <c r="FK186" s="2"/>
      <c r="FL186" s="2"/>
      <c r="FM186" s="2"/>
      <c r="FN186" s="2"/>
      <c r="FO186" s="2"/>
      <c r="FP186" s="2"/>
      <c r="FQ186" s="2">
        <v>0</v>
      </c>
      <c r="FR186" s="2">
        <f t="shared" si="108"/>
        <v>0</v>
      </c>
      <c r="FS186" s="2">
        <v>0</v>
      </c>
      <c r="FT186" s="2"/>
      <c r="FU186" s="2"/>
      <c r="FV186" s="2"/>
      <c r="FW186" s="2"/>
      <c r="FX186" s="2">
        <v>80</v>
      </c>
      <c r="FY186" s="2">
        <v>55</v>
      </c>
      <c r="FZ186" s="2"/>
      <c r="GA186" s="2" t="s">
        <v>3</v>
      </c>
      <c r="GB186" s="2"/>
      <c r="GC186" s="2"/>
      <c r="GD186" s="2">
        <v>0</v>
      </c>
      <c r="GE186" s="2"/>
      <c r="GF186" s="2">
        <v>1672536288</v>
      </c>
      <c r="GG186" s="2">
        <v>2</v>
      </c>
      <c r="GH186" s="2">
        <v>1</v>
      </c>
      <c r="GI186" s="2">
        <v>-2</v>
      </c>
      <c r="GJ186" s="2">
        <v>0</v>
      </c>
      <c r="GK186" s="2">
        <f>ROUND(R186*(R12)/100,2)</f>
        <v>0</v>
      </c>
      <c r="GL186" s="2">
        <f t="shared" si="109"/>
        <v>0</v>
      </c>
      <c r="GM186" s="2">
        <f t="shared" si="110"/>
        <v>387.58</v>
      </c>
      <c r="GN186" s="2">
        <f t="shared" si="111"/>
        <v>387.58</v>
      </c>
      <c r="GO186" s="2">
        <f t="shared" si="112"/>
        <v>0</v>
      </c>
      <c r="GP186" s="2">
        <f t="shared" si="113"/>
        <v>0</v>
      </c>
      <c r="GQ186" s="2"/>
      <c r="GR186" s="2">
        <v>0</v>
      </c>
      <c r="GS186" s="2">
        <v>0</v>
      </c>
      <c r="GT186" s="2">
        <v>0</v>
      </c>
      <c r="GU186" s="2" t="s">
        <v>3</v>
      </c>
      <c r="GV186" s="2">
        <f t="shared" si="137"/>
        <v>0</v>
      </c>
      <c r="GW186" s="2">
        <v>1</v>
      </c>
      <c r="GX186" s="2">
        <f t="shared" si="115"/>
        <v>0</v>
      </c>
      <c r="GY186" s="2"/>
      <c r="GZ186" s="2"/>
      <c r="HA186" s="2">
        <v>0</v>
      </c>
      <c r="HB186" s="2">
        <v>0</v>
      </c>
      <c r="HC186" s="2">
        <f t="shared" si="116"/>
        <v>0</v>
      </c>
      <c r="HD186" s="2"/>
      <c r="HE186" s="2" t="s">
        <v>3</v>
      </c>
      <c r="HF186" s="2" t="s">
        <v>3</v>
      </c>
      <c r="HG186" s="2"/>
      <c r="HH186" s="2"/>
      <c r="HI186" s="2"/>
      <c r="HJ186" s="2"/>
      <c r="HK186" s="2"/>
      <c r="HL186" s="2"/>
      <c r="HM186" s="2" t="s">
        <v>3</v>
      </c>
      <c r="HN186" s="2" t="s">
        <v>3</v>
      </c>
      <c r="HO186" s="2" t="s">
        <v>3</v>
      </c>
      <c r="HP186" s="2" t="s">
        <v>3</v>
      </c>
      <c r="HQ186" s="2" t="s">
        <v>3</v>
      </c>
      <c r="HR186" s="2"/>
      <c r="HS186" s="2"/>
      <c r="HT186" s="2"/>
      <c r="HU186" s="2"/>
      <c r="HV186" s="2"/>
      <c r="HW186" s="2"/>
      <c r="HX186" s="2"/>
      <c r="HY186" s="2"/>
      <c r="HZ186" s="2"/>
      <c r="IA186" s="2"/>
      <c r="IB186" s="2"/>
      <c r="IC186" s="2"/>
      <c r="ID186" s="2"/>
      <c r="IE186" s="2"/>
      <c r="IF186" s="2"/>
      <c r="IG186" s="2"/>
      <c r="IH186" s="2"/>
      <c r="II186" s="2"/>
      <c r="IJ186" s="2"/>
      <c r="IK186" s="2">
        <v>0</v>
      </c>
      <c r="IL186" s="2"/>
      <c r="IM186" s="2"/>
      <c r="IN186" s="2"/>
      <c r="IO186" s="2"/>
      <c r="IP186" s="2"/>
      <c r="IQ186" s="2"/>
      <c r="IR186" s="2"/>
      <c r="IS186" s="2"/>
      <c r="IT186" s="2"/>
      <c r="IU186" s="2"/>
    </row>
    <row r="187" spans="1:255" x14ac:dyDescent="0.2">
      <c r="A187">
        <v>17</v>
      </c>
      <c r="B187">
        <v>1</v>
      </c>
      <c r="C187">
        <f>ROW(SmtRes!A124)</f>
        <v>124</v>
      </c>
      <c r="D187">
        <f>ROW(EtalonRes!A130)</f>
        <v>130</v>
      </c>
      <c r="E187" t="s">
        <v>202</v>
      </c>
      <c r="F187" t="s">
        <v>203</v>
      </c>
      <c r="G187" t="s">
        <v>204</v>
      </c>
      <c r="H187" t="s">
        <v>205</v>
      </c>
      <c r="I187">
        <v>0.21099999999999999</v>
      </c>
      <c r="J187">
        <v>0</v>
      </c>
      <c r="K187">
        <v>0.21099999999999999</v>
      </c>
      <c r="O187">
        <f t="shared" si="87"/>
        <v>4787.92</v>
      </c>
      <c r="P187">
        <f t="shared" si="88"/>
        <v>0</v>
      </c>
      <c r="Q187">
        <f t="shared" si="131"/>
        <v>0</v>
      </c>
      <c r="R187">
        <f t="shared" si="89"/>
        <v>0</v>
      </c>
      <c r="S187">
        <f t="shared" si="90"/>
        <v>4787.92</v>
      </c>
      <c r="T187">
        <f t="shared" si="91"/>
        <v>0</v>
      </c>
      <c r="U187">
        <f t="shared" si="92"/>
        <v>15.677299999999999</v>
      </c>
      <c r="V187">
        <f t="shared" si="93"/>
        <v>0</v>
      </c>
      <c r="W187">
        <f t="shared" si="94"/>
        <v>0</v>
      </c>
      <c r="X187">
        <f t="shared" si="95"/>
        <v>3351.54</v>
      </c>
      <c r="Y187">
        <f t="shared" si="96"/>
        <v>1963.05</v>
      </c>
      <c r="AA187">
        <v>129761633</v>
      </c>
      <c r="AB187">
        <f t="shared" si="97"/>
        <v>781.64</v>
      </c>
      <c r="AC187">
        <f t="shared" si="132"/>
        <v>0</v>
      </c>
      <c r="AD187">
        <f t="shared" si="133"/>
        <v>0</v>
      </c>
      <c r="AE187">
        <f t="shared" si="134"/>
        <v>0</v>
      </c>
      <c r="AF187">
        <f t="shared" si="134"/>
        <v>781.64</v>
      </c>
      <c r="AG187">
        <f t="shared" si="98"/>
        <v>0</v>
      </c>
      <c r="AH187">
        <f t="shared" si="135"/>
        <v>74.3</v>
      </c>
      <c r="AI187">
        <f t="shared" si="135"/>
        <v>0</v>
      </c>
      <c r="AJ187">
        <f t="shared" si="99"/>
        <v>0</v>
      </c>
      <c r="AK187">
        <v>781.64</v>
      </c>
      <c r="AL187">
        <v>0</v>
      </c>
      <c r="AM187">
        <v>0</v>
      </c>
      <c r="AN187">
        <v>0</v>
      </c>
      <c r="AO187">
        <v>781.64</v>
      </c>
      <c r="AP187">
        <v>0</v>
      </c>
      <c r="AQ187">
        <v>74.3</v>
      </c>
      <c r="AR187">
        <v>0</v>
      </c>
      <c r="AS187">
        <v>0</v>
      </c>
      <c r="AT187">
        <v>70</v>
      </c>
      <c r="AU187">
        <v>41</v>
      </c>
      <c r="AV187">
        <v>1</v>
      </c>
      <c r="AW187">
        <v>1</v>
      </c>
      <c r="AZ187">
        <v>1</v>
      </c>
      <c r="BA187">
        <v>29.03</v>
      </c>
      <c r="BB187">
        <v>1</v>
      </c>
      <c r="BC187">
        <v>1</v>
      </c>
      <c r="BD187" t="s">
        <v>3</v>
      </c>
      <c r="BE187" t="s">
        <v>3</v>
      </c>
      <c r="BF187" t="s">
        <v>3</v>
      </c>
      <c r="BG187" t="s">
        <v>3</v>
      </c>
      <c r="BH187">
        <v>0</v>
      </c>
      <c r="BI187">
        <v>1</v>
      </c>
      <c r="BJ187" t="s">
        <v>206</v>
      </c>
      <c r="BM187">
        <v>483</v>
      </c>
      <c r="BN187">
        <v>0</v>
      </c>
      <c r="BO187" t="s">
        <v>203</v>
      </c>
      <c r="BP187">
        <v>1</v>
      </c>
      <c r="BQ187">
        <v>60</v>
      </c>
      <c r="BR187">
        <v>0</v>
      </c>
      <c r="BS187">
        <v>29.03</v>
      </c>
      <c r="BT187">
        <v>1</v>
      </c>
      <c r="BU187">
        <v>1</v>
      </c>
      <c r="BV187">
        <v>1</v>
      </c>
      <c r="BW187">
        <v>1</v>
      </c>
      <c r="BX187">
        <v>1</v>
      </c>
      <c r="BY187" t="s">
        <v>3</v>
      </c>
      <c r="BZ187">
        <v>70</v>
      </c>
      <c r="CA187">
        <v>41</v>
      </c>
      <c r="CB187" t="s">
        <v>3</v>
      </c>
      <c r="CE187">
        <v>30</v>
      </c>
      <c r="CF187">
        <v>0</v>
      </c>
      <c r="CG187">
        <v>0</v>
      </c>
      <c r="CM187">
        <v>0</v>
      </c>
      <c r="CN187" t="s">
        <v>3</v>
      </c>
      <c r="CO187">
        <v>0</v>
      </c>
      <c r="CP187">
        <f t="shared" si="100"/>
        <v>4787.92</v>
      </c>
      <c r="CQ187">
        <f t="shared" si="101"/>
        <v>0</v>
      </c>
      <c r="CR187">
        <f t="shared" si="136"/>
        <v>0</v>
      </c>
      <c r="CS187">
        <f t="shared" si="102"/>
        <v>0</v>
      </c>
      <c r="CT187">
        <f t="shared" si="103"/>
        <v>22691.01</v>
      </c>
      <c r="CU187">
        <f t="shared" si="104"/>
        <v>0</v>
      </c>
      <c r="CV187">
        <f t="shared" si="105"/>
        <v>74.3</v>
      </c>
      <c r="CW187">
        <f t="shared" si="106"/>
        <v>0</v>
      </c>
      <c r="CX187">
        <f t="shared" si="107"/>
        <v>0</v>
      </c>
      <c r="CY187">
        <f>S187*(BZ187/100)</f>
        <v>3351.5439999999999</v>
      </c>
      <c r="CZ187">
        <f>S187*(CA187/100)</f>
        <v>1963.0472</v>
      </c>
      <c r="DC187" t="s">
        <v>3</v>
      </c>
      <c r="DD187" t="s">
        <v>3</v>
      </c>
      <c r="DE187" t="s">
        <v>3</v>
      </c>
      <c r="DF187" t="s">
        <v>3</v>
      </c>
      <c r="DG187" t="s">
        <v>3</v>
      </c>
      <c r="DH187" t="s">
        <v>3</v>
      </c>
      <c r="DI187" t="s">
        <v>3</v>
      </c>
      <c r="DJ187" t="s">
        <v>3</v>
      </c>
      <c r="DK187" t="s">
        <v>3</v>
      </c>
      <c r="DL187" t="s">
        <v>3</v>
      </c>
      <c r="DM187" t="s">
        <v>3</v>
      </c>
      <c r="DN187">
        <v>80</v>
      </c>
      <c r="DO187">
        <v>55</v>
      </c>
      <c r="DP187">
        <v>1</v>
      </c>
      <c r="DQ187">
        <v>1</v>
      </c>
      <c r="DU187">
        <v>1013</v>
      </c>
      <c r="DV187" t="s">
        <v>205</v>
      </c>
      <c r="DW187" t="s">
        <v>205</v>
      </c>
      <c r="DX187">
        <v>1</v>
      </c>
      <c r="DZ187" t="s">
        <v>3</v>
      </c>
      <c r="EA187" t="s">
        <v>3</v>
      </c>
      <c r="EB187" t="s">
        <v>3</v>
      </c>
      <c r="EC187" t="s">
        <v>3</v>
      </c>
      <c r="EE187">
        <v>126051944</v>
      </c>
      <c r="EF187">
        <v>60</v>
      </c>
      <c r="EG187" t="s">
        <v>150</v>
      </c>
      <c r="EH187">
        <v>0</v>
      </c>
      <c r="EI187" t="s">
        <v>3</v>
      </c>
      <c r="EJ187">
        <v>1</v>
      </c>
      <c r="EK187">
        <v>483</v>
      </c>
      <c r="EL187" t="s">
        <v>207</v>
      </c>
      <c r="EM187" t="s">
        <v>208</v>
      </c>
      <c r="EO187" t="s">
        <v>3</v>
      </c>
      <c r="EQ187">
        <v>131072</v>
      </c>
      <c r="ER187">
        <v>781.64</v>
      </c>
      <c r="ES187">
        <v>0</v>
      </c>
      <c r="ET187">
        <v>0</v>
      </c>
      <c r="EU187">
        <v>0</v>
      </c>
      <c r="EV187">
        <v>781.64</v>
      </c>
      <c r="EW187">
        <v>74.3</v>
      </c>
      <c r="EX187">
        <v>0</v>
      </c>
      <c r="EY187">
        <v>0</v>
      </c>
      <c r="FQ187">
        <v>0</v>
      </c>
      <c r="FR187">
        <f t="shared" si="108"/>
        <v>0</v>
      </c>
      <c r="FS187">
        <v>0</v>
      </c>
      <c r="FX187">
        <v>80</v>
      </c>
      <c r="FY187">
        <v>55</v>
      </c>
      <c r="GA187" t="s">
        <v>3</v>
      </c>
      <c r="GD187">
        <v>0</v>
      </c>
      <c r="GF187">
        <v>1672536288</v>
      </c>
      <c r="GG187">
        <v>2</v>
      </c>
      <c r="GH187">
        <v>1</v>
      </c>
      <c r="GI187">
        <v>2</v>
      </c>
      <c r="GJ187">
        <v>0</v>
      </c>
      <c r="GK187">
        <f>ROUND(R187*(S12)/100,2)</f>
        <v>0</v>
      </c>
      <c r="GL187">
        <f t="shared" si="109"/>
        <v>0</v>
      </c>
      <c r="GM187">
        <f t="shared" si="110"/>
        <v>10102.51</v>
      </c>
      <c r="GN187">
        <f t="shared" si="111"/>
        <v>10102.51</v>
      </c>
      <c r="GO187">
        <f t="shared" si="112"/>
        <v>0</v>
      </c>
      <c r="GP187">
        <f t="shared" si="113"/>
        <v>0</v>
      </c>
      <c r="GR187">
        <v>0</v>
      </c>
      <c r="GS187">
        <v>3</v>
      </c>
      <c r="GT187">
        <v>0</v>
      </c>
      <c r="GU187" t="s">
        <v>3</v>
      </c>
      <c r="GV187">
        <f t="shared" si="137"/>
        <v>0</v>
      </c>
      <c r="GW187">
        <v>1</v>
      </c>
      <c r="GX187">
        <f t="shared" si="115"/>
        <v>0</v>
      </c>
      <c r="HA187">
        <v>0</v>
      </c>
      <c r="HB187">
        <v>0</v>
      </c>
      <c r="HC187">
        <f t="shared" si="116"/>
        <v>0</v>
      </c>
      <c r="HE187" t="s">
        <v>3</v>
      </c>
      <c r="HF187" t="s">
        <v>3</v>
      </c>
      <c r="HM187" t="s">
        <v>3</v>
      </c>
      <c r="HN187" t="s">
        <v>3</v>
      </c>
      <c r="HO187" t="s">
        <v>3</v>
      </c>
      <c r="HP187" t="s">
        <v>3</v>
      </c>
      <c r="HQ187" t="s">
        <v>3</v>
      </c>
      <c r="IK187">
        <v>0</v>
      </c>
    </row>
    <row r="188" spans="1:255" x14ac:dyDescent="0.2">
      <c r="A188" s="2">
        <v>18</v>
      </c>
      <c r="B188" s="2">
        <v>1</v>
      </c>
      <c r="C188" s="2">
        <v>122</v>
      </c>
      <c r="D188" s="2"/>
      <c r="E188" s="2" t="s">
        <v>209</v>
      </c>
      <c r="F188" s="2" t="s">
        <v>162</v>
      </c>
      <c r="G188" s="2" t="s">
        <v>163</v>
      </c>
      <c r="H188" s="2" t="s">
        <v>114</v>
      </c>
      <c r="I188" s="2">
        <f>I186*J188</f>
        <v>-0.93050999999999995</v>
      </c>
      <c r="J188" s="2">
        <v>-4.41</v>
      </c>
      <c r="K188" s="2">
        <v>-4.41</v>
      </c>
      <c r="L188" s="2"/>
      <c r="M188" s="2"/>
      <c r="N188" s="2"/>
      <c r="O188" s="2">
        <f t="shared" si="87"/>
        <v>0</v>
      </c>
      <c r="P188" s="2">
        <f t="shared" si="88"/>
        <v>0</v>
      </c>
      <c r="Q188" s="2">
        <f t="shared" si="131"/>
        <v>0</v>
      </c>
      <c r="R188" s="2">
        <f t="shared" si="89"/>
        <v>0</v>
      </c>
      <c r="S188" s="2">
        <f t="shared" si="90"/>
        <v>0</v>
      </c>
      <c r="T188" s="2">
        <f t="shared" si="91"/>
        <v>0</v>
      </c>
      <c r="U188" s="2">
        <f t="shared" si="92"/>
        <v>0</v>
      </c>
      <c r="V188" s="2">
        <f t="shared" si="93"/>
        <v>0</v>
      </c>
      <c r="W188" s="2">
        <f t="shared" si="94"/>
        <v>0</v>
      </c>
      <c r="X188" s="2">
        <f t="shared" si="95"/>
        <v>0</v>
      </c>
      <c r="Y188" s="2">
        <f t="shared" si="96"/>
        <v>0</v>
      </c>
      <c r="Z188" s="2"/>
      <c r="AA188" s="2">
        <v>129761636</v>
      </c>
      <c r="AB188" s="2">
        <f t="shared" si="97"/>
        <v>0</v>
      </c>
      <c r="AC188" s="2">
        <f t="shared" si="132"/>
        <v>0</v>
      </c>
      <c r="AD188" s="2">
        <f t="shared" si="133"/>
        <v>0</v>
      </c>
      <c r="AE188" s="2">
        <f>ROUND((EU188),6)</f>
        <v>0</v>
      </c>
      <c r="AF188" s="2">
        <f>ROUND(((EV188*0.5)),6)</f>
        <v>0</v>
      </c>
      <c r="AG188" s="2">
        <f t="shared" si="98"/>
        <v>0</v>
      </c>
      <c r="AH188" s="2">
        <f>((EW188*0.5))</f>
        <v>0</v>
      </c>
      <c r="AI188" s="2">
        <f>(EX188)</f>
        <v>0</v>
      </c>
      <c r="AJ188" s="2">
        <f t="shared" si="99"/>
        <v>0</v>
      </c>
      <c r="AK188" s="2">
        <v>0</v>
      </c>
      <c r="AL188" s="2">
        <v>0</v>
      </c>
      <c r="AM188" s="2">
        <v>0</v>
      </c>
      <c r="AN188" s="2">
        <v>0</v>
      </c>
      <c r="AO188" s="2">
        <v>0</v>
      </c>
      <c r="AP188" s="2">
        <v>0</v>
      </c>
      <c r="AQ188" s="2">
        <v>0</v>
      </c>
      <c r="AR188" s="2">
        <v>0</v>
      </c>
      <c r="AS188" s="2">
        <v>0</v>
      </c>
      <c r="AT188" s="2">
        <v>80</v>
      </c>
      <c r="AU188" s="2">
        <v>55</v>
      </c>
      <c r="AV188" s="2">
        <v>1</v>
      </c>
      <c r="AW188" s="2">
        <v>1</v>
      </c>
      <c r="AX188" s="2"/>
      <c r="AY188" s="2"/>
      <c r="AZ188" s="2">
        <v>1</v>
      </c>
      <c r="BA188" s="2">
        <v>1</v>
      </c>
      <c r="BB188" s="2">
        <v>1</v>
      </c>
      <c r="BC188" s="2">
        <v>1</v>
      </c>
      <c r="BD188" s="2" t="s">
        <v>3</v>
      </c>
      <c r="BE188" s="2" t="s">
        <v>3</v>
      </c>
      <c r="BF188" s="2" t="s">
        <v>3</v>
      </c>
      <c r="BG188" s="2" t="s">
        <v>3</v>
      </c>
      <c r="BH188" s="2">
        <v>3</v>
      </c>
      <c r="BI188" s="2">
        <v>1</v>
      </c>
      <c r="BJ188" s="2" t="s">
        <v>3</v>
      </c>
      <c r="BK188" s="2"/>
      <c r="BL188" s="2"/>
      <c r="BM188" s="2">
        <v>483</v>
      </c>
      <c r="BN188" s="2">
        <v>0</v>
      </c>
      <c r="BO188" s="2" t="s">
        <v>3</v>
      </c>
      <c r="BP188" s="2">
        <v>0</v>
      </c>
      <c r="BQ188" s="2">
        <v>60</v>
      </c>
      <c r="BR188" s="2">
        <v>1</v>
      </c>
      <c r="BS188" s="2">
        <v>1</v>
      </c>
      <c r="BT188" s="2">
        <v>1</v>
      </c>
      <c r="BU188" s="2">
        <v>1</v>
      </c>
      <c r="BV188" s="2">
        <v>1</v>
      </c>
      <c r="BW188" s="2">
        <v>1</v>
      </c>
      <c r="BX188" s="2">
        <v>1</v>
      </c>
      <c r="BY188" s="2" t="s">
        <v>3</v>
      </c>
      <c r="BZ188" s="2">
        <v>80</v>
      </c>
      <c r="CA188" s="2">
        <v>55</v>
      </c>
      <c r="CB188" s="2" t="s">
        <v>3</v>
      </c>
      <c r="CC188" s="2"/>
      <c r="CD188" s="2"/>
      <c r="CE188" s="2">
        <v>30</v>
      </c>
      <c r="CF188" s="2">
        <v>0</v>
      </c>
      <c r="CG188" s="2">
        <v>0</v>
      </c>
      <c r="CH188" s="2"/>
      <c r="CI188" s="2"/>
      <c r="CJ188" s="2"/>
      <c r="CK188" s="2"/>
      <c r="CL188" s="2"/>
      <c r="CM188" s="2">
        <v>0</v>
      </c>
      <c r="CN188" s="2" t="s">
        <v>210</v>
      </c>
      <c r="CO188" s="2">
        <v>0</v>
      </c>
      <c r="CP188" s="2">
        <f t="shared" si="100"/>
        <v>0</v>
      </c>
      <c r="CQ188" s="2">
        <f t="shared" si="101"/>
        <v>0</v>
      </c>
      <c r="CR188" s="2">
        <f t="shared" si="136"/>
        <v>0</v>
      </c>
      <c r="CS188" s="2">
        <f t="shared" si="102"/>
        <v>0</v>
      </c>
      <c r="CT188" s="2">
        <f t="shared" si="103"/>
        <v>0</v>
      </c>
      <c r="CU188" s="2">
        <f t="shared" si="104"/>
        <v>0</v>
      </c>
      <c r="CV188" s="2">
        <f t="shared" si="105"/>
        <v>0</v>
      </c>
      <c r="CW188" s="2">
        <f t="shared" si="106"/>
        <v>0</v>
      </c>
      <c r="CX188" s="2">
        <f t="shared" si="107"/>
        <v>0</v>
      </c>
      <c r="CY188" s="2">
        <f>((S188*BZ188)/100)</f>
        <v>0</v>
      </c>
      <c r="CZ188" s="2">
        <f>((S188*CA188)/100)</f>
        <v>0</v>
      </c>
      <c r="DA188" s="2"/>
      <c r="DB188" s="2"/>
      <c r="DC188" s="2" t="s">
        <v>3</v>
      </c>
      <c r="DD188" s="2" t="s">
        <v>3</v>
      </c>
      <c r="DE188" s="2" t="s">
        <v>3</v>
      </c>
      <c r="DF188" s="2" t="s">
        <v>3</v>
      </c>
      <c r="DG188" s="2" t="s">
        <v>186</v>
      </c>
      <c r="DH188" s="2" t="s">
        <v>3</v>
      </c>
      <c r="DI188" s="2" t="s">
        <v>186</v>
      </c>
      <c r="DJ188" s="2" t="s">
        <v>3</v>
      </c>
      <c r="DK188" s="2" t="s">
        <v>3</v>
      </c>
      <c r="DL188" s="2" t="s">
        <v>3</v>
      </c>
      <c r="DM188" s="2" t="s">
        <v>3</v>
      </c>
      <c r="DN188" s="2">
        <v>0</v>
      </c>
      <c r="DO188" s="2">
        <v>0</v>
      </c>
      <c r="DP188" s="2">
        <v>1</v>
      </c>
      <c r="DQ188" s="2">
        <v>1</v>
      </c>
      <c r="DR188" s="2"/>
      <c r="DS188" s="2"/>
      <c r="DT188" s="2"/>
      <c r="DU188" s="2">
        <v>1009</v>
      </c>
      <c r="DV188" s="2" t="s">
        <v>114</v>
      </c>
      <c r="DW188" s="2" t="s">
        <v>114</v>
      </c>
      <c r="DX188" s="2">
        <v>1000</v>
      </c>
      <c r="DY188" s="2"/>
      <c r="DZ188" s="2" t="s">
        <v>3</v>
      </c>
      <c r="EA188" s="2" t="s">
        <v>3</v>
      </c>
      <c r="EB188" s="2" t="s">
        <v>3</v>
      </c>
      <c r="EC188" s="2" t="s">
        <v>3</v>
      </c>
      <c r="ED188" s="2"/>
      <c r="EE188" s="2">
        <v>126051944</v>
      </c>
      <c r="EF188" s="2">
        <v>60</v>
      </c>
      <c r="EG188" s="2" t="s">
        <v>150</v>
      </c>
      <c r="EH188" s="2">
        <v>0</v>
      </c>
      <c r="EI188" s="2" t="s">
        <v>3</v>
      </c>
      <c r="EJ188" s="2">
        <v>1</v>
      </c>
      <c r="EK188" s="2">
        <v>483</v>
      </c>
      <c r="EL188" s="2" t="s">
        <v>207</v>
      </c>
      <c r="EM188" s="2" t="s">
        <v>208</v>
      </c>
      <c r="EN188" s="2"/>
      <c r="EO188" s="2" t="s">
        <v>211</v>
      </c>
      <c r="EP188" s="2"/>
      <c r="EQ188" s="2">
        <v>0</v>
      </c>
      <c r="ER188" s="2">
        <v>0</v>
      </c>
      <c r="ES188" s="2">
        <v>0</v>
      </c>
      <c r="ET188" s="2">
        <v>0</v>
      </c>
      <c r="EU188" s="2">
        <v>0</v>
      </c>
      <c r="EV188" s="2">
        <v>0</v>
      </c>
      <c r="EW188" s="2">
        <v>0</v>
      </c>
      <c r="EX188" s="2">
        <v>0</v>
      </c>
      <c r="EY188" s="2"/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2"/>
      <c r="FP188" s="2"/>
      <c r="FQ188" s="2">
        <v>0</v>
      </c>
      <c r="FR188" s="2">
        <f t="shared" si="108"/>
        <v>0</v>
      </c>
      <c r="FS188" s="2">
        <v>0</v>
      </c>
      <c r="FT188" s="2"/>
      <c r="FU188" s="2"/>
      <c r="FV188" s="2"/>
      <c r="FW188" s="2"/>
      <c r="FX188" s="2">
        <v>80</v>
      </c>
      <c r="FY188" s="2">
        <v>55</v>
      </c>
      <c r="FZ188" s="2"/>
      <c r="GA188" s="2" t="s">
        <v>3</v>
      </c>
      <c r="GB188" s="2"/>
      <c r="GC188" s="2"/>
      <c r="GD188" s="2">
        <v>0</v>
      </c>
      <c r="GE188" s="2"/>
      <c r="GF188" s="2">
        <v>1489638031</v>
      </c>
      <c r="GG188" s="2">
        <v>2</v>
      </c>
      <c r="GH188" s="2">
        <v>1</v>
      </c>
      <c r="GI188" s="2">
        <v>-2</v>
      </c>
      <c r="GJ188" s="2">
        <v>0</v>
      </c>
      <c r="GK188" s="2">
        <f>ROUND(R188*(R12)/100,2)</f>
        <v>0</v>
      </c>
      <c r="GL188" s="2">
        <f t="shared" si="109"/>
        <v>0</v>
      </c>
      <c r="GM188" s="2">
        <f t="shared" si="110"/>
        <v>0</v>
      </c>
      <c r="GN188" s="2">
        <f t="shared" si="111"/>
        <v>0</v>
      </c>
      <c r="GO188" s="2">
        <f t="shared" si="112"/>
        <v>0</v>
      </c>
      <c r="GP188" s="2">
        <f t="shared" si="113"/>
        <v>0</v>
      </c>
      <c r="GQ188" s="2"/>
      <c r="GR188" s="2">
        <v>0</v>
      </c>
      <c r="GS188" s="2">
        <v>0</v>
      </c>
      <c r="GT188" s="2">
        <v>0</v>
      </c>
      <c r="GU188" s="2" t="s">
        <v>3</v>
      </c>
      <c r="GV188" s="2">
        <f t="shared" si="137"/>
        <v>0</v>
      </c>
      <c r="GW188" s="2">
        <v>1</v>
      </c>
      <c r="GX188" s="2">
        <f t="shared" si="115"/>
        <v>0</v>
      </c>
      <c r="GY188" s="2"/>
      <c r="GZ188" s="2"/>
      <c r="HA188" s="2">
        <v>0</v>
      </c>
      <c r="HB188" s="2">
        <v>0</v>
      </c>
      <c r="HC188" s="2">
        <f t="shared" si="116"/>
        <v>0</v>
      </c>
      <c r="HD188" s="2"/>
      <c r="HE188" s="2" t="s">
        <v>3</v>
      </c>
      <c r="HF188" s="2" t="s">
        <v>3</v>
      </c>
      <c r="HG188" s="2"/>
      <c r="HH188" s="2"/>
      <c r="HI188" s="2"/>
      <c r="HJ188" s="2"/>
      <c r="HK188" s="2"/>
      <c r="HL188" s="2"/>
      <c r="HM188" s="2" t="s">
        <v>3</v>
      </c>
      <c r="HN188" s="2" t="s">
        <v>3</v>
      </c>
      <c r="HO188" s="2" t="s">
        <v>3</v>
      </c>
      <c r="HP188" s="2" t="s">
        <v>3</v>
      </c>
      <c r="HQ188" s="2" t="s">
        <v>3</v>
      </c>
      <c r="HR188" s="2"/>
      <c r="HS188" s="2"/>
      <c r="HT188" s="2"/>
      <c r="HU188" s="2"/>
      <c r="HV188" s="2"/>
      <c r="HW188" s="2"/>
      <c r="HX188" s="2"/>
      <c r="HY188" s="2"/>
      <c r="HZ188" s="2"/>
      <c r="IA188" s="2"/>
      <c r="IB188" s="2"/>
      <c r="IC188" s="2"/>
      <c r="ID188" s="2"/>
      <c r="IE188" s="2"/>
      <c r="IF188" s="2"/>
      <c r="IG188" s="2"/>
      <c r="IH188" s="2"/>
      <c r="II188" s="2"/>
      <c r="IJ188" s="2"/>
      <c r="IK188" s="2">
        <v>0</v>
      </c>
      <c r="IL188" s="2"/>
      <c r="IM188" s="2"/>
      <c r="IN188" s="2"/>
      <c r="IO188" s="2"/>
      <c r="IP188" s="2"/>
      <c r="IQ188" s="2"/>
      <c r="IR188" s="2"/>
      <c r="IS188" s="2"/>
      <c r="IT188" s="2"/>
      <c r="IU188" s="2"/>
    </row>
    <row r="189" spans="1:255" x14ac:dyDescent="0.2">
      <c r="A189">
        <v>18</v>
      </c>
      <c r="B189">
        <v>1</v>
      </c>
      <c r="C189">
        <v>124</v>
      </c>
      <c r="E189" t="s">
        <v>209</v>
      </c>
      <c r="F189" t="s">
        <v>162</v>
      </c>
      <c r="G189" t="s">
        <v>163</v>
      </c>
      <c r="H189" t="s">
        <v>114</v>
      </c>
      <c r="I189">
        <f>I187*J189</f>
        <v>-0.93050999999999995</v>
      </c>
      <c r="J189">
        <v>-4.41</v>
      </c>
      <c r="K189">
        <v>-4.41</v>
      </c>
      <c r="O189">
        <f t="shared" si="87"/>
        <v>0</v>
      </c>
      <c r="P189">
        <f t="shared" si="88"/>
        <v>0</v>
      </c>
      <c r="Q189">
        <f t="shared" si="131"/>
        <v>0</v>
      </c>
      <c r="R189">
        <f t="shared" si="89"/>
        <v>0</v>
      </c>
      <c r="S189">
        <f t="shared" si="90"/>
        <v>0</v>
      </c>
      <c r="T189">
        <f t="shared" si="91"/>
        <v>0</v>
      </c>
      <c r="U189">
        <f t="shared" si="92"/>
        <v>0</v>
      </c>
      <c r="V189">
        <f t="shared" si="93"/>
        <v>0</v>
      </c>
      <c r="W189">
        <f t="shared" si="94"/>
        <v>0</v>
      </c>
      <c r="X189">
        <f t="shared" si="95"/>
        <v>0</v>
      </c>
      <c r="Y189">
        <f t="shared" si="96"/>
        <v>0</v>
      </c>
      <c r="AA189">
        <v>129761633</v>
      </c>
      <c r="AB189">
        <f t="shared" si="97"/>
        <v>0</v>
      </c>
      <c r="AC189">
        <f t="shared" si="132"/>
        <v>0</v>
      </c>
      <c r="AD189">
        <f t="shared" si="133"/>
        <v>0</v>
      </c>
      <c r="AE189">
        <f>ROUND((EU189),6)</f>
        <v>0</v>
      </c>
      <c r="AF189">
        <f>ROUND(((EV189*0.5)),6)</f>
        <v>0</v>
      </c>
      <c r="AG189">
        <f t="shared" si="98"/>
        <v>0</v>
      </c>
      <c r="AH189">
        <f>((EW189*0.5))</f>
        <v>0</v>
      </c>
      <c r="AI189">
        <f>(EX189)</f>
        <v>0</v>
      </c>
      <c r="AJ189">
        <f t="shared" si="99"/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1</v>
      </c>
      <c r="AW189">
        <v>1</v>
      </c>
      <c r="AZ189">
        <v>1</v>
      </c>
      <c r="BA189">
        <v>1</v>
      </c>
      <c r="BB189">
        <v>1</v>
      </c>
      <c r="BC189">
        <v>8.65</v>
      </c>
      <c r="BD189" t="s">
        <v>3</v>
      </c>
      <c r="BE189" t="s">
        <v>3</v>
      </c>
      <c r="BF189" t="s">
        <v>3</v>
      </c>
      <c r="BG189" t="s">
        <v>3</v>
      </c>
      <c r="BH189">
        <v>3</v>
      </c>
      <c r="BI189">
        <v>1</v>
      </c>
      <c r="BJ189" t="s">
        <v>3</v>
      </c>
      <c r="BM189">
        <v>483</v>
      </c>
      <c r="BN189">
        <v>0</v>
      </c>
      <c r="BO189" t="s">
        <v>3</v>
      </c>
      <c r="BP189">
        <v>0</v>
      </c>
      <c r="BQ189">
        <v>60</v>
      </c>
      <c r="BR189">
        <v>1</v>
      </c>
      <c r="BS189">
        <v>1</v>
      </c>
      <c r="BT189">
        <v>1</v>
      </c>
      <c r="BU189">
        <v>1</v>
      </c>
      <c r="BV189">
        <v>1</v>
      </c>
      <c r="BW189">
        <v>1</v>
      </c>
      <c r="BX189">
        <v>1</v>
      </c>
      <c r="BY189" t="s">
        <v>3</v>
      </c>
      <c r="BZ189">
        <v>0</v>
      </c>
      <c r="CA189">
        <v>0</v>
      </c>
      <c r="CB189" t="s">
        <v>3</v>
      </c>
      <c r="CE189">
        <v>30</v>
      </c>
      <c r="CF189">
        <v>0</v>
      </c>
      <c r="CG189">
        <v>0</v>
      </c>
      <c r="CM189">
        <v>0</v>
      </c>
      <c r="CN189" t="s">
        <v>210</v>
      </c>
      <c r="CO189">
        <v>0</v>
      </c>
      <c r="CP189">
        <f t="shared" si="100"/>
        <v>0</v>
      </c>
      <c r="CQ189">
        <f t="shared" si="101"/>
        <v>0</v>
      </c>
      <c r="CR189">
        <f t="shared" si="136"/>
        <v>0</v>
      </c>
      <c r="CS189">
        <f t="shared" si="102"/>
        <v>0</v>
      </c>
      <c r="CT189">
        <f t="shared" si="103"/>
        <v>0</v>
      </c>
      <c r="CU189">
        <f t="shared" si="104"/>
        <v>0</v>
      </c>
      <c r="CV189">
        <f t="shared" si="105"/>
        <v>0</v>
      </c>
      <c r="CW189">
        <f t="shared" si="106"/>
        <v>0</v>
      </c>
      <c r="CX189">
        <f t="shared" si="107"/>
        <v>0</v>
      </c>
      <c r="CY189">
        <f>S189*(BZ189/100)</f>
        <v>0</v>
      </c>
      <c r="CZ189">
        <f>S189*(CA189/100)</f>
        <v>0</v>
      </c>
      <c r="DC189" t="s">
        <v>3</v>
      </c>
      <c r="DD189" t="s">
        <v>3</v>
      </c>
      <c r="DE189" t="s">
        <v>3</v>
      </c>
      <c r="DF189" t="s">
        <v>3</v>
      </c>
      <c r="DG189" t="s">
        <v>186</v>
      </c>
      <c r="DH189" t="s">
        <v>3</v>
      </c>
      <c r="DI189" t="s">
        <v>186</v>
      </c>
      <c r="DJ189" t="s">
        <v>3</v>
      </c>
      <c r="DK189" t="s">
        <v>3</v>
      </c>
      <c r="DL189" t="s">
        <v>3</v>
      </c>
      <c r="DM189" t="s">
        <v>3</v>
      </c>
      <c r="DN189">
        <v>80</v>
      </c>
      <c r="DO189">
        <v>55</v>
      </c>
      <c r="DP189">
        <v>1</v>
      </c>
      <c r="DQ189">
        <v>1</v>
      </c>
      <c r="DU189">
        <v>1009</v>
      </c>
      <c r="DV189" t="s">
        <v>114</v>
      </c>
      <c r="DW189" t="s">
        <v>114</v>
      </c>
      <c r="DX189">
        <v>1000</v>
      </c>
      <c r="DZ189" t="s">
        <v>3</v>
      </c>
      <c r="EA189" t="s">
        <v>3</v>
      </c>
      <c r="EB189" t="s">
        <v>3</v>
      </c>
      <c r="EC189" t="s">
        <v>3</v>
      </c>
      <c r="EE189">
        <v>126051944</v>
      </c>
      <c r="EF189">
        <v>60</v>
      </c>
      <c r="EG189" t="s">
        <v>150</v>
      </c>
      <c r="EH189">
        <v>0</v>
      </c>
      <c r="EI189" t="s">
        <v>3</v>
      </c>
      <c r="EJ189">
        <v>1</v>
      </c>
      <c r="EK189">
        <v>483</v>
      </c>
      <c r="EL189" t="s">
        <v>207</v>
      </c>
      <c r="EM189" t="s">
        <v>208</v>
      </c>
      <c r="EO189" t="s">
        <v>211</v>
      </c>
      <c r="EQ189">
        <v>0</v>
      </c>
      <c r="ER189">
        <v>0</v>
      </c>
      <c r="ES189">
        <v>0</v>
      </c>
      <c r="ET189">
        <v>0</v>
      </c>
      <c r="EU189">
        <v>0</v>
      </c>
      <c r="EV189">
        <v>0</v>
      </c>
      <c r="EW189">
        <v>0</v>
      </c>
      <c r="EX189">
        <v>0</v>
      </c>
      <c r="FQ189">
        <v>0</v>
      </c>
      <c r="FR189">
        <f t="shared" si="108"/>
        <v>0</v>
      </c>
      <c r="FS189">
        <v>0</v>
      </c>
      <c r="FX189">
        <v>80</v>
      </c>
      <c r="FY189">
        <v>55</v>
      </c>
      <c r="GA189" t="s">
        <v>3</v>
      </c>
      <c r="GD189">
        <v>0</v>
      </c>
      <c r="GF189">
        <v>1489638031</v>
      </c>
      <c r="GG189">
        <v>2</v>
      </c>
      <c r="GH189">
        <v>1</v>
      </c>
      <c r="GI189">
        <v>5</v>
      </c>
      <c r="GJ189">
        <v>0</v>
      </c>
      <c r="GK189">
        <f>ROUND(R189*(S12)/100,2)</f>
        <v>0</v>
      </c>
      <c r="GL189">
        <f t="shared" si="109"/>
        <v>0</v>
      </c>
      <c r="GM189">
        <f t="shared" si="110"/>
        <v>0</v>
      </c>
      <c r="GN189">
        <f t="shared" si="111"/>
        <v>0</v>
      </c>
      <c r="GO189">
        <f t="shared" si="112"/>
        <v>0</v>
      </c>
      <c r="GP189">
        <f t="shared" si="113"/>
        <v>0</v>
      </c>
      <c r="GR189">
        <v>0</v>
      </c>
      <c r="GS189">
        <v>3</v>
      </c>
      <c r="GT189">
        <v>0</v>
      </c>
      <c r="GU189" t="s">
        <v>3</v>
      </c>
      <c r="GV189">
        <f t="shared" si="137"/>
        <v>0</v>
      </c>
      <c r="GW189">
        <v>1</v>
      </c>
      <c r="GX189">
        <f t="shared" si="115"/>
        <v>0</v>
      </c>
      <c r="HA189">
        <v>0</v>
      </c>
      <c r="HB189">
        <v>0</v>
      </c>
      <c r="HC189">
        <f t="shared" si="116"/>
        <v>0</v>
      </c>
      <c r="HE189" t="s">
        <v>3</v>
      </c>
      <c r="HF189" t="s">
        <v>3</v>
      </c>
      <c r="HM189" t="s">
        <v>3</v>
      </c>
      <c r="HN189" t="s">
        <v>3</v>
      </c>
      <c r="HO189" t="s">
        <v>3</v>
      </c>
      <c r="HP189" t="s">
        <v>3</v>
      </c>
      <c r="HQ189" t="s">
        <v>3</v>
      </c>
      <c r="IK189">
        <v>0</v>
      </c>
    </row>
    <row r="190" spans="1:255" x14ac:dyDescent="0.2">
      <c r="A190" s="2">
        <v>17</v>
      </c>
      <c r="B190" s="2">
        <v>1</v>
      </c>
      <c r="C190" s="2">
        <f>ROW(SmtRes!A126)</f>
        <v>126</v>
      </c>
      <c r="D190" s="2">
        <f>ROW(EtalonRes!A132)</f>
        <v>132</v>
      </c>
      <c r="E190" s="2" t="s">
        <v>212</v>
      </c>
      <c r="F190" s="2" t="s">
        <v>213</v>
      </c>
      <c r="G190" s="2" t="s">
        <v>214</v>
      </c>
      <c r="H190" s="2" t="s">
        <v>148</v>
      </c>
      <c r="I190" s="2">
        <v>0.8</v>
      </c>
      <c r="J190" s="2">
        <v>0</v>
      </c>
      <c r="K190" s="2">
        <v>0.8</v>
      </c>
      <c r="L190" s="2"/>
      <c r="M190" s="2"/>
      <c r="N190" s="2"/>
      <c r="O190" s="2">
        <f t="shared" si="87"/>
        <v>532.67999999999995</v>
      </c>
      <c r="P190" s="2">
        <f t="shared" si="88"/>
        <v>0</v>
      </c>
      <c r="Q190" s="2">
        <f t="shared" si="131"/>
        <v>2</v>
      </c>
      <c r="R190" s="2">
        <f t="shared" si="89"/>
        <v>1.05</v>
      </c>
      <c r="S190" s="2">
        <f t="shared" si="90"/>
        <v>530.67999999999995</v>
      </c>
      <c r="T190" s="2">
        <f t="shared" si="91"/>
        <v>0</v>
      </c>
      <c r="U190" s="2">
        <f t="shared" si="92"/>
        <v>46.88</v>
      </c>
      <c r="V190" s="2">
        <f t="shared" si="93"/>
        <v>0</v>
      </c>
      <c r="W190" s="2">
        <f t="shared" si="94"/>
        <v>0</v>
      </c>
      <c r="X190" s="2">
        <f t="shared" si="95"/>
        <v>424.54</v>
      </c>
      <c r="Y190" s="2">
        <f t="shared" si="96"/>
        <v>291.87</v>
      </c>
      <c r="Z190" s="2"/>
      <c r="AA190" s="2">
        <v>129761636</v>
      </c>
      <c r="AB190" s="2">
        <f t="shared" si="97"/>
        <v>665.85</v>
      </c>
      <c r="AC190" s="2">
        <f t="shared" si="132"/>
        <v>0</v>
      </c>
      <c r="AD190" s="2">
        <f t="shared" si="133"/>
        <v>2.5</v>
      </c>
      <c r="AE190" s="2">
        <f>ROUND((EU190),6)</f>
        <v>1.31</v>
      </c>
      <c r="AF190" s="2">
        <f>ROUND((EV190),6)</f>
        <v>663.35</v>
      </c>
      <c r="AG190" s="2">
        <f t="shared" si="98"/>
        <v>0</v>
      </c>
      <c r="AH190" s="2">
        <f>(EW190)</f>
        <v>58.6</v>
      </c>
      <c r="AI190" s="2">
        <f>(EX190)</f>
        <v>0</v>
      </c>
      <c r="AJ190" s="2">
        <f t="shared" si="99"/>
        <v>0</v>
      </c>
      <c r="AK190" s="2">
        <v>665.85</v>
      </c>
      <c r="AL190" s="2">
        <v>0</v>
      </c>
      <c r="AM190" s="2">
        <v>2.5</v>
      </c>
      <c r="AN190" s="2">
        <v>1.31</v>
      </c>
      <c r="AO190" s="2">
        <v>663.35</v>
      </c>
      <c r="AP190" s="2">
        <v>0</v>
      </c>
      <c r="AQ190" s="2">
        <v>58.6</v>
      </c>
      <c r="AR190" s="2">
        <v>0</v>
      </c>
      <c r="AS190" s="2">
        <v>0</v>
      </c>
      <c r="AT190" s="2">
        <v>80</v>
      </c>
      <c r="AU190" s="2">
        <v>55</v>
      </c>
      <c r="AV190" s="2">
        <v>1</v>
      </c>
      <c r="AW190" s="2">
        <v>1</v>
      </c>
      <c r="AX190" s="2"/>
      <c r="AY190" s="2"/>
      <c r="AZ190" s="2">
        <v>1</v>
      </c>
      <c r="BA190" s="2">
        <v>1</v>
      </c>
      <c r="BB190" s="2">
        <v>1</v>
      </c>
      <c r="BC190" s="2">
        <v>1</v>
      </c>
      <c r="BD190" s="2" t="s">
        <v>3</v>
      </c>
      <c r="BE190" s="2" t="s">
        <v>3</v>
      </c>
      <c r="BF190" s="2" t="s">
        <v>3</v>
      </c>
      <c r="BG190" s="2" t="s">
        <v>3</v>
      </c>
      <c r="BH190" s="2">
        <v>0</v>
      </c>
      <c r="BI190" s="2">
        <v>1</v>
      </c>
      <c r="BJ190" s="2" t="s">
        <v>215</v>
      </c>
      <c r="BK190" s="2"/>
      <c r="BL190" s="2"/>
      <c r="BM190" s="2">
        <v>419</v>
      </c>
      <c r="BN190" s="2">
        <v>0</v>
      </c>
      <c r="BO190" s="2" t="s">
        <v>3</v>
      </c>
      <c r="BP190" s="2">
        <v>0</v>
      </c>
      <c r="BQ190" s="2">
        <v>60</v>
      </c>
      <c r="BR190" s="2">
        <v>0</v>
      </c>
      <c r="BS190" s="2">
        <v>1</v>
      </c>
      <c r="BT190" s="2">
        <v>1</v>
      </c>
      <c r="BU190" s="2">
        <v>1</v>
      </c>
      <c r="BV190" s="2">
        <v>1</v>
      </c>
      <c r="BW190" s="2">
        <v>1</v>
      </c>
      <c r="BX190" s="2">
        <v>1</v>
      </c>
      <c r="BY190" s="2" t="s">
        <v>3</v>
      </c>
      <c r="BZ190" s="2">
        <v>80</v>
      </c>
      <c r="CA190" s="2">
        <v>55</v>
      </c>
      <c r="CB190" s="2" t="s">
        <v>3</v>
      </c>
      <c r="CC190" s="2"/>
      <c r="CD190" s="2"/>
      <c r="CE190" s="2">
        <v>30</v>
      </c>
      <c r="CF190" s="2">
        <v>0</v>
      </c>
      <c r="CG190" s="2">
        <v>0</v>
      </c>
      <c r="CH190" s="2"/>
      <c r="CI190" s="2"/>
      <c r="CJ190" s="2"/>
      <c r="CK190" s="2"/>
      <c r="CL190" s="2"/>
      <c r="CM190" s="2">
        <v>0</v>
      </c>
      <c r="CN190" s="2" t="s">
        <v>3</v>
      </c>
      <c r="CO190" s="2">
        <v>0</v>
      </c>
      <c r="CP190" s="2">
        <f t="shared" si="100"/>
        <v>532.67999999999995</v>
      </c>
      <c r="CQ190" s="2">
        <f t="shared" si="101"/>
        <v>0</v>
      </c>
      <c r="CR190" s="2">
        <f t="shared" si="136"/>
        <v>2.5</v>
      </c>
      <c r="CS190" s="2">
        <f t="shared" si="102"/>
        <v>1.31</v>
      </c>
      <c r="CT190" s="2">
        <f t="shared" si="103"/>
        <v>663.35</v>
      </c>
      <c r="CU190" s="2">
        <f t="shared" si="104"/>
        <v>0</v>
      </c>
      <c r="CV190" s="2">
        <f t="shared" si="105"/>
        <v>58.6</v>
      </c>
      <c r="CW190" s="2">
        <f t="shared" si="106"/>
        <v>0</v>
      </c>
      <c r="CX190" s="2">
        <f t="shared" si="107"/>
        <v>0</v>
      </c>
      <c r="CY190" s="2">
        <f>((S190*BZ190)/100)</f>
        <v>424.54399999999993</v>
      </c>
      <c r="CZ190" s="2">
        <f>((S190*CA190)/100)</f>
        <v>291.87399999999997</v>
      </c>
      <c r="DA190" s="2"/>
      <c r="DB190" s="2"/>
      <c r="DC190" s="2" t="s">
        <v>3</v>
      </c>
      <c r="DD190" s="2" t="s">
        <v>3</v>
      </c>
      <c r="DE190" s="2" t="s">
        <v>3</v>
      </c>
      <c r="DF190" s="2" t="s">
        <v>3</v>
      </c>
      <c r="DG190" s="2" t="s">
        <v>3</v>
      </c>
      <c r="DH190" s="2" t="s">
        <v>3</v>
      </c>
      <c r="DI190" s="2" t="s">
        <v>3</v>
      </c>
      <c r="DJ190" s="2" t="s">
        <v>3</v>
      </c>
      <c r="DK190" s="2" t="s">
        <v>3</v>
      </c>
      <c r="DL190" s="2" t="s">
        <v>3</v>
      </c>
      <c r="DM190" s="2" t="s">
        <v>3</v>
      </c>
      <c r="DN190" s="2">
        <v>0</v>
      </c>
      <c r="DO190" s="2">
        <v>0</v>
      </c>
      <c r="DP190" s="2">
        <v>1</v>
      </c>
      <c r="DQ190" s="2">
        <v>1</v>
      </c>
      <c r="DR190" s="2"/>
      <c r="DS190" s="2"/>
      <c r="DT190" s="2"/>
      <c r="DU190" s="2">
        <v>1005</v>
      </c>
      <c r="DV190" s="2" t="s">
        <v>148</v>
      </c>
      <c r="DW190" s="2" t="s">
        <v>148</v>
      </c>
      <c r="DX190" s="2">
        <v>100</v>
      </c>
      <c r="DY190" s="2"/>
      <c r="DZ190" s="2" t="s">
        <v>3</v>
      </c>
      <c r="EA190" s="2" t="s">
        <v>3</v>
      </c>
      <c r="EB190" s="2" t="s">
        <v>3</v>
      </c>
      <c r="EC190" s="2" t="s">
        <v>3</v>
      </c>
      <c r="ED190" s="2"/>
      <c r="EE190" s="2">
        <v>126051880</v>
      </c>
      <c r="EF190" s="2">
        <v>60</v>
      </c>
      <c r="EG190" s="2" t="s">
        <v>150</v>
      </c>
      <c r="EH190" s="2">
        <v>0</v>
      </c>
      <c r="EI190" s="2" t="s">
        <v>3</v>
      </c>
      <c r="EJ190" s="2">
        <v>1</v>
      </c>
      <c r="EK190" s="2">
        <v>419</v>
      </c>
      <c r="EL190" s="2" t="s">
        <v>216</v>
      </c>
      <c r="EM190" s="2" t="s">
        <v>217</v>
      </c>
      <c r="EN190" s="2"/>
      <c r="EO190" s="2" t="s">
        <v>3</v>
      </c>
      <c r="EP190" s="2"/>
      <c r="EQ190" s="2">
        <v>131072</v>
      </c>
      <c r="ER190" s="2">
        <v>665.85</v>
      </c>
      <c r="ES190" s="2">
        <v>0</v>
      </c>
      <c r="ET190" s="2">
        <v>2.5</v>
      </c>
      <c r="EU190" s="2">
        <v>1.31</v>
      </c>
      <c r="EV190" s="2">
        <v>663.35</v>
      </c>
      <c r="EW190" s="2">
        <v>58.6</v>
      </c>
      <c r="EX190" s="2">
        <v>0</v>
      </c>
      <c r="EY190" s="2">
        <v>0</v>
      </c>
      <c r="EZ190" s="2"/>
      <c r="FA190" s="2"/>
      <c r="FB190" s="2"/>
      <c r="FC190" s="2"/>
      <c r="FD190" s="2"/>
      <c r="FE190" s="2"/>
      <c r="FF190" s="2"/>
      <c r="FG190" s="2"/>
      <c r="FH190" s="2"/>
      <c r="FI190" s="2"/>
      <c r="FJ190" s="2"/>
      <c r="FK190" s="2"/>
      <c r="FL190" s="2"/>
      <c r="FM190" s="2"/>
      <c r="FN190" s="2"/>
      <c r="FO190" s="2"/>
      <c r="FP190" s="2"/>
      <c r="FQ190" s="2">
        <v>0</v>
      </c>
      <c r="FR190" s="2">
        <f t="shared" si="108"/>
        <v>0</v>
      </c>
      <c r="FS190" s="2">
        <v>0</v>
      </c>
      <c r="FT190" s="2"/>
      <c r="FU190" s="2"/>
      <c r="FV190" s="2"/>
      <c r="FW190" s="2"/>
      <c r="FX190" s="2">
        <v>80</v>
      </c>
      <c r="FY190" s="2">
        <v>55</v>
      </c>
      <c r="FZ190" s="2"/>
      <c r="GA190" s="2" t="s">
        <v>3</v>
      </c>
      <c r="GB190" s="2"/>
      <c r="GC190" s="2"/>
      <c r="GD190" s="2">
        <v>0</v>
      </c>
      <c r="GE190" s="2"/>
      <c r="GF190" s="2">
        <v>180483449</v>
      </c>
      <c r="GG190" s="2">
        <v>2</v>
      </c>
      <c r="GH190" s="2">
        <v>1</v>
      </c>
      <c r="GI190" s="2">
        <v>-2</v>
      </c>
      <c r="GJ190" s="2">
        <v>0</v>
      </c>
      <c r="GK190" s="2">
        <f>ROUND(R190*(R12)/100,2)</f>
        <v>1.84</v>
      </c>
      <c r="GL190" s="2">
        <f t="shared" si="109"/>
        <v>0</v>
      </c>
      <c r="GM190" s="2">
        <f t="shared" si="110"/>
        <v>1250.93</v>
      </c>
      <c r="GN190" s="2">
        <f t="shared" si="111"/>
        <v>1250.93</v>
      </c>
      <c r="GO190" s="2">
        <f t="shared" si="112"/>
        <v>0</v>
      </c>
      <c r="GP190" s="2">
        <f t="shared" si="113"/>
        <v>0</v>
      </c>
      <c r="GQ190" s="2"/>
      <c r="GR190" s="2">
        <v>0</v>
      </c>
      <c r="GS190" s="2">
        <v>0</v>
      </c>
      <c r="GT190" s="2">
        <v>0</v>
      </c>
      <c r="GU190" s="2" t="s">
        <v>3</v>
      </c>
      <c r="GV190" s="2">
        <f t="shared" si="137"/>
        <v>0</v>
      </c>
      <c r="GW190" s="2">
        <v>1</v>
      </c>
      <c r="GX190" s="2">
        <f t="shared" si="115"/>
        <v>0</v>
      </c>
      <c r="GY190" s="2"/>
      <c r="GZ190" s="2"/>
      <c r="HA190" s="2">
        <v>0</v>
      </c>
      <c r="HB190" s="2">
        <v>0</v>
      </c>
      <c r="HC190" s="2">
        <f t="shared" si="116"/>
        <v>0</v>
      </c>
      <c r="HD190" s="2"/>
      <c r="HE190" s="2" t="s">
        <v>3</v>
      </c>
      <c r="HF190" s="2" t="s">
        <v>3</v>
      </c>
      <c r="HG190" s="2"/>
      <c r="HH190" s="2"/>
      <c r="HI190" s="2"/>
      <c r="HJ190" s="2"/>
      <c r="HK190" s="2"/>
      <c r="HL190" s="2"/>
      <c r="HM190" s="2" t="s">
        <v>3</v>
      </c>
      <c r="HN190" s="2" t="s">
        <v>3</v>
      </c>
      <c r="HO190" s="2" t="s">
        <v>3</v>
      </c>
      <c r="HP190" s="2" t="s">
        <v>3</v>
      </c>
      <c r="HQ190" s="2" t="s">
        <v>3</v>
      </c>
      <c r="HR190" s="2"/>
      <c r="HS190" s="2"/>
      <c r="HT190" s="2"/>
      <c r="HU190" s="2"/>
      <c r="HV190" s="2"/>
      <c r="HW190" s="2"/>
      <c r="HX190" s="2"/>
      <c r="HY190" s="2"/>
      <c r="HZ190" s="2"/>
      <c r="IA190" s="2"/>
      <c r="IB190" s="2"/>
      <c r="IC190" s="2"/>
      <c r="ID190" s="2"/>
      <c r="IE190" s="2"/>
      <c r="IF190" s="2"/>
      <c r="IG190" s="2"/>
      <c r="IH190" s="2"/>
      <c r="II190" s="2"/>
      <c r="IJ190" s="2"/>
      <c r="IK190" s="2">
        <v>0</v>
      </c>
      <c r="IL190" s="2"/>
      <c r="IM190" s="2"/>
      <c r="IN190" s="2"/>
      <c r="IO190" s="2"/>
      <c r="IP190" s="2"/>
      <c r="IQ190" s="2"/>
      <c r="IR190" s="2"/>
      <c r="IS190" s="2"/>
      <c r="IT190" s="2"/>
      <c r="IU190" s="2"/>
    </row>
    <row r="191" spans="1:255" x14ac:dyDescent="0.2">
      <c r="A191">
        <v>17</v>
      </c>
      <c r="B191">
        <v>1</v>
      </c>
      <c r="C191">
        <f>ROW(SmtRes!A128)</f>
        <v>128</v>
      </c>
      <c r="D191">
        <f>ROW(EtalonRes!A134)</f>
        <v>134</v>
      </c>
      <c r="E191" t="s">
        <v>212</v>
      </c>
      <c r="F191" t="s">
        <v>213</v>
      </c>
      <c r="G191" t="s">
        <v>214</v>
      </c>
      <c r="H191" t="s">
        <v>148</v>
      </c>
      <c r="I191">
        <v>0.8</v>
      </c>
      <c r="J191">
        <v>0</v>
      </c>
      <c r="K191">
        <v>0.8</v>
      </c>
      <c r="O191">
        <f t="shared" si="87"/>
        <v>15444.28</v>
      </c>
      <c r="P191">
        <f t="shared" si="88"/>
        <v>0</v>
      </c>
      <c r="Q191">
        <f t="shared" si="131"/>
        <v>38.64</v>
      </c>
      <c r="R191">
        <f t="shared" si="89"/>
        <v>30.48</v>
      </c>
      <c r="S191">
        <f t="shared" si="90"/>
        <v>15405.64</v>
      </c>
      <c r="T191">
        <f t="shared" si="91"/>
        <v>0</v>
      </c>
      <c r="U191">
        <f t="shared" si="92"/>
        <v>46.88</v>
      </c>
      <c r="V191">
        <f t="shared" si="93"/>
        <v>0</v>
      </c>
      <c r="W191">
        <f t="shared" si="94"/>
        <v>0</v>
      </c>
      <c r="X191">
        <f t="shared" si="95"/>
        <v>10783.95</v>
      </c>
      <c r="Y191">
        <f t="shared" si="96"/>
        <v>6316.31</v>
      </c>
      <c r="AA191">
        <v>129761633</v>
      </c>
      <c r="AB191">
        <f t="shared" si="97"/>
        <v>665.85</v>
      </c>
      <c r="AC191">
        <f t="shared" si="132"/>
        <v>0</v>
      </c>
      <c r="AD191">
        <f t="shared" si="133"/>
        <v>2.5</v>
      </c>
      <c r="AE191">
        <f>ROUND((EU191),6)</f>
        <v>1.31</v>
      </c>
      <c r="AF191">
        <f>ROUND((EV191),6)</f>
        <v>663.35</v>
      </c>
      <c r="AG191">
        <f t="shared" si="98"/>
        <v>0</v>
      </c>
      <c r="AH191">
        <f>(EW191)</f>
        <v>58.6</v>
      </c>
      <c r="AI191">
        <f>(EX191)</f>
        <v>0</v>
      </c>
      <c r="AJ191">
        <f t="shared" si="99"/>
        <v>0</v>
      </c>
      <c r="AK191">
        <v>665.85</v>
      </c>
      <c r="AL191">
        <v>0</v>
      </c>
      <c r="AM191">
        <v>2.5</v>
      </c>
      <c r="AN191">
        <v>1.31</v>
      </c>
      <c r="AO191">
        <v>663.35</v>
      </c>
      <c r="AP191">
        <v>0</v>
      </c>
      <c r="AQ191">
        <v>58.6</v>
      </c>
      <c r="AR191">
        <v>0</v>
      </c>
      <c r="AS191">
        <v>0</v>
      </c>
      <c r="AT191">
        <v>70</v>
      </c>
      <c r="AU191">
        <v>41</v>
      </c>
      <c r="AV191">
        <v>1</v>
      </c>
      <c r="AW191">
        <v>1</v>
      </c>
      <c r="AZ191">
        <v>1</v>
      </c>
      <c r="BA191">
        <v>29.03</v>
      </c>
      <c r="BB191">
        <v>19.32</v>
      </c>
      <c r="BC191">
        <v>1</v>
      </c>
      <c r="BD191" t="s">
        <v>3</v>
      </c>
      <c r="BE191" t="s">
        <v>3</v>
      </c>
      <c r="BF191" t="s">
        <v>3</v>
      </c>
      <c r="BG191" t="s">
        <v>3</v>
      </c>
      <c r="BH191">
        <v>0</v>
      </c>
      <c r="BI191">
        <v>1</v>
      </c>
      <c r="BJ191" t="s">
        <v>215</v>
      </c>
      <c r="BM191">
        <v>419</v>
      </c>
      <c r="BN191">
        <v>0</v>
      </c>
      <c r="BO191" t="s">
        <v>213</v>
      </c>
      <c r="BP191">
        <v>1</v>
      </c>
      <c r="BQ191">
        <v>60</v>
      </c>
      <c r="BR191">
        <v>0</v>
      </c>
      <c r="BS191">
        <v>29.03</v>
      </c>
      <c r="BT191">
        <v>1</v>
      </c>
      <c r="BU191">
        <v>1</v>
      </c>
      <c r="BV191">
        <v>1</v>
      </c>
      <c r="BW191">
        <v>1</v>
      </c>
      <c r="BX191">
        <v>1</v>
      </c>
      <c r="BY191" t="s">
        <v>3</v>
      </c>
      <c r="BZ191">
        <v>70</v>
      </c>
      <c r="CA191">
        <v>41</v>
      </c>
      <c r="CB191" t="s">
        <v>3</v>
      </c>
      <c r="CE191">
        <v>30</v>
      </c>
      <c r="CF191">
        <v>0</v>
      </c>
      <c r="CG191">
        <v>0</v>
      </c>
      <c r="CM191">
        <v>0</v>
      </c>
      <c r="CN191" t="s">
        <v>3</v>
      </c>
      <c r="CO191">
        <v>0</v>
      </c>
      <c r="CP191">
        <f t="shared" si="100"/>
        <v>15444.279999999999</v>
      </c>
      <c r="CQ191">
        <f t="shared" si="101"/>
        <v>0</v>
      </c>
      <c r="CR191">
        <f t="shared" si="136"/>
        <v>48.3</v>
      </c>
      <c r="CS191">
        <f t="shared" si="102"/>
        <v>38.03</v>
      </c>
      <c r="CT191">
        <f t="shared" si="103"/>
        <v>19257.05</v>
      </c>
      <c r="CU191">
        <f t="shared" si="104"/>
        <v>0</v>
      </c>
      <c r="CV191">
        <f t="shared" si="105"/>
        <v>58.6</v>
      </c>
      <c r="CW191">
        <f t="shared" si="106"/>
        <v>0</v>
      </c>
      <c r="CX191">
        <f t="shared" si="107"/>
        <v>0</v>
      </c>
      <c r="CY191">
        <f>S191*(BZ191/100)</f>
        <v>10783.947999999999</v>
      </c>
      <c r="CZ191">
        <f>S191*(CA191/100)</f>
        <v>6316.3123999999998</v>
      </c>
      <c r="DC191" t="s">
        <v>3</v>
      </c>
      <c r="DD191" t="s">
        <v>3</v>
      </c>
      <c r="DE191" t="s">
        <v>3</v>
      </c>
      <c r="DF191" t="s">
        <v>3</v>
      </c>
      <c r="DG191" t="s">
        <v>3</v>
      </c>
      <c r="DH191" t="s">
        <v>3</v>
      </c>
      <c r="DI191" t="s">
        <v>3</v>
      </c>
      <c r="DJ191" t="s">
        <v>3</v>
      </c>
      <c r="DK191" t="s">
        <v>3</v>
      </c>
      <c r="DL191" t="s">
        <v>3</v>
      </c>
      <c r="DM191" t="s">
        <v>3</v>
      </c>
      <c r="DN191">
        <v>80</v>
      </c>
      <c r="DO191">
        <v>55</v>
      </c>
      <c r="DP191">
        <v>1</v>
      </c>
      <c r="DQ191">
        <v>1</v>
      </c>
      <c r="DU191">
        <v>1005</v>
      </c>
      <c r="DV191" t="s">
        <v>148</v>
      </c>
      <c r="DW191" t="s">
        <v>148</v>
      </c>
      <c r="DX191">
        <v>100</v>
      </c>
      <c r="DZ191" t="s">
        <v>3</v>
      </c>
      <c r="EA191" t="s">
        <v>3</v>
      </c>
      <c r="EB191" t="s">
        <v>3</v>
      </c>
      <c r="EC191" t="s">
        <v>3</v>
      </c>
      <c r="EE191">
        <v>126051880</v>
      </c>
      <c r="EF191">
        <v>60</v>
      </c>
      <c r="EG191" t="s">
        <v>150</v>
      </c>
      <c r="EH191">
        <v>0</v>
      </c>
      <c r="EI191" t="s">
        <v>3</v>
      </c>
      <c r="EJ191">
        <v>1</v>
      </c>
      <c r="EK191">
        <v>419</v>
      </c>
      <c r="EL191" t="s">
        <v>216</v>
      </c>
      <c r="EM191" t="s">
        <v>217</v>
      </c>
      <c r="EO191" t="s">
        <v>3</v>
      </c>
      <c r="EQ191">
        <v>131072</v>
      </c>
      <c r="ER191">
        <v>665.85</v>
      </c>
      <c r="ES191">
        <v>0</v>
      </c>
      <c r="ET191">
        <v>2.5</v>
      </c>
      <c r="EU191">
        <v>1.31</v>
      </c>
      <c r="EV191">
        <v>663.35</v>
      </c>
      <c r="EW191">
        <v>58.6</v>
      </c>
      <c r="EX191">
        <v>0</v>
      </c>
      <c r="EY191">
        <v>0</v>
      </c>
      <c r="FQ191">
        <v>0</v>
      </c>
      <c r="FR191">
        <f t="shared" si="108"/>
        <v>0</v>
      </c>
      <c r="FS191">
        <v>0</v>
      </c>
      <c r="FX191">
        <v>80</v>
      </c>
      <c r="FY191">
        <v>55</v>
      </c>
      <c r="GA191" t="s">
        <v>3</v>
      </c>
      <c r="GD191">
        <v>0</v>
      </c>
      <c r="GF191">
        <v>180483449</v>
      </c>
      <c r="GG191">
        <v>2</v>
      </c>
      <c r="GH191">
        <v>1</v>
      </c>
      <c r="GI191">
        <v>2</v>
      </c>
      <c r="GJ191">
        <v>0</v>
      </c>
      <c r="GK191">
        <f>ROUND(R191*(S12)/100,2)</f>
        <v>48.77</v>
      </c>
      <c r="GL191">
        <f t="shared" si="109"/>
        <v>0</v>
      </c>
      <c r="GM191">
        <f t="shared" si="110"/>
        <v>32593.31</v>
      </c>
      <c r="GN191">
        <f t="shared" si="111"/>
        <v>32593.31</v>
      </c>
      <c r="GO191">
        <f t="shared" si="112"/>
        <v>0</v>
      </c>
      <c r="GP191">
        <f t="shared" si="113"/>
        <v>0</v>
      </c>
      <c r="GR191">
        <v>0</v>
      </c>
      <c r="GS191">
        <v>3</v>
      </c>
      <c r="GT191">
        <v>0</v>
      </c>
      <c r="GU191" t="s">
        <v>3</v>
      </c>
      <c r="GV191">
        <f t="shared" si="137"/>
        <v>0</v>
      </c>
      <c r="GW191">
        <v>1</v>
      </c>
      <c r="GX191">
        <f t="shared" si="115"/>
        <v>0</v>
      </c>
      <c r="HA191">
        <v>0</v>
      </c>
      <c r="HB191">
        <v>0</v>
      </c>
      <c r="HC191">
        <f t="shared" si="116"/>
        <v>0</v>
      </c>
      <c r="HE191" t="s">
        <v>3</v>
      </c>
      <c r="HF191" t="s">
        <v>3</v>
      </c>
      <c r="HM191" t="s">
        <v>3</v>
      </c>
      <c r="HN191" t="s">
        <v>3</v>
      </c>
      <c r="HO191" t="s">
        <v>3</v>
      </c>
      <c r="HP191" t="s">
        <v>3</v>
      </c>
      <c r="HQ191" t="s">
        <v>3</v>
      </c>
      <c r="IK191">
        <v>0</v>
      </c>
    </row>
    <row r="193" spans="1:206" x14ac:dyDescent="0.2">
      <c r="A193" s="3">
        <v>51</v>
      </c>
      <c r="B193" s="3">
        <f>B150</f>
        <v>1</v>
      </c>
      <c r="C193" s="3">
        <f>A150</f>
        <v>4</v>
      </c>
      <c r="D193" s="3">
        <f>ROW(A150)</f>
        <v>150</v>
      </c>
      <c r="E193" s="3"/>
      <c r="F193" s="3" t="str">
        <f>IF(F150&lt;&gt;"",F150,"")</f>
        <v>Новый раздел</v>
      </c>
      <c r="G193" s="3" t="str">
        <f>IF(G150&lt;&gt;"",G150,"")</f>
        <v>Демонтажные работы</v>
      </c>
      <c r="H193" s="3">
        <v>0</v>
      </c>
      <c r="I193" s="3"/>
      <c r="J193" s="3"/>
      <c r="K193" s="3"/>
      <c r="L193" s="3"/>
      <c r="M193" s="3"/>
      <c r="N193" s="3"/>
      <c r="O193" s="3">
        <f t="shared" ref="O193:T193" si="138">ROUND(AB193,2)</f>
        <v>5917.53</v>
      </c>
      <c r="P193" s="3">
        <f t="shared" si="138"/>
        <v>6.47</v>
      </c>
      <c r="Q193" s="3">
        <f t="shared" si="138"/>
        <v>2488.5300000000002</v>
      </c>
      <c r="R193" s="3">
        <f t="shared" si="138"/>
        <v>473.49</v>
      </c>
      <c r="S193" s="3">
        <f t="shared" si="138"/>
        <v>3422.53</v>
      </c>
      <c r="T193" s="3">
        <f t="shared" si="138"/>
        <v>0</v>
      </c>
      <c r="U193" s="3">
        <f>AH193</f>
        <v>288.509478</v>
      </c>
      <c r="V193" s="3">
        <f>AI193</f>
        <v>0</v>
      </c>
      <c r="W193" s="3">
        <f>ROUND(AJ193,2)</f>
        <v>0</v>
      </c>
      <c r="X193" s="3">
        <f>ROUND(AK193,2)</f>
        <v>2745.96</v>
      </c>
      <c r="Y193" s="3">
        <f>ROUND(AL193,2)</f>
        <v>1906.23</v>
      </c>
      <c r="Z193" s="3"/>
      <c r="AA193" s="3"/>
      <c r="AB193" s="3">
        <f>ROUND(SUMIF(AA154:AA191,"=129761636",O154:O191),2)</f>
        <v>5917.53</v>
      </c>
      <c r="AC193" s="3">
        <f>ROUND(SUMIF(AA154:AA191,"=129761636",P154:P191),2)</f>
        <v>6.47</v>
      </c>
      <c r="AD193" s="3">
        <f>ROUND(SUMIF(AA154:AA191,"=129761636",Q154:Q191),2)</f>
        <v>2488.5300000000002</v>
      </c>
      <c r="AE193" s="3">
        <f>ROUND(SUMIF(AA154:AA191,"=129761636",R154:R191),2)</f>
        <v>473.49</v>
      </c>
      <c r="AF193" s="3">
        <f>ROUND(SUMIF(AA154:AA191,"=129761636",S154:S191),2)</f>
        <v>3422.53</v>
      </c>
      <c r="AG193" s="3">
        <f>ROUND(SUMIF(AA154:AA191,"=129761636",T154:T191),2)</f>
        <v>0</v>
      </c>
      <c r="AH193" s="3">
        <f>SUMIF(AA154:AA191,"=129761636",U154:U191)</f>
        <v>288.509478</v>
      </c>
      <c r="AI193" s="3">
        <f>SUMIF(AA154:AA191,"=129761636",V154:V191)</f>
        <v>0</v>
      </c>
      <c r="AJ193" s="3">
        <f>ROUND(SUMIF(AA154:AA191,"=129761636",W154:W191),2)</f>
        <v>0</v>
      </c>
      <c r="AK193" s="3">
        <f>ROUND(SUMIF(AA154:AA191,"=129761636",X154:X191),2)</f>
        <v>2745.96</v>
      </c>
      <c r="AL193" s="3">
        <f>ROUND(SUMIF(AA154:AA191,"=129761636",Y154:Y191),2)</f>
        <v>1906.23</v>
      </c>
      <c r="AM193" s="3"/>
      <c r="AN193" s="3"/>
      <c r="AO193" s="3">
        <f t="shared" ref="AO193:BD193" si="139">ROUND(BX193,2)</f>
        <v>0</v>
      </c>
      <c r="AP193" s="3">
        <f t="shared" si="139"/>
        <v>0</v>
      </c>
      <c r="AQ193" s="3">
        <f t="shared" si="139"/>
        <v>0</v>
      </c>
      <c r="AR193" s="3">
        <f t="shared" si="139"/>
        <v>11398.33</v>
      </c>
      <c r="AS193" s="3">
        <f t="shared" si="139"/>
        <v>11398.33</v>
      </c>
      <c r="AT193" s="3">
        <f t="shared" si="139"/>
        <v>0</v>
      </c>
      <c r="AU193" s="3">
        <f t="shared" si="139"/>
        <v>0</v>
      </c>
      <c r="AV193" s="3">
        <f t="shared" si="139"/>
        <v>6.47</v>
      </c>
      <c r="AW193" s="3">
        <f t="shared" si="139"/>
        <v>6.47</v>
      </c>
      <c r="AX193" s="3">
        <f t="shared" si="139"/>
        <v>0</v>
      </c>
      <c r="AY193" s="3">
        <f t="shared" si="139"/>
        <v>6.47</v>
      </c>
      <c r="AZ193" s="3">
        <f t="shared" si="139"/>
        <v>0</v>
      </c>
      <c r="BA193" s="3">
        <f t="shared" si="139"/>
        <v>0</v>
      </c>
      <c r="BB193" s="3">
        <f t="shared" si="139"/>
        <v>0</v>
      </c>
      <c r="BC193" s="3">
        <f t="shared" si="139"/>
        <v>0</v>
      </c>
      <c r="BD193" s="3">
        <f t="shared" si="139"/>
        <v>0</v>
      </c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>
        <f>ROUND(SUMIF(AA154:AA191,"=129761636",FQ154:FQ191),2)</f>
        <v>0</v>
      </c>
      <c r="BY193" s="3">
        <f>ROUND(SUMIF(AA154:AA191,"=129761636",FR154:FR191),2)</f>
        <v>0</v>
      </c>
      <c r="BZ193" s="3">
        <f>ROUND(SUMIF(AA154:AA191,"=129761636",GL154:GL191),2)</f>
        <v>0</v>
      </c>
      <c r="CA193" s="3">
        <f>ROUND(SUMIF(AA154:AA191,"=129761636",GM154:GM191),2)</f>
        <v>11398.33</v>
      </c>
      <c r="CB193" s="3">
        <f>ROUND(SUMIF(AA154:AA191,"=129761636",GN154:GN191),2)</f>
        <v>11398.33</v>
      </c>
      <c r="CC193" s="3">
        <f>ROUND(SUMIF(AA154:AA191,"=129761636",GO154:GO191),2)</f>
        <v>0</v>
      </c>
      <c r="CD193" s="3">
        <f>ROUND(SUMIF(AA154:AA191,"=129761636",GP154:GP191),2)</f>
        <v>0</v>
      </c>
      <c r="CE193" s="3">
        <f>AC193-BX193</f>
        <v>6.47</v>
      </c>
      <c r="CF193" s="3">
        <f>AC193-BY193</f>
        <v>6.47</v>
      </c>
      <c r="CG193" s="3">
        <f>BX193-BZ193</f>
        <v>0</v>
      </c>
      <c r="CH193" s="3">
        <f>AC193-BX193-BY193+BZ193</f>
        <v>6.47</v>
      </c>
      <c r="CI193" s="3">
        <f>BY193-BZ193</f>
        <v>0</v>
      </c>
      <c r="CJ193" s="3">
        <f>ROUND(SUMIF(AA154:AA191,"=129761636",GX154:GX191),2)</f>
        <v>0</v>
      </c>
      <c r="CK193" s="3">
        <f>ROUND(SUMIF(AA154:AA191,"=129761636",GY154:GY191),2)</f>
        <v>0</v>
      </c>
      <c r="CL193" s="3">
        <f>ROUND(SUMIF(AA154:AA191,"=129761636",GZ154:GZ191),2)</f>
        <v>0</v>
      </c>
      <c r="CM193" s="3">
        <f>ROUND(SUMIF(AA154:AA191,"=129761636",HD154:HD191),2)</f>
        <v>0</v>
      </c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  <c r="DE193" s="3"/>
      <c r="DF193" s="3"/>
      <c r="DG193" s="4">
        <f t="shared" ref="DG193:DL193" si="140">ROUND(DT193,2)</f>
        <v>130646.36</v>
      </c>
      <c r="DH193" s="4">
        <f t="shared" si="140"/>
        <v>131.22999999999999</v>
      </c>
      <c r="DI193" s="4">
        <f t="shared" si="140"/>
        <v>31159.08</v>
      </c>
      <c r="DJ193" s="4">
        <f t="shared" si="140"/>
        <v>13745.4</v>
      </c>
      <c r="DK193" s="4">
        <f t="shared" si="140"/>
        <v>99356.05</v>
      </c>
      <c r="DL193" s="4">
        <f t="shared" si="140"/>
        <v>0</v>
      </c>
      <c r="DM193" s="4">
        <f>DZ193</f>
        <v>288.509478</v>
      </c>
      <c r="DN193" s="4">
        <f>EA193</f>
        <v>0</v>
      </c>
      <c r="DO193" s="4">
        <f>ROUND(EB193,2)</f>
        <v>0</v>
      </c>
      <c r="DP193" s="4">
        <f>ROUND(EC193,2)</f>
        <v>69549.25</v>
      </c>
      <c r="DQ193" s="4">
        <f>ROUND(ED193,2)</f>
        <v>40735.97</v>
      </c>
      <c r="DR193" s="4"/>
      <c r="DS193" s="4"/>
      <c r="DT193" s="4">
        <f>ROUND(SUMIF(AA154:AA191,"=129761633",O154:O191),2)</f>
        <v>130646.36</v>
      </c>
      <c r="DU193" s="4">
        <f>ROUND(SUMIF(AA154:AA191,"=129761633",P154:P191),2)</f>
        <v>131.22999999999999</v>
      </c>
      <c r="DV193" s="4">
        <f>ROUND(SUMIF(AA154:AA191,"=129761633",Q154:Q191),2)</f>
        <v>31159.08</v>
      </c>
      <c r="DW193" s="4">
        <f>ROUND(SUMIF(AA154:AA191,"=129761633",R154:R191),2)</f>
        <v>13745.4</v>
      </c>
      <c r="DX193" s="4">
        <f>ROUND(SUMIF(AA154:AA191,"=129761633",S154:S191),2)</f>
        <v>99356.05</v>
      </c>
      <c r="DY193" s="4">
        <f>ROUND(SUMIF(AA154:AA191,"=129761633",T154:T191),2)</f>
        <v>0</v>
      </c>
      <c r="DZ193" s="4">
        <f>SUMIF(AA154:AA191,"=129761633",U154:U191)</f>
        <v>288.509478</v>
      </c>
      <c r="EA193" s="4">
        <f>SUMIF(AA154:AA191,"=129761633",V154:V191)</f>
        <v>0</v>
      </c>
      <c r="EB193" s="4">
        <f>ROUND(SUMIF(AA154:AA191,"=129761633",W154:W191),2)</f>
        <v>0</v>
      </c>
      <c r="EC193" s="4">
        <f>ROUND(SUMIF(AA154:AA191,"=129761633",X154:X191),2)</f>
        <v>69549.25</v>
      </c>
      <c r="ED193" s="4">
        <f>ROUND(SUMIF(AA154:AA191,"=129761633",Y154:Y191),2)</f>
        <v>40735.97</v>
      </c>
      <c r="EE193" s="4"/>
      <c r="EF193" s="4"/>
      <c r="EG193" s="4">
        <f t="shared" ref="EG193:EV193" si="141">ROUND(FP193,2)</f>
        <v>0</v>
      </c>
      <c r="EH193" s="4">
        <f t="shared" si="141"/>
        <v>0</v>
      </c>
      <c r="EI193" s="4">
        <f t="shared" si="141"/>
        <v>0</v>
      </c>
      <c r="EJ193" s="4">
        <f t="shared" si="141"/>
        <v>262924.21999999997</v>
      </c>
      <c r="EK193" s="4">
        <f t="shared" si="141"/>
        <v>262924.21999999997</v>
      </c>
      <c r="EL193" s="4">
        <f t="shared" si="141"/>
        <v>0</v>
      </c>
      <c r="EM193" s="4">
        <f t="shared" si="141"/>
        <v>0</v>
      </c>
      <c r="EN193" s="4">
        <f t="shared" si="141"/>
        <v>131.22999999999999</v>
      </c>
      <c r="EO193" s="4">
        <f t="shared" si="141"/>
        <v>131.22999999999999</v>
      </c>
      <c r="EP193" s="4">
        <f t="shared" si="141"/>
        <v>0</v>
      </c>
      <c r="EQ193" s="4">
        <f t="shared" si="141"/>
        <v>131.22999999999999</v>
      </c>
      <c r="ER193" s="4">
        <f t="shared" si="141"/>
        <v>0</v>
      </c>
      <c r="ES193" s="4">
        <f t="shared" si="141"/>
        <v>0</v>
      </c>
      <c r="ET193" s="4">
        <f t="shared" si="141"/>
        <v>0</v>
      </c>
      <c r="EU193" s="4">
        <f t="shared" si="141"/>
        <v>0</v>
      </c>
      <c r="EV193" s="4">
        <f t="shared" si="141"/>
        <v>0</v>
      </c>
      <c r="EW193" s="4"/>
      <c r="EX193" s="4"/>
      <c r="EY193" s="4"/>
      <c r="EZ193" s="4"/>
      <c r="FA193" s="4"/>
      <c r="FB193" s="4"/>
      <c r="FC193" s="4"/>
      <c r="FD193" s="4"/>
      <c r="FE193" s="4"/>
      <c r="FF193" s="4"/>
      <c r="FG193" s="4"/>
      <c r="FH193" s="4"/>
      <c r="FI193" s="4"/>
      <c r="FJ193" s="4"/>
      <c r="FK193" s="4"/>
      <c r="FL193" s="4"/>
      <c r="FM193" s="4"/>
      <c r="FN193" s="4"/>
      <c r="FO193" s="4"/>
      <c r="FP193" s="4">
        <f>ROUND(SUMIF(AA154:AA191,"=129761633",FQ154:FQ191),2)</f>
        <v>0</v>
      </c>
      <c r="FQ193" s="4">
        <f>ROUND(SUMIF(AA154:AA191,"=129761633",FR154:FR191),2)</f>
        <v>0</v>
      </c>
      <c r="FR193" s="4">
        <f>ROUND(SUMIF(AA154:AA191,"=129761633",GL154:GL191),2)</f>
        <v>0</v>
      </c>
      <c r="FS193" s="4">
        <f>ROUND(SUMIF(AA154:AA191,"=129761633",GM154:GM191),2)</f>
        <v>262924.21999999997</v>
      </c>
      <c r="FT193" s="4">
        <f>ROUND(SUMIF(AA154:AA191,"=129761633",GN154:GN191),2)</f>
        <v>262924.21999999997</v>
      </c>
      <c r="FU193" s="4">
        <f>ROUND(SUMIF(AA154:AA191,"=129761633",GO154:GO191),2)</f>
        <v>0</v>
      </c>
      <c r="FV193" s="4">
        <f>ROUND(SUMIF(AA154:AA191,"=129761633",GP154:GP191),2)</f>
        <v>0</v>
      </c>
      <c r="FW193" s="4">
        <f>DU193-FP193</f>
        <v>131.22999999999999</v>
      </c>
      <c r="FX193" s="4">
        <f>DU193-FQ193</f>
        <v>131.22999999999999</v>
      </c>
      <c r="FY193" s="4">
        <f>FP193-FR193</f>
        <v>0</v>
      </c>
      <c r="FZ193" s="4">
        <f>DU193-FP193-FQ193+FR193</f>
        <v>131.22999999999999</v>
      </c>
      <c r="GA193" s="4">
        <f>FQ193-FR193</f>
        <v>0</v>
      </c>
      <c r="GB193" s="4">
        <f>ROUND(SUMIF(AA154:AA191,"=129761633",GX154:GX191),2)</f>
        <v>0</v>
      </c>
      <c r="GC193" s="4">
        <f>ROUND(SUMIF(AA154:AA191,"=129761633",GY154:GY191),2)</f>
        <v>0</v>
      </c>
      <c r="GD193" s="4">
        <f>ROUND(SUMIF(AA154:AA191,"=129761633",GZ154:GZ191),2)</f>
        <v>0</v>
      </c>
      <c r="GE193" s="4">
        <f>ROUND(SUMIF(AA154:AA191,"=129761633",HD154:HD191),2)</f>
        <v>0</v>
      </c>
      <c r="GF193" s="4"/>
      <c r="GG193" s="4"/>
      <c r="GH193" s="4"/>
      <c r="GI193" s="4"/>
      <c r="GJ193" s="4"/>
      <c r="GK193" s="4"/>
      <c r="GL193" s="4"/>
      <c r="GM193" s="4"/>
      <c r="GN193" s="4"/>
      <c r="GO193" s="4"/>
      <c r="GP193" s="4"/>
      <c r="GQ193" s="4"/>
      <c r="GR193" s="4"/>
      <c r="GS193" s="4"/>
      <c r="GT193" s="4"/>
      <c r="GU193" s="4"/>
      <c r="GV193" s="4"/>
      <c r="GW193" s="4"/>
      <c r="GX193" s="4">
        <v>0</v>
      </c>
    </row>
    <row r="195" spans="1:206" x14ac:dyDescent="0.2">
      <c r="A195" s="5">
        <v>50</v>
      </c>
      <c r="B195" s="5">
        <v>0</v>
      </c>
      <c r="C195" s="5">
        <v>0</v>
      </c>
      <c r="D195" s="5">
        <v>1</v>
      </c>
      <c r="E195" s="5">
        <v>201</v>
      </c>
      <c r="F195" s="5">
        <f>ROUND(Source!O193,O195)</f>
        <v>5917.53</v>
      </c>
      <c r="G195" s="5" t="s">
        <v>26</v>
      </c>
      <c r="H195" s="5" t="s">
        <v>27</v>
      </c>
      <c r="I195" s="5"/>
      <c r="J195" s="5"/>
      <c r="K195" s="5">
        <v>201</v>
      </c>
      <c r="L195" s="5">
        <v>1</v>
      </c>
      <c r="M195" s="5">
        <v>3</v>
      </c>
      <c r="N195" s="5" t="s">
        <v>3</v>
      </c>
      <c r="O195" s="5">
        <v>2</v>
      </c>
      <c r="P195" s="5">
        <f>ROUND(Source!DG193,O195)</f>
        <v>130646.36</v>
      </c>
      <c r="Q195" s="5"/>
      <c r="R195" s="5"/>
      <c r="S195" s="5"/>
      <c r="T195" s="5"/>
      <c r="U195" s="5"/>
      <c r="V195" s="5"/>
      <c r="W195" s="5">
        <v>5917.53</v>
      </c>
      <c r="X195" s="5">
        <v>1</v>
      </c>
      <c r="Y195" s="5">
        <v>5917.53</v>
      </c>
      <c r="Z195" s="5">
        <v>130646.36</v>
      </c>
      <c r="AA195" s="5">
        <v>1</v>
      </c>
      <c r="AB195" s="5">
        <v>130646.36</v>
      </c>
    </row>
    <row r="196" spans="1:206" x14ac:dyDescent="0.2">
      <c r="A196" s="5">
        <v>50</v>
      </c>
      <c r="B196" s="5">
        <v>0</v>
      </c>
      <c r="C196" s="5">
        <v>0</v>
      </c>
      <c r="D196" s="5">
        <v>1</v>
      </c>
      <c r="E196" s="5">
        <v>202</v>
      </c>
      <c r="F196" s="5">
        <f>ROUND(Source!P193,O196)</f>
        <v>6.47</v>
      </c>
      <c r="G196" s="5" t="s">
        <v>28</v>
      </c>
      <c r="H196" s="5" t="s">
        <v>29</v>
      </c>
      <c r="I196" s="5"/>
      <c r="J196" s="5"/>
      <c r="K196" s="5">
        <v>202</v>
      </c>
      <c r="L196" s="5">
        <v>2</v>
      </c>
      <c r="M196" s="5">
        <v>3</v>
      </c>
      <c r="N196" s="5" t="s">
        <v>3</v>
      </c>
      <c r="O196" s="5">
        <v>2</v>
      </c>
      <c r="P196" s="5">
        <f>ROUND(Source!DH193,O196)</f>
        <v>131.22999999999999</v>
      </c>
      <c r="Q196" s="5"/>
      <c r="R196" s="5"/>
      <c r="S196" s="5"/>
      <c r="T196" s="5"/>
      <c r="U196" s="5"/>
      <c r="V196" s="5"/>
      <c r="W196" s="5">
        <v>6.47</v>
      </c>
      <c r="X196" s="5">
        <v>1</v>
      </c>
      <c r="Y196" s="5">
        <v>6.47</v>
      </c>
      <c r="Z196" s="5">
        <v>131.22999999999999</v>
      </c>
      <c r="AA196" s="5">
        <v>1</v>
      </c>
      <c r="AB196" s="5">
        <v>131.22999999999999</v>
      </c>
    </row>
    <row r="197" spans="1:206" x14ac:dyDescent="0.2">
      <c r="A197" s="5">
        <v>50</v>
      </c>
      <c r="B197" s="5">
        <v>0</v>
      </c>
      <c r="C197" s="5">
        <v>0</v>
      </c>
      <c r="D197" s="5">
        <v>1</v>
      </c>
      <c r="E197" s="5">
        <v>222</v>
      </c>
      <c r="F197" s="5">
        <f>ROUND(Source!AO193,O197)</f>
        <v>0</v>
      </c>
      <c r="G197" s="5" t="s">
        <v>30</v>
      </c>
      <c r="H197" s="5" t="s">
        <v>31</v>
      </c>
      <c r="I197" s="5"/>
      <c r="J197" s="5"/>
      <c r="K197" s="5">
        <v>222</v>
      </c>
      <c r="L197" s="5">
        <v>3</v>
      </c>
      <c r="M197" s="5">
        <v>3</v>
      </c>
      <c r="N197" s="5" t="s">
        <v>3</v>
      </c>
      <c r="O197" s="5">
        <v>2</v>
      </c>
      <c r="P197" s="5">
        <f>ROUND(Source!EG193,O197)</f>
        <v>0</v>
      </c>
      <c r="Q197" s="5"/>
      <c r="R197" s="5"/>
      <c r="S197" s="5"/>
      <c r="T197" s="5"/>
      <c r="U197" s="5"/>
      <c r="V197" s="5"/>
      <c r="W197" s="5">
        <v>0</v>
      </c>
      <c r="X197" s="5">
        <v>1</v>
      </c>
      <c r="Y197" s="5">
        <v>0</v>
      </c>
      <c r="Z197" s="5">
        <v>0</v>
      </c>
      <c r="AA197" s="5">
        <v>1</v>
      </c>
      <c r="AB197" s="5">
        <v>0</v>
      </c>
    </row>
    <row r="198" spans="1:206" x14ac:dyDescent="0.2">
      <c r="A198" s="5">
        <v>50</v>
      </c>
      <c r="B198" s="5">
        <v>0</v>
      </c>
      <c r="C198" s="5">
        <v>0</v>
      </c>
      <c r="D198" s="5">
        <v>1</v>
      </c>
      <c r="E198" s="5">
        <v>225</v>
      </c>
      <c r="F198" s="5">
        <f>ROUND(Source!AV193,O198)</f>
        <v>6.47</v>
      </c>
      <c r="G198" s="5" t="s">
        <v>32</v>
      </c>
      <c r="H198" s="5" t="s">
        <v>33</v>
      </c>
      <c r="I198" s="5"/>
      <c r="J198" s="5"/>
      <c r="K198" s="5">
        <v>225</v>
      </c>
      <c r="L198" s="5">
        <v>4</v>
      </c>
      <c r="M198" s="5">
        <v>3</v>
      </c>
      <c r="N198" s="5" t="s">
        <v>3</v>
      </c>
      <c r="O198" s="5">
        <v>2</v>
      </c>
      <c r="P198" s="5">
        <f>ROUND(Source!EN193,O198)</f>
        <v>131.22999999999999</v>
      </c>
      <c r="Q198" s="5"/>
      <c r="R198" s="5"/>
      <c r="S198" s="5"/>
      <c r="T198" s="5"/>
      <c r="U198" s="5"/>
      <c r="V198" s="5"/>
      <c r="W198" s="5">
        <v>6.47</v>
      </c>
      <c r="X198" s="5">
        <v>1</v>
      </c>
      <c r="Y198" s="5">
        <v>6.47</v>
      </c>
      <c r="Z198" s="5">
        <v>131.22999999999999</v>
      </c>
      <c r="AA198" s="5">
        <v>1</v>
      </c>
      <c r="AB198" s="5">
        <v>131.22999999999999</v>
      </c>
    </row>
    <row r="199" spans="1:206" x14ac:dyDescent="0.2">
      <c r="A199" s="5">
        <v>50</v>
      </c>
      <c r="B199" s="5">
        <v>0</v>
      </c>
      <c r="C199" s="5">
        <v>0</v>
      </c>
      <c r="D199" s="5">
        <v>1</v>
      </c>
      <c r="E199" s="5">
        <v>226</v>
      </c>
      <c r="F199" s="5">
        <f>ROUND(Source!AW193,O199)</f>
        <v>6.47</v>
      </c>
      <c r="G199" s="5" t="s">
        <v>34</v>
      </c>
      <c r="H199" s="5" t="s">
        <v>35</v>
      </c>
      <c r="I199" s="5"/>
      <c r="J199" s="5"/>
      <c r="K199" s="5">
        <v>226</v>
      </c>
      <c r="L199" s="5">
        <v>5</v>
      </c>
      <c r="M199" s="5">
        <v>3</v>
      </c>
      <c r="N199" s="5" t="s">
        <v>3</v>
      </c>
      <c r="O199" s="5">
        <v>2</v>
      </c>
      <c r="P199" s="5">
        <f>ROUND(Source!EO193,O199)</f>
        <v>131.22999999999999</v>
      </c>
      <c r="Q199" s="5"/>
      <c r="R199" s="5"/>
      <c r="S199" s="5"/>
      <c r="T199" s="5"/>
      <c r="U199" s="5"/>
      <c r="V199" s="5"/>
      <c r="W199" s="5">
        <v>6.47</v>
      </c>
      <c r="X199" s="5">
        <v>1</v>
      </c>
      <c r="Y199" s="5">
        <v>6.47</v>
      </c>
      <c r="Z199" s="5">
        <v>131.22999999999999</v>
      </c>
      <c r="AA199" s="5">
        <v>1</v>
      </c>
      <c r="AB199" s="5">
        <v>131.22999999999999</v>
      </c>
    </row>
    <row r="200" spans="1:206" x14ac:dyDescent="0.2">
      <c r="A200" s="5">
        <v>50</v>
      </c>
      <c r="B200" s="5">
        <v>0</v>
      </c>
      <c r="C200" s="5">
        <v>0</v>
      </c>
      <c r="D200" s="5">
        <v>1</v>
      </c>
      <c r="E200" s="5">
        <v>227</v>
      </c>
      <c r="F200" s="5">
        <f>ROUND(Source!AX193,O200)</f>
        <v>0</v>
      </c>
      <c r="G200" s="5" t="s">
        <v>36</v>
      </c>
      <c r="H200" s="5" t="s">
        <v>37</v>
      </c>
      <c r="I200" s="5"/>
      <c r="J200" s="5"/>
      <c r="K200" s="5">
        <v>227</v>
      </c>
      <c r="L200" s="5">
        <v>6</v>
      </c>
      <c r="M200" s="5">
        <v>3</v>
      </c>
      <c r="N200" s="5" t="s">
        <v>3</v>
      </c>
      <c r="O200" s="5">
        <v>2</v>
      </c>
      <c r="P200" s="5">
        <f>ROUND(Source!EP193,O200)</f>
        <v>0</v>
      </c>
      <c r="Q200" s="5"/>
      <c r="R200" s="5"/>
      <c r="S200" s="5"/>
      <c r="T200" s="5"/>
      <c r="U200" s="5"/>
      <c r="V200" s="5"/>
      <c r="W200" s="5">
        <v>0</v>
      </c>
      <c r="X200" s="5">
        <v>1</v>
      </c>
      <c r="Y200" s="5">
        <v>0</v>
      </c>
      <c r="Z200" s="5">
        <v>0</v>
      </c>
      <c r="AA200" s="5">
        <v>1</v>
      </c>
      <c r="AB200" s="5">
        <v>0</v>
      </c>
    </row>
    <row r="201" spans="1:206" x14ac:dyDescent="0.2">
      <c r="A201" s="5">
        <v>50</v>
      </c>
      <c r="B201" s="5">
        <v>0</v>
      </c>
      <c r="C201" s="5">
        <v>0</v>
      </c>
      <c r="D201" s="5">
        <v>1</v>
      </c>
      <c r="E201" s="5">
        <v>228</v>
      </c>
      <c r="F201" s="5">
        <f>ROUND(Source!AY193,O201)</f>
        <v>6.47</v>
      </c>
      <c r="G201" s="5" t="s">
        <v>38</v>
      </c>
      <c r="H201" s="5" t="s">
        <v>39</v>
      </c>
      <c r="I201" s="5"/>
      <c r="J201" s="5"/>
      <c r="K201" s="5">
        <v>228</v>
      </c>
      <c r="L201" s="5">
        <v>7</v>
      </c>
      <c r="M201" s="5">
        <v>3</v>
      </c>
      <c r="N201" s="5" t="s">
        <v>3</v>
      </c>
      <c r="O201" s="5">
        <v>2</v>
      </c>
      <c r="P201" s="5">
        <f>ROUND(Source!EQ193,O201)</f>
        <v>131.22999999999999</v>
      </c>
      <c r="Q201" s="5"/>
      <c r="R201" s="5"/>
      <c r="S201" s="5"/>
      <c r="T201" s="5"/>
      <c r="U201" s="5"/>
      <c r="V201" s="5"/>
      <c r="W201" s="5">
        <v>6.47</v>
      </c>
      <c r="X201" s="5">
        <v>1</v>
      </c>
      <c r="Y201" s="5">
        <v>6.47</v>
      </c>
      <c r="Z201" s="5">
        <v>131.22999999999999</v>
      </c>
      <c r="AA201" s="5">
        <v>1</v>
      </c>
      <c r="AB201" s="5">
        <v>131.22999999999999</v>
      </c>
    </row>
    <row r="202" spans="1:206" x14ac:dyDescent="0.2">
      <c r="A202" s="5">
        <v>50</v>
      </c>
      <c r="B202" s="5">
        <v>0</v>
      </c>
      <c r="C202" s="5">
        <v>0</v>
      </c>
      <c r="D202" s="5">
        <v>1</v>
      </c>
      <c r="E202" s="5">
        <v>216</v>
      </c>
      <c r="F202" s="5">
        <f>ROUND(Source!AP193,O202)</f>
        <v>0</v>
      </c>
      <c r="G202" s="5" t="s">
        <v>40</v>
      </c>
      <c r="H202" s="5" t="s">
        <v>41</v>
      </c>
      <c r="I202" s="5"/>
      <c r="J202" s="5"/>
      <c r="K202" s="5">
        <v>216</v>
      </c>
      <c r="L202" s="5">
        <v>8</v>
      </c>
      <c r="M202" s="5">
        <v>3</v>
      </c>
      <c r="N202" s="5" t="s">
        <v>3</v>
      </c>
      <c r="O202" s="5">
        <v>2</v>
      </c>
      <c r="P202" s="5">
        <f>ROUND(Source!EH193,O202)</f>
        <v>0</v>
      </c>
      <c r="Q202" s="5"/>
      <c r="R202" s="5"/>
      <c r="S202" s="5"/>
      <c r="T202" s="5"/>
      <c r="U202" s="5"/>
      <c r="V202" s="5"/>
      <c r="W202" s="5">
        <v>0</v>
      </c>
      <c r="X202" s="5">
        <v>1</v>
      </c>
      <c r="Y202" s="5">
        <v>0</v>
      </c>
      <c r="Z202" s="5">
        <v>0</v>
      </c>
      <c r="AA202" s="5">
        <v>1</v>
      </c>
      <c r="AB202" s="5">
        <v>0</v>
      </c>
    </row>
    <row r="203" spans="1:206" x14ac:dyDescent="0.2">
      <c r="A203" s="5">
        <v>50</v>
      </c>
      <c r="B203" s="5">
        <v>0</v>
      </c>
      <c r="C203" s="5">
        <v>0</v>
      </c>
      <c r="D203" s="5">
        <v>1</v>
      </c>
      <c r="E203" s="5">
        <v>223</v>
      </c>
      <c r="F203" s="5">
        <f>ROUND(Source!AQ193,O203)</f>
        <v>0</v>
      </c>
      <c r="G203" s="5" t="s">
        <v>42</v>
      </c>
      <c r="H203" s="5" t="s">
        <v>43</v>
      </c>
      <c r="I203" s="5"/>
      <c r="J203" s="5"/>
      <c r="K203" s="5">
        <v>223</v>
      </c>
      <c r="L203" s="5">
        <v>9</v>
      </c>
      <c r="M203" s="5">
        <v>3</v>
      </c>
      <c r="N203" s="5" t="s">
        <v>3</v>
      </c>
      <c r="O203" s="5">
        <v>2</v>
      </c>
      <c r="P203" s="5">
        <f>ROUND(Source!EI193,O203)</f>
        <v>0</v>
      </c>
      <c r="Q203" s="5"/>
      <c r="R203" s="5"/>
      <c r="S203" s="5"/>
      <c r="T203" s="5"/>
      <c r="U203" s="5"/>
      <c r="V203" s="5"/>
      <c r="W203" s="5">
        <v>0</v>
      </c>
      <c r="X203" s="5">
        <v>1</v>
      </c>
      <c r="Y203" s="5">
        <v>0</v>
      </c>
      <c r="Z203" s="5">
        <v>0</v>
      </c>
      <c r="AA203" s="5">
        <v>1</v>
      </c>
      <c r="AB203" s="5">
        <v>0</v>
      </c>
    </row>
    <row r="204" spans="1:206" x14ac:dyDescent="0.2">
      <c r="A204" s="5">
        <v>50</v>
      </c>
      <c r="B204" s="5">
        <v>0</v>
      </c>
      <c r="C204" s="5">
        <v>0</v>
      </c>
      <c r="D204" s="5">
        <v>1</v>
      </c>
      <c r="E204" s="5">
        <v>229</v>
      </c>
      <c r="F204" s="5">
        <f>ROUND(Source!AZ193,O204)</f>
        <v>0</v>
      </c>
      <c r="G204" s="5" t="s">
        <v>44</v>
      </c>
      <c r="H204" s="5" t="s">
        <v>45</v>
      </c>
      <c r="I204" s="5"/>
      <c r="J204" s="5"/>
      <c r="K204" s="5">
        <v>229</v>
      </c>
      <c r="L204" s="5">
        <v>10</v>
      </c>
      <c r="M204" s="5">
        <v>3</v>
      </c>
      <c r="N204" s="5" t="s">
        <v>3</v>
      </c>
      <c r="O204" s="5">
        <v>2</v>
      </c>
      <c r="P204" s="5">
        <f>ROUND(Source!ER193,O204)</f>
        <v>0</v>
      </c>
      <c r="Q204" s="5"/>
      <c r="R204" s="5"/>
      <c r="S204" s="5"/>
      <c r="T204" s="5"/>
      <c r="U204" s="5"/>
      <c r="V204" s="5"/>
      <c r="W204" s="5">
        <v>0</v>
      </c>
      <c r="X204" s="5">
        <v>1</v>
      </c>
      <c r="Y204" s="5">
        <v>0</v>
      </c>
      <c r="Z204" s="5">
        <v>0</v>
      </c>
      <c r="AA204" s="5">
        <v>1</v>
      </c>
      <c r="AB204" s="5">
        <v>0</v>
      </c>
    </row>
    <row r="205" spans="1:206" x14ac:dyDescent="0.2">
      <c r="A205" s="5">
        <v>50</v>
      </c>
      <c r="B205" s="5">
        <v>0</v>
      </c>
      <c r="C205" s="5">
        <v>0</v>
      </c>
      <c r="D205" s="5">
        <v>1</v>
      </c>
      <c r="E205" s="5">
        <v>203</v>
      </c>
      <c r="F205" s="5">
        <f>ROUND(Source!Q193,O205)</f>
        <v>2488.5300000000002</v>
      </c>
      <c r="G205" s="5" t="s">
        <v>46</v>
      </c>
      <c r="H205" s="5" t="s">
        <v>47</v>
      </c>
      <c r="I205" s="5"/>
      <c r="J205" s="5"/>
      <c r="K205" s="5">
        <v>203</v>
      </c>
      <c r="L205" s="5">
        <v>11</v>
      </c>
      <c r="M205" s="5">
        <v>3</v>
      </c>
      <c r="N205" s="5" t="s">
        <v>3</v>
      </c>
      <c r="O205" s="5">
        <v>2</v>
      </c>
      <c r="P205" s="5">
        <f>ROUND(Source!DI193,O205)</f>
        <v>31159.08</v>
      </c>
      <c r="Q205" s="5"/>
      <c r="R205" s="5"/>
      <c r="S205" s="5"/>
      <c r="T205" s="5"/>
      <c r="U205" s="5"/>
      <c r="V205" s="5"/>
      <c r="W205" s="5">
        <v>2488.5300000000002</v>
      </c>
      <c r="X205" s="5">
        <v>1</v>
      </c>
      <c r="Y205" s="5">
        <v>2488.5300000000002</v>
      </c>
      <c r="Z205" s="5">
        <v>31159.08</v>
      </c>
      <c r="AA205" s="5">
        <v>1</v>
      </c>
      <c r="AB205" s="5">
        <v>31159.08</v>
      </c>
    </row>
    <row r="206" spans="1:206" x14ac:dyDescent="0.2">
      <c r="A206" s="5">
        <v>50</v>
      </c>
      <c r="B206" s="5">
        <v>0</v>
      </c>
      <c r="C206" s="5">
        <v>0</v>
      </c>
      <c r="D206" s="5">
        <v>1</v>
      </c>
      <c r="E206" s="5">
        <v>231</v>
      </c>
      <c r="F206" s="5">
        <f>ROUND(Source!BB193,O206)</f>
        <v>0</v>
      </c>
      <c r="G206" s="5" t="s">
        <v>48</v>
      </c>
      <c r="H206" s="5" t="s">
        <v>49</v>
      </c>
      <c r="I206" s="5"/>
      <c r="J206" s="5"/>
      <c r="K206" s="5">
        <v>231</v>
      </c>
      <c r="L206" s="5">
        <v>12</v>
      </c>
      <c r="M206" s="5">
        <v>3</v>
      </c>
      <c r="N206" s="5" t="s">
        <v>3</v>
      </c>
      <c r="O206" s="5">
        <v>2</v>
      </c>
      <c r="P206" s="5">
        <f>ROUND(Source!ET193,O206)</f>
        <v>0</v>
      </c>
      <c r="Q206" s="5"/>
      <c r="R206" s="5"/>
      <c r="S206" s="5"/>
      <c r="T206" s="5"/>
      <c r="U206" s="5"/>
      <c r="V206" s="5"/>
      <c r="W206" s="5">
        <v>0</v>
      </c>
      <c r="X206" s="5">
        <v>1</v>
      </c>
      <c r="Y206" s="5">
        <v>0</v>
      </c>
      <c r="Z206" s="5">
        <v>0</v>
      </c>
      <c r="AA206" s="5">
        <v>1</v>
      </c>
      <c r="AB206" s="5">
        <v>0</v>
      </c>
    </row>
    <row r="207" spans="1:206" x14ac:dyDescent="0.2">
      <c r="A207" s="5">
        <v>50</v>
      </c>
      <c r="B207" s="5">
        <v>0</v>
      </c>
      <c r="C207" s="5">
        <v>0</v>
      </c>
      <c r="D207" s="5">
        <v>1</v>
      </c>
      <c r="E207" s="5">
        <v>204</v>
      </c>
      <c r="F207" s="5">
        <f>ROUND(Source!R193,O207)</f>
        <v>473.49</v>
      </c>
      <c r="G207" s="5" t="s">
        <v>50</v>
      </c>
      <c r="H207" s="5" t="s">
        <v>51</v>
      </c>
      <c r="I207" s="5"/>
      <c r="J207" s="5"/>
      <c r="K207" s="5">
        <v>204</v>
      </c>
      <c r="L207" s="5">
        <v>13</v>
      </c>
      <c r="M207" s="5">
        <v>3</v>
      </c>
      <c r="N207" s="5" t="s">
        <v>3</v>
      </c>
      <c r="O207" s="5">
        <v>2</v>
      </c>
      <c r="P207" s="5">
        <f>ROUND(Source!DJ193,O207)</f>
        <v>13745.4</v>
      </c>
      <c r="Q207" s="5"/>
      <c r="R207" s="5"/>
      <c r="S207" s="5"/>
      <c r="T207" s="5"/>
      <c r="U207" s="5"/>
      <c r="V207" s="5"/>
      <c r="W207" s="5">
        <v>473.49</v>
      </c>
      <c r="X207" s="5">
        <v>1</v>
      </c>
      <c r="Y207" s="5">
        <v>473.49</v>
      </c>
      <c r="Z207" s="5">
        <v>13745.4</v>
      </c>
      <c r="AA207" s="5">
        <v>1</v>
      </c>
      <c r="AB207" s="5">
        <v>13745.4</v>
      </c>
    </row>
    <row r="208" spans="1:206" x14ac:dyDescent="0.2">
      <c r="A208" s="5">
        <v>50</v>
      </c>
      <c r="B208" s="5">
        <v>0</v>
      </c>
      <c r="C208" s="5">
        <v>0</v>
      </c>
      <c r="D208" s="5">
        <v>1</v>
      </c>
      <c r="E208" s="5">
        <v>205</v>
      </c>
      <c r="F208" s="5">
        <f>ROUND(Source!S193,O208)</f>
        <v>3422.53</v>
      </c>
      <c r="G208" s="5" t="s">
        <v>52</v>
      </c>
      <c r="H208" s="5" t="s">
        <v>53</v>
      </c>
      <c r="I208" s="5"/>
      <c r="J208" s="5"/>
      <c r="K208" s="5">
        <v>205</v>
      </c>
      <c r="L208" s="5">
        <v>14</v>
      </c>
      <c r="M208" s="5">
        <v>3</v>
      </c>
      <c r="N208" s="5" t="s">
        <v>3</v>
      </c>
      <c r="O208" s="5">
        <v>2</v>
      </c>
      <c r="P208" s="5">
        <f>ROUND(Source!DK193,O208)</f>
        <v>99356.05</v>
      </c>
      <c r="Q208" s="5"/>
      <c r="R208" s="5"/>
      <c r="S208" s="5"/>
      <c r="T208" s="5"/>
      <c r="U208" s="5"/>
      <c r="V208" s="5"/>
      <c r="W208" s="5">
        <v>3422.53</v>
      </c>
      <c r="X208" s="5">
        <v>1</v>
      </c>
      <c r="Y208" s="5">
        <v>3422.53</v>
      </c>
      <c r="Z208" s="5">
        <v>99356.05</v>
      </c>
      <c r="AA208" s="5">
        <v>1</v>
      </c>
      <c r="AB208" s="5">
        <v>99356.05</v>
      </c>
    </row>
    <row r="209" spans="1:88" x14ac:dyDescent="0.2">
      <c r="A209" s="5">
        <v>50</v>
      </c>
      <c r="B209" s="5">
        <v>0</v>
      </c>
      <c r="C209" s="5">
        <v>0</v>
      </c>
      <c r="D209" s="5">
        <v>1</v>
      </c>
      <c r="E209" s="5">
        <v>232</v>
      </c>
      <c r="F209" s="5">
        <f>ROUND(Source!BC193,O209)</f>
        <v>0</v>
      </c>
      <c r="G209" s="5" t="s">
        <v>54</v>
      </c>
      <c r="H209" s="5" t="s">
        <v>55</v>
      </c>
      <c r="I209" s="5"/>
      <c r="J209" s="5"/>
      <c r="K209" s="5">
        <v>232</v>
      </c>
      <c r="L209" s="5">
        <v>15</v>
      </c>
      <c r="M209" s="5">
        <v>3</v>
      </c>
      <c r="N209" s="5" t="s">
        <v>3</v>
      </c>
      <c r="O209" s="5">
        <v>2</v>
      </c>
      <c r="P209" s="5">
        <f>ROUND(Source!EU193,O209)</f>
        <v>0</v>
      </c>
      <c r="Q209" s="5"/>
      <c r="R209" s="5"/>
      <c r="S209" s="5"/>
      <c r="T209" s="5"/>
      <c r="U209" s="5"/>
      <c r="V209" s="5"/>
      <c r="W209" s="5">
        <v>0</v>
      </c>
      <c r="X209" s="5">
        <v>1</v>
      </c>
      <c r="Y209" s="5">
        <v>0</v>
      </c>
      <c r="Z209" s="5">
        <v>0</v>
      </c>
      <c r="AA209" s="5">
        <v>1</v>
      </c>
      <c r="AB209" s="5">
        <v>0</v>
      </c>
    </row>
    <row r="210" spans="1:88" x14ac:dyDescent="0.2">
      <c r="A210" s="5">
        <v>50</v>
      </c>
      <c r="B210" s="5">
        <v>0</v>
      </c>
      <c r="C210" s="5">
        <v>0</v>
      </c>
      <c r="D210" s="5">
        <v>1</v>
      </c>
      <c r="E210" s="5">
        <v>214</v>
      </c>
      <c r="F210" s="5">
        <f>ROUND(Source!AS193,O210)</f>
        <v>11398.33</v>
      </c>
      <c r="G210" s="5" t="s">
        <v>56</v>
      </c>
      <c r="H210" s="5" t="s">
        <v>57</v>
      </c>
      <c r="I210" s="5"/>
      <c r="J210" s="5"/>
      <c r="K210" s="5">
        <v>214</v>
      </c>
      <c r="L210" s="5">
        <v>16</v>
      </c>
      <c r="M210" s="5">
        <v>3</v>
      </c>
      <c r="N210" s="5" t="s">
        <v>3</v>
      </c>
      <c r="O210" s="5">
        <v>2</v>
      </c>
      <c r="P210" s="5">
        <f>ROUND(Source!EK193,O210)</f>
        <v>262924.21999999997</v>
      </c>
      <c r="Q210" s="5"/>
      <c r="R210" s="5"/>
      <c r="S210" s="5"/>
      <c r="T210" s="5"/>
      <c r="U210" s="5"/>
      <c r="V210" s="5"/>
      <c r="W210" s="5">
        <v>11398.33</v>
      </c>
      <c r="X210" s="5">
        <v>1</v>
      </c>
      <c r="Y210" s="5">
        <v>11398.33</v>
      </c>
      <c r="Z210" s="5">
        <v>262924.21999999997</v>
      </c>
      <c r="AA210" s="5">
        <v>1</v>
      </c>
      <c r="AB210" s="5">
        <v>262924.21999999997</v>
      </c>
    </row>
    <row r="211" spans="1:88" x14ac:dyDescent="0.2">
      <c r="A211" s="5">
        <v>50</v>
      </c>
      <c r="B211" s="5">
        <v>0</v>
      </c>
      <c r="C211" s="5">
        <v>0</v>
      </c>
      <c r="D211" s="5">
        <v>1</v>
      </c>
      <c r="E211" s="5">
        <v>215</v>
      </c>
      <c r="F211" s="5">
        <f>ROUND(Source!AT193,O211)</f>
        <v>0</v>
      </c>
      <c r="G211" s="5" t="s">
        <v>58</v>
      </c>
      <c r="H211" s="5" t="s">
        <v>59</v>
      </c>
      <c r="I211" s="5"/>
      <c r="J211" s="5"/>
      <c r="K211" s="5">
        <v>215</v>
      </c>
      <c r="L211" s="5">
        <v>17</v>
      </c>
      <c r="M211" s="5">
        <v>3</v>
      </c>
      <c r="N211" s="5" t="s">
        <v>3</v>
      </c>
      <c r="O211" s="5">
        <v>2</v>
      </c>
      <c r="P211" s="5">
        <f>ROUND(Source!EL193,O211)</f>
        <v>0</v>
      </c>
      <c r="Q211" s="5"/>
      <c r="R211" s="5"/>
      <c r="S211" s="5"/>
      <c r="T211" s="5"/>
      <c r="U211" s="5"/>
      <c r="V211" s="5"/>
      <c r="W211" s="5">
        <v>0</v>
      </c>
      <c r="X211" s="5">
        <v>1</v>
      </c>
      <c r="Y211" s="5">
        <v>0</v>
      </c>
      <c r="Z211" s="5">
        <v>0</v>
      </c>
      <c r="AA211" s="5">
        <v>1</v>
      </c>
      <c r="AB211" s="5">
        <v>0</v>
      </c>
    </row>
    <row r="212" spans="1:88" x14ac:dyDescent="0.2">
      <c r="A212" s="5">
        <v>50</v>
      </c>
      <c r="B212" s="5">
        <v>0</v>
      </c>
      <c r="C212" s="5">
        <v>0</v>
      </c>
      <c r="D212" s="5">
        <v>1</v>
      </c>
      <c r="E212" s="5">
        <v>217</v>
      </c>
      <c r="F212" s="5">
        <f>ROUND(Source!AU193,O212)</f>
        <v>0</v>
      </c>
      <c r="G212" s="5" t="s">
        <v>60</v>
      </c>
      <c r="H212" s="5" t="s">
        <v>61</v>
      </c>
      <c r="I212" s="5"/>
      <c r="J212" s="5"/>
      <c r="K212" s="5">
        <v>217</v>
      </c>
      <c r="L212" s="5">
        <v>18</v>
      </c>
      <c r="M212" s="5">
        <v>3</v>
      </c>
      <c r="N212" s="5" t="s">
        <v>3</v>
      </c>
      <c r="O212" s="5">
        <v>2</v>
      </c>
      <c r="P212" s="5">
        <f>ROUND(Source!EM193,O212)</f>
        <v>0</v>
      </c>
      <c r="Q212" s="5"/>
      <c r="R212" s="5"/>
      <c r="S212" s="5"/>
      <c r="T212" s="5"/>
      <c r="U212" s="5"/>
      <c r="V212" s="5"/>
      <c r="W212" s="5">
        <v>0</v>
      </c>
      <c r="X212" s="5">
        <v>1</v>
      </c>
      <c r="Y212" s="5">
        <v>0</v>
      </c>
      <c r="Z212" s="5">
        <v>0</v>
      </c>
      <c r="AA212" s="5">
        <v>1</v>
      </c>
      <c r="AB212" s="5">
        <v>0</v>
      </c>
    </row>
    <row r="213" spans="1:88" x14ac:dyDescent="0.2">
      <c r="A213" s="5">
        <v>50</v>
      </c>
      <c r="B213" s="5">
        <v>0</v>
      </c>
      <c r="C213" s="5">
        <v>0</v>
      </c>
      <c r="D213" s="5">
        <v>1</v>
      </c>
      <c r="E213" s="5">
        <v>230</v>
      </c>
      <c r="F213" s="5">
        <f>ROUND(Source!BA193,O213)</f>
        <v>0</v>
      </c>
      <c r="G213" s="5" t="s">
        <v>62</v>
      </c>
      <c r="H213" s="5" t="s">
        <v>63</v>
      </c>
      <c r="I213" s="5"/>
      <c r="J213" s="5"/>
      <c r="K213" s="5">
        <v>230</v>
      </c>
      <c r="L213" s="5">
        <v>19</v>
      </c>
      <c r="M213" s="5">
        <v>3</v>
      </c>
      <c r="N213" s="5" t="s">
        <v>3</v>
      </c>
      <c r="O213" s="5">
        <v>2</v>
      </c>
      <c r="P213" s="5">
        <f>ROUND(Source!ES193,O213)</f>
        <v>0</v>
      </c>
      <c r="Q213" s="5"/>
      <c r="R213" s="5"/>
      <c r="S213" s="5"/>
      <c r="T213" s="5"/>
      <c r="U213" s="5"/>
      <c r="V213" s="5"/>
      <c r="W213" s="5">
        <v>0</v>
      </c>
      <c r="X213" s="5">
        <v>1</v>
      </c>
      <c r="Y213" s="5">
        <v>0</v>
      </c>
      <c r="Z213" s="5">
        <v>0</v>
      </c>
      <c r="AA213" s="5">
        <v>1</v>
      </c>
      <c r="AB213" s="5">
        <v>0</v>
      </c>
    </row>
    <row r="214" spans="1:88" x14ac:dyDescent="0.2">
      <c r="A214" s="5">
        <v>50</v>
      </c>
      <c r="B214" s="5">
        <v>0</v>
      </c>
      <c r="C214" s="5">
        <v>0</v>
      </c>
      <c r="D214" s="5">
        <v>1</v>
      </c>
      <c r="E214" s="5">
        <v>206</v>
      </c>
      <c r="F214" s="5">
        <f>ROUND(Source!T193,O214)</f>
        <v>0</v>
      </c>
      <c r="G214" s="5" t="s">
        <v>64</v>
      </c>
      <c r="H214" s="5" t="s">
        <v>65</v>
      </c>
      <c r="I214" s="5"/>
      <c r="J214" s="5"/>
      <c r="K214" s="5">
        <v>206</v>
      </c>
      <c r="L214" s="5">
        <v>20</v>
      </c>
      <c r="M214" s="5">
        <v>3</v>
      </c>
      <c r="N214" s="5" t="s">
        <v>3</v>
      </c>
      <c r="O214" s="5">
        <v>2</v>
      </c>
      <c r="P214" s="5">
        <f>ROUND(Source!DL193,O214)</f>
        <v>0</v>
      </c>
      <c r="Q214" s="5"/>
      <c r="R214" s="5"/>
      <c r="S214" s="5"/>
      <c r="T214" s="5"/>
      <c r="U214" s="5"/>
      <c r="V214" s="5"/>
      <c r="W214" s="5">
        <v>0</v>
      </c>
      <c r="X214" s="5">
        <v>1</v>
      </c>
      <c r="Y214" s="5">
        <v>0</v>
      </c>
      <c r="Z214" s="5">
        <v>0</v>
      </c>
      <c r="AA214" s="5">
        <v>1</v>
      </c>
      <c r="AB214" s="5">
        <v>0</v>
      </c>
    </row>
    <row r="215" spans="1:88" x14ac:dyDescent="0.2">
      <c r="A215" s="5">
        <v>50</v>
      </c>
      <c r="B215" s="5">
        <v>0</v>
      </c>
      <c r="C215" s="5">
        <v>0</v>
      </c>
      <c r="D215" s="5">
        <v>1</v>
      </c>
      <c r="E215" s="5">
        <v>207</v>
      </c>
      <c r="F215" s="5">
        <f>Source!U193</f>
        <v>288.509478</v>
      </c>
      <c r="G215" s="5" t="s">
        <v>66</v>
      </c>
      <c r="H215" s="5" t="s">
        <v>67</v>
      </c>
      <c r="I215" s="5"/>
      <c r="J215" s="5"/>
      <c r="K215" s="5">
        <v>207</v>
      </c>
      <c r="L215" s="5">
        <v>21</v>
      </c>
      <c r="M215" s="5">
        <v>3</v>
      </c>
      <c r="N215" s="5" t="s">
        <v>3</v>
      </c>
      <c r="O215" s="5">
        <v>-1</v>
      </c>
      <c r="P215" s="5">
        <f>Source!DM193</f>
        <v>288.509478</v>
      </c>
      <c r="Q215" s="5"/>
      <c r="R215" s="5"/>
      <c r="S215" s="5"/>
      <c r="T215" s="5"/>
      <c r="U215" s="5"/>
      <c r="V215" s="5"/>
      <c r="W215" s="5">
        <v>288.509478</v>
      </c>
      <c r="X215" s="5">
        <v>1</v>
      </c>
      <c r="Y215" s="5">
        <v>288.509478</v>
      </c>
      <c r="Z215" s="5">
        <v>288.509478</v>
      </c>
      <c r="AA215" s="5">
        <v>1</v>
      </c>
      <c r="AB215" s="5">
        <v>288.509478</v>
      </c>
    </row>
    <row r="216" spans="1:88" x14ac:dyDescent="0.2">
      <c r="A216" s="5">
        <v>50</v>
      </c>
      <c r="B216" s="5">
        <v>0</v>
      </c>
      <c r="C216" s="5">
        <v>0</v>
      </c>
      <c r="D216" s="5">
        <v>1</v>
      </c>
      <c r="E216" s="5">
        <v>208</v>
      </c>
      <c r="F216" s="5">
        <f>Source!V193</f>
        <v>0</v>
      </c>
      <c r="G216" s="5" t="s">
        <v>68</v>
      </c>
      <c r="H216" s="5" t="s">
        <v>69</v>
      </c>
      <c r="I216" s="5"/>
      <c r="J216" s="5"/>
      <c r="K216" s="5">
        <v>208</v>
      </c>
      <c r="L216" s="5">
        <v>22</v>
      </c>
      <c r="M216" s="5">
        <v>3</v>
      </c>
      <c r="N216" s="5" t="s">
        <v>3</v>
      </c>
      <c r="O216" s="5">
        <v>-1</v>
      </c>
      <c r="P216" s="5">
        <f>Source!DN193</f>
        <v>0</v>
      </c>
      <c r="Q216" s="5"/>
      <c r="R216" s="5"/>
      <c r="S216" s="5"/>
      <c r="T216" s="5"/>
      <c r="U216" s="5"/>
      <c r="V216" s="5"/>
      <c r="W216" s="5">
        <v>0</v>
      </c>
      <c r="X216" s="5">
        <v>1</v>
      </c>
      <c r="Y216" s="5">
        <v>0</v>
      </c>
      <c r="Z216" s="5">
        <v>0</v>
      </c>
      <c r="AA216" s="5">
        <v>1</v>
      </c>
      <c r="AB216" s="5">
        <v>0</v>
      </c>
    </row>
    <row r="217" spans="1:88" x14ac:dyDescent="0.2">
      <c r="A217" s="5">
        <v>50</v>
      </c>
      <c r="B217" s="5">
        <v>0</v>
      </c>
      <c r="C217" s="5">
        <v>0</v>
      </c>
      <c r="D217" s="5">
        <v>1</v>
      </c>
      <c r="E217" s="5">
        <v>209</v>
      </c>
      <c r="F217" s="5">
        <f>ROUND(Source!W193,O217)</f>
        <v>0</v>
      </c>
      <c r="G217" s="5" t="s">
        <v>70</v>
      </c>
      <c r="H217" s="5" t="s">
        <v>71</v>
      </c>
      <c r="I217" s="5"/>
      <c r="J217" s="5"/>
      <c r="K217" s="5">
        <v>209</v>
      </c>
      <c r="L217" s="5">
        <v>23</v>
      </c>
      <c r="M217" s="5">
        <v>3</v>
      </c>
      <c r="N217" s="5" t="s">
        <v>3</v>
      </c>
      <c r="O217" s="5">
        <v>2</v>
      </c>
      <c r="P217" s="5">
        <f>ROUND(Source!DO193,O217)</f>
        <v>0</v>
      </c>
      <c r="Q217" s="5"/>
      <c r="R217" s="5"/>
      <c r="S217" s="5"/>
      <c r="T217" s="5"/>
      <c r="U217" s="5"/>
      <c r="V217" s="5"/>
      <c r="W217" s="5">
        <v>0</v>
      </c>
      <c r="X217" s="5">
        <v>1</v>
      </c>
      <c r="Y217" s="5">
        <v>0</v>
      </c>
      <c r="Z217" s="5">
        <v>0</v>
      </c>
      <c r="AA217" s="5">
        <v>1</v>
      </c>
      <c r="AB217" s="5">
        <v>0</v>
      </c>
    </row>
    <row r="218" spans="1:88" x14ac:dyDescent="0.2">
      <c r="A218" s="5">
        <v>50</v>
      </c>
      <c r="B218" s="5">
        <v>0</v>
      </c>
      <c r="C218" s="5">
        <v>0</v>
      </c>
      <c r="D218" s="5">
        <v>1</v>
      </c>
      <c r="E218" s="5">
        <v>233</v>
      </c>
      <c r="F218" s="5">
        <f>ROUND(Source!BD193,O218)</f>
        <v>0</v>
      </c>
      <c r="G218" s="5" t="s">
        <v>72</v>
      </c>
      <c r="H218" s="5" t="s">
        <v>73</v>
      </c>
      <c r="I218" s="5"/>
      <c r="J218" s="5"/>
      <c r="K218" s="5">
        <v>233</v>
      </c>
      <c r="L218" s="5">
        <v>24</v>
      </c>
      <c r="M218" s="5">
        <v>3</v>
      </c>
      <c r="N218" s="5" t="s">
        <v>3</v>
      </c>
      <c r="O218" s="5">
        <v>2</v>
      </c>
      <c r="P218" s="5">
        <f>ROUND(Source!EV193,O218)</f>
        <v>0</v>
      </c>
      <c r="Q218" s="5"/>
      <c r="R218" s="5"/>
      <c r="S218" s="5"/>
      <c r="T218" s="5"/>
      <c r="U218" s="5"/>
      <c r="V218" s="5"/>
      <c r="W218" s="5">
        <v>0</v>
      </c>
      <c r="X218" s="5">
        <v>1</v>
      </c>
      <c r="Y218" s="5">
        <v>0</v>
      </c>
      <c r="Z218" s="5">
        <v>0</v>
      </c>
      <c r="AA218" s="5">
        <v>1</v>
      </c>
      <c r="AB218" s="5">
        <v>0</v>
      </c>
    </row>
    <row r="219" spans="1:88" x14ac:dyDescent="0.2">
      <c r="A219" s="5">
        <v>50</v>
      </c>
      <c r="B219" s="5">
        <v>0</v>
      </c>
      <c r="C219" s="5">
        <v>0</v>
      </c>
      <c r="D219" s="5">
        <v>1</v>
      </c>
      <c r="E219" s="5">
        <v>210</v>
      </c>
      <c r="F219" s="5">
        <f>ROUND(Source!X193,O219)</f>
        <v>2745.96</v>
      </c>
      <c r="G219" s="5" t="s">
        <v>74</v>
      </c>
      <c r="H219" s="5" t="s">
        <v>75</v>
      </c>
      <c r="I219" s="5"/>
      <c r="J219" s="5"/>
      <c r="K219" s="5">
        <v>210</v>
      </c>
      <c r="L219" s="5">
        <v>25</v>
      </c>
      <c r="M219" s="5">
        <v>3</v>
      </c>
      <c r="N219" s="5" t="s">
        <v>3</v>
      </c>
      <c r="O219" s="5">
        <v>2</v>
      </c>
      <c r="P219" s="5">
        <f>ROUND(Source!DP193,O219)</f>
        <v>69549.25</v>
      </c>
      <c r="Q219" s="5"/>
      <c r="R219" s="5"/>
      <c r="S219" s="5"/>
      <c r="T219" s="5"/>
      <c r="U219" s="5"/>
      <c r="V219" s="5"/>
      <c r="W219" s="5">
        <v>2745.96</v>
      </c>
      <c r="X219" s="5">
        <v>1</v>
      </c>
      <c r="Y219" s="5">
        <v>2745.96</v>
      </c>
      <c r="Z219" s="5">
        <v>69549.25</v>
      </c>
      <c r="AA219" s="5">
        <v>1</v>
      </c>
      <c r="AB219" s="5">
        <v>69549.25</v>
      </c>
    </row>
    <row r="220" spans="1:88" x14ac:dyDescent="0.2">
      <c r="A220" s="5">
        <v>50</v>
      </c>
      <c r="B220" s="5">
        <v>0</v>
      </c>
      <c r="C220" s="5">
        <v>0</v>
      </c>
      <c r="D220" s="5">
        <v>1</v>
      </c>
      <c r="E220" s="5">
        <v>211</v>
      </c>
      <c r="F220" s="5">
        <f>ROUND(Source!Y193,O220)</f>
        <v>1906.23</v>
      </c>
      <c r="G220" s="5" t="s">
        <v>76</v>
      </c>
      <c r="H220" s="5" t="s">
        <v>77</v>
      </c>
      <c r="I220" s="5"/>
      <c r="J220" s="5"/>
      <c r="K220" s="5">
        <v>211</v>
      </c>
      <c r="L220" s="5">
        <v>26</v>
      </c>
      <c r="M220" s="5">
        <v>3</v>
      </c>
      <c r="N220" s="5" t="s">
        <v>3</v>
      </c>
      <c r="O220" s="5">
        <v>2</v>
      </c>
      <c r="P220" s="5">
        <f>ROUND(Source!DQ193,O220)</f>
        <v>40735.97</v>
      </c>
      <c r="Q220" s="5"/>
      <c r="R220" s="5"/>
      <c r="S220" s="5"/>
      <c r="T220" s="5"/>
      <c r="U220" s="5"/>
      <c r="V220" s="5"/>
      <c r="W220" s="5">
        <v>1906.23</v>
      </c>
      <c r="X220" s="5">
        <v>1</v>
      </c>
      <c r="Y220" s="5">
        <v>1906.23</v>
      </c>
      <c r="Z220" s="5">
        <v>40735.97</v>
      </c>
      <c r="AA220" s="5">
        <v>1</v>
      </c>
      <c r="AB220" s="5">
        <v>40735.97</v>
      </c>
    </row>
    <row r="221" spans="1:88" x14ac:dyDescent="0.2">
      <c r="A221" s="5">
        <v>50</v>
      </c>
      <c r="B221" s="5">
        <v>0</v>
      </c>
      <c r="C221" s="5">
        <v>0</v>
      </c>
      <c r="D221" s="5">
        <v>1</v>
      </c>
      <c r="E221" s="5">
        <v>224</v>
      </c>
      <c r="F221" s="5">
        <f>ROUND(Source!AR193,O221)</f>
        <v>11398.33</v>
      </c>
      <c r="G221" s="5" t="s">
        <v>78</v>
      </c>
      <c r="H221" s="5" t="s">
        <v>79</v>
      </c>
      <c r="I221" s="5"/>
      <c r="J221" s="5"/>
      <c r="K221" s="5">
        <v>224</v>
      </c>
      <c r="L221" s="5">
        <v>27</v>
      </c>
      <c r="M221" s="5">
        <v>3</v>
      </c>
      <c r="N221" s="5" t="s">
        <v>3</v>
      </c>
      <c r="O221" s="5">
        <v>2</v>
      </c>
      <c r="P221" s="5">
        <f>ROUND(Source!EJ193,O221)</f>
        <v>262924.21999999997</v>
      </c>
      <c r="Q221" s="5"/>
      <c r="R221" s="5"/>
      <c r="S221" s="5"/>
      <c r="T221" s="5"/>
      <c r="U221" s="5"/>
      <c r="V221" s="5"/>
      <c r="W221" s="5">
        <v>11398.33</v>
      </c>
      <c r="X221" s="5">
        <v>1</v>
      </c>
      <c r="Y221" s="5">
        <v>11398.33</v>
      </c>
      <c r="Z221" s="5">
        <v>262924.21999999997</v>
      </c>
      <c r="AA221" s="5">
        <v>1</v>
      </c>
      <c r="AB221" s="5">
        <v>262924.21999999997</v>
      </c>
    </row>
    <row r="223" spans="1:88" x14ac:dyDescent="0.2">
      <c r="A223" s="1">
        <v>4</v>
      </c>
      <c r="B223" s="1">
        <v>1</v>
      </c>
      <c r="C223" s="1"/>
      <c r="D223" s="1">
        <f>ROW(A348)</f>
        <v>348</v>
      </c>
      <c r="E223" s="1"/>
      <c r="F223" s="1" t="s">
        <v>16</v>
      </c>
      <c r="G223" s="1" t="s">
        <v>80</v>
      </c>
      <c r="H223" s="1" t="s">
        <v>3</v>
      </c>
      <c r="I223" s="1">
        <v>0</v>
      </c>
      <c r="J223" s="1"/>
      <c r="K223" s="1">
        <v>0</v>
      </c>
      <c r="L223" s="1"/>
      <c r="M223" s="1" t="s">
        <v>3</v>
      </c>
      <c r="N223" s="1"/>
      <c r="O223" s="1"/>
      <c r="P223" s="1"/>
      <c r="Q223" s="1"/>
      <c r="R223" s="1"/>
      <c r="S223" s="1">
        <v>0</v>
      </c>
      <c r="T223" s="1">
        <v>0</v>
      </c>
      <c r="U223" s="1" t="s">
        <v>3</v>
      </c>
      <c r="V223" s="1">
        <v>0</v>
      </c>
      <c r="W223" s="1"/>
      <c r="X223" s="1"/>
      <c r="Y223" s="1"/>
      <c r="Z223" s="1"/>
      <c r="AA223" s="1"/>
      <c r="AB223" s="1" t="s">
        <v>3</v>
      </c>
      <c r="AC223" s="1" t="s">
        <v>3</v>
      </c>
      <c r="AD223" s="1" t="s">
        <v>3</v>
      </c>
      <c r="AE223" s="1" t="s">
        <v>3</v>
      </c>
      <c r="AF223" s="1" t="s">
        <v>3</v>
      </c>
      <c r="AG223" s="1" t="s">
        <v>3</v>
      </c>
      <c r="AH223" s="1"/>
      <c r="AI223" s="1"/>
      <c r="AJ223" s="1"/>
      <c r="AK223" s="1"/>
      <c r="AL223" s="1"/>
      <c r="AM223" s="1"/>
      <c r="AN223" s="1"/>
      <c r="AO223" s="1"/>
      <c r="AP223" s="1" t="s">
        <v>3</v>
      </c>
      <c r="AQ223" s="1" t="s">
        <v>3</v>
      </c>
      <c r="AR223" s="1" t="s">
        <v>3</v>
      </c>
      <c r="AS223" s="1"/>
      <c r="AT223" s="1"/>
      <c r="AU223" s="1"/>
      <c r="AV223" s="1"/>
      <c r="AW223" s="1"/>
      <c r="AX223" s="1"/>
      <c r="AY223" s="1"/>
      <c r="AZ223" s="1" t="s">
        <v>3</v>
      </c>
      <c r="BA223" s="1"/>
      <c r="BB223" s="1" t="s">
        <v>3</v>
      </c>
      <c r="BC223" s="1" t="s">
        <v>3</v>
      </c>
      <c r="BD223" s="1" t="s">
        <v>3</v>
      </c>
      <c r="BE223" s="1" t="s">
        <v>3</v>
      </c>
      <c r="BF223" s="1" t="s">
        <v>3</v>
      </c>
      <c r="BG223" s="1" t="s">
        <v>3</v>
      </c>
      <c r="BH223" s="1" t="s">
        <v>3</v>
      </c>
      <c r="BI223" s="1" t="s">
        <v>3</v>
      </c>
      <c r="BJ223" s="1" t="s">
        <v>3</v>
      </c>
      <c r="BK223" s="1" t="s">
        <v>3</v>
      </c>
      <c r="BL223" s="1" t="s">
        <v>3</v>
      </c>
      <c r="BM223" s="1" t="s">
        <v>3</v>
      </c>
      <c r="BN223" s="1" t="s">
        <v>3</v>
      </c>
      <c r="BO223" s="1" t="s">
        <v>3</v>
      </c>
      <c r="BP223" s="1" t="s">
        <v>3</v>
      </c>
      <c r="BQ223" s="1"/>
      <c r="BR223" s="1"/>
      <c r="BS223" s="1"/>
      <c r="BT223" s="1"/>
      <c r="BU223" s="1"/>
      <c r="BV223" s="1"/>
      <c r="BW223" s="1"/>
      <c r="BX223" s="1">
        <v>0</v>
      </c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>
        <v>0</v>
      </c>
    </row>
    <row r="225" spans="1:255" x14ac:dyDescent="0.2">
      <c r="A225" s="3">
        <v>52</v>
      </c>
      <c r="B225" s="3">
        <f t="shared" ref="B225:G225" si="142">B348</f>
        <v>1</v>
      </c>
      <c r="C225" s="3">
        <f t="shared" si="142"/>
        <v>4</v>
      </c>
      <c r="D225" s="3">
        <f t="shared" si="142"/>
        <v>223</v>
      </c>
      <c r="E225" s="3">
        <f t="shared" si="142"/>
        <v>0</v>
      </c>
      <c r="F225" s="3" t="str">
        <f t="shared" si="142"/>
        <v>Новый раздел</v>
      </c>
      <c r="G225" s="3" t="str">
        <f t="shared" si="142"/>
        <v>Монтажные работы</v>
      </c>
      <c r="H225" s="3"/>
      <c r="I225" s="3"/>
      <c r="J225" s="3"/>
      <c r="K225" s="3"/>
      <c r="L225" s="3"/>
      <c r="M225" s="3"/>
      <c r="N225" s="3"/>
      <c r="O225" s="3">
        <f t="shared" ref="O225:AT225" si="143">O348</f>
        <v>35083.370000000003</v>
      </c>
      <c r="P225" s="3">
        <f t="shared" si="143"/>
        <v>30793.14</v>
      </c>
      <c r="Q225" s="3">
        <f t="shared" si="143"/>
        <v>223.47</v>
      </c>
      <c r="R225" s="3">
        <f t="shared" si="143"/>
        <v>36.44</v>
      </c>
      <c r="S225" s="3">
        <f t="shared" si="143"/>
        <v>4066.76</v>
      </c>
      <c r="T225" s="3">
        <f t="shared" si="143"/>
        <v>0</v>
      </c>
      <c r="U225" s="3">
        <f t="shared" si="143"/>
        <v>341.94448945000005</v>
      </c>
      <c r="V225" s="3">
        <f t="shared" si="143"/>
        <v>0</v>
      </c>
      <c r="W225" s="3">
        <f t="shared" si="143"/>
        <v>0</v>
      </c>
      <c r="X225" s="3">
        <f t="shared" si="143"/>
        <v>4058.46</v>
      </c>
      <c r="Y225" s="3">
        <f t="shared" si="143"/>
        <v>2645.6</v>
      </c>
      <c r="Z225" s="3">
        <f t="shared" si="143"/>
        <v>0</v>
      </c>
      <c r="AA225" s="3">
        <f t="shared" si="143"/>
        <v>0</v>
      </c>
      <c r="AB225" s="3">
        <f t="shared" si="143"/>
        <v>35083.370000000003</v>
      </c>
      <c r="AC225" s="3">
        <f t="shared" si="143"/>
        <v>30793.14</v>
      </c>
      <c r="AD225" s="3">
        <f t="shared" si="143"/>
        <v>223.47</v>
      </c>
      <c r="AE225" s="3">
        <f t="shared" si="143"/>
        <v>36.44</v>
      </c>
      <c r="AF225" s="3">
        <f t="shared" si="143"/>
        <v>4066.76</v>
      </c>
      <c r="AG225" s="3">
        <f t="shared" si="143"/>
        <v>0</v>
      </c>
      <c r="AH225" s="3">
        <f t="shared" si="143"/>
        <v>341.94448945000005</v>
      </c>
      <c r="AI225" s="3">
        <f t="shared" si="143"/>
        <v>0</v>
      </c>
      <c r="AJ225" s="3">
        <f t="shared" si="143"/>
        <v>0</v>
      </c>
      <c r="AK225" s="3">
        <f t="shared" si="143"/>
        <v>4058.46</v>
      </c>
      <c r="AL225" s="3">
        <f t="shared" si="143"/>
        <v>2645.6</v>
      </c>
      <c r="AM225" s="3">
        <f t="shared" si="143"/>
        <v>0</v>
      </c>
      <c r="AN225" s="3">
        <f t="shared" si="143"/>
        <v>0</v>
      </c>
      <c r="AO225" s="3">
        <f t="shared" si="143"/>
        <v>0</v>
      </c>
      <c r="AP225" s="3">
        <f t="shared" si="143"/>
        <v>0</v>
      </c>
      <c r="AQ225" s="3">
        <f t="shared" si="143"/>
        <v>0</v>
      </c>
      <c r="AR225" s="3">
        <f t="shared" si="143"/>
        <v>41851.22</v>
      </c>
      <c r="AS225" s="3">
        <f t="shared" si="143"/>
        <v>41851.22</v>
      </c>
      <c r="AT225" s="3">
        <f t="shared" si="143"/>
        <v>0</v>
      </c>
      <c r="AU225" s="3">
        <f t="shared" ref="AU225:BZ225" si="144">AU348</f>
        <v>0</v>
      </c>
      <c r="AV225" s="3">
        <f t="shared" si="144"/>
        <v>30793.14</v>
      </c>
      <c r="AW225" s="3">
        <f t="shared" si="144"/>
        <v>30793.14</v>
      </c>
      <c r="AX225" s="3">
        <f t="shared" si="144"/>
        <v>0</v>
      </c>
      <c r="AY225" s="3">
        <f t="shared" si="144"/>
        <v>30793.14</v>
      </c>
      <c r="AZ225" s="3">
        <f t="shared" si="144"/>
        <v>0</v>
      </c>
      <c r="BA225" s="3">
        <f t="shared" si="144"/>
        <v>0</v>
      </c>
      <c r="BB225" s="3">
        <f t="shared" si="144"/>
        <v>0</v>
      </c>
      <c r="BC225" s="3">
        <f t="shared" si="144"/>
        <v>0</v>
      </c>
      <c r="BD225" s="3">
        <f t="shared" si="144"/>
        <v>0</v>
      </c>
      <c r="BE225" s="3">
        <f t="shared" si="144"/>
        <v>0</v>
      </c>
      <c r="BF225" s="3">
        <f t="shared" si="144"/>
        <v>0</v>
      </c>
      <c r="BG225" s="3">
        <f t="shared" si="144"/>
        <v>0</v>
      </c>
      <c r="BH225" s="3">
        <f t="shared" si="144"/>
        <v>0</v>
      </c>
      <c r="BI225" s="3">
        <f t="shared" si="144"/>
        <v>0</v>
      </c>
      <c r="BJ225" s="3">
        <f t="shared" si="144"/>
        <v>0</v>
      </c>
      <c r="BK225" s="3">
        <f t="shared" si="144"/>
        <v>0</v>
      </c>
      <c r="BL225" s="3">
        <f t="shared" si="144"/>
        <v>0</v>
      </c>
      <c r="BM225" s="3">
        <f t="shared" si="144"/>
        <v>0</v>
      </c>
      <c r="BN225" s="3">
        <f t="shared" si="144"/>
        <v>0</v>
      </c>
      <c r="BO225" s="3">
        <f t="shared" si="144"/>
        <v>0</v>
      </c>
      <c r="BP225" s="3">
        <f t="shared" si="144"/>
        <v>0</v>
      </c>
      <c r="BQ225" s="3">
        <f t="shared" si="144"/>
        <v>0</v>
      </c>
      <c r="BR225" s="3">
        <f t="shared" si="144"/>
        <v>0</v>
      </c>
      <c r="BS225" s="3">
        <f t="shared" si="144"/>
        <v>0</v>
      </c>
      <c r="BT225" s="3">
        <f t="shared" si="144"/>
        <v>0</v>
      </c>
      <c r="BU225" s="3">
        <f t="shared" si="144"/>
        <v>0</v>
      </c>
      <c r="BV225" s="3">
        <f t="shared" si="144"/>
        <v>0</v>
      </c>
      <c r="BW225" s="3">
        <f t="shared" si="144"/>
        <v>0</v>
      </c>
      <c r="BX225" s="3">
        <f t="shared" si="144"/>
        <v>0</v>
      </c>
      <c r="BY225" s="3">
        <f t="shared" si="144"/>
        <v>0</v>
      </c>
      <c r="BZ225" s="3">
        <f t="shared" si="144"/>
        <v>0</v>
      </c>
      <c r="CA225" s="3">
        <f t="shared" ref="CA225:DF225" si="145">CA348</f>
        <v>41851.22</v>
      </c>
      <c r="CB225" s="3">
        <f t="shared" si="145"/>
        <v>41851.22</v>
      </c>
      <c r="CC225" s="3">
        <f t="shared" si="145"/>
        <v>0</v>
      </c>
      <c r="CD225" s="3">
        <f t="shared" si="145"/>
        <v>0</v>
      </c>
      <c r="CE225" s="3">
        <f t="shared" si="145"/>
        <v>30793.14</v>
      </c>
      <c r="CF225" s="3">
        <f t="shared" si="145"/>
        <v>30793.14</v>
      </c>
      <c r="CG225" s="3">
        <f t="shared" si="145"/>
        <v>0</v>
      </c>
      <c r="CH225" s="3">
        <f t="shared" si="145"/>
        <v>30793.14</v>
      </c>
      <c r="CI225" s="3">
        <f t="shared" si="145"/>
        <v>0</v>
      </c>
      <c r="CJ225" s="3">
        <f t="shared" si="145"/>
        <v>0</v>
      </c>
      <c r="CK225" s="3">
        <f t="shared" si="145"/>
        <v>0</v>
      </c>
      <c r="CL225" s="3">
        <f t="shared" si="145"/>
        <v>0</v>
      </c>
      <c r="CM225" s="3">
        <f t="shared" si="145"/>
        <v>0</v>
      </c>
      <c r="CN225" s="3">
        <f t="shared" si="145"/>
        <v>0</v>
      </c>
      <c r="CO225" s="3">
        <f t="shared" si="145"/>
        <v>0</v>
      </c>
      <c r="CP225" s="3">
        <f t="shared" si="145"/>
        <v>0</v>
      </c>
      <c r="CQ225" s="3">
        <f t="shared" si="145"/>
        <v>0</v>
      </c>
      <c r="CR225" s="3">
        <f t="shared" si="145"/>
        <v>0</v>
      </c>
      <c r="CS225" s="3">
        <f t="shared" si="145"/>
        <v>0</v>
      </c>
      <c r="CT225" s="3">
        <f t="shared" si="145"/>
        <v>0</v>
      </c>
      <c r="CU225" s="3">
        <f t="shared" si="145"/>
        <v>0</v>
      </c>
      <c r="CV225" s="3">
        <f t="shared" si="145"/>
        <v>0</v>
      </c>
      <c r="CW225" s="3">
        <f t="shared" si="145"/>
        <v>0</v>
      </c>
      <c r="CX225" s="3">
        <f t="shared" si="145"/>
        <v>0</v>
      </c>
      <c r="CY225" s="3">
        <f t="shared" si="145"/>
        <v>0</v>
      </c>
      <c r="CZ225" s="3">
        <f t="shared" si="145"/>
        <v>0</v>
      </c>
      <c r="DA225" s="3">
        <f t="shared" si="145"/>
        <v>0</v>
      </c>
      <c r="DB225" s="3">
        <f t="shared" si="145"/>
        <v>0</v>
      </c>
      <c r="DC225" s="3">
        <f t="shared" si="145"/>
        <v>0</v>
      </c>
      <c r="DD225" s="3">
        <f t="shared" si="145"/>
        <v>0</v>
      </c>
      <c r="DE225" s="3">
        <f t="shared" si="145"/>
        <v>0</v>
      </c>
      <c r="DF225" s="3">
        <f t="shared" si="145"/>
        <v>0</v>
      </c>
      <c r="DG225" s="4">
        <f t="shared" ref="DG225:EL225" si="146">DG348</f>
        <v>641330.06999999995</v>
      </c>
      <c r="DH225" s="4">
        <f t="shared" si="146"/>
        <v>520613.4</v>
      </c>
      <c r="DI225" s="4">
        <f t="shared" si="146"/>
        <v>2658.62</v>
      </c>
      <c r="DJ225" s="4">
        <f t="shared" si="146"/>
        <v>1057.8399999999999</v>
      </c>
      <c r="DK225" s="4">
        <f t="shared" si="146"/>
        <v>118058.05</v>
      </c>
      <c r="DL225" s="4">
        <f t="shared" si="146"/>
        <v>0</v>
      </c>
      <c r="DM225" s="4">
        <f t="shared" si="146"/>
        <v>341.94448945000005</v>
      </c>
      <c r="DN225" s="4">
        <f t="shared" si="146"/>
        <v>0</v>
      </c>
      <c r="DO225" s="4">
        <f t="shared" si="146"/>
        <v>0</v>
      </c>
      <c r="DP225" s="4">
        <f t="shared" si="146"/>
        <v>97786.18</v>
      </c>
      <c r="DQ225" s="4">
        <f t="shared" si="146"/>
        <v>48403.8</v>
      </c>
      <c r="DR225" s="4">
        <f t="shared" si="146"/>
        <v>0</v>
      </c>
      <c r="DS225" s="4">
        <f t="shared" si="146"/>
        <v>0</v>
      </c>
      <c r="DT225" s="4">
        <f t="shared" si="146"/>
        <v>641330.06999999995</v>
      </c>
      <c r="DU225" s="4">
        <f t="shared" si="146"/>
        <v>520613.4</v>
      </c>
      <c r="DV225" s="4">
        <f t="shared" si="146"/>
        <v>2658.62</v>
      </c>
      <c r="DW225" s="4">
        <f t="shared" si="146"/>
        <v>1057.8399999999999</v>
      </c>
      <c r="DX225" s="4">
        <f t="shared" si="146"/>
        <v>118058.05</v>
      </c>
      <c r="DY225" s="4">
        <f t="shared" si="146"/>
        <v>0</v>
      </c>
      <c r="DZ225" s="4">
        <f t="shared" si="146"/>
        <v>341.94448945000005</v>
      </c>
      <c r="EA225" s="4">
        <f t="shared" si="146"/>
        <v>0</v>
      </c>
      <c r="EB225" s="4">
        <f t="shared" si="146"/>
        <v>0</v>
      </c>
      <c r="EC225" s="4">
        <f t="shared" si="146"/>
        <v>97786.18</v>
      </c>
      <c r="ED225" s="4">
        <f t="shared" si="146"/>
        <v>48403.8</v>
      </c>
      <c r="EE225" s="4">
        <f t="shared" si="146"/>
        <v>0</v>
      </c>
      <c r="EF225" s="4">
        <f t="shared" si="146"/>
        <v>0</v>
      </c>
      <c r="EG225" s="4">
        <f t="shared" si="146"/>
        <v>0</v>
      </c>
      <c r="EH225" s="4">
        <f t="shared" si="146"/>
        <v>0</v>
      </c>
      <c r="EI225" s="4">
        <f t="shared" si="146"/>
        <v>0</v>
      </c>
      <c r="EJ225" s="4">
        <f t="shared" si="146"/>
        <v>789212.58</v>
      </c>
      <c r="EK225" s="4">
        <f t="shared" si="146"/>
        <v>789212.58</v>
      </c>
      <c r="EL225" s="4">
        <f t="shared" si="146"/>
        <v>0</v>
      </c>
      <c r="EM225" s="4">
        <f t="shared" ref="EM225:FR225" si="147">EM348</f>
        <v>0</v>
      </c>
      <c r="EN225" s="4">
        <f t="shared" si="147"/>
        <v>520613.4</v>
      </c>
      <c r="EO225" s="4">
        <f t="shared" si="147"/>
        <v>520613.4</v>
      </c>
      <c r="EP225" s="4">
        <f t="shared" si="147"/>
        <v>0</v>
      </c>
      <c r="EQ225" s="4">
        <f t="shared" si="147"/>
        <v>520613.4</v>
      </c>
      <c r="ER225" s="4">
        <f t="shared" si="147"/>
        <v>0</v>
      </c>
      <c r="ES225" s="4">
        <f t="shared" si="147"/>
        <v>0</v>
      </c>
      <c r="ET225" s="4">
        <f t="shared" si="147"/>
        <v>0</v>
      </c>
      <c r="EU225" s="4">
        <f t="shared" si="147"/>
        <v>0</v>
      </c>
      <c r="EV225" s="4">
        <f t="shared" si="147"/>
        <v>0</v>
      </c>
      <c r="EW225" s="4">
        <f t="shared" si="147"/>
        <v>0</v>
      </c>
      <c r="EX225" s="4">
        <f t="shared" si="147"/>
        <v>0</v>
      </c>
      <c r="EY225" s="4">
        <f t="shared" si="147"/>
        <v>0</v>
      </c>
      <c r="EZ225" s="4">
        <f t="shared" si="147"/>
        <v>0</v>
      </c>
      <c r="FA225" s="4">
        <f t="shared" si="147"/>
        <v>0</v>
      </c>
      <c r="FB225" s="4">
        <f t="shared" si="147"/>
        <v>0</v>
      </c>
      <c r="FC225" s="4">
        <f t="shared" si="147"/>
        <v>0</v>
      </c>
      <c r="FD225" s="4">
        <f t="shared" si="147"/>
        <v>0</v>
      </c>
      <c r="FE225" s="4">
        <f t="shared" si="147"/>
        <v>0</v>
      </c>
      <c r="FF225" s="4">
        <f t="shared" si="147"/>
        <v>0</v>
      </c>
      <c r="FG225" s="4">
        <f t="shared" si="147"/>
        <v>0</v>
      </c>
      <c r="FH225" s="4">
        <f t="shared" si="147"/>
        <v>0</v>
      </c>
      <c r="FI225" s="4">
        <f t="shared" si="147"/>
        <v>0</v>
      </c>
      <c r="FJ225" s="4">
        <f t="shared" si="147"/>
        <v>0</v>
      </c>
      <c r="FK225" s="4">
        <f t="shared" si="147"/>
        <v>0</v>
      </c>
      <c r="FL225" s="4">
        <f t="shared" si="147"/>
        <v>0</v>
      </c>
      <c r="FM225" s="4">
        <f t="shared" si="147"/>
        <v>0</v>
      </c>
      <c r="FN225" s="4">
        <f t="shared" si="147"/>
        <v>0</v>
      </c>
      <c r="FO225" s="4">
        <f t="shared" si="147"/>
        <v>0</v>
      </c>
      <c r="FP225" s="4">
        <f t="shared" si="147"/>
        <v>0</v>
      </c>
      <c r="FQ225" s="4">
        <f t="shared" si="147"/>
        <v>0</v>
      </c>
      <c r="FR225" s="4">
        <f t="shared" si="147"/>
        <v>0</v>
      </c>
      <c r="FS225" s="4">
        <f t="shared" ref="FS225:GX225" si="148">FS348</f>
        <v>789212.58</v>
      </c>
      <c r="FT225" s="4">
        <f t="shared" si="148"/>
        <v>789212.58</v>
      </c>
      <c r="FU225" s="4">
        <f t="shared" si="148"/>
        <v>0</v>
      </c>
      <c r="FV225" s="4">
        <f t="shared" si="148"/>
        <v>0</v>
      </c>
      <c r="FW225" s="4">
        <f t="shared" si="148"/>
        <v>520613.4</v>
      </c>
      <c r="FX225" s="4">
        <f t="shared" si="148"/>
        <v>520613.4</v>
      </c>
      <c r="FY225" s="4">
        <f t="shared" si="148"/>
        <v>0</v>
      </c>
      <c r="FZ225" s="4">
        <f t="shared" si="148"/>
        <v>520613.4</v>
      </c>
      <c r="GA225" s="4">
        <f t="shared" si="148"/>
        <v>0</v>
      </c>
      <c r="GB225" s="4">
        <f t="shared" si="148"/>
        <v>0</v>
      </c>
      <c r="GC225" s="4">
        <f t="shared" si="148"/>
        <v>0</v>
      </c>
      <c r="GD225" s="4">
        <f t="shared" si="148"/>
        <v>0</v>
      </c>
      <c r="GE225" s="4">
        <f t="shared" si="148"/>
        <v>0</v>
      </c>
      <c r="GF225" s="4">
        <f t="shared" si="148"/>
        <v>0</v>
      </c>
      <c r="GG225" s="4">
        <f t="shared" si="148"/>
        <v>0</v>
      </c>
      <c r="GH225" s="4">
        <f t="shared" si="148"/>
        <v>0</v>
      </c>
      <c r="GI225" s="4">
        <f t="shared" si="148"/>
        <v>0</v>
      </c>
      <c r="GJ225" s="4">
        <f t="shared" si="148"/>
        <v>0</v>
      </c>
      <c r="GK225" s="4">
        <f t="shared" si="148"/>
        <v>0</v>
      </c>
      <c r="GL225" s="4">
        <f t="shared" si="148"/>
        <v>0</v>
      </c>
      <c r="GM225" s="4">
        <f t="shared" si="148"/>
        <v>0</v>
      </c>
      <c r="GN225" s="4">
        <f t="shared" si="148"/>
        <v>0</v>
      </c>
      <c r="GO225" s="4">
        <f t="shared" si="148"/>
        <v>0</v>
      </c>
      <c r="GP225" s="4">
        <f t="shared" si="148"/>
        <v>0</v>
      </c>
      <c r="GQ225" s="4">
        <f t="shared" si="148"/>
        <v>0</v>
      </c>
      <c r="GR225" s="4">
        <f t="shared" si="148"/>
        <v>0</v>
      </c>
      <c r="GS225" s="4">
        <f t="shared" si="148"/>
        <v>0</v>
      </c>
      <c r="GT225" s="4">
        <f t="shared" si="148"/>
        <v>0</v>
      </c>
      <c r="GU225" s="4">
        <f t="shared" si="148"/>
        <v>0</v>
      </c>
      <c r="GV225" s="4">
        <f t="shared" si="148"/>
        <v>0</v>
      </c>
      <c r="GW225" s="4">
        <f t="shared" si="148"/>
        <v>0</v>
      </c>
      <c r="GX225" s="4">
        <f t="shared" si="148"/>
        <v>0</v>
      </c>
    </row>
    <row r="227" spans="1:255" x14ac:dyDescent="0.2">
      <c r="A227" s="2">
        <v>17</v>
      </c>
      <c r="B227" s="2">
        <v>1</v>
      </c>
      <c r="C227" s="2">
        <f>ROW(SmtRes!A136)</f>
        <v>136</v>
      </c>
      <c r="D227" s="2">
        <f>ROW(EtalonRes!A141)</f>
        <v>141</v>
      </c>
      <c r="E227" s="2" t="s">
        <v>218</v>
      </c>
      <c r="F227" s="2" t="s">
        <v>219</v>
      </c>
      <c r="G227" s="2" t="s">
        <v>220</v>
      </c>
      <c r="H227" s="2" t="s">
        <v>221</v>
      </c>
      <c r="I227" s="2">
        <v>3.6539999999999999</v>
      </c>
      <c r="J227" s="2">
        <v>0</v>
      </c>
      <c r="K227" s="2">
        <v>3.6539999999999999</v>
      </c>
      <c r="L227" s="2"/>
      <c r="M227" s="2"/>
      <c r="N227" s="2"/>
      <c r="O227" s="2">
        <f t="shared" ref="O227:O258" si="149">ROUND(CP227,2)</f>
        <v>239.19</v>
      </c>
      <c r="P227" s="2">
        <f t="shared" ref="P227:P258" si="150">ROUND((ROUND((AC227*AW227*I227),2)*BC227),2)</f>
        <v>85.83</v>
      </c>
      <c r="Q227" s="2">
        <f>(ROUND((ROUND(((ET227)*AV227*I227),2)*BB227),2)+ROUND((ROUND(((AE227-(EU227))*AV227*I227),2)*BS227),2))</f>
        <v>46.63</v>
      </c>
      <c r="R227" s="2">
        <f t="shared" ref="R227:R258" si="151">ROUND((ROUND((AE227*AV227*I227),2)*BS227),2)</f>
        <v>2.85</v>
      </c>
      <c r="S227" s="2">
        <f t="shared" ref="S227:S258" si="152">ROUND((ROUND((AF227*AV227*I227),2)*BA227),2)</f>
        <v>106.73</v>
      </c>
      <c r="T227" s="2">
        <f t="shared" ref="T227:T258" si="153">ROUND(CU227*I227,2)</f>
        <v>0</v>
      </c>
      <c r="U227" s="2">
        <f t="shared" ref="U227:U258" si="154">CV227*I227</f>
        <v>8.2945799999999998</v>
      </c>
      <c r="V227" s="2">
        <f t="shared" ref="V227:V258" si="155">CW227*I227</f>
        <v>0</v>
      </c>
      <c r="W227" s="2">
        <f t="shared" ref="W227:W258" si="156">ROUND(CX227*I227,2)</f>
        <v>0</v>
      </c>
      <c r="X227" s="2">
        <f t="shared" ref="X227:X258" si="157">ROUND(CY227,2)</f>
        <v>90.72</v>
      </c>
      <c r="Y227" s="2">
        <f t="shared" ref="Y227:Y258" si="158">ROUND(CZ227,2)</f>
        <v>74.709999999999994</v>
      </c>
      <c r="Z227" s="2"/>
      <c r="AA227" s="2">
        <v>129761636</v>
      </c>
      <c r="AB227" s="2">
        <f t="shared" ref="AB227:AB258" si="159">ROUND((AC227+AD227+AF227),6)</f>
        <v>65.459999999999994</v>
      </c>
      <c r="AC227" s="2">
        <f t="shared" ref="AC227:AC258" si="160">ROUND((ES227),6)</f>
        <v>23.49</v>
      </c>
      <c r="AD227" s="2">
        <f>ROUND((((ET227)-(EU227))+AE227),6)</f>
        <v>12.76</v>
      </c>
      <c r="AE227" s="2">
        <f t="shared" ref="AE227:AF230" si="161">ROUND((EU227),6)</f>
        <v>0.78</v>
      </c>
      <c r="AF227" s="2">
        <f t="shared" si="161"/>
        <v>29.21</v>
      </c>
      <c r="AG227" s="2">
        <f t="shared" ref="AG227:AG258" si="162">ROUND((AP227),6)</f>
        <v>0</v>
      </c>
      <c r="AH227" s="2">
        <f t="shared" ref="AH227:AI230" si="163">(EW227)</f>
        <v>2.27</v>
      </c>
      <c r="AI227" s="2">
        <f t="shared" si="163"/>
        <v>0</v>
      </c>
      <c r="AJ227" s="2">
        <f t="shared" ref="AJ227:AJ258" si="164">(AS227)</f>
        <v>0</v>
      </c>
      <c r="AK227" s="2">
        <v>65.459999999999994</v>
      </c>
      <c r="AL227" s="2">
        <v>23.49</v>
      </c>
      <c r="AM227" s="2">
        <v>12.76</v>
      </c>
      <c r="AN227" s="2">
        <v>0.78</v>
      </c>
      <c r="AO227" s="2">
        <v>29.21</v>
      </c>
      <c r="AP227" s="2">
        <v>0</v>
      </c>
      <c r="AQ227" s="2">
        <v>2.27</v>
      </c>
      <c r="AR227" s="2">
        <v>0</v>
      </c>
      <c r="AS227" s="2">
        <v>0</v>
      </c>
      <c r="AT227" s="2">
        <v>85</v>
      </c>
      <c r="AU227" s="2">
        <v>70</v>
      </c>
      <c r="AV227" s="2">
        <v>1</v>
      </c>
      <c r="AW227" s="2">
        <v>1</v>
      </c>
      <c r="AX227" s="2"/>
      <c r="AY227" s="2"/>
      <c r="AZ227" s="2">
        <v>1</v>
      </c>
      <c r="BA227" s="2">
        <v>1</v>
      </c>
      <c r="BB227" s="2">
        <v>1</v>
      </c>
      <c r="BC227" s="2">
        <v>1</v>
      </c>
      <c r="BD227" s="2" t="s">
        <v>3</v>
      </c>
      <c r="BE227" s="2" t="s">
        <v>3</v>
      </c>
      <c r="BF227" s="2" t="s">
        <v>3</v>
      </c>
      <c r="BG227" s="2" t="s">
        <v>3</v>
      </c>
      <c r="BH227" s="2">
        <v>0</v>
      </c>
      <c r="BI227" s="2">
        <v>1</v>
      </c>
      <c r="BJ227" s="2" t="s">
        <v>222</v>
      </c>
      <c r="BK227" s="2"/>
      <c r="BL227" s="2"/>
      <c r="BM227" s="2">
        <v>436</v>
      </c>
      <c r="BN227" s="2">
        <v>0</v>
      </c>
      <c r="BO227" s="2" t="s">
        <v>3</v>
      </c>
      <c r="BP227" s="2">
        <v>0</v>
      </c>
      <c r="BQ227" s="2">
        <v>60</v>
      </c>
      <c r="BR227" s="2">
        <v>0</v>
      </c>
      <c r="BS227" s="2">
        <v>1</v>
      </c>
      <c r="BT227" s="2">
        <v>1</v>
      </c>
      <c r="BU227" s="2">
        <v>1</v>
      </c>
      <c r="BV227" s="2">
        <v>1</v>
      </c>
      <c r="BW227" s="2">
        <v>1</v>
      </c>
      <c r="BX227" s="2">
        <v>1</v>
      </c>
      <c r="BY227" s="2" t="s">
        <v>3</v>
      </c>
      <c r="BZ227" s="2">
        <v>85</v>
      </c>
      <c r="CA227" s="2">
        <v>70</v>
      </c>
      <c r="CB227" s="2" t="s">
        <v>3</v>
      </c>
      <c r="CC227" s="2"/>
      <c r="CD227" s="2"/>
      <c r="CE227" s="2">
        <v>30</v>
      </c>
      <c r="CF227" s="2">
        <v>0</v>
      </c>
      <c r="CG227" s="2">
        <v>0</v>
      </c>
      <c r="CH227" s="2"/>
      <c r="CI227" s="2"/>
      <c r="CJ227" s="2"/>
      <c r="CK227" s="2"/>
      <c r="CL227" s="2"/>
      <c r="CM227" s="2">
        <v>0</v>
      </c>
      <c r="CN227" s="2" t="s">
        <v>3</v>
      </c>
      <c r="CO227" s="2">
        <v>0</v>
      </c>
      <c r="CP227" s="2">
        <f t="shared" ref="CP227:CP258" si="165">(P227+Q227+S227)</f>
        <v>239.19</v>
      </c>
      <c r="CQ227" s="2">
        <f t="shared" ref="CQ227:CQ258" si="166">ROUND((ROUND((AC227*AW227*1),2)*BC227),2)</f>
        <v>23.49</v>
      </c>
      <c r="CR227" s="2">
        <f>(ROUND((ROUND(((ET227)*AV227*1),2)*BB227),2)+ROUND((ROUND(((AE227-(EU227))*AV227*1),2)*BS227),2))</f>
        <v>12.76</v>
      </c>
      <c r="CS227" s="2">
        <f t="shared" ref="CS227:CS258" si="167">ROUND((ROUND((AE227*AV227*1),2)*BS227),2)</f>
        <v>0.78</v>
      </c>
      <c r="CT227" s="2">
        <f t="shared" ref="CT227:CT258" si="168">ROUND((ROUND((AF227*AV227*1),2)*BA227),2)</f>
        <v>29.21</v>
      </c>
      <c r="CU227" s="2">
        <f t="shared" ref="CU227:CU258" si="169">AG227</f>
        <v>0</v>
      </c>
      <c r="CV227" s="2">
        <f t="shared" ref="CV227:CV258" si="170">(AH227*AV227)</f>
        <v>2.27</v>
      </c>
      <c r="CW227" s="2">
        <f t="shared" ref="CW227:CW258" si="171">AI227</f>
        <v>0</v>
      </c>
      <c r="CX227" s="2">
        <f t="shared" ref="CX227:CX258" si="172">AJ227</f>
        <v>0</v>
      </c>
      <c r="CY227" s="2">
        <f>((S227*BZ227)/100)</f>
        <v>90.720500000000015</v>
      </c>
      <c r="CZ227" s="2">
        <f>((S227*CA227)/100)</f>
        <v>74.710999999999999</v>
      </c>
      <c r="DA227" s="2"/>
      <c r="DB227" s="2"/>
      <c r="DC227" s="2" t="s">
        <v>3</v>
      </c>
      <c r="DD227" s="2" t="s">
        <v>3</v>
      </c>
      <c r="DE227" s="2" t="s">
        <v>3</v>
      </c>
      <c r="DF227" s="2" t="s">
        <v>3</v>
      </c>
      <c r="DG227" s="2" t="s">
        <v>3</v>
      </c>
      <c r="DH227" s="2" t="s">
        <v>3</v>
      </c>
      <c r="DI227" s="2" t="s">
        <v>3</v>
      </c>
      <c r="DJ227" s="2" t="s">
        <v>3</v>
      </c>
      <c r="DK227" s="2" t="s">
        <v>3</v>
      </c>
      <c r="DL227" s="2" t="s">
        <v>3</v>
      </c>
      <c r="DM227" s="2" t="s">
        <v>3</v>
      </c>
      <c r="DN227" s="2">
        <v>0</v>
      </c>
      <c r="DO227" s="2">
        <v>0</v>
      </c>
      <c r="DP227" s="2">
        <v>1</v>
      </c>
      <c r="DQ227" s="2">
        <v>1</v>
      </c>
      <c r="DR227" s="2"/>
      <c r="DS227" s="2"/>
      <c r="DT227" s="2"/>
      <c r="DU227" s="2">
        <v>1013</v>
      </c>
      <c r="DV227" s="2" t="s">
        <v>221</v>
      </c>
      <c r="DW227" s="2" t="s">
        <v>221</v>
      </c>
      <c r="DX227" s="2">
        <v>1</v>
      </c>
      <c r="DY227" s="2"/>
      <c r="DZ227" s="2" t="s">
        <v>3</v>
      </c>
      <c r="EA227" s="2" t="s">
        <v>3</v>
      </c>
      <c r="EB227" s="2" t="s">
        <v>3</v>
      </c>
      <c r="EC227" s="2" t="s">
        <v>3</v>
      </c>
      <c r="ED227" s="2"/>
      <c r="EE227" s="2">
        <v>126051897</v>
      </c>
      <c r="EF227" s="2">
        <v>60</v>
      </c>
      <c r="EG227" s="2" t="s">
        <v>150</v>
      </c>
      <c r="EH227" s="2">
        <v>0</v>
      </c>
      <c r="EI227" s="2" t="s">
        <v>3</v>
      </c>
      <c r="EJ227" s="2">
        <v>1</v>
      </c>
      <c r="EK227" s="2">
        <v>436</v>
      </c>
      <c r="EL227" s="2" t="s">
        <v>223</v>
      </c>
      <c r="EM227" s="2" t="s">
        <v>224</v>
      </c>
      <c r="EN227" s="2"/>
      <c r="EO227" s="2" t="s">
        <v>3</v>
      </c>
      <c r="EP227" s="2"/>
      <c r="EQ227" s="2">
        <v>131072</v>
      </c>
      <c r="ER227" s="2">
        <v>65.459999999999994</v>
      </c>
      <c r="ES227" s="2">
        <v>23.49</v>
      </c>
      <c r="ET227" s="2">
        <v>12.76</v>
      </c>
      <c r="EU227" s="2">
        <v>0.78</v>
      </c>
      <c r="EV227" s="2">
        <v>29.21</v>
      </c>
      <c r="EW227" s="2">
        <v>2.27</v>
      </c>
      <c r="EX227" s="2">
        <v>0</v>
      </c>
      <c r="EY227" s="2">
        <v>0</v>
      </c>
      <c r="EZ227" s="2"/>
      <c r="FA227" s="2"/>
      <c r="FB227" s="2"/>
      <c r="FC227" s="2"/>
      <c r="FD227" s="2"/>
      <c r="FE227" s="2"/>
      <c r="FF227" s="2"/>
      <c r="FG227" s="2"/>
      <c r="FH227" s="2"/>
      <c r="FI227" s="2"/>
      <c r="FJ227" s="2"/>
      <c r="FK227" s="2"/>
      <c r="FL227" s="2"/>
      <c r="FM227" s="2"/>
      <c r="FN227" s="2"/>
      <c r="FO227" s="2"/>
      <c r="FP227" s="2"/>
      <c r="FQ227" s="2">
        <v>0</v>
      </c>
      <c r="FR227" s="2">
        <f t="shared" ref="FR227:FR258" si="173">ROUND(IF(AND(BH227=3,BI227=3),P227,0),2)</f>
        <v>0</v>
      </c>
      <c r="FS227" s="2">
        <v>0</v>
      </c>
      <c r="FT227" s="2"/>
      <c r="FU227" s="2"/>
      <c r="FV227" s="2"/>
      <c r="FW227" s="2"/>
      <c r="FX227" s="2">
        <v>85</v>
      </c>
      <c r="FY227" s="2">
        <v>70</v>
      </c>
      <c r="FZ227" s="2"/>
      <c r="GA227" s="2" t="s">
        <v>3</v>
      </c>
      <c r="GB227" s="2"/>
      <c r="GC227" s="2"/>
      <c r="GD227" s="2">
        <v>0</v>
      </c>
      <c r="GE227" s="2"/>
      <c r="GF227" s="2">
        <v>855699190</v>
      </c>
      <c r="GG227" s="2">
        <v>2</v>
      </c>
      <c r="GH227" s="2">
        <v>1</v>
      </c>
      <c r="GI227" s="2">
        <v>-2</v>
      </c>
      <c r="GJ227" s="2">
        <v>0</v>
      </c>
      <c r="GK227" s="2">
        <f>ROUND(R227*(R12)/100,2)</f>
        <v>4.99</v>
      </c>
      <c r="GL227" s="2">
        <f t="shared" ref="GL227:GL258" si="174">ROUND(IF(AND(BH227=3,BI227=3,FS227&lt;&gt;0),P227,0),2)</f>
        <v>0</v>
      </c>
      <c r="GM227" s="2">
        <f t="shared" ref="GM227:GM258" si="175">ROUND(O227+X227+Y227+GK227,2)+GX227</f>
        <v>409.61</v>
      </c>
      <c r="GN227" s="2">
        <f t="shared" ref="GN227:GN258" si="176">IF(OR(BI227=0,BI227=1),ROUND(O227+X227+Y227+GK227,2),0)</f>
        <v>409.61</v>
      </c>
      <c r="GO227" s="2">
        <f t="shared" ref="GO227:GO258" si="177">IF(BI227=2,ROUND(O227+X227+Y227+GK227,2),0)</f>
        <v>0</v>
      </c>
      <c r="GP227" s="2">
        <f t="shared" ref="GP227:GP258" si="178">IF(BI227=4,ROUND(O227+X227+Y227+GK227,2)+GX227,0)</f>
        <v>0</v>
      </c>
      <c r="GQ227" s="2"/>
      <c r="GR227" s="2">
        <v>0</v>
      </c>
      <c r="GS227" s="2">
        <v>0</v>
      </c>
      <c r="GT227" s="2">
        <v>0</v>
      </c>
      <c r="GU227" s="2" t="s">
        <v>3</v>
      </c>
      <c r="GV227" s="2">
        <f t="shared" ref="GV227:GV258" si="179">ROUND((GT227),6)</f>
        <v>0</v>
      </c>
      <c r="GW227" s="2">
        <v>1</v>
      </c>
      <c r="GX227" s="2">
        <f t="shared" ref="GX227:GX258" si="180">ROUND(HC227*I227,2)</f>
        <v>0</v>
      </c>
      <c r="GY227" s="2"/>
      <c r="GZ227" s="2"/>
      <c r="HA227" s="2">
        <v>0</v>
      </c>
      <c r="HB227" s="2">
        <v>0</v>
      </c>
      <c r="HC227" s="2">
        <f t="shared" ref="HC227:HC258" si="181">GV227*GW227</f>
        <v>0</v>
      </c>
      <c r="HD227" s="2"/>
      <c r="HE227" s="2" t="s">
        <v>3</v>
      </c>
      <c r="HF227" s="2" t="s">
        <v>3</v>
      </c>
      <c r="HG227" s="2"/>
      <c r="HH227" s="2"/>
      <c r="HI227" s="2"/>
      <c r="HJ227" s="2"/>
      <c r="HK227" s="2"/>
      <c r="HL227" s="2"/>
      <c r="HM227" s="2" t="s">
        <v>3</v>
      </c>
      <c r="HN227" s="2" t="s">
        <v>3</v>
      </c>
      <c r="HO227" s="2" t="s">
        <v>3</v>
      </c>
      <c r="HP227" s="2" t="s">
        <v>3</v>
      </c>
      <c r="HQ227" s="2" t="s">
        <v>3</v>
      </c>
      <c r="HR227" s="2"/>
      <c r="HS227" s="2"/>
      <c r="HT227" s="2"/>
      <c r="HU227" s="2"/>
      <c r="HV227" s="2"/>
      <c r="HW227" s="2"/>
      <c r="HX227" s="2"/>
      <c r="HY227" s="2"/>
      <c r="HZ227" s="2"/>
      <c r="IA227" s="2"/>
      <c r="IB227" s="2"/>
      <c r="IC227" s="2"/>
      <c r="ID227" s="2"/>
      <c r="IE227" s="2"/>
      <c r="IF227" s="2"/>
      <c r="IG227" s="2"/>
      <c r="IH227" s="2"/>
      <c r="II227" s="2"/>
      <c r="IJ227" s="2"/>
      <c r="IK227" s="2">
        <v>0</v>
      </c>
      <c r="IL227" s="2"/>
      <c r="IM227" s="2"/>
      <c r="IN227" s="2"/>
      <c r="IO227" s="2"/>
      <c r="IP227" s="2"/>
      <c r="IQ227" s="2"/>
      <c r="IR227" s="2"/>
      <c r="IS227" s="2"/>
      <c r="IT227" s="2"/>
      <c r="IU227" s="2"/>
    </row>
    <row r="228" spans="1:255" x14ac:dyDescent="0.2">
      <c r="A228">
        <v>17</v>
      </c>
      <c r="B228">
        <v>1</v>
      </c>
      <c r="C228">
        <f>ROW(SmtRes!A144)</f>
        <v>144</v>
      </c>
      <c r="D228">
        <f>ROW(EtalonRes!A148)</f>
        <v>148</v>
      </c>
      <c r="E228" t="s">
        <v>218</v>
      </c>
      <c r="F228" t="s">
        <v>219</v>
      </c>
      <c r="G228" t="s">
        <v>220</v>
      </c>
      <c r="H228" t="s">
        <v>221</v>
      </c>
      <c r="I228">
        <v>3.6539999999999999</v>
      </c>
      <c r="J228">
        <v>0</v>
      </c>
      <c r="K228">
        <v>3.6539999999999999</v>
      </c>
      <c r="O228">
        <f t="shared" si="149"/>
        <v>4064.87</v>
      </c>
      <c r="P228">
        <f t="shared" si="150"/>
        <v>551.03</v>
      </c>
      <c r="Q228">
        <f>(ROUND((ROUND(((ET228)*AV228*I228),2)*BB228),2)+ROUND((ROUND(((AE228-(EU228))*AV228*I228),2)*BS228),2))</f>
        <v>415.47</v>
      </c>
      <c r="R228">
        <f t="shared" si="151"/>
        <v>82.74</v>
      </c>
      <c r="S228">
        <f t="shared" si="152"/>
        <v>3098.37</v>
      </c>
      <c r="T228">
        <f t="shared" si="153"/>
        <v>0</v>
      </c>
      <c r="U228">
        <f t="shared" si="154"/>
        <v>8.2945799999999998</v>
      </c>
      <c r="V228">
        <f t="shared" si="155"/>
        <v>0</v>
      </c>
      <c r="W228">
        <f t="shared" si="156"/>
        <v>0</v>
      </c>
      <c r="X228">
        <f t="shared" si="157"/>
        <v>2168.86</v>
      </c>
      <c r="Y228">
        <f t="shared" si="158"/>
        <v>1270.33</v>
      </c>
      <c r="AA228">
        <v>129761633</v>
      </c>
      <c r="AB228">
        <f t="shared" si="159"/>
        <v>65.459999999999994</v>
      </c>
      <c r="AC228">
        <f t="shared" si="160"/>
        <v>23.49</v>
      </c>
      <c r="AD228">
        <f>ROUND((((ET228)-(EU228))+AE228),6)</f>
        <v>12.76</v>
      </c>
      <c r="AE228">
        <f t="shared" si="161"/>
        <v>0.78</v>
      </c>
      <c r="AF228">
        <f t="shared" si="161"/>
        <v>29.21</v>
      </c>
      <c r="AG228">
        <f t="shared" si="162"/>
        <v>0</v>
      </c>
      <c r="AH228">
        <f t="shared" si="163"/>
        <v>2.27</v>
      </c>
      <c r="AI228">
        <f t="shared" si="163"/>
        <v>0</v>
      </c>
      <c r="AJ228">
        <f t="shared" si="164"/>
        <v>0</v>
      </c>
      <c r="AK228">
        <v>65.459999999999994</v>
      </c>
      <c r="AL228">
        <v>23.49</v>
      </c>
      <c r="AM228">
        <v>12.76</v>
      </c>
      <c r="AN228">
        <v>0.78</v>
      </c>
      <c r="AO228">
        <v>29.21</v>
      </c>
      <c r="AP228">
        <v>0</v>
      </c>
      <c r="AQ228">
        <v>2.27</v>
      </c>
      <c r="AR228">
        <v>0</v>
      </c>
      <c r="AS228">
        <v>0</v>
      </c>
      <c r="AT228">
        <v>70</v>
      </c>
      <c r="AU228">
        <v>41</v>
      </c>
      <c r="AV228">
        <v>1</v>
      </c>
      <c r="AW228">
        <v>1</v>
      </c>
      <c r="AZ228">
        <v>1</v>
      </c>
      <c r="BA228">
        <v>29.03</v>
      </c>
      <c r="BB228">
        <v>8.91</v>
      </c>
      <c r="BC228">
        <v>6.42</v>
      </c>
      <c r="BD228" t="s">
        <v>3</v>
      </c>
      <c r="BE228" t="s">
        <v>3</v>
      </c>
      <c r="BF228" t="s">
        <v>3</v>
      </c>
      <c r="BG228" t="s">
        <v>3</v>
      </c>
      <c r="BH228">
        <v>0</v>
      </c>
      <c r="BI228">
        <v>1</v>
      </c>
      <c r="BJ228" t="s">
        <v>222</v>
      </c>
      <c r="BM228">
        <v>436</v>
      </c>
      <c r="BN228">
        <v>0</v>
      </c>
      <c r="BO228" t="s">
        <v>219</v>
      </c>
      <c r="BP228">
        <v>1</v>
      </c>
      <c r="BQ228">
        <v>60</v>
      </c>
      <c r="BR228">
        <v>0</v>
      </c>
      <c r="BS228">
        <v>29.03</v>
      </c>
      <c r="BT228">
        <v>1</v>
      </c>
      <c r="BU228">
        <v>1</v>
      </c>
      <c r="BV228">
        <v>1</v>
      </c>
      <c r="BW228">
        <v>1</v>
      </c>
      <c r="BX228">
        <v>1</v>
      </c>
      <c r="BY228" t="s">
        <v>3</v>
      </c>
      <c r="BZ228">
        <v>70</v>
      </c>
      <c r="CA228">
        <v>41</v>
      </c>
      <c r="CB228" t="s">
        <v>3</v>
      </c>
      <c r="CE228">
        <v>30</v>
      </c>
      <c r="CF228">
        <v>0</v>
      </c>
      <c r="CG228">
        <v>0</v>
      </c>
      <c r="CM228">
        <v>0</v>
      </c>
      <c r="CN228" t="s">
        <v>3</v>
      </c>
      <c r="CO228">
        <v>0</v>
      </c>
      <c r="CP228">
        <f t="shared" si="165"/>
        <v>4064.87</v>
      </c>
      <c r="CQ228">
        <f t="shared" si="166"/>
        <v>150.81</v>
      </c>
      <c r="CR228">
        <f>(ROUND((ROUND(((ET228)*AV228*1),2)*BB228),2)+ROUND((ROUND(((AE228-(EU228))*AV228*1),2)*BS228),2))</f>
        <v>113.69</v>
      </c>
      <c r="CS228">
        <f t="shared" si="167"/>
        <v>22.64</v>
      </c>
      <c r="CT228">
        <f t="shared" si="168"/>
        <v>847.97</v>
      </c>
      <c r="CU228">
        <f t="shared" si="169"/>
        <v>0</v>
      </c>
      <c r="CV228">
        <f t="shared" si="170"/>
        <v>2.27</v>
      </c>
      <c r="CW228">
        <f t="shared" si="171"/>
        <v>0</v>
      </c>
      <c r="CX228">
        <f t="shared" si="172"/>
        <v>0</v>
      </c>
      <c r="CY228">
        <f>S228*(BZ228/100)</f>
        <v>2168.8589999999999</v>
      </c>
      <c r="CZ228">
        <f>S228*(CA228/100)</f>
        <v>1270.3317</v>
      </c>
      <c r="DC228" t="s">
        <v>3</v>
      </c>
      <c r="DD228" t="s">
        <v>3</v>
      </c>
      <c r="DE228" t="s">
        <v>3</v>
      </c>
      <c r="DF228" t="s">
        <v>3</v>
      </c>
      <c r="DG228" t="s">
        <v>3</v>
      </c>
      <c r="DH228" t="s">
        <v>3</v>
      </c>
      <c r="DI228" t="s">
        <v>3</v>
      </c>
      <c r="DJ228" t="s">
        <v>3</v>
      </c>
      <c r="DK228" t="s">
        <v>3</v>
      </c>
      <c r="DL228" t="s">
        <v>3</v>
      </c>
      <c r="DM228" t="s">
        <v>3</v>
      </c>
      <c r="DN228">
        <v>85</v>
      </c>
      <c r="DO228">
        <v>70</v>
      </c>
      <c r="DP228">
        <v>1</v>
      </c>
      <c r="DQ228">
        <v>1</v>
      </c>
      <c r="DU228">
        <v>1013</v>
      </c>
      <c r="DV228" t="s">
        <v>221</v>
      </c>
      <c r="DW228" t="s">
        <v>221</v>
      </c>
      <c r="DX228">
        <v>1</v>
      </c>
      <c r="DZ228" t="s">
        <v>3</v>
      </c>
      <c r="EA228" t="s">
        <v>3</v>
      </c>
      <c r="EB228" t="s">
        <v>3</v>
      </c>
      <c r="EC228" t="s">
        <v>3</v>
      </c>
      <c r="EE228">
        <v>126051897</v>
      </c>
      <c r="EF228">
        <v>60</v>
      </c>
      <c r="EG228" t="s">
        <v>150</v>
      </c>
      <c r="EH228">
        <v>0</v>
      </c>
      <c r="EI228" t="s">
        <v>3</v>
      </c>
      <c r="EJ228">
        <v>1</v>
      </c>
      <c r="EK228">
        <v>436</v>
      </c>
      <c r="EL228" t="s">
        <v>223</v>
      </c>
      <c r="EM228" t="s">
        <v>224</v>
      </c>
      <c r="EO228" t="s">
        <v>3</v>
      </c>
      <c r="EQ228">
        <v>131072</v>
      </c>
      <c r="ER228">
        <v>65.459999999999994</v>
      </c>
      <c r="ES228">
        <v>23.49</v>
      </c>
      <c r="ET228">
        <v>12.76</v>
      </c>
      <c r="EU228">
        <v>0.78</v>
      </c>
      <c r="EV228">
        <v>29.21</v>
      </c>
      <c r="EW228">
        <v>2.27</v>
      </c>
      <c r="EX228">
        <v>0</v>
      </c>
      <c r="EY228">
        <v>0</v>
      </c>
      <c r="FQ228">
        <v>0</v>
      </c>
      <c r="FR228">
        <f t="shared" si="173"/>
        <v>0</v>
      </c>
      <c r="FS228">
        <v>0</v>
      </c>
      <c r="FX228">
        <v>85</v>
      </c>
      <c r="FY228">
        <v>70</v>
      </c>
      <c r="GA228" t="s">
        <v>3</v>
      </c>
      <c r="GD228">
        <v>0</v>
      </c>
      <c r="GF228">
        <v>855699190</v>
      </c>
      <c r="GG228">
        <v>2</v>
      </c>
      <c r="GH228">
        <v>1</v>
      </c>
      <c r="GI228">
        <v>2</v>
      </c>
      <c r="GJ228">
        <v>0</v>
      </c>
      <c r="GK228">
        <f>ROUND(R228*(S12)/100,2)</f>
        <v>132.38</v>
      </c>
      <c r="GL228">
        <f t="shared" si="174"/>
        <v>0</v>
      </c>
      <c r="GM228">
        <f t="shared" si="175"/>
        <v>7636.44</v>
      </c>
      <c r="GN228">
        <f t="shared" si="176"/>
        <v>7636.44</v>
      </c>
      <c r="GO228">
        <f t="shared" si="177"/>
        <v>0</v>
      </c>
      <c r="GP228">
        <f t="shared" si="178"/>
        <v>0</v>
      </c>
      <c r="GR228">
        <v>0</v>
      </c>
      <c r="GS228">
        <v>3</v>
      </c>
      <c r="GT228">
        <v>0</v>
      </c>
      <c r="GU228" t="s">
        <v>3</v>
      </c>
      <c r="GV228">
        <f t="shared" si="179"/>
        <v>0</v>
      </c>
      <c r="GW228">
        <v>1</v>
      </c>
      <c r="GX228">
        <f t="shared" si="180"/>
        <v>0</v>
      </c>
      <c r="HA228">
        <v>0</v>
      </c>
      <c r="HB228">
        <v>0</v>
      </c>
      <c r="HC228">
        <f t="shared" si="181"/>
        <v>0</v>
      </c>
      <c r="HE228" t="s">
        <v>3</v>
      </c>
      <c r="HF228" t="s">
        <v>3</v>
      </c>
      <c r="HM228" t="s">
        <v>3</v>
      </c>
      <c r="HN228" t="s">
        <v>3</v>
      </c>
      <c r="HO228" t="s">
        <v>3</v>
      </c>
      <c r="HP228" t="s">
        <v>3</v>
      </c>
      <c r="HQ228" t="s">
        <v>3</v>
      </c>
      <c r="IK228">
        <v>0</v>
      </c>
    </row>
    <row r="229" spans="1:255" x14ac:dyDescent="0.2">
      <c r="A229" s="2">
        <v>18</v>
      </c>
      <c r="B229" s="2">
        <v>1</v>
      </c>
      <c r="C229" s="2">
        <v>135</v>
      </c>
      <c r="D229" s="2"/>
      <c r="E229" s="2" t="s">
        <v>225</v>
      </c>
      <c r="F229" s="2" t="s">
        <v>226</v>
      </c>
      <c r="G229" s="2" t="s">
        <v>1560</v>
      </c>
      <c r="H229" s="2" t="s">
        <v>114</v>
      </c>
      <c r="I229" s="2">
        <f>I227*J229</f>
        <v>0.1353</v>
      </c>
      <c r="J229" s="2">
        <v>3.7027914614121513E-2</v>
      </c>
      <c r="K229" s="2">
        <v>3.7027914614121513E-2</v>
      </c>
      <c r="L229" s="2"/>
      <c r="M229" s="2"/>
      <c r="N229" s="2"/>
      <c r="O229" s="2">
        <f t="shared" si="149"/>
        <v>7161.53</v>
      </c>
      <c r="P229" s="2">
        <f t="shared" si="150"/>
        <v>7161.53</v>
      </c>
      <c r="Q229" s="2">
        <f>(ROUND((ROUND(((ET229)*AV229*I229),2)*BB229),2)+ROUND((ROUND(((AE229-(EU229))*AV229*I229),2)*BS229),2))</f>
        <v>0</v>
      </c>
      <c r="R229" s="2">
        <f t="shared" si="151"/>
        <v>0</v>
      </c>
      <c r="S229" s="2">
        <f t="shared" si="152"/>
        <v>0</v>
      </c>
      <c r="T229" s="2">
        <f t="shared" si="153"/>
        <v>0</v>
      </c>
      <c r="U229" s="2">
        <f t="shared" si="154"/>
        <v>0</v>
      </c>
      <c r="V229" s="2">
        <f t="shared" si="155"/>
        <v>0</v>
      </c>
      <c r="W229" s="2">
        <f t="shared" si="156"/>
        <v>0</v>
      </c>
      <c r="X229" s="2">
        <f t="shared" si="157"/>
        <v>0</v>
      </c>
      <c r="Y229" s="2">
        <f t="shared" si="158"/>
        <v>0</v>
      </c>
      <c r="Z229" s="2"/>
      <c r="AA229" s="2">
        <v>129761636</v>
      </c>
      <c r="AB229" s="2">
        <f t="shared" si="159"/>
        <v>52930.78</v>
      </c>
      <c r="AC229" s="2">
        <f t="shared" si="160"/>
        <v>52930.78</v>
      </c>
      <c r="AD229" s="2">
        <f>ROUND((((ET229)-(EU229))+AE229),6)</f>
        <v>0</v>
      </c>
      <c r="AE229" s="2">
        <f t="shared" si="161"/>
        <v>0</v>
      </c>
      <c r="AF229" s="2">
        <f t="shared" si="161"/>
        <v>0</v>
      </c>
      <c r="AG229" s="2">
        <f t="shared" si="162"/>
        <v>0</v>
      </c>
      <c r="AH229" s="2">
        <f t="shared" si="163"/>
        <v>0</v>
      </c>
      <c r="AI229" s="2">
        <f t="shared" si="163"/>
        <v>0</v>
      </c>
      <c r="AJ229" s="2">
        <f t="shared" si="164"/>
        <v>0</v>
      </c>
      <c r="AK229" s="2">
        <v>52930.78</v>
      </c>
      <c r="AL229" s="2">
        <v>52930.78</v>
      </c>
      <c r="AM229" s="2">
        <v>0</v>
      </c>
      <c r="AN229" s="2">
        <v>0</v>
      </c>
      <c r="AO229" s="2">
        <v>0</v>
      </c>
      <c r="AP229" s="2">
        <v>0</v>
      </c>
      <c r="AQ229" s="2">
        <v>0</v>
      </c>
      <c r="AR229" s="2">
        <v>0</v>
      </c>
      <c r="AS229" s="2">
        <v>0</v>
      </c>
      <c r="AT229" s="2">
        <v>85</v>
      </c>
      <c r="AU229" s="2">
        <v>70</v>
      </c>
      <c r="AV229" s="2">
        <v>1</v>
      </c>
      <c r="AW229" s="2">
        <v>1</v>
      </c>
      <c r="AX229" s="2"/>
      <c r="AY229" s="2"/>
      <c r="AZ229" s="2">
        <v>1</v>
      </c>
      <c r="BA229" s="2">
        <v>1</v>
      </c>
      <c r="BB229" s="2">
        <v>1</v>
      </c>
      <c r="BC229" s="2">
        <v>1</v>
      </c>
      <c r="BD229" s="2" t="s">
        <v>3</v>
      </c>
      <c r="BE229" s="2" t="s">
        <v>3</v>
      </c>
      <c r="BF229" s="2" t="s">
        <v>3</v>
      </c>
      <c r="BG229" s="2" t="s">
        <v>3</v>
      </c>
      <c r="BH229" s="2">
        <v>3</v>
      </c>
      <c r="BI229" s="2">
        <v>1</v>
      </c>
      <c r="BJ229" s="2" t="s">
        <v>227</v>
      </c>
      <c r="BK229" s="2"/>
      <c r="BL229" s="2"/>
      <c r="BM229" s="2">
        <v>436</v>
      </c>
      <c r="BN229" s="2">
        <v>0</v>
      </c>
      <c r="BO229" s="2" t="s">
        <v>3</v>
      </c>
      <c r="BP229" s="2">
        <v>0</v>
      </c>
      <c r="BQ229" s="2">
        <v>60</v>
      </c>
      <c r="BR229" s="2">
        <v>0</v>
      </c>
      <c r="BS229" s="2">
        <v>1</v>
      </c>
      <c r="BT229" s="2">
        <v>1</v>
      </c>
      <c r="BU229" s="2">
        <v>1</v>
      </c>
      <c r="BV229" s="2">
        <v>1</v>
      </c>
      <c r="BW229" s="2">
        <v>1</v>
      </c>
      <c r="BX229" s="2">
        <v>1</v>
      </c>
      <c r="BY229" s="2" t="s">
        <v>3</v>
      </c>
      <c r="BZ229" s="2">
        <v>85</v>
      </c>
      <c r="CA229" s="2">
        <v>70</v>
      </c>
      <c r="CB229" s="2" t="s">
        <v>3</v>
      </c>
      <c r="CC229" s="2"/>
      <c r="CD229" s="2"/>
      <c r="CE229" s="2">
        <v>30</v>
      </c>
      <c r="CF229" s="2">
        <v>0</v>
      </c>
      <c r="CG229" s="2">
        <v>0</v>
      </c>
      <c r="CH229" s="2"/>
      <c r="CI229" s="2"/>
      <c r="CJ229" s="2"/>
      <c r="CK229" s="2"/>
      <c r="CL229" s="2"/>
      <c r="CM229" s="2">
        <v>0</v>
      </c>
      <c r="CN229" s="2" t="s">
        <v>3</v>
      </c>
      <c r="CO229" s="2">
        <v>0</v>
      </c>
      <c r="CP229" s="2">
        <f t="shared" si="165"/>
        <v>7161.53</v>
      </c>
      <c r="CQ229" s="2">
        <f t="shared" si="166"/>
        <v>52930.78</v>
      </c>
      <c r="CR229" s="2">
        <f>(ROUND((ROUND(((ET229)*AV229*1),2)*BB229),2)+ROUND((ROUND(((AE229-(EU229))*AV229*1),2)*BS229),2))</f>
        <v>0</v>
      </c>
      <c r="CS229" s="2">
        <f t="shared" si="167"/>
        <v>0</v>
      </c>
      <c r="CT229" s="2">
        <f t="shared" si="168"/>
        <v>0</v>
      </c>
      <c r="CU229" s="2">
        <f t="shared" si="169"/>
        <v>0</v>
      </c>
      <c r="CV229" s="2">
        <f t="shared" si="170"/>
        <v>0</v>
      </c>
      <c r="CW229" s="2">
        <f t="shared" si="171"/>
        <v>0</v>
      </c>
      <c r="CX229" s="2">
        <f t="shared" si="172"/>
        <v>0</v>
      </c>
      <c r="CY229" s="2">
        <f>((S229*BZ229)/100)</f>
        <v>0</v>
      </c>
      <c r="CZ229" s="2">
        <f>((S229*CA229)/100)</f>
        <v>0</v>
      </c>
      <c r="DA229" s="2"/>
      <c r="DB229" s="2"/>
      <c r="DC229" s="2" t="s">
        <v>3</v>
      </c>
      <c r="DD229" s="2" t="s">
        <v>3</v>
      </c>
      <c r="DE229" s="2" t="s">
        <v>3</v>
      </c>
      <c r="DF229" s="2" t="s">
        <v>3</v>
      </c>
      <c r="DG229" s="2" t="s">
        <v>3</v>
      </c>
      <c r="DH229" s="2" t="s">
        <v>3</v>
      </c>
      <c r="DI229" s="2" t="s">
        <v>3</v>
      </c>
      <c r="DJ229" s="2" t="s">
        <v>3</v>
      </c>
      <c r="DK229" s="2" t="s">
        <v>3</v>
      </c>
      <c r="DL229" s="2" t="s">
        <v>3</v>
      </c>
      <c r="DM229" s="2" t="s">
        <v>3</v>
      </c>
      <c r="DN229" s="2">
        <v>0</v>
      </c>
      <c r="DO229" s="2">
        <v>0</v>
      </c>
      <c r="DP229" s="2">
        <v>1</v>
      </c>
      <c r="DQ229" s="2">
        <v>1</v>
      </c>
      <c r="DR229" s="2"/>
      <c r="DS229" s="2"/>
      <c r="DT229" s="2"/>
      <c r="DU229" s="2">
        <v>1009</v>
      </c>
      <c r="DV229" s="2" t="s">
        <v>114</v>
      </c>
      <c r="DW229" s="2" t="s">
        <v>114</v>
      </c>
      <c r="DX229" s="2">
        <v>1000</v>
      </c>
      <c r="DY229" s="2"/>
      <c r="DZ229" s="2" t="s">
        <v>3</v>
      </c>
      <c r="EA229" s="2" t="s">
        <v>3</v>
      </c>
      <c r="EB229" s="2" t="s">
        <v>3</v>
      </c>
      <c r="EC229" s="2" t="s">
        <v>3</v>
      </c>
      <c r="ED229" s="2"/>
      <c r="EE229" s="2">
        <v>126051897</v>
      </c>
      <c r="EF229" s="2">
        <v>60</v>
      </c>
      <c r="EG229" s="2" t="s">
        <v>150</v>
      </c>
      <c r="EH229" s="2">
        <v>0</v>
      </c>
      <c r="EI229" s="2" t="s">
        <v>3</v>
      </c>
      <c r="EJ229" s="2">
        <v>1</v>
      </c>
      <c r="EK229" s="2">
        <v>436</v>
      </c>
      <c r="EL229" s="2" t="s">
        <v>223</v>
      </c>
      <c r="EM229" s="2" t="s">
        <v>224</v>
      </c>
      <c r="EN229" s="2"/>
      <c r="EO229" s="2" t="s">
        <v>3</v>
      </c>
      <c r="EP229" s="2"/>
      <c r="EQ229" s="2">
        <v>0</v>
      </c>
      <c r="ER229" s="2">
        <v>52930.78</v>
      </c>
      <c r="ES229" s="2">
        <v>52930.78</v>
      </c>
      <c r="ET229" s="2">
        <v>0</v>
      </c>
      <c r="EU229" s="2">
        <v>0</v>
      </c>
      <c r="EV229" s="2">
        <v>0</v>
      </c>
      <c r="EW229" s="2">
        <v>0</v>
      </c>
      <c r="EX229" s="2">
        <v>0</v>
      </c>
      <c r="EY229" s="2"/>
      <c r="EZ229" s="2"/>
      <c r="FA229" s="2"/>
      <c r="FB229" s="2"/>
      <c r="FC229" s="2"/>
      <c r="FD229" s="2"/>
      <c r="FE229" s="2"/>
      <c r="FF229" s="2"/>
      <c r="FG229" s="2"/>
      <c r="FH229" s="2"/>
      <c r="FI229" s="2"/>
      <c r="FJ229" s="2"/>
      <c r="FK229" s="2"/>
      <c r="FL229" s="2"/>
      <c r="FM229" s="2"/>
      <c r="FN229" s="2"/>
      <c r="FO229" s="2"/>
      <c r="FP229" s="2"/>
      <c r="FQ229" s="2">
        <v>0</v>
      </c>
      <c r="FR229" s="2">
        <f t="shared" si="173"/>
        <v>0</v>
      </c>
      <c r="FS229" s="2">
        <v>0</v>
      </c>
      <c r="FT229" s="2"/>
      <c r="FU229" s="2"/>
      <c r="FV229" s="2"/>
      <c r="FW229" s="2"/>
      <c r="FX229" s="2">
        <v>85</v>
      </c>
      <c r="FY229" s="2">
        <v>70</v>
      </c>
      <c r="FZ229" s="2"/>
      <c r="GA229" s="2" t="s">
        <v>3</v>
      </c>
      <c r="GB229" s="2"/>
      <c r="GC229" s="2"/>
      <c r="GD229" s="2">
        <v>0</v>
      </c>
      <c r="GE229" s="2"/>
      <c r="GF229" s="2">
        <v>-1147217017</v>
      </c>
      <c r="GG229" s="2">
        <v>2</v>
      </c>
      <c r="GH229" s="2">
        <v>1</v>
      </c>
      <c r="GI229" s="2">
        <v>-2</v>
      </c>
      <c r="GJ229" s="2">
        <v>0</v>
      </c>
      <c r="GK229" s="2">
        <f>ROUND(R229*(R12)/100,2)</f>
        <v>0</v>
      </c>
      <c r="GL229" s="2">
        <f t="shared" si="174"/>
        <v>0</v>
      </c>
      <c r="GM229" s="2">
        <f t="shared" si="175"/>
        <v>7161.53</v>
      </c>
      <c r="GN229" s="2">
        <f t="shared" si="176"/>
        <v>7161.53</v>
      </c>
      <c r="GO229" s="2">
        <f t="shared" si="177"/>
        <v>0</v>
      </c>
      <c r="GP229" s="2">
        <f t="shared" si="178"/>
        <v>0</v>
      </c>
      <c r="GQ229" s="2"/>
      <c r="GR229" s="2">
        <v>0</v>
      </c>
      <c r="GS229" s="2">
        <v>0</v>
      </c>
      <c r="GT229" s="2">
        <v>0</v>
      </c>
      <c r="GU229" s="2" t="s">
        <v>3</v>
      </c>
      <c r="GV229" s="2">
        <f t="shared" si="179"/>
        <v>0</v>
      </c>
      <c r="GW229" s="2">
        <v>1</v>
      </c>
      <c r="GX229" s="2">
        <f t="shared" si="180"/>
        <v>0</v>
      </c>
      <c r="GY229" s="2"/>
      <c r="GZ229" s="2"/>
      <c r="HA229" s="2">
        <v>0</v>
      </c>
      <c r="HB229" s="2">
        <v>0</v>
      </c>
      <c r="HC229" s="2">
        <f t="shared" si="181"/>
        <v>0</v>
      </c>
      <c r="HD229" s="2"/>
      <c r="HE229" s="2" t="s">
        <v>3</v>
      </c>
      <c r="HF229" s="2" t="s">
        <v>3</v>
      </c>
      <c r="HG229" s="2"/>
      <c r="HH229" s="2"/>
      <c r="HI229" s="2"/>
      <c r="HJ229" s="2"/>
      <c r="HK229" s="2"/>
      <c r="HL229" s="2"/>
      <c r="HM229" s="2" t="s">
        <v>3</v>
      </c>
      <c r="HN229" s="2" t="s">
        <v>3</v>
      </c>
      <c r="HO229" s="2" t="s">
        <v>3</v>
      </c>
      <c r="HP229" s="2" t="s">
        <v>3</v>
      </c>
      <c r="HQ229" s="2" t="s">
        <v>3</v>
      </c>
      <c r="HR229" s="2"/>
      <c r="HS229" s="2"/>
      <c r="HT229" s="2"/>
      <c r="HU229" s="2"/>
      <c r="HV229" s="2"/>
      <c r="HW229" s="2"/>
      <c r="HX229" s="2"/>
      <c r="HY229" s="2"/>
      <c r="HZ229" s="2"/>
      <c r="IA229" s="2"/>
      <c r="IB229" s="2"/>
      <c r="IC229" s="2"/>
      <c r="ID229" s="2"/>
      <c r="IE229" s="2"/>
      <c r="IF229" s="2"/>
      <c r="IG229" s="2"/>
      <c r="IH229" s="2"/>
      <c r="II229" s="2"/>
      <c r="IJ229" s="2"/>
      <c r="IK229" s="2">
        <v>0</v>
      </c>
      <c r="IL229" s="2"/>
      <c r="IM229" s="2"/>
      <c r="IN229" s="2"/>
      <c r="IO229" s="2"/>
      <c r="IP229" s="2"/>
      <c r="IQ229" s="2"/>
      <c r="IR229" s="2"/>
      <c r="IS229" s="2"/>
      <c r="IT229" s="2"/>
      <c r="IU229" s="2"/>
    </row>
    <row r="230" spans="1:255" x14ac:dyDescent="0.2">
      <c r="A230">
        <v>18</v>
      </c>
      <c r="B230">
        <v>1</v>
      </c>
      <c r="C230">
        <v>143</v>
      </c>
      <c r="E230" t="s">
        <v>225</v>
      </c>
      <c r="F230" t="s">
        <v>226</v>
      </c>
      <c r="G230" t="s">
        <v>1560</v>
      </c>
      <c r="H230" t="s">
        <v>114</v>
      </c>
      <c r="I230">
        <f>I228*J230</f>
        <v>0.1353</v>
      </c>
      <c r="J230">
        <v>3.7027914614121513E-2</v>
      </c>
      <c r="K230">
        <v>3.7027914614121513E-2</v>
      </c>
      <c r="O230">
        <f t="shared" si="149"/>
        <v>30364.89</v>
      </c>
      <c r="P230">
        <f t="shared" si="150"/>
        <v>30364.89</v>
      </c>
      <c r="Q230">
        <f>(ROUND((ROUND(((ET230)*AV230*I230),2)*BB230),2)+ROUND((ROUND(((AE230-(EU230))*AV230*I230),2)*BS230),2))</f>
        <v>0</v>
      </c>
      <c r="R230">
        <f t="shared" si="151"/>
        <v>0</v>
      </c>
      <c r="S230">
        <f t="shared" si="152"/>
        <v>0</v>
      </c>
      <c r="T230">
        <f t="shared" si="153"/>
        <v>0</v>
      </c>
      <c r="U230">
        <f t="shared" si="154"/>
        <v>0</v>
      </c>
      <c r="V230">
        <f t="shared" si="155"/>
        <v>0</v>
      </c>
      <c r="W230">
        <f t="shared" si="156"/>
        <v>0</v>
      </c>
      <c r="X230">
        <f t="shared" si="157"/>
        <v>0</v>
      </c>
      <c r="Y230">
        <f t="shared" si="158"/>
        <v>0</v>
      </c>
      <c r="AA230">
        <v>129761633</v>
      </c>
      <c r="AB230">
        <f t="shared" si="159"/>
        <v>52930.78</v>
      </c>
      <c r="AC230">
        <f t="shared" si="160"/>
        <v>52930.78</v>
      </c>
      <c r="AD230">
        <f>ROUND((((ET230)-(EU230))+AE230),6)</f>
        <v>0</v>
      </c>
      <c r="AE230">
        <f t="shared" si="161"/>
        <v>0</v>
      </c>
      <c r="AF230">
        <f t="shared" si="161"/>
        <v>0</v>
      </c>
      <c r="AG230">
        <f t="shared" si="162"/>
        <v>0</v>
      </c>
      <c r="AH230">
        <f t="shared" si="163"/>
        <v>0</v>
      </c>
      <c r="AI230">
        <f t="shared" si="163"/>
        <v>0</v>
      </c>
      <c r="AJ230">
        <f t="shared" si="164"/>
        <v>0</v>
      </c>
      <c r="AK230">
        <v>52930.78</v>
      </c>
      <c r="AL230">
        <v>52930.78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1</v>
      </c>
      <c r="AW230">
        <v>1</v>
      </c>
      <c r="AZ230">
        <v>1</v>
      </c>
      <c r="BA230">
        <v>1</v>
      </c>
      <c r="BB230">
        <v>1</v>
      </c>
      <c r="BC230">
        <v>4.24</v>
      </c>
      <c r="BD230" t="s">
        <v>3</v>
      </c>
      <c r="BE230" t="s">
        <v>3</v>
      </c>
      <c r="BF230" t="s">
        <v>3</v>
      </c>
      <c r="BG230" t="s">
        <v>3</v>
      </c>
      <c r="BH230">
        <v>3</v>
      </c>
      <c r="BI230">
        <v>1</v>
      </c>
      <c r="BJ230" t="s">
        <v>227</v>
      </c>
      <c r="BM230">
        <v>436</v>
      </c>
      <c r="BN230">
        <v>0</v>
      </c>
      <c r="BO230" t="s">
        <v>226</v>
      </c>
      <c r="BP230">
        <v>1</v>
      </c>
      <c r="BQ230">
        <v>60</v>
      </c>
      <c r="BR230">
        <v>0</v>
      </c>
      <c r="BS230">
        <v>1</v>
      </c>
      <c r="BT230">
        <v>1</v>
      </c>
      <c r="BU230">
        <v>1</v>
      </c>
      <c r="BV230">
        <v>1</v>
      </c>
      <c r="BW230">
        <v>1</v>
      </c>
      <c r="BX230">
        <v>1</v>
      </c>
      <c r="BY230" t="s">
        <v>3</v>
      </c>
      <c r="BZ230">
        <v>0</v>
      </c>
      <c r="CA230">
        <v>0</v>
      </c>
      <c r="CB230" t="s">
        <v>3</v>
      </c>
      <c r="CE230">
        <v>30</v>
      </c>
      <c r="CF230">
        <v>0</v>
      </c>
      <c r="CG230">
        <v>0</v>
      </c>
      <c r="CM230">
        <v>0</v>
      </c>
      <c r="CN230" t="s">
        <v>3</v>
      </c>
      <c r="CO230">
        <v>0</v>
      </c>
      <c r="CP230">
        <f t="shared" si="165"/>
        <v>30364.89</v>
      </c>
      <c r="CQ230">
        <f t="shared" si="166"/>
        <v>224426.51</v>
      </c>
      <c r="CR230">
        <f>(ROUND((ROUND(((ET230)*AV230*1),2)*BB230),2)+ROUND((ROUND(((AE230-(EU230))*AV230*1),2)*BS230),2))</f>
        <v>0</v>
      </c>
      <c r="CS230">
        <f t="shared" si="167"/>
        <v>0</v>
      </c>
      <c r="CT230">
        <f t="shared" si="168"/>
        <v>0</v>
      </c>
      <c r="CU230">
        <f t="shared" si="169"/>
        <v>0</v>
      </c>
      <c r="CV230">
        <f t="shared" si="170"/>
        <v>0</v>
      </c>
      <c r="CW230">
        <f t="shared" si="171"/>
        <v>0</v>
      </c>
      <c r="CX230">
        <f t="shared" si="172"/>
        <v>0</v>
      </c>
      <c r="CY230">
        <f>S230*(BZ230/100)</f>
        <v>0</v>
      </c>
      <c r="CZ230">
        <f>S230*(CA230/100)</f>
        <v>0</v>
      </c>
      <c r="DC230" t="s">
        <v>3</v>
      </c>
      <c r="DD230" t="s">
        <v>3</v>
      </c>
      <c r="DE230" t="s">
        <v>3</v>
      </c>
      <c r="DF230" t="s">
        <v>3</v>
      </c>
      <c r="DG230" t="s">
        <v>3</v>
      </c>
      <c r="DH230" t="s">
        <v>3</v>
      </c>
      <c r="DI230" t="s">
        <v>3</v>
      </c>
      <c r="DJ230" t="s">
        <v>3</v>
      </c>
      <c r="DK230" t="s">
        <v>3</v>
      </c>
      <c r="DL230" t="s">
        <v>3</v>
      </c>
      <c r="DM230" t="s">
        <v>3</v>
      </c>
      <c r="DN230">
        <v>85</v>
      </c>
      <c r="DO230">
        <v>70</v>
      </c>
      <c r="DP230">
        <v>1</v>
      </c>
      <c r="DQ230">
        <v>1</v>
      </c>
      <c r="DU230">
        <v>1009</v>
      </c>
      <c r="DV230" t="s">
        <v>114</v>
      </c>
      <c r="DW230" t="s">
        <v>114</v>
      </c>
      <c r="DX230">
        <v>1000</v>
      </c>
      <c r="DZ230" t="s">
        <v>3</v>
      </c>
      <c r="EA230" t="s">
        <v>3</v>
      </c>
      <c r="EB230" t="s">
        <v>3</v>
      </c>
      <c r="EC230" t="s">
        <v>3</v>
      </c>
      <c r="EE230">
        <v>126051897</v>
      </c>
      <c r="EF230">
        <v>60</v>
      </c>
      <c r="EG230" t="s">
        <v>150</v>
      </c>
      <c r="EH230">
        <v>0</v>
      </c>
      <c r="EI230" t="s">
        <v>3</v>
      </c>
      <c r="EJ230">
        <v>1</v>
      </c>
      <c r="EK230">
        <v>436</v>
      </c>
      <c r="EL230" t="s">
        <v>223</v>
      </c>
      <c r="EM230" t="s">
        <v>224</v>
      </c>
      <c r="EO230" t="s">
        <v>3</v>
      </c>
      <c r="EQ230">
        <v>0</v>
      </c>
      <c r="ER230">
        <v>52930.78</v>
      </c>
      <c r="ES230">
        <v>52930.78</v>
      </c>
      <c r="ET230">
        <v>0</v>
      </c>
      <c r="EU230">
        <v>0</v>
      </c>
      <c r="EV230">
        <v>0</v>
      </c>
      <c r="EW230">
        <v>0</v>
      </c>
      <c r="EX230">
        <v>0</v>
      </c>
      <c r="FQ230">
        <v>0</v>
      </c>
      <c r="FR230">
        <f t="shared" si="173"/>
        <v>0</v>
      </c>
      <c r="FS230">
        <v>0</v>
      </c>
      <c r="FX230">
        <v>85</v>
      </c>
      <c r="FY230">
        <v>70</v>
      </c>
      <c r="GA230" t="s">
        <v>3</v>
      </c>
      <c r="GD230">
        <v>0</v>
      </c>
      <c r="GF230">
        <v>-1147217017</v>
      </c>
      <c r="GG230">
        <v>2</v>
      </c>
      <c r="GH230">
        <v>1</v>
      </c>
      <c r="GI230">
        <v>2</v>
      </c>
      <c r="GJ230">
        <v>0</v>
      </c>
      <c r="GK230">
        <f>ROUND(R230*(S12)/100,2)</f>
        <v>0</v>
      </c>
      <c r="GL230">
        <f t="shared" si="174"/>
        <v>0</v>
      </c>
      <c r="GM230">
        <f t="shared" si="175"/>
        <v>30364.89</v>
      </c>
      <c r="GN230">
        <f t="shared" si="176"/>
        <v>30364.89</v>
      </c>
      <c r="GO230">
        <f t="shared" si="177"/>
        <v>0</v>
      </c>
      <c r="GP230">
        <f t="shared" si="178"/>
        <v>0</v>
      </c>
      <c r="GR230">
        <v>0</v>
      </c>
      <c r="GS230">
        <v>3</v>
      </c>
      <c r="GT230">
        <v>0</v>
      </c>
      <c r="GU230" t="s">
        <v>3</v>
      </c>
      <c r="GV230">
        <f t="shared" si="179"/>
        <v>0</v>
      </c>
      <c r="GW230">
        <v>1</v>
      </c>
      <c r="GX230">
        <f t="shared" si="180"/>
        <v>0</v>
      </c>
      <c r="HA230">
        <v>0</v>
      </c>
      <c r="HB230">
        <v>0</v>
      </c>
      <c r="HC230">
        <f t="shared" si="181"/>
        <v>0</v>
      </c>
      <c r="HE230" t="s">
        <v>3</v>
      </c>
      <c r="HF230" t="s">
        <v>3</v>
      </c>
      <c r="HM230" t="s">
        <v>3</v>
      </c>
      <c r="HN230" t="s">
        <v>3</v>
      </c>
      <c r="HO230" t="s">
        <v>3</v>
      </c>
      <c r="HP230" t="s">
        <v>3</v>
      </c>
      <c r="HQ230" t="s">
        <v>3</v>
      </c>
      <c r="IK230">
        <v>0</v>
      </c>
    </row>
    <row r="231" spans="1:255" x14ac:dyDescent="0.2">
      <c r="A231" s="2">
        <v>17</v>
      </c>
      <c r="B231" s="2">
        <v>1</v>
      </c>
      <c r="C231" s="2">
        <f>ROW(SmtRes!A152)</f>
        <v>152</v>
      </c>
      <c r="D231" s="2">
        <f>ROW(EtalonRes!A156)</f>
        <v>156</v>
      </c>
      <c r="E231" s="2" t="s">
        <v>228</v>
      </c>
      <c r="F231" s="2" t="s">
        <v>229</v>
      </c>
      <c r="G231" s="2" t="s">
        <v>230</v>
      </c>
      <c r="H231" s="2" t="s">
        <v>231</v>
      </c>
      <c r="I231" s="2">
        <v>1</v>
      </c>
      <c r="J231" s="2">
        <v>0</v>
      </c>
      <c r="K231" s="2">
        <v>1</v>
      </c>
      <c r="L231" s="2"/>
      <c r="M231" s="2"/>
      <c r="N231" s="2"/>
      <c r="O231" s="2">
        <f t="shared" si="149"/>
        <v>19.98</v>
      </c>
      <c r="P231" s="2">
        <f t="shared" si="150"/>
        <v>0.41</v>
      </c>
      <c r="Q231" s="2">
        <f>(ROUND((ROUND((((ET231*1.25))*AV231*I231),2)*BB231),2)+ROUND((ROUND(((AE231-((EU231*1.25)))*AV231*I231),2)*BS231),2))</f>
        <v>2.46</v>
      </c>
      <c r="R231" s="2">
        <f t="shared" si="151"/>
        <v>0.05</v>
      </c>
      <c r="S231" s="2">
        <f t="shared" si="152"/>
        <v>17.11</v>
      </c>
      <c r="T231" s="2">
        <f t="shared" si="153"/>
        <v>0</v>
      </c>
      <c r="U231" s="2">
        <f t="shared" si="154"/>
        <v>1.2765</v>
      </c>
      <c r="V231" s="2">
        <f t="shared" si="155"/>
        <v>0</v>
      </c>
      <c r="W231" s="2">
        <f t="shared" si="156"/>
        <v>0</v>
      </c>
      <c r="X231" s="2">
        <f t="shared" si="157"/>
        <v>15.57</v>
      </c>
      <c r="Y231" s="2">
        <f t="shared" si="158"/>
        <v>11.98</v>
      </c>
      <c r="Z231" s="2"/>
      <c r="AA231" s="2">
        <v>129761636</v>
      </c>
      <c r="AB231" s="2">
        <f t="shared" si="159"/>
        <v>19.984500000000001</v>
      </c>
      <c r="AC231" s="2">
        <f t="shared" si="160"/>
        <v>0.41</v>
      </c>
      <c r="AD231" s="2">
        <f>ROUND(((((ET231*1.25))-((EU231*1.25)))+AE231),6)</f>
        <v>2.4624999999999999</v>
      </c>
      <c r="AE231" s="2">
        <f>ROUND(((EU231*1.25)),6)</f>
        <v>0.05</v>
      </c>
      <c r="AF231" s="2">
        <f>ROUND(((EV231*1.15)),6)</f>
        <v>17.111999999999998</v>
      </c>
      <c r="AG231" s="2">
        <f t="shared" si="162"/>
        <v>0</v>
      </c>
      <c r="AH231" s="2">
        <f>((EW231*1.15))</f>
        <v>1.2765</v>
      </c>
      <c r="AI231" s="2">
        <f>((EX231*1.25))</f>
        <v>0</v>
      </c>
      <c r="AJ231" s="2">
        <f t="shared" si="164"/>
        <v>0</v>
      </c>
      <c r="AK231" s="2">
        <v>17.260000000000002</v>
      </c>
      <c r="AL231" s="2">
        <v>0.41</v>
      </c>
      <c r="AM231" s="2">
        <v>1.97</v>
      </c>
      <c r="AN231" s="2">
        <v>0.04</v>
      </c>
      <c r="AO231" s="2">
        <v>14.88</v>
      </c>
      <c r="AP231" s="2">
        <v>0</v>
      </c>
      <c r="AQ231" s="2">
        <v>1.1100000000000001</v>
      </c>
      <c r="AR231" s="2">
        <v>0</v>
      </c>
      <c r="AS231" s="2">
        <v>0</v>
      </c>
      <c r="AT231" s="2">
        <v>91</v>
      </c>
      <c r="AU231" s="2">
        <v>70</v>
      </c>
      <c r="AV231" s="2">
        <v>1</v>
      </c>
      <c r="AW231" s="2">
        <v>1</v>
      </c>
      <c r="AX231" s="2"/>
      <c r="AY231" s="2"/>
      <c r="AZ231" s="2">
        <v>1</v>
      </c>
      <c r="BA231" s="2">
        <v>1</v>
      </c>
      <c r="BB231" s="2">
        <v>1</v>
      </c>
      <c r="BC231" s="2">
        <v>1</v>
      </c>
      <c r="BD231" s="2" t="s">
        <v>3</v>
      </c>
      <c r="BE231" s="2" t="s">
        <v>3</v>
      </c>
      <c r="BF231" s="2" t="s">
        <v>3</v>
      </c>
      <c r="BG231" s="2" t="s">
        <v>3</v>
      </c>
      <c r="BH231" s="2">
        <v>0</v>
      </c>
      <c r="BI231" s="2">
        <v>1</v>
      </c>
      <c r="BJ231" s="2" t="s">
        <v>232</v>
      </c>
      <c r="BK231" s="2"/>
      <c r="BL231" s="2"/>
      <c r="BM231" s="2">
        <v>87</v>
      </c>
      <c r="BN231" s="2">
        <v>0</v>
      </c>
      <c r="BO231" s="2" t="s">
        <v>3</v>
      </c>
      <c r="BP231" s="2">
        <v>0</v>
      </c>
      <c r="BQ231" s="2">
        <v>30</v>
      </c>
      <c r="BR231" s="2">
        <v>0</v>
      </c>
      <c r="BS231" s="2">
        <v>1</v>
      </c>
      <c r="BT231" s="2">
        <v>1</v>
      </c>
      <c r="BU231" s="2">
        <v>1</v>
      </c>
      <c r="BV231" s="2">
        <v>1</v>
      </c>
      <c r="BW231" s="2">
        <v>1</v>
      </c>
      <c r="BX231" s="2">
        <v>1</v>
      </c>
      <c r="BY231" s="2" t="s">
        <v>3</v>
      </c>
      <c r="BZ231" s="2">
        <v>91</v>
      </c>
      <c r="CA231" s="2">
        <v>70</v>
      </c>
      <c r="CB231" s="2" t="s">
        <v>3</v>
      </c>
      <c r="CC231" s="2"/>
      <c r="CD231" s="2"/>
      <c r="CE231" s="2">
        <v>30</v>
      </c>
      <c r="CF231" s="2">
        <v>0</v>
      </c>
      <c r="CG231" s="2">
        <v>0</v>
      </c>
      <c r="CH231" s="2"/>
      <c r="CI231" s="2"/>
      <c r="CJ231" s="2"/>
      <c r="CK231" s="2"/>
      <c r="CL231" s="2"/>
      <c r="CM231" s="2">
        <v>0</v>
      </c>
      <c r="CN231" s="2" t="s">
        <v>1559</v>
      </c>
      <c r="CO231" s="2">
        <v>0</v>
      </c>
      <c r="CP231" s="2">
        <f t="shared" si="165"/>
        <v>19.98</v>
      </c>
      <c r="CQ231" s="2">
        <f t="shared" si="166"/>
        <v>0.41</v>
      </c>
      <c r="CR231" s="2">
        <f>(ROUND((ROUND((((ET231*1.25))*AV231*1),2)*BB231),2)+ROUND((ROUND(((AE231-((EU231*1.25)))*AV231*1),2)*BS231),2))</f>
        <v>2.46</v>
      </c>
      <c r="CS231" s="2">
        <f t="shared" si="167"/>
        <v>0.05</v>
      </c>
      <c r="CT231" s="2">
        <f t="shared" si="168"/>
        <v>17.11</v>
      </c>
      <c r="CU231" s="2">
        <f t="shared" si="169"/>
        <v>0</v>
      </c>
      <c r="CV231" s="2">
        <f t="shared" si="170"/>
        <v>1.2765</v>
      </c>
      <c r="CW231" s="2">
        <f t="shared" si="171"/>
        <v>0</v>
      </c>
      <c r="CX231" s="2">
        <f t="shared" si="172"/>
        <v>0</v>
      </c>
      <c r="CY231" s="2">
        <f>((S231*BZ231)/100)</f>
        <v>15.5701</v>
      </c>
      <c r="CZ231" s="2">
        <f>((S231*CA231)/100)</f>
        <v>11.977</v>
      </c>
      <c r="DA231" s="2"/>
      <c r="DB231" s="2"/>
      <c r="DC231" s="2" t="s">
        <v>3</v>
      </c>
      <c r="DD231" s="2" t="s">
        <v>3</v>
      </c>
      <c r="DE231" s="2" t="s">
        <v>86</v>
      </c>
      <c r="DF231" s="2" t="s">
        <v>86</v>
      </c>
      <c r="DG231" s="2" t="s">
        <v>87</v>
      </c>
      <c r="DH231" s="2" t="s">
        <v>3</v>
      </c>
      <c r="DI231" s="2" t="s">
        <v>87</v>
      </c>
      <c r="DJ231" s="2" t="s">
        <v>86</v>
      </c>
      <c r="DK231" s="2" t="s">
        <v>3</v>
      </c>
      <c r="DL231" s="2" t="s">
        <v>3</v>
      </c>
      <c r="DM231" s="2" t="s">
        <v>3</v>
      </c>
      <c r="DN231" s="2">
        <v>0</v>
      </c>
      <c r="DO231" s="2">
        <v>0</v>
      </c>
      <c r="DP231" s="2">
        <v>1</v>
      </c>
      <c r="DQ231" s="2">
        <v>1</v>
      </c>
      <c r="DR231" s="2"/>
      <c r="DS231" s="2"/>
      <c r="DT231" s="2"/>
      <c r="DU231" s="2">
        <v>1013</v>
      </c>
      <c r="DV231" s="2" t="s">
        <v>231</v>
      </c>
      <c r="DW231" s="2" t="s">
        <v>231</v>
      </c>
      <c r="DX231" s="2">
        <v>1</v>
      </c>
      <c r="DY231" s="2"/>
      <c r="DZ231" s="2" t="s">
        <v>3</v>
      </c>
      <c r="EA231" s="2" t="s">
        <v>3</v>
      </c>
      <c r="EB231" s="2" t="s">
        <v>3</v>
      </c>
      <c r="EC231" s="2" t="s">
        <v>3</v>
      </c>
      <c r="ED231" s="2"/>
      <c r="EE231" s="2">
        <v>126051548</v>
      </c>
      <c r="EF231" s="2">
        <v>30</v>
      </c>
      <c r="EG231" s="2" t="s">
        <v>23</v>
      </c>
      <c r="EH231" s="2">
        <v>0</v>
      </c>
      <c r="EI231" s="2" t="s">
        <v>3</v>
      </c>
      <c r="EJ231" s="2">
        <v>1</v>
      </c>
      <c r="EK231" s="2">
        <v>87</v>
      </c>
      <c r="EL231" s="2" t="s">
        <v>233</v>
      </c>
      <c r="EM231" s="2" t="s">
        <v>234</v>
      </c>
      <c r="EN231" s="2"/>
      <c r="EO231" s="2" t="s">
        <v>90</v>
      </c>
      <c r="EP231" s="2"/>
      <c r="EQ231" s="2">
        <v>131072</v>
      </c>
      <c r="ER231" s="2">
        <v>17.260000000000002</v>
      </c>
      <c r="ES231" s="2">
        <v>0.41</v>
      </c>
      <c r="ET231" s="2">
        <v>1.97</v>
      </c>
      <c r="EU231" s="2">
        <v>0.04</v>
      </c>
      <c r="EV231" s="2">
        <v>14.88</v>
      </c>
      <c r="EW231" s="2">
        <v>1.1100000000000001</v>
      </c>
      <c r="EX231" s="2">
        <v>0</v>
      </c>
      <c r="EY231" s="2">
        <v>0</v>
      </c>
      <c r="EZ231" s="2"/>
      <c r="FA231" s="2"/>
      <c r="FB231" s="2"/>
      <c r="FC231" s="2"/>
      <c r="FD231" s="2"/>
      <c r="FE231" s="2"/>
      <c r="FF231" s="2"/>
      <c r="FG231" s="2"/>
      <c r="FH231" s="2"/>
      <c r="FI231" s="2"/>
      <c r="FJ231" s="2"/>
      <c r="FK231" s="2"/>
      <c r="FL231" s="2"/>
      <c r="FM231" s="2"/>
      <c r="FN231" s="2"/>
      <c r="FO231" s="2"/>
      <c r="FP231" s="2"/>
      <c r="FQ231" s="2">
        <v>0</v>
      </c>
      <c r="FR231" s="2">
        <f t="shared" si="173"/>
        <v>0</v>
      </c>
      <c r="FS231" s="2">
        <v>0</v>
      </c>
      <c r="FT231" s="2"/>
      <c r="FU231" s="2"/>
      <c r="FV231" s="2"/>
      <c r="FW231" s="2"/>
      <c r="FX231" s="2">
        <v>91</v>
      </c>
      <c r="FY231" s="2">
        <v>70</v>
      </c>
      <c r="FZ231" s="2"/>
      <c r="GA231" s="2" t="s">
        <v>3</v>
      </c>
      <c r="GB231" s="2"/>
      <c r="GC231" s="2"/>
      <c r="GD231" s="2">
        <v>0</v>
      </c>
      <c r="GE231" s="2"/>
      <c r="GF231" s="2">
        <v>-1605864171</v>
      </c>
      <c r="GG231" s="2">
        <v>2</v>
      </c>
      <c r="GH231" s="2">
        <v>1</v>
      </c>
      <c r="GI231" s="2">
        <v>-2</v>
      </c>
      <c r="GJ231" s="2">
        <v>0</v>
      </c>
      <c r="GK231" s="2">
        <f>ROUND(R231*(R12)/100,2)</f>
        <v>0.09</v>
      </c>
      <c r="GL231" s="2">
        <f t="shared" si="174"/>
        <v>0</v>
      </c>
      <c r="GM231" s="2">
        <f t="shared" si="175"/>
        <v>47.62</v>
      </c>
      <c r="GN231" s="2">
        <f t="shared" si="176"/>
        <v>47.62</v>
      </c>
      <c r="GO231" s="2">
        <f t="shared" si="177"/>
        <v>0</v>
      </c>
      <c r="GP231" s="2">
        <f t="shared" si="178"/>
        <v>0</v>
      </c>
      <c r="GQ231" s="2"/>
      <c r="GR231" s="2">
        <v>0</v>
      </c>
      <c r="GS231" s="2">
        <v>0</v>
      </c>
      <c r="GT231" s="2">
        <v>0</v>
      </c>
      <c r="GU231" s="2" t="s">
        <v>3</v>
      </c>
      <c r="GV231" s="2">
        <f t="shared" si="179"/>
        <v>0</v>
      </c>
      <c r="GW231" s="2">
        <v>1</v>
      </c>
      <c r="GX231" s="2">
        <f t="shared" si="180"/>
        <v>0</v>
      </c>
      <c r="GY231" s="2"/>
      <c r="GZ231" s="2"/>
      <c r="HA231" s="2">
        <v>0</v>
      </c>
      <c r="HB231" s="2">
        <v>0</v>
      </c>
      <c r="HC231" s="2">
        <f t="shared" si="181"/>
        <v>0</v>
      </c>
      <c r="HD231" s="2"/>
      <c r="HE231" s="2" t="s">
        <v>3</v>
      </c>
      <c r="HF231" s="2" t="s">
        <v>3</v>
      </c>
      <c r="HG231" s="2"/>
      <c r="HH231" s="2"/>
      <c r="HI231" s="2"/>
      <c r="HJ231" s="2"/>
      <c r="HK231" s="2"/>
      <c r="HL231" s="2"/>
      <c r="HM231" s="2" t="s">
        <v>3</v>
      </c>
      <c r="HN231" s="2" t="s">
        <v>3</v>
      </c>
      <c r="HO231" s="2" t="s">
        <v>3</v>
      </c>
      <c r="HP231" s="2" t="s">
        <v>3</v>
      </c>
      <c r="HQ231" s="2" t="s">
        <v>3</v>
      </c>
      <c r="HR231" s="2"/>
      <c r="HS231" s="2"/>
      <c r="HT231" s="2"/>
      <c r="HU231" s="2"/>
      <c r="HV231" s="2"/>
      <c r="HW231" s="2"/>
      <c r="HX231" s="2"/>
      <c r="HY231" s="2"/>
      <c r="HZ231" s="2"/>
      <c r="IA231" s="2"/>
      <c r="IB231" s="2"/>
      <c r="IC231" s="2"/>
      <c r="ID231" s="2"/>
      <c r="IE231" s="2"/>
      <c r="IF231" s="2"/>
      <c r="IG231" s="2"/>
      <c r="IH231" s="2"/>
      <c r="II231" s="2"/>
      <c r="IJ231" s="2"/>
      <c r="IK231" s="2">
        <v>0</v>
      </c>
      <c r="IL231" s="2"/>
      <c r="IM231" s="2"/>
      <c r="IN231" s="2"/>
      <c r="IO231" s="2"/>
      <c r="IP231" s="2"/>
      <c r="IQ231" s="2"/>
      <c r="IR231" s="2"/>
      <c r="IS231" s="2"/>
      <c r="IT231" s="2"/>
      <c r="IU231" s="2"/>
    </row>
    <row r="232" spans="1:255" x14ac:dyDescent="0.2">
      <c r="A232">
        <v>17</v>
      </c>
      <c r="B232">
        <v>1</v>
      </c>
      <c r="C232">
        <f>ROW(SmtRes!A160)</f>
        <v>160</v>
      </c>
      <c r="D232">
        <f>ROW(EtalonRes!A164)</f>
        <v>164</v>
      </c>
      <c r="E232" t="s">
        <v>228</v>
      </c>
      <c r="F232" t="s">
        <v>229</v>
      </c>
      <c r="G232" t="s">
        <v>230</v>
      </c>
      <c r="H232" t="s">
        <v>231</v>
      </c>
      <c r="I232">
        <v>1</v>
      </c>
      <c r="J232">
        <v>0</v>
      </c>
      <c r="K232">
        <v>1</v>
      </c>
      <c r="O232">
        <f t="shared" si="149"/>
        <v>524.20000000000005</v>
      </c>
      <c r="P232">
        <f t="shared" si="150"/>
        <v>2.36</v>
      </c>
      <c r="Q232">
        <f>(ROUND((ROUND((((ET232*1.25))*AV232*I232),2)*BB232),2)+ROUND((ROUND(((AE232-((EU232*1.25)))*AV232*I232),2)*BS232),2))</f>
        <v>25.14</v>
      </c>
      <c r="R232">
        <f t="shared" si="151"/>
        <v>1.45</v>
      </c>
      <c r="S232">
        <f t="shared" si="152"/>
        <v>496.7</v>
      </c>
      <c r="T232">
        <f t="shared" si="153"/>
        <v>0</v>
      </c>
      <c r="U232">
        <f t="shared" si="154"/>
        <v>1.2765</v>
      </c>
      <c r="V232">
        <f t="shared" si="155"/>
        <v>0</v>
      </c>
      <c r="W232">
        <f t="shared" si="156"/>
        <v>0</v>
      </c>
      <c r="X232">
        <f t="shared" si="157"/>
        <v>372.53</v>
      </c>
      <c r="Y232">
        <f t="shared" si="158"/>
        <v>203.65</v>
      </c>
      <c r="AA232">
        <v>129761633</v>
      </c>
      <c r="AB232">
        <f t="shared" si="159"/>
        <v>19.984500000000001</v>
      </c>
      <c r="AC232">
        <f t="shared" si="160"/>
        <v>0.41</v>
      </c>
      <c r="AD232">
        <f>ROUND(((((ET232*1.25))-((EU232*1.25)))+AE232),6)</f>
        <v>2.4624999999999999</v>
      </c>
      <c r="AE232">
        <f>ROUND(((EU232*1.25)),6)</f>
        <v>0.05</v>
      </c>
      <c r="AF232">
        <f>ROUND(((EV232*1.15)),6)</f>
        <v>17.111999999999998</v>
      </c>
      <c r="AG232">
        <f t="shared" si="162"/>
        <v>0</v>
      </c>
      <c r="AH232">
        <f>((EW232*1.15))</f>
        <v>1.2765</v>
      </c>
      <c r="AI232">
        <f>((EX232*1.25))</f>
        <v>0</v>
      </c>
      <c r="AJ232">
        <f t="shared" si="164"/>
        <v>0</v>
      </c>
      <c r="AK232">
        <v>17.260000000000002</v>
      </c>
      <c r="AL232">
        <v>0.41</v>
      </c>
      <c r="AM232">
        <v>1.97</v>
      </c>
      <c r="AN232">
        <v>0.04</v>
      </c>
      <c r="AO232">
        <v>14.88</v>
      </c>
      <c r="AP232">
        <v>0</v>
      </c>
      <c r="AQ232">
        <v>1.1100000000000001</v>
      </c>
      <c r="AR232">
        <v>0</v>
      </c>
      <c r="AS232">
        <v>0</v>
      </c>
      <c r="AT232">
        <v>75</v>
      </c>
      <c r="AU232">
        <v>41</v>
      </c>
      <c r="AV232">
        <v>1</v>
      </c>
      <c r="AW232">
        <v>1</v>
      </c>
      <c r="AZ232">
        <v>1</v>
      </c>
      <c r="BA232">
        <v>29.03</v>
      </c>
      <c r="BB232">
        <v>10.220000000000001</v>
      </c>
      <c r="BC232">
        <v>5.76</v>
      </c>
      <c r="BD232" t="s">
        <v>3</v>
      </c>
      <c r="BE232" t="s">
        <v>3</v>
      </c>
      <c r="BF232" t="s">
        <v>3</v>
      </c>
      <c r="BG232" t="s">
        <v>3</v>
      </c>
      <c r="BH232">
        <v>0</v>
      </c>
      <c r="BI232">
        <v>1</v>
      </c>
      <c r="BJ232" t="s">
        <v>232</v>
      </c>
      <c r="BM232">
        <v>87</v>
      </c>
      <c r="BN232">
        <v>0</v>
      </c>
      <c r="BO232" t="s">
        <v>229</v>
      </c>
      <c r="BP232">
        <v>1</v>
      </c>
      <c r="BQ232">
        <v>30</v>
      </c>
      <c r="BR232">
        <v>0</v>
      </c>
      <c r="BS232">
        <v>29.03</v>
      </c>
      <c r="BT232">
        <v>1</v>
      </c>
      <c r="BU232">
        <v>1</v>
      </c>
      <c r="BV232">
        <v>1</v>
      </c>
      <c r="BW232">
        <v>1</v>
      </c>
      <c r="BX232">
        <v>1</v>
      </c>
      <c r="BY232" t="s">
        <v>3</v>
      </c>
      <c r="BZ232">
        <v>75</v>
      </c>
      <c r="CA232">
        <v>41</v>
      </c>
      <c r="CB232" t="s">
        <v>3</v>
      </c>
      <c r="CE232">
        <v>30</v>
      </c>
      <c r="CF232">
        <v>0</v>
      </c>
      <c r="CG232">
        <v>0</v>
      </c>
      <c r="CM232">
        <v>0</v>
      </c>
      <c r="CN232" t="s">
        <v>1559</v>
      </c>
      <c r="CO232">
        <v>0</v>
      </c>
      <c r="CP232">
        <f t="shared" si="165"/>
        <v>524.20000000000005</v>
      </c>
      <c r="CQ232">
        <f t="shared" si="166"/>
        <v>2.36</v>
      </c>
      <c r="CR232">
        <f>(ROUND((ROUND((((ET232*1.25))*AV232*1),2)*BB232),2)+ROUND((ROUND(((AE232-((EU232*1.25)))*AV232*1),2)*BS232),2))</f>
        <v>25.14</v>
      </c>
      <c r="CS232">
        <f t="shared" si="167"/>
        <v>1.45</v>
      </c>
      <c r="CT232">
        <f t="shared" si="168"/>
        <v>496.7</v>
      </c>
      <c r="CU232">
        <f t="shared" si="169"/>
        <v>0</v>
      </c>
      <c r="CV232">
        <f t="shared" si="170"/>
        <v>1.2765</v>
      </c>
      <c r="CW232">
        <f t="shared" si="171"/>
        <v>0</v>
      </c>
      <c r="CX232">
        <f t="shared" si="172"/>
        <v>0</v>
      </c>
      <c r="CY232">
        <f>S232*(BZ232/100)</f>
        <v>372.52499999999998</v>
      </c>
      <c r="CZ232">
        <f>S232*(CA232/100)</f>
        <v>203.64699999999999</v>
      </c>
      <c r="DC232" t="s">
        <v>3</v>
      </c>
      <c r="DD232" t="s">
        <v>3</v>
      </c>
      <c r="DE232" t="s">
        <v>86</v>
      </c>
      <c r="DF232" t="s">
        <v>86</v>
      </c>
      <c r="DG232" t="s">
        <v>87</v>
      </c>
      <c r="DH232" t="s">
        <v>3</v>
      </c>
      <c r="DI232" t="s">
        <v>87</v>
      </c>
      <c r="DJ232" t="s">
        <v>86</v>
      </c>
      <c r="DK232" t="s">
        <v>3</v>
      </c>
      <c r="DL232" t="s">
        <v>3</v>
      </c>
      <c r="DM232" t="s">
        <v>3</v>
      </c>
      <c r="DN232">
        <v>91</v>
      </c>
      <c r="DO232">
        <v>70</v>
      </c>
      <c r="DP232">
        <v>1</v>
      </c>
      <c r="DQ232">
        <v>1</v>
      </c>
      <c r="DU232">
        <v>1013</v>
      </c>
      <c r="DV232" t="s">
        <v>231</v>
      </c>
      <c r="DW232" t="s">
        <v>231</v>
      </c>
      <c r="DX232">
        <v>1</v>
      </c>
      <c r="DZ232" t="s">
        <v>3</v>
      </c>
      <c r="EA232" t="s">
        <v>3</v>
      </c>
      <c r="EB232" t="s">
        <v>3</v>
      </c>
      <c r="EC232" t="s">
        <v>3</v>
      </c>
      <c r="EE232">
        <v>126051548</v>
      </c>
      <c r="EF232">
        <v>30</v>
      </c>
      <c r="EG232" t="s">
        <v>23</v>
      </c>
      <c r="EH232">
        <v>0</v>
      </c>
      <c r="EI232" t="s">
        <v>3</v>
      </c>
      <c r="EJ232">
        <v>1</v>
      </c>
      <c r="EK232">
        <v>87</v>
      </c>
      <c r="EL232" t="s">
        <v>233</v>
      </c>
      <c r="EM232" t="s">
        <v>234</v>
      </c>
      <c r="EO232" t="s">
        <v>90</v>
      </c>
      <c r="EQ232">
        <v>131072</v>
      </c>
      <c r="ER232">
        <v>17.260000000000002</v>
      </c>
      <c r="ES232">
        <v>0.41</v>
      </c>
      <c r="ET232">
        <v>1.97</v>
      </c>
      <c r="EU232">
        <v>0.04</v>
      </c>
      <c r="EV232">
        <v>14.88</v>
      </c>
      <c r="EW232">
        <v>1.1100000000000001</v>
      </c>
      <c r="EX232">
        <v>0</v>
      </c>
      <c r="EY232">
        <v>0</v>
      </c>
      <c r="FQ232">
        <v>0</v>
      </c>
      <c r="FR232">
        <f t="shared" si="173"/>
        <v>0</v>
      </c>
      <c r="FS232">
        <v>0</v>
      </c>
      <c r="FX232">
        <v>91</v>
      </c>
      <c r="FY232">
        <v>70</v>
      </c>
      <c r="GA232" t="s">
        <v>3</v>
      </c>
      <c r="GD232">
        <v>0</v>
      </c>
      <c r="GF232">
        <v>-1605864171</v>
      </c>
      <c r="GG232">
        <v>2</v>
      </c>
      <c r="GH232">
        <v>1</v>
      </c>
      <c r="GI232">
        <v>2</v>
      </c>
      <c r="GJ232">
        <v>0</v>
      </c>
      <c r="GK232">
        <f>ROUND(R232*(S12)/100,2)</f>
        <v>2.3199999999999998</v>
      </c>
      <c r="GL232">
        <f t="shared" si="174"/>
        <v>0</v>
      </c>
      <c r="GM232">
        <f t="shared" si="175"/>
        <v>1102.7</v>
      </c>
      <c r="GN232">
        <f t="shared" si="176"/>
        <v>1102.7</v>
      </c>
      <c r="GO232">
        <f t="shared" si="177"/>
        <v>0</v>
      </c>
      <c r="GP232">
        <f t="shared" si="178"/>
        <v>0</v>
      </c>
      <c r="GR232">
        <v>0</v>
      </c>
      <c r="GS232">
        <v>3</v>
      </c>
      <c r="GT232">
        <v>0</v>
      </c>
      <c r="GU232" t="s">
        <v>3</v>
      </c>
      <c r="GV232">
        <f t="shared" si="179"/>
        <v>0</v>
      </c>
      <c r="GW232">
        <v>1</v>
      </c>
      <c r="GX232">
        <f t="shared" si="180"/>
        <v>0</v>
      </c>
      <c r="HA232">
        <v>0</v>
      </c>
      <c r="HB232">
        <v>0</v>
      </c>
      <c r="HC232">
        <f t="shared" si="181"/>
        <v>0</v>
      </c>
      <c r="HE232" t="s">
        <v>3</v>
      </c>
      <c r="HF232" t="s">
        <v>3</v>
      </c>
      <c r="HM232" t="s">
        <v>3</v>
      </c>
      <c r="HN232" t="s">
        <v>3</v>
      </c>
      <c r="HO232" t="s">
        <v>3</v>
      </c>
      <c r="HP232" t="s">
        <v>3</v>
      </c>
      <c r="HQ232" t="s">
        <v>3</v>
      </c>
      <c r="IK232">
        <v>0</v>
      </c>
    </row>
    <row r="233" spans="1:255" x14ac:dyDescent="0.2">
      <c r="A233" s="2">
        <v>18</v>
      </c>
      <c r="B233" s="2">
        <v>1</v>
      </c>
      <c r="C233" s="2">
        <v>152</v>
      </c>
      <c r="D233" s="2"/>
      <c r="E233" s="2" t="s">
        <v>235</v>
      </c>
      <c r="F233" s="2" t="s">
        <v>236</v>
      </c>
      <c r="G233" s="2" t="s">
        <v>237</v>
      </c>
      <c r="H233" s="2" t="s">
        <v>238</v>
      </c>
      <c r="I233" s="2">
        <f>I231*J233</f>
        <v>1</v>
      </c>
      <c r="J233" s="2">
        <v>1</v>
      </c>
      <c r="K233" s="2">
        <v>1</v>
      </c>
      <c r="L233" s="2"/>
      <c r="M233" s="2"/>
      <c r="N233" s="2"/>
      <c r="O233" s="2">
        <f t="shared" si="149"/>
        <v>1390.95</v>
      </c>
      <c r="P233" s="2">
        <f t="shared" si="150"/>
        <v>1390.95</v>
      </c>
      <c r="Q233" s="2">
        <f>(ROUND((ROUND(((ET233)*AV233*I233),2)*BB233),2)+ROUND((ROUND(((AE233-(EU233))*AV233*I233),2)*BS233),2))</f>
        <v>0</v>
      </c>
      <c r="R233" s="2">
        <f t="shared" si="151"/>
        <v>0</v>
      </c>
      <c r="S233" s="2">
        <f t="shared" si="152"/>
        <v>0</v>
      </c>
      <c r="T233" s="2">
        <f t="shared" si="153"/>
        <v>0</v>
      </c>
      <c r="U233" s="2">
        <f t="shared" si="154"/>
        <v>0</v>
      </c>
      <c r="V233" s="2">
        <f t="shared" si="155"/>
        <v>0</v>
      </c>
      <c r="W233" s="2">
        <f t="shared" si="156"/>
        <v>0</v>
      </c>
      <c r="X233" s="2">
        <f t="shared" si="157"/>
        <v>0</v>
      </c>
      <c r="Y233" s="2">
        <f t="shared" si="158"/>
        <v>0</v>
      </c>
      <c r="Z233" s="2"/>
      <c r="AA233" s="2">
        <v>129761636</v>
      </c>
      <c r="AB233" s="2">
        <f t="shared" si="159"/>
        <v>1390.95</v>
      </c>
      <c r="AC233" s="2">
        <f t="shared" si="160"/>
        <v>1390.95</v>
      </c>
      <c r="AD233" s="2">
        <f>ROUND((((ET233)-(EU233))+AE233),6)</f>
        <v>0</v>
      </c>
      <c r="AE233" s="2">
        <f>ROUND((EU233),6)</f>
        <v>0</v>
      </c>
      <c r="AF233" s="2">
        <f>ROUND((EV233),6)</f>
        <v>0</v>
      </c>
      <c r="AG233" s="2">
        <f t="shared" si="162"/>
        <v>0</v>
      </c>
      <c r="AH233" s="2">
        <f>(EW233)</f>
        <v>0</v>
      </c>
      <c r="AI233" s="2">
        <f>(EX233)</f>
        <v>0</v>
      </c>
      <c r="AJ233" s="2">
        <f t="shared" si="164"/>
        <v>0</v>
      </c>
      <c r="AK233" s="2">
        <v>1390.95</v>
      </c>
      <c r="AL233" s="2">
        <v>1390.95</v>
      </c>
      <c r="AM233" s="2">
        <v>0</v>
      </c>
      <c r="AN233" s="2">
        <v>0</v>
      </c>
      <c r="AO233" s="2">
        <v>0</v>
      </c>
      <c r="AP233" s="2">
        <v>0</v>
      </c>
      <c r="AQ233" s="2">
        <v>0</v>
      </c>
      <c r="AR233" s="2">
        <v>0</v>
      </c>
      <c r="AS233" s="2">
        <v>0</v>
      </c>
      <c r="AT233" s="2">
        <v>91</v>
      </c>
      <c r="AU233" s="2">
        <v>70</v>
      </c>
      <c r="AV233" s="2">
        <v>1</v>
      </c>
      <c r="AW233" s="2">
        <v>1</v>
      </c>
      <c r="AX233" s="2"/>
      <c r="AY233" s="2"/>
      <c r="AZ233" s="2">
        <v>1</v>
      </c>
      <c r="BA233" s="2">
        <v>1</v>
      </c>
      <c r="BB233" s="2">
        <v>1</v>
      </c>
      <c r="BC233" s="2">
        <v>1</v>
      </c>
      <c r="BD233" s="2" t="s">
        <v>3</v>
      </c>
      <c r="BE233" s="2" t="s">
        <v>3</v>
      </c>
      <c r="BF233" s="2" t="s">
        <v>3</v>
      </c>
      <c r="BG233" s="2" t="s">
        <v>3</v>
      </c>
      <c r="BH233" s="2">
        <v>3</v>
      </c>
      <c r="BI233" s="2">
        <v>1</v>
      </c>
      <c r="BJ233" s="2" t="s">
        <v>239</v>
      </c>
      <c r="BK233" s="2"/>
      <c r="BL233" s="2"/>
      <c r="BM233" s="2">
        <v>87</v>
      </c>
      <c r="BN233" s="2">
        <v>0</v>
      </c>
      <c r="BO233" s="2" t="s">
        <v>3</v>
      </c>
      <c r="BP233" s="2">
        <v>0</v>
      </c>
      <c r="BQ233" s="2">
        <v>30</v>
      </c>
      <c r="BR233" s="2">
        <v>0</v>
      </c>
      <c r="BS233" s="2">
        <v>1</v>
      </c>
      <c r="BT233" s="2">
        <v>1</v>
      </c>
      <c r="BU233" s="2">
        <v>1</v>
      </c>
      <c r="BV233" s="2">
        <v>1</v>
      </c>
      <c r="BW233" s="2">
        <v>1</v>
      </c>
      <c r="BX233" s="2">
        <v>1</v>
      </c>
      <c r="BY233" s="2" t="s">
        <v>3</v>
      </c>
      <c r="BZ233" s="2">
        <v>91</v>
      </c>
      <c r="CA233" s="2">
        <v>70</v>
      </c>
      <c r="CB233" s="2" t="s">
        <v>3</v>
      </c>
      <c r="CC233" s="2"/>
      <c r="CD233" s="2"/>
      <c r="CE233" s="2">
        <v>30</v>
      </c>
      <c r="CF233" s="2">
        <v>0</v>
      </c>
      <c r="CG233" s="2">
        <v>0</v>
      </c>
      <c r="CH233" s="2"/>
      <c r="CI233" s="2"/>
      <c r="CJ233" s="2"/>
      <c r="CK233" s="2"/>
      <c r="CL233" s="2"/>
      <c r="CM233" s="2">
        <v>0</v>
      </c>
      <c r="CN233" s="2" t="s">
        <v>3</v>
      </c>
      <c r="CO233" s="2">
        <v>0</v>
      </c>
      <c r="CP233" s="2">
        <f t="shared" si="165"/>
        <v>1390.95</v>
      </c>
      <c r="CQ233" s="2">
        <f t="shared" si="166"/>
        <v>1390.95</v>
      </c>
      <c r="CR233" s="2">
        <f>(ROUND((ROUND(((ET233)*AV233*1),2)*BB233),2)+ROUND((ROUND(((AE233-(EU233))*AV233*1),2)*BS233),2))</f>
        <v>0</v>
      </c>
      <c r="CS233" s="2">
        <f t="shared" si="167"/>
        <v>0</v>
      </c>
      <c r="CT233" s="2">
        <f t="shared" si="168"/>
        <v>0</v>
      </c>
      <c r="CU233" s="2">
        <f t="shared" si="169"/>
        <v>0</v>
      </c>
      <c r="CV233" s="2">
        <f t="shared" si="170"/>
        <v>0</v>
      </c>
      <c r="CW233" s="2">
        <f t="shared" si="171"/>
        <v>0</v>
      </c>
      <c r="CX233" s="2">
        <f t="shared" si="172"/>
        <v>0</v>
      </c>
      <c r="CY233" s="2">
        <f>((S233*BZ233)/100)</f>
        <v>0</v>
      </c>
      <c r="CZ233" s="2">
        <f>((S233*CA233)/100)</f>
        <v>0</v>
      </c>
      <c r="DA233" s="2"/>
      <c r="DB233" s="2"/>
      <c r="DC233" s="2" t="s">
        <v>3</v>
      </c>
      <c r="DD233" s="2" t="s">
        <v>3</v>
      </c>
      <c r="DE233" s="2" t="s">
        <v>3</v>
      </c>
      <c r="DF233" s="2" t="s">
        <v>3</v>
      </c>
      <c r="DG233" s="2" t="s">
        <v>3</v>
      </c>
      <c r="DH233" s="2" t="s">
        <v>3</v>
      </c>
      <c r="DI233" s="2" t="s">
        <v>3</v>
      </c>
      <c r="DJ233" s="2" t="s">
        <v>3</v>
      </c>
      <c r="DK233" s="2" t="s">
        <v>3</v>
      </c>
      <c r="DL233" s="2" t="s">
        <v>3</v>
      </c>
      <c r="DM233" s="2" t="s">
        <v>3</v>
      </c>
      <c r="DN233" s="2">
        <v>0</v>
      </c>
      <c r="DO233" s="2">
        <v>0</v>
      </c>
      <c r="DP233" s="2">
        <v>1</v>
      </c>
      <c r="DQ233" s="2">
        <v>1</v>
      </c>
      <c r="DR233" s="2"/>
      <c r="DS233" s="2"/>
      <c r="DT233" s="2"/>
      <c r="DU233" s="2">
        <v>1013</v>
      </c>
      <c r="DV233" s="2" t="s">
        <v>238</v>
      </c>
      <c r="DW233" s="2" t="s">
        <v>238</v>
      </c>
      <c r="DX233" s="2">
        <v>1</v>
      </c>
      <c r="DY233" s="2"/>
      <c r="DZ233" s="2" t="s">
        <v>3</v>
      </c>
      <c r="EA233" s="2" t="s">
        <v>3</v>
      </c>
      <c r="EB233" s="2" t="s">
        <v>3</v>
      </c>
      <c r="EC233" s="2" t="s">
        <v>3</v>
      </c>
      <c r="ED233" s="2"/>
      <c r="EE233" s="2">
        <v>126051548</v>
      </c>
      <c r="EF233" s="2">
        <v>30</v>
      </c>
      <c r="EG233" s="2" t="s">
        <v>23</v>
      </c>
      <c r="EH233" s="2">
        <v>0</v>
      </c>
      <c r="EI233" s="2" t="s">
        <v>3</v>
      </c>
      <c r="EJ233" s="2">
        <v>1</v>
      </c>
      <c r="EK233" s="2">
        <v>87</v>
      </c>
      <c r="EL233" s="2" t="s">
        <v>233</v>
      </c>
      <c r="EM233" s="2" t="s">
        <v>234</v>
      </c>
      <c r="EN233" s="2"/>
      <c r="EO233" s="2" t="s">
        <v>3</v>
      </c>
      <c r="EP233" s="2"/>
      <c r="EQ233" s="2">
        <v>0</v>
      </c>
      <c r="ER233" s="2">
        <v>1390.95</v>
      </c>
      <c r="ES233" s="2">
        <v>1390.95</v>
      </c>
      <c r="ET233" s="2">
        <v>0</v>
      </c>
      <c r="EU233" s="2">
        <v>0</v>
      </c>
      <c r="EV233" s="2">
        <v>0</v>
      </c>
      <c r="EW233" s="2">
        <v>0</v>
      </c>
      <c r="EX233" s="2">
        <v>0</v>
      </c>
      <c r="EY233" s="2"/>
      <c r="EZ233" s="2"/>
      <c r="FA233" s="2"/>
      <c r="FB233" s="2"/>
      <c r="FC233" s="2"/>
      <c r="FD233" s="2"/>
      <c r="FE233" s="2"/>
      <c r="FF233" s="2"/>
      <c r="FG233" s="2"/>
      <c r="FH233" s="2"/>
      <c r="FI233" s="2"/>
      <c r="FJ233" s="2"/>
      <c r="FK233" s="2"/>
      <c r="FL233" s="2"/>
      <c r="FM233" s="2"/>
      <c r="FN233" s="2"/>
      <c r="FO233" s="2"/>
      <c r="FP233" s="2"/>
      <c r="FQ233" s="2">
        <v>0</v>
      </c>
      <c r="FR233" s="2">
        <f t="shared" si="173"/>
        <v>0</v>
      </c>
      <c r="FS233" s="2">
        <v>0</v>
      </c>
      <c r="FT233" s="2"/>
      <c r="FU233" s="2"/>
      <c r="FV233" s="2"/>
      <c r="FW233" s="2"/>
      <c r="FX233" s="2">
        <v>91</v>
      </c>
      <c r="FY233" s="2">
        <v>70</v>
      </c>
      <c r="FZ233" s="2"/>
      <c r="GA233" s="2" t="s">
        <v>3</v>
      </c>
      <c r="GB233" s="2"/>
      <c r="GC233" s="2"/>
      <c r="GD233" s="2">
        <v>0</v>
      </c>
      <c r="GE233" s="2"/>
      <c r="GF233" s="2">
        <v>1598346777</v>
      </c>
      <c r="GG233" s="2">
        <v>2</v>
      </c>
      <c r="GH233" s="2">
        <v>1</v>
      </c>
      <c r="GI233" s="2">
        <v>-2</v>
      </c>
      <c r="GJ233" s="2">
        <v>0</v>
      </c>
      <c r="GK233" s="2">
        <f>ROUND(R233*(R12)/100,2)</f>
        <v>0</v>
      </c>
      <c r="GL233" s="2">
        <f t="shared" si="174"/>
        <v>0</v>
      </c>
      <c r="GM233" s="2">
        <f t="shared" si="175"/>
        <v>1390.95</v>
      </c>
      <c r="GN233" s="2">
        <f t="shared" si="176"/>
        <v>1390.95</v>
      </c>
      <c r="GO233" s="2">
        <f t="shared" si="177"/>
        <v>0</v>
      </c>
      <c r="GP233" s="2">
        <f t="shared" si="178"/>
        <v>0</v>
      </c>
      <c r="GQ233" s="2"/>
      <c r="GR233" s="2">
        <v>0</v>
      </c>
      <c r="GS233" s="2">
        <v>0</v>
      </c>
      <c r="GT233" s="2">
        <v>0</v>
      </c>
      <c r="GU233" s="2" t="s">
        <v>3</v>
      </c>
      <c r="GV233" s="2">
        <f t="shared" si="179"/>
        <v>0</v>
      </c>
      <c r="GW233" s="2">
        <v>1</v>
      </c>
      <c r="GX233" s="2">
        <f t="shared" si="180"/>
        <v>0</v>
      </c>
      <c r="GY233" s="2"/>
      <c r="GZ233" s="2"/>
      <c r="HA233" s="2">
        <v>0</v>
      </c>
      <c r="HB233" s="2">
        <v>0</v>
      </c>
      <c r="HC233" s="2">
        <f t="shared" si="181"/>
        <v>0</v>
      </c>
      <c r="HD233" s="2"/>
      <c r="HE233" s="2" t="s">
        <v>3</v>
      </c>
      <c r="HF233" s="2" t="s">
        <v>3</v>
      </c>
      <c r="HG233" s="2"/>
      <c r="HH233" s="2"/>
      <c r="HI233" s="2"/>
      <c r="HJ233" s="2"/>
      <c r="HK233" s="2"/>
      <c r="HL233" s="2"/>
      <c r="HM233" s="2" t="s">
        <v>3</v>
      </c>
      <c r="HN233" s="2" t="s">
        <v>3</v>
      </c>
      <c r="HO233" s="2" t="s">
        <v>3</v>
      </c>
      <c r="HP233" s="2" t="s">
        <v>3</v>
      </c>
      <c r="HQ233" s="2" t="s">
        <v>3</v>
      </c>
      <c r="HR233" s="2"/>
      <c r="HS233" s="2"/>
      <c r="HT233" s="2"/>
      <c r="HU233" s="2"/>
      <c r="HV233" s="2"/>
      <c r="HW233" s="2"/>
      <c r="HX233" s="2"/>
      <c r="HY233" s="2"/>
      <c r="HZ233" s="2"/>
      <c r="IA233" s="2"/>
      <c r="IB233" s="2"/>
      <c r="IC233" s="2"/>
      <c r="ID233" s="2"/>
      <c r="IE233" s="2"/>
      <c r="IF233" s="2"/>
      <c r="IG233" s="2"/>
      <c r="IH233" s="2"/>
      <c r="II233" s="2"/>
      <c r="IJ233" s="2"/>
      <c r="IK233" s="2">
        <v>0</v>
      </c>
      <c r="IL233" s="2"/>
      <c r="IM233" s="2"/>
      <c r="IN233" s="2"/>
      <c r="IO233" s="2"/>
      <c r="IP233" s="2"/>
      <c r="IQ233" s="2"/>
      <c r="IR233" s="2"/>
      <c r="IS233" s="2"/>
      <c r="IT233" s="2"/>
      <c r="IU233" s="2"/>
    </row>
    <row r="234" spans="1:255" x14ac:dyDescent="0.2">
      <c r="A234">
        <v>18</v>
      </c>
      <c r="B234">
        <v>1</v>
      </c>
      <c r="C234">
        <v>160</v>
      </c>
      <c r="E234" t="s">
        <v>235</v>
      </c>
      <c r="F234" t="s">
        <v>236</v>
      </c>
      <c r="G234" t="s">
        <v>237</v>
      </c>
      <c r="H234" t="s">
        <v>238</v>
      </c>
      <c r="I234">
        <f>I232*J234</f>
        <v>1</v>
      </c>
      <c r="J234">
        <v>1</v>
      </c>
      <c r="K234">
        <v>1</v>
      </c>
      <c r="O234">
        <f t="shared" si="149"/>
        <v>9235.91</v>
      </c>
      <c r="P234">
        <f t="shared" si="150"/>
        <v>9235.91</v>
      </c>
      <c r="Q234">
        <f>(ROUND((ROUND(((ET234)*AV234*I234),2)*BB234),2)+ROUND((ROUND(((AE234-(EU234))*AV234*I234),2)*BS234),2))</f>
        <v>0</v>
      </c>
      <c r="R234">
        <f t="shared" si="151"/>
        <v>0</v>
      </c>
      <c r="S234">
        <f t="shared" si="152"/>
        <v>0</v>
      </c>
      <c r="T234">
        <f t="shared" si="153"/>
        <v>0</v>
      </c>
      <c r="U234">
        <f t="shared" si="154"/>
        <v>0</v>
      </c>
      <c r="V234">
        <f t="shared" si="155"/>
        <v>0</v>
      </c>
      <c r="W234">
        <f t="shared" si="156"/>
        <v>0</v>
      </c>
      <c r="X234">
        <f t="shared" si="157"/>
        <v>0</v>
      </c>
      <c r="Y234">
        <f t="shared" si="158"/>
        <v>0</v>
      </c>
      <c r="AA234">
        <v>129761633</v>
      </c>
      <c r="AB234">
        <f t="shared" si="159"/>
        <v>1390.95</v>
      </c>
      <c r="AC234">
        <f t="shared" si="160"/>
        <v>1390.95</v>
      </c>
      <c r="AD234">
        <f>ROUND((((ET234)-(EU234))+AE234),6)</f>
        <v>0</v>
      </c>
      <c r="AE234">
        <f>ROUND((EU234),6)</f>
        <v>0</v>
      </c>
      <c r="AF234">
        <f>ROUND((EV234),6)</f>
        <v>0</v>
      </c>
      <c r="AG234">
        <f t="shared" si="162"/>
        <v>0</v>
      </c>
      <c r="AH234">
        <f>(EW234)</f>
        <v>0</v>
      </c>
      <c r="AI234">
        <f>(EX234)</f>
        <v>0</v>
      </c>
      <c r="AJ234">
        <f t="shared" si="164"/>
        <v>0</v>
      </c>
      <c r="AK234">
        <v>1390.95</v>
      </c>
      <c r="AL234">
        <v>1390.95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1</v>
      </c>
      <c r="AW234">
        <v>1</v>
      </c>
      <c r="AZ234">
        <v>1</v>
      </c>
      <c r="BA234">
        <v>1</v>
      </c>
      <c r="BB234">
        <v>1</v>
      </c>
      <c r="BC234">
        <v>6.64</v>
      </c>
      <c r="BD234" t="s">
        <v>3</v>
      </c>
      <c r="BE234" t="s">
        <v>3</v>
      </c>
      <c r="BF234" t="s">
        <v>3</v>
      </c>
      <c r="BG234" t="s">
        <v>3</v>
      </c>
      <c r="BH234">
        <v>3</v>
      </c>
      <c r="BI234">
        <v>1</v>
      </c>
      <c r="BJ234" t="s">
        <v>239</v>
      </c>
      <c r="BM234">
        <v>87</v>
      </c>
      <c r="BN234">
        <v>0</v>
      </c>
      <c r="BO234" t="s">
        <v>236</v>
      </c>
      <c r="BP234">
        <v>1</v>
      </c>
      <c r="BQ234">
        <v>30</v>
      </c>
      <c r="BR234">
        <v>0</v>
      </c>
      <c r="BS234">
        <v>1</v>
      </c>
      <c r="BT234">
        <v>1</v>
      </c>
      <c r="BU234">
        <v>1</v>
      </c>
      <c r="BV234">
        <v>1</v>
      </c>
      <c r="BW234">
        <v>1</v>
      </c>
      <c r="BX234">
        <v>1</v>
      </c>
      <c r="BY234" t="s">
        <v>3</v>
      </c>
      <c r="BZ234">
        <v>0</v>
      </c>
      <c r="CA234">
        <v>0</v>
      </c>
      <c r="CB234" t="s">
        <v>3</v>
      </c>
      <c r="CE234">
        <v>30</v>
      </c>
      <c r="CF234">
        <v>0</v>
      </c>
      <c r="CG234">
        <v>0</v>
      </c>
      <c r="CM234">
        <v>0</v>
      </c>
      <c r="CN234" t="s">
        <v>3</v>
      </c>
      <c r="CO234">
        <v>0</v>
      </c>
      <c r="CP234">
        <f t="shared" si="165"/>
        <v>9235.91</v>
      </c>
      <c r="CQ234">
        <f t="shared" si="166"/>
        <v>9235.91</v>
      </c>
      <c r="CR234">
        <f>(ROUND((ROUND(((ET234)*AV234*1),2)*BB234),2)+ROUND((ROUND(((AE234-(EU234))*AV234*1),2)*BS234),2))</f>
        <v>0</v>
      </c>
      <c r="CS234">
        <f t="shared" si="167"/>
        <v>0</v>
      </c>
      <c r="CT234">
        <f t="shared" si="168"/>
        <v>0</v>
      </c>
      <c r="CU234">
        <f t="shared" si="169"/>
        <v>0</v>
      </c>
      <c r="CV234">
        <f t="shared" si="170"/>
        <v>0</v>
      </c>
      <c r="CW234">
        <f t="shared" si="171"/>
        <v>0</v>
      </c>
      <c r="CX234">
        <f t="shared" si="172"/>
        <v>0</v>
      </c>
      <c r="CY234">
        <f>S234*(BZ234/100)</f>
        <v>0</v>
      </c>
      <c r="CZ234">
        <f>S234*(CA234/100)</f>
        <v>0</v>
      </c>
      <c r="DC234" t="s">
        <v>3</v>
      </c>
      <c r="DD234" t="s">
        <v>3</v>
      </c>
      <c r="DE234" t="s">
        <v>3</v>
      </c>
      <c r="DF234" t="s">
        <v>3</v>
      </c>
      <c r="DG234" t="s">
        <v>3</v>
      </c>
      <c r="DH234" t="s">
        <v>3</v>
      </c>
      <c r="DI234" t="s">
        <v>3</v>
      </c>
      <c r="DJ234" t="s">
        <v>3</v>
      </c>
      <c r="DK234" t="s">
        <v>3</v>
      </c>
      <c r="DL234" t="s">
        <v>3</v>
      </c>
      <c r="DM234" t="s">
        <v>3</v>
      </c>
      <c r="DN234">
        <v>91</v>
      </c>
      <c r="DO234">
        <v>70</v>
      </c>
      <c r="DP234">
        <v>1</v>
      </c>
      <c r="DQ234">
        <v>1</v>
      </c>
      <c r="DU234">
        <v>1013</v>
      </c>
      <c r="DV234" t="s">
        <v>238</v>
      </c>
      <c r="DW234" t="s">
        <v>238</v>
      </c>
      <c r="DX234">
        <v>1</v>
      </c>
      <c r="DZ234" t="s">
        <v>3</v>
      </c>
      <c r="EA234" t="s">
        <v>3</v>
      </c>
      <c r="EB234" t="s">
        <v>3</v>
      </c>
      <c r="EC234" t="s">
        <v>3</v>
      </c>
      <c r="EE234">
        <v>126051548</v>
      </c>
      <c r="EF234">
        <v>30</v>
      </c>
      <c r="EG234" t="s">
        <v>23</v>
      </c>
      <c r="EH234">
        <v>0</v>
      </c>
      <c r="EI234" t="s">
        <v>3</v>
      </c>
      <c r="EJ234">
        <v>1</v>
      </c>
      <c r="EK234">
        <v>87</v>
      </c>
      <c r="EL234" t="s">
        <v>233</v>
      </c>
      <c r="EM234" t="s">
        <v>234</v>
      </c>
      <c r="EO234" t="s">
        <v>3</v>
      </c>
      <c r="EQ234">
        <v>0</v>
      </c>
      <c r="ER234">
        <v>1390.95</v>
      </c>
      <c r="ES234">
        <v>1390.95</v>
      </c>
      <c r="ET234">
        <v>0</v>
      </c>
      <c r="EU234">
        <v>0</v>
      </c>
      <c r="EV234">
        <v>0</v>
      </c>
      <c r="EW234">
        <v>0</v>
      </c>
      <c r="EX234">
        <v>0</v>
      </c>
      <c r="FQ234">
        <v>0</v>
      </c>
      <c r="FR234">
        <f t="shared" si="173"/>
        <v>0</v>
      </c>
      <c r="FS234">
        <v>0</v>
      </c>
      <c r="FX234">
        <v>91</v>
      </c>
      <c r="FY234">
        <v>70</v>
      </c>
      <c r="GA234" t="s">
        <v>3</v>
      </c>
      <c r="GD234">
        <v>0</v>
      </c>
      <c r="GF234">
        <v>1598346777</v>
      </c>
      <c r="GG234">
        <v>2</v>
      </c>
      <c r="GH234">
        <v>1</v>
      </c>
      <c r="GI234">
        <v>2</v>
      </c>
      <c r="GJ234">
        <v>0</v>
      </c>
      <c r="GK234">
        <f>ROUND(R234*(S12)/100,2)</f>
        <v>0</v>
      </c>
      <c r="GL234">
        <f t="shared" si="174"/>
        <v>0</v>
      </c>
      <c r="GM234">
        <f t="shared" si="175"/>
        <v>9235.91</v>
      </c>
      <c r="GN234">
        <f t="shared" si="176"/>
        <v>9235.91</v>
      </c>
      <c r="GO234">
        <f t="shared" si="177"/>
        <v>0</v>
      </c>
      <c r="GP234">
        <f t="shared" si="178"/>
        <v>0</v>
      </c>
      <c r="GR234">
        <v>0</v>
      </c>
      <c r="GS234">
        <v>3</v>
      </c>
      <c r="GT234">
        <v>0</v>
      </c>
      <c r="GU234" t="s">
        <v>3</v>
      </c>
      <c r="GV234">
        <f t="shared" si="179"/>
        <v>0</v>
      </c>
      <c r="GW234">
        <v>1</v>
      </c>
      <c r="GX234">
        <f t="shared" si="180"/>
        <v>0</v>
      </c>
      <c r="HA234">
        <v>0</v>
      </c>
      <c r="HB234">
        <v>0</v>
      </c>
      <c r="HC234">
        <f t="shared" si="181"/>
        <v>0</v>
      </c>
      <c r="HE234" t="s">
        <v>3</v>
      </c>
      <c r="HF234" t="s">
        <v>3</v>
      </c>
      <c r="HM234" t="s">
        <v>3</v>
      </c>
      <c r="HN234" t="s">
        <v>3</v>
      </c>
      <c r="HO234" t="s">
        <v>3</v>
      </c>
      <c r="HP234" t="s">
        <v>3</v>
      </c>
      <c r="HQ234" t="s">
        <v>3</v>
      </c>
      <c r="IK234">
        <v>0</v>
      </c>
    </row>
    <row r="235" spans="1:255" x14ac:dyDescent="0.2">
      <c r="A235" s="2">
        <v>17</v>
      </c>
      <c r="B235" s="2">
        <v>1</v>
      </c>
      <c r="C235" s="2">
        <f>ROW(SmtRes!A175)</f>
        <v>175</v>
      </c>
      <c r="D235" s="2">
        <f>ROW(EtalonRes!A179)</f>
        <v>179</v>
      </c>
      <c r="E235" s="2" t="s">
        <v>240</v>
      </c>
      <c r="F235" s="2" t="s">
        <v>241</v>
      </c>
      <c r="G235" s="2" t="s">
        <v>242</v>
      </c>
      <c r="H235" s="2" t="s">
        <v>243</v>
      </c>
      <c r="I235" s="2">
        <v>3.78E-2</v>
      </c>
      <c r="J235" s="2">
        <v>0</v>
      </c>
      <c r="K235" s="2">
        <v>3.78E-2</v>
      </c>
      <c r="L235" s="2"/>
      <c r="M235" s="2"/>
      <c r="N235" s="2"/>
      <c r="O235" s="2">
        <f t="shared" si="149"/>
        <v>144.83000000000001</v>
      </c>
      <c r="P235" s="2">
        <f t="shared" si="150"/>
        <v>76.349999999999994</v>
      </c>
      <c r="Q235" s="2">
        <f>(ROUND((ROUND((((ET235*1.25))*AV235*I235),2)*BB235),2)+ROUND((ROUND(((AE235-((EU235*1.25)))*AV235*I235),2)*BS235),2))</f>
        <v>21.47</v>
      </c>
      <c r="R235" s="2">
        <f t="shared" si="151"/>
        <v>2.5499999999999998</v>
      </c>
      <c r="S235" s="2">
        <f t="shared" si="152"/>
        <v>47.01</v>
      </c>
      <c r="T235" s="2">
        <f t="shared" si="153"/>
        <v>0</v>
      </c>
      <c r="U235" s="2">
        <f t="shared" si="154"/>
        <v>3.907953</v>
      </c>
      <c r="V235" s="2">
        <f t="shared" si="155"/>
        <v>0</v>
      </c>
      <c r="W235" s="2">
        <f t="shared" si="156"/>
        <v>0</v>
      </c>
      <c r="X235" s="2">
        <f t="shared" si="157"/>
        <v>49.36</v>
      </c>
      <c r="Y235" s="2">
        <f t="shared" si="158"/>
        <v>32.909999999999997</v>
      </c>
      <c r="Z235" s="2"/>
      <c r="AA235" s="2">
        <v>129761636</v>
      </c>
      <c r="AB235" s="2">
        <f t="shared" si="159"/>
        <v>3831.4074999999998</v>
      </c>
      <c r="AC235" s="2">
        <f t="shared" si="160"/>
        <v>2019.82</v>
      </c>
      <c r="AD235" s="2">
        <f>ROUND(((((ET235*1.25))-((EU235*1.25)))+AE235),6)</f>
        <v>567.86249999999995</v>
      </c>
      <c r="AE235" s="2">
        <f>ROUND(((EU235*1.25)),6)</f>
        <v>67.387500000000003</v>
      </c>
      <c r="AF235" s="2">
        <f>ROUND(((EV235*1.15)),6)</f>
        <v>1243.7249999999999</v>
      </c>
      <c r="AG235" s="2">
        <f t="shared" si="162"/>
        <v>0</v>
      </c>
      <c r="AH235" s="2">
        <f>((EW235*1.15))</f>
        <v>103.38500000000001</v>
      </c>
      <c r="AI235" s="2">
        <f>((EX235*1.25))</f>
        <v>0</v>
      </c>
      <c r="AJ235" s="2">
        <f t="shared" si="164"/>
        <v>0</v>
      </c>
      <c r="AK235" s="2">
        <v>3555.61</v>
      </c>
      <c r="AL235" s="2">
        <v>2019.82</v>
      </c>
      <c r="AM235" s="2">
        <v>454.29</v>
      </c>
      <c r="AN235" s="2">
        <v>53.91</v>
      </c>
      <c r="AO235" s="2">
        <v>1081.5</v>
      </c>
      <c r="AP235" s="2">
        <v>0</v>
      </c>
      <c r="AQ235" s="2">
        <v>89.9</v>
      </c>
      <c r="AR235" s="2">
        <v>0</v>
      </c>
      <c r="AS235" s="2">
        <v>0</v>
      </c>
      <c r="AT235" s="2">
        <v>105</v>
      </c>
      <c r="AU235" s="2">
        <v>70</v>
      </c>
      <c r="AV235" s="2">
        <v>1</v>
      </c>
      <c r="AW235" s="2">
        <v>1</v>
      </c>
      <c r="AX235" s="2"/>
      <c r="AY235" s="2"/>
      <c r="AZ235" s="2">
        <v>1</v>
      </c>
      <c r="BA235" s="2">
        <v>1</v>
      </c>
      <c r="BB235" s="2">
        <v>1</v>
      </c>
      <c r="BC235" s="2">
        <v>1</v>
      </c>
      <c r="BD235" s="2" t="s">
        <v>3</v>
      </c>
      <c r="BE235" s="2" t="s">
        <v>3</v>
      </c>
      <c r="BF235" s="2" t="s">
        <v>3</v>
      </c>
      <c r="BG235" s="2" t="s">
        <v>3</v>
      </c>
      <c r="BH235" s="2">
        <v>0</v>
      </c>
      <c r="BI235" s="2">
        <v>1</v>
      </c>
      <c r="BJ235" s="2" t="s">
        <v>244</v>
      </c>
      <c r="BK235" s="2"/>
      <c r="BL235" s="2"/>
      <c r="BM235" s="2">
        <v>81</v>
      </c>
      <c r="BN235" s="2">
        <v>0</v>
      </c>
      <c r="BO235" s="2" t="s">
        <v>3</v>
      </c>
      <c r="BP235" s="2">
        <v>0</v>
      </c>
      <c r="BQ235" s="2">
        <v>30</v>
      </c>
      <c r="BR235" s="2">
        <v>0</v>
      </c>
      <c r="BS235" s="2">
        <v>1</v>
      </c>
      <c r="BT235" s="2">
        <v>1</v>
      </c>
      <c r="BU235" s="2">
        <v>1</v>
      </c>
      <c r="BV235" s="2">
        <v>1</v>
      </c>
      <c r="BW235" s="2">
        <v>1</v>
      </c>
      <c r="BX235" s="2">
        <v>1</v>
      </c>
      <c r="BY235" s="2" t="s">
        <v>3</v>
      </c>
      <c r="BZ235" s="2">
        <v>105</v>
      </c>
      <c r="CA235" s="2">
        <v>70</v>
      </c>
      <c r="CB235" s="2" t="s">
        <v>3</v>
      </c>
      <c r="CC235" s="2"/>
      <c r="CD235" s="2"/>
      <c r="CE235" s="2">
        <v>30</v>
      </c>
      <c r="CF235" s="2">
        <v>0</v>
      </c>
      <c r="CG235" s="2">
        <v>0</v>
      </c>
      <c r="CH235" s="2"/>
      <c r="CI235" s="2"/>
      <c r="CJ235" s="2"/>
      <c r="CK235" s="2"/>
      <c r="CL235" s="2"/>
      <c r="CM235" s="2">
        <v>0</v>
      </c>
      <c r="CN235" s="2" t="s">
        <v>1559</v>
      </c>
      <c r="CO235" s="2">
        <v>0</v>
      </c>
      <c r="CP235" s="2">
        <f t="shared" si="165"/>
        <v>144.82999999999998</v>
      </c>
      <c r="CQ235" s="2">
        <f t="shared" si="166"/>
        <v>2019.82</v>
      </c>
      <c r="CR235" s="2">
        <f>(ROUND((ROUND((((ET235*1.25))*AV235*1),2)*BB235),2)+ROUND((ROUND(((AE235-((EU235*1.25)))*AV235*1),2)*BS235),2))</f>
        <v>567.86</v>
      </c>
      <c r="CS235" s="2">
        <f t="shared" si="167"/>
        <v>67.39</v>
      </c>
      <c r="CT235" s="2">
        <f t="shared" si="168"/>
        <v>1243.73</v>
      </c>
      <c r="CU235" s="2">
        <f t="shared" si="169"/>
        <v>0</v>
      </c>
      <c r="CV235" s="2">
        <f t="shared" si="170"/>
        <v>103.38500000000001</v>
      </c>
      <c r="CW235" s="2">
        <f t="shared" si="171"/>
        <v>0</v>
      </c>
      <c r="CX235" s="2">
        <f t="shared" si="172"/>
        <v>0</v>
      </c>
      <c r="CY235" s="2">
        <f>((S235*BZ235)/100)</f>
        <v>49.360500000000002</v>
      </c>
      <c r="CZ235" s="2">
        <f>((S235*CA235)/100)</f>
        <v>32.906999999999996</v>
      </c>
      <c r="DA235" s="2"/>
      <c r="DB235" s="2"/>
      <c r="DC235" s="2" t="s">
        <v>3</v>
      </c>
      <c r="DD235" s="2" t="s">
        <v>3</v>
      </c>
      <c r="DE235" s="2" t="s">
        <v>86</v>
      </c>
      <c r="DF235" s="2" t="s">
        <v>86</v>
      </c>
      <c r="DG235" s="2" t="s">
        <v>87</v>
      </c>
      <c r="DH235" s="2" t="s">
        <v>3</v>
      </c>
      <c r="DI235" s="2" t="s">
        <v>87</v>
      </c>
      <c r="DJ235" s="2" t="s">
        <v>86</v>
      </c>
      <c r="DK235" s="2" t="s">
        <v>3</v>
      </c>
      <c r="DL235" s="2" t="s">
        <v>3</v>
      </c>
      <c r="DM235" s="2" t="s">
        <v>3</v>
      </c>
      <c r="DN235" s="2">
        <v>0</v>
      </c>
      <c r="DO235" s="2">
        <v>0</v>
      </c>
      <c r="DP235" s="2">
        <v>1</v>
      </c>
      <c r="DQ235" s="2">
        <v>1</v>
      </c>
      <c r="DR235" s="2"/>
      <c r="DS235" s="2"/>
      <c r="DT235" s="2"/>
      <c r="DU235" s="2">
        <v>1013</v>
      </c>
      <c r="DV235" s="2" t="s">
        <v>243</v>
      </c>
      <c r="DW235" s="2" t="s">
        <v>243</v>
      </c>
      <c r="DX235" s="2">
        <v>1</v>
      </c>
      <c r="DY235" s="2"/>
      <c r="DZ235" s="2" t="s">
        <v>3</v>
      </c>
      <c r="EA235" s="2" t="s">
        <v>3</v>
      </c>
      <c r="EB235" s="2" t="s">
        <v>3</v>
      </c>
      <c r="EC235" s="2" t="s">
        <v>3</v>
      </c>
      <c r="ED235" s="2"/>
      <c r="EE235" s="2">
        <v>126051542</v>
      </c>
      <c r="EF235" s="2">
        <v>30</v>
      </c>
      <c r="EG235" s="2" t="s">
        <v>23</v>
      </c>
      <c r="EH235" s="2">
        <v>0</v>
      </c>
      <c r="EI235" s="2" t="s">
        <v>3</v>
      </c>
      <c r="EJ235" s="2">
        <v>1</v>
      </c>
      <c r="EK235" s="2">
        <v>81</v>
      </c>
      <c r="EL235" s="2" t="s">
        <v>245</v>
      </c>
      <c r="EM235" s="2" t="s">
        <v>246</v>
      </c>
      <c r="EN235" s="2"/>
      <c r="EO235" s="2" t="s">
        <v>90</v>
      </c>
      <c r="EP235" s="2"/>
      <c r="EQ235" s="2">
        <v>131072</v>
      </c>
      <c r="ER235" s="2">
        <v>3555.61</v>
      </c>
      <c r="ES235" s="2">
        <v>2019.82</v>
      </c>
      <c r="ET235" s="2">
        <v>454.29</v>
      </c>
      <c r="EU235" s="2">
        <v>53.91</v>
      </c>
      <c r="EV235" s="2">
        <v>1081.5</v>
      </c>
      <c r="EW235" s="2">
        <v>89.9</v>
      </c>
      <c r="EX235" s="2">
        <v>0</v>
      </c>
      <c r="EY235" s="2">
        <v>0</v>
      </c>
      <c r="EZ235" s="2"/>
      <c r="FA235" s="2"/>
      <c r="FB235" s="2"/>
      <c r="FC235" s="2"/>
      <c r="FD235" s="2"/>
      <c r="FE235" s="2"/>
      <c r="FF235" s="2"/>
      <c r="FG235" s="2"/>
      <c r="FH235" s="2"/>
      <c r="FI235" s="2"/>
      <c r="FJ235" s="2"/>
      <c r="FK235" s="2"/>
      <c r="FL235" s="2"/>
      <c r="FM235" s="2"/>
      <c r="FN235" s="2"/>
      <c r="FO235" s="2"/>
      <c r="FP235" s="2"/>
      <c r="FQ235" s="2">
        <v>0</v>
      </c>
      <c r="FR235" s="2">
        <f t="shared" si="173"/>
        <v>0</v>
      </c>
      <c r="FS235" s="2">
        <v>0</v>
      </c>
      <c r="FT235" s="2"/>
      <c r="FU235" s="2"/>
      <c r="FV235" s="2"/>
      <c r="FW235" s="2"/>
      <c r="FX235" s="2">
        <v>105</v>
      </c>
      <c r="FY235" s="2">
        <v>70</v>
      </c>
      <c r="FZ235" s="2"/>
      <c r="GA235" s="2" t="s">
        <v>3</v>
      </c>
      <c r="GB235" s="2"/>
      <c r="GC235" s="2"/>
      <c r="GD235" s="2">
        <v>0</v>
      </c>
      <c r="GE235" s="2"/>
      <c r="GF235" s="2">
        <v>-2093487337</v>
      </c>
      <c r="GG235" s="2">
        <v>2</v>
      </c>
      <c r="GH235" s="2">
        <v>1</v>
      </c>
      <c r="GI235" s="2">
        <v>-2</v>
      </c>
      <c r="GJ235" s="2">
        <v>0</v>
      </c>
      <c r="GK235" s="2">
        <f>ROUND(R235*(R12)/100,2)</f>
        <v>4.46</v>
      </c>
      <c r="GL235" s="2">
        <f t="shared" si="174"/>
        <v>0</v>
      </c>
      <c r="GM235" s="2">
        <f t="shared" si="175"/>
        <v>231.56</v>
      </c>
      <c r="GN235" s="2">
        <f t="shared" si="176"/>
        <v>231.56</v>
      </c>
      <c r="GO235" s="2">
        <f t="shared" si="177"/>
        <v>0</v>
      </c>
      <c r="GP235" s="2">
        <f t="shared" si="178"/>
        <v>0</v>
      </c>
      <c r="GQ235" s="2"/>
      <c r="GR235" s="2">
        <v>0</v>
      </c>
      <c r="GS235" s="2">
        <v>0</v>
      </c>
      <c r="GT235" s="2">
        <v>0</v>
      </c>
      <c r="GU235" s="2" t="s">
        <v>3</v>
      </c>
      <c r="GV235" s="2">
        <f t="shared" si="179"/>
        <v>0</v>
      </c>
      <c r="GW235" s="2">
        <v>1</v>
      </c>
      <c r="GX235" s="2">
        <f t="shared" si="180"/>
        <v>0</v>
      </c>
      <c r="GY235" s="2"/>
      <c r="GZ235" s="2"/>
      <c r="HA235" s="2">
        <v>0</v>
      </c>
      <c r="HB235" s="2">
        <v>0</v>
      </c>
      <c r="HC235" s="2">
        <f t="shared" si="181"/>
        <v>0</v>
      </c>
      <c r="HD235" s="2"/>
      <c r="HE235" s="2" t="s">
        <v>3</v>
      </c>
      <c r="HF235" s="2" t="s">
        <v>3</v>
      </c>
      <c r="HG235" s="2"/>
      <c r="HH235" s="2"/>
      <c r="HI235" s="2"/>
      <c r="HJ235" s="2"/>
      <c r="HK235" s="2"/>
      <c r="HL235" s="2"/>
      <c r="HM235" s="2" t="s">
        <v>3</v>
      </c>
      <c r="HN235" s="2" t="s">
        <v>3</v>
      </c>
      <c r="HO235" s="2" t="s">
        <v>3</v>
      </c>
      <c r="HP235" s="2" t="s">
        <v>3</v>
      </c>
      <c r="HQ235" s="2" t="s">
        <v>3</v>
      </c>
      <c r="HR235" s="2"/>
      <c r="HS235" s="2"/>
      <c r="HT235" s="2"/>
      <c r="HU235" s="2"/>
      <c r="HV235" s="2"/>
      <c r="HW235" s="2"/>
      <c r="HX235" s="2"/>
      <c r="HY235" s="2"/>
      <c r="HZ235" s="2"/>
      <c r="IA235" s="2"/>
      <c r="IB235" s="2"/>
      <c r="IC235" s="2"/>
      <c r="ID235" s="2"/>
      <c r="IE235" s="2"/>
      <c r="IF235" s="2"/>
      <c r="IG235" s="2"/>
      <c r="IH235" s="2"/>
      <c r="II235" s="2"/>
      <c r="IJ235" s="2"/>
      <c r="IK235" s="2">
        <v>0</v>
      </c>
      <c r="IL235" s="2"/>
      <c r="IM235" s="2"/>
      <c r="IN235" s="2"/>
      <c r="IO235" s="2"/>
      <c r="IP235" s="2"/>
      <c r="IQ235" s="2"/>
      <c r="IR235" s="2"/>
      <c r="IS235" s="2"/>
      <c r="IT235" s="2"/>
      <c r="IU235" s="2"/>
    </row>
    <row r="236" spans="1:255" x14ac:dyDescent="0.2">
      <c r="A236">
        <v>17</v>
      </c>
      <c r="B236">
        <v>1</v>
      </c>
      <c r="C236">
        <f>ROW(SmtRes!A190)</f>
        <v>190</v>
      </c>
      <c r="D236">
        <f>ROW(EtalonRes!A194)</f>
        <v>194</v>
      </c>
      <c r="E236" t="s">
        <v>240</v>
      </c>
      <c r="F236" t="s">
        <v>241</v>
      </c>
      <c r="G236" t="s">
        <v>242</v>
      </c>
      <c r="H236" t="s">
        <v>243</v>
      </c>
      <c r="I236">
        <v>3.78E-2</v>
      </c>
      <c r="J236">
        <v>0</v>
      </c>
      <c r="K236">
        <v>3.78E-2</v>
      </c>
      <c r="O236">
        <f t="shared" si="149"/>
        <v>2153.98</v>
      </c>
      <c r="P236">
        <f t="shared" si="150"/>
        <v>560.41</v>
      </c>
      <c r="Q236">
        <f>(ROUND((ROUND((((ET236*1.25))*AV236*I236),2)*BB236),2)+ROUND((ROUND(((AE236-((EU236*1.25)))*AV236*I236),2)*BS236),2))</f>
        <v>228.87</v>
      </c>
      <c r="R236">
        <f t="shared" si="151"/>
        <v>74.03</v>
      </c>
      <c r="S236">
        <f t="shared" si="152"/>
        <v>1364.7</v>
      </c>
      <c r="T236">
        <f t="shared" si="153"/>
        <v>0</v>
      </c>
      <c r="U236">
        <f t="shared" si="154"/>
        <v>3.907953</v>
      </c>
      <c r="V236">
        <f t="shared" si="155"/>
        <v>0</v>
      </c>
      <c r="W236">
        <f t="shared" si="156"/>
        <v>0</v>
      </c>
      <c r="X236">
        <f t="shared" si="157"/>
        <v>1187.29</v>
      </c>
      <c r="Y236">
        <f t="shared" si="158"/>
        <v>559.53</v>
      </c>
      <c r="AA236">
        <v>129761633</v>
      </c>
      <c r="AB236">
        <f t="shared" si="159"/>
        <v>3831.4074999999998</v>
      </c>
      <c r="AC236">
        <f t="shared" si="160"/>
        <v>2019.82</v>
      </c>
      <c r="AD236">
        <f>ROUND(((((ET236*1.25))-((EU236*1.25)))+AE236),6)</f>
        <v>567.86249999999995</v>
      </c>
      <c r="AE236">
        <f>ROUND(((EU236*1.25)),6)</f>
        <v>67.387500000000003</v>
      </c>
      <c r="AF236">
        <f>ROUND(((EV236*1.15)),6)</f>
        <v>1243.7249999999999</v>
      </c>
      <c r="AG236">
        <f t="shared" si="162"/>
        <v>0</v>
      </c>
      <c r="AH236">
        <f>((EW236*1.15))</f>
        <v>103.38500000000001</v>
      </c>
      <c r="AI236">
        <f>((EX236*1.25))</f>
        <v>0</v>
      </c>
      <c r="AJ236">
        <f t="shared" si="164"/>
        <v>0</v>
      </c>
      <c r="AK236">
        <v>3555.61</v>
      </c>
      <c r="AL236">
        <v>2019.82</v>
      </c>
      <c r="AM236">
        <v>454.29</v>
      </c>
      <c r="AN236">
        <v>53.91</v>
      </c>
      <c r="AO236">
        <v>1081.5</v>
      </c>
      <c r="AP236">
        <v>0</v>
      </c>
      <c r="AQ236">
        <v>89.9</v>
      </c>
      <c r="AR236">
        <v>0</v>
      </c>
      <c r="AS236">
        <v>0</v>
      </c>
      <c r="AT236">
        <v>87</v>
      </c>
      <c r="AU236">
        <v>41</v>
      </c>
      <c r="AV236">
        <v>1</v>
      </c>
      <c r="AW236">
        <v>1</v>
      </c>
      <c r="AZ236">
        <v>1</v>
      </c>
      <c r="BA236">
        <v>29.03</v>
      </c>
      <c r="BB236">
        <v>10.66</v>
      </c>
      <c r="BC236">
        <v>7.34</v>
      </c>
      <c r="BD236" t="s">
        <v>3</v>
      </c>
      <c r="BE236" t="s">
        <v>3</v>
      </c>
      <c r="BF236" t="s">
        <v>3</v>
      </c>
      <c r="BG236" t="s">
        <v>3</v>
      </c>
      <c r="BH236">
        <v>0</v>
      </c>
      <c r="BI236">
        <v>1</v>
      </c>
      <c r="BJ236" t="s">
        <v>244</v>
      </c>
      <c r="BM236">
        <v>81</v>
      </c>
      <c r="BN236">
        <v>0</v>
      </c>
      <c r="BO236" t="s">
        <v>241</v>
      </c>
      <c r="BP236">
        <v>1</v>
      </c>
      <c r="BQ236">
        <v>30</v>
      </c>
      <c r="BR236">
        <v>0</v>
      </c>
      <c r="BS236">
        <v>29.03</v>
      </c>
      <c r="BT236">
        <v>1</v>
      </c>
      <c r="BU236">
        <v>1</v>
      </c>
      <c r="BV236">
        <v>1</v>
      </c>
      <c r="BW236">
        <v>1</v>
      </c>
      <c r="BX236">
        <v>1</v>
      </c>
      <c r="BY236" t="s">
        <v>3</v>
      </c>
      <c r="BZ236">
        <v>87</v>
      </c>
      <c r="CA236">
        <v>41</v>
      </c>
      <c r="CB236" t="s">
        <v>3</v>
      </c>
      <c r="CE236">
        <v>30</v>
      </c>
      <c r="CF236">
        <v>0</v>
      </c>
      <c r="CG236">
        <v>0</v>
      </c>
      <c r="CM236">
        <v>0</v>
      </c>
      <c r="CN236" t="s">
        <v>1559</v>
      </c>
      <c r="CO236">
        <v>0</v>
      </c>
      <c r="CP236">
        <f t="shared" si="165"/>
        <v>2153.98</v>
      </c>
      <c r="CQ236">
        <f t="shared" si="166"/>
        <v>14825.48</v>
      </c>
      <c r="CR236">
        <f>(ROUND((ROUND((((ET236*1.25))*AV236*1),2)*BB236),2)+ROUND((ROUND(((AE236-((EU236*1.25)))*AV236*1),2)*BS236),2))</f>
        <v>6053.39</v>
      </c>
      <c r="CS236">
        <f t="shared" si="167"/>
        <v>1956.33</v>
      </c>
      <c r="CT236">
        <f t="shared" si="168"/>
        <v>36105.480000000003</v>
      </c>
      <c r="CU236">
        <f t="shared" si="169"/>
        <v>0</v>
      </c>
      <c r="CV236">
        <f t="shared" si="170"/>
        <v>103.38500000000001</v>
      </c>
      <c r="CW236">
        <f t="shared" si="171"/>
        <v>0</v>
      </c>
      <c r="CX236">
        <f t="shared" si="172"/>
        <v>0</v>
      </c>
      <c r="CY236">
        <f>S236*(BZ236/100)</f>
        <v>1187.289</v>
      </c>
      <c r="CZ236">
        <f>S236*(CA236/100)</f>
        <v>559.52699999999993</v>
      </c>
      <c r="DC236" t="s">
        <v>3</v>
      </c>
      <c r="DD236" t="s">
        <v>3</v>
      </c>
      <c r="DE236" t="s">
        <v>86</v>
      </c>
      <c r="DF236" t="s">
        <v>86</v>
      </c>
      <c r="DG236" t="s">
        <v>87</v>
      </c>
      <c r="DH236" t="s">
        <v>3</v>
      </c>
      <c r="DI236" t="s">
        <v>87</v>
      </c>
      <c r="DJ236" t="s">
        <v>86</v>
      </c>
      <c r="DK236" t="s">
        <v>3</v>
      </c>
      <c r="DL236" t="s">
        <v>3</v>
      </c>
      <c r="DM236" t="s">
        <v>3</v>
      </c>
      <c r="DN236">
        <v>105</v>
      </c>
      <c r="DO236">
        <v>70</v>
      </c>
      <c r="DP236">
        <v>1</v>
      </c>
      <c r="DQ236">
        <v>1</v>
      </c>
      <c r="DU236">
        <v>1013</v>
      </c>
      <c r="DV236" t="s">
        <v>243</v>
      </c>
      <c r="DW236" t="s">
        <v>243</v>
      </c>
      <c r="DX236">
        <v>1</v>
      </c>
      <c r="DZ236" t="s">
        <v>3</v>
      </c>
      <c r="EA236" t="s">
        <v>3</v>
      </c>
      <c r="EB236" t="s">
        <v>3</v>
      </c>
      <c r="EC236" t="s">
        <v>3</v>
      </c>
      <c r="EE236">
        <v>126051542</v>
      </c>
      <c r="EF236">
        <v>30</v>
      </c>
      <c r="EG236" t="s">
        <v>23</v>
      </c>
      <c r="EH236">
        <v>0</v>
      </c>
      <c r="EI236" t="s">
        <v>3</v>
      </c>
      <c r="EJ236">
        <v>1</v>
      </c>
      <c r="EK236">
        <v>81</v>
      </c>
      <c r="EL236" t="s">
        <v>245</v>
      </c>
      <c r="EM236" t="s">
        <v>246</v>
      </c>
      <c r="EO236" t="s">
        <v>90</v>
      </c>
      <c r="EQ236">
        <v>131072</v>
      </c>
      <c r="ER236">
        <v>3555.61</v>
      </c>
      <c r="ES236">
        <v>2019.82</v>
      </c>
      <c r="ET236">
        <v>454.29</v>
      </c>
      <c r="EU236">
        <v>53.91</v>
      </c>
      <c r="EV236">
        <v>1081.5</v>
      </c>
      <c r="EW236">
        <v>89.9</v>
      </c>
      <c r="EX236">
        <v>0</v>
      </c>
      <c r="EY236">
        <v>0</v>
      </c>
      <c r="FQ236">
        <v>0</v>
      </c>
      <c r="FR236">
        <f t="shared" si="173"/>
        <v>0</v>
      </c>
      <c r="FS236">
        <v>0</v>
      </c>
      <c r="FX236">
        <v>105</v>
      </c>
      <c r="FY236">
        <v>70</v>
      </c>
      <c r="GA236" t="s">
        <v>3</v>
      </c>
      <c r="GD236">
        <v>0</v>
      </c>
      <c r="GF236">
        <v>-2093487337</v>
      </c>
      <c r="GG236">
        <v>2</v>
      </c>
      <c r="GH236">
        <v>1</v>
      </c>
      <c r="GI236">
        <v>2</v>
      </c>
      <c r="GJ236">
        <v>0</v>
      </c>
      <c r="GK236">
        <f>ROUND(R236*(S12)/100,2)</f>
        <v>118.45</v>
      </c>
      <c r="GL236">
        <f t="shared" si="174"/>
        <v>0</v>
      </c>
      <c r="GM236">
        <f t="shared" si="175"/>
        <v>4019.25</v>
      </c>
      <c r="GN236">
        <f t="shared" si="176"/>
        <v>4019.25</v>
      </c>
      <c r="GO236">
        <f t="shared" si="177"/>
        <v>0</v>
      </c>
      <c r="GP236">
        <f t="shared" si="178"/>
        <v>0</v>
      </c>
      <c r="GR236">
        <v>0</v>
      </c>
      <c r="GS236">
        <v>3</v>
      </c>
      <c r="GT236">
        <v>0</v>
      </c>
      <c r="GU236" t="s">
        <v>3</v>
      </c>
      <c r="GV236">
        <f t="shared" si="179"/>
        <v>0</v>
      </c>
      <c r="GW236">
        <v>1</v>
      </c>
      <c r="GX236">
        <f t="shared" si="180"/>
        <v>0</v>
      </c>
      <c r="HA236">
        <v>0</v>
      </c>
      <c r="HB236">
        <v>0</v>
      </c>
      <c r="HC236">
        <f t="shared" si="181"/>
        <v>0</v>
      </c>
      <c r="HE236" t="s">
        <v>3</v>
      </c>
      <c r="HF236" t="s">
        <v>3</v>
      </c>
      <c r="HM236" t="s">
        <v>3</v>
      </c>
      <c r="HN236" t="s">
        <v>3</v>
      </c>
      <c r="HO236" t="s">
        <v>3</v>
      </c>
      <c r="HP236" t="s">
        <v>3</v>
      </c>
      <c r="HQ236" t="s">
        <v>3</v>
      </c>
      <c r="IK236">
        <v>0</v>
      </c>
    </row>
    <row r="237" spans="1:255" x14ac:dyDescent="0.2">
      <c r="A237" s="2">
        <v>18</v>
      </c>
      <c r="B237" s="2">
        <v>1</v>
      </c>
      <c r="C237" s="2">
        <v>174</v>
      </c>
      <c r="D237" s="2"/>
      <c r="E237" s="2" t="s">
        <v>247</v>
      </c>
      <c r="F237" s="2" t="s">
        <v>248</v>
      </c>
      <c r="G237" s="2" t="s">
        <v>249</v>
      </c>
      <c r="H237" s="2" t="s">
        <v>250</v>
      </c>
      <c r="I237" s="2">
        <f>I235*J237</f>
        <v>1</v>
      </c>
      <c r="J237" s="2">
        <v>26.455026455026456</v>
      </c>
      <c r="K237" s="2">
        <v>26.455026</v>
      </c>
      <c r="L237" s="2"/>
      <c r="M237" s="2"/>
      <c r="N237" s="2"/>
      <c r="O237" s="2">
        <f t="shared" si="149"/>
        <v>0</v>
      </c>
      <c r="P237" s="2">
        <f t="shared" si="150"/>
        <v>0</v>
      </c>
      <c r="Q237" s="2">
        <f t="shared" ref="Q237:Q244" si="182">(ROUND((ROUND(((ET237)*AV237*I237),2)*BB237),2)+ROUND((ROUND(((AE237-(EU237))*AV237*I237),2)*BS237),2))</f>
        <v>0</v>
      </c>
      <c r="R237" s="2">
        <f t="shared" si="151"/>
        <v>0</v>
      </c>
      <c r="S237" s="2">
        <f t="shared" si="152"/>
        <v>0</v>
      </c>
      <c r="T237" s="2">
        <f t="shared" si="153"/>
        <v>0</v>
      </c>
      <c r="U237" s="2">
        <f t="shared" si="154"/>
        <v>0</v>
      </c>
      <c r="V237" s="2">
        <f t="shared" si="155"/>
        <v>0</v>
      </c>
      <c r="W237" s="2">
        <f t="shared" si="156"/>
        <v>0</v>
      </c>
      <c r="X237" s="2">
        <f t="shared" si="157"/>
        <v>0</v>
      </c>
      <c r="Y237" s="2">
        <f t="shared" si="158"/>
        <v>0</v>
      </c>
      <c r="Z237" s="2"/>
      <c r="AA237" s="2">
        <v>129761636</v>
      </c>
      <c r="AB237" s="2">
        <f t="shared" si="159"/>
        <v>0</v>
      </c>
      <c r="AC237" s="2">
        <f t="shared" si="160"/>
        <v>0</v>
      </c>
      <c r="AD237" s="2">
        <f t="shared" ref="AD237:AD244" si="183">ROUND((((ET237)-(EU237))+AE237),6)</f>
        <v>0</v>
      </c>
      <c r="AE237" s="2">
        <f t="shared" ref="AE237:AF244" si="184">ROUND((EU237),6)</f>
        <v>0</v>
      </c>
      <c r="AF237" s="2">
        <f t="shared" si="184"/>
        <v>0</v>
      </c>
      <c r="AG237" s="2">
        <f t="shared" si="162"/>
        <v>0</v>
      </c>
      <c r="AH237" s="2">
        <f t="shared" ref="AH237:AI244" si="185">(EW237)</f>
        <v>0</v>
      </c>
      <c r="AI237" s="2">
        <f t="shared" si="185"/>
        <v>0</v>
      </c>
      <c r="AJ237" s="2">
        <f t="shared" si="164"/>
        <v>0</v>
      </c>
      <c r="AK237" s="2">
        <v>0</v>
      </c>
      <c r="AL237" s="2">
        <v>0</v>
      </c>
      <c r="AM237" s="2">
        <v>0</v>
      </c>
      <c r="AN237" s="2">
        <v>0</v>
      </c>
      <c r="AO237" s="2">
        <v>0</v>
      </c>
      <c r="AP237" s="2">
        <v>0</v>
      </c>
      <c r="AQ237" s="2">
        <v>0</v>
      </c>
      <c r="AR237" s="2">
        <v>0</v>
      </c>
      <c r="AS237" s="2">
        <v>0</v>
      </c>
      <c r="AT237" s="2">
        <v>105</v>
      </c>
      <c r="AU237" s="2">
        <v>70</v>
      </c>
      <c r="AV237" s="2">
        <v>1</v>
      </c>
      <c r="AW237" s="2">
        <v>1</v>
      </c>
      <c r="AX237" s="2"/>
      <c r="AY237" s="2"/>
      <c r="AZ237" s="2">
        <v>1</v>
      </c>
      <c r="BA237" s="2">
        <v>1</v>
      </c>
      <c r="BB237" s="2">
        <v>1</v>
      </c>
      <c r="BC237" s="2">
        <v>1</v>
      </c>
      <c r="BD237" s="2" t="s">
        <v>3</v>
      </c>
      <c r="BE237" s="2" t="s">
        <v>3</v>
      </c>
      <c r="BF237" s="2" t="s">
        <v>3</v>
      </c>
      <c r="BG237" s="2" t="s">
        <v>3</v>
      </c>
      <c r="BH237" s="2">
        <v>3</v>
      </c>
      <c r="BI237" s="2">
        <v>1</v>
      </c>
      <c r="BJ237" s="2" t="s">
        <v>3</v>
      </c>
      <c r="BK237" s="2"/>
      <c r="BL237" s="2"/>
      <c r="BM237" s="2">
        <v>81</v>
      </c>
      <c r="BN237" s="2">
        <v>0</v>
      </c>
      <c r="BO237" s="2" t="s">
        <v>3</v>
      </c>
      <c r="BP237" s="2">
        <v>0</v>
      </c>
      <c r="BQ237" s="2">
        <v>30</v>
      </c>
      <c r="BR237" s="2">
        <v>0</v>
      </c>
      <c r="BS237" s="2">
        <v>1</v>
      </c>
      <c r="BT237" s="2">
        <v>1</v>
      </c>
      <c r="BU237" s="2">
        <v>1</v>
      </c>
      <c r="BV237" s="2">
        <v>1</v>
      </c>
      <c r="BW237" s="2">
        <v>1</v>
      </c>
      <c r="BX237" s="2">
        <v>1</v>
      </c>
      <c r="BY237" s="2" t="s">
        <v>3</v>
      </c>
      <c r="BZ237" s="2">
        <v>105</v>
      </c>
      <c r="CA237" s="2">
        <v>70</v>
      </c>
      <c r="CB237" s="2" t="s">
        <v>3</v>
      </c>
      <c r="CC237" s="2"/>
      <c r="CD237" s="2"/>
      <c r="CE237" s="2">
        <v>30</v>
      </c>
      <c r="CF237" s="2">
        <v>0</v>
      </c>
      <c r="CG237" s="2">
        <v>0</v>
      </c>
      <c r="CH237" s="2"/>
      <c r="CI237" s="2"/>
      <c r="CJ237" s="2"/>
      <c r="CK237" s="2"/>
      <c r="CL237" s="2"/>
      <c r="CM237" s="2">
        <v>0</v>
      </c>
      <c r="CN237" s="2" t="s">
        <v>3</v>
      </c>
      <c r="CO237" s="2">
        <v>0</v>
      </c>
      <c r="CP237" s="2">
        <f t="shared" si="165"/>
        <v>0</v>
      </c>
      <c r="CQ237" s="2">
        <f t="shared" si="166"/>
        <v>0</v>
      </c>
      <c r="CR237" s="2">
        <f t="shared" ref="CR237:CR244" si="186">(ROUND((ROUND(((ET237)*AV237*1),2)*BB237),2)+ROUND((ROUND(((AE237-(EU237))*AV237*1),2)*BS237),2))</f>
        <v>0</v>
      </c>
      <c r="CS237" s="2">
        <f t="shared" si="167"/>
        <v>0</v>
      </c>
      <c r="CT237" s="2">
        <f t="shared" si="168"/>
        <v>0</v>
      </c>
      <c r="CU237" s="2">
        <f t="shared" si="169"/>
        <v>0</v>
      </c>
      <c r="CV237" s="2">
        <f t="shared" si="170"/>
        <v>0</v>
      </c>
      <c r="CW237" s="2">
        <f t="shared" si="171"/>
        <v>0</v>
      </c>
      <c r="CX237" s="2">
        <f t="shared" si="172"/>
        <v>0</v>
      </c>
      <c r="CY237" s="2">
        <f>((S237*BZ237)/100)</f>
        <v>0</v>
      </c>
      <c r="CZ237" s="2">
        <f>((S237*CA237)/100)</f>
        <v>0</v>
      </c>
      <c r="DA237" s="2"/>
      <c r="DB237" s="2"/>
      <c r="DC237" s="2" t="s">
        <v>3</v>
      </c>
      <c r="DD237" s="2" t="s">
        <v>3</v>
      </c>
      <c r="DE237" s="2" t="s">
        <v>3</v>
      </c>
      <c r="DF237" s="2" t="s">
        <v>3</v>
      </c>
      <c r="DG237" s="2" t="s">
        <v>3</v>
      </c>
      <c r="DH237" s="2" t="s">
        <v>3</v>
      </c>
      <c r="DI237" s="2" t="s">
        <v>3</v>
      </c>
      <c r="DJ237" s="2" t="s">
        <v>3</v>
      </c>
      <c r="DK237" s="2" t="s">
        <v>3</v>
      </c>
      <c r="DL237" s="2" t="s">
        <v>3</v>
      </c>
      <c r="DM237" s="2" t="s">
        <v>3</v>
      </c>
      <c r="DN237" s="2">
        <v>0</v>
      </c>
      <c r="DO237" s="2">
        <v>0</v>
      </c>
      <c r="DP237" s="2">
        <v>1</v>
      </c>
      <c r="DQ237" s="2">
        <v>1</v>
      </c>
      <c r="DR237" s="2"/>
      <c r="DS237" s="2"/>
      <c r="DT237" s="2"/>
      <c r="DU237" s="2">
        <v>1010</v>
      </c>
      <c r="DV237" s="2" t="s">
        <v>250</v>
      </c>
      <c r="DW237" s="2" t="s">
        <v>250</v>
      </c>
      <c r="DX237" s="2">
        <v>1</v>
      </c>
      <c r="DY237" s="2"/>
      <c r="DZ237" s="2" t="s">
        <v>3</v>
      </c>
      <c r="EA237" s="2" t="s">
        <v>3</v>
      </c>
      <c r="EB237" s="2" t="s">
        <v>3</v>
      </c>
      <c r="EC237" s="2" t="s">
        <v>3</v>
      </c>
      <c r="ED237" s="2"/>
      <c r="EE237" s="2">
        <v>126051542</v>
      </c>
      <c r="EF237" s="2">
        <v>30</v>
      </c>
      <c r="EG237" s="2" t="s">
        <v>23</v>
      </c>
      <c r="EH237" s="2">
        <v>0</v>
      </c>
      <c r="EI237" s="2" t="s">
        <v>3</v>
      </c>
      <c r="EJ237" s="2">
        <v>1</v>
      </c>
      <c r="EK237" s="2">
        <v>81</v>
      </c>
      <c r="EL237" s="2" t="s">
        <v>245</v>
      </c>
      <c r="EM237" s="2" t="s">
        <v>246</v>
      </c>
      <c r="EN237" s="2"/>
      <c r="EO237" s="2" t="s">
        <v>3</v>
      </c>
      <c r="EP237" s="2"/>
      <c r="EQ237" s="2">
        <v>0</v>
      </c>
      <c r="ER237" s="2">
        <v>0</v>
      </c>
      <c r="ES237" s="2">
        <v>0</v>
      </c>
      <c r="ET237" s="2">
        <v>0</v>
      </c>
      <c r="EU237" s="2">
        <v>0</v>
      </c>
      <c r="EV237" s="2">
        <v>0</v>
      </c>
      <c r="EW237" s="2">
        <v>0</v>
      </c>
      <c r="EX237" s="2">
        <v>0</v>
      </c>
      <c r="EY237" s="2"/>
      <c r="EZ237" s="2"/>
      <c r="FA237" s="2"/>
      <c r="FB237" s="2"/>
      <c r="FC237" s="2"/>
      <c r="FD237" s="2"/>
      <c r="FE237" s="2"/>
      <c r="FF237" s="2"/>
      <c r="FG237" s="2"/>
      <c r="FH237" s="2"/>
      <c r="FI237" s="2"/>
      <c r="FJ237" s="2"/>
      <c r="FK237" s="2"/>
      <c r="FL237" s="2"/>
      <c r="FM237" s="2"/>
      <c r="FN237" s="2"/>
      <c r="FO237" s="2"/>
      <c r="FP237" s="2"/>
      <c r="FQ237" s="2">
        <v>0</v>
      </c>
      <c r="FR237" s="2">
        <f t="shared" si="173"/>
        <v>0</v>
      </c>
      <c r="FS237" s="2">
        <v>0</v>
      </c>
      <c r="FT237" s="2"/>
      <c r="FU237" s="2"/>
      <c r="FV237" s="2"/>
      <c r="FW237" s="2"/>
      <c r="FX237" s="2">
        <v>105</v>
      </c>
      <c r="FY237" s="2">
        <v>70</v>
      </c>
      <c r="FZ237" s="2"/>
      <c r="GA237" s="2" t="s">
        <v>3</v>
      </c>
      <c r="GB237" s="2"/>
      <c r="GC237" s="2"/>
      <c r="GD237" s="2">
        <v>0</v>
      </c>
      <c r="GE237" s="2"/>
      <c r="GF237" s="2">
        <v>342305419</v>
      </c>
      <c r="GG237" s="2">
        <v>2</v>
      </c>
      <c r="GH237" s="2">
        <v>0</v>
      </c>
      <c r="GI237" s="2">
        <v>-2</v>
      </c>
      <c r="GJ237" s="2">
        <v>0</v>
      </c>
      <c r="GK237" s="2">
        <f>ROUND(R237*(R12)/100,2)</f>
        <v>0</v>
      </c>
      <c r="GL237" s="2">
        <f t="shared" si="174"/>
        <v>0</v>
      </c>
      <c r="GM237" s="2">
        <f t="shared" si="175"/>
        <v>0</v>
      </c>
      <c r="GN237" s="2">
        <f t="shared" si="176"/>
        <v>0</v>
      </c>
      <c r="GO237" s="2">
        <f t="shared" si="177"/>
        <v>0</v>
      </c>
      <c r="GP237" s="2">
        <f t="shared" si="178"/>
        <v>0</v>
      </c>
      <c r="GQ237" s="2"/>
      <c r="GR237" s="2">
        <v>0</v>
      </c>
      <c r="GS237" s="2">
        <v>3</v>
      </c>
      <c r="GT237" s="2">
        <v>0</v>
      </c>
      <c r="GU237" s="2" t="s">
        <v>3</v>
      </c>
      <c r="GV237" s="2">
        <f t="shared" si="179"/>
        <v>0</v>
      </c>
      <c r="GW237" s="2">
        <v>1</v>
      </c>
      <c r="GX237" s="2">
        <f t="shared" si="180"/>
        <v>0</v>
      </c>
      <c r="GY237" s="2"/>
      <c r="GZ237" s="2"/>
      <c r="HA237" s="2">
        <v>0</v>
      </c>
      <c r="HB237" s="2">
        <v>0</v>
      </c>
      <c r="HC237" s="2">
        <f t="shared" si="181"/>
        <v>0</v>
      </c>
      <c r="HD237" s="2"/>
      <c r="HE237" s="2" t="s">
        <v>3</v>
      </c>
      <c r="HF237" s="2" t="s">
        <v>3</v>
      </c>
      <c r="HG237" s="2"/>
      <c r="HH237" s="2"/>
      <c r="HI237" s="2"/>
      <c r="HJ237" s="2"/>
      <c r="HK237" s="2"/>
      <c r="HL237" s="2"/>
      <c r="HM237" s="2" t="s">
        <v>3</v>
      </c>
      <c r="HN237" s="2" t="s">
        <v>3</v>
      </c>
      <c r="HO237" s="2" t="s">
        <v>3</v>
      </c>
      <c r="HP237" s="2" t="s">
        <v>3</v>
      </c>
      <c r="HQ237" s="2" t="s">
        <v>3</v>
      </c>
      <c r="HR237" s="2"/>
      <c r="HS237" s="2"/>
      <c r="HT237" s="2"/>
      <c r="HU237" s="2"/>
      <c r="HV237" s="2"/>
      <c r="HW237" s="2"/>
      <c r="HX237" s="2"/>
      <c r="HY237" s="2"/>
      <c r="HZ237" s="2"/>
      <c r="IA237" s="2"/>
      <c r="IB237" s="2"/>
      <c r="IC237" s="2"/>
      <c r="ID237" s="2"/>
      <c r="IE237" s="2"/>
      <c r="IF237" s="2"/>
      <c r="IG237" s="2"/>
      <c r="IH237" s="2"/>
      <c r="II237" s="2"/>
      <c r="IJ237" s="2"/>
      <c r="IK237" s="2">
        <v>0</v>
      </c>
      <c r="IL237" s="2"/>
      <c r="IM237" s="2"/>
      <c r="IN237" s="2"/>
      <c r="IO237" s="2"/>
      <c r="IP237" s="2"/>
      <c r="IQ237" s="2"/>
      <c r="IR237" s="2"/>
      <c r="IS237" s="2"/>
      <c r="IT237" s="2"/>
      <c r="IU237" s="2"/>
    </row>
    <row r="238" spans="1:255" x14ac:dyDescent="0.2">
      <c r="A238">
        <v>18</v>
      </c>
      <c r="B238">
        <v>1</v>
      </c>
      <c r="C238">
        <v>189</v>
      </c>
      <c r="E238" t="s">
        <v>247</v>
      </c>
      <c r="F238" t="s">
        <v>248</v>
      </c>
      <c r="G238" t="s">
        <v>249</v>
      </c>
      <c r="H238" t="s">
        <v>250</v>
      </c>
      <c r="I238">
        <f>I236*J238</f>
        <v>1</v>
      </c>
      <c r="J238">
        <v>26.455026455026456</v>
      </c>
      <c r="K238">
        <v>26.455026</v>
      </c>
      <c r="O238">
        <f t="shared" si="149"/>
        <v>23561.99</v>
      </c>
      <c r="P238">
        <f t="shared" si="150"/>
        <v>23561.99</v>
      </c>
      <c r="Q238">
        <f t="shared" si="182"/>
        <v>0</v>
      </c>
      <c r="R238">
        <f t="shared" si="151"/>
        <v>0</v>
      </c>
      <c r="S238">
        <f t="shared" si="152"/>
        <v>0</v>
      </c>
      <c r="T238">
        <f t="shared" si="153"/>
        <v>0</v>
      </c>
      <c r="U238">
        <f t="shared" si="154"/>
        <v>0</v>
      </c>
      <c r="V238">
        <f t="shared" si="155"/>
        <v>0</v>
      </c>
      <c r="W238">
        <f t="shared" si="156"/>
        <v>0</v>
      </c>
      <c r="X238">
        <f t="shared" si="157"/>
        <v>0</v>
      </c>
      <c r="Y238">
        <f t="shared" si="158"/>
        <v>0</v>
      </c>
      <c r="AA238">
        <v>129761633</v>
      </c>
      <c r="AB238">
        <f t="shared" si="159"/>
        <v>2723.93</v>
      </c>
      <c r="AC238">
        <f t="shared" si="160"/>
        <v>2723.93</v>
      </c>
      <c r="AD238">
        <f t="shared" si="183"/>
        <v>0</v>
      </c>
      <c r="AE238">
        <f t="shared" si="184"/>
        <v>0</v>
      </c>
      <c r="AF238">
        <f t="shared" si="184"/>
        <v>0</v>
      </c>
      <c r="AG238">
        <f t="shared" si="162"/>
        <v>0</v>
      </c>
      <c r="AH238">
        <f t="shared" si="185"/>
        <v>0</v>
      </c>
      <c r="AI238">
        <f t="shared" si="185"/>
        <v>0</v>
      </c>
      <c r="AJ238">
        <f t="shared" si="164"/>
        <v>0</v>
      </c>
      <c r="AK238">
        <v>2723.93</v>
      </c>
      <c r="AL238">
        <v>2723.93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1</v>
      </c>
      <c r="AW238">
        <v>1</v>
      </c>
      <c r="AZ238">
        <v>1</v>
      </c>
      <c r="BA238">
        <v>1</v>
      </c>
      <c r="BB238">
        <v>1</v>
      </c>
      <c r="BC238">
        <v>8.65</v>
      </c>
      <c r="BD238" t="s">
        <v>3</v>
      </c>
      <c r="BE238" t="s">
        <v>3</v>
      </c>
      <c r="BF238" t="s">
        <v>3</v>
      </c>
      <c r="BG238" t="s">
        <v>3</v>
      </c>
      <c r="BH238">
        <v>3</v>
      </c>
      <c r="BI238">
        <v>1</v>
      </c>
      <c r="BJ238" t="s">
        <v>3</v>
      </c>
      <c r="BM238">
        <v>81</v>
      </c>
      <c r="BN238">
        <v>0</v>
      </c>
      <c r="BO238" t="s">
        <v>3</v>
      </c>
      <c r="BP238">
        <v>0</v>
      </c>
      <c r="BQ238">
        <v>30</v>
      </c>
      <c r="BR238">
        <v>0</v>
      </c>
      <c r="BS238">
        <v>1</v>
      </c>
      <c r="BT238">
        <v>1</v>
      </c>
      <c r="BU238">
        <v>1</v>
      </c>
      <c r="BV238">
        <v>1</v>
      </c>
      <c r="BW238">
        <v>1</v>
      </c>
      <c r="BX238">
        <v>1</v>
      </c>
      <c r="BY238" t="s">
        <v>3</v>
      </c>
      <c r="BZ238">
        <v>0</v>
      </c>
      <c r="CA238">
        <v>0</v>
      </c>
      <c r="CB238" t="s">
        <v>3</v>
      </c>
      <c r="CE238">
        <v>30</v>
      </c>
      <c r="CF238">
        <v>0</v>
      </c>
      <c r="CG238">
        <v>0</v>
      </c>
      <c r="CM238">
        <v>0</v>
      </c>
      <c r="CN238" t="s">
        <v>3</v>
      </c>
      <c r="CO238">
        <v>0</v>
      </c>
      <c r="CP238">
        <f t="shared" si="165"/>
        <v>23561.99</v>
      </c>
      <c r="CQ238">
        <f t="shared" si="166"/>
        <v>23561.99</v>
      </c>
      <c r="CR238">
        <f t="shared" si="186"/>
        <v>0</v>
      </c>
      <c r="CS238">
        <f t="shared" si="167"/>
        <v>0</v>
      </c>
      <c r="CT238">
        <f t="shared" si="168"/>
        <v>0</v>
      </c>
      <c r="CU238">
        <f t="shared" si="169"/>
        <v>0</v>
      </c>
      <c r="CV238">
        <f t="shared" si="170"/>
        <v>0</v>
      </c>
      <c r="CW238">
        <f t="shared" si="171"/>
        <v>0</v>
      </c>
      <c r="CX238">
        <f t="shared" si="172"/>
        <v>0</v>
      </c>
      <c r="CY238">
        <f>S238*(BZ238/100)</f>
        <v>0</v>
      </c>
      <c r="CZ238">
        <f>S238*(CA238/100)</f>
        <v>0</v>
      </c>
      <c r="DC238" t="s">
        <v>3</v>
      </c>
      <c r="DD238" t="s">
        <v>3</v>
      </c>
      <c r="DE238" t="s">
        <v>3</v>
      </c>
      <c r="DF238" t="s">
        <v>3</v>
      </c>
      <c r="DG238" t="s">
        <v>3</v>
      </c>
      <c r="DH238" t="s">
        <v>3</v>
      </c>
      <c r="DI238" t="s">
        <v>3</v>
      </c>
      <c r="DJ238" t="s">
        <v>3</v>
      </c>
      <c r="DK238" t="s">
        <v>3</v>
      </c>
      <c r="DL238" t="s">
        <v>3</v>
      </c>
      <c r="DM238" t="s">
        <v>3</v>
      </c>
      <c r="DN238">
        <v>105</v>
      </c>
      <c r="DO238">
        <v>70</v>
      </c>
      <c r="DP238">
        <v>1</v>
      </c>
      <c r="DQ238">
        <v>1</v>
      </c>
      <c r="DU238">
        <v>1010</v>
      </c>
      <c r="DV238" t="s">
        <v>250</v>
      </c>
      <c r="DW238" t="s">
        <v>250</v>
      </c>
      <c r="DX238">
        <v>1</v>
      </c>
      <c r="DZ238" t="s">
        <v>3</v>
      </c>
      <c r="EA238" t="s">
        <v>3</v>
      </c>
      <c r="EB238" t="s">
        <v>3</v>
      </c>
      <c r="EC238" t="s">
        <v>3</v>
      </c>
      <c r="EE238">
        <v>126051542</v>
      </c>
      <c r="EF238">
        <v>30</v>
      </c>
      <c r="EG238" t="s">
        <v>23</v>
      </c>
      <c r="EH238">
        <v>0</v>
      </c>
      <c r="EI238" t="s">
        <v>3</v>
      </c>
      <c r="EJ238">
        <v>1</v>
      </c>
      <c r="EK238">
        <v>81</v>
      </c>
      <c r="EL238" t="s">
        <v>245</v>
      </c>
      <c r="EM238" t="s">
        <v>246</v>
      </c>
      <c r="EO238" t="s">
        <v>3</v>
      </c>
      <c r="EQ238">
        <v>0</v>
      </c>
      <c r="ER238">
        <v>2723.93</v>
      </c>
      <c r="ES238">
        <v>2723.93</v>
      </c>
      <c r="ET238">
        <v>0</v>
      </c>
      <c r="EU238">
        <v>0</v>
      </c>
      <c r="EV238">
        <v>0</v>
      </c>
      <c r="EW238">
        <v>0</v>
      </c>
      <c r="EX238">
        <v>0</v>
      </c>
      <c r="EZ238">
        <v>5</v>
      </c>
      <c r="FC238">
        <v>1</v>
      </c>
      <c r="FD238">
        <v>18</v>
      </c>
      <c r="FF238">
        <v>27720</v>
      </c>
      <c r="FQ238">
        <v>0</v>
      </c>
      <c r="FR238">
        <f t="shared" si="173"/>
        <v>0</v>
      </c>
      <c r="FS238">
        <v>0</v>
      </c>
      <c r="FX238">
        <v>105</v>
      </c>
      <c r="FY238">
        <v>70</v>
      </c>
      <c r="GA238" t="s">
        <v>251</v>
      </c>
      <c r="GD238">
        <v>0</v>
      </c>
      <c r="GF238">
        <v>342305419</v>
      </c>
      <c r="GG238">
        <v>2</v>
      </c>
      <c r="GH238">
        <v>3</v>
      </c>
      <c r="GI238">
        <v>5</v>
      </c>
      <c r="GJ238">
        <v>0</v>
      </c>
      <c r="GK238">
        <f>ROUND(R238*(S12)/100,2)</f>
        <v>0</v>
      </c>
      <c r="GL238">
        <f t="shared" si="174"/>
        <v>0</v>
      </c>
      <c r="GM238">
        <f t="shared" si="175"/>
        <v>23561.99</v>
      </c>
      <c r="GN238">
        <f t="shared" si="176"/>
        <v>23561.99</v>
      </c>
      <c r="GO238">
        <f t="shared" si="177"/>
        <v>0</v>
      </c>
      <c r="GP238">
        <f t="shared" si="178"/>
        <v>0</v>
      </c>
      <c r="GR238">
        <v>1</v>
      </c>
      <c r="GS238">
        <v>1</v>
      </c>
      <c r="GT238">
        <v>0</v>
      </c>
      <c r="GU238" t="s">
        <v>3</v>
      </c>
      <c r="GV238">
        <f t="shared" si="179"/>
        <v>0</v>
      </c>
      <c r="GW238">
        <v>1</v>
      </c>
      <c r="GX238">
        <f t="shared" si="180"/>
        <v>0</v>
      </c>
      <c r="HA238">
        <v>0</v>
      </c>
      <c r="HB238">
        <v>0</v>
      </c>
      <c r="HC238">
        <f t="shared" si="181"/>
        <v>0</v>
      </c>
      <c r="HE238" t="s">
        <v>81</v>
      </c>
      <c r="HF238" t="s">
        <v>252</v>
      </c>
      <c r="HM238" t="s">
        <v>3</v>
      </c>
      <c r="HN238" t="s">
        <v>3</v>
      </c>
      <c r="HO238" t="s">
        <v>3</v>
      </c>
      <c r="HP238" t="s">
        <v>3</v>
      </c>
      <c r="HQ238" t="s">
        <v>3</v>
      </c>
      <c r="IK238">
        <v>0</v>
      </c>
    </row>
    <row r="239" spans="1:255" x14ac:dyDescent="0.2">
      <c r="A239" s="2">
        <v>18</v>
      </c>
      <c r="B239" s="2">
        <v>1</v>
      </c>
      <c r="C239" s="2">
        <v>175</v>
      </c>
      <c r="D239" s="2"/>
      <c r="E239" s="2" t="s">
        <v>253</v>
      </c>
      <c r="F239" s="2" t="s">
        <v>248</v>
      </c>
      <c r="G239" s="2" t="s">
        <v>254</v>
      </c>
      <c r="H239" s="2" t="s">
        <v>250</v>
      </c>
      <c r="I239" s="2">
        <f>I235*J239</f>
        <v>1</v>
      </c>
      <c r="J239" s="2">
        <v>26.455026455026456</v>
      </c>
      <c r="K239" s="2">
        <v>26.455026</v>
      </c>
      <c r="L239" s="2"/>
      <c r="M239" s="2"/>
      <c r="N239" s="2"/>
      <c r="O239" s="2">
        <f t="shared" si="149"/>
        <v>0</v>
      </c>
      <c r="P239" s="2">
        <f t="shared" si="150"/>
        <v>0</v>
      </c>
      <c r="Q239" s="2">
        <f t="shared" si="182"/>
        <v>0</v>
      </c>
      <c r="R239" s="2">
        <f t="shared" si="151"/>
        <v>0</v>
      </c>
      <c r="S239" s="2">
        <f t="shared" si="152"/>
        <v>0</v>
      </c>
      <c r="T239" s="2">
        <f t="shared" si="153"/>
        <v>0</v>
      </c>
      <c r="U239" s="2">
        <f t="shared" si="154"/>
        <v>0</v>
      </c>
      <c r="V239" s="2">
        <f t="shared" si="155"/>
        <v>0</v>
      </c>
      <c r="W239" s="2">
        <f t="shared" si="156"/>
        <v>0</v>
      </c>
      <c r="X239" s="2">
        <f t="shared" si="157"/>
        <v>0</v>
      </c>
      <c r="Y239" s="2">
        <f t="shared" si="158"/>
        <v>0</v>
      </c>
      <c r="Z239" s="2"/>
      <c r="AA239" s="2">
        <v>129761636</v>
      </c>
      <c r="AB239" s="2">
        <f t="shared" si="159"/>
        <v>0</v>
      </c>
      <c r="AC239" s="2">
        <f t="shared" si="160"/>
        <v>0</v>
      </c>
      <c r="AD239" s="2">
        <f t="shared" si="183"/>
        <v>0</v>
      </c>
      <c r="AE239" s="2">
        <f t="shared" si="184"/>
        <v>0</v>
      </c>
      <c r="AF239" s="2">
        <f t="shared" si="184"/>
        <v>0</v>
      </c>
      <c r="AG239" s="2">
        <f t="shared" si="162"/>
        <v>0</v>
      </c>
      <c r="AH239" s="2">
        <f t="shared" si="185"/>
        <v>0</v>
      </c>
      <c r="AI239" s="2">
        <f t="shared" si="185"/>
        <v>0</v>
      </c>
      <c r="AJ239" s="2">
        <f t="shared" si="164"/>
        <v>0</v>
      </c>
      <c r="AK239" s="2">
        <v>0</v>
      </c>
      <c r="AL239" s="2">
        <v>0</v>
      </c>
      <c r="AM239" s="2">
        <v>0</v>
      </c>
      <c r="AN239" s="2">
        <v>0</v>
      </c>
      <c r="AO239" s="2">
        <v>0</v>
      </c>
      <c r="AP239" s="2">
        <v>0</v>
      </c>
      <c r="AQ239" s="2">
        <v>0</v>
      </c>
      <c r="AR239" s="2">
        <v>0</v>
      </c>
      <c r="AS239" s="2">
        <v>0</v>
      </c>
      <c r="AT239" s="2">
        <v>105</v>
      </c>
      <c r="AU239" s="2">
        <v>70</v>
      </c>
      <c r="AV239" s="2">
        <v>1</v>
      </c>
      <c r="AW239" s="2">
        <v>1</v>
      </c>
      <c r="AX239" s="2"/>
      <c r="AY239" s="2"/>
      <c r="AZ239" s="2">
        <v>1</v>
      </c>
      <c r="BA239" s="2">
        <v>1</v>
      </c>
      <c r="BB239" s="2">
        <v>1</v>
      </c>
      <c r="BC239" s="2">
        <v>1</v>
      </c>
      <c r="BD239" s="2" t="s">
        <v>3</v>
      </c>
      <c r="BE239" s="2" t="s">
        <v>3</v>
      </c>
      <c r="BF239" s="2" t="s">
        <v>3</v>
      </c>
      <c r="BG239" s="2" t="s">
        <v>3</v>
      </c>
      <c r="BH239" s="2">
        <v>3</v>
      </c>
      <c r="BI239" s="2">
        <v>1</v>
      </c>
      <c r="BJ239" s="2" t="s">
        <v>3</v>
      </c>
      <c r="BK239" s="2"/>
      <c r="BL239" s="2"/>
      <c r="BM239" s="2">
        <v>81</v>
      </c>
      <c r="BN239" s="2">
        <v>0</v>
      </c>
      <c r="BO239" s="2" t="s">
        <v>3</v>
      </c>
      <c r="BP239" s="2">
        <v>0</v>
      </c>
      <c r="BQ239" s="2">
        <v>30</v>
      </c>
      <c r="BR239" s="2">
        <v>0</v>
      </c>
      <c r="BS239" s="2">
        <v>1</v>
      </c>
      <c r="BT239" s="2">
        <v>1</v>
      </c>
      <c r="BU239" s="2">
        <v>1</v>
      </c>
      <c r="BV239" s="2">
        <v>1</v>
      </c>
      <c r="BW239" s="2">
        <v>1</v>
      </c>
      <c r="BX239" s="2">
        <v>1</v>
      </c>
      <c r="BY239" s="2" t="s">
        <v>3</v>
      </c>
      <c r="BZ239" s="2">
        <v>105</v>
      </c>
      <c r="CA239" s="2">
        <v>70</v>
      </c>
      <c r="CB239" s="2" t="s">
        <v>3</v>
      </c>
      <c r="CC239" s="2"/>
      <c r="CD239" s="2"/>
      <c r="CE239" s="2">
        <v>30</v>
      </c>
      <c r="CF239" s="2">
        <v>0</v>
      </c>
      <c r="CG239" s="2">
        <v>0</v>
      </c>
      <c r="CH239" s="2"/>
      <c r="CI239" s="2"/>
      <c r="CJ239" s="2"/>
      <c r="CK239" s="2"/>
      <c r="CL239" s="2"/>
      <c r="CM239" s="2">
        <v>0</v>
      </c>
      <c r="CN239" s="2" t="s">
        <v>3</v>
      </c>
      <c r="CO239" s="2">
        <v>0</v>
      </c>
      <c r="CP239" s="2">
        <f t="shared" si="165"/>
        <v>0</v>
      </c>
      <c r="CQ239" s="2">
        <f t="shared" si="166"/>
        <v>0</v>
      </c>
      <c r="CR239" s="2">
        <f t="shared" si="186"/>
        <v>0</v>
      </c>
      <c r="CS239" s="2">
        <f t="shared" si="167"/>
        <v>0</v>
      </c>
      <c r="CT239" s="2">
        <f t="shared" si="168"/>
        <v>0</v>
      </c>
      <c r="CU239" s="2">
        <f t="shared" si="169"/>
        <v>0</v>
      </c>
      <c r="CV239" s="2">
        <f t="shared" si="170"/>
        <v>0</v>
      </c>
      <c r="CW239" s="2">
        <f t="shared" si="171"/>
        <v>0</v>
      </c>
      <c r="CX239" s="2">
        <f t="shared" si="172"/>
        <v>0</v>
      </c>
      <c r="CY239" s="2">
        <f>((S239*BZ239)/100)</f>
        <v>0</v>
      </c>
      <c r="CZ239" s="2">
        <f>((S239*CA239)/100)</f>
        <v>0</v>
      </c>
      <c r="DA239" s="2"/>
      <c r="DB239" s="2"/>
      <c r="DC239" s="2" t="s">
        <v>3</v>
      </c>
      <c r="DD239" s="2" t="s">
        <v>3</v>
      </c>
      <c r="DE239" s="2" t="s">
        <v>3</v>
      </c>
      <c r="DF239" s="2" t="s">
        <v>3</v>
      </c>
      <c r="DG239" s="2" t="s">
        <v>3</v>
      </c>
      <c r="DH239" s="2" t="s">
        <v>3</v>
      </c>
      <c r="DI239" s="2" t="s">
        <v>3</v>
      </c>
      <c r="DJ239" s="2" t="s">
        <v>3</v>
      </c>
      <c r="DK239" s="2" t="s">
        <v>3</v>
      </c>
      <c r="DL239" s="2" t="s">
        <v>3</v>
      </c>
      <c r="DM239" s="2" t="s">
        <v>3</v>
      </c>
      <c r="DN239" s="2">
        <v>0</v>
      </c>
      <c r="DO239" s="2">
        <v>0</v>
      </c>
      <c r="DP239" s="2">
        <v>1</v>
      </c>
      <c r="DQ239" s="2">
        <v>1</v>
      </c>
      <c r="DR239" s="2"/>
      <c r="DS239" s="2"/>
      <c r="DT239" s="2"/>
      <c r="DU239" s="2">
        <v>1010</v>
      </c>
      <c r="DV239" s="2" t="s">
        <v>250</v>
      </c>
      <c r="DW239" s="2" t="s">
        <v>250</v>
      </c>
      <c r="DX239" s="2">
        <v>1</v>
      </c>
      <c r="DY239" s="2"/>
      <c r="DZ239" s="2" t="s">
        <v>3</v>
      </c>
      <c r="EA239" s="2" t="s">
        <v>3</v>
      </c>
      <c r="EB239" s="2" t="s">
        <v>3</v>
      </c>
      <c r="EC239" s="2" t="s">
        <v>3</v>
      </c>
      <c r="ED239" s="2"/>
      <c r="EE239" s="2">
        <v>126051542</v>
      </c>
      <c r="EF239" s="2">
        <v>30</v>
      </c>
      <c r="EG239" s="2" t="s">
        <v>23</v>
      </c>
      <c r="EH239" s="2">
        <v>0</v>
      </c>
      <c r="EI239" s="2" t="s">
        <v>3</v>
      </c>
      <c r="EJ239" s="2">
        <v>1</v>
      </c>
      <c r="EK239" s="2">
        <v>81</v>
      </c>
      <c r="EL239" s="2" t="s">
        <v>245</v>
      </c>
      <c r="EM239" s="2" t="s">
        <v>246</v>
      </c>
      <c r="EN239" s="2"/>
      <c r="EO239" s="2" t="s">
        <v>3</v>
      </c>
      <c r="EP239" s="2"/>
      <c r="EQ239" s="2">
        <v>0</v>
      </c>
      <c r="ER239" s="2">
        <v>0</v>
      </c>
      <c r="ES239" s="2">
        <v>0</v>
      </c>
      <c r="ET239" s="2">
        <v>0</v>
      </c>
      <c r="EU239" s="2">
        <v>0</v>
      </c>
      <c r="EV239" s="2">
        <v>0</v>
      </c>
      <c r="EW239" s="2">
        <v>0</v>
      </c>
      <c r="EX239" s="2">
        <v>0</v>
      </c>
      <c r="EY239" s="2"/>
      <c r="EZ239" s="2"/>
      <c r="FA239" s="2"/>
      <c r="FB239" s="2"/>
      <c r="FC239" s="2"/>
      <c r="FD239" s="2"/>
      <c r="FE239" s="2"/>
      <c r="FF239" s="2"/>
      <c r="FG239" s="2"/>
      <c r="FH239" s="2"/>
      <c r="FI239" s="2"/>
      <c r="FJ239" s="2"/>
      <c r="FK239" s="2"/>
      <c r="FL239" s="2"/>
      <c r="FM239" s="2"/>
      <c r="FN239" s="2"/>
      <c r="FO239" s="2"/>
      <c r="FP239" s="2"/>
      <c r="FQ239" s="2">
        <v>0</v>
      </c>
      <c r="FR239" s="2">
        <f t="shared" si="173"/>
        <v>0</v>
      </c>
      <c r="FS239" s="2">
        <v>0</v>
      </c>
      <c r="FT239" s="2"/>
      <c r="FU239" s="2"/>
      <c r="FV239" s="2"/>
      <c r="FW239" s="2"/>
      <c r="FX239" s="2">
        <v>105</v>
      </c>
      <c r="FY239" s="2">
        <v>70</v>
      </c>
      <c r="FZ239" s="2"/>
      <c r="GA239" s="2" t="s">
        <v>3</v>
      </c>
      <c r="GB239" s="2"/>
      <c r="GC239" s="2"/>
      <c r="GD239" s="2">
        <v>0</v>
      </c>
      <c r="GE239" s="2"/>
      <c r="GF239" s="2">
        <v>-1513666227</v>
      </c>
      <c r="GG239" s="2">
        <v>2</v>
      </c>
      <c r="GH239" s="2">
        <v>0</v>
      </c>
      <c r="GI239" s="2">
        <v>-2</v>
      </c>
      <c r="GJ239" s="2">
        <v>0</v>
      </c>
      <c r="GK239" s="2">
        <f>ROUND(R239*(R12)/100,2)</f>
        <v>0</v>
      </c>
      <c r="GL239" s="2">
        <f t="shared" si="174"/>
        <v>0</v>
      </c>
      <c r="GM239" s="2">
        <f t="shared" si="175"/>
        <v>0</v>
      </c>
      <c r="GN239" s="2">
        <f t="shared" si="176"/>
        <v>0</v>
      </c>
      <c r="GO239" s="2">
        <f t="shared" si="177"/>
        <v>0</v>
      </c>
      <c r="GP239" s="2">
        <f t="shared" si="178"/>
        <v>0</v>
      </c>
      <c r="GQ239" s="2"/>
      <c r="GR239" s="2">
        <v>0</v>
      </c>
      <c r="GS239" s="2">
        <v>3</v>
      </c>
      <c r="GT239" s="2">
        <v>0</v>
      </c>
      <c r="GU239" s="2" t="s">
        <v>3</v>
      </c>
      <c r="GV239" s="2">
        <f t="shared" si="179"/>
        <v>0</v>
      </c>
      <c r="GW239" s="2">
        <v>1</v>
      </c>
      <c r="GX239" s="2">
        <f t="shared" si="180"/>
        <v>0</v>
      </c>
      <c r="GY239" s="2"/>
      <c r="GZ239" s="2"/>
      <c r="HA239" s="2">
        <v>0</v>
      </c>
      <c r="HB239" s="2">
        <v>0</v>
      </c>
      <c r="HC239" s="2">
        <f t="shared" si="181"/>
        <v>0</v>
      </c>
      <c r="HD239" s="2"/>
      <c r="HE239" s="2" t="s">
        <v>3</v>
      </c>
      <c r="HF239" s="2" t="s">
        <v>3</v>
      </c>
      <c r="HG239" s="2"/>
      <c r="HH239" s="2"/>
      <c r="HI239" s="2"/>
      <c r="HJ239" s="2"/>
      <c r="HK239" s="2"/>
      <c r="HL239" s="2"/>
      <c r="HM239" s="2" t="s">
        <v>3</v>
      </c>
      <c r="HN239" s="2" t="s">
        <v>3</v>
      </c>
      <c r="HO239" s="2" t="s">
        <v>3</v>
      </c>
      <c r="HP239" s="2" t="s">
        <v>3</v>
      </c>
      <c r="HQ239" s="2" t="s">
        <v>3</v>
      </c>
      <c r="HR239" s="2"/>
      <c r="HS239" s="2"/>
      <c r="HT239" s="2"/>
      <c r="HU239" s="2"/>
      <c r="HV239" s="2"/>
      <c r="HW239" s="2"/>
      <c r="HX239" s="2"/>
      <c r="HY239" s="2"/>
      <c r="HZ239" s="2"/>
      <c r="IA239" s="2"/>
      <c r="IB239" s="2"/>
      <c r="IC239" s="2"/>
      <c r="ID239" s="2"/>
      <c r="IE239" s="2"/>
      <c r="IF239" s="2"/>
      <c r="IG239" s="2"/>
      <c r="IH239" s="2"/>
      <c r="II239" s="2"/>
      <c r="IJ239" s="2"/>
      <c r="IK239" s="2">
        <v>0</v>
      </c>
      <c r="IL239" s="2"/>
      <c r="IM239" s="2"/>
      <c r="IN239" s="2"/>
      <c r="IO239" s="2"/>
      <c r="IP239" s="2"/>
      <c r="IQ239" s="2"/>
      <c r="IR239" s="2"/>
      <c r="IS239" s="2"/>
      <c r="IT239" s="2"/>
      <c r="IU239" s="2"/>
    </row>
    <row r="240" spans="1:255" x14ac:dyDescent="0.2">
      <c r="A240">
        <v>18</v>
      </c>
      <c r="B240">
        <v>1</v>
      </c>
      <c r="C240">
        <v>190</v>
      </c>
      <c r="E240" t="s">
        <v>253</v>
      </c>
      <c r="F240" t="s">
        <v>248</v>
      </c>
      <c r="G240" t="s">
        <v>254</v>
      </c>
      <c r="H240" t="s">
        <v>250</v>
      </c>
      <c r="I240">
        <f>I236*J240</f>
        <v>1</v>
      </c>
      <c r="J240">
        <v>26.455026455026456</v>
      </c>
      <c r="K240">
        <v>26.455026</v>
      </c>
      <c r="O240">
        <f t="shared" si="149"/>
        <v>192099.11</v>
      </c>
      <c r="P240">
        <f t="shared" si="150"/>
        <v>192099.11</v>
      </c>
      <c r="Q240">
        <f t="shared" si="182"/>
        <v>0</v>
      </c>
      <c r="R240">
        <f t="shared" si="151"/>
        <v>0</v>
      </c>
      <c r="S240">
        <f t="shared" si="152"/>
        <v>0</v>
      </c>
      <c r="T240">
        <f t="shared" si="153"/>
        <v>0</v>
      </c>
      <c r="U240">
        <f t="shared" si="154"/>
        <v>0</v>
      </c>
      <c r="V240">
        <f t="shared" si="155"/>
        <v>0</v>
      </c>
      <c r="W240">
        <f t="shared" si="156"/>
        <v>0</v>
      </c>
      <c r="X240">
        <f t="shared" si="157"/>
        <v>0</v>
      </c>
      <c r="Y240">
        <f t="shared" si="158"/>
        <v>0</v>
      </c>
      <c r="AA240">
        <v>129761633</v>
      </c>
      <c r="AB240">
        <f t="shared" si="159"/>
        <v>22207.99</v>
      </c>
      <c r="AC240">
        <f t="shared" si="160"/>
        <v>22207.99</v>
      </c>
      <c r="AD240">
        <f t="shared" si="183"/>
        <v>0</v>
      </c>
      <c r="AE240">
        <f t="shared" si="184"/>
        <v>0</v>
      </c>
      <c r="AF240">
        <f t="shared" si="184"/>
        <v>0</v>
      </c>
      <c r="AG240">
        <f t="shared" si="162"/>
        <v>0</v>
      </c>
      <c r="AH240">
        <f t="shared" si="185"/>
        <v>0</v>
      </c>
      <c r="AI240">
        <f t="shared" si="185"/>
        <v>0</v>
      </c>
      <c r="AJ240">
        <f t="shared" si="164"/>
        <v>0</v>
      </c>
      <c r="AK240">
        <v>22207.99</v>
      </c>
      <c r="AL240">
        <v>22207.99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1</v>
      </c>
      <c r="AW240">
        <v>1</v>
      </c>
      <c r="AZ240">
        <v>1</v>
      </c>
      <c r="BA240">
        <v>1</v>
      </c>
      <c r="BB240">
        <v>1</v>
      </c>
      <c r="BC240">
        <v>8.65</v>
      </c>
      <c r="BD240" t="s">
        <v>3</v>
      </c>
      <c r="BE240" t="s">
        <v>3</v>
      </c>
      <c r="BF240" t="s">
        <v>3</v>
      </c>
      <c r="BG240" t="s">
        <v>3</v>
      </c>
      <c r="BH240">
        <v>3</v>
      </c>
      <c r="BI240">
        <v>1</v>
      </c>
      <c r="BJ240" t="s">
        <v>3</v>
      </c>
      <c r="BM240">
        <v>81</v>
      </c>
      <c r="BN240">
        <v>0</v>
      </c>
      <c r="BO240" t="s">
        <v>3</v>
      </c>
      <c r="BP240">
        <v>0</v>
      </c>
      <c r="BQ240">
        <v>30</v>
      </c>
      <c r="BR240">
        <v>0</v>
      </c>
      <c r="BS240">
        <v>1</v>
      </c>
      <c r="BT240">
        <v>1</v>
      </c>
      <c r="BU240">
        <v>1</v>
      </c>
      <c r="BV240">
        <v>1</v>
      </c>
      <c r="BW240">
        <v>1</v>
      </c>
      <c r="BX240">
        <v>1</v>
      </c>
      <c r="BY240" t="s">
        <v>3</v>
      </c>
      <c r="BZ240">
        <v>0</v>
      </c>
      <c r="CA240">
        <v>0</v>
      </c>
      <c r="CB240" t="s">
        <v>3</v>
      </c>
      <c r="CE240">
        <v>30</v>
      </c>
      <c r="CF240">
        <v>0</v>
      </c>
      <c r="CG240">
        <v>0</v>
      </c>
      <c r="CM240">
        <v>0</v>
      </c>
      <c r="CN240" t="s">
        <v>3</v>
      </c>
      <c r="CO240">
        <v>0</v>
      </c>
      <c r="CP240">
        <f t="shared" si="165"/>
        <v>192099.11</v>
      </c>
      <c r="CQ240">
        <f t="shared" si="166"/>
        <v>192099.11</v>
      </c>
      <c r="CR240">
        <f t="shared" si="186"/>
        <v>0</v>
      </c>
      <c r="CS240">
        <f t="shared" si="167"/>
        <v>0</v>
      </c>
      <c r="CT240">
        <f t="shared" si="168"/>
        <v>0</v>
      </c>
      <c r="CU240">
        <f t="shared" si="169"/>
        <v>0</v>
      </c>
      <c r="CV240">
        <f t="shared" si="170"/>
        <v>0</v>
      </c>
      <c r="CW240">
        <f t="shared" si="171"/>
        <v>0</v>
      </c>
      <c r="CX240">
        <f t="shared" si="172"/>
        <v>0</v>
      </c>
      <c r="CY240">
        <f>S240*(BZ240/100)</f>
        <v>0</v>
      </c>
      <c r="CZ240">
        <f>S240*(CA240/100)</f>
        <v>0</v>
      </c>
      <c r="DC240" t="s">
        <v>3</v>
      </c>
      <c r="DD240" t="s">
        <v>3</v>
      </c>
      <c r="DE240" t="s">
        <v>3</v>
      </c>
      <c r="DF240" t="s">
        <v>3</v>
      </c>
      <c r="DG240" t="s">
        <v>3</v>
      </c>
      <c r="DH240" t="s">
        <v>3</v>
      </c>
      <c r="DI240" t="s">
        <v>3</v>
      </c>
      <c r="DJ240" t="s">
        <v>3</v>
      </c>
      <c r="DK240" t="s">
        <v>3</v>
      </c>
      <c r="DL240" t="s">
        <v>3</v>
      </c>
      <c r="DM240" t="s">
        <v>3</v>
      </c>
      <c r="DN240">
        <v>105</v>
      </c>
      <c r="DO240">
        <v>70</v>
      </c>
      <c r="DP240">
        <v>1</v>
      </c>
      <c r="DQ240">
        <v>1</v>
      </c>
      <c r="DU240">
        <v>1010</v>
      </c>
      <c r="DV240" t="s">
        <v>250</v>
      </c>
      <c r="DW240" t="s">
        <v>250</v>
      </c>
      <c r="DX240">
        <v>1</v>
      </c>
      <c r="DZ240" t="s">
        <v>3</v>
      </c>
      <c r="EA240" t="s">
        <v>3</v>
      </c>
      <c r="EB240" t="s">
        <v>3</v>
      </c>
      <c r="EC240" t="s">
        <v>3</v>
      </c>
      <c r="EE240">
        <v>126051542</v>
      </c>
      <c r="EF240">
        <v>30</v>
      </c>
      <c r="EG240" t="s">
        <v>23</v>
      </c>
      <c r="EH240">
        <v>0</v>
      </c>
      <c r="EI240" t="s">
        <v>3</v>
      </c>
      <c r="EJ240">
        <v>1</v>
      </c>
      <c r="EK240">
        <v>81</v>
      </c>
      <c r="EL240" t="s">
        <v>245</v>
      </c>
      <c r="EM240" t="s">
        <v>246</v>
      </c>
      <c r="EO240" t="s">
        <v>3</v>
      </c>
      <c r="EQ240">
        <v>0</v>
      </c>
      <c r="ER240">
        <v>22207.99</v>
      </c>
      <c r="ES240">
        <v>22207.99</v>
      </c>
      <c r="ET240">
        <v>0</v>
      </c>
      <c r="EU240">
        <v>0</v>
      </c>
      <c r="EV240">
        <v>0</v>
      </c>
      <c r="EW240">
        <v>0</v>
      </c>
      <c r="EX240">
        <v>0</v>
      </c>
      <c r="EZ240">
        <v>5</v>
      </c>
      <c r="FC240">
        <v>1</v>
      </c>
      <c r="FD240">
        <v>18</v>
      </c>
      <c r="FF240">
        <v>225999</v>
      </c>
      <c r="FQ240">
        <v>0</v>
      </c>
      <c r="FR240">
        <f t="shared" si="173"/>
        <v>0</v>
      </c>
      <c r="FS240">
        <v>0</v>
      </c>
      <c r="FX240">
        <v>105</v>
      </c>
      <c r="FY240">
        <v>70</v>
      </c>
      <c r="GA240" t="s">
        <v>255</v>
      </c>
      <c r="GD240">
        <v>0</v>
      </c>
      <c r="GF240">
        <v>-1513666227</v>
      </c>
      <c r="GG240">
        <v>2</v>
      </c>
      <c r="GH240">
        <v>3</v>
      </c>
      <c r="GI240">
        <v>5</v>
      </c>
      <c r="GJ240">
        <v>0</v>
      </c>
      <c r="GK240">
        <f>ROUND(R240*(S12)/100,2)</f>
        <v>0</v>
      </c>
      <c r="GL240">
        <f t="shared" si="174"/>
        <v>0</v>
      </c>
      <c r="GM240">
        <f t="shared" si="175"/>
        <v>192099.11</v>
      </c>
      <c r="GN240">
        <f t="shared" si="176"/>
        <v>192099.11</v>
      </c>
      <c r="GO240">
        <f t="shared" si="177"/>
        <v>0</v>
      </c>
      <c r="GP240">
        <f t="shared" si="178"/>
        <v>0</v>
      </c>
      <c r="GR240">
        <v>1</v>
      </c>
      <c r="GS240">
        <v>1</v>
      </c>
      <c r="GT240">
        <v>0</v>
      </c>
      <c r="GU240" t="s">
        <v>3</v>
      </c>
      <c r="GV240">
        <f t="shared" si="179"/>
        <v>0</v>
      </c>
      <c r="GW240">
        <v>1</v>
      </c>
      <c r="GX240">
        <f t="shared" si="180"/>
        <v>0</v>
      </c>
      <c r="HA240">
        <v>0</v>
      </c>
      <c r="HB240">
        <v>0</v>
      </c>
      <c r="HC240">
        <f t="shared" si="181"/>
        <v>0</v>
      </c>
      <c r="HE240" t="s">
        <v>81</v>
      </c>
      <c r="HF240" t="s">
        <v>252</v>
      </c>
      <c r="HM240" t="s">
        <v>3</v>
      </c>
      <c r="HN240" t="s">
        <v>3</v>
      </c>
      <c r="HO240" t="s">
        <v>3</v>
      </c>
      <c r="HP240" t="s">
        <v>3</v>
      </c>
      <c r="HQ240" t="s">
        <v>3</v>
      </c>
      <c r="IK240">
        <v>0</v>
      </c>
    </row>
    <row r="241" spans="1:255" x14ac:dyDescent="0.2">
      <c r="A241" s="2">
        <v>17</v>
      </c>
      <c r="B241" s="2">
        <v>1</v>
      </c>
      <c r="C241" s="2"/>
      <c r="D241" s="2"/>
      <c r="E241" s="2" t="s">
        <v>3</v>
      </c>
      <c r="F241" s="2" t="s">
        <v>256</v>
      </c>
      <c r="G241" s="2" t="s">
        <v>257</v>
      </c>
      <c r="H241" s="2" t="s">
        <v>258</v>
      </c>
      <c r="I241" s="2">
        <v>2.1</v>
      </c>
      <c r="J241" s="2">
        <v>0</v>
      </c>
      <c r="K241" s="2">
        <v>2.1</v>
      </c>
      <c r="L241" s="2"/>
      <c r="M241" s="2"/>
      <c r="N241" s="2"/>
      <c r="O241" s="2">
        <f t="shared" si="149"/>
        <v>0</v>
      </c>
      <c r="P241" s="2">
        <f t="shared" si="150"/>
        <v>0</v>
      </c>
      <c r="Q241" s="2">
        <f t="shared" si="182"/>
        <v>0</v>
      </c>
      <c r="R241" s="2">
        <f t="shared" si="151"/>
        <v>0</v>
      </c>
      <c r="S241" s="2">
        <f t="shared" si="152"/>
        <v>0</v>
      </c>
      <c r="T241" s="2">
        <f t="shared" si="153"/>
        <v>0</v>
      </c>
      <c r="U241" s="2">
        <f t="shared" si="154"/>
        <v>0</v>
      </c>
      <c r="V241" s="2">
        <f t="shared" si="155"/>
        <v>0</v>
      </c>
      <c r="W241" s="2">
        <f t="shared" si="156"/>
        <v>0</v>
      </c>
      <c r="X241" s="2">
        <f t="shared" si="157"/>
        <v>0</v>
      </c>
      <c r="Y241" s="2">
        <f t="shared" si="158"/>
        <v>0</v>
      </c>
      <c r="Z241" s="2"/>
      <c r="AA241" s="2">
        <v>-1</v>
      </c>
      <c r="AB241" s="2">
        <f t="shared" si="159"/>
        <v>0</v>
      </c>
      <c r="AC241" s="2">
        <f t="shared" si="160"/>
        <v>0</v>
      </c>
      <c r="AD241" s="2">
        <f t="shared" si="183"/>
        <v>0</v>
      </c>
      <c r="AE241" s="2">
        <f t="shared" si="184"/>
        <v>0</v>
      </c>
      <c r="AF241" s="2">
        <f t="shared" si="184"/>
        <v>0</v>
      </c>
      <c r="AG241" s="2">
        <f t="shared" si="162"/>
        <v>0</v>
      </c>
      <c r="AH241" s="2">
        <f t="shared" si="185"/>
        <v>0</v>
      </c>
      <c r="AI241" s="2">
        <f t="shared" si="185"/>
        <v>0</v>
      </c>
      <c r="AJ241" s="2">
        <f t="shared" si="164"/>
        <v>0</v>
      </c>
      <c r="AK241" s="2">
        <v>0</v>
      </c>
      <c r="AL241" s="2">
        <v>0</v>
      </c>
      <c r="AM241" s="2">
        <v>0</v>
      </c>
      <c r="AN241" s="2">
        <v>0</v>
      </c>
      <c r="AO241" s="2">
        <v>0</v>
      </c>
      <c r="AP241" s="2">
        <v>0</v>
      </c>
      <c r="AQ241" s="2">
        <v>0</v>
      </c>
      <c r="AR241" s="2">
        <v>0</v>
      </c>
      <c r="AS241" s="2">
        <v>0</v>
      </c>
      <c r="AT241" s="2">
        <v>105</v>
      </c>
      <c r="AU241" s="2">
        <v>70</v>
      </c>
      <c r="AV241" s="2">
        <v>1</v>
      </c>
      <c r="AW241" s="2">
        <v>1</v>
      </c>
      <c r="AX241" s="2"/>
      <c r="AY241" s="2"/>
      <c r="AZ241" s="2">
        <v>1</v>
      </c>
      <c r="BA241" s="2">
        <v>1</v>
      </c>
      <c r="BB241" s="2">
        <v>1</v>
      </c>
      <c r="BC241" s="2">
        <v>1</v>
      </c>
      <c r="BD241" s="2" t="s">
        <v>3</v>
      </c>
      <c r="BE241" s="2" t="s">
        <v>3</v>
      </c>
      <c r="BF241" s="2" t="s">
        <v>3</v>
      </c>
      <c r="BG241" s="2" t="s">
        <v>3</v>
      </c>
      <c r="BH241" s="2">
        <v>3</v>
      </c>
      <c r="BI241" s="2">
        <v>1</v>
      </c>
      <c r="BJ241" s="2" t="s">
        <v>3</v>
      </c>
      <c r="BK241" s="2"/>
      <c r="BL241" s="2"/>
      <c r="BM241" s="2">
        <v>81</v>
      </c>
      <c r="BN241" s="2">
        <v>0</v>
      </c>
      <c r="BO241" s="2" t="s">
        <v>3</v>
      </c>
      <c r="BP241" s="2">
        <v>0</v>
      </c>
      <c r="BQ241" s="2">
        <v>30</v>
      </c>
      <c r="BR241" s="2">
        <v>0</v>
      </c>
      <c r="BS241" s="2">
        <v>1</v>
      </c>
      <c r="BT241" s="2">
        <v>1</v>
      </c>
      <c r="BU241" s="2">
        <v>1</v>
      </c>
      <c r="BV241" s="2">
        <v>1</v>
      </c>
      <c r="BW241" s="2">
        <v>1</v>
      </c>
      <c r="BX241" s="2">
        <v>1</v>
      </c>
      <c r="BY241" s="2" t="s">
        <v>3</v>
      </c>
      <c r="BZ241" s="2">
        <v>105</v>
      </c>
      <c r="CA241" s="2">
        <v>70</v>
      </c>
      <c r="CB241" s="2" t="s">
        <v>3</v>
      </c>
      <c r="CC241" s="2"/>
      <c r="CD241" s="2"/>
      <c r="CE241" s="2">
        <v>30</v>
      </c>
      <c r="CF241" s="2">
        <v>0</v>
      </c>
      <c r="CG241" s="2">
        <v>0</v>
      </c>
      <c r="CH241" s="2"/>
      <c r="CI241" s="2"/>
      <c r="CJ241" s="2"/>
      <c r="CK241" s="2"/>
      <c r="CL241" s="2"/>
      <c r="CM241" s="2">
        <v>0</v>
      </c>
      <c r="CN241" s="2" t="s">
        <v>3</v>
      </c>
      <c r="CO241" s="2">
        <v>0</v>
      </c>
      <c r="CP241" s="2">
        <f t="shared" si="165"/>
        <v>0</v>
      </c>
      <c r="CQ241" s="2">
        <f t="shared" si="166"/>
        <v>0</v>
      </c>
      <c r="CR241" s="2">
        <f t="shared" si="186"/>
        <v>0</v>
      </c>
      <c r="CS241" s="2">
        <f t="shared" si="167"/>
        <v>0</v>
      </c>
      <c r="CT241" s="2">
        <f t="shared" si="168"/>
        <v>0</v>
      </c>
      <c r="CU241" s="2">
        <f t="shared" si="169"/>
        <v>0</v>
      </c>
      <c r="CV241" s="2">
        <f t="shared" si="170"/>
        <v>0</v>
      </c>
      <c r="CW241" s="2">
        <f t="shared" si="171"/>
        <v>0</v>
      </c>
      <c r="CX241" s="2">
        <f t="shared" si="172"/>
        <v>0</v>
      </c>
      <c r="CY241" s="2">
        <f>((S241*BZ241)/100)</f>
        <v>0</v>
      </c>
      <c r="CZ241" s="2">
        <f>((S241*CA241)/100)</f>
        <v>0</v>
      </c>
      <c r="DA241" s="2"/>
      <c r="DB241" s="2"/>
      <c r="DC241" s="2" t="s">
        <v>3</v>
      </c>
      <c r="DD241" s="2" t="s">
        <v>3</v>
      </c>
      <c r="DE241" s="2" t="s">
        <v>3</v>
      </c>
      <c r="DF241" s="2" t="s">
        <v>3</v>
      </c>
      <c r="DG241" s="2" t="s">
        <v>3</v>
      </c>
      <c r="DH241" s="2" t="s">
        <v>3</v>
      </c>
      <c r="DI241" s="2" t="s">
        <v>3</v>
      </c>
      <c r="DJ241" s="2" t="s">
        <v>3</v>
      </c>
      <c r="DK241" s="2" t="s">
        <v>3</v>
      </c>
      <c r="DL241" s="2" t="s">
        <v>3</v>
      </c>
      <c r="DM241" s="2" t="s">
        <v>3</v>
      </c>
      <c r="DN241" s="2">
        <v>0</v>
      </c>
      <c r="DO241" s="2">
        <v>0</v>
      </c>
      <c r="DP241" s="2">
        <v>1</v>
      </c>
      <c r="DQ241" s="2">
        <v>1</v>
      </c>
      <c r="DR241" s="2"/>
      <c r="DS241" s="2"/>
      <c r="DT241" s="2"/>
      <c r="DU241" s="2">
        <v>1005</v>
      </c>
      <c r="DV241" s="2" t="s">
        <v>258</v>
      </c>
      <c r="DW241" s="2" t="s">
        <v>258</v>
      </c>
      <c r="DX241" s="2">
        <v>1</v>
      </c>
      <c r="DY241" s="2"/>
      <c r="DZ241" s="2" t="s">
        <v>3</v>
      </c>
      <c r="EA241" s="2" t="s">
        <v>3</v>
      </c>
      <c r="EB241" s="2" t="s">
        <v>3</v>
      </c>
      <c r="EC241" s="2" t="s">
        <v>3</v>
      </c>
      <c r="ED241" s="2"/>
      <c r="EE241" s="2">
        <v>126051542</v>
      </c>
      <c r="EF241" s="2">
        <v>30</v>
      </c>
      <c r="EG241" s="2" t="s">
        <v>23</v>
      </c>
      <c r="EH241" s="2">
        <v>0</v>
      </c>
      <c r="EI241" s="2" t="s">
        <v>3</v>
      </c>
      <c r="EJ241" s="2">
        <v>1</v>
      </c>
      <c r="EK241" s="2">
        <v>81</v>
      </c>
      <c r="EL241" s="2" t="s">
        <v>245</v>
      </c>
      <c r="EM241" s="2" t="s">
        <v>246</v>
      </c>
      <c r="EN241" s="2"/>
      <c r="EO241" s="2" t="s">
        <v>3</v>
      </c>
      <c r="EP241" s="2"/>
      <c r="EQ241" s="2">
        <v>1024</v>
      </c>
      <c r="ER241" s="2">
        <v>0</v>
      </c>
      <c r="ES241" s="2">
        <v>0</v>
      </c>
      <c r="ET241" s="2">
        <v>0</v>
      </c>
      <c r="EU241" s="2">
        <v>0</v>
      </c>
      <c r="EV241" s="2">
        <v>0</v>
      </c>
      <c r="EW241" s="2">
        <v>0</v>
      </c>
      <c r="EX241" s="2">
        <v>0</v>
      </c>
      <c r="EY241" s="2">
        <v>0</v>
      </c>
      <c r="EZ241" s="2"/>
      <c r="FA241" s="2"/>
      <c r="FB241" s="2"/>
      <c r="FC241" s="2"/>
      <c r="FD241" s="2"/>
      <c r="FE241" s="2"/>
      <c r="FF241" s="2"/>
      <c r="FG241" s="2"/>
      <c r="FH241" s="2"/>
      <c r="FI241" s="2"/>
      <c r="FJ241" s="2"/>
      <c r="FK241" s="2"/>
      <c r="FL241" s="2"/>
      <c r="FM241" s="2"/>
      <c r="FN241" s="2"/>
      <c r="FO241" s="2"/>
      <c r="FP241" s="2"/>
      <c r="FQ241" s="2">
        <v>0</v>
      </c>
      <c r="FR241" s="2">
        <f t="shared" si="173"/>
        <v>0</v>
      </c>
      <c r="FS241" s="2">
        <v>0</v>
      </c>
      <c r="FT241" s="2"/>
      <c r="FU241" s="2"/>
      <c r="FV241" s="2"/>
      <c r="FW241" s="2"/>
      <c r="FX241" s="2">
        <v>105</v>
      </c>
      <c r="FY241" s="2">
        <v>70</v>
      </c>
      <c r="FZ241" s="2"/>
      <c r="GA241" s="2" t="s">
        <v>3</v>
      </c>
      <c r="GB241" s="2"/>
      <c r="GC241" s="2"/>
      <c r="GD241" s="2">
        <v>0</v>
      </c>
      <c r="GE241" s="2"/>
      <c r="GF241" s="2">
        <v>744926546</v>
      </c>
      <c r="GG241" s="2">
        <v>2</v>
      </c>
      <c r="GH241" s="2">
        <v>0</v>
      </c>
      <c r="GI241" s="2">
        <v>-2</v>
      </c>
      <c r="GJ241" s="2">
        <v>0</v>
      </c>
      <c r="GK241" s="2">
        <f>ROUND(R241*(R12)/100,2)</f>
        <v>0</v>
      </c>
      <c r="GL241" s="2">
        <f t="shared" si="174"/>
        <v>0</v>
      </c>
      <c r="GM241" s="2">
        <f t="shared" si="175"/>
        <v>0</v>
      </c>
      <c r="GN241" s="2">
        <f t="shared" si="176"/>
        <v>0</v>
      </c>
      <c r="GO241" s="2">
        <f t="shared" si="177"/>
        <v>0</v>
      </c>
      <c r="GP241" s="2">
        <f t="shared" si="178"/>
        <v>0</v>
      </c>
      <c r="GQ241" s="2"/>
      <c r="GR241" s="2">
        <v>0</v>
      </c>
      <c r="GS241" s="2">
        <v>0</v>
      </c>
      <c r="GT241" s="2">
        <v>0</v>
      </c>
      <c r="GU241" s="2" t="s">
        <v>3</v>
      </c>
      <c r="GV241" s="2">
        <f t="shared" si="179"/>
        <v>0</v>
      </c>
      <c r="GW241" s="2">
        <v>1</v>
      </c>
      <c r="GX241" s="2">
        <f t="shared" si="180"/>
        <v>0</v>
      </c>
      <c r="GY241" s="2"/>
      <c r="GZ241" s="2"/>
      <c r="HA241" s="2">
        <v>0</v>
      </c>
      <c r="HB241" s="2">
        <v>0</v>
      </c>
      <c r="HC241" s="2">
        <f t="shared" si="181"/>
        <v>0</v>
      </c>
      <c r="HD241" s="2"/>
      <c r="HE241" s="2" t="s">
        <v>3</v>
      </c>
      <c r="HF241" s="2" t="s">
        <v>3</v>
      </c>
      <c r="HG241" s="2"/>
      <c r="HH241" s="2"/>
      <c r="HI241" s="2"/>
      <c r="HJ241" s="2"/>
      <c r="HK241" s="2"/>
      <c r="HL241" s="2"/>
      <c r="HM241" s="2" t="s">
        <v>3</v>
      </c>
      <c r="HN241" s="2" t="s">
        <v>3</v>
      </c>
      <c r="HO241" s="2" t="s">
        <v>3</v>
      </c>
      <c r="HP241" s="2" t="s">
        <v>3</v>
      </c>
      <c r="HQ241" s="2" t="s">
        <v>3</v>
      </c>
      <c r="HR241" s="2"/>
      <c r="HS241" s="2"/>
      <c r="HT241" s="2"/>
      <c r="HU241" s="2"/>
      <c r="HV241" s="2"/>
      <c r="HW241" s="2"/>
      <c r="HX241" s="2"/>
      <c r="HY241" s="2"/>
      <c r="HZ241" s="2"/>
      <c r="IA241" s="2"/>
      <c r="IB241" s="2"/>
      <c r="IC241" s="2"/>
      <c r="ID241" s="2"/>
      <c r="IE241" s="2"/>
      <c r="IF241" s="2"/>
      <c r="IG241" s="2"/>
      <c r="IH241" s="2"/>
      <c r="II241" s="2"/>
      <c r="IJ241" s="2"/>
      <c r="IK241" s="2">
        <v>0</v>
      </c>
      <c r="IL241" s="2"/>
      <c r="IM241" s="2"/>
      <c r="IN241" s="2"/>
      <c r="IO241" s="2"/>
      <c r="IP241" s="2"/>
      <c r="IQ241" s="2"/>
      <c r="IR241" s="2"/>
      <c r="IS241" s="2"/>
      <c r="IT241" s="2"/>
      <c r="IU241" s="2"/>
    </row>
    <row r="242" spans="1:255" x14ac:dyDescent="0.2">
      <c r="A242">
        <v>17</v>
      </c>
      <c r="B242">
        <v>1</v>
      </c>
      <c r="E242" t="s">
        <v>3</v>
      </c>
      <c r="F242" t="s">
        <v>256</v>
      </c>
      <c r="G242" t="s">
        <v>257</v>
      </c>
      <c r="H242" t="s">
        <v>258</v>
      </c>
      <c r="I242">
        <v>2.1</v>
      </c>
      <c r="J242">
        <v>0</v>
      </c>
      <c r="K242">
        <v>2.1</v>
      </c>
      <c r="O242">
        <f t="shared" si="149"/>
        <v>0</v>
      </c>
      <c r="P242">
        <f t="shared" si="150"/>
        <v>0</v>
      </c>
      <c r="Q242">
        <f t="shared" si="182"/>
        <v>0</v>
      </c>
      <c r="R242">
        <f t="shared" si="151"/>
        <v>0</v>
      </c>
      <c r="S242">
        <f t="shared" si="152"/>
        <v>0</v>
      </c>
      <c r="T242">
        <f t="shared" si="153"/>
        <v>0</v>
      </c>
      <c r="U242">
        <f t="shared" si="154"/>
        <v>0</v>
      </c>
      <c r="V242">
        <f t="shared" si="155"/>
        <v>0</v>
      </c>
      <c r="W242">
        <f t="shared" si="156"/>
        <v>0</v>
      </c>
      <c r="X242">
        <f t="shared" si="157"/>
        <v>0</v>
      </c>
      <c r="Y242">
        <f t="shared" si="158"/>
        <v>0</v>
      </c>
      <c r="AA242">
        <v>-1</v>
      </c>
      <c r="AB242">
        <f t="shared" si="159"/>
        <v>0</v>
      </c>
      <c r="AC242">
        <f t="shared" si="160"/>
        <v>0</v>
      </c>
      <c r="AD242">
        <f t="shared" si="183"/>
        <v>0</v>
      </c>
      <c r="AE242">
        <f t="shared" si="184"/>
        <v>0</v>
      </c>
      <c r="AF242">
        <f t="shared" si="184"/>
        <v>0</v>
      </c>
      <c r="AG242">
        <f t="shared" si="162"/>
        <v>0</v>
      </c>
      <c r="AH242">
        <f t="shared" si="185"/>
        <v>0</v>
      </c>
      <c r="AI242">
        <f t="shared" si="185"/>
        <v>0</v>
      </c>
      <c r="AJ242">
        <f t="shared" si="164"/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1</v>
      </c>
      <c r="AW242">
        <v>1</v>
      </c>
      <c r="AZ242">
        <v>1</v>
      </c>
      <c r="BA242">
        <v>1</v>
      </c>
      <c r="BB242">
        <v>1</v>
      </c>
      <c r="BC242">
        <v>6.75</v>
      </c>
      <c r="BD242" t="s">
        <v>3</v>
      </c>
      <c r="BE242" t="s">
        <v>3</v>
      </c>
      <c r="BF242" t="s">
        <v>3</v>
      </c>
      <c r="BG242" t="s">
        <v>3</v>
      </c>
      <c r="BH242">
        <v>3</v>
      </c>
      <c r="BI242">
        <v>1</v>
      </c>
      <c r="BJ242" t="s">
        <v>3</v>
      </c>
      <c r="BM242">
        <v>81</v>
      </c>
      <c r="BN242">
        <v>0</v>
      </c>
      <c r="BO242" t="s">
        <v>256</v>
      </c>
      <c r="BP242">
        <v>1</v>
      </c>
      <c r="BQ242">
        <v>30</v>
      </c>
      <c r="BR242">
        <v>0</v>
      </c>
      <c r="BS242">
        <v>1</v>
      </c>
      <c r="BT242">
        <v>1</v>
      </c>
      <c r="BU242">
        <v>1</v>
      </c>
      <c r="BV242">
        <v>1</v>
      </c>
      <c r="BW242">
        <v>1</v>
      </c>
      <c r="BX242">
        <v>1</v>
      </c>
      <c r="BY242" t="s">
        <v>3</v>
      </c>
      <c r="BZ242">
        <v>0</v>
      </c>
      <c r="CA242">
        <v>0</v>
      </c>
      <c r="CB242" t="s">
        <v>3</v>
      </c>
      <c r="CE242">
        <v>30</v>
      </c>
      <c r="CF242">
        <v>0</v>
      </c>
      <c r="CG242">
        <v>0</v>
      </c>
      <c r="CM242">
        <v>0</v>
      </c>
      <c r="CN242" t="s">
        <v>3</v>
      </c>
      <c r="CO242">
        <v>0</v>
      </c>
      <c r="CP242">
        <f t="shared" si="165"/>
        <v>0</v>
      </c>
      <c r="CQ242">
        <f t="shared" si="166"/>
        <v>0</v>
      </c>
      <c r="CR242">
        <f t="shared" si="186"/>
        <v>0</v>
      </c>
      <c r="CS242">
        <f t="shared" si="167"/>
        <v>0</v>
      </c>
      <c r="CT242">
        <f t="shared" si="168"/>
        <v>0</v>
      </c>
      <c r="CU242">
        <f t="shared" si="169"/>
        <v>0</v>
      </c>
      <c r="CV242">
        <f t="shared" si="170"/>
        <v>0</v>
      </c>
      <c r="CW242">
        <f t="shared" si="171"/>
        <v>0</v>
      </c>
      <c r="CX242">
        <f t="shared" si="172"/>
        <v>0</v>
      </c>
      <c r="CY242">
        <f>S242*(BZ242/100)</f>
        <v>0</v>
      </c>
      <c r="CZ242">
        <f>S242*(CA242/100)</f>
        <v>0</v>
      </c>
      <c r="DC242" t="s">
        <v>3</v>
      </c>
      <c r="DD242" t="s">
        <v>3</v>
      </c>
      <c r="DE242" t="s">
        <v>3</v>
      </c>
      <c r="DF242" t="s">
        <v>3</v>
      </c>
      <c r="DG242" t="s">
        <v>3</v>
      </c>
      <c r="DH242" t="s">
        <v>3</v>
      </c>
      <c r="DI242" t="s">
        <v>3</v>
      </c>
      <c r="DJ242" t="s">
        <v>3</v>
      </c>
      <c r="DK242" t="s">
        <v>3</v>
      </c>
      <c r="DL242" t="s">
        <v>3</v>
      </c>
      <c r="DM242" t="s">
        <v>3</v>
      </c>
      <c r="DN242">
        <v>105</v>
      </c>
      <c r="DO242">
        <v>70</v>
      </c>
      <c r="DP242">
        <v>1</v>
      </c>
      <c r="DQ242">
        <v>1</v>
      </c>
      <c r="DU242">
        <v>1005</v>
      </c>
      <c r="DV242" t="s">
        <v>258</v>
      </c>
      <c r="DW242" t="s">
        <v>258</v>
      </c>
      <c r="DX242">
        <v>1</v>
      </c>
      <c r="DZ242" t="s">
        <v>3</v>
      </c>
      <c r="EA242" t="s">
        <v>3</v>
      </c>
      <c r="EB242" t="s">
        <v>3</v>
      </c>
      <c r="EC242" t="s">
        <v>3</v>
      </c>
      <c r="EE242">
        <v>126051542</v>
      </c>
      <c r="EF242">
        <v>30</v>
      </c>
      <c r="EG242" t="s">
        <v>23</v>
      </c>
      <c r="EH242">
        <v>0</v>
      </c>
      <c r="EI242" t="s">
        <v>3</v>
      </c>
      <c r="EJ242">
        <v>1</v>
      </c>
      <c r="EK242">
        <v>81</v>
      </c>
      <c r="EL242" t="s">
        <v>245</v>
      </c>
      <c r="EM242" t="s">
        <v>246</v>
      </c>
      <c r="EO242" t="s">
        <v>3</v>
      </c>
      <c r="EQ242">
        <v>1024</v>
      </c>
      <c r="ER242">
        <v>0</v>
      </c>
      <c r="ES242">
        <v>0</v>
      </c>
      <c r="ET242">
        <v>0</v>
      </c>
      <c r="EU242">
        <v>0</v>
      </c>
      <c r="EV242">
        <v>0</v>
      </c>
      <c r="EW242">
        <v>0</v>
      </c>
      <c r="EX242">
        <v>0</v>
      </c>
      <c r="EY242">
        <v>0</v>
      </c>
      <c r="FQ242">
        <v>0</v>
      </c>
      <c r="FR242">
        <f t="shared" si="173"/>
        <v>0</v>
      </c>
      <c r="FS242">
        <v>0</v>
      </c>
      <c r="FX242">
        <v>105</v>
      </c>
      <c r="FY242">
        <v>70</v>
      </c>
      <c r="GA242" t="s">
        <v>259</v>
      </c>
      <c r="GD242">
        <v>0</v>
      </c>
      <c r="GF242">
        <v>744926546</v>
      </c>
      <c r="GG242">
        <v>2</v>
      </c>
      <c r="GH242">
        <v>2</v>
      </c>
      <c r="GI242">
        <v>2</v>
      </c>
      <c r="GJ242">
        <v>0</v>
      </c>
      <c r="GK242">
        <f>ROUND(R242*(S12)/100,2)</f>
        <v>0</v>
      </c>
      <c r="GL242">
        <f t="shared" si="174"/>
        <v>0</v>
      </c>
      <c r="GM242">
        <f t="shared" si="175"/>
        <v>0</v>
      </c>
      <c r="GN242">
        <f t="shared" si="176"/>
        <v>0</v>
      </c>
      <c r="GO242">
        <f t="shared" si="177"/>
        <v>0</v>
      </c>
      <c r="GP242">
        <f t="shared" si="178"/>
        <v>0</v>
      </c>
      <c r="GR242">
        <v>0</v>
      </c>
      <c r="GS242">
        <v>4</v>
      </c>
      <c r="GT242">
        <v>0</v>
      </c>
      <c r="GU242" t="s">
        <v>3</v>
      </c>
      <c r="GV242">
        <f t="shared" si="179"/>
        <v>0</v>
      </c>
      <c r="GW242">
        <v>1</v>
      </c>
      <c r="GX242">
        <f t="shared" si="180"/>
        <v>0</v>
      </c>
      <c r="HA242">
        <v>0</v>
      </c>
      <c r="HB242">
        <v>0</v>
      </c>
      <c r="HC242">
        <f t="shared" si="181"/>
        <v>0</v>
      </c>
      <c r="HE242" t="s">
        <v>3</v>
      </c>
      <c r="HF242" t="s">
        <v>3</v>
      </c>
      <c r="HM242" t="s">
        <v>3</v>
      </c>
      <c r="HN242" t="s">
        <v>3</v>
      </c>
      <c r="HO242" t="s">
        <v>3</v>
      </c>
      <c r="HP242" t="s">
        <v>3</v>
      </c>
      <c r="HQ242" t="s">
        <v>3</v>
      </c>
      <c r="IK242">
        <v>0</v>
      </c>
    </row>
    <row r="243" spans="1:255" x14ac:dyDescent="0.2">
      <c r="A243" s="2">
        <v>17</v>
      </c>
      <c r="B243" s="2">
        <v>1</v>
      </c>
      <c r="C243" s="2"/>
      <c r="D243" s="2"/>
      <c r="E243" s="2" t="s">
        <v>3</v>
      </c>
      <c r="F243" s="2" t="s">
        <v>260</v>
      </c>
      <c r="G243" s="2" t="s">
        <v>261</v>
      </c>
      <c r="H243" s="2" t="s">
        <v>258</v>
      </c>
      <c r="I243" s="2">
        <v>1.68</v>
      </c>
      <c r="J243" s="2">
        <v>0</v>
      </c>
      <c r="K243" s="2">
        <v>1.68</v>
      </c>
      <c r="L243" s="2"/>
      <c r="M243" s="2"/>
      <c r="N243" s="2"/>
      <c r="O243" s="2">
        <f t="shared" si="149"/>
        <v>0</v>
      </c>
      <c r="P243" s="2">
        <f t="shared" si="150"/>
        <v>0</v>
      </c>
      <c r="Q243" s="2">
        <f t="shared" si="182"/>
        <v>0</v>
      </c>
      <c r="R243" s="2">
        <f t="shared" si="151"/>
        <v>0</v>
      </c>
      <c r="S243" s="2">
        <f t="shared" si="152"/>
        <v>0</v>
      </c>
      <c r="T243" s="2">
        <f t="shared" si="153"/>
        <v>0</v>
      </c>
      <c r="U243" s="2">
        <f t="shared" si="154"/>
        <v>0</v>
      </c>
      <c r="V243" s="2">
        <f t="shared" si="155"/>
        <v>0</v>
      </c>
      <c r="W243" s="2">
        <f t="shared" si="156"/>
        <v>0</v>
      </c>
      <c r="X243" s="2">
        <f t="shared" si="157"/>
        <v>0</v>
      </c>
      <c r="Y243" s="2">
        <f t="shared" si="158"/>
        <v>0</v>
      </c>
      <c r="Z243" s="2"/>
      <c r="AA243" s="2">
        <v>-1</v>
      </c>
      <c r="AB243" s="2">
        <f t="shared" si="159"/>
        <v>0</v>
      </c>
      <c r="AC243" s="2">
        <f t="shared" si="160"/>
        <v>0</v>
      </c>
      <c r="AD243" s="2">
        <f t="shared" si="183"/>
        <v>0</v>
      </c>
      <c r="AE243" s="2">
        <f t="shared" si="184"/>
        <v>0</v>
      </c>
      <c r="AF243" s="2">
        <f t="shared" si="184"/>
        <v>0</v>
      </c>
      <c r="AG243" s="2">
        <f t="shared" si="162"/>
        <v>0</v>
      </c>
      <c r="AH243" s="2">
        <f t="shared" si="185"/>
        <v>0</v>
      </c>
      <c r="AI243" s="2">
        <f t="shared" si="185"/>
        <v>0</v>
      </c>
      <c r="AJ243" s="2">
        <f t="shared" si="164"/>
        <v>0</v>
      </c>
      <c r="AK243" s="2">
        <v>0</v>
      </c>
      <c r="AL243" s="2">
        <v>0</v>
      </c>
      <c r="AM243" s="2">
        <v>0</v>
      </c>
      <c r="AN243" s="2">
        <v>0</v>
      </c>
      <c r="AO243" s="2">
        <v>0</v>
      </c>
      <c r="AP243" s="2">
        <v>0</v>
      </c>
      <c r="AQ243" s="2">
        <v>0</v>
      </c>
      <c r="AR243" s="2">
        <v>0</v>
      </c>
      <c r="AS243" s="2">
        <v>0</v>
      </c>
      <c r="AT243" s="2">
        <v>105</v>
      </c>
      <c r="AU243" s="2">
        <v>70</v>
      </c>
      <c r="AV243" s="2">
        <v>1</v>
      </c>
      <c r="AW243" s="2">
        <v>1</v>
      </c>
      <c r="AX243" s="2"/>
      <c r="AY243" s="2"/>
      <c r="AZ243" s="2">
        <v>1</v>
      </c>
      <c r="BA243" s="2">
        <v>1</v>
      </c>
      <c r="BB243" s="2">
        <v>1</v>
      </c>
      <c r="BC243" s="2">
        <v>1</v>
      </c>
      <c r="BD243" s="2" t="s">
        <v>3</v>
      </c>
      <c r="BE243" s="2" t="s">
        <v>3</v>
      </c>
      <c r="BF243" s="2" t="s">
        <v>3</v>
      </c>
      <c r="BG243" s="2" t="s">
        <v>3</v>
      </c>
      <c r="BH243" s="2">
        <v>3</v>
      </c>
      <c r="BI243" s="2">
        <v>1</v>
      </c>
      <c r="BJ243" s="2" t="s">
        <v>3</v>
      </c>
      <c r="BK243" s="2"/>
      <c r="BL243" s="2"/>
      <c r="BM243" s="2">
        <v>81</v>
      </c>
      <c r="BN243" s="2">
        <v>0</v>
      </c>
      <c r="BO243" s="2" t="s">
        <v>3</v>
      </c>
      <c r="BP243" s="2">
        <v>0</v>
      </c>
      <c r="BQ243" s="2">
        <v>30</v>
      </c>
      <c r="BR243" s="2">
        <v>0</v>
      </c>
      <c r="BS243" s="2">
        <v>1</v>
      </c>
      <c r="BT243" s="2">
        <v>1</v>
      </c>
      <c r="BU243" s="2">
        <v>1</v>
      </c>
      <c r="BV243" s="2">
        <v>1</v>
      </c>
      <c r="BW243" s="2">
        <v>1</v>
      </c>
      <c r="BX243" s="2">
        <v>1</v>
      </c>
      <c r="BY243" s="2" t="s">
        <v>3</v>
      </c>
      <c r="BZ243" s="2">
        <v>105</v>
      </c>
      <c r="CA243" s="2">
        <v>70</v>
      </c>
      <c r="CB243" s="2" t="s">
        <v>3</v>
      </c>
      <c r="CC243" s="2"/>
      <c r="CD243" s="2"/>
      <c r="CE243" s="2">
        <v>30</v>
      </c>
      <c r="CF243" s="2">
        <v>0</v>
      </c>
      <c r="CG243" s="2">
        <v>0</v>
      </c>
      <c r="CH243" s="2"/>
      <c r="CI243" s="2"/>
      <c r="CJ243" s="2"/>
      <c r="CK243" s="2"/>
      <c r="CL243" s="2"/>
      <c r="CM243" s="2">
        <v>0</v>
      </c>
      <c r="CN243" s="2" t="s">
        <v>3</v>
      </c>
      <c r="CO243" s="2">
        <v>0</v>
      </c>
      <c r="CP243" s="2">
        <f t="shared" si="165"/>
        <v>0</v>
      </c>
      <c r="CQ243" s="2">
        <f t="shared" si="166"/>
        <v>0</v>
      </c>
      <c r="CR243" s="2">
        <f t="shared" si="186"/>
        <v>0</v>
      </c>
      <c r="CS243" s="2">
        <f t="shared" si="167"/>
        <v>0</v>
      </c>
      <c r="CT243" s="2">
        <f t="shared" si="168"/>
        <v>0</v>
      </c>
      <c r="CU243" s="2">
        <f t="shared" si="169"/>
        <v>0</v>
      </c>
      <c r="CV243" s="2">
        <f t="shared" si="170"/>
        <v>0</v>
      </c>
      <c r="CW243" s="2">
        <f t="shared" si="171"/>
        <v>0</v>
      </c>
      <c r="CX243" s="2">
        <f t="shared" si="172"/>
        <v>0</v>
      </c>
      <c r="CY243" s="2">
        <f>((S243*BZ243)/100)</f>
        <v>0</v>
      </c>
      <c r="CZ243" s="2">
        <f>((S243*CA243)/100)</f>
        <v>0</v>
      </c>
      <c r="DA243" s="2"/>
      <c r="DB243" s="2"/>
      <c r="DC243" s="2" t="s">
        <v>3</v>
      </c>
      <c r="DD243" s="2" t="s">
        <v>3</v>
      </c>
      <c r="DE243" s="2" t="s">
        <v>3</v>
      </c>
      <c r="DF243" s="2" t="s">
        <v>3</v>
      </c>
      <c r="DG243" s="2" t="s">
        <v>3</v>
      </c>
      <c r="DH243" s="2" t="s">
        <v>3</v>
      </c>
      <c r="DI243" s="2" t="s">
        <v>3</v>
      </c>
      <c r="DJ243" s="2" t="s">
        <v>3</v>
      </c>
      <c r="DK243" s="2" t="s">
        <v>3</v>
      </c>
      <c r="DL243" s="2" t="s">
        <v>3</v>
      </c>
      <c r="DM243" s="2" t="s">
        <v>3</v>
      </c>
      <c r="DN243" s="2">
        <v>0</v>
      </c>
      <c r="DO243" s="2">
        <v>0</v>
      </c>
      <c r="DP243" s="2">
        <v>1</v>
      </c>
      <c r="DQ243" s="2">
        <v>1</v>
      </c>
      <c r="DR243" s="2"/>
      <c r="DS243" s="2"/>
      <c r="DT243" s="2"/>
      <c r="DU243" s="2">
        <v>1005</v>
      </c>
      <c r="DV243" s="2" t="s">
        <v>258</v>
      </c>
      <c r="DW243" s="2" t="s">
        <v>258</v>
      </c>
      <c r="DX243" s="2">
        <v>1</v>
      </c>
      <c r="DY243" s="2"/>
      <c r="DZ243" s="2" t="s">
        <v>3</v>
      </c>
      <c r="EA243" s="2" t="s">
        <v>3</v>
      </c>
      <c r="EB243" s="2" t="s">
        <v>3</v>
      </c>
      <c r="EC243" s="2" t="s">
        <v>3</v>
      </c>
      <c r="ED243" s="2"/>
      <c r="EE243" s="2">
        <v>126051542</v>
      </c>
      <c r="EF243" s="2">
        <v>30</v>
      </c>
      <c r="EG243" s="2" t="s">
        <v>23</v>
      </c>
      <c r="EH243" s="2">
        <v>0</v>
      </c>
      <c r="EI243" s="2" t="s">
        <v>3</v>
      </c>
      <c r="EJ243" s="2">
        <v>1</v>
      </c>
      <c r="EK243" s="2">
        <v>81</v>
      </c>
      <c r="EL243" s="2" t="s">
        <v>245</v>
      </c>
      <c r="EM243" s="2" t="s">
        <v>246</v>
      </c>
      <c r="EN243" s="2"/>
      <c r="EO243" s="2" t="s">
        <v>3</v>
      </c>
      <c r="EP243" s="2"/>
      <c r="EQ243" s="2">
        <v>1024</v>
      </c>
      <c r="ER243" s="2">
        <v>0</v>
      </c>
      <c r="ES243" s="2">
        <v>0</v>
      </c>
      <c r="ET243" s="2">
        <v>0</v>
      </c>
      <c r="EU243" s="2">
        <v>0</v>
      </c>
      <c r="EV243" s="2">
        <v>0</v>
      </c>
      <c r="EW243" s="2">
        <v>0</v>
      </c>
      <c r="EX243" s="2">
        <v>0</v>
      </c>
      <c r="EY243" s="2">
        <v>0</v>
      </c>
      <c r="EZ243" s="2"/>
      <c r="FA243" s="2"/>
      <c r="FB243" s="2"/>
      <c r="FC243" s="2"/>
      <c r="FD243" s="2"/>
      <c r="FE243" s="2"/>
      <c r="FF243" s="2"/>
      <c r="FG243" s="2"/>
      <c r="FH243" s="2"/>
      <c r="FI243" s="2"/>
      <c r="FJ243" s="2"/>
      <c r="FK243" s="2"/>
      <c r="FL243" s="2"/>
      <c r="FM243" s="2"/>
      <c r="FN243" s="2"/>
      <c r="FO243" s="2"/>
      <c r="FP243" s="2"/>
      <c r="FQ243" s="2">
        <v>0</v>
      </c>
      <c r="FR243" s="2">
        <f t="shared" si="173"/>
        <v>0</v>
      </c>
      <c r="FS243" s="2">
        <v>0</v>
      </c>
      <c r="FT243" s="2"/>
      <c r="FU243" s="2"/>
      <c r="FV243" s="2"/>
      <c r="FW243" s="2"/>
      <c r="FX243" s="2">
        <v>105</v>
      </c>
      <c r="FY243" s="2">
        <v>70</v>
      </c>
      <c r="FZ243" s="2"/>
      <c r="GA243" s="2" t="s">
        <v>3</v>
      </c>
      <c r="GB243" s="2"/>
      <c r="GC243" s="2"/>
      <c r="GD243" s="2">
        <v>0</v>
      </c>
      <c r="GE243" s="2"/>
      <c r="GF243" s="2">
        <v>-1710123732</v>
      </c>
      <c r="GG243" s="2">
        <v>2</v>
      </c>
      <c r="GH243" s="2">
        <v>0</v>
      </c>
      <c r="GI243" s="2">
        <v>-2</v>
      </c>
      <c r="GJ243" s="2">
        <v>0</v>
      </c>
      <c r="GK243" s="2">
        <f>ROUND(R243*(R12)/100,2)</f>
        <v>0</v>
      </c>
      <c r="GL243" s="2">
        <f t="shared" si="174"/>
        <v>0</v>
      </c>
      <c r="GM243" s="2">
        <f t="shared" si="175"/>
        <v>0</v>
      </c>
      <c r="GN243" s="2">
        <f t="shared" si="176"/>
        <v>0</v>
      </c>
      <c r="GO243" s="2">
        <f t="shared" si="177"/>
        <v>0</v>
      </c>
      <c r="GP243" s="2">
        <f t="shared" si="178"/>
        <v>0</v>
      </c>
      <c r="GQ243" s="2"/>
      <c r="GR243" s="2">
        <v>0</v>
      </c>
      <c r="GS243" s="2">
        <v>0</v>
      </c>
      <c r="GT243" s="2">
        <v>0</v>
      </c>
      <c r="GU243" s="2" t="s">
        <v>3</v>
      </c>
      <c r="GV243" s="2">
        <f t="shared" si="179"/>
        <v>0</v>
      </c>
      <c r="GW243" s="2">
        <v>1</v>
      </c>
      <c r="GX243" s="2">
        <f t="shared" si="180"/>
        <v>0</v>
      </c>
      <c r="GY243" s="2"/>
      <c r="GZ243" s="2"/>
      <c r="HA243" s="2">
        <v>0</v>
      </c>
      <c r="HB243" s="2">
        <v>0</v>
      </c>
      <c r="HC243" s="2">
        <f t="shared" si="181"/>
        <v>0</v>
      </c>
      <c r="HD243" s="2"/>
      <c r="HE243" s="2" t="s">
        <v>3</v>
      </c>
      <c r="HF243" s="2" t="s">
        <v>3</v>
      </c>
      <c r="HG243" s="2"/>
      <c r="HH243" s="2"/>
      <c r="HI243" s="2"/>
      <c r="HJ243" s="2"/>
      <c r="HK243" s="2"/>
      <c r="HL243" s="2"/>
      <c r="HM243" s="2" t="s">
        <v>3</v>
      </c>
      <c r="HN243" s="2" t="s">
        <v>3</v>
      </c>
      <c r="HO243" s="2" t="s">
        <v>3</v>
      </c>
      <c r="HP243" s="2" t="s">
        <v>3</v>
      </c>
      <c r="HQ243" s="2" t="s">
        <v>3</v>
      </c>
      <c r="HR243" s="2"/>
      <c r="HS243" s="2"/>
      <c r="HT243" s="2"/>
      <c r="HU243" s="2"/>
      <c r="HV243" s="2"/>
      <c r="HW243" s="2"/>
      <c r="HX243" s="2"/>
      <c r="HY243" s="2"/>
      <c r="HZ243" s="2"/>
      <c r="IA243" s="2"/>
      <c r="IB243" s="2"/>
      <c r="IC243" s="2"/>
      <c r="ID243" s="2"/>
      <c r="IE243" s="2"/>
      <c r="IF243" s="2"/>
      <c r="IG243" s="2"/>
      <c r="IH243" s="2"/>
      <c r="II243" s="2"/>
      <c r="IJ243" s="2"/>
      <c r="IK243" s="2">
        <v>0</v>
      </c>
      <c r="IL243" s="2"/>
      <c r="IM243" s="2"/>
      <c r="IN243" s="2"/>
      <c r="IO243" s="2"/>
      <c r="IP243" s="2"/>
      <c r="IQ243" s="2"/>
      <c r="IR243" s="2"/>
      <c r="IS243" s="2"/>
      <c r="IT243" s="2"/>
      <c r="IU243" s="2"/>
    </row>
    <row r="244" spans="1:255" x14ac:dyDescent="0.2">
      <c r="A244">
        <v>17</v>
      </c>
      <c r="B244">
        <v>1</v>
      </c>
      <c r="E244" t="s">
        <v>3</v>
      </c>
      <c r="F244" t="s">
        <v>260</v>
      </c>
      <c r="G244" t="s">
        <v>261</v>
      </c>
      <c r="H244" t="s">
        <v>258</v>
      </c>
      <c r="I244">
        <v>1.68</v>
      </c>
      <c r="J244">
        <v>0</v>
      </c>
      <c r="K244">
        <v>1.68</v>
      </c>
      <c r="O244">
        <f t="shared" si="149"/>
        <v>0</v>
      </c>
      <c r="P244">
        <f t="shared" si="150"/>
        <v>0</v>
      </c>
      <c r="Q244">
        <f t="shared" si="182"/>
        <v>0</v>
      </c>
      <c r="R244">
        <f t="shared" si="151"/>
        <v>0</v>
      </c>
      <c r="S244">
        <f t="shared" si="152"/>
        <v>0</v>
      </c>
      <c r="T244">
        <f t="shared" si="153"/>
        <v>0</v>
      </c>
      <c r="U244">
        <f t="shared" si="154"/>
        <v>0</v>
      </c>
      <c r="V244">
        <f t="shared" si="155"/>
        <v>0</v>
      </c>
      <c r="W244">
        <f t="shared" si="156"/>
        <v>0</v>
      </c>
      <c r="X244">
        <f t="shared" si="157"/>
        <v>0</v>
      </c>
      <c r="Y244">
        <f t="shared" si="158"/>
        <v>0</v>
      </c>
      <c r="AA244">
        <v>-1</v>
      </c>
      <c r="AB244">
        <f t="shared" si="159"/>
        <v>0</v>
      </c>
      <c r="AC244">
        <f t="shared" si="160"/>
        <v>0</v>
      </c>
      <c r="AD244">
        <f t="shared" si="183"/>
        <v>0</v>
      </c>
      <c r="AE244">
        <f t="shared" si="184"/>
        <v>0</v>
      </c>
      <c r="AF244">
        <f t="shared" si="184"/>
        <v>0</v>
      </c>
      <c r="AG244">
        <f t="shared" si="162"/>
        <v>0</v>
      </c>
      <c r="AH244">
        <f t="shared" si="185"/>
        <v>0</v>
      </c>
      <c r="AI244">
        <f t="shared" si="185"/>
        <v>0</v>
      </c>
      <c r="AJ244">
        <f t="shared" si="164"/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1</v>
      </c>
      <c r="AW244">
        <v>1</v>
      </c>
      <c r="AZ244">
        <v>1</v>
      </c>
      <c r="BA244">
        <v>1</v>
      </c>
      <c r="BB244">
        <v>1</v>
      </c>
      <c r="BC244">
        <v>5.89</v>
      </c>
      <c r="BD244" t="s">
        <v>3</v>
      </c>
      <c r="BE244" t="s">
        <v>3</v>
      </c>
      <c r="BF244" t="s">
        <v>3</v>
      </c>
      <c r="BG244" t="s">
        <v>3</v>
      </c>
      <c r="BH244">
        <v>3</v>
      </c>
      <c r="BI244">
        <v>1</v>
      </c>
      <c r="BJ244" t="s">
        <v>3</v>
      </c>
      <c r="BM244">
        <v>81</v>
      </c>
      <c r="BN244">
        <v>0</v>
      </c>
      <c r="BO244" t="s">
        <v>260</v>
      </c>
      <c r="BP244">
        <v>1</v>
      </c>
      <c r="BQ244">
        <v>30</v>
      </c>
      <c r="BR244">
        <v>0</v>
      </c>
      <c r="BS244">
        <v>1</v>
      </c>
      <c r="BT244">
        <v>1</v>
      </c>
      <c r="BU244">
        <v>1</v>
      </c>
      <c r="BV244">
        <v>1</v>
      </c>
      <c r="BW244">
        <v>1</v>
      </c>
      <c r="BX244">
        <v>1</v>
      </c>
      <c r="BY244" t="s">
        <v>3</v>
      </c>
      <c r="BZ244">
        <v>0</v>
      </c>
      <c r="CA244">
        <v>0</v>
      </c>
      <c r="CB244" t="s">
        <v>3</v>
      </c>
      <c r="CE244">
        <v>30</v>
      </c>
      <c r="CF244">
        <v>0</v>
      </c>
      <c r="CG244">
        <v>0</v>
      </c>
      <c r="CM244">
        <v>0</v>
      </c>
      <c r="CN244" t="s">
        <v>3</v>
      </c>
      <c r="CO244">
        <v>0</v>
      </c>
      <c r="CP244">
        <f t="shared" si="165"/>
        <v>0</v>
      </c>
      <c r="CQ244">
        <f t="shared" si="166"/>
        <v>0</v>
      </c>
      <c r="CR244">
        <f t="shared" si="186"/>
        <v>0</v>
      </c>
      <c r="CS244">
        <f t="shared" si="167"/>
        <v>0</v>
      </c>
      <c r="CT244">
        <f t="shared" si="168"/>
        <v>0</v>
      </c>
      <c r="CU244">
        <f t="shared" si="169"/>
        <v>0</v>
      </c>
      <c r="CV244">
        <f t="shared" si="170"/>
        <v>0</v>
      </c>
      <c r="CW244">
        <f t="shared" si="171"/>
        <v>0</v>
      </c>
      <c r="CX244">
        <f t="shared" si="172"/>
        <v>0</v>
      </c>
      <c r="CY244">
        <f>S244*(BZ244/100)</f>
        <v>0</v>
      </c>
      <c r="CZ244">
        <f>S244*(CA244/100)</f>
        <v>0</v>
      </c>
      <c r="DC244" t="s">
        <v>3</v>
      </c>
      <c r="DD244" t="s">
        <v>3</v>
      </c>
      <c r="DE244" t="s">
        <v>3</v>
      </c>
      <c r="DF244" t="s">
        <v>3</v>
      </c>
      <c r="DG244" t="s">
        <v>3</v>
      </c>
      <c r="DH244" t="s">
        <v>3</v>
      </c>
      <c r="DI244" t="s">
        <v>3</v>
      </c>
      <c r="DJ244" t="s">
        <v>3</v>
      </c>
      <c r="DK244" t="s">
        <v>3</v>
      </c>
      <c r="DL244" t="s">
        <v>3</v>
      </c>
      <c r="DM244" t="s">
        <v>3</v>
      </c>
      <c r="DN244">
        <v>105</v>
      </c>
      <c r="DO244">
        <v>70</v>
      </c>
      <c r="DP244">
        <v>1</v>
      </c>
      <c r="DQ244">
        <v>1</v>
      </c>
      <c r="DU244">
        <v>1005</v>
      </c>
      <c r="DV244" t="s">
        <v>258</v>
      </c>
      <c r="DW244" t="s">
        <v>258</v>
      </c>
      <c r="DX244">
        <v>1</v>
      </c>
      <c r="DZ244" t="s">
        <v>3</v>
      </c>
      <c r="EA244" t="s">
        <v>3</v>
      </c>
      <c r="EB244" t="s">
        <v>3</v>
      </c>
      <c r="EC244" t="s">
        <v>3</v>
      </c>
      <c r="EE244">
        <v>126051542</v>
      </c>
      <c r="EF244">
        <v>30</v>
      </c>
      <c r="EG244" t="s">
        <v>23</v>
      </c>
      <c r="EH244">
        <v>0</v>
      </c>
      <c r="EI244" t="s">
        <v>3</v>
      </c>
      <c r="EJ244">
        <v>1</v>
      </c>
      <c r="EK244">
        <v>81</v>
      </c>
      <c r="EL244" t="s">
        <v>245</v>
      </c>
      <c r="EM244" t="s">
        <v>246</v>
      </c>
      <c r="EO244" t="s">
        <v>3</v>
      </c>
      <c r="EQ244">
        <v>1024</v>
      </c>
      <c r="ER244">
        <v>0</v>
      </c>
      <c r="ES244">
        <v>0</v>
      </c>
      <c r="ET244">
        <v>0</v>
      </c>
      <c r="EU244">
        <v>0</v>
      </c>
      <c r="EV244">
        <v>0</v>
      </c>
      <c r="EW244">
        <v>0</v>
      </c>
      <c r="EX244">
        <v>0</v>
      </c>
      <c r="EY244">
        <v>0</v>
      </c>
      <c r="FQ244">
        <v>0</v>
      </c>
      <c r="FR244">
        <f t="shared" si="173"/>
        <v>0</v>
      </c>
      <c r="FS244">
        <v>0</v>
      </c>
      <c r="FX244">
        <v>105</v>
      </c>
      <c r="FY244">
        <v>70</v>
      </c>
      <c r="GA244" t="s">
        <v>259</v>
      </c>
      <c r="GD244">
        <v>0</v>
      </c>
      <c r="GF244">
        <v>-1710123732</v>
      </c>
      <c r="GG244">
        <v>2</v>
      </c>
      <c r="GH244">
        <v>2</v>
      </c>
      <c r="GI244">
        <v>2</v>
      </c>
      <c r="GJ244">
        <v>0</v>
      </c>
      <c r="GK244">
        <f>ROUND(R244*(S12)/100,2)</f>
        <v>0</v>
      </c>
      <c r="GL244">
        <f t="shared" si="174"/>
        <v>0</v>
      </c>
      <c r="GM244">
        <f t="shared" si="175"/>
        <v>0</v>
      </c>
      <c r="GN244">
        <f t="shared" si="176"/>
        <v>0</v>
      </c>
      <c r="GO244">
        <f t="shared" si="177"/>
        <v>0</v>
      </c>
      <c r="GP244">
        <f t="shared" si="178"/>
        <v>0</v>
      </c>
      <c r="GR244">
        <v>0</v>
      </c>
      <c r="GS244">
        <v>4</v>
      </c>
      <c r="GT244">
        <v>0</v>
      </c>
      <c r="GU244" t="s">
        <v>3</v>
      </c>
      <c r="GV244">
        <f t="shared" si="179"/>
        <v>0</v>
      </c>
      <c r="GW244">
        <v>1</v>
      </c>
      <c r="GX244">
        <f t="shared" si="180"/>
        <v>0</v>
      </c>
      <c r="HA244">
        <v>0</v>
      </c>
      <c r="HB244">
        <v>0</v>
      </c>
      <c r="HC244">
        <f t="shared" si="181"/>
        <v>0</v>
      </c>
      <c r="HE244" t="s">
        <v>3</v>
      </c>
      <c r="HF244" t="s">
        <v>3</v>
      </c>
      <c r="HM244" t="s">
        <v>3</v>
      </c>
      <c r="HN244" t="s">
        <v>3</v>
      </c>
      <c r="HO244" t="s">
        <v>3</v>
      </c>
      <c r="HP244" t="s">
        <v>3</v>
      </c>
      <c r="HQ244" t="s">
        <v>3</v>
      </c>
      <c r="IK244">
        <v>0</v>
      </c>
    </row>
    <row r="245" spans="1:255" x14ac:dyDescent="0.2">
      <c r="A245" s="2">
        <v>17</v>
      </c>
      <c r="B245" s="2">
        <v>1</v>
      </c>
      <c r="C245" s="2">
        <f>ROW(SmtRes!A199)</f>
        <v>199</v>
      </c>
      <c r="D245" s="2">
        <f>ROW(EtalonRes!A204)</f>
        <v>204</v>
      </c>
      <c r="E245" s="2" t="s">
        <v>262</v>
      </c>
      <c r="F245" s="2" t="s">
        <v>263</v>
      </c>
      <c r="G245" s="2" t="s">
        <v>264</v>
      </c>
      <c r="H245" s="2" t="s">
        <v>148</v>
      </c>
      <c r="I245" s="2">
        <v>3.9899999999999998E-2</v>
      </c>
      <c r="J245" s="2">
        <v>0</v>
      </c>
      <c r="K245" s="2">
        <v>3.9899999999999998E-2</v>
      </c>
      <c r="L245" s="2"/>
      <c r="M245" s="2"/>
      <c r="N245" s="2"/>
      <c r="O245" s="2">
        <f t="shared" si="149"/>
        <v>313.79000000000002</v>
      </c>
      <c r="P245" s="2">
        <f t="shared" si="150"/>
        <v>234.21</v>
      </c>
      <c r="Q245" s="2">
        <f>(ROUND((ROUND((((ET245*1.25))*AV245*I245),2)*BB245),2)+ROUND((ROUND(((AE245-((EU245*1.25)))*AV245*I245),2)*BS245),2))</f>
        <v>14.1</v>
      </c>
      <c r="R245" s="2">
        <f t="shared" si="151"/>
        <v>2.44</v>
      </c>
      <c r="S245" s="2">
        <f t="shared" si="152"/>
        <v>65.48</v>
      </c>
      <c r="T245" s="2">
        <f t="shared" si="153"/>
        <v>0</v>
      </c>
      <c r="U245" s="2">
        <f t="shared" si="154"/>
        <v>5.6241244499999983</v>
      </c>
      <c r="V245" s="2">
        <f t="shared" si="155"/>
        <v>0</v>
      </c>
      <c r="W245" s="2">
        <f t="shared" si="156"/>
        <v>0</v>
      </c>
      <c r="X245" s="2">
        <f t="shared" si="157"/>
        <v>68.75</v>
      </c>
      <c r="Y245" s="2">
        <f t="shared" si="158"/>
        <v>45.84</v>
      </c>
      <c r="Z245" s="2"/>
      <c r="AA245" s="2">
        <v>129761636</v>
      </c>
      <c r="AB245" s="2">
        <f t="shared" si="159"/>
        <v>7864.4970000000003</v>
      </c>
      <c r="AC245" s="2">
        <f t="shared" si="160"/>
        <v>5869.93</v>
      </c>
      <c r="AD245" s="2">
        <f>ROUND(((((ET245*1.25))-((EU245*1.25)))+AE245),6)</f>
        <v>353.42500000000001</v>
      </c>
      <c r="AE245" s="2">
        <f>ROUND(((EU245*1.25)),6)</f>
        <v>61.1</v>
      </c>
      <c r="AF245" s="2">
        <f>ROUND(((EV245*1.15)),6)</f>
        <v>1641.1420000000001</v>
      </c>
      <c r="AG245" s="2">
        <f t="shared" si="162"/>
        <v>0</v>
      </c>
      <c r="AH245" s="2">
        <f>((EW245*1.15))</f>
        <v>140.95549999999997</v>
      </c>
      <c r="AI245" s="2">
        <f>((EX245*1.25))</f>
        <v>0</v>
      </c>
      <c r="AJ245" s="2">
        <f t="shared" si="164"/>
        <v>0</v>
      </c>
      <c r="AK245" s="2">
        <v>7579.75</v>
      </c>
      <c r="AL245" s="2">
        <v>5869.93</v>
      </c>
      <c r="AM245" s="2">
        <v>282.74</v>
      </c>
      <c r="AN245" s="2">
        <v>48.88</v>
      </c>
      <c r="AO245" s="2">
        <v>1427.08</v>
      </c>
      <c r="AP245" s="2">
        <v>0</v>
      </c>
      <c r="AQ245" s="2">
        <v>122.57</v>
      </c>
      <c r="AR245" s="2">
        <v>0</v>
      </c>
      <c r="AS245" s="2">
        <v>0</v>
      </c>
      <c r="AT245" s="2">
        <v>105</v>
      </c>
      <c r="AU245" s="2">
        <v>70</v>
      </c>
      <c r="AV245" s="2">
        <v>1</v>
      </c>
      <c r="AW245" s="2">
        <v>1</v>
      </c>
      <c r="AX245" s="2"/>
      <c r="AY245" s="2"/>
      <c r="AZ245" s="2">
        <v>1</v>
      </c>
      <c r="BA245" s="2">
        <v>1</v>
      </c>
      <c r="BB245" s="2">
        <v>1</v>
      </c>
      <c r="BC245" s="2">
        <v>1</v>
      </c>
      <c r="BD245" s="2" t="s">
        <v>3</v>
      </c>
      <c r="BE245" s="2" t="s">
        <v>3</v>
      </c>
      <c r="BF245" s="2" t="s">
        <v>3</v>
      </c>
      <c r="BG245" s="2" t="s">
        <v>3</v>
      </c>
      <c r="BH245" s="2">
        <v>0</v>
      </c>
      <c r="BI245" s="2">
        <v>1</v>
      </c>
      <c r="BJ245" s="2" t="s">
        <v>265</v>
      </c>
      <c r="BK245" s="2"/>
      <c r="BL245" s="2"/>
      <c r="BM245" s="2">
        <v>1150</v>
      </c>
      <c r="BN245" s="2">
        <v>0</v>
      </c>
      <c r="BO245" s="2" t="s">
        <v>3</v>
      </c>
      <c r="BP245" s="2">
        <v>0</v>
      </c>
      <c r="BQ245" s="2">
        <v>30</v>
      </c>
      <c r="BR245" s="2">
        <v>0</v>
      </c>
      <c r="BS245" s="2">
        <v>1</v>
      </c>
      <c r="BT245" s="2">
        <v>1</v>
      </c>
      <c r="BU245" s="2">
        <v>1</v>
      </c>
      <c r="BV245" s="2">
        <v>1</v>
      </c>
      <c r="BW245" s="2">
        <v>1</v>
      </c>
      <c r="BX245" s="2">
        <v>1</v>
      </c>
      <c r="BY245" s="2" t="s">
        <v>3</v>
      </c>
      <c r="BZ245" s="2">
        <v>105</v>
      </c>
      <c r="CA245" s="2">
        <v>70</v>
      </c>
      <c r="CB245" s="2" t="s">
        <v>3</v>
      </c>
      <c r="CC245" s="2"/>
      <c r="CD245" s="2"/>
      <c r="CE245" s="2">
        <v>30</v>
      </c>
      <c r="CF245" s="2">
        <v>0</v>
      </c>
      <c r="CG245" s="2">
        <v>0</v>
      </c>
      <c r="CH245" s="2"/>
      <c r="CI245" s="2"/>
      <c r="CJ245" s="2"/>
      <c r="CK245" s="2"/>
      <c r="CL245" s="2"/>
      <c r="CM245" s="2">
        <v>0</v>
      </c>
      <c r="CN245" s="2" t="s">
        <v>1559</v>
      </c>
      <c r="CO245" s="2">
        <v>0</v>
      </c>
      <c r="CP245" s="2">
        <f t="shared" si="165"/>
        <v>313.79000000000002</v>
      </c>
      <c r="CQ245" s="2">
        <f t="shared" si="166"/>
        <v>5869.93</v>
      </c>
      <c r="CR245" s="2">
        <f>(ROUND((ROUND((((ET245*1.25))*AV245*1),2)*BB245),2)+ROUND((ROUND(((AE245-((EU245*1.25)))*AV245*1),2)*BS245),2))</f>
        <v>353.43</v>
      </c>
      <c r="CS245" s="2">
        <f t="shared" si="167"/>
        <v>61.1</v>
      </c>
      <c r="CT245" s="2">
        <f t="shared" si="168"/>
        <v>1641.14</v>
      </c>
      <c r="CU245" s="2">
        <f t="shared" si="169"/>
        <v>0</v>
      </c>
      <c r="CV245" s="2">
        <f t="shared" si="170"/>
        <v>140.95549999999997</v>
      </c>
      <c r="CW245" s="2">
        <f t="shared" si="171"/>
        <v>0</v>
      </c>
      <c r="CX245" s="2">
        <f t="shared" si="172"/>
        <v>0</v>
      </c>
      <c r="CY245" s="2">
        <f>((S245*BZ245)/100)</f>
        <v>68.754000000000005</v>
      </c>
      <c r="CZ245" s="2">
        <f>((S245*CA245)/100)</f>
        <v>45.836000000000006</v>
      </c>
      <c r="DA245" s="2"/>
      <c r="DB245" s="2"/>
      <c r="DC245" s="2" t="s">
        <v>3</v>
      </c>
      <c r="DD245" s="2" t="s">
        <v>3</v>
      </c>
      <c r="DE245" s="2" t="s">
        <v>86</v>
      </c>
      <c r="DF245" s="2" t="s">
        <v>86</v>
      </c>
      <c r="DG245" s="2" t="s">
        <v>87</v>
      </c>
      <c r="DH245" s="2" t="s">
        <v>3</v>
      </c>
      <c r="DI245" s="2" t="s">
        <v>87</v>
      </c>
      <c r="DJ245" s="2" t="s">
        <v>86</v>
      </c>
      <c r="DK245" s="2" t="s">
        <v>3</v>
      </c>
      <c r="DL245" s="2" t="s">
        <v>3</v>
      </c>
      <c r="DM245" s="2" t="s">
        <v>3</v>
      </c>
      <c r="DN245" s="2">
        <v>0</v>
      </c>
      <c r="DO245" s="2">
        <v>0</v>
      </c>
      <c r="DP245" s="2">
        <v>1</v>
      </c>
      <c r="DQ245" s="2">
        <v>1</v>
      </c>
      <c r="DR245" s="2"/>
      <c r="DS245" s="2"/>
      <c r="DT245" s="2"/>
      <c r="DU245" s="2">
        <v>1005</v>
      </c>
      <c r="DV245" s="2" t="s">
        <v>148</v>
      </c>
      <c r="DW245" s="2" t="s">
        <v>148</v>
      </c>
      <c r="DX245" s="2">
        <v>100</v>
      </c>
      <c r="DY245" s="2"/>
      <c r="DZ245" s="2" t="s">
        <v>3</v>
      </c>
      <c r="EA245" s="2" t="s">
        <v>3</v>
      </c>
      <c r="EB245" s="2" t="s">
        <v>3</v>
      </c>
      <c r="EC245" s="2" t="s">
        <v>3</v>
      </c>
      <c r="ED245" s="2"/>
      <c r="EE245" s="2">
        <v>126052611</v>
      </c>
      <c r="EF245" s="2">
        <v>30</v>
      </c>
      <c r="EG245" s="2" t="s">
        <v>23</v>
      </c>
      <c r="EH245" s="2">
        <v>0</v>
      </c>
      <c r="EI245" s="2" t="s">
        <v>3</v>
      </c>
      <c r="EJ245" s="2">
        <v>1</v>
      </c>
      <c r="EK245" s="2">
        <v>1150</v>
      </c>
      <c r="EL245" s="2" t="s">
        <v>266</v>
      </c>
      <c r="EM245" s="2" t="s">
        <v>267</v>
      </c>
      <c r="EN245" s="2"/>
      <c r="EO245" s="2" t="s">
        <v>90</v>
      </c>
      <c r="EP245" s="2"/>
      <c r="EQ245" s="2">
        <v>131072</v>
      </c>
      <c r="ER245" s="2">
        <v>7579.75</v>
      </c>
      <c r="ES245" s="2">
        <v>5869.93</v>
      </c>
      <c r="ET245" s="2">
        <v>282.74</v>
      </c>
      <c r="EU245" s="2">
        <v>48.88</v>
      </c>
      <c r="EV245" s="2">
        <v>1427.08</v>
      </c>
      <c r="EW245" s="2">
        <v>122.57</v>
      </c>
      <c r="EX245" s="2">
        <v>0</v>
      </c>
      <c r="EY245" s="2">
        <v>0</v>
      </c>
      <c r="EZ245" s="2"/>
      <c r="FA245" s="2"/>
      <c r="FB245" s="2"/>
      <c r="FC245" s="2"/>
      <c r="FD245" s="2"/>
      <c r="FE245" s="2"/>
      <c r="FF245" s="2"/>
      <c r="FG245" s="2"/>
      <c r="FH245" s="2"/>
      <c r="FI245" s="2"/>
      <c r="FJ245" s="2"/>
      <c r="FK245" s="2"/>
      <c r="FL245" s="2"/>
      <c r="FM245" s="2"/>
      <c r="FN245" s="2"/>
      <c r="FO245" s="2"/>
      <c r="FP245" s="2"/>
      <c r="FQ245" s="2">
        <v>0</v>
      </c>
      <c r="FR245" s="2">
        <f t="shared" si="173"/>
        <v>0</v>
      </c>
      <c r="FS245" s="2">
        <v>0</v>
      </c>
      <c r="FT245" s="2"/>
      <c r="FU245" s="2"/>
      <c r="FV245" s="2"/>
      <c r="FW245" s="2"/>
      <c r="FX245" s="2">
        <v>105</v>
      </c>
      <c r="FY245" s="2">
        <v>70</v>
      </c>
      <c r="FZ245" s="2"/>
      <c r="GA245" s="2" t="s">
        <v>3</v>
      </c>
      <c r="GB245" s="2"/>
      <c r="GC245" s="2"/>
      <c r="GD245" s="2">
        <v>0</v>
      </c>
      <c r="GE245" s="2"/>
      <c r="GF245" s="2">
        <v>-1186981022</v>
      </c>
      <c r="GG245" s="2">
        <v>2</v>
      </c>
      <c r="GH245" s="2">
        <v>1</v>
      </c>
      <c r="GI245" s="2">
        <v>-2</v>
      </c>
      <c r="GJ245" s="2">
        <v>0</v>
      </c>
      <c r="GK245" s="2">
        <f>ROUND(R245*(R12)/100,2)</f>
        <v>4.2699999999999996</v>
      </c>
      <c r="GL245" s="2">
        <f t="shared" si="174"/>
        <v>0</v>
      </c>
      <c r="GM245" s="2">
        <f t="shared" si="175"/>
        <v>432.65</v>
      </c>
      <c r="GN245" s="2">
        <f t="shared" si="176"/>
        <v>432.65</v>
      </c>
      <c r="GO245" s="2">
        <f t="shared" si="177"/>
        <v>0</v>
      </c>
      <c r="GP245" s="2">
        <f t="shared" si="178"/>
        <v>0</v>
      </c>
      <c r="GQ245" s="2"/>
      <c r="GR245" s="2">
        <v>0</v>
      </c>
      <c r="GS245" s="2">
        <v>0</v>
      </c>
      <c r="GT245" s="2">
        <v>0</v>
      </c>
      <c r="GU245" s="2" t="s">
        <v>3</v>
      </c>
      <c r="GV245" s="2">
        <f t="shared" si="179"/>
        <v>0</v>
      </c>
      <c r="GW245" s="2">
        <v>1</v>
      </c>
      <c r="GX245" s="2">
        <f t="shared" si="180"/>
        <v>0</v>
      </c>
      <c r="GY245" s="2"/>
      <c r="GZ245" s="2"/>
      <c r="HA245" s="2">
        <v>0</v>
      </c>
      <c r="HB245" s="2">
        <v>0</v>
      </c>
      <c r="HC245" s="2">
        <f t="shared" si="181"/>
        <v>0</v>
      </c>
      <c r="HD245" s="2"/>
      <c r="HE245" s="2" t="s">
        <v>3</v>
      </c>
      <c r="HF245" s="2" t="s">
        <v>3</v>
      </c>
      <c r="HG245" s="2"/>
      <c r="HH245" s="2"/>
      <c r="HI245" s="2"/>
      <c r="HJ245" s="2"/>
      <c r="HK245" s="2"/>
      <c r="HL245" s="2"/>
      <c r="HM245" s="2" t="s">
        <v>3</v>
      </c>
      <c r="HN245" s="2" t="s">
        <v>3</v>
      </c>
      <c r="HO245" s="2" t="s">
        <v>3</v>
      </c>
      <c r="HP245" s="2" t="s">
        <v>3</v>
      </c>
      <c r="HQ245" s="2" t="s">
        <v>3</v>
      </c>
      <c r="HR245" s="2"/>
      <c r="HS245" s="2"/>
      <c r="HT245" s="2"/>
      <c r="HU245" s="2"/>
      <c r="HV245" s="2"/>
      <c r="HW245" s="2"/>
      <c r="HX245" s="2"/>
      <c r="HY245" s="2"/>
      <c r="HZ245" s="2"/>
      <c r="IA245" s="2"/>
      <c r="IB245" s="2"/>
      <c r="IC245" s="2"/>
      <c r="ID245" s="2"/>
      <c r="IE245" s="2"/>
      <c r="IF245" s="2"/>
      <c r="IG245" s="2"/>
      <c r="IH245" s="2"/>
      <c r="II245" s="2"/>
      <c r="IJ245" s="2"/>
      <c r="IK245" s="2">
        <v>0</v>
      </c>
      <c r="IL245" s="2"/>
      <c r="IM245" s="2"/>
      <c r="IN245" s="2"/>
      <c r="IO245" s="2"/>
      <c r="IP245" s="2"/>
      <c r="IQ245" s="2"/>
      <c r="IR245" s="2"/>
      <c r="IS245" s="2"/>
      <c r="IT245" s="2"/>
      <c r="IU245" s="2"/>
    </row>
    <row r="246" spans="1:255" x14ac:dyDescent="0.2">
      <c r="A246">
        <v>17</v>
      </c>
      <c r="B246">
        <v>1</v>
      </c>
      <c r="C246">
        <f>ROW(SmtRes!A208)</f>
        <v>208</v>
      </c>
      <c r="D246">
        <f>ROW(EtalonRes!A214)</f>
        <v>214</v>
      </c>
      <c r="E246" t="s">
        <v>262</v>
      </c>
      <c r="F246" t="s">
        <v>263</v>
      </c>
      <c r="G246" t="s">
        <v>264</v>
      </c>
      <c r="H246" t="s">
        <v>148</v>
      </c>
      <c r="I246">
        <v>3.9899999999999998E-2</v>
      </c>
      <c r="J246">
        <v>0</v>
      </c>
      <c r="K246">
        <v>3.9899999999999998E-2</v>
      </c>
      <c r="O246">
        <f t="shared" si="149"/>
        <v>2754.68</v>
      </c>
      <c r="P246">
        <f t="shared" si="150"/>
        <v>695.6</v>
      </c>
      <c r="Q246">
        <f>(ROUND((ROUND((((ET246*1.25))*AV246*I246),2)*BB246),2)+ROUND((ROUND(((AE246-((EU246*1.25)))*AV246*I246),2)*BS246),2))</f>
        <v>158.19999999999999</v>
      </c>
      <c r="R246">
        <f t="shared" si="151"/>
        <v>70.83</v>
      </c>
      <c r="S246">
        <f t="shared" si="152"/>
        <v>1900.88</v>
      </c>
      <c r="T246">
        <f t="shared" si="153"/>
        <v>0</v>
      </c>
      <c r="U246">
        <f t="shared" si="154"/>
        <v>5.6241244499999983</v>
      </c>
      <c r="V246">
        <f t="shared" si="155"/>
        <v>0</v>
      </c>
      <c r="W246">
        <f t="shared" si="156"/>
        <v>0</v>
      </c>
      <c r="X246">
        <f t="shared" si="157"/>
        <v>1653.77</v>
      </c>
      <c r="Y246">
        <f t="shared" si="158"/>
        <v>779.36</v>
      </c>
      <c r="AA246">
        <v>129761633</v>
      </c>
      <c r="AB246">
        <f t="shared" si="159"/>
        <v>7864.4970000000003</v>
      </c>
      <c r="AC246">
        <f t="shared" si="160"/>
        <v>5869.93</v>
      </c>
      <c r="AD246">
        <f>ROUND(((((ET246*1.25))-((EU246*1.25)))+AE246),6)</f>
        <v>353.42500000000001</v>
      </c>
      <c r="AE246">
        <f>ROUND(((EU246*1.25)),6)</f>
        <v>61.1</v>
      </c>
      <c r="AF246">
        <f>ROUND(((EV246*1.15)),6)</f>
        <v>1641.1420000000001</v>
      </c>
      <c r="AG246">
        <f t="shared" si="162"/>
        <v>0</v>
      </c>
      <c r="AH246">
        <f>((EW246*1.15))</f>
        <v>140.95549999999997</v>
      </c>
      <c r="AI246">
        <f>((EX246*1.25))</f>
        <v>0</v>
      </c>
      <c r="AJ246">
        <f t="shared" si="164"/>
        <v>0</v>
      </c>
      <c r="AK246">
        <v>7579.75</v>
      </c>
      <c r="AL246">
        <v>5869.93</v>
      </c>
      <c r="AM246">
        <v>282.74</v>
      </c>
      <c r="AN246">
        <v>48.88</v>
      </c>
      <c r="AO246">
        <v>1427.08</v>
      </c>
      <c r="AP246">
        <v>0</v>
      </c>
      <c r="AQ246">
        <v>122.57</v>
      </c>
      <c r="AR246">
        <v>0</v>
      </c>
      <c r="AS246">
        <v>0</v>
      </c>
      <c r="AT246">
        <v>87</v>
      </c>
      <c r="AU246">
        <v>41</v>
      </c>
      <c r="AV246">
        <v>1</v>
      </c>
      <c r="AW246">
        <v>1</v>
      </c>
      <c r="AZ246">
        <v>1</v>
      </c>
      <c r="BA246">
        <v>29.03</v>
      </c>
      <c r="BB246">
        <v>11.22</v>
      </c>
      <c r="BC246">
        <v>2.97</v>
      </c>
      <c r="BD246" t="s">
        <v>3</v>
      </c>
      <c r="BE246" t="s">
        <v>3</v>
      </c>
      <c r="BF246" t="s">
        <v>3</v>
      </c>
      <c r="BG246" t="s">
        <v>3</v>
      </c>
      <c r="BH246">
        <v>0</v>
      </c>
      <c r="BI246">
        <v>1</v>
      </c>
      <c r="BJ246" t="s">
        <v>265</v>
      </c>
      <c r="BM246">
        <v>1150</v>
      </c>
      <c r="BN246">
        <v>0</v>
      </c>
      <c r="BO246" t="s">
        <v>263</v>
      </c>
      <c r="BP246">
        <v>1</v>
      </c>
      <c r="BQ246">
        <v>30</v>
      </c>
      <c r="BR246">
        <v>0</v>
      </c>
      <c r="BS246">
        <v>29.03</v>
      </c>
      <c r="BT246">
        <v>1</v>
      </c>
      <c r="BU246">
        <v>1</v>
      </c>
      <c r="BV246">
        <v>1</v>
      </c>
      <c r="BW246">
        <v>1</v>
      </c>
      <c r="BX246">
        <v>1</v>
      </c>
      <c r="BY246" t="s">
        <v>3</v>
      </c>
      <c r="BZ246">
        <v>87</v>
      </c>
      <c r="CA246">
        <v>41</v>
      </c>
      <c r="CB246" t="s">
        <v>3</v>
      </c>
      <c r="CE246">
        <v>30</v>
      </c>
      <c r="CF246">
        <v>0</v>
      </c>
      <c r="CG246">
        <v>0</v>
      </c>
      <c r="CM246">
        <v>0</v>
      </c>
      <c r="CN246" t="s">
        <v>1559</v>
      </c>
      <c r="CO246">
        <v>0</v>
      </c>
      <c r="CP246">
        <f t="shared" si="165"/>
        <v>2754.6800000000003</v>
      </c>
      <c r="CQ246">
        <f t="shared" si="166"/>
        <v>17433.689999999999</v>
      </c>
      <c r="CR246">
        <f>(ROUND((ROUND((((ET246*1.25))*AV246*1),2)*BB246),2)+ROUND((ROUND(((AE246-((EU246*1.25)))*AV246*1),2)*BS246),2))</f>
        <v>3965.48</v>
      </c>
      <c r="CS246">
        <f t="shared" si="167"/>
        <v>1773.73</v>
      </c>
      <c r="CT246">
        <f t="shared" si="168"/>
        <v>47642.29</v>
      </c>
      <c r="CU246">
        <f t="shared" si="169"/>
        <v>0</v>
      </c>
      <c r="CV246">
        <f t="shared" si="170"/>
        <v>140.95549999999997</v>
      </c>
      <c r="CW246">
        <f t="shared" si="171"/>
        <v>0</v>
      </c>
      <c r="CX246">
        <f t="shared" si="172"/>
        <v>0</v>
      </c>
      <c r="CY246">
        <f>S246*(BZ246/100)</f>
        <v>1653.7656000000002</v>
      </c>
      <c r="CZ246">
        <f>S246*(CA246/100)</f>
        <v>779.36080000000004</v>
      </c>
      <c r="DC246" t="s">
        <v>3</v>
      </c>
      <c r="DD246" t="s">
        <v>3</v>
      </c>
      <c r="DE246" t="s">
        <v>86</v>
      </c>
      <c r="DF246" t="s">
        <v>86</v>
      </c>
      <c r="DG246" t="s">
        <v>87</v>
      </c>
      <c r="DH246" t="s">
        <v>3</v>
      </c>
      <c r="DI246" t="s">
        <v>87</v>
      </c>
      <c r="DJ246" t="s">
        <v>86</v>
      </c>
      <c r="DK246" t="s">
        <v>3</v>
      </c>
      <c r="DL246" t="s">
        <v>3</v>
      </c>
      <c r="DM246" t="s">
        <v>3</v>
      </c>
      <c r="DN246">
        <v>105</v>
      </c>
      <c r="DO246">
        <v>70</v>
      </c>
      <c r="DP246">
        <v>1</v>
      </c>
      <c r="DQ246">
        <v>1</v>
      </c>
      <c r="DU246">
        <v>1005</v>
      </c>
      <c r="DV246" t="s">
        <v>148</v>
      </c>
      <c r="DW246" t="s">
        <v>148</v>
      </c>
      <c r="DX246">
        <v>100</v>
      </c>
      <c r="DZ246" t="s">
        <v>3</v>
      </c>
      <c r="EA246" t="s">
        <v>3</v>
      </c>
      <c r="EB246" t="s">
        <v>3</v>
      </c>
      <c r="EC246" t="s">
        <v>3</v>
      </c>
      <c r="EE246">
        <v>126052611</v>
      </c>
      <c r="EF246">
        <v>30</v>
      </c>
      <c r="EG246" t="s">
        <v>23</v>
      </c>
      <c r="EH246">
        <v>0</v>
      </c>
      <c r="EI246" t="s">
        <v>3</v>
      </c>
      <c r="EJ246">
        <v>1</v>
      </c>
      <c r="EK246">
        <v>1150</v>
      </c>
      <c r="EL246" t="s">
        <v>266</v>
      </c>
      <c r="EM246" t="s">
        <v>267</v>
      </c>
      <c r="EO246" t="s">
        <v>90</v>
      </c>
      <c r="EQ246">
        <v>131072</v>
      </c>
      <c r="ER246">
        <v>7579.75</v>
      </c>
      <c r="ES246">
        <v>5869.93</v>
      </c>
      <c r="ET246">
        <v>282.74</v>
      </c>
      <c r="EU246">
        <v>48.88</v>
      </c>
      <c r="EV246">
        <v>1427.08</v>
      </c>
      <c r="EW246">
        <v>122.57</v>
      </c>
      <c r="EX246">
        <v>0</v>
      </c>
      <c r="EY246">
        <v>0</v>
      </c>
      <c r="FQ246">
        <v>0</v>
      </c>
      <c r="FR246">
        <f t="shared" si="173"/>
        <v>0</v>
      </c>
      <c r="FS246">
        <v>0</v>
      </c>
      <c r="FX246">
        <v>105</v>
      </c>
      <c r="FY246">
        <v>70</v>
      </c>
      <c r="GA246" t="s">
        <v>3</v>
      </c>
      <c r="GD246">
        <v>0</v>
      </c>
      <c r="GF246">
        <v>-1186981022</v>
      </c>
      <c r="GG246">
        <v>2</v>
      </c>
      <c r="GH246">
        <v>1</v>
      </c>
      <c r="GI246">
        <v>2</v>
      </c>
      <c r="GJ246">
        <v>0</v>
      </c>
      <c r="GK246">
        <f>ROUND(R246*(S12)/100,2)</f>
        <v>113.33</v>
      </c>
      <c r="GL246">
        <f t="shared" si="174"/>
        <v>0</v>
      </c>
      <c r="GM246">
        <f t="shared" si="175"/>
        <v>5301.14</v>
      </c>
      <c r="GN246">
        <f t="shared" si="176"/>
        <v>5301.14</v>
      </c>
      <c r="GO246">
        <f t="shared" si="177"/>
        <v>0</v>
      </c>
      <c r="GP246">
        <f t="shared" si="178"/>
        <v>0</v>
      </c>
      <c r="GR246">
        <v>0</v>
      </c>
      <c r="GS246">
        <v>3</v>
      </c>
      <c r="GT246">
        <v>0</v>
      </c>
      <c r="GU246" t="s">
        <v>3</v>
      </c>
      <c r="GV246">
        <f t="shared" si="179"/>
        <v>0</v>
      </c>
      <c r="GW246">
        <v>1</v>
      </c>
      <c r="GX246">
        <f t="shared" si="180"/>
        <v>0</v>
      </c>
      <c r="HA246">
        <v>0</v>
      </c>
      <c r="HB246">
        <v>0</v>
      </c>
      <c r="HC246">
        <f t="shared" si="181"/>
        <v>0</v>
      </c>
      <c r="HE246" t="s">
        <v>3</v>
      </c>
      <c r="HF246" t="s">
        <v>3</v>
      </c>
      <c r="HM246" t="s">
        <v>3</v>
      </c>
      <c r="HN246" t="s">
        <v>3</v>
      </c>
      <c r="HO246" t="s">
        <v>3</v>
      </c>
      <c r="HP246" t="s">
        <v>3</v>
      </c>
      <c r="HQ246" t="s">
        <v>3</v>
      </c>
      <c r="IK246">
        <v>0</v>
      </c>
    </row>
    <row r="247" spans="1:255" x14ac:dyDescent="0.2">
      <c r="A247" s="2">
        <v>18</v>
      </c>
      <c r="B247" s="2">
        <v>1</v>
      </c>
      <c r="C247" s="2">
        <v>196</v>
      </c>
      <c r="D247" s="2"/>
      <c r="E247" s="2" t="s">
        <v>268</v>
      </c>
      <c r="F247" s="2" t="s">
        <v>269</v>
      </c>
      <c r="G247" s="2" t="s">
        <v>1561</v>
      </c>
      <c r="H247" s="2" t="s">
        <v>270</v>
      </c>
      <c r="I247" s="2">
        <f>I245*J247</f>
        <v>8.6981999999999999</v>
      </c>
      <c r="J247" s="2">
        <v>218</v>
      </c>
      <c r="K247" s="2">
        <v>218</v>
      </c>
      <c r="L247" s="2"/>
      <c r="M247" s="2"/>
      <c r="N247" s="2"/>
      <c r="O247" s="2">
        <f t="shared" si="149"/>
        <v>113.6</v>
      </c>
      <c r="P247" s="2">
        <f t="shared" si="150"/>
        <v>113.6</v>
      </c>
      <c r="Q247" s="2">
        <f t="shared" ref="Q247:Q252" si="187">(ROUND((ROUND(((ET247)*AV247*I247),2)*BB247),2)+ROUND((ROUND(((AE247-(EU247))*AV247*I247),2)*BS247),2))</f>
        <v>0</v>
      </c>
      <c r="R247" s="2">
        <f t="shared" si="151"/>
        <v>0</v>
      </c>
      <c r="S247" s="2">
        <f t="shared" si="152"/>
        <v>0</v>
      </c>
      <c r="T247" s="2">
        <f t="shared" si="153"/>
        <v>0</v>
      </c>
      <c r="U247" s="2">
        <f t="shared" si="154"/>
        <v>0</v>
      </c>
      <c r="V247" s="2">
        <f t="shared" si="155"/>
        <v>0</v>
      </c>
      <c r="W247" s="2">
        <f t="shared" si="156"/>
        <v>0</v>
      </c>
      <c r="X247" s="2">
        <f t="shared" si="157"/>
        <v>0</v>
      </c>
      <c r="Y247" s="2">
        <f t="shared" si="158"/>
        <v>0</v>
      </c>
      <c r="Z247" s="2"/>
      <c r="AA247" s="2">
        <v>129761636</v>
      </c>
      <c r="AB247" s="2">
        <f t="shared" si="159"/>
        <v>13.06</v>
      </c>
      <c r="AC247" s="2">
        <f t="shared" si="160"/>
        <v>13.06</v>
      </c>
      <c r="AD247" s="2">
        <f t="shared" ref="AD247:AD252" si="188">ROUND((((ET247)-(EU247))+AE247),6)</f>
        <v>0</v>
      </c>
      <c r="AE247" s="2">
        <f t="shared" ref="AE247:AF252" si="189">ROUND((EU247),6)</f>
        <v>0</v>
      </c>
      <c r="AF247" s="2">
        <f t="shared" si="189"/>
        <v>0</v>
      </c>
      <c r="AG247" s="2">
        <f t="shared" si="162"/>
        <v>0</v>
      </c>
      <c r="AH247" s="2">
        <f t="shared" ref="AH247:AI252" si="190">(EW247)</f>
        <v>0</v>
      </c>
      <c r="AI247" s="2">
        <f t="shared" si="190"/>
        <v>0</v>
      </c>
      <c r="AJ247" s="2">
        <f t="shared" si="164"/>
        <v>0</v>
      </c>
      <c r="AK247" s="2">
        <v>13.06</v>
      </c>
      <c r="AL247" s="2">
        <v>13.06</v>
      </c>
      <c r="AM247" s="2">
        <v>0</v>
      </c>
      <c r="AN247" s="2">
        <v>0</v>
      </c>
      <c r="AO247" s="2">
        <v>0</v>
      </c>
      <c r="AP247" s="2">
        <v>0</v>
      </c>
      <c r="AQ247" s="2">
        <v>0</v>
      </c>
      <c r="AR247" s="2">
        <v>0</v>
      </c>
      <c r="AS247" s="2">
        <v>0</v>
      </c>
      <c r="AT247" s="2">
        <v>105</v>
      </c>
      <c r="AU247" s="2">
        <v>70</v>
      </c>
      <c r="AV247" s="2">
        <v>1</v>
      </c>
      <c r="AW247" s="2">
        <v>1</v>
      </c>
      <c r="AX247" s="2"/>
      <c r="AY247" s="2"/>
      <c r="AZ247" s="2">
        <v>1</v>
      </c>
      <c r="BA247" s="2">
        <v>1</v>
      </c>
      <c r="BB247" s="2">
        <v>1</v>
      </c>
      <c r="BC247" s="2">
        <v>1</v>
      </c>
      <c r="BD247" s="2" t="s">
        <v>3</v>
      </c>
      <c r="BE247" s="2" t="s">
        <v>3</v>
      </c>
      <c r="BF247" s="2" t="s">
        <v>3</v>
      </c>
      <c r="BG247" s="2" t="s">
        <v>3</v>
      </c>
      <c r="BH247" s="2">
        <v>3</v>
      </c>
      <c r="BI247" s="2">
        <v>1</v>
      </c>
      <c r="BJ247" s="2" t="s">
        <v>271</v>
      </c>
      <c r="BK247" s="2"/>
      <c r="BL247" s="2"/>
      <c r="BM247" s="2">
        <v>1150</v>
      </c>
      <c r="BN247" s="2">
        <v>0</v>
      </c>
      <c r="BO247" s="2" t="s">
        <v>3</v>
      </c>
      <c r="BP247" s="2">
        <v>0</v>
      </c>
      <c r="BQ247" s="2">
        <v>30</v>
      </c>
      <c r="BR247" s="2">
        <v>0</v>
      </c>
      <c r="BS247" s="2">
        <v>1</v>
      </c>
      <c r="BT247" s="2">
        <v>1</v>
      </c>
      <c r="BU247" s="2">
        <v>1</v>
      </c>
      <c r="BV247" s="2">
        <v>1</v>
      </c>
      <c r="BW247" s="2">
        <v>1</v>
      </c>
      <c r="BX247" s="2">
        <v>1</v>
      </c>
      <c r="BY247" s="2" t="s">
        <v>3</v>
      </c>
      <c r="BZ247" s="2">
        <v>105</v>
      </c>
      <c r="CA247" s="2">
        <v>70</v>
      </c>
      <c r="CB247" s="2" t="s">
        <v>3</v>
      </c>
      <c r="CC247" s="2"/>
      <c r="CD247" s="2"/>
      <c r="CE247" s="2">
        <v>30</v>
      </c>
      <c r="CF247" s="2">
        <v>0</v>
      </c>
      <c r="CG247" s="2">
        <v>0</v>
      </c>
      <c r="CH247" s="2"/>
      <c r="CI247" s="2"/>
      <c r="CJ247" s="2"/>
      <c r="CK247" s="2"/>
      <c r="CL247" s="2"/>
      <c r="CM247" s="2">
        <v>0</v>
      </c>
      <c r="CN247" s="2" t="s">
        <v>3</v>
      </c>
      <c r="CO247" s="2">
        <v>0</v>
      </c>
      <c r="CP247" s="2">
        <f t="shared" si="165"/>
        <v>113.6</v>
      </c>
      <c r="CQ247" s="2">
        <f t="shared" si="166"/>
        <v>13.06</v>
      </c>
      <c r="CR247" s="2">
        <f t="shared" ref="CR247:CR252" si="191">(ROUND((ROUND(((ET247)*AV247*1),2)*BB247),2)+ROUND((ROUND(((AE247-(EU247))*AV247*1),2)*BS247),2))</f>
        <v>0</v>
      </c>
      <c r="CS247" s="2">
        <f t="shared" si="167"/>
        <v>0</v>
      </c>
      <c r="CT247" s="2">
        <f t="shared" si="168"/>
        <v>0</v>
      </c>
      <c r="CU247" s="2">
        <f t="shared" si="169"/>
        <v>0</v>
      </c>
      <c r="CV247" s="2">
        <f t="shared" si="170"/>
        <v>0</v>
      </c>
      <c r="CW247" s="2">
        <f t="shared" si="171"/>
        <v>0</v>
      </c>
      <c r="CX247" s="2">
        <f t="shared" si="172"/>
        <v>0</v>
      </c>
      <c r="CY247" s="2">
        <f>((S247*BZ247)/100)</f>
        <v>0</v>
      </c>
      <c r="CZ247" s="2">
        <f>((S247*CA247)/100)</f>
        <v>0</v>
      </c>
      <c r="DA247" s="2"/>
      <c r="DB247" s="2"/>
      <c r="DC247" s="2" t="s">
        <v>3</v>
      </c>
      <c r="DD247" s="2" t="s">
        <v>3</v>
      </c>
      <c r="DE247" s="2" t="s">
        <v>3</v>
      </c>
      <c r="DF247" s="2" t="s">
        <v>3</v>
      </c>
      <c r="DG247" s="2" t="s">
        <v>3</v>
      </c>
      <c r="DH247" s="2" t="s">
        <v>3</v>
      </c>
      <c r="DI247" s="2" t="s">
        <v>3</v>
      </c>
      <c r="DJ247" s="2" t="s">
        <v>3</v>
      </c>
      <c r="DK247" s="2" t="s">
        <v>3</v>
      </c>
      <c r="DL247" s="2" t="s">
        <v>3</v>
      </c>
      <c r="DM247" s="2" t="s">
        <v>3</v>
      </c>
      <c r="DN247" s="2">
        <v>0</v>
      </c>
      <c r="DO247" s="2">
        <v>0</v>
      </c>
      <c r="DP247" s="2">
        <v>1</v>
      </c>
      <c r="DQ247" s="2">
        <v>1</v>
      </c>
      <c r="DR247" s="2"/>
      <c r="DS247" s="2"/>
      <c r="DT247" s="2"/>
      <c r="DU247" s="2">
        <v>1003</v>
      </c>
      <c r="DV247" s="2" t="s">
        <v>270</v>
      </c>
      <c r="DW247" s="2" t="s">
        <v>270</v>
      </c>
      <c r="DX247" s="2">
        <v>1</v>
      </c>
      <c r="DY247" s="2"/>
      <c r="DZ247" s="2" t="s">
        <v>3</v>
      </c>
      <c r="EA247" s="2" t="s">
        <v>3</v>
      </c>
      <c r="EB247" s="2" t="s">
        <v>3</v>
      </c>
      <c r="EC247" s="2" t="s">
        <v>3</v>
      </c>
      <c r="ED247" s="2"/>
      <c r="EE247" s="2">
        <v>126052611</v>
      </c>
      <c r="EF247" s="2">
        <v>30</v>
      </c>
      <c r="EG247" s="2" t="s">
        <v>23</v>
      </c>
      <c r="EH247" s="2">
        <v>0</v>
      </c>
      <c r="EI247" s="2" t="s">
        <v>3</v>
      </c>
      <c r="EJ247" s="2">
        <v>1</v>
      </c>
      <c r="EK247" s="2">
        <v>1150</v>
      </c>
      <c r="EL247" s="2" t="s">
        <v>266</v>
      </c>
      <c r="EM247" s="2" t="s">
        <v>267</v>
      </c>
      <c r="EN247" s="2"/>
      <c r="EO247" s="2" t="s">
        <v>3</v>
      </c>
      <c r="EP247" s="2"/>
      <c r="EQ247" s="2">
        <v>0</v>
      </c>
      <c r="ER247" s="2">
        <v>13.06</v>
      </c>
      <c r="ES247" s="2">
        <v>13.06</v>
      </c>
      <c r="ET247" s="2">
        <v>0</v>
      </c>
      <c r="EU247" s="2">
        <v>0</v>
      </c>
      <c r="EV247" s="2">
        <v>0</v>
      </c>
      <c r="EW247" s="2">
        <v>0</v>
      </c>
      <c r="EX247" s="2">
        <v>0</v>
      </c>
      <c r="EY247" s="2"/>
      <c r="EZ247" s="2"/>
      <c r="FA247" s="2"/>
      <c r="FB247" s="2"/>
      <c r="FC247" s="2"/>
      <c r="FD247" s="2"/>
      <c r="FE247" s="2"/>
      <c r="FF247" s="2"/>
      <c r="FG247" s="2"/>
      <c r="FH247" s="2"/>
      <c r="FI247" s="2"/>
      <c r="FJ247" s="2"/>
      <c r="FK247" s="2"/>
      <c r="FL247" s="2"/>
      <c r="FM247" s="2"/>
      <c r="FN247" s="2"/>
      <c r="FO247" s="2"/>
      <c r="FP247" s="2"/>
      <c r="FQ247" s="2">
        <v>0</v>
      </c>
      <c r="FR247" s="2">
        <f t="shared" si="173"/>
        <v>0</v>
      </c>
      <c r="FS247" s="2">
        <v>0</v>
      </c>
      <c r="FT247" s="2"/>
      <c r="FU247" s="2"/>
      <c r="FV247" s="2"/>
      <c r="FW247" s="2"/>
      <c r="FX247" s="2">
        <v>105</v>
      </c>
      <c r="FY247" s="2">
        <v>70</v>
      </c>
      <c r="FZ247" s="2"/>
      <c r="GA247" s="2" t="s">
        <v>3</v>
      </c>
      <c r="GB247" s="2"/>
      <c r="GC247" s="2"/>
      <c r="GD247" s="2">
        <v>0</v>
      </c>
      <c r="GE247" s="2"/>
      <c r="GF247" s="2">
        <v>1955688420</v>
      </c>
      <c r="GG247" s="2">
        <v>2</v>
      </c>
      <c r="GH247" s="2">
        <v>1</v>
      </c>
      <c r="GI247" s="2">
        <v>-2</v>
      </c>
      <c r="GJ247" s="2">
        <v>0</v>
      </c>
      <c r="GK247" s="2">
        <f>ROUND(R247*(R12)/100,2)</f>
        <v>0</v>
      </c>
      <c r="GL247" s="2">
        <f t="shared" si="174"/>
        <v>0</v>
      </c>
      <c r="GM247" s="2">
        <f t="shared" si="175"/>
        <v>113.6</v>
      </c>
      <c r="GN247" s="2">
        <f t="shared" si="176"/>
        <v>113.6</v>
      </c>
      <c r="GO247" s="2">
        <f t="shared" si="177"/>
        <v>0</v>
      </c>
      <c r="GP247" s="2">
        <f t="shared" si="178"/>
        <v>0</v>
      </c>
      <c r="GQ247" s="2"/>
      <c r="GR247" s="2">
        <v>0</v>
      </c>
      <c r="GS247" s="2">
        <v>0</v>
      </c>
      <c r="GT247" s="2">
        <v>0</v>
      </c>
      <c r="GU247" s="2" t="s">
        <v>3</v>
      </c>
      <c r="GV247" s="2">
        <f t="shared" si="179"/>
        <v>0</v>
      </c>
      <c r="GW247" s="2">
        <v>1</v>
      </c>
      <c r="GX247" s="2">
        <f t="shared" si="180"/>
        <v>0</v>
      </c>
      <c r="GY247" s="2"/>
      <c r="GZ247" s="2"/>
      <c r="HA247" s="2">
        <v>0</v>
      </c>
      <c r="HB247" s="2">
        <v>0</v>
      </c>
      <c r="HC247" s="2">
        <f t="shared" si="181"/>
        <v>0</v>
      </c>
      <c r="HD247" s="2"/>
      <c r="HE247" s="2" t="s">
        <v>3</v>
      </c>
      <c r="HF247" s="2" t="s">
        <v>3</v>
      </c>
      <c r="HG247" s="2"/>
      <c r="HH247" s="2"/>
      <c r="HI247" s="2"/>
      <c r="HJ247" s="2"/>
      <c r="HK247" s="2"/>
      <c r="HL247" s="2"/>
      <c r="HM247" s="2" t="s">
        <v>3</v>
      </c>
      <c r="HN247" s="2" t="s">
        <v>3</v>
      </c>
      <c r="HO247" s="2" t="s">
        <v>3</v>
      </c>
      <c r="HP247" s="2" t="s">
        <v>3</v>
      </c>
      <c r="HQ247" s="2" t="s">
        <v>3</v>
      </c>
      <c r="HR247" s="2"/>
      <c r="HS247" s="2"/>
      <c r="HT247" s="2"/>
      <c r="HU247" s="2"/>
      <c r="HV247" s="2"/>
      <c r="HW247" s="2"/>
      <c r="HX247" s="2"/>
      <c r="HY247" s="2"/>
      <c r="HZ247" s="2"/>
      <c r="IA247" s="2"/>
      <c r="IB247" s="2"/>
      <c r="IC247" s="2"/>
      <c r="ID247" s="2"/>
      <c r="IE247" s="2"/>
      <c r="IF247" s="2"/>
      <c r="IG247" s="2"/>
      <c r="IH247" s="2"/>
      <c r="II247" s="2"/>
      <c r="IJ247" s="2"/>
      <c r="IK247" s="2">
        <v>0</v>
      </c>
      <c r="IL247" s="2"/>
      <c r="IM247" s="2"/>
      <c r="IN247" s="2"/>
      <c r="IO247" s="2"/>
      <c r="IP247" s="2"/>
      <c r="IQ247" s="2"/>
      <c r="IR247" s="2"/>
      <c r="IS247" s="2"/>
      <c r="IT247" s="2"/>
      <c r="IU247" s="2"/>
    </row>
    <row r="248" spans="1:255" x14ac:dyDescent="0.2">
      <c r="A248">
        <v>18</v>
      </c>
      <c r="B248">
        <v>1</v>
      </c>
      <c r="C248">
        <v>205</v>
      </c>
      <c r="E248" t="s">
        <v>268</v>
      </c>
      <c r="F248" t="s">
        <v>269</v>
      </c>
      <c r="G248" t="s">
        <v>1561</v>
      </c>
      <c r="H248" t="s">
        <v>270</v>
      </c>
      <c r="I248">
        <f>I246*J248</f>
        <v>8.6981999999999999</v>
      </c>
      <c r="J248">
        <v>218</v>
      </c>
      <c r="K248">
        <v>218</v>
      </c>
      <c r="O248">
        <f t="shared" si="149"/>
        <v>112.46</v>
      </c>
      <c r="P248">
        <f t="shared" si="150"/>
        <v>112.46</v>
      </c>
      <c r="Q248">
        <f t="shared" si="187"/>
        <v>0</v>
      </c>
      <c r="R248">
        <f t="shared" si="151"/>
        <v>0</v>
      </c>
      <c r="S248">
        <f t="shared" si="152"/>
        <v>0</v>
      </c>
      <c r="T248">
        <f t="shared" si="153"/>
        <v>0</v>
      </c>
      <c r="U248">
        <f t="shared" si="154"/>
        <v>0</v>
      </c>
      <c r="V248">
        <f t="shared" si="155"/>
        <v>0</v>
      </c>
      <c r="W248">
        <f t="shared" si="156"/>
        <v>0</v>
      </c>
      <c r="X248">
        <f t="shared" si="157"/>
        <v>0</v>
      </c>
      <c r="Y248">
        <f t="shared" si="158"/>
        <v>0</v>
      </c>
      <c r="AA248">
        <v>129761633</v>
      </c>
      <c r="AB248">
        <f t="shared" si="159"/>
        <v>13.06</v>
      </c>
      <c r="AC248">
        <f t="shared" si="160"/>
        <v>13.06</v>
      </c>
      <c r="AD248">
        <f t="shared" si="188"/>
        <v>0</v>
      </c>
      <c r="AE248">
        <f t="shared" si="189"/>
        <v>0</v>
      </c>
      <c r="AF248">
        <f t="shared" si="189"/>
        <v>0</v>
      </c>
      <c r="AG248">
        <f t="shared" si="162"/>
        <v>0</v>
      </c>
      <c r="AH248">
        <f t="shared" si="190"/>
        <v>0</v>
      </c>
      <c r="AI248">
        <f t="shared" si="190"/>
        <v>0</v>
      </c>
      <c r="AJ248">
        <f t="shared" si="164"/>
        <v>0</v>
      </c>
      <c r="AK248">
        <v>13.06</v>
      </c>
      <c r="AL248">
        <v>13.06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1</v>
      </c>
      <c r="AW248">
        <v>1</v>
      </c>
      <c r="AZ248">
        <v>1</v>
      </c>
      <c r="BA248">
        <v>1</v>
      </c>
      <c r="BB248">
        <v>1</v>
      </c>
      <c r="BC248">
        <v>0.99</v>
      </c>
      <c r="BD248" t="s">
        <v>3</v>
      </c>
      <c r="BE248" t="s">
        <v>3</v>
      </c>
      <c r="BF248" t="s">
        <v>3</v>
      </c>
      <c r="BG248" t="s">
        <v>3</v>
      </c>
      <c r="BH248">
        <v>3</v>
      </c>
      <c r="BI248">
        <v>1</v>
      </c>
      <c r="BJ248" t="s">
        <v>271</v>
      </c>
      <c r="BM248">
        <v>1150</v>
      </c>
      <c r="BN248">
        <v>0</v>
      </c>
      <c r="BO248" t="s">
        <v>269</v>
      </c>
      <c r="BP248">
        <v>1</v>
      </c>
      <c r="BQ248">
        <v>30</v>
      </c>
      <c r="BR248">
        <v>0</v>
      </c>
      <c r="BS248">
        <v>1</v>
      </c>
      <c r="BT248">
        <v>1</v>
      </c>
      <c r="BU248">
        <v>1</v>
      </c>
      <c r="BV248">
        <v>1</v>
      </c>
      <c r="BW248">
        <v>1</v>
      </c>
      <c r="BX248">
        <v>1</v>
      </c>
      <c r="BY248" t="s">
        <v>3</v>
      </c>
      <c r="BZ248">
        <v>0</v>
      </c>
      <c r="CA248">
        <v>0</v>
      </c>
      <c r="CB248" t="s">
        <v>3</v>
      </c>
      <c r="CE248">
        <v>30</v>
      </c>
      <c r="CF248">
        <v>0</v>
      </c>
      <c r="CG248">
        <v>0</v>
      </c>
      <c r="CM248">
        <v>0</v>
      </c>
      <c r="CN248" t="s">
        <v>3</v>
      </c>
      <c r="CO248">
        <v>0</v>
      </c>
      <c r="CP248">
        <f t="shared" si="165"/>
        <v>112.46</v>
      </c>
      <c r="CQ248">
        <f t="shared" si="166"/>
        <v>12.93</v>
      </c>
      <c r="CR248">
        <f t="shared" si="191"/>
        <v>0</v>
      </c>
      <c r="CS248">
        <f t="shared" si="167"/>
        <v>0</v>
      </c>
      <c r="CT248">
        <f t="shared" si="168"/>
        <v>0</v>
      </c>
      <c r="CU248">
        <f t="shared" si="169"/>
        <v>0</v>
      </c>
      <c r="CV248">
        <f t="shared" si="170"/>
        <v>0</v>
      </c>
      <c r="CW248">
        <f t="shared" si="171"/>
        <v>0</v>
      </c>
      <c r="CX248">
        <f t="shared" si="172"/>
        <v>0</v>
      </c>
      <c r="CY248">
        <f>S248*(BZ248/100)</f>
        <v>0</v>
      </c>
      <c r="CZ248">
        <f>S248*(CA248/100)</f>
        <v>0</v>
      </c>
      <c r="DC248" t="s">
        <v>3</v>
      </c>
      <c r="DD248" t="s">
        <v>3</v>
      </c>
      <c r="DE248" t="s">
        <v>3</v>
      </c>
      <c r="DF248" t="s">
        <v>3</v>
      </c>
      <c r="DG248" t="s">
        <v>3</v>
      </c>
      <c r="DH248" t="s">
        <v>3</v>
      </c>
      <c r="DI248" t="s">
        <v>3</v>
      </c>
      <c r="DJ248" t="s">
        <v>3</v>
      </c>
      <c r="DK248" t="s">
        <v>3</v>
      </c>
      <c r="DL248" t="s">
        <v>3</v>
      </c>
      <c r="DM248" t="s">
        <v>3</v>
      </c>
      <c r="DN248">
        <v>105</v>
      </c>
      <c r="DO248">
        <v>70</v>
      </c>
      <c r="DP248">
        <v>1</v>
      </c>
      <c r="DQ248">
        <v>1</v>
      </c>
      <c r="DU248">
        <v>1003</v>
      </c>
      <c r="DV248" t="s">
        <v>270</v>
      </c>
      <c r="DW248" t="s">
        <v>270</v>
      </c>
      <c r="DX248">
        <v>1</v>
      </c>
      <c r="DZ248" t="s">
        <v>3</v>
      </c>
      <c r="EA248" t="s">
        <v>3</v>
      </c>
      <c r="EB248" t="s">
        <v>3</v>
      </c>
      <c r="EC248" t="s">
        <v>3</v>
      </c>
      <c r="EE248">
        <v>126052611</v>
      </c>
      <c r="EF248">
        <v>30</v>
      </c>
      <c r="EG248" t="s">
        <v>23</v>
      </c>
      <c r="EH248">
        <v>0</v>
      </c>
      <c r="EI248" t="s">
        <v>3</v>
      </c>
      <c r="EJ248">
        <v>1</v>
      </c>
      <c r="EK248">
        <v>1150</v>
      </c>
      <c r="EL248" t="s">
        <v>266</v>
      </c>
      <c r="EM248" t="s">
        <v>267</v>
      </c>
      <c r="EO248" t="s">
        <v>3</v>
      </c>
      <c r="EQ248">
        <v>0</v>
      </c>
      <c r="ER248">
        <v>13.06</v>
      </c>
      <c r="ES248">
        <v>13.06</v>
      </c>
      <c r="ET248">
        <v>0</v>
      </c>
      <c r="EU248">
        <v>0</v>
      </c>
      <c r="EV248">
        <v>0</v>
      </c>
      <c r="EW248">
        <v>0</v>
      </c>
      <c r="EX248">
        <v>0</v>
      </c>
      <c r="FQ248">
        <v>0</v>
      </c>
      <c r="FR248">
        <f t="shared" si="173"/>
        <v>0</v>
      </c>
      <c r="FS248">
        <v>0</v>
      </c>
      <c r="FX248">
        <v>105</v>
      </c>
      <c r="FY248">
        <v>70</v>
      </c>
      <c r="GA248" t="s">
        <v>3</v>
      </c>
      <c r="GD248">
        <v>0</v>
      </c>
      <c r="GF248">
        <v>1955688420</v>
      </c>
      <c r="GG248">
        <v>2</v>
      </c>
      <c r="GH248">
        <v>1</v>
      </c>
      <c r="GI248">
        <v>2</v>
      </c>
      <c r="GJ248">
        <v>0</v>
      </c>
      <c r="GK248">
        <f>ROUND(R248*(S12)/100,2)</f>
        <v>0</v>
      </c>
      <c r="GL248">
        <f t="shared" si="174"/>
        <v>0</v>
      </c>
      <c r="GM248">
        <f t="shared" si="175"/>
        <v>112.46</v>
      </c>
      <c r="GN248">
        <f t="shared" si="176"/>
        <v>112.46</v>
      </c>
      <c r="GO248">
        <f t="shared" si="177"/>
        <v>0</v>
      </c>
      <c r="GP248">
        <f t="shared" si="178"/>
        <v>0</v>
      </c>
      <c r="GR248">
        <v>0</v>
      </c>
      <c r="GS248">
        <v>3</v>
      </c>
      <c r="GT248">
        <v>0</v>
      </c>
      <c r="GU248" t="s">
        <v>3</v>
      </c>
      <c r="GV248">
        <f t="shared" si="179"/>
        <v>0</v>
      </c>
      <c r="GW248">
        <v>1</v>
      </c>
      <c r="GX248">
        <f t="shared" si="180"/>
        <v>0</v>
      </c>
      <c r="HA248">
        <v>0</v>
      </c>
      <c r="HB248">
        <v>0</v>
      </c>
      <c r="HC248">
        <f t="shared" si="181"/>
        <v>0</v>
      </c>
      <c r="HE248" t="s">
        <v>3</v>
      </c>
      <c r="HF248" t="s">
        <v>3</v>
      </c>
      <c r="HM248" t="s">
        <v>3</v>
      </c>
      <c r="HN248" t="s">
        <v>3</v>
      </c>
      <c r="HO248" t="s">
        <v>3</v>
      </c>
      <c r="HP248" t="s">
        <v>3</v>
      </c>
      <c r="HQ248" t="s">
        <v>3</v>
      </c>
      <c r="IK248">
        <v>0</v>
      </c>
    </row>
    <row r="249" spans="1:255" x14ac:dyDescent="0.2">
      <c r="A249" s="2">
        <v>18</v>
      </c>
      <c r="B249" s="2">
        <v>1</v>
      </c>
      <c r="C249" s="2">
        <v>197</v>
      </c>
      <c r="D249" s="2"/>
      <c r="E249" s="2" t="s">
        <v>272</v>
      </c>
      <c r="F249" s="2" t="s">
        <v>273</v>
      </c>
      <c r="G249" s="2" t="s">
        <v>1562</v>
      </c>
      <c r="H249" s="2" t="s">
        <v>270</v>
      </c>
      <c r="I249" s="2">
        <f>I245*J249</f>
        <v>1.5960000000000003</v>
      </c>
      <c r="J249" s="2">
        <v>40.000000000000007</v>
      </c>
      <c r="K249" s="2">
        <v>40</v>
      </c>
      <c r="L249" s="2"/>
      <c r="M249" s="2"/>
      <c r="N249" s="2"/>
      <c r="O249" s="2">
        <f t="shared" si="149"/>
        <v>19.23</v>
      </c>
      <c r="P249" s="2">
        <f t="shared" si="150"/>
        <v>19.23</v>
      </c>
      <c r="Q249" s="2">
        <f t="shared" si="187"/>
        <v>0</v>
      </c>
      <c r="R249" s="2">
        <f t="shared" si="151"/>
        <v>0</v>
      </c>
      <c r="S249" s="2">
        <f t="shared" si="152"/>
        <v>0</v>
      </c>
      <c r="T249" s="2">
        <f t="shared" si="153"/>
        <v>0</v>
      </c>
      <c r="U249" s="2">
        <f t="shared" si="154"/>
        <v>0</v>
      </c>
      <c r="V249" s="2">
        <f t="shared" si="155"/>
        <v>0</v>
      </c>
      <c r="W249" s="2">
        <f t="shared" si="156"/>
        <v>0</v>
      </c>
      <c r="X249" s="2">
        <f t="shared" si="157"/>
        <v>0</v>
      </c>
      <c r="Y249" s="2">
        <f t="shared" si="158"/>
        <v>0</v>
      </c>
      <c r="Z249" s="2"/>
      <c r="AA249" s="2">
        <v>129761636</v>
      </c>
      <c r="AB249" s="2">
        <f t="shared" si="159"/>
        <v>12.05</v>
      </c>
      <c r="AC249" s="2">
        <f t="shared" si="160"/>
        <v>12.05</v>
      </c>
      <c r="AD249" s="2">
        <f t="shared" si="188"/>
        <v>0</v>
      </c>
      <c r="AE249" s="2">
        <f t="shared" si="189"/>
        <v>0</v>
      </c>
      <c r="AF249" s="2">
        <f t="shared" si="189"/>
        <v>0</v>
      </c>
      <c r="AG249" s="2">
        <f t="shared" si="162"/>
        <v>0</v>
      </c>
      <c r="AH249" s="2">
        <f t="shared" si="190"/>
        <v>0</v>
      </c>
      <c r="AI249" s="2">
        <f t="shared" si="190"/>
        <v>0</v>
      </c>
      <c r="AJ249" s="2">
        <f t="shared" si="164"/>
        <v>0</v>
      </c>
      <c r="AK249" s="2">
        <v>12.05</v>
      </c>
      <c r="AL249" s="2">
        <v>12.05</v>
      </c>
      <c r="AM249" s="2">
        <v>0</v>
      </c>
      <c r="AN249" s="2">
        <v>0</v>
      </c>
      <c r="AO249" s="2">
        <v>0</v>
      </c>
      <c r="AP249" s="2">
        <v>0</v>
      </c>
      <c r="AQ249" s="2">
        <v>0</v>
      </c>
      <c r="AR249" s="2">
        <v>0</v>
      </c>
      <c r="AS249" s="2">
        <v>0</v>
      </c>
      <c r="AT249" s="2">
        <v>105</v>
      </c>
      <c r="AU249" s="2">
        <v>70</v>
      </c>
      <c r="AV249" s="2">
        <v>1</v>
      </c>
      <c r="AW249" s="2">
        <v>1</v>
      </c>
      <c r="AX249" s="2"/>
      <c r="AY249" s="2"/>
      <c r="AZ249" s="2">
        <v>1</v>
      </c>
      <c r="BA249" s="2">
        <v>1</v>
      </c>
      <c r="BB249" s="2">
        <v>1</v>
      </c>
      <c r="BC249" s="2">
        <v>1</v>
      </c>
      <c r="BD249" s="2" t="s">
        <v>3</v>
      </c>
      <c r="BE249" s="2" t="s">
        <v>3</v>
      </c>
      <c r="BF249" s="2" t="s">
        <v>3</v>
      </c>
      <c r="BG249" s="2" t="s">
        <v>3</v>
      </c>
      <c r="BH249" s="2">
        <v>3</v>
      </c>
      <c r="BI249" s="2">
        <v>1</v>
      </c>
      <c r="BJ249" s="2" t="s">
        <v>274</v>
      </c>
      <c r="BK249" s="2"/>
      <c r="BL249" s="2"/>
      <c r="BM249" s="2">
        <v>1150</v>
      </c>
      <c r="BN249" s="2">
        <v>0</v>
      </c>
      <c r="BO249" s="2" t="s">
        <v>3</v>
      </c>
      <c r="BP249" s="2">
        <v>0</v>
      </c>
      <c r="BQ249" s="2">
        <v>30</v>
      </c>
      <c r="BR249" s="2">
        <v>0</v>
      </c>
      <c r="BS249" s="2">
        <v>1</v>
      </c>
      <c r="BT249" s="2">
        <v>1</v>
      </c>
      <c r="BU249" s="2">
        <v>1</v>
      </c>
      <c r="BV249" s="2">
        <v>1</v>
      </c>
      <c r="BW249" s="2">
        <v>1</v>
      </c>
      <c r="BX249" s="2">
        <v>1</v>
      </c>
      <c r="BY249" s="2" t="s">
        <v>3</v>
      </c>
      <c r="BZ249" s="2">
        <v>105</v>
      </c>
      <c r="CA249" s="2">
        <v>70</v>
      </c>
      <c r="CB249" s="2" t="s">
        <v>3</v>
      </c>
      <c r="CC249" s="2"/>
      <c r="CD249" s="2"/>
      <c r="CE249" s="2">
        <v>30</v>
      </c>
      <c r="CF249" s="2">
        <v>0</v>
      </c>
      <c r="CG249" s="2">
        <v>0</v>
      </c>
      <c r="CH249" s="2"/>
      <c r="CI249" s="2"/>
      <c r="CJ249" s="2"/>
      <c r="CK249" s="2"/>
      <c r="CL249" s="2"/>
      <c r="CM249" s="2">
        <v>0</v>
      </c>
      <c r="CN249" s="2" t="s">
        <v>3</v>
      </c>
      <c r="CO249" s="2">
        <v>0</v>
      </c>
      <c r="CP249" s="2">
        <f t="shared" si="165"/>
        <v>19.23</v>
      </c>
      <c r="CQ249" s="2">
        <f t="shared" si="166"/>
        <v>12.05</v>
      </c>
      <c r="CR249" s="2">
        <f t="shared" si="191"/>
        <v>0</v>
      </c>
      <c r="CS249" s="2">
        <f t="shared" si="167"/>
        <v>0</v>
      </c>
      <c r="CT249" s="2">
        <f t="shared" si="168"/>
        <v>0</v>
      </c>
      <c r="CU249" s="2">
        <f t="shared" si="169"/>
        <v>0</v>
      </c>
      <c r="CV249" s="2">
        <f t="shared" si="170"/>
        <v>0</v>
      </c>
      <c r="CW249" s="2">
        <f t="shared" si="171"/>
        <v>0</v>
      </c>
      <c r="CX249" s="2">
        <f t="shared" si="172"/>
        <v>0</v>
      </c>
      <c r="CY249" s="2">
        <f>((S249*BZ249)/100)</f>
        <v>0</v>
      </c>
      <c r="CZ249" s="2">
        <f>((S249*CA249)/100)</f>
        <v>0</v>
      </c>
      <c r="DA249" s="2"/>
      <c r="DB249" s="2"/>
      <c r="DC249" s="2" t="s">
        <v>3</v>
      </c>
      <c r="DD249" s="2" t="s">
        <v>3</v>
      </c>
      <c r="DE249" s="2" t="s">
        <v>3</v>
      </c>
      <c r="DF249" s="2" t="s">
        <v>3</v>
      </c>
      <c r="DG249" s="2" t="s">
        <v>3</v>
      </c>
      <c r="DH249" s="2" t="s">
        <v>3</v>
      </c>
      <c r="DI249" s="2" t="s">
        <v>3</v>
      </c>
      <c r="DJ249" s="2" t="s">
        <v>3</v>
      </c>
      <c r="DK249" s="2" t="s">
        <v>3</v>
      </c>
      <c r="DL249" s="2" t="s">
        <v>3</v>
      </c>
      <c r="DM249" s="2" t="s">
        <v>3</v>
      </c>
      <c r="DN249" s="2">
        <v>0</v>
      </c>
      <c r="DO249" s="2">
        <v>0</v>
      </c>
      <c r="DP249" s="2">
        <v>1</v>
      </c>
      <c r="DQ249" s="2">
        <v>1</v>
      </c>
      <c r="DR249" s="2"/>
      <c r="DS249" s="2"/>
      <c r="DT249" s="2"/>
      <c r="DU249" s="2">
        <v>1003</v>
      </c>
      <c r="DV249" s="2" t="s">
        <v>270</v>
      </c>
      <c r="DW249" s="2" t="s">
        <v>270</v>
      </c>
      <c r="DX249" s="2">
        <v>1</v>
      </c>
      <c r="DY249" s="2"/>
      <c r="DZ249" s="2" t="s">
        <v>3</v>
      </c>
      <c r="EA249" s="2" t="s">
        <v>3</v>
      </c>
      <c r="EB249" s="2" t="s">
        <v>3</v>
      </c>
      <c r="EC249" s="2" t="s">
        <v>3</v>
      </c>
      <c r="ED249" s="2"/>
      <c r="EE249" s="2">
        <v>126052611</v>
      </c>
      <c r="EF249" s="2">
        <v>30</v>
      </c>
      <c r="EG249" s="2" t="s">
        <v>23</v>
      </c>
      <c r="EH249" s="2">
        <v>0</v>
      </c>
      <c r="EI249" s="2" t="s">
        <v>3</v>
      </c>
      <c r="EJ249" s="2">
        <v>1</v>
      </c>
      <c r="EK249" s="2">
        <v>1150</v>
      </c>
      <c r="EL249" s="2" t="s">
        <v>266</v>
      </c>
      <c r="EM249" s="2" t="s">
        <v>267</v>
      </c>
      <c r="EN249" s="2"/>
      <c r="EO249" s="2" t="s">
        <v>3</v>
      </c>
      <c r="EP249" s="2"/>
      <c r="EQ249" s="2">
        <v>0</v>
      </c>
      <c r="ER249" s="2">
        <v>12.05</v>
      </c>
      <c r="ES249" s="2">
        <v>12.05</v>
      </c>
      <c r="ET249" s="2">
        <v>0</v>
      </c>
      <c r="EU249" s="2">
        <v>0</v>
      </c>
      <c r="EV249" s="2">
        <v>0</v>
      </c>
      <c r="EW249" s="2">
        <v>0</v>
      </c>
      <c r="EX249" s="2">
        <v>0</v>
      </c>
      <c r="EY249" s="2"/>
      <c r="EZ249" s="2"/>
      <c r="FA249" s="2"/>
      <c r="FB249" s="2"/>
      <c r="FC249" s="2"/>
      <c r="FD249" s="2"/>
      <c r="FE249" s="2"/>
      <c r="FF249" s="2"/>
      <c r="FG249" s="2"/>
      <c r="FH249" s="2"/>
      <c r="FI249" s="2"/>
      <c r="FJ249" s="2"/>
      <c r="FK249" s="2"/>
      <c r="FL249" s="2"/>
      <c r="FM249" s="2"/>
      <c r="FN249" s="2"/>
      <c r="FO249" s="2"/>
      <c r="FP249" s="2"/>
      <c r="FQ249" s="2">
        <v>0</v>
      </c>
      <c r="FR249" s="2">
        <f t="shared" si="173"/>
        <v>0</v>
      </c>
      <c r="FS249" s="2">
        <v>0</v>
      </c>
      <c r="FT249" s="2"/>
      <c r="FU249" s="2"/>
      <c r="FV249" s="2"/>
      <c r="FW249" s="2"/>
      <c r="FX249" s="2">
        <v>105</v>
      </c>
      <c r="FY249" s="2">
        <v>70</v>
      </c>
      <c r="FZ249" s="2"/>
      <c r="GA249" s="2" t="s">
        <v>3</v>
      </c>
      <c r="GB249" s="2"/>
      <c r="GC249" s="2"/>
      <c r="GD249" s="2">
        <v>0</v>
      </c>
      <c r="GE249" s="2"/>
      <c r="GF249" s="2">
        <v>501320542</v>
      </c>
      <c r="GG249" s="2">
        <v>2</v>
      </c>
      <c r="GH249" s="2">
        <v>1</v>
      </c>
      <c r="GI249" s="2">
        <v>-2</v>
      </c>
      <c r="GJ249" s="2">
        <v>0</v>
      </c>
      <c r="GK249" s="2">
        <f>ROUND(R249*(R12)/100,2)</f>
        <v>0</v>
      </c>
      <c r="GL249" s="2">
        <f t="shared" si="174"/>
        <v>0</v>
      </c>
      <c r="GM249" s="2">
        <f t="shared" si="175"/>
        <v>19.23</v>
      </c>
      <c r="GN249" s="2">
        <f t="shared" si="176"/>
        <v>19.23</v>
      </c>
      <c r="GO249" s="2">
        <f t="shared" si="177"/>
        <v>0</v>
      </c>
      <c r="GP249" s="2">
        <f t="shared" si="178"/>
        <v>0</v>
      </c>
      <c r="GQ249" s="2"/>
      <c r="GR249" s="2">
        <v>0</v>
      </c>
      <c r="GS249" s="2">
        <v>0</v>
      </c>
      <c r="GT249" s="2">
        <v>0</v>
      </c>
      <c r="GU249" s="2" t="s">
        <v>3</v>
      </c>
      <c r="GV249" s="2">
        <f t="shared" si="179"/>
        <v>0</v>
      </c>
      <c r="GW249" s="2">
        <v>1</v>
      </c>
      <c r="GX249" s="2">
        <f t="shared" si="180"/>
        <v>0</v>
      </c>
      <c r="GY249" s="2"/>
      <c r="GZ249" s="2"/>
      <c r="HA249" s="2">
        <v>0</v>
      </c>
      <c r="HB249" s="2">
        <v>0</v>
      </c>
      <c r="HC249" s="2">
        <f t="shared" si="181"/>
        <v>0</v>
      </c>
      <c r="HD249" s="2"/>
      <c r="HE249" s="2" t="s">
        <v>3</v>
      </c>
      <c r="HF249" s="2" t="s">
        <v>3</v>
      </c>
      <c r="HG249" s="2"/>
      <c r="HH249" s="2"/>
      <c r="HI249" s="2"/>
      <c r="HJ249" s="2"/>
      <c r="HK249" s="2"/>
      <c r="HL249" s="2"/>
      <c r="HM249" s="2" t="s">
        <v>3</v>
      </c>
      <c r="HN249" s="2" t="s">
        <v>3</v>
      </c>
      <c r="HO249" s="2" t="s">
        <v>3</v>
      </c>
      <c r="HP249" s="2" t="s">
        <v>3</v>
      </c>
      <c r="HQ249" s="2" t="s">
        <v>3</v>
      </c>
      <c r="HR249" s="2"/>
      <c r="HS249" s="2"/>
      <c r="HT249" s="2"/>
      <c r="HU249" s="2"/>
      <c r="HV249" s="2"/>
      <c r="HW249" s="2"/>
      <c r="HX249" s="2"/>
      <c r="HY249" s="2"/>
      <c r="HZ249" s="2"/>
      <c r="IA249" s="2"/>
      <c r="IB249" s="2"/>
      <c r="IC249" s="2"/>
      <c r="ID249" s="2"/>
      <c r="IE249" s="2"/>
      <c r="IF249" s="2"/>
      <c r="IG249" s="2"/>
      <c r="IH249" s="2"/>
      <c r="II249" s="2"/>
      <c r="IJ249" s="2"/>
      <c r="IK249" s="2">
        <v>0</v>
      </c>
      <c r="IL249" s="2"/>
      <c r="IM249" s="2"/>
      <c r="IN249" s="2"/>
      <c r="IO249" s="2"/>
      <c r="IP249" s="2"/>
      <c r="IQ249" s="2"/>
      <c r="IR249" s="2"/>
      <c r="IS249" s="2"/>
      <c r="IT249" s="2"/>
      <c r="IU249" s="2"/>
    </row>
    <row r="250" spans="1:255" x14ac:dyDescent="0.2">
      <c r="A250">
        <v>18</v>
      </c>
      <c r="B250">
        <v>1</v>
      </c>
      <c r="C250">
        <v>206</v>
      </c>
      <c r="E250" t="s">
        <v>272</v>
      </c>
      <c r="F250" t="s">
        <v>273</v>
      </c>
      <c r="G250" t="s">
        <v>1562</v>
      </c>
      <c r="H250" t="s">
        <v>270</v>
      </c>
      <c r="I250">
        <f>I246*J250</f>
        <v>1.5960000000000003</v>
      </c>
      <c r="J250">
        <v>40.000000000000007</v>
      </c>
      <c r="K250">
        <v>40</v>
      </c>
      <c r="O250">
        <f t="shared" si="149"/>
        <v>13.65</v>
      </c>
      <c r="P250">
        <f t="shared" si="150"/>
        <v>13.65</v>
      </c>
      <c r="Q250">
        <f t="shared" si="187"/>
        <v>0</v>
      </c>
      <c r="R250">
        <f t="shared" si="151"/>
        <v>0</v>
      </c>
      <c r="S250">
        <f t="shared" si="152"/>
        <v>0</v>
      </c>
      <c r="T250">
        <f t="shared" si="153"/>
        <v>0</v>
      </c>
      <c r="U250">
        <f t="shared" si="154"/>
        <v>0</v>
      </c>
      <c r="V250">
        <f t="shared" si="155"/>
        <v>0</v>
      </c>
      <c r="W250">
        <f t="shared" si="156"/>
        <v>0</v>
      </c>
      <c r="X250">
        <f t="shared" si="157"/>
        <v>0</v>
      </c>
      <c r="Y250">
        <f t="shared" si="158"/>
        <v>0</v>
      </c>
      <c r="AA250">
        <v>129761633</v>
      </c>
      <c r="AB250">
        <f t="shared" si="159"/>
        <v>12.05</v>
      </c>
      <c r="AC250">
        <f t="shared" si="160"/>
        <v>12.05</v>
      </c>
      <c r="AD250">
        <f t="shared" si="188"/>
        <v>0</v>
      </c>
      <c r="AE250">
        <f t="shared" si="189"/>
        <v>0</v>
      </c>
      <c r="AF250">
        <f t="shared" si="189"/>
        <v>0</v>
      </c>
      <c r="AG250">
        <f t="shared" si="162"/>
        <v>0</v>
      </c>
      <c r="AH250">
        <f t="shared" si="190"/>
        <v>0</v>
      </c>
      <c r="AI250">
        <f t="shared" si="190"/>
        <v>0</v>
      </c>
      <c r="AJ250">
        <f t="shared" si="164"/>
        <v>0</v>
      </c>
      <c r="AK250">
        <v>12.05</v>
      </c>
      <c r="AL250">
        <v>12.05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1</v>
      </c>
      <c r="AW250">
        <v>1</v>
      </c>
      <c r="AZ250">
        <v>1</v>
      </c>
      <c r="BA250">
        <v>1</v>
      </c>
      <c r="BB250">
        <v>1</v>
      </c>
      <c r="BC250">
        <v>0.71</v>
      </c>
      <c r="BD250" t="s">
        <v>3</v>
      </c>
      <c r="BE250" t="s">
        <v>3</v>
      </c>
      <c r="BF250" t="s">
        <v>3</v>
      </c>
      <c r="BG250" t="s">
        <v>3</v>
      </c>
      <c r="BH250">
        <v>3</v>
      </c>
      <c r="BI250">
        <v>1</v>
      </c>
      <c r="BJ250" t="s">
        <v>274</v>
      </c>
      <c r="BM250">
        <v>1150</v>
      </c>
      <c r="BN250">
        <v>0</v>
      </c>
      <c r="BO250" t="s">
        <v>273</v>
      </c>
      <c r="BP250">
        <v>1</v>
      </c>
      <c r="BQ250">
        <v>30</v>
      </c>
      <c r="BR250">
        <v>0</v>
      </c>
      <c r="BS250">
        <v>1</v>
      </c>
      <c r="BT250">
        <v>1</v>
      </c>
      <c r="BU250">
        <v>1</v>
      </c>
      <c r="BV250">
        <v>1</v>
      </c>
      <c r="BW250">
        <v>1</v>
      </c>
      <c r="BX250">
        <v>1</v>
      </c>
      <c r="BY250" t="s">
        <v>3</v>
      </c>
      <c r="BZ250">
        <v>0</v>
      </c>
      <c r="CA250">
        <v>0</v>
      </c>
      <c r="CB250" t="s">
        <v>3</v>
      </c>
      <c r="CE250">
        <v>30</v>
      </c>
      <c r="CF250">
        <v>0</v>
      </c>
      <c r="CG250">
        <v>0</v>
      </c>
      <c r="CM250">
        <v>0</v>
      </c>
      <c r="CN250" t="s">
        <v>3</v>
      </c>
      <c r="CO250">
        <v>0</v>
      </c>
      <c r="CP250">
        <f t="shared" si="165"/>
        <v>13.65</v>
      </c>
      <c r="CQ250">
        <f t="shared" si="166"/>
        <v>8.56</v>
      </c>
      <c r="CR250">
        <f t="shared" si="191"/>
        <v>0</v>
      </c>
      <c r="CS250">
        <f t="shared" si="167"/>
        <v>0</v>
      </c>
      <c r="CT250">
        <f t="shared" si="168"/>
        <v>0</v>
      </c>
      <c r="CU250">
        <f t="shared" si="169"/>
        <v>0</v>
      </c>
      <c r="CV250">
        <f t="shared" si="170"/>
        <v>0</v>
      </c>
      <c r="CW250">
        <f t="shared" si="171"/>
        <v>0</v>
      </c>
      <c r="CX250">
        <f t="shared" si="172"/>
        <v>0</v>
      </c>
      <c r="CY250">
        <f>S250*(BZ250/100)</f>
        <v>0</v>
      </c>
      <c r="CZ250">
        <f>S250*(CA250/100)</f>
        <v>0</v>
      </c>
      <c r="DC250" t="s">
        <v>3</v>
      </c>
      <c r="DD250" t="s">
        <v>3</v>
      </c>
      <c r="DE250" t="s">
        <v>3</v>
      </c>
      <c r="DF250" t="s">
        <v>3</v>
      </c>
      <c r="DG250" t="s">
        <v>3</v>
      </c>
      <c r="DH250" t="s">
        <v>3</v>
      </c>
      <c r="DI250" t="s">
        <v>3</v>
      </c>
      <c r="DJ250" t="s">
        <v>3</v>
      </c>
      <c r="DK250" t="s">
        <v>3</v>
      </c>
      <c r="DL250" t="s">
        <v>3</v>
      </c>
      <c r="DM250" t="s">
        <v>3</v>
      </c>
      <c r="DN250">
        <v>105</v>
      </c>
      <c r="DO250">
        <v>70</v>
      </c>
      <c r="DP250">
        <v>1</v>
      </c>
      <c r="DQ250">
        <v>1</v>
      </c>
      <c r="DU250">
        <v>1003</v>
      </c>
      <c r="DV250" t="s">
        <v>270</v>
      </c>
      <c r="DW250" t="s">
        <v>270</v>
      </c>
      <c r="DX250">
        <v>1</v>
      </c>
      <c r="DZ250" t="s">
        <v>3</v>
      </c>
      <c r="EA250" t="s">
        <v>3</v>
      </c>
      <c r="EB250" t="s">
        <v>3</v>
      </c>
      <c r="EC250" t="s">
        <v>3</v>
      </c>
      <c r="EE250">
        <v>126052611</v>
      </c>
      <c r="EF250">
        <v>30</v>
      </c>
      <c r="EG250" t="s">
        <v>23</v>
      </c>
      <c r="EH250">
        <v>0</v>
      </c>
      <c r="EI250" t="s">
        <v>3</v>
      </c>
      <c r="EJ250">
        <v>1</v>
      </c>
      <c r="EK250">
        <v>1150</v>
      </c>
      <c r="EL250" t="s">
        <v>266</v>
      </c>
      <c r="EM250" t="s">
        <v>267</v>
      </c>
      <c r="EO250" t="s">
        <v>3</v>
      </c>
      <c r="EQ250">
        <v>0</v>
      </c>
      <c r="ER250">
        <v>12.05</v>
      </c>
      <c r="ES250">
        <v>12.05</v>
      </c>
      <c r="ET250">
        <v>0</v>
      </c>
      <c r="EU250">
        <v>0</v>
      </c>
      <c r="EV250">
        <v>0</v>
      </c>
      <c r="EW250">
        <v>0</v>
      </c>
      <c r="EX250">
        <v>0</v>
      </c>
      <c r="FQ250">
        <v>0</v>
      </c>
      <c r="FR250">
        <f t="shared" si="173"/>
        <v>0</v>
      </c>
      <c r="FS250">
        <v>0</v>
      </c>
      <c r="FX250">
        <v>105</v>
      </c>
      <c r="FY250">
        <v>70</v>
      </c>
      <c r="GA250" t="s">
        <v>3</v>
      </c>
      <c r="GD250">
        <v>0</v>
      </c>
      <c r="GF250">
        <v>501320542</v>
      </c>
      <c r="GG250">
        <v>2</v>
      </c>
      <c r="GH250">
        <v>1</v>
      </c>
      <c r="GI250">
        <v>2</v>
      </c>
      <c r="GJ250">
        <v>0</v>
      </c>
      <c r="GK250">
        <f>ROUND(R250*(S12)/100,2)</f>
        <v>0</v>
      </c>
      <c r="GL250">
        <f t="shared" si="174"/>
        <v>0</v>
      </c>
      <c r="GM250">
        <f t="shared" si="175"/>
        <v>13.65</v>
      </c>
      <c r="GN250">
        <f t="shared" si="176"/>
        <v>13.65</v>
      </c>
      <c r="GO250">
        <f t="shared" si="177"/>
        <v>0</v>
      </c>
      <c r="GP250">
        <f t="shared" si="178"/>
        <v>0</v>
      </c>
      <c r="GR250">
        <v>0</v>
      </c>
      <c r="GS250">
        <v>3</v>
      </c>
      <c r="GT250">
        <v>0</v>
      </c>
      <c r="GU250" t="s">
        <v>3</v>
      </c>
      <c r="GV250">
        <f t="shared" si="179"/>
        <v>0</v>
      </c>
      <c r="GW250">
        <v>1</v>
      </c>
      <c r="GX250">
        <f t="shared" si="180"/>
        <v>0</v>
      </c>
      <c r="HA250">
        <v>0</v>
      </c>
      <c r="HB250">
        <v>0</v>
      </c>
      <c r="HC250">
        <f t="shared" si="181"/>
        <v>0</v>
      </c>
      <c r="HE250" t="s">
        <v>3</v>
      </c>
      <c r="HF250" t="s">
        <v>3</v>
      </c>
      <c r="HM250" t="s">
        <v>3</v>
      </c>
      <c r="HN250" t="s">
        <v>3</v>
      </c>
      <c r="HO250" t="s">
        <v>3</v>
      </c>
      <c r="HP250" t="s">
        <v>3</v>
      </c>
      <c r="HQ250" t="s">
        <v>3</v>
      </c>
      <c r="IK250">
        <v>0</v>
      </c>
    </row>
    <row r="251" spans="1:255" x14ac:dyDescent="0.2">
      <c r="A251" s="2">
        <v>18</v>
      </c>
      <c r="B251" s="2">
        <v>1</v>
      </c>
      <c r="C251" s="2">
        <v>199</v>
      </c>
      <c r="D251" s="2"/>
      <c r="E251" s="2" t="s">
        <v>275</v>
      </c>
      <c r="F251" s="2" t="s">
        <v>276</v>
      </c>
      <c r="G251" s="2" t="s">
        <v>277</v>
      </c>
      <c r="H251" s="2" t="s">
        <v>258</v>
      </c>
      <c r="I251" s="2">
        <f>I245*J251</f>
        <v>3.99</v>
      </c>
      <c r="J251" s="2">
        <v>100.00000000000001</v>
      </c>
      <c r="K251" s="2">
        <v>100</v>
      </c>
      <c r="L251" s="2"/>
      <c r="M251" s="2"/>
      <c r="N251" s="2"/>
      <c r="O251" s="2">
        <f t="shared" si="149"/>
        <v>12399.96</v>
      </c>
      <c r="P251" s="2">
        <f t="shared" si="150"/>
        <v>12399.96</v>
      </c>
      <c r="Q251" s="2">
        <f t="shared" si="187"/>
        <v>0</v>
      </c>
      <c r="R251" s="2">
        <f t="shared" si="151"/>
        <v>0</v>
      </c>
      <c r="S251" s="2">
        <f t="shared" si="152"/>
        <v>0</v>
      </c>
      <c r="T251" s="2">
        <f t="shared" si="153"/>
        <v>0</v>
      </c>
      <c r="U251" s="2">
        <f t="shared" si="154"/>
        <v>0</v>
      </c>
      <c r="V251" s="2">
        <f t="shared" si="155"/>
        <v>0</v>
      </c>
      <c r="W251" s="2">
        <f t="shared" si="156"/>
        <v>0</v>
      </c>
      <c r="X251" s="2">
        <f t="shared" si="157"/>
        <v>0</v>
      </c>
      <c r="Y251" s="2">
        <f t="shared" si="158"/>
        <v>0</v>
      </c>
      <c r="Z251" s="2"/>
      <c r="AA251" s="2">
        <v>129761636</v>
      </c>
      <c r="AB251" s="2">
        <f t="shared" si="159"/>
        <v>3107.76</v>
      </c>
      <c r="AC251" s="2">
        <f t="shared" si="160"/>
        <v>3107.76</v>
      </c>
      <c r="AD251" s="2">
        <f t="shared" si="188"/>
        <v>0</v>
      </c>
      <c r="AE251" s="2">
        <f t="shared" si="189"/>
        <v>0</v>
      </c>
      <c r="AF251" s="2">
        <f t="shared" si="189"/>
        <v>0</v>
      </c>
      <c r="AG251" s="2">
        <f t="shared" si="162"/>
        <v>0</v>
      </c>
      <c r="AH251" s="2">
        <f t="shared" si="190"/>
        <v>0</v>
      </c>
      <c r="AI251" s="2">
        <f t="shared" si="190"/>
        <v>0</v>
      </c>
      <c r="AJ251" s="2">
        <f t="shared" si="164"/>
        <v>0</v>
      </c>
      <c r="AK251" s="2">
        <v>3107.76</v>
      </c>
      <c r="AL251" s="2">
        <v>3107.76</v>
      </c>
      <c r="AM251" s="2">
        <v>0</v>
      </c>
      <c r="AN251" s="2">
        <v>0</v>
      </c>
      <c r="AO251" s="2">
        <v>0</v>
      </c>
      <c r="AP251" s="2">
        <v>0</v>
      </c>
      <c r="AQ251" s="2">
        <v>0</v>
      </c>
      <c r="AR251" s="2">
        <v>0</v>
      </c>
      <c r="AS251" s="2">
        <v>0</v>
      </c>
      <c r="AT251" s="2">
        <v>105</v>
      </c>
      <c r="AU251" s="2">
        <v>70</v>
      </c>
      <c r="AV251" s="2">
        <v>1</v>
      </c>
      <c r="AW251" s="2">
        <v>1</v>
      </c>
      <c r="AX251" s="2"/>
      <c r="AY251" s="2"/>
      <c r="AZ251" s="2">
        <v>1</v>
      </c>
      <c r="BA251" s="2">
        <v>1</v>
      </c>
      <c r="BB251" s="2">
        <v>1</v>
      </c>
      <c r="BC251" s="2">
        <v>1</v>
      </c>
      <c r="BD251" s="2" t="s">
        <v>3</v>
      </c>
      <c r="BE251" s="2" t="s">
        <v>3</v>
      </c>
      <c r="BF251" s="2" t="s">
        <v>3</v>
      </c>
      <c r="BG251" s="2" t="s">
        <v>3</v>
      </c>
      <c r="BH251" s="2">
        <v>3</v>
      </c>
      <c r="BI251" s="2">
        <v>1</v>
      </c>
      <c r="BJ251" s="2" t="s">
        <v>278</v>
      </c>
      <c r="BK251" s="2"/>
      <c r="BL251" s="2"/>
      <c r="BM251" s="2">
        <v>1150</v>
      </c>
      <c r="BN251" s="2">
        <v>0</v>
      </c>
      <c r="BO251" s="2" t="s">
        <v>3</v>
      </c>
      <c r="BP251" s="2">
        <v>0</v>
      </c>
      <c r="BQ251" s="2">
        <v>30</v>
      </c>
      <c r="BR251" s="2">
        <v>0</v>
      </c>
      <c r="BS251" s="2">
        <v>1</v>
      </c>
      <c r="BT251" s="2">
        <v>1</v>
      </c>
      <c r="BU251" s="2">
        <v>1</v>
      </c>
      <c r="BV251" s="2">
        <v>1</v>
      </c>
      <c r="BW251" s="2">
        <v>1</v>
      </c>
      <c r="BX251" s="2">
        <v>1</v>
      </c>
      <c r="BY251" s="2" t="s">
        <v>3</v>
      </c>
      <c r="BZ251" s="2">
        <v>105</v>
      </c>
      <c r="CA251" s="2">
        <v>70</v>
      </c>
      <c r="CB251" s="2" t="s">
        <v>3</v>
      </c>
      <c r="CC251" s="2"/>
      <c r="CD251" s="2"/>
      <c r="CE251" s="2">
        <v>30</v>
      </c>
      <c r="CF251" s="2">
        <v>0</v>
      </c>
      <c r="CG251" s="2">
        <v>0</v>
      </c>
      <c r="CH251" s="2"/>
      <c r="CI251" s="2"/>
      <c r="CJ251" s="2"/>
      <c r="CK251" s="2"/>
      <c r="CL251" s="2"/>
      <c r="CM251" s="2">
        <v>0</v>
      </c>
      <c r="CN251" s="2" t="s">
        <v>3</v>
      </c>
      <c r="CO251" s="2">
        <v>0</v>
      </c>
      <c r="CP251" s="2">
        <f t="shared" si="165"/>
        <v>12399.96</v>
      </c>
      <c r="CQ251" s="2">
        <f t="shared" si="166"/>
        <v>3107.76</v>
      </c>
      <c r="CR251" s="2">
        <f t="shared" si="191"/>
        <v>0</v>
      </c>
      <c r="CS251" s="2">
        <f t="shared" si="167"/>
        <v>0</v>
      </c>
      <c r="CT251" s="2">
        <f t="shared" si="168"/>
        <v>0</v>
      </c>
      <c r="CU251" s="2">
        <f t="shared" si="169"/>
        <v>0</v>
      </c>
      <c r="CV251" s="2">
        <f t="shared" si="170"/>
        <v>0</v>
      </c>
      <c r="CW251" s="2">
        <f t="shared" si="171"/>
        <v>0</v>
      </c>
      <c r="CX251" s="2">
        <f t="shared" si="172"/>
        <v>0</v>
      </c>
      <c r="CY251" s="2">
        <f>((S251*BZ251)/100)</f>
        <v>0</v>
      </c>
      <c r="CZ251" s="2">
        <f>((S251*CA251)/100)</f>
        <v>0</v>
      </c>
      <c r="DA251" s="2"/>
      <c r="DB251" s="2"/>
      <c r="DC251" s="2" t="s">
        <v>3</v>
      </c>
      <c r="DD251" s="2" t="s">
        <v>3</v>
      </c>
      <c r="DE251" s="2" t="s">
        <v>3</v>
      </c>
      <c r="DF251" s="2" t="s">
        <v>3</v>
      </c>
      <c r="DG251" s="2" t="s">
        <v>3</v>
      </c>
      <c r="DH251" s="2" t="s">
        <v>3</v>
      </c>
      <c r="DI251" s="2" t="s">
        <v>3</v>
      </c>
      <c r="DJ251" s="2" t="s">
        <v>3</v>
      </c>
      <c r="DK251" s="2" t="s">
        <v>3</v>
      </c>
      <c r="DL251" s="2" t="s">
        <v>3</v>
      </c>
      <c r="DM251" s="2" t="s">
        <v>3</v>
      </c>
      <c r="DN251" s="2">
        <v>0</v>
      </c>
      <c r="DO251" s="2">
        <v>0</v>
      </c>
      <c r="DP251" s="2">
        <v>1</v>
      </c>
      <c r="DQ251" s="2">
        <v>1</v>
      </c>
      <c r="DR251" s="2"/>
      <c r="DS251" s="2"/>
      <c r="DT251" s="2"/>
      <c r="DU251" s="2">
        <v>1005</v>
      </c>
      <c r="DV251" s="2" t="s">
        <v>258</v>
      </c>
      <c r="DW251" s="2" t="s">
        <v>258</v>
      </c>
      <c r="DX251" s="2">
        <v>1</v>
      </c>
      <c r="DY251" s="2"/>
      <c r="DZ251" s="2" t="s">
        <v>3</v>
      </c>
      <c r="EA251" s="2" t="s">
        <v>3</v>
      </c>
      <c r="EB251" s="2" t="s">
        <v>3</v>
      </c>
      <c r="EC251" s="2" t="s">
        <v>3</v>
      </c>
      <c r="ED251" s="2"/>
      <c r="EE251" s="2">
        <v>126052611</v>
      </c>
      <c r="EF251" s="2">
        <v>30</v>
      </c>
      <c r="EG251" s="2" t="s">
        <v>23</v>
      </c>
      <c r="EH251" s="2">
        <v>0</v>
      </c>
      <c r="EI251" s="2" t="s">
        <v>3</v>
      </c>
      <c r="EJ251" s="2">
        <v>1</v>
      </c>
      <c r="EK251" s="2">
        <v>1150</v>
      </c>
      <c r="EL251" s="2" t="s">
        <v>266</v>
      </c>
      <c r="EM251" s="2" t="s">
        <v>267</v>
      </c>
      <c r="EN251" s="2"/>
      <c r="EO251" s="2" t="s">
        <v>3</v>
      </c>
      <c r="EP251" s="2"/>
      <c r="EQ251" s="2">
        <v>0</v>
      </c>
      <c r="ER251" s="2">
        <v>3107.76</v>
      </c>
      <c r="ES251" s="2">
        <v>3107.76</v>
      </c>
      <c r="ET251" s="2">
        <v>0</v>
      </c>
      <c r="EU251" s="2">
        <v>0</v>
      </c>
      <c r="EV251" s="2">
        <v>0</v>
      </c>
      <c r="EW251" s="2">
        <v>0</v>
      </c>
      <c r="EX251" s="2">
        <v>0</v>
      </c>
      <c r="EY251" s="2"/>
      <c r="EZ251" s="2"/>
      <c r="FA251" s="2"/>
      <c r="FB251" s="2"/>
      <c r="FC251" s="2"/>
      <c r="FD251" s="2"/>
      <c r="FE251" s="2"/>
      <c r="FF251" s="2"/>
      <c r="FG251" s="2"/>
      <c r="FH251" s="2"/>
      <c r="FI251" s="2"/>
      <c r="FJ251" s="2"/>
      <c r="FK251" s="2"/>
      <c r="FL251" s="2"/>
      <c r="FM251" s="2"/>
      <c r="FN251" s="2"/>
      <c r="FO251" s="2"/>
      <c r="FP251" s="2"/>
      <c r="FQ251" s="2">
        <v>0</v>
      </c>
      <c r="FR251" s="2">
        <f t="shared" si="173"/>
        <v>0</v>
      </c>
      <c r="FS251" s="2">
        <v>0</v>
      </c>
      <c r="FT251" s="2"/>
      <c r="FU251" s="2"/>
      <c r="FV251" s="2"/>
      <c r="FW251" s="2"/>
      <c r="FX251" s="2">
        <v>105</v>
      </c>
      <c r="FY251" s="2">
        <v>70</v>
      </c>
      <c r="FZ251" s="2"/>
      <c r="GA251" s="2" t="s">
        <v>3</v>
      </c>
      <c r="GB251" s="2"/>
      <c r="GC251" s="2"/>
      <c r="GD251" s="2">
        <v>0</v>
      </c>
      <c r="GE251" s="2"/>
      <c r="GF251" s="2">
        <v>627948916</v>
      </c>
      <c r="GG251" s="2">
        <v>2</v>
      </c>
      <c r="GH251" s="2">
        <v>1</v>
      </c>
      <c r="GI251" s="2">
        <v>-2</v>
      </c>
      <c r="GJ251" s="2">
        <v>0</v>
      </c>
      <c r="GK251" s="2">
        <f>ROUND(R251*(R12)/100,2)</f>
        <v>0</v>
      </c>
      <c r="GL251" s="2">
        <f t="shared" si="174"/>
        <v>0</v>
      </c>
      <c r="GM251" s="2">
        <f t="shared" si="175"/>
        <v>12399.96</v>
      </c>
      <c r="GN251" s="2">
        <f t="shared" si="176"/>
        <v>12399.96</v>
      </c>
      <c r="GO251" s="2">
        <f t="shared" si="177"/>
        <v>0</v>
      </c>
      <c r="GP251" s="2">
        <f t="shared" si="178"/>
        <v>0</v>
      </c>
      <c r="GQ251" s="2"/>
      <c r="GR251" s="2">
        <v>0</v>
      </c>
      <c r="GS251" s="2">
        <v>0</v>
      </c>
      <c r="GT251" s="2">
        <v>0</v>
      </c>
      <c r="GU251" s="2" t="s">
        <v>3</v>
      </c>
      <c r="GV251" s="2">
        <f t="shared" si="179"/>
        <v>0</v>
      </c>
      <c r="GW251" s="2">
        <v>1</v>
      </c>
      <c r="GX251" s="2">
        <f t="shared" si="180"/>
        <v>0</v>
      </c>
      <c r="GY251" s="2"/>
      <c r="GZ251" s="2"/>
      <c r="HA251" s="2">
        <v>0</v>
      </c>
      <c r="HB251" s="2">
        <v>0</v>
      </c>
      <c r="HC251" s="2">
        <f t="shared" si="181"/>
        <v>0</v>
      </c>
      <c r="HD251" s="2"/>
      <c r="HE251" s="2" t="s">
        <v>3</v>
      </c>
      <c r="HF251" s="2" t="s">
        <v>3</v>
      </c>
      <c r="HG251" s="2"/>
      <c r="HH251" s="2"/>
      <c r="HI251" s="2"/>
      <c r="HJ251" s="2"/>
      <c r="HK251" s="2"/>
      <c r="HL251" s="2"/>
      <c r="HM251" s="2" t="s">
        <v>3</v>
      </c>
      <c r="HN251" s="2" t="s">
        <v>3</v>
      </c>
      <c r="HO251" s="2" t="s">
        <v>3</v>
      </c>
      <c r="HP251" s="2" t="s">
        <v>3</v>
      </c>
      <c r="HQ251" s="2" t="s">
        <v>3</v>
      </c>
      <c r="HR251" s="2"/>
      <c r="HS251" s="2"/>
      <c r="HT251" s="2"/>
      <c r="HU251" s="2"/>
      <c r="HV251" s="2"/>
      <c r="HW251" s="2"/>
      <c r="HX251" s="2"/>
      <c r="HY251" s="2"/>
      <c r="HZ251" s="2"/>
      <c r="IA251" s="2"/>
      <c r="IB251" s="2"/>
      <c r="IC251" s="2"/>
      <c r="ID251" s="2"/>
      <c r="IE251" s="2"/>
      <c r="IF251" s="2"/>
      <c r="IG251" s="2"/>
      <c r="IH251" s="2"/>
      <c r="II251" s="2"/>
      <c r="IJ251" s="2"/>
      <c r="IK251" s="2">
        <v>0</v>
      </c>
      <c r="IL251" s="2"/>
      <c r="IM251" s="2"/>
      <c r="IN251" s="2"/>
      <c r="IO251" s="2"/>
      <c r="IP251" s="2"/>
      <c r="IQ251" s="2"/>
      <c r="IR251" s="2"/>
      <c r="IS251" s="2"/>
      <c r="IT251" s="2"/>
      <c r="IU251" s="2"/>
    </row>
    <row r="252" spans="1:255" x14ac:dyDescent="0.2">
      <c r="A252">
        <v>18</v>
      </c>
      <c r="B252">
        <v>1</v>
      </c>
      <c r="C252">
        <v>208</v>
      </c>
      <c r="E252" t="s">
        <v>275</v>
      </c>
      <c r="F252" t="s">
        <v>276</v>
      </c>
      <c r="G252" t="s">
        <v>277</v>
      </c>
      <c r="H252" t="s">
        <v>258</v>
      </c>
      <c r="I252">
        <f>I246*J252</f>
        <v>3.99</v>
      </c>
      <c r="J252">
        <v>100.00000000000001</v>
      </c>
      <c r="K252">
        <v>100</v>
      </c>
      <c r="O252">
        <f t="shared" si="149"/>
        <v>107259.65</v>
      </c>
      <c r="P252">
        <f t="shared" si="150"/>
        <v>107259.65</v>
      </c>
      <c r="Q252">
        <f t="shared" si="187"/>
        <v>0</v>
      </c>
      <c r="R252">
        <f t="shared" si="151"/>
        <v>0</v>
      </c>
      <c r="S252">
        <f t="shared" si="152"/>
        <v>0</v>
      </c>
      <c r="T252">
        <f t="shared" si="153"/>
        <v>0</v>
      </c>
      <c r="U252">
        <f t="shared" si="154"/>
        <v>0</v>
      </c>
      <c r="V252">
        <f t="shared" si="155"/>
        <v>0</v>
      </c>
      <c r="W252">
        <f t="shared" si="156"/>
        <v>0</v>
      </c>
      <c r="X252">
        <f t="shared" si="157"/>
        <v>0</v>
      </c>
      <c r="Y252">
        <f t="shared" si="158"/>
        <v>0</v>
      </c>
      <c r="AA252">
        <v>129761633</v>
      </c>
      <c r="AB252">
        <f t="shared" si="159"/>
        <v>3107.76</v>
      </c>
      <c r="AC252">
        <f t="shared" si="160"/>
        <v>3107.76</v>
      </c>
      <c r="AD252">
        <f t="shared" si="188"/>
        <v>0</v>
      </c>
      <c r="AE252">
        <f t="shared" si="189"/>
        <v>0</v>
      </c>
      <c r="AF252">
        <f t="shared" si="189"/>
        <v>0</v>
      </c>
      <c r="AG252">
        <f t="shared" si="162"/>
        <v>0</v>
      </c>
      <c r="AH252">
        <f t="shared" si="190"/>
        <v>0</v>
      </c>
      <c r="AI252">
        <f t="shared" si="190"/>
        <v>0</v>
      </c>
      <c r="AJ252">
        <f t="shared" si="164"/>
        <v>0</v>
      </c>
      <c r="AK252">
        <v>3107.76</v>
      </c>
      <c r="AL252">
        <v>3107.76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1</v>
      </c>
      <c r="AW252">
        <v>1</v>
      </c>
      <c r="AZ252">
        <v>1</v>
      </c>
      <c r="BA252">
        <v>1</v>
      </c>
      <c r="BB252">
        <v>1</v>
      </c>
      <c r="BC252">
        <v>8.65</v>
      </c>
      <c r="BD252" t="s">
        <v>3</v>
      </c>
      <c r="BE252" t="s">
        <v>3</v>
      </c>
      <c r="BF252" t="s">
        <v>3</v>
      </c>
      <c r="BG252" t="s">
        <v>3</v>
      </c>
      <c r="BH252">
        <v>3</v>
      </c>
      <c r="BI252">
        <v>1</v>
      </c>
      <c r="BJ252" t="s">
        <v>278</v>
      </c>
      <c r="BM252">
        <v>1150</v>
      </c>
      <c r="BN252">
        <v>0</v>
      </c>
      <c r="BO252" t="s">
        <v>3</v>
      </c>
      <c r="BP252">
        <v>0</v>
      </c>
      <c r="BQ252">
        <v>30</v>
      </c>
      <c r="BR252">
        <v>0</v>
      </c>
      <c r="BS252">
        <v>1</v>
      </c>
      <c r="BT252">
        <v>1</v>
      </c>
      <c r="BU252">
        <v>1</v>
      </c>
      <c r="BV252">
        <v>1</v>
      </c>
      <c r="BW252">
        <v>1</v>
      </c>
      <c r="BX252">
        <v>1</v>
      </c>
      <c r="BY252" t="s">
        <v>3</v>
      </c>
      <c r="BZ252">
        <v>0</v>
      </c>
      <c r="CA252">
        <v>0</v>
      </c>
      <c r="CB252" t="s">
        <v>3</v>
      </c>
      <c r="CE252">
        <v>30</v>
      </c>
      <c r="CF252">
        <v>0</v>
      </c>
      <c r="CG252">
        <v>0</v>
      </c>
      <c r="CM252">
        <v>0</v>
      </c>
      <c r="CN252" t="s">
        <v>3</v>
      </c>
      <c r="CO252">
        <v>0</v>
      </c>
      <c r="CP252">
        <f t="shared" si="165"/>
        <v>107259.65</v>
      </c>
      <c r="CQ252">
        <f t="shared" si="166"/>
        <v>26882.12</v>
      </c>
      <c r="CR252">
        <f t="shared" si="191"/>
        <v>0</v>
      </c>
      <c r="CS252">
        <f t="shared" si="167"/>
        <v>0</v>
      </c>
      <c r="CT252">
        <f t="shared" si="168"/>
        <v>0</v>
      </c>
      <c r="CU252">
        <f t="shared" si="169"/>
        <v>0</v>
      </c>
      <c r="CV252">
        <f t="shared" si="170"/>
        <v>0</v>
      </c>
      <c r="CW252">
        <f t="shared" si="171"/>
        <v>0</v>
      </c>
      <c r="CX252">
        <f t="shared" si="172"/>
        <v>0</v>
      </c>
      <c r="CY252">
        <f>S252*(BZ252/100)</f>
        <v>0</v>
      </c>
      <c r="CZ252">
        <f>S252*(CA252/100)</f>
        <v>0</v>
      </c>
      <c r="DC252" t="s">
        <v>3</v>
      </c>
      <c r="DD252" t="s">
        <v>3</v>
      </c>
      <c r="DE252" t="s">
        <v>3</v>
      </c>
      <c r="DF252" t="s">
        <v>3</v>
      </c>
      <c r="DG252" t="s">
        <v>3</v>
      </c>
      <c r="DH252" t="s">
        <v>3</v>
      </c>
      <c r="DI252" t="s">
        <v>3</v>
      </c>
      <c r="DJ252" t="s">
        <v>3</v>
      </c>
      <c r="DK252" t="s">
        <v>3</v>
      </c>
      <c r="DL252" t="s">
        <v>3</v>
      </c>
      <c r="DM252" t="s">
        <v>3</v>
      </c>
      <c r="DN252">
        <v>105</v>
      </c>
      <c r="DO252">
        <v>70</v>
      </c>
      <c r="DP252">
        <v>1</v>
      </c>
      <c r="DQ252">
        <v>1</v>
      </c>
      <c r="DU252">
        <v>1005</v>
      </c>
      <c r="DV252" t="s">
        <v>258</v>
      </c>
      <c r="DW252" t="s">
        <v>258</v>
      </c>
      <c r="DX252">
        <v>1</v>
      </c>
      <c r="DZ252" t="s">
        <v>3</v>
      </c>
      <c r="EA252" t="s">
        <v>3</v>
      </c>
      <c r="EB252" t="s">
        <v>3</v>
      </c>
      <c r="EC252" t="s">
        <v>3</v>
      </c>
      <c r="EE252">
        <v>126052611</v>
      </c>
      <c r="EF252">
        <v>30</v>
      </c>
      <c r="EG252" t="s">
        <v>23</v>
      </c>
      <c r="EH252">
        <v>0</v>
      </c>
      <c r="EI252" t="s">
        <v>3</v>
      </c>
      <c r="EJ252">
        <v>1</v>
      </c>
      <c r="EK252">
        <v>1150</v>
      </c>
      <c r="EL252" t="s">
        <v>266</v>
      </c>
      <c r="EM252" t="s">
        <v>267</v>
      </c>
      <c r="EO252" t="s">
        <v>3</v>
      </c>
      <c r="EQ252">
        <v>0</v>
      </c>
      <c r="ER252">
        <v>3107.76</v>
      </c>
      <c r="ES252">
        <v>3107.76</v>
      </c>
      <c r="ET252">
        <v>0</v>
      </c>
      <c r="EU252">
        <v>0</v>
      </c>
      <c r="EV252">
        <v>0</v>
      </c>
      <c r="EW252">
        <v>0</v>
      </c>
      <c r="EX252">
        <v>0</v>
      </c>
      <c r="FQ252">
        <v>0</v>
      </c>
      <c r="FR252">
        <f t="shared" si="173"/>
        <v>0</v>
      </c>
      <c r="FS252">
        <v>0</v>
      </c>
      <c r="FX252">
        <v>105</v>
      </c>
      <c r="FY252">
        <v>70</v>
      </c>
      <c r="GA252" t="s">
        <v>3</v>
      </c>
      <c r="GD252">
        <v>0</v>
      </c>
      <c r="GF252">
        <v>627948916</v>
      </c>
      <c r="GG252">
        <v>2</v>
      </c>
      <c r="GH252">
        <v>1</v>
      </c>
      <c r="GI252">
        <v>5</v>
      </c>
      <c r="GJ252">
        <v>0</v>
      </c>
      <c r="GK252">
        <f>ROUND(R252*(S12)/100,2)</f>
        <v>0</v>
      </c>
      <c r="GL252">
        <f t="shared" si="174"/>
        <v>0</v>
      </c>
      <c r="GM252">
        <f t="shared" si="175"/>
        <v>107259.65</v>
      </c>
      <c r="GN252">
        <f t="shared" si="176"/>
        <v>107259.65</v>
      </c>
      <c r="GO252">
        <f t="shared" si="177"/>
        <v>0</v>
      </c>
      <c r="GP252">
        <f t="shared" si="178"/>
        <v>0</v>
      </c>
      <c r="GR252">
        <v>0</v>
      </c>
      <c r="GS252">
        <v>3</v>
      </c>
      <c r="GT252">
        <v>0</v>
      </c>
      <c r="GU252" t="s">
        <v>3</v>
      </c>
      <c r="GV252">
        <f t="shared" si="179"/>
        <v>0</v>
      </c>
      <c r="GW252">
        <v>1</v>
      </c>
      <c r="GX252">
        <f t="shared" si="180"/>
        <v>0</v>
      </c>
      <c r="HA252">
        <v>0</v>
      </c>
      <c r="HB252">
        <v>0</v>
      </c>
      <c r="HC252">
        <f t="shared" si="181"/>
        <v>0</v>
      </c>
      <c r="HE252" t="s">
        <v>3</v>
      </c>
      <c r="HF252" t="s">
        <v>3</v>
      </c>
      <c r="HM252" t="s">
        <v>3</v>
      </c>
      <c r="HN252" t="s">
        <v>3</v>
      </c>
      <c r="HO252" t="s">
        <v>3</v>
      </c>
      <c r="HP252" t="s">
        <v>3</v>
      </c>
      <c r="HQ252" t="s">
        <v>3</v>
      </c>
      <c r="IK252">
        <v>0</v>
      </c>
    </row>
    <row r="253" spans="1:255" x14ac:dyDescent="0.2">
      <c r="A253" s="2">
        <v>17</v>
      </c>
      <c r="B253" s="2">
        <v>1</v>
      </c>
      <c r="C253" s="2">
        <f>ROW(SmtRes!A212)</f>
        <v>212</v>
      </c>
      <c r="D253" s="2">
        <f>ROW(EtalonRes!A218)</f>
        <v>218</v>
      </c>
      <c r="E253" s="2" t="s">
        <v>279</v>
      </c>
      <c r="F253" s="2" t="s">
        <v>280</v>
      </c>
      <c r="G253" s="2" t="s">
        <v>281</v>
      </c>
      <c r="H253" s="2" t="s">
        <v>282</v>
      </c>
      <c r="I253" s="2">
        <v>6</v>
      </c>
      <c r="J253" s="2">
        <v>0</v>
      </c>
      <c r="K253" s="2">
        <v>6</v>
      </c>
      <c r="L253" s="2"/>
      <c r="M253" s="2"/>
      <c r="N253" s="2"/>
      <c r="O253" s="2">
        <f t="shared" si="149"/>
        <v>28.12</v>
      </c>
      <c r="P253" s="2">
        <f t="shared" si="150"/>
        <v>0</v>
      </c>
      <c r="Q253" s="2">
        <f>(ROUND((ROUND((((ET253*1.25))*AV253*I253),2)*BB253),2)+ROUND((ROUND(((AE253-((EU253*1.25)))*AV253*I253),2)*BS253),2))</f>
        <v>1.35</v>
      </c>
      <c r="R253" s="2">
        <f t="shared" si="151"/>
        <v>0.15</v>
      </c>
      <c r="S253" s="2">
        <f t="shared" si="152"/>
        <v>26.77</v>
      </c>
      <c r="T253" s="2">
        <f t="shared" si="153"/>
        <v>0</v>
      </c>
      <c r="U253" s="2">
        <f t="shared" si="154"/>
        <v>1.863</v>
      </c>
      <c r="V253" s="2">
        <f t="shared" si="155"/>
        <v>0</v>
      </c>
      <c r="W253" s="2">
        <f t="shared" si="156"/>
        <v>0</v>
      </c>
      <c r="X253" s="2">
        <f t="shared" si="157"/>
        <v>28.11</v>
      </c>
      <c r="Y253" s="2">
        <f t="shared" si="158"/>
        <v>18.739999999999998</v>
      </c>
      <c r="Z253" s="2"/>
      <c r="AA253" s="2">
        <v>129761636</v>
      </c>
      <c r="AB253" s="2">
        <f t="shared" si="159"/>
        <v>4.6870000000000003</v>
      </c>
      <c r="AC253" s="2">
        <f t="shared" si="160"/>
        <v>0</v>
      </c>
      <c r="AD253" s="2">
        <f>ROUND(((((ET253*1.25))-((EU253*1.25)))+AE253),6)</f>
        <v>0.22500000000000001</v>
      </c>
      <c r="AE253" s="2">
        <f>ROUND(((EU253*1.25)),6)</f>
        <v>2.5000000000000001E-2</v>
      </c>
      <c r="AF253" s="2">
        <f>ROUND(((EV253*1.15)),6)</f>
        <v>4.4619999999999997</v>
      </c>
      <c r="AG253" s="2">
        <f t="shared" si="162"/>
        <v>0</v>
      </c>
      <c r="AH253" s="2">
        <f>((EW253*1.15))</f>
        <v>0.3105</v>
      </c>
      <c r="AI253" s="2">
        <f>((EX253*1.25))</f>
        <v>0</v>
      </c>
      <c r="AJ253" s="2">
        <f t="shared" si="164"/>
        <v>0</v>
      </c>
      <c r="AK253" s="2">
        <v>4.0599999999999996</v>
      </c>
      <c r="AL253" s="2">
        <v>0</v>
      </c>
      <c r="AM253" s="2">
        <v>0.18</v>
      </c>
      <c r="AN253" s="2">
        <v>0.02</v>
      </c>
      <c r="AO253" s="2">
        <v>3.88</v>
      </c>
      <c r="AP253" s="2">
        <v>0</v>
      </c>
      <c r="AQ253" s="2">
        <v>0.27</v>
      </c>
      <c r="AR253" s="2">
        <v>0</v>
      </c>
      <c r="AS253" s="2">
        <v>0</v>
      </c>
      <c r="AT253" s="2">
        <v>105</v>
      </c>
      <c r="AU253" s="2">
        <v>70</v>
      </c>
      <c r="AV253" s="2">
        <v>1</v>
      </c>
      <c r="AW253" s="2">
        <v>1</v>
      </c>
      <c r="AX253" s="2"/>
      <c r="AY253" s="2"/>
      <c r="AZ253" s="2">
        <v>1</v>
      </c>
      <c r="BA253" s="2">
        <v>1</v>
      </c>
      <c r="BB253" s="2">
        <v>1</v>
      </c>
      <c r="BC253" s="2">
        <v>1</v>
      </c>
      <c r="BD253" s="2" t="s">
        <v>3</v>
      </c>
      <c r="BE253" s="2" t="s">
        <v>3</v>
      </c>
      <c r="BF253" s="2" t="s">
        <v>3</v>
      </c>
      <c r="BG253" s="2" t="s">
        <v>3</v>
      </c>
      <c r="BH253" s="2">
        <v>0</v>
      </c>
      <c r="BI253" s="2">
        <v>1</v>
      </c>
      <c r="BJ253" s="2" t="s">
        <v>283</v>
      </c>
      <c r="BK253" s="2"/>
      <c r="BL253" s="2"/>
      <c r="BM253" s="2">
        <v>85</v>
      </c>
      <c r="BN253" s="2">
        <v>0</v>
      </c>
      <c r="BO253" s="2" t="s">
        <v>3</v>
      </c>
      <c r="BP253" s="2">
        <v>0</v>
      </c>
      <c r="BQ253" s="2">
        <v>30</v>
      </c>
      <c r="BR253" s="2">
        <v>0</v>
      </c>
      <c r="BS253" s="2">
        <v>1</v>
      </c>
      <c r="BT253" s="2">
        <v>1</v>
      </c>
      <c r="BU253" s="2">
        <v>1</v>
      </c>
      <c r="BV253" s="2">
        <v>1</v>
      </c>
      <c r="BW253" s="2">
        <v>1</v>
      </c>
      <c r="BX253" s="2">
        <v>1</v>
      </c>
      <c r="BY253" s="2" t="s">
        <v>3</v>
      </c>
      <c r="BZ253" s="2">
        <v>105</v>
      </c>
      <c r="CA253" s="2">
        <v>70</v>
      </c>
      <c r="CB253" s="2" t="s">
        <v>3</v>
      </c>
      <c r="CC253" s="2"/>
      <c r="CD253" s="2"/>
      <c r="CE253" s="2">
        <v>30</v>
      </c>
      <c r="CF253" s="2">
        <v>0</v>
      </c>
      <c r="CG253" s="2">
        <v>0</v>
      </c>
      <c r="CH253" s="2"/>
      <c r="CI253" s="2"/>
      <c r="CJ253" s="2"/>
      <c r="CK253" s="2"/>
      <c r="CL253" s="2"/>
      <c r="CM253" s="2">
        <v>0</v>
      </c>
      <c r="CN253" s="2" t="s">
        <v>1559</v>
      </c>
      <c r="CO253" s="2">
        <v>0</v>
      </c>
      <c r="CP253" s="2">
        <f t="shared" si="165"/>
        <v>28.12</v>
      </c>
      <c r="CQ253" s="2">
        <f t="shared" si="166"/>
        <v>0</v>
      </c>
      <c r="CR253" s="2">
        <f>(ROUND((ROUND((((ET253*1.25))*AV253*1),2)*BB253),2)+ROUND((ROUND(((AE253-((EU253*1.25)))*AV253*1),2)*BS253),2))</f>
        <v>0.23</v>
      </c>
      <c r="CS253" s="2">
        <f t="shared" si="167"/>
        <v>0.03</v>
      </c>
      <c r="CT253" s="2">
        <f t="shared" si="168"/>
        <v>4.46</v>
      </c>
      <c r="CU253" s="2">
        <f t="shared" si="169"/>
        <v>0</v>
      </c>
      <c r="CV253" s="2">
        <f t="shared" si="170"/>
        <v>0.3105</v>
      </c>
      <c r="CW253" s="2">
        <f t="shared" si="171"/>
        <v>0</v>
      </c>
      <c r="CX253" s="2">
        <f t="shared" si="172"/>
        <v>0</v>
      </c>
      <c r="CY253" s="2">
        <f>((S253*BZ253)/100)</f>
        <v>28.108499999999999</v>
      </c>
      <c r="CZ253" s="2">
        <f>((S253*CA253)/100)</f>
        <v>18.738999999999997</v>
      </c>
      <c r="DA253" s="2"/>
      <c r="DB253" s="2"/>
      <c r="DC253" s="2" t="s">
        <v>3</v>
      </c>
      <c r="DD253" s="2" t="s">
        <v>3</v>
      </c>
      <c r="DE253" s="2" t="s">
        <v>86</v>
      </c>
      <c r="DF253" s="2" t="s">
        <v>86</v>
      </c>
      <c r="DG253" s="2" t="s">
        <v>87</v>
      </c>
      <c r="DH253" s="2" t="s">
        <v>3</v>
      </c>
      <c r="DI253" s="2" t="s">
        <v>87</v>
      </c>
      <c r="DJ253" s="2" t="s">
        <v>86</v>
      </c>
      <c r="DK253" s="2" t="s">
        <v>3</v>
      </c>
      <c r="DL253" s="2" t="s">
        <v>3</v>
      </c>
      <c r="DM253" s="2" t="s">
        <v>3</v>
      </c>
      <c r="DN253" s="2">
        <v>0</v>
      </c>
      <c r="DO253" s="2">
        <v>0</v>
      </c>
      <c r="DP253" s="2">
        <v>1</v>
      </c>
      <c r="DQ253" s="2">
        <v>1</v>
      </c>
      <c r="DR253" s="2"/>
      <c r="DS253" s="2"/>
      <c r="DT253" s="2"/>
      <c r="DU253" s="2">
        <v>1013</v>
      </c>
      <c r="DV253" s="2" t="s">
        <v>282</v>
      </c>
      <c r="DW253" s="2" t="s">
        <v>282</v>
      </c>
      <c r="DX253" s="2">
        <v>1</v>
      </c>
      <c r="DY253" s="2"/>
      <c r="DZ253" s="2" t="s">
        <v>3</v>
      </c>
      <c r="EA253" s="2" t="s">
        <v>3</v>
      </c>
      <c r="EB253" s="2" t="s">
        <v>3</v>
      </c>
      <c r="EC253" s="2" t="s">
        <v>3</v>
      </c>
      <c r="ED253" s="2"/>
      <c r="EE253" s="2">
        <v>126051546</v>
      </c>
      <c r="EF253" s="2">
        <v>30</v>
      </c>
      <c r="EG253" s="2" t="s">
        <v>23</v>
      </c>
      <c r="EH253" s="2">
        <v>0</v>
      </c>
      <c r="EI253" s="2" t="s">
        <v>3</v>
      </c>
      <c r="EJ253" s="2">
        <v>1</v>
      </c>
      <c r="EK253" s="2">
        <v>85</v>
      </c>
      <c r="EL253" s="2" t="s">
        <v>284</v>
      </c>
      <c r="EM253" s="2" t="s">
        <v>285</v>
      </c>
      <c r="EN253" s="2"/>
      <c r="EO253" s="2" t="s">
        <v>90</v>
      </c>
      <c r="EP253" s="2"/>
      <c r="EQ253" s="2">
        <v>131072</v>
      </c>
      <c r="ER253" s="2">
        <v>4.0599999999999996</v>
      </c>
      <c r="ES253" s="2">
        <v>0</v>
      </c>
      <c r="ET253" s="2">
        <v>0.18</v>
      </c>
      <c r="EU253" s="2">
        <v>0.02</v>
      </c>
      <c r="EV253" s="2">
        <v>3.88</v>
      </c>
      <c r="EW253" s="2">
        <v>0.27</v>
      </c>
      <c r="EX253" s="2">
        <v>0</v>
      </c>
      <c r="EY253" s="2">
        <v>0</v>
      </c>
      <c r="EZ253" s="2"/>
      <c r="FA253" s="2"/>
      <c r="FB253" s="2"/>
      <c r="FC253" s="2"/>
      <c r="FD253" s="2"/>
      <c r="FE253" s="2"/>
      <c r="FF253" s="2"/>
      <c r="FG253" s="2"/>
      <c r="FH253" s="2"/>
      <c r="FI253" s="2"/>
      <c r="FJ253" s="2"/>
      <c r="FK253" s="2"/>
      <c r="FL253" s="2"/>
      <c r="FM253" s="2"/>
      <c r="FN253" s="2"/>
      <c r="FO253" s="2"/>
      <c r="FP253" s="2"/>
      <c r="FQ253" s="2">
        <v>0</v>
      </c>
      <c r="FR253" s="2">
        <f t="shared" si="173"/>
        <v>0</v>
      </c>
      <c r="FS253" s="2">
        <v>0</v>
      </c>
      <c r="FT253" s="2"/>
      <c r="FU253" s="2"/>
      <c r="FV253" s="2"/>
      <c r="FW253" s="2"/>
      <c r="FX253" s="2">
        <v>105</v>
      </c>
      <c r="FY253" s="2">
        <v>70</v>
      </c>
      <c r="FZ253" s="2"/>
      <c r="GA253" s="2" t="s">
        <v>3</v>
      </c>
      <c r="GB253" s="2"/>
      <c r="GC253" s="2"/>
      <c r="GD253" s="2">
        <v>0</v>
      </c>
      <c r="GE253" s="2"/>
      <c r="GF253" s="2">
        <v>1830854158</v>
      </c>
      <c r="GG253" s="2">
        <v>2</v>
      </c>
      <c r="GH253" s="2">
        <v>1</v>
      </c>
      <c r="GI253" s="2">
        <v>-2</v>
      </c>
      <c r="GJ253" s="2">
        <v>0</v>
      </c>
      <c r="GK253" s="2">
        <f>ROUND(R253*(R12)/100,2)</f>
        <v>0.26</v>
      </c>
      <c r="GL253" s="2">
        <f t="shared" si="174"/>
        <v>0</v>
      </c>
      <c r="GM253" s="2">
        <f t="shared" si="175"/>
        <v>75.23</v>
      </c>
      <c r="GN253" s="2">
        <f t="shared" si="176"/>
        <v>75.23</v>
      </c>
      <c r="GO253" s="2">
        <f t="shared" si="177"/>
        <v>0</v>
      </c>
      <c r="GP253" s="2">
        <f t="shared" si="178"/>
        <v>0</v>
      </c>
      <c r="GQ253" s="2"/>
      <c r="GR253" s="2">
        <v>0</v>
      </c>
      <c r="GS253" s="2">
        <v>0</v>
      </c>
      <c r="GT253" s="2">
        <v>0</v>
      </c>
      <c r="GU253" s="2" t="s">
        <v>3</v>
      </c>
      <c r="GV253" s="2">
        <f t="shared" si="179"/>
        <v>0</v>
      </c>
      <c r="GW253" s="2">
        <v>1</v>
      </c>
      <c r="GX253" s="2">
        <f t="shared" si="180"/>
        <v>0</v>
      </c>
      <c r="GY253" s="2"/>
      <c r="GZ253" s="2"/>
      <c r="HA253" s="2">
        <v>0</v>
      </c>
      <c r="HB253" s="2">
        <v>0</v>
      </c>
      <c r="HC253" s="2">
        <f t="shared" si="181"/>
        <v>0</v>
      </c>
      <c r="HD253" s="2"/>
      <c r="HE253" s="2" t="s">
        <v>3</v>
      </c>
      <c r="HF253" s="2" t="s">
        <v>3</v>
      </c>
      <c r="HG253" s="2"/>
      <c r="HH253" s="2"/>
      <c r="HI253" s="2"/>
      <c r="HJ253" s="2"/>
      <c r="HK253" s="2"/>
      <c r="HL253" s="2"/>
      <c r="HM253" s="2" t="s">
        <v>3</v>
      </c>
      <c r="HN253" s="2" t="s">
        <v>3</v>
      </c>
      <c r="HO253" s="2" t="s">
        <v>3</v>
      </c>
      <c r="HP253" s="2" t="s">
        <v>3</v>
      </c>
      <c r="HQ253" s="2" t="s">
        <v>3</v>
      </c>
      <c r="HR253" s="2"/>
      <c r="HS253" s="2"/>
      <c r="HT253" s="2"/>
      <c r="HU253" s="2"/>
      <c r="HV253" s="2"/>
      <c r="HW253" s="2"/>
      <c r="HX253" s="2"/>
      <c r="HY253" s="2"/>
      <c r="HZ253" s="2"/>
      <c r="IA253" s="2"/>
      <c r="IB253" s="2"/>
      <c r="IC253" s="2"/>
      <c r="ID253" s="2"/>
      <c r="IE253" s="2"/>
      <c r="IF253" s="2"/>
      <c r="IG253" s="2"/>
      <c r="IH253" s="2"/>
      <c r="II253" s="2"/>
      <c r="IJ253" s="2"/>
      <c r="IK253" s="2">
        <v>0</v>
      </c>
      <c r="IL253" s="2"/>
      <c r="IM253" s="2"/>
      <c r="IN253" s="2"/>
      <c r="IO253" s="2"/>
      <c r="IP253" s="2"/>
      <c r="IQ253" s="2"/>
      <c r="IR253" s="2"/>
      <c r="IS253" s="2"/>
      <c r="IT253" s="2"/>
      <c r="IU253" s="2"/>
    </row>
    <row r="254" spans="1:255" x14ac:dyDescent="0.2">
      <c r="A254">
        <v>17</v>
      </c>
      <c r="B254">
        <v>1</v>
      </c>
      <c r="C254">
        <f>ROW(SmtRes!A216)</f>
        <v>216</v>
      </c>
      <c r="D254">
        <f>ROW(EtalonRes!A222)</f>
        <v>222</v>
      </c>
      <c r="E254" t="s">
        <v>279</v>
      </c>
      <c r="F254" t="s">
        <v>280</v>
      </c>
      <c r="G254" t="s">
        <v>281</v>
      </c>
      <c r="H254" t="s">
        <v>282</v>
      </c>
      <c r="I254">
        <v>6</v>
      </c>
      <c r="J254">
        <v>0</v>
      </c>
      <c r="K254">
        <v>6</v>
      </c>
      <c r="O254">
        <f t="shared" si="149"/>
        <v>790.44</v>
      </c>
      <c r="P254">
        <f t="shared" si="150"/>
        <v>0</v>
      </c>
      <c r="Q254">
        <f>(ROUND((ROUND((((ET254*1.25))*AV254*I254),2)*BB254),2)+ROUND((ROUND(((AE254-((EU254*1.25)))*AV254*I254),2)*BS254),2))</f>
        <v>13.31</v>
      </c>
      <c r="R254">
        <f t="shared" si="151"/>
        <v>4.3499999999999996</v>
      </c>
      <c r="S254">
        <f t="shared" si="152"/>
        <v>777.13</v>
      </c>
      <c r="T254">
        <f t="shared" si="153"/>
        <v>0</v>
      </c>
      <c r="U254">
        <f t="shared" si="154"/>
        <v>1.863</v>
      </c>
      <c r="V254">
        <f t="shared" si="155"/>
        <v>0</v>
      </c>
      <c r="W254">
        <f t="shared" si="156"/>
        <v>0</v>
      </c>
      <c r="X254">
        <f t="shared" si="157"/>
        <v>676.1</v>
      </c>
      <c r="Y254">
        <f t="shared" si="158"/>
        <v>318.62</v>
      </c>
      <c r="AA254">
        <v>129761633</v>
      </c>
      <c r="AB254">
        <f t="shared" si="159"/>
        <v>4.6870000000000003</v>
      </c>
      <c r="AC254">
        <f t="shared" si="160"/>
        <v>0</v>
      </c>
      <c r="AD254">
        <f>ROUND(((((ET254*1.25))-((EU254*1.25)))+AE254),6)</f>
        <v>0.22500000000000001</v>
      </c>
      <c r="AE254">
        <f>ROUND(((EU254*1.25)),6)</f>
        <v>2.5000000000000001E-2</v>
      </c>
      <c r="AF254">
        <f>ROUND(((EV254*1.15)),6)</f>
        <v>4.4619999999999997</v>
      </c>
      <c r="AG254">
        <f t="shared" si="162"/>
        <v>0</v>
      </c>
      <c r="AH254">
        <f>((EW254*1.15))</f>
        <v>0.3105</v>
      </c>
      <c r="AI254">
        <f>((EX254*1.25))</f>
        <v>0</v>
      </c>
      <c r="AJ254">
        <f t="shared" si="164"/>
        <v>0</v>
      </c>
      <c r="AK254">
        <v>4.0599999999999996</v>
      </c>
      <c r="AL254">
        <v>0</v>
      </c>
      <c r="AM254">
        <v>0.18</v>
      </c>
      <c r="AN254">
        <v>0.02</v>
      </c>
      <c r="AO254">
        <v>3.88</v>
      </c>
      <c r="AP254">
        <v>0</v>
      </c>
      <c r="AQ254">
        <v>0.27</v>
      </c>
      <c r="AR254">
        <v>0</v>
      </c>
      <c r="AS254">
        <v>0</v>
      </c>
      <c r="AT254">
        <v>87</v>
      </c>
      <c r="AU254">
        <v>41</v>
      </c>
      <c r="AV254">
        <v>1</v>
      </c>
      <c r="AW254">
        <v>1</v>
      </c>
      <c r="AZ254">
        <v>1</v>
      </c>
      <c r="BA254">
        <v>29.03</v>
      </c>
      <c r="BB254">
        <v>9.86</v>
      </c>
      <c r="BC254">
        <v>1</v>
      </c>
      <c r="BD254" t="s">
        <v>3</v>
      </c>
      <c r="BE254" t="s">
        <v>3</v>
      </c>
      <c r="BF254" t="s">
        <v>3</v>
      </c>
      <c r="BG254" t="s">
        <v>3</v>
      </c>
      <c r="BH254">
        <v>0</v>
      </c>
      <c r="BI254">
        <v>1</v>
      </c>
      <c r="BJ254" t="s">
        <v>283</v>
      </c>
      <c r="BM254">
        <v>85</v>
      </c>
      <c r="BN254">
        <v>0</v>
      </c>
      <c r="BO254" t="s">
        <v>280</v>
      </c>
      <c r="BP254">
        <v>1</v>
      </c>
      <c r="BQ254">
        <v>30</v>
      </c>
      <c r="BR254">
        <v>0</v>
      </c>
      <c r="BS254">
        <v>29.03</v>
      </c>
      <c r="BT254">
        <v>1</v>
      </c>
      <c r="BU254">
        <v>1</v>
      </c>
      <c r="BV254">
        <v>1</v>
      </c>
      <c r="BW254">
        <v>1</v>
      </c>
      <c r="BX254">
        <v>1</v>
      </c>
      <c r="BY254" t="s">
        <v>3</v>
      </c>
      <c r="BZ254">
        <v>87</v>
      </c>
      <c r="CA254">
        <v>41</v>
      </c>
      <c r="CB254" t="s">
        <v>3</v>
      </c>
      <c r="CE254">
        <v>30</v>
      </c>
      <c r="CF254">
        <v>0</v>
      </c>
      <c r="CG254">
        <v>0</v>
      </c>
      <c r="CM254">
        <v>0</v>
      </c>
      <c r="CN254" t="s">
        <v>1559</v>
      </c>
      <c r="CO254">
        <v>0</v>
      </c>
      <c r="CP254">
        <f t="shared" si="165"/>
        <v>790.43999999999994</v>
      </c>
      <c r="CQ254">
        <f t="shared" si="166"/>
        <v>0</v>
      </c>
      <c r="CR254">
        <f>(ROUND((ROUND((((ET254*1.25))*AV254*1),2)*BB254),2)+ROUND((ROUND(((AE254-((EU254*1.25)))*AV254*1),2)*BS254),2))</f>
        <v>2.27</v>
      </c>
      <c r="CS254">
        <f t="shared" si="167"/>
        <v>0.87</v>
      </c>
      <c r="CT254">
        <f t="shared" si="168"/>
        <v>129.47</v>
      </c>
      <c r="CU254">
        <f t="shared" si="169"/>
        <v>0</v>
      </c>
      <c r="CV254">
        <f t="shared" si="170"/>
        <v>0.3105</v>
      </c>
      <c r="CW254">
        <f t="shared" si="171"/>
        <v>0</v>
      </c>
      <c r="CX254">
        <f t="shared" si="172"/>
        <v>0</v>
      </c>
      <c r="CY254">
        <f>S254*(BZ254/100)</f>
        <v>676.10310000000004</v>
      </c>
      <c r="CZ254">
        <f>S254*(CA254/100)</f>
        <v>318.62329999999997</v>
      </c>
      <c r="DC254" t="s">
        <v>3</v>
      </c>
      <c r="DD254" t="s">
        <v>3</v>
      </c>
      <c r="DE254" t="s">
        <v>86</v>
      </c>
      <c r="DF254" t="s">
        <v>86</v>
      </c>
      <c r="DG254" t="s">
        <v>87</v>
      </c>
      <c r="DH254" t="s">
        <v>3</v>
      </c>
      <c r="DI254" t="s">
        <v>87</v>
      </c>
      <c r="DJ254" t="s">
        <v>86</v>
      </c>
      <c r="DK254" t="s">
        <v>3</v>
      </c>
      <c r="DL254" t="s">
        <v>3</v>
      </c>
      <c r="DM254" t="s">
        <v>3</v>
      </c>
      <c r="DN254">
        <v>105</v>
      </c>
      <c r="DO254">
        <v>70</v>
      </c>
      <c r="DP254">
        <v>1</v>
      </c>
      <c r="DQ254">
        <v>1</v>
      </c>
      <c r="DU254">
        <v>1013</v>
      </c>
      <c r="DV254" t="s">
        <v>282</v>
      </c>
      <c r="DW254" t="s">
        <v>282</v>
      </c>
      <c r="DX254">
        <v>1</v>
      </c>
      <c r="DZ254" t="s">
        <v>3</v>
      </c>
      <c r="EA254" t="s">
        <v>3</v>
      </c>
      <c r="EB254" t="s">
        <v>3</v>
      </c>
      <c r="EC254" t="s">
        <v>3</v>
      </c>
      <c r="EE254">
        <v>126051546</v>
      </c>
      <c r="EF254">
        <v>30</v>
      </c>
      <c r="EG254" t="s">
        <v>23</v>
      </c>
      <c r="EH254">
        <v>0</v>
      </c>
      <c r="EI254" t="s">
        <v>3</v>
      </c>
      <c r="EJ254">
        <v>1</v>
      </c>
      <c r="EK254">
        <v>85</v>
      </c>
      <c r="EL254" t="s">
        <v>284</v>
      </c>
      <c r="EM254" t="s">
        <v>285</v>
      </c>
      <c r="EO254" t="s">
        <v>90</v>
      </c>
      <c r="EQ254">
        <v>131072</v>
      </c>
      <c r="ER254">
        <v>4.0599999999999996</v>
      </c>
      <c r="ES254">
        <v>0</v>
      </c>
      <c r="ET254">
        <v>0.18</v>
      </c>
      <c r="EU254">
        <v>0.02</v>
      </c>
      <c r="EV254">
        <v>3.88</v>
      </c>
      <c r="EW254">
        <v>0.27</v>
      </c>
      <c r="EX254">
        <v>0</v>
      </c>
      <c r="EY254">
        <v>0</v>
      </c>
      <c r="FQ254">
        <v>0</v>
      </c>
      <c r="FR254">
        <f t="shared" si="173"/>
        <v>0</v>
      </c>
      <c r="FS254">
        <v>0</v>
      </c>
      <c r="FX254">
        <v>105</v>
      </c>
      <c r="FY254">
        <v>70</v>
      </c>
      <c r="GA254" t="s">
        <v>3</v>
      </c>
      <c r="GD254">
        <v>0</v>
      </c>
      <c r="GF254">
        <v>1830854158</v>
      </c>
      <c r="GG254">
        <v>2</v>
      </c>
      <c r="GH254">
        <v>1</v>
      </c>
      <c r="GI254">
        <v>2</v>
      </c>
      <c r="GJ254">
        <v>0</v>
      </c>
      <c r="GK254">
        <f>ROUND(R254*(S12)/100,2)</f>
        <v>6.96</v>
      </c>
      <c r="GL254">
        <f t="shared" si="174"/>
        <v>0</v>
      </c>
      <c r="GM254">
        <f t="shared" si="175"/>
        <v>1792.12</v>
      </c>
      <c r="GN254">
        <f t="shared" si="176"/>
        <v>1792.12</v>
      </c>
      <c r="GO254">
        <f t="shared" si="177"/>
        <v>0</v>
      </c>
      <c r="GP254">
        <f t="shared" si="178"/>
        <v>0</v>
      </c>
      <c r="GR254">
        <v>0</v>
      </c>
      <c r="GS254">
        <v>3</v>
      </c>
      <c r="GT254">
        <v>0</v>
      </c>
      <c r="GU254" t="s">
        <v>3</v>
      </c>
      <c r="GV254">
        <f t="shared" si="179"/>
        <v>0</v>
      </c>
      <c r="GW254">
        <v>1</v>
      </c>
      <c r="GX254">
        <f t="shared" si="180"/>
        <v>0</v>
      </c>
      <c r="HA254">
        <v>0</v>
      </c>
      <c r="HB254">
        <v>0</v>
      </c>
      <c r="HC254">
        <f t="shared" si="181"/>
        <v>0</v>
      </c>
      <c r="HE254" t="s">
        <v>3</v>
      </c>
      <c r="HF254" t="s">
        <v>3</v>
      </c>
      <c r="HM254" t="s">
        <v>3</v>
      </c>
      <c r="HN254" t="s">
        <v>3</v>
      </c>
      <c r="HO254" t="s">
        <v>3</v>
      </c>
      <c r="HP254" t="s">
        <v>3</v>
      </c>
      <c r="HQ254" t="s">
        <v>3</v>
      </c>
      <c r="IK254">
        <v>0</v>
      </c>
    </row>
    <row r="255" spans="1:255" x14ac:dyDescent="0.2">
      <c r="A255" s="2">
        <v>18</v>
      </c>
      <c r="B255" s="2">
        <v>1</v>
      </c>
      <c r="C255" s="2">
        <v>212</v>
      </c>
      <c r="D255" s="2"/>
      <c r="E255" s="2" t="s">
        <v>286</v>
      </c>
      <c r="F255" s="2" t="s">
        <v>287</v>
      </c>
      <c r="G255" s="2" t="s">
        <v>288</v>
      </c>
      <c r="H255" s="2" t="s">
        <v>250</v>
      </c>
      <c r="I255" s="2">
        <f>I253*J255</f>
        <v>6</v>
      </c>
      <c r="J255" s="2">
        <v>1</v>
      </c>
      <c r="K255" s="2">
        <v>1</v>
      </c>
      <c r="L255" s="2"/>
      <c r="M255" s="2"/>
      <c r="N255" s="2"/>
      <c r="O255" s="2">
        <f t="shared" si="149"/>
        <v>1607.58</v>
      </c>
      <c r="P255" s="2">
        <f t="shared" si="150"/>
        <v>1607.58</v>
      </c>
      <c r="Q255" s="2">
        <f>(ROUND((ROUND(((ET255)*AV255*I255),2)*BB255),2)+ROUND((ROUND(((AE255-(EU255))*AV255*I255),2)*BS255),2))</f>
        <v>0</v>
      </c>
      <c r="R255" s="2">
        <f t="shared" si="151"/>
        <v>0</v>
      </c>
      <c r="S255" s="2">
        <f t="shared" si="152"/>
        <v>0</v>
      </c>
      <c r="T255" s="2">
        <f t="shared" si="153"/>
        <v>0</v>
      </c>
      <c r="U255" s="2">
        <f t="shared" si="154"/>
        <v>0</v>
      </c>
      <c r="V255" s="2">
        <f t="shared" si="155"/>
        <v>0</v>
      </c>
      <c r="W255" s="2">
        <f t="shared" si="156"/>
        <v>0</v>
      </c>
      <c r="X255" s="2">
        <f t="shared" si="157"/>
        <v>0</v>
      </c>
      <c r="Y255" s="2">
        <f t="shared" si="158"/>
        <v>0</v>
      </c>
      <c r="Z255" s="2"/>
      <c r="AA255" s="2">
        <v>129761636</v>
      </c>
      <c r="AB255" s="2">
        <f t="shared" si="159"/>
        <v>267.93</v>
      </c>
      <c r="AC255" s="2">
        <f t="shared" si="160"/>
        <v>267.93</v>
      </c>
      <c r="AD255" s="2">
        <f>ROUND((((ET255)-(EU255))+AE255),6)</f>
        <v>0</v>
      </c>
      <c r="AE255" s="2">
        <f>ROUND((EU255),6)</f>
        <v>0</v>
      </c>
      <c r="AF255" s="2">
        <f>ROUND((EV255),6)</f>
        <v>0</v>
      </c>
      <c r="AG255" s="2">
        <f t="shared" si="162"/>
        <v>0</v>
      </c>
      <c r="AH255" s="2">
        <f>(EW255)</f>
        <v>0</v>
      </c>
      <c r="AI255" s="2">
        <f>(EX255)</f>
        <v>0</v>
      </c>
      <c r="AJ255" s="2">
        <f t="shared" si="164"/>
        <v>0</v>
      </c>
      <c r="AK255" s="2">
        <v>267.93</v>
      </c>
      <c r="AL255" s="2">
        <v>267.93</v>
      </c>
      <c r="AM255" s="2">
        <v>0</v>
      </c>
      <c r="AN255" s="2">
        <v>0</v>
      </c>
      <c r="AO255" s="2">
        <v>0</v>
      </c>
      <c r="AP255" s="2">
        <v>0</v>
      </c>
      <c r="AQ255" s="2">
        <v>0</v>
      </c>
      <c r="AR255" s="2">
        <v>0</v>
      </c>
      <c r="AS255" s="2">
        <v>0</v>
      </c>
      <c r="AT255" s="2">
        <v>105</v>
      </c>
      <c r="AU255" s="2">
        <v>70</v>
      </c>
      <c r="AV255" s="2">
        <v>1</v>
      </c>
      <c r="AW255" s="2">
        <v>1</v>
      </c>
      <c r="AX255" s="2"/>
      <c r="AY255" s="2"/>
      <c r="AZ255" s="2">
        <v>1</v>
      </c>
      <c r="BA255" s="2">
        <v>1</v>
      </c>
      <c r="BB255" s="2">
        <v>1</v>
      </c>
      <c r="BC255" s="2">
        <v>1</v>
      </c>
      <c r="BD255" s="2" t="s">
        <v>3</v>
      </c>
      <c r="BE255" s="2" t="s">
        <v>3</v>
      </c>
      <c r="BF255" s="2" t="s">
        <v>3</v>
      </c>
      <c r="BG255" s="2" t="s">
        <v>3</v>
      </c>
      <c r="BH255" s="2">
        <v>3</v>
      </c>
      <c r="BI255" s="2">
        <v>1</v>
      </c>
      <c r="BJ255" s="2" t="s">
        <v>289</v>
      </c>
      <c r="BK255" s="2"/>
      <c r="BL255" s="2"/>
      <c r="BM255" s="2">
        <v>85</v>
      </c>
      <c r="BN255" s="2">
        <v>0</v>
      </c>
      <c r="BO255" s="2" t="s">
        <v>3</v>
      </c>
      <c r="BP255" s="2">
        <v>0</v>
      </c>
      <c r="BQ255" s="2">
        <v>30</v>
      </c>
      <c r="BR255" s="2">
        <v>0</v>
      </c>
      <c r="BS255" s="2">
        <v>1</v>
      </c>
      <c r="BT255" s="2">
        <v>1</v>
      </c>
      <c r="BU255" s="2">
        <v>1</v>
      </c>
      <c r="BV255" s="2">
        <v>1</v>
      </c>
      <c r="BW255" s="2">
        <v>1</v>
      </c>
      <c r="BX255" s="2">
        <v>1</v>
      </c>
      <c r="BY255" s="2" t="s">
        <v>3</v>
      </c>
      <c r="BZ255" s="2">
        <v>105</v>
      </c>
      <c r="CA255" s="2">
        <v>70</v>
      </c>
      <c r="CB255" s="2" t="s">
        <v>3</v>
      </c>
      <c r="CC255" s="2"/>
      <c r="CD255" s="2"/>
      <c r="CE255" s="2">
        <v>30</v>
      </c>
      <c r="CF255" s="2">
        <v>0</v>
      </c>
      <c r="CG255" s="2">
        <v>0</v>
      </c>
      <c r="CH255" s="2"/>
      <c r="CI255" s="2"/>
      <c r="CJ255" s="2"/>
      <c r="CK255" s="2"/>
      <c r="CL255" s="2"/>
      <c r="CM255" s="2">
        <v>0</v>
      </c>
      <c r="CN255" s="2" t="s">
        <v>3</v>
      </c>
      <c r="CO255" s="2">
        <v>0</v>
      </c>
      <c r="CP255" s="2">
        <f t="shared" si="165"/>
        <v>1607.58</v>
      </c>
      <c r="CQ255" s="2">
        <f t="shared" si="166"/>
        <v>267.93</v>
      </c>
      <c r="CR255" s="2">
        <f>(ROUND((ROUND(((ET255)*AV255*1),2)*BB255),2)+ROUND((ROUND(((AE255-(EU255))*AV255*1),2)*BS255),2))</f>
        <v>0</v>
      </c>
      <c r="CS255" s="2">
        <f t="shared" si="167"/>
        <v>0</v>
      </c>
      <c r="CT255" s="2">
        <f t="shared" si="168"/>
        <v>0</v>
      </c>
      <c r="CU255" s="2">
        <f t="shared" si="169"/>
        <v>0</v>
      </c>
      <c r="CV255" s="2">
        <f t="shared" si="170"/>
        <v>0</v>
      </c>
      <c r="CW255" s="2">
        <f t="shared" si="171"/>
        <v>0</v>
      </c>
      <c r="CX255" s="2">
        <f t="shared" si="172"/>
        <v>0</v>
      </c>
      <c r="CY255" s="2">
        <f>((S255*BZ255)/100)</f>
        <v>0</v>
      </c>
      <c r="CZ255" s="2">
        <f>((S255*CA255)/100)</f>
        <v>0</v>
      </c>
      <c r="DA255" s="2"/>
      <c r="DB255" s="2"/>
      <c r="DC255" s="2" t="s">
        <v>3</v>
      </c>
      <c r="DD255" s="2" t="s">
        <v>3</v>
      </c>
      <c r="DE255" s="2" t="s">
        <v>3</v>
      </c>
      <c r="DF255" s="2" t="s">
        <v>3</v>
      </c>
      <c r="DG255" s="2" t="s">
        <v>3</v>
      </c>
      <c r="DH255" s="2" t="s">
        <v>3</v>
      </c>
      <c r="DI255" s="2" t="s">
        <v>3</v>
      </c>
      <c r="DJ255" s="2" t="s">
        <v>3</v>
      </c>
      <c r="DK255" s="2" t="s">
        <v>3</v>
      </c>
      <c r="DL255" s="2" t="s">
        <v>3</v>
      </c>
      <c r="DM255" s="2" t="s">
        <v>3</v>
      </c>
      <c r="DN255" s="2">
        <v>0</v>
      </c>
      <c r="DO255" s="2">
        <v>0</v>
      </c>
      <c r="DP255" s="2">
        <v>1</v>
      </c>
      <c r="DQ255" s="2">
        <v>1</v>
      </c>
      <c r="DR255" s="2"/>
      <c r="DS255" s="2"/>
      <c r="DT255" s="2"/>
      <c r="DU255" s="2">
        <v>1010</v>
      </c>
      <c r="DV255" s="2" t="s">
        <v>250</v>
      </c>
      <c r="DW255" s="2" t="s">
        <v>250</v>
      </c>
      <c r="DX255" s="2">
        <v>1</v>
      </c>
      <c r="DY255" s="2"/>
      <c r="DZ255" s="2" t="s">
        <v>3</v>
      </c>
      <c r="EA255" s="2" t="s">
        <v>3</v>
      </c>
      <c r="EB255" s="2" t="s">
        <v>3</v>
      </c>
      <c r="EC255" s="2" t="s">
        <v>3</v>
      </c>
      <c r="ED255" s="2"/>
      <c r="EE255" s="2">
        <v>126051546</v>
      </c>
      <c r="EF255" s="2">
        <v>30</v>
      </c>
      <c r="EG255" s="2" t="s">
        <v>23</v>
      </c>
      <c r="EH255" s="2">
        <v>0</v>
      </c>
      <c r="EI255" s="2" t="s">
        <v>3</v>
      </c>
      <c r="EJ255" s="2">
        <v>1</v>
      </c>
      <c r="EK255" s="2">
        <v>85</v>
      </c>
      <c r="EL255" s="2" t="s">
        <v>284</v>
      </c>
      <c r="EM255" s="2" t="s">
        <v>285</v>
      </c>
      <c r="EN255" s="2"/>
      <c r="EO255" s="2" t="s">
        <v>3</v>
      </c>
      <c r="EP255" s="2"/>
      <c r="EQ255" s="2">
        <v>0</v>
      </c>
      <c r="ER255" s="2">
        <v>267.93</v>
      </c>
      <c r="ES255" s="2">
        <v>267.93</v>
      </c>
      <c r="ET255" s="2">
        <v>0</v>
      </c>
      <c r="EU255" s="2">
        <v>0</v>
      </c>
      <c r="EV255" s="2">
        <v>0</v>
      </c>
      <c r="EW255" s="2">
        <v>0</v>
      </c>
      <c r="EX255" s="2">
        <v>0</v>
      </c>
      <c r="EY255" s="2"/>
      <c r="EZ255" s="2"/>
      <c r="FA255" s="2"/>
      <c r="FB255" s="2"/>
      <c r="FC255" s="2"/>
      <c r="FD255" s="2"/>
      <c r="FE255" s="2"/>
      <c r="FF255" s="2"/>
      <c r="FG255" s="2"/>
      <c r="FH255" s="2"/>
      <c r="FI255" s="2"/>
      <c r="FJ255" s="2"/>
      <c r="FK255" s="2"/>
      <c r="FL255" s="2"/>
      <c r="FM255" s="2"/>
      <c r="FN255" s="2"/>
      <c r="FO255" s="2"/>
      <c r="FP255" s="2"/>
      <c r="FQ255" s="2">
        <v>0</v>
      </c>
      <c r="FR255" s="2">
        <f t="shared" si="173"/>
        <v>0</v>
      </c>
      <c r="FS255" s="2">
        <v>0</v>
      </c>
      <c r="FT255" s="2"/>
      <c r="FU255" s="2"/>
      <c r="FV255" s="2"/>
      <c r="FW255" s="2"/>
      <c r="FX255" s="2">
        <v>105</v>
      </c>
      <c r="FY255" s="2">
        <v>70</v>
      </c>
      <c r="FZ255" s="2"/>
      <c r="GA255" s="2" t="s">
        <v>3</v>
      </c>
      <c r="GB255" s="2"/>
      <c r="GC255" s="2"/>
      <c r="GD255" s="2">
        <v>0</v>
      </c>
      <c r="GE255" s="2"/>
      <c r="GF255" s="2">
        <v>-53843207</v>
      </c>
      <c r="GG255" s="2">
        <v>2</v>
      </c>
      <c r="GH255" s="2">
        <v>1</v>
      </c>
      <c r="GI255" s="2">
        <v>-2</v>
      </c>
      <c r="GJ255" s="2">
        <v>0</v>
      </c>
      <c r="GK255" s="2">
        <f>ROUND(R255*(R12)/100,2)</f>
        <v>0</v>
      </c>
      <c r="GL255" s="2">
        <f t="shared" si="174"/>
        <v>0</v>
      </c>
      <c r="GM255" s="2">
        <f t="shared" si="175"/>
        <v>1607.58</v>
      </c>
      <c r="GN255" s="2">
        <f t="shared" si="176"/>
        <v>1607.58</v>
      </c>
      <c r="GO255" s="2">
        <f t="shared" si="177"/>
        <v>0</v>
      </c>
      <c r="GP255" s="2">
        <f t="shared" si="178"/>
        <v>0</v>
      </c>
      <c r="GQ255" s="2"/>
      <c r="GR255" s="2">
        <v>0</v>
      </c>
      <c r="GS255" s="2">
        <v>0</v>
      </c>
      <c r="GT255" s="2">
        <v>0</v>
      </c>
      <c r="GU255" s="2" t="s">
        <v>3</v>
      </c>
      <c r="GV255" s="2">
        <f t="shared" si="179"/>
        <v>0</v>
      </c>
      <c r="GW255" s="2">
        <v>1</v>
      </c>
      <c r="GX255" s="2">
        <f t="shared" si="180"/>
        <v>0</v>
      </c>
      <c r="GY255" s="2"/>
      <c r="GZ255" s="2"/>
      <c r="HA255" s="2">
        <v>0</v>
      </c>
      <c r="HB255" s="2">
        <v>0</v>
      </c>
      <c r="HC255" s="2">
        <f t="shared" si="181"/>
        <v>0</v>
      </c>
      <c r="HD255" s="2"/>
      <c r="HE255" s="2" t="s">
        <v>3</v>
      </c>
      <c r="HF255" s="2" t="s">
        <v>3</v>
      </c>
      <c r="HG255" s="2"/>
      <c r="HH255" s="2"/>
      <c r="HI255" s="2"/>
      <c r="HJ255" s="2"/>
      <c r="HK255" s="2"/>
      <c r="HL255" s="2"/>
      <c r="HM255" s="2" t="s">
        <v>3</v>
      </c>
      <c r="HN255" s="2" t="s">
        <v>3</v>
      </c>
      <c r="HO255" s="2" t="s">
        <v>3</v>
      </c>
      <c r="HP255" s="2" t="s">
        <v>3</v>
      </c>
      <c r="HQ255" s="2" t="s">
        <v>3</v>
      </c>
      <c r="HR255" s="2"/>
      <c r="HS255" s="2"/>
      <c r="HT255" s="2"/>
      <c r="HU255" s="2"/>
      <c r="HV255" s="2"/>
      <c r="HW255" s="2"/>
      <c r="HX255" s="2"/>
      <c r="HY255" s="2"/>
      <c r="HZ255" s="2"/>
      <c r="IA255" s="2"/>
      <c r="IB255" s="2"/>
      <c r="IC255" s="2"/>
      <c r="ID255" s="2"/>
      <c r="IE255" s="2"/>
      <c r="IF255" s="2"/>
      <c r="IG255" s="2"/>
      <c r="IH255" s="2"/>
      <c r="II255" s="2"/>
      <c r="IJ255" s="2"/>
      <c r="IK255" s="2">
        <v>0</v>
      </c>
      <c r="IL255" s="2"/>
      <c r="IM255" s="2"/>
      <c r="IN255" s="2"/>
      <c r="IO255" s="2"/>
      <c r="IP255" s="2"/>
      <c r="IQ255" s="2"/>
      <c r="IR255" s="2"/>
      <c r="IS255" s="2"/>
      <c r="IT255" s="2"/>
      <c r="IU255" s="2"/>
    </row>
    <row r="256" spans="1:255" x14ac:dyDescent="0.2">
      <c r="A256">
        <v>18</v>
      </c>
      <c r="B256">
        <v>1</v>
      </c>
      <c r="C256">
        <v>216</v>
      </c>
      <c r="E256" t="s">
        <v>286</v>
      </c>
      <c r="F256" t="s">
        <v>287</v>
      </c>
      <c r="G256" t="s">
        <v>288</v>
      </c>
      <c r="H256" t="s">
        <v>250</v>
      </c>
      <c r="I256">
        <f>I254*J256</f>
        <v>6</v>
      </c>
      <c r="J256">
        <v>1</v>
      </c>
      <c r="K256">
        <v>1</v>
      </c>
      <c r="O256">
        <f t="shared" si="149"/>
        <v>9613.33</v>
      </c>
      <c r="P256">
        <f t="shared" si="150"/>
        <v>9613.33</v>
      </c>
      <c r="Q256">
        <f>(ROUND((ROUND(((ET256)*AV256*I256),2)*BB256),2)+ROUND((ROUND(((AE256-(EU256))*AV256*I256),2)*BS256),2))</f>
        <v>0</v>
      </c>
      <c r="R256">
        <f t="shared" si="151"/>
        <v>0</v>
      </c>
      <c r="S256">
        <f t="shared" si="152"/>
        <v>0</v>
      </c>
      <c r="T256">
        <f t="shared" si="153"/>
        <v>0</v>
      </c>
      <c r="U256">
        <f t="shared" si="154"/>
        <v>0</v>
      </c>
      <c r="V256">
        <f t="shared" si="155"/>
        <v>0</v>
      </c>
      <c r="W256">
        <f t="shared" si="156"/>
        <v>0</v>
      </c>
      <c r="X256">
        <f t="shared" si="157"/>
        <v>0</v>
      </c>
      <c r="Y256">
        <f t="shared" si="158"/>
        <v>0</v>
      </c>
      <c r="AA256">
        <v>129761633</v>
      </c>
      <c r="AB256">
        <f t="shared" si="159"/>
        <v>267.93</v>
      </c>
      <c r="AC256">
        <f t="shared" si="160"/>
        <v>267.93</v>
      </c>
      <c r="AD256">
        <f>ROUND((((ET256)-(EU256))+AE256),6)</f>
        <v>0</v>
      </c>
      <c r="AE256">
        <f>ROUND((EU256),6)</f>
        <v>0</v>
      </c>
      <c r="AF256">
        <f>ROUND((EV256),6)</f>
        <v>0</v>
      </c>
      <c r="AG256">
        <f t="shared" si="162"/>
        <v>0</v>
      </c>
      <c r="AH256">
        <f>(EW256)</f>
        <v>0</v>
      </c>
      <c r="AI256">
        <f>(EX256)</f>
        <v>0</v>
      </c>
      <c r="AJ256">
        <f t="shared" si="164"/>
        <v>0</v>
      </c>
      <c r="AK256">
        <v>267.93</v>
      </c>
      <c r="AL256">
        <v>267.93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1</v>
      </c>
      <c r="AW256">
        <v>1</v>
      </c>
      <c r="AZ256">
        <v>1</v>
      </c>
      <c r="BA256">
        <v>1</v>
      </c>
      <c r="BB256">
        <v>1</v>
      </c>
      <c r="BC256">
        <v>5.98</v>
      </c>
      <c r="BD256" t="s">
        <v>3</v>
      </c>
      <c r="BE256" t="s">
        <v>3</v>
      </c>
      <c r="BF256" t="s">
        <v>3</v>
      </c>
      <c r="BG256" t="s">
        <v>3</v>
      </c>
      <c r="BH256">
        <v>3</v>
      </c>
      <c r="BI256">
        <v>1</v>
      </c>
      <c r="BJ256" t="s">
        <v>289</v>
      </c>
      <c r="BM256">
        <v>85</v>
      </c>
      <c r="BN256">
        <v>0</v>
      </c>
      <c r="BO256" t="s">
        <v>287</v>
      </c>
      <c r="BP256">
        <v>1</v>
      </c>
      <c r="BQ256">
        <v>30</v>
      </c>
      <c r="BR256">
        <v>0</v>
      </c>
      <c r="BS256">
        <v>1</v>
      </c>
      <c r="BT256">
        <v>1</v>
      </c>
      <c r="BU256">
        <v>1</v>
      </c>
      <c r="BV256">
        <v>1</v>
      </c>
      <c r="BW256">
        <v>1</v>
      </c>
      <c r="BX256">
        <v>1</v>
      </c>
      <c r="BY256" t="s">
        <v>3</v>
      </c>
      <c r="BZ256">
        <v>0</v>
      </c>
      <c r="CA256">
        <v>0</v>
      </c>
      <c r="CB256" t="s">
        <v>3</v>
      </c>
      <c r="CE256">
        <v>30</v>
      </c>
      <c r="CF256">
        <v>0</v>
      </c>
      <c r="CG256">
        <v>0</v>
      </c>
      <c r="CM256">
        <v>0</v>
      </c>
      <c r="CN256" t="s">
        <v>3</v>
      </c>
      <c r="CO256">
        <v>0</v>
      </c>
      <c r="CP256">
        <f t="shared" si="165"/>
        <v>9613.33</v>
      </c>
      <c r="CQ256">
        <f t="shared" si="166"/>
        <v>1602.22</v>
      </c>
      <c r="CR256">
        <f>(ROUND((ROUND(((ET256)*AV256*1),2)*BB256),2)+ROUND((ROUND(((AE256-(EU256))*AV256*1),2)*BS256),2))</f>
        <v>0</v>
      </c>
      <c r="CS256">
        <f t="shared" si="167"/>
        <v>0</v>
      </c>
      <c r="CT256">
        <f t="shared" si="168"/>
        <v>0</v>
      </c>
      <c r="CU256">
        <f t="shared" si="169"/>
        <v>0</v>
      </c>
      <c r="CV256">
        <f t="shared" si="170"/>
        <v>0</v>
      </c>
      <c r="CW256">
        <f t="shared" si="171"/>
        <v>0</v>
      </c>
      <c r="CX256">
        <f t="shared" si="172"/>
        <v>0</v>
      </c>
      <c r="CY256">
        <f>S256*(BZ256/100)</f>
        <v>0</v>
      </c>
      <c r="CZ256">
        <f>S256*(CA256/100)</f>
        <v>0</v>
      </c>
      <c r="DC256" t="s">
        <v>3</v>
      </c>
      <c r="DD256" t="s">
        <v>3</v>
      </c>
      <c r="DE256" t="s">
        <v>3</v>
      </c>
      <c r="DF256" t="s">
        <v>3</v>
      </c>
      <c r="DG256" t="s">
        <v>3</v>
      </c>
      <c r="DH256" t="s">
        <v>3</v>
      </c>
      <c r="DI256" t="s">
        <v>3</v>
      </c>
      <c r="DJ256" t="s">
        <v>3</v>
      </c>
      <c r="DK256" t="s">
        <v>3</v>
      </c>
      <c r="DL256" t="s">
        <v>3</v>
      </c>
      <c r="DM256" t="s">
        <v>3</v>
      </c>
      <c r="DN256">
        <v>105</v>
      </c>
      <c r="DO256">
        <v>70</v>
      </c>
      <c r="DP256">
        <v>1</v>
      </c>
      <c r="DQ256">
        <v>1</v>
      </c>
      <c r="DU256">
        <v>1010</v>
      </c>
      <c r="DV256" t="s">
        <v>250</v>
      </c>
      <c r="DW256" t="s">
        <v>250</v>
      </c>
      <c r="DX256">
        <v>1</v>
      </c>
      <c r="DZ256" t="s">
        <v>3</v>
      </c>
      <c r="EA256" t="s">
        <v>3</v>
      </c>
      <c r="EB256" t="s">
        <v>3</v>
      </c>
      <c r="EC256" t="s">
        <v>3</v>
      </c>
      <c r="EE256">
        <v>126051546</v>
      </c>
      <c r="EF256">
        <v>30</v>
      </c>
      <c r="EG256" t="s">
        <v>23</v>
      </c>
      <c r="EH256">
        <v>0</v>
      </c>
      <c r="EI256" t="s">
        <v>3</v>
      </c>
      <c r="EJ256">
        <v>1</v>
      </c>
      <c r="EK256">
        <v>85</v>
      </c>
      <c r="EL256" t="s">
        <v>284</v>
      </c>
      <c r="EM256" t="s">
        <v>285</v>
      </c>
      <c r="EO256" t="s">
        <v>3</v>
      </c>
      <c r="EQ256">
        <v>0</v>
      </c>
      <c r="ER256">
        <v>267.93</v>
      </c>
      <c r="ES256">
        <v>267.93</v>
      </c>
      <c r="ET256">
        <v>0</v>
      </c>
      <c r="EU256">
        <v>0</v>
      </c>
      <c r="EV256">
        <v>0</v>
      </c>
      <c r="EW256">
        <v>0</v>
      </c>
      <c r="EX256">
        <v>0</v>
      </c>
      <c r="FQ256">
        <v>0</v>
      </c>
      <c r="FR256">
        <f t="shared" si="173"/>
        <v>0</v>
      </c>
      <c r="FS256">
        <v>0</v>
      </c>
      <c r="FX256">
        <v>105</v>
      </c>
      <c r="FY256">
        <v>70</v>
      </c>
      <c r="GA256" t="s">
        <v>3</v>
      </c>
      <c r="GD256">
        <v>0</v>
      </c>
      <c r="GF256">
        <v>-53843207</v>
      </c>
      <c r="GG256">
        <v>2</v>
      </c>
      <c r="GH256">
        <v>1</v>
      </c>
      <c r="GI256">
        <v>2</v>
      </c>
      <c r="GJ256">
        <v>0</v>
      </c>
      <c r="GK256">
        <f>ROUND(R256*(S12)/100,2)</f>
        <v>0</v>
      </c>
      <c r="GL256">
        <f t="shared" si="174"/>
        <v>0</v>
      </c>
      <c r="GM256">
        <f t="shared" si="175"/>
        <v>9613.33</v>
      </c>
      <c r="GN256">
        <f t="shared" si="176"/>
        <v>9613.33</v>
      </c>
      <c r="GO256">
        <f t="shared" si="177"/>
        <v>0</v>
      </c>
      <c r="GP256">
        <f t="shared" si="178"/>
        <v>0</v>
      </c>
      <c r="GR256">
        <v>0</v>
      </c>
      <c r="GS256">
        <v>3</v>
      </c>
      <c r="GT256">
        <v>0</v>
      </c>
      <c r="GU256" t="s">
        <v>3</v>
      </c>
      <c r="GV256">
        <f t="shared" si="179"/>
        <v>0</v>
      </c>
      <c r="GW256">
        <v>1</v>
      </c>
      <c r="GX256">
        <f t="shared" si="180"/>
        <v>0</v>
      </c>
      <c r="HA256">
        <v>0</v>
      </c>
      <c r="HB256">
        <v>0</v>
      </c>
      <c r="HC256">
        <f t="shared" si="181"/>
        <v>0</v>
      </c>
      <c r="HE256" t="s">
        <v>3</v>
      </c>
      <c r="HF256" t="s">
        <v>3</v>
      </c>
      <c r="HM256" t="s">
        <v>3</v>
      </c>
      <c r="HN256" t="s">
        <v>3</v>
      </c>
      <c r="HO256" t="s">
        <v>3</v>
      </c>
      <c r="HP256" t="s">
        <v>3</v>
      </c>
      <c r="HQ256" t="s">
        <v>3</v>
      </c>
      <c r="IK256">
        <v>0</v>
      </c>
    </row>
    <row r="257" spans="1:255" x14ac:dyDescent="0.2">
      <c r="A257" s="2">
        <v>17</v>
      </c>
      <c r="B257" s="2">
        <v>1</v>
      </c>
      <c r="C257" s="2">
        <f>ROW(SmtRes!A221)</f>
        <v>221</v>
      </c>
      <c r="D257" s="2">
        <f>ROW(EtalonRes!A227)</f>
        <v>227</v>
      </c>
      <c r="E257" s="2" t="s">
        <v>290</v>
      </c>
      <c r="F257" s="2" t="s">
        <v>291</v>
      </c>
      <c r="G257" s="2" t="s">
        <v>292</v>
      </c>
      <c r="H257" s="2" t="s">
        <v>148</v>
      </c>
      <c r="I257" s="2">
        <v>0.01</v>
      </c>
      <c r="J257" s="2">
        <v>0</v>
      </c>
      <c r="K257" s="2">
        <v>0.01</v>
      </c>
      <c r="L257" s="2"/>
      <c r="M257" s="2"/>
      <c r="N257" s="2"/>
      <c r="O257" s="2">
        <f t="shared" si="149"/>
        <v>55.92</v>
      </c>
      <c r="P257" s="2">
        <f t="shared" si="150"/>
        <v>0.6</v>
      </c>
      <c r="Q257" s="2">
        <f>(ROUND((ROUND((((ET257*1.25))*AV257*I257),2)*BB257),2)+ROUND((ROUND(((AE257-((EU257*1.25)))*AV257*I257),2)*BS257),2))</f>
        <v>11.03</v>
      </c>
      <c r="R257" s="2">
        <f t="shared" si="151"/>
        <v>0.8</v>
      </c>
      <c r="S257" s="2">
        <f t="shared" si="152"/>
        <v>44.29</v>
      </c>
      <c r="T257" s="2">
        <f t="shared" si="153"/>
        <v>0</v>
      </c>
      <c r="U257" s="2">
        <f t="shared" si="154"/>
        <v>3.1279999999999997</v>
      </c>
      <c r="V257" s="2">
        <f t="shared" si="155"/>
        <v>0</v>
      </c>
      <c r="W257" s="2">
        <f t="shared" si="156"/>
        <v>0</v>
      </c>
      <c r="X257" s="2">
        <f t="shared" si="157"/>
        <v>37.65</v>
      </c>
      <c r="Y257" s="2">
        <f t="shared" si="158"/>
        <v>31</v>
      </c>
      <c r="Z257" s="2"/>
      <c r="AA257" s="2">
        <v>129761636</v>
      </c>
      <c r="AB257" s="2">
        <f t="shared" si="159"/>
        <v>5591.9105</v>
      </c>
      <c r="AC257" s="2">
        <f t="shared" si="160"/>
        <v>60</v>
      </c>
      <c r="AD257" s="2">
        <f>ROUND(((((ET257*1.25))-((EU257*1.25)))+AE257),6)</f>
        <v>1102.6624999999999</v>
      </c>
      <c r="AE257" s="2">
        <f>ROUND(((EU257*1.25)),6)</f>
        <v>79.575000000000003</v>
      </c>
      <c r="AF257" s="2">
        <f>ROUND(((EV257*1.15)),6)</f>
        <v>4429.2479999999996</v>
      </c>
      <c r="AG257" s="2">
        <f t="shared" si="162"/>
        <v>0</v>
      </c>
      <c r="AH257" s="2">
        <f>((EW257*1.15))</f>
        <v>312.79999999999995</v>
      </c>
      <c r="AI257" s="2">
        <f>((EX257*1.25))</f>
        <v>0</v>
      </c>
      <c r="AJ257" s="2">
        <f t="shared" si="164"/>
        <v>0</v>
      </c>
      <c r="AK257" s="2">
        <v>4793.6499999999996</v>
      </c>
      <c r="AL257" s="2">
        <v>60</v>
      </c>
      <c r="AM257" s="2">
        <v>882.13</v>
      </c>
      <c r="AN257" s="2">
        <v>63.66</v>
      </c>
      <c r="AO257" s="2">
        <v>3851.52</v>
      </c>
      <c r="AP257" s="2">
        <v>0</v>
      </c>
      <c r="AQ257" s="2">
        <v>272</v>
      </c>
      <c r="AR257" s="2">
        <v>0</v>
      </c>
      <c r="AS257" s="2">
        <v>0</v>
      </c>
      <c r="AT257" s="2">
        <v>85</v>
      </c>
      <c r="AU257" s="2">
        <v>70</v>
      </c>
      <c r="AV257" s="2">
        <v>1</v>
      </c>
      <c r="AW257" s="2">
        <v>1</v>
      </c>
      <c r="AX257" s="2"/>
      <c r="AY257" s="2"/>
      <c r="AZ257" s="2">
        <v>1</v>
      </c>
      <c r="BA257" s="2">
        <v>1</v>
      </c>
      <c r="BB257" s="2">
        <v>1</v>
      </c>
      <c r="BC257" s="2">
        <v>1</v>
      </c>
      <c r="BD257" s="2" t="s">
        <v>3</v>
      </c>
      <c r="BE257" s="2" t="s">
        <v>3</v>
      </c>
      <c r="BF257" s="2" t="s">
        <v>3</v>
      </c>
      <c r="BG257" s="2" t="s">
        <v>3</v>
      </c>
      <c r="BH257" s="2">
        <v>0</v>
      </c>
      <c r="BI257" s="2">
        <v>1</v>
      </c>
      <c r="BJ257" s="2" t="s">
        <v>293</v>
      </c>
      <c r="BK257" s="2"/>
      <c r="BL257" s="2"/>
      <c r="BM257" s="2">
        <v>80</v>
      </c>
      <c r="BN257" s="2">
        <v>0</v>
      </c>
      <c r="BO257" s="2" t="s">
        <v>3</v>
      </c>
      <c r="BP257" s="2">
        <v>0</v>
      </c>
      <c r="BQ257" s="2">
        <v>30</v>
      </c>
      <c r="BR257" s="2">
        <v>0</v>
      </c>
      <c r="BS257" s="2">
        <v>1</v>
      </c>
      <c r="BT257" s="2">
        <v>1</v>
      </c>
      <c r="BU257" s="2">
        <v>1</v>
      </c>
      <c r="BV257" s="2">
        <v>1</v>
      </c>
      <c r="BW257" s="2">
        <v>1</v>
      </c>
      <c r="BX257" s="2">
        <v>1</v>
      </c>
      <c r="BY257" s="2" t="s">
        <v>3</v>
      </c>
      <c r="BZ257" s="2">
        <v>85</v>
      </c>
      <c r="CA257" s="2">
        <v>70</v>
      </c>
      <c r="CB257" s="2" t="s">
        <v>3</v>
      </c>
      <c r="CC257" s="2"/>
      <c r="CD257" s="2"/>
      <c r="CE257" s="2">
        <v>30</v>
      </c>
      <c r="CF257" s="2">
        <v>0</v>
      </c>
      <c r="CG257" s="2">
        <v>0</v>
      </c>
      <c r="CH257" s="2"/>
      <c r="CI257" s="2"/>
      <c r="CJ257" s="2"/>
      <c r="CK257" s="2"/>
      <c r="CL257" s="2"/>
      <c r="CM257" s="2">
        <v>0</v>
      </c>
      <c r="CN257" s="2" t="s">
        <v>1559</v>
      </c>
      <c r="CO257" s="2">
        <v>0</v>
      </c>
      <c r="CP257" s="2">
        <f t="shared" si="165"/>
        <v>55.92</v>
      </c>
      <c r="CQ257" s="2">
        <f t="shared" si="166"/>
        <v>60</v>
      </c>
      <c r="CR257" s="2">
        <f>(ROUND((ROUND((((ET257*1.25))*AV257*1),2)*BB257),2)+ROUND((ROUND(((AE257-((EU257*1.25)))*AV257*1),2)*BS257),2))</f>
        <v>1102.6600000000001</v>
      </c>
      <c r="CS257" s="2">
        <f t="shared" si="167"/>
        <v>79.58</v>
      </c>
      <c r="CT257" s="2">
        <f t="shared" si="168"/>
        <v>4429.25</v>
      </c>
      <c r="CU257" s="2">
        <f t="shared" si="169"/>
        <v>0</v>
      </c>
      <c r="CV257" s="2">
        <f t="shared" si="170"/>
        <v>312.79999999999995</v>
      </c>
      <c r="CW257" s="2">
        <f t="shared" si="171"/>
        <v>0</v>
      </c>
      <c r="CX257" s="2">
        <f t="shared" si="172"/>
        <v>0</v>
      </c>
      <c r="CY257" s="2">
        <f>((S257*BZ257)/100)</f>
        <v>37.646500000000003</v>
      </c>
      <c r="CZ257" s="2">
        <f>((S257*CA257)/100)</f>
        <v>31.002999999999997</v>
      </c>
      <c r="DA257" s="2"/>
      <c r="DB257" s="2"/>
      <c r="DC257" s="2" t="s">
        <v>3</v>
      </c>
      <c r="DD257" s="2" t="s">
        <v>3</v>
      </c>
      <c r="DE257" s="2" t="s">
        <v>86</v>
      </c>
      <c r="DF257" s="2" t="s">
        <v>86</v>
      </c>
      <c r="DG257" s="2" t="s">
        <v>87</v>
      </c>
      <c r="DH257" s="2" t="s">
        <v>3</v>
      </c>
      <c r="DI257" s="2" t="s">
        <v>87</v>
      </c>
      <c r="DJ257" s="2" t="s">
        <v>86</v>
      </c>
      <c r="DK257" s="2" t="s">
        <v>3</v>
      </c>
      <c r="DL257" s="2" t="s">
        <v>3</v>
      </c>
      <c r="DM257" s="2" t="s">
        <v>3</v>
      </c>
      <c r="DN257" s="2">
        <v>0</v>
      </c>
      <c r="DO257" s="2">
        <v>0</v>
      </c>
      <c r="DP257" s="2">
        <v>1</v>
      </c>
      <c r="DQ257" s="2">
        <v>1</v>
      </c>
      <c r="DR257" s="2"/>
      <c r="DS257" s="2"/>
      <c r="DT257" s="2"/>
      <c r="DU257" s="2">
        <v>1005</v>
      </c>
      <c r="DV257" s="2" t="s">
        <v>148</v>
      </c>
      <c r="DW257" s="2" t="s">
        <v>148</v>
      </c>
      <c r="DX257" s="2">
        <v>100</v>
      </c>
      <c r="DY257" s="2"/>
      <c r="DZ257" s="2" t="s">
        <v>3</v>
      </c>
      <c r="EA257" s="2" t="s">
        <v>3</v>
      </c>
      <c r="EB257" s="2" t="s">
        <v>3</v>
      </c>
      <c r="EC257" s="2" t="s">
        <v>3</v>
      </c>
      <c r="ED257" s="2"/>
      <c r="EE257" s="2">
        <v>126051541</v>
      </c>
      <c r="EF257" s="2">
        <v>30</v>
      </c>
      <c r="EG257" s="2" t="s">
        <v>23</v>
      </c>
      <c r="EH257" s="2">
        <v>0</v>
      </c>
      <c r="EI257" s="2" t="s">
        <v>3</v>
      </c>
      <c r="EJ257" s="2">
        <v>1</v>
      </c>
      <c r="EK257" s="2">
        <v>80</v>
      </c>
      <c r="EL257" s="2" t="s">
        <v>143</v>
      </c>
      <c r="EM257" s="2" t="s">
        <v>144</v>
      </c>
      <c r="EN257" s="2"/>
      <c r="EO257" s="2" t="s">
        <v>90</v>
      </c>
      <c r="EP257" s="2"/>
      <c r="EQ257" s="2">
        <v>131072</v>
      </c>
      <c r="ER257" s="2">
        <v>4793.6499999999996</v>
      </c>
      <c r="ES257" s="2">
        <v>60</v>
      </c>
      <c r="ET257" s="2">
        <v>882.13</v>
      </c>
      <c r="EU257" s="2">
        <v>63.66</v>
      </c>
      <c r="EV257" s="2">
        <v>3851.52</v>
      </c>
      <c r="EW257" s="2">
        <v>272</v>
      </c>
      <c r="EX257" s="2">
        <v>0</v>
      </c>
      <c r="EY257" s="2">
        <v>0</v>
      </c>
      <c r="EZ257" s="2"/>
      <c r="FA257" s="2"/>
      <c r="FB257" s="2"/>
      <c r="FC257" s="2"/>
      <c r="FD257" s="2"/>
      <c r="FE257" s="2"/>
      <c r="FF257" s="2"/>
      <c r="FG257" s="2"/>
      <c r="FH257" s="2"/>
      <c r="FI257" s="2"/>
      <c r="FJ257" s="2"/>
      <c r="FK257" s="2"/>
      <c r="FL257" s="2"/>
      <c r="FM257" s="2"/>
      <c r="FN257" s="2"/>
      <c r="FO257" s="2"/>
      <c r="FP257" s="2"/>
      <c r="FQ257" s="2">
        <v>0</v>
      </c>
      <c r="FR257" s="2">
        <f t="shared" si="173"/>
        <v>0</v>
      </c>
      <c r="FS257" s="2">
        <v>0</v>
      </c>
      <c r="FT257" s="2"/>
      <c r="FU257" s="2"/>
      <c r="FV257" s="2"/>
      <c r="FW257" s="2"/>
      <c r="FX257" s="2">
        <v>85</v>
      </c>
      <c r="FY257" s="2">
        <v>70</v>
      </c>
      <c r="FZ257" s="2"/>
      <c r="GA257" s="2" t="s">
        <v>3</v>
      </c>
      <c r="GB257" s="2"/>
      <c r="GC257" s="2"/>
      <c r="GD257" s="2">
        <v>0</v>
      </c>
      <c r="GE257" s="2"/>
      <c r="GF257" s="2">
        <v>1917598209</v>
      </c>
      <c r="GG257" s="2">
        <v>2</v>
      </c>
      <c r="GH257" s="2">
        <v>1</v>
      </c>
      <c r="GI257" s="2">
        <v>-2</v>
      </c>
      <c r="GJ257" s="2">
        <v>0</v>
      </c>
      <c r="GK257" s="2">
        <f>ROUND(R257*(R12)/100,2)</f>
        <v>1.4</v>
      </c>
      <c r="GL257" s="2">
        <f t="shared" si="174"/>
        <v>0</v>
      </c>
      <c r="GM257" s="2">
        <f t="shared" si="175"/>
        <v>125.97</v>
      </c>
      <c r="GN257" s="2">
        <f t="shared" si="176"/>
        <v>125.97</v>
      </c>
      <c r="GO257" s="2">
        <f t="shared" si="177"/>
        <v>0</v>
      </c>
      <c r="GP257" s="2">
        <f t="shared" si="178"/>
        <v>0</v>
      </c>
      <c r="GQ257" s="2"/>
      <c r="GR257" s="2">
        <v>0</v>
      </c>
      <c r="GS257" s="2">
        <v>0</v>
      </c>
      <c r="GT257" s="2">
        <v>0</v>
      </c>
      <c r="GU257" s="2" t="s">
        <v>3</v>
      </c>
      <c r="GV257" s="2">
        <f t="shared" si="179"/>
        <v>0</v>
      </c>
      <c r="GW257" s="2">
        <v>1</v>
      </c>
      <c r="GX257" s="2">
        <f t="shared" si="180"/>
        <v>0</v>
      </c>
      <c r="GY257" s="2"/>
      <c r="GZ257" s="2"/>
      <c r="HA257" s="2">
        <v>0</v>
      </c>
      <c r="HB257" s="2">
        <v>0</v>
      </c>
      <c r="HC257" s="2">
        <f t="shared" si="181"/>
        <v>0</v>
      </c>
      <c r="HD257" s="2"/>
      <c r="HE257" s="2" t="s">
        <v>3</v>
      </c>
      <c r="HF257" s="2" t="s">
        <v>3</v>
      </c>
      <c r="HG257" s="2"/>
      <c r="HH257" s="2"/>
      <c r="HI257" s="2"/>
      <c r="HJ257" s="2"/>
      <c r="HK257" s="2"/>
      <c r="HL257" s="2"/>
      <c r="HM257" s="2" t="s">
        <v>3</v>
      </c>
      <c r="HN257" s="2" t="s">
        <v>3</v>
      </c>
      <c r="HO257" s="2" t="s">
        <v>3</v>
      </c>
      <c r="HP257" s="2" t="s">
        <v>3</v>
      </c>
      <c r="HQ257" s="2" t="s">
        <v>3</v>
      </c>
      <c r="HR257" s="2"/>
      <c r="HS257" s="2"/>
      <c r="HT257" s="2"/>
      <c r="HU257" s="2"/>
      <c r="HV257" s="2"/>
      <c r="HW257" s="2"/>
      <c r="HX257" s="2"/>
      <c r="HY257" s="2"/>
      <c r="HZ257" s="2"/>
      <c r="IA257" s="2"/>
      <c r="IB257" s="2"/>
      <c r="IC257" s="2"/>
      <c r="ID257" s="2"/>
      <c r="IE257" s="2"/>
      <c r="IF257" s="2"/>
      <c r="IG257" s="2"/>
      <c r="IH257" s="2"/>
      <c r="II257" s="2"/>
      <c r="IJ257" s="2"/>
      <c r="IK257" s="2">
        <v>0</v>
      </c>
      <c r="IL257" s="2"/>
      <c r="IM257" s="2"/>
      <c r="IN257" s="2"/>
      <c r="IO257" s="2"/>
      <c r="IP257" s="2"/>
      <c r="IQ257" s="2"/>
      <c r="IR257" s="2"/>
      <c r="IS257" s="2"/>
      <c r="IT257" s="2"/>
      <c r="IU257" s="2"/>
    </row>
    <row r="258" spans="1:255" x14ac:dyDescent="0.2">
      <c r="A258">
        <v>17</v>
      </c>
      <c r="B258">
        <v>1</v>
      </c>
      <c r="C258">
        <f>ROW(SmtRes!A226)</f>
        <v>226</v>
      </c>
      <c r="D258">
        <f>ROW(EtalonRes!A232)</f>
        <v>232</v>
      </c>
      <c r="E258" t="s">
        <v>290</v>
      </c>
      <c r="F258" t="s">
        <v>291</v>
      </c>
      <c r="G258" t="s">
        <v>292</v>
      </c>
      <c r="H258" t="s">
        <v>148</v>
      </c>
      <c r="I258">
        <v>0.01</v>
      </c>
      <c r="J258">
        <v>0</v>
      </c>
      <c r="K258">
        <v>0.01</v>
      </c>
      <c r="O258">
        <f t="shared" si="149"/>
        <v>1392.01</v>
      </c>
      <c r="P258">
        <f t="shared" si="150"/>
        <v>0.6</v>
      </c>
      <c r="Q258">
        <f>(ROUND((ROUND((((ET258*1.25))*AV258*I258),2)*BB258),2)+ROUND((ROUND(((AE258-((EU258*1.25)))*AV258*I258),2)*BS258),2))</f>
        <v>105.67</v>
      </c>
      <c r="R258">
        <f t="shared" si="151"/>
        <v>23.22</v>
      </c>
      <c r="S258">
        <f t="shared" si="152"/>
        <v>1285.74</v>
      </c>
      <c r="T258">
        <f t="shared" si="153"/>
        <v>0</v>
      </c>
      <c r="U258">
        <f t="shared" si="154"/>
        <v>3.1279999999999997</v>
      </c>
      <c r="V258">
        <f t="shared" si="155"/>
        <v>0</v>
      </c>
      <c r="W258">
        <f t="shared" si="156"/>
        <v>0</v>
      </c>
      <c r="X258">
        <f t="shared" si="157"/>
        <v>900.02</v>
      </c>
      <c r="Y258">
        <f t="shared" si="158"/>
        <v>527.15</v>
      </c>
      <c r="AA258">
        <v>129761633</v>
      </c>
      <c r="AB258">
        <f t="shared" si="159"/>
        <v>5591.9105</v>
      </c>
      <c r="AC258">
        <f t="shared" si="160"/>
        <v>60</v>
      </c>
      <c r="AD258">
        <f>ROUND(((((ET258*1.25))-((EU258*1.25)))+AE258),6)</f>
        <v>1102.6624999999999</v>
      </c>
      <c r="AE258">
        <f>ROUND(((EU258*1.25)),6)</f>
        <v>79.575000000000003</v>
      </c>
      <c r="AF258">
        <f>ROUND(((EV258*1.15)),6)</f>
        <v>4429.2479999999996</v>
      </c>
      <c r="AG258">
        <f t="shared" si="162"/>
        <v>0</v>
      </c>
      <c r="AH258">
        <f>((EW258*1.15))</f>
        <v>312.79999999999995</v>
      </c>
      <c r="AI258">
        <f>((EX258*1.25))</f>
        <v>0</v>
      </c>
      <c r="AJ258">
        <f t="shared" si="164"/>
        <v>0</v>
      </c>
      <c r="AK258">
        <v>4793.6499999999996</v>
      </c>
      <c r="AL258">
        <v>60</v>
      </c>
      <c r="AM258">
        <v>882.13</v>
      </c>
      <c r="AN258">
        <v>63.66</v>
      </c>
      <c r="AO258">
        <v>3851.52</v>
      </c>
      <c r="AP258">
        <v>0</v>
      </c>
      <c r="AQ258">
        <v>272</v>
      </c>
      <c r="AR258">
        <v>0</v>
      </c>
      <c r="AS258">
        <v>0</v>
      </c>
      <c r="AT258">
        <v>70</v>
      </c>
      <c r="AU258">
        <v>41</v>
      </c>
      <c r="AV258">
        <v>1</v>
      </c>
      <c r="AW258">
        <v>1</v>
      </c>
      <c r="AZ258">
        <v>1</v>
      </c>
      <c r="BA258">
        <v>29.03</v>
      </c>
      <c r="BB258">
        <v>9.58</v>
      </c>
      <c r="BC258">
        <v>1</v>
      </c>
      <c r="BD258" t="s">
        <v>3</v>
      </c>
      <c r="BE258" t="s">
        <v>3</v>
      </c>
      <c r="BF258" t="s">
        <v>3</v>
      </c>
      <c r="BG258" t="s">
        <v>3</v>
      </c>
      <c r="BH258">
        <v>0</v>
      </c>
      <c r="BI258">
        <v>1</v>
      </c>
      <c r="BJ258" t="s">
        <v>293</v>
      </c>
      <c r="BM258">
        <v>80</v>
      </c>
      <c r="BN258">
        <v>0</v>
      </c>
      <c r="BO258" t="s">
        <v>291</v>
      </c>
      <c r="BP258">
        <v>1</v>
      </c>
      <c r="BQ258">
        <v>30</v>
      </c>
      <c r="BR258">
        <v>0</v>
      </c>
      <c r="BS258">
        <v>29.03</v>
      </c>
      <c r="BT258">
        <v>1</v>
      </c>
      <c r="BU258">
        <v>1</v>
      </c>
      <c r="BV258">
        <v>1</v>
      </c>
      <c r="BW258">
        <v>1</v>
      </c>
      <c r="BX258">
        <v>1</v>
      </c>
      <c r="BY258" t="s">
        <v>3</v>
      </c>
      <c r="BZ258">
        <v>70</v>
      </c>
      <c r="CA258">
        <v>41</v>
      </c>
      <c r="CB258" t="s">
        <v>3</v>
      </c>
      <c r="CE258">
        <v>30</v>
      </c>
      <c r="CF258">
        <v>0</v>
      </c>
      <c r="CG258">
        <v>0</v>
      </c>
      <c r="CM258">
        <v>0</v>
      </c>
      <c r="CN258" t="s">
        <v>1559</v>
      </c>
      <c r="CO258">
        <v>0</v>
      </c>
      <c r="CP258">
        <f t="shared" si="165"/>
        <v>1392.01</v>
      </c>
      <c r="CQ258">
        <f t="shared" si="166"/>
        <v>60</v>
      </c>
      <c r="CR258">
        <f>(ROUND((ROUND((((ET258*1.25))*AV258*1),2)*BB258),2)+ROUND((ROUND(((AE258-((EU258*1.25)))*AV258*1),2)*BS258),2))</f>
        <v>10563.48</v>
      </c>
      <c r="CS258">
        <f t="shared" si="167"/>
        <v>2310.21</v>
      </c>
      <c r="CT258">
        <f t="shared" si="168"/>
        <v>128581.13</v>
      </c>
      <c r="CU258">
        <f t="shared" si="169"/>
        <v>0</v>
      </c>
      <c r="CV258">
        <f t="shared" si="170"/>
        <v>312.79999999999995</v>
      </c>
      <c r="CW258">
        <f t="shared" si="171"/>
        <v>0</v>
      </c>
      <c r="CX258">
        <f t="shared" si="172"/>
        <v>0</v>
      </c>
      <c r="CY258">
        <f>S258*(BZ258/100)</f>
        <v>900.01799999999992</v>
      </c>
      <c r="CZ258">
        <f>S258*(CA258/100)</f>
        <v>527.15339999999992</v>
      </c>
      <c r="DC258" t="s">
        <v>3</v>
      </c>
      <c r="DD258" t="s">
        <v>3</v>
      </c>
      <c r="DE258" t="s">
        <v>86</v>
      </c>
      <c r="DF258" t="s">
        <v>86</v>
      </c>
      <c r="DG258" t="s">
        <v>87</v>
      </c>
      <c r="DH258" t="s">
        <v>3</v>
      </c>
      <c r="DI258" t="s">
        <v>87</v>
      </c>
      <c r="DJ258" t="s">
        <v>86</v>
      </c>
      <c r="DK258" t="s">
        <v>3</v>
      </c>
      <c r="DL258" t="s">
        <v>3</v>
      </c>
      <c r="DM258" t="s">
        <v>3</v>
      </c>
      <c r="DN258">
        <v>85</v>
      </c>
      <c r="DO258">
        <v>70</v>
      </c>
      <c r="DP258">
        <v>1</v>
      </c>
      <c r="DQ258">
        <v>1</v>
      </c>
      <c r="DU258">
        <v>1005</v>
      </c>
      <c r="DV258" t="s">
        <v>148</v>
      </c>
      <c r="DW258" t="s">
        <v>148</v>
      </c>
      <c r="DX258">
        <v>100</v>
      </c>
      <c r="DZ258" t="s">
        <v>3</v>
      </c>
      <c r="EA258" t="s">
        <v>3</v>
      </c>
      <c r="EB258" t="s">
        <v>3</v>
      </c>
      <c r="EC258" t="s">
        <v>3</v>
      </c>
      <c r="EE258">
        <v>126051541</v>
      </c>
      <c r="EF258">
        <v>30</v>
      </c>
      <c r="EG258" t="s">
        <v>23</v>
      </c>
      <c r="EH258">
        <v>0</v>
      </c>
      <c r="EI258" t="s">
        <v>3</v>
      </c>
      <c r="EJ258">
        <v>1</v>
      </c>
      <c r="EK258">
        <v>80</v>
      </c>
      <c r="EL258" t="s">
        <v>143</v>
      </c>
      <c r="EM258" t="s">
        <v>144</v>
      </c>
      <c r="EO258" t="s">
        <v>90</v>
      </c>
      <c r="EQ258">
        <v>131072</v>
      </c>
      <c r="ER258">
        <v>4793.6499999999996</v>
      </c>
      <c r="ES258">
        <v>60</v>
      </c>
      <c r="ET258">
        <v>882.13</v>
      </c>
      <c r="EU258">
        <v>63.66</v>
      </c>
      <c r="EV258">
        <v>3851.52</v>
      </c>
      <c r="EW258">
        <v>272</v>
      </c>
      <c r="EX258">
        <v>0</v>
      </c>
      <c r="EY258">
        <v>0</v>
      </c>
      <c r="FQ258">
        <v>0</v>
      </c>
      <c r="FR258">
        <f t="shared" si="173"/>
        <v>0</v>
      </c>
      <c r="FS258">
        <v>0</v>
      </c>
      <c r="FX258">
        <v>85</v>
      </c>
      <c r="FY258">
        <v>70</v>
      </c>
      <c r="GA258" t="s">
        <v>3</v>
      </c>
      <c r="GD258">
        <v>0</v>
      </c>
      <c r="GF258">
        <v>1917598209</v>
      </c>
      <c r="GG258">
        <v>2</v>
      </c>
      <c r="GH258">
        <v>1</v>
      </c>
      <c r="GI258">
        <v>2</v>
      </c>
      <c r="GJ258">
        <v>0</v>
      </c>
      <c r="GK258">
        <f>ROUND(R258*(S12)/100,2)</f>
        <v>37.15</v>
      </c>
      <c r="GL258">
        <f t="shared" si="174"/>
        <v>0</v>
      </c>
      <c r="GM258">
        <f t="shared" si="175"/>
        <v>2856.33</v>
      </c>
      <c r="GN258">
        <f t="shared" si="176"/>
        <v>2856.33</v>
      </c>
      <c r="GO258">
        <f t="shared" si="177"/>
        <v>0</v>
      </c>
      <c r="GP258">
        <f t="shared" si="178"/>
        <v>0</v>
      </c>
      <c r="GR258">
        <v>0</v>
      </c>
      <c r="GS258">
        <v>3</v>
      </c>
      <c r="GT258">
        <v>0</v>
      </c>
      <c r="GU258" t="s">
        <v>3</v>
      </c>
      <c r="GV258">
        <f t="shared" si="179"/>
        <v>0</v>
      </c>
      <c r="GW258">
        <v>1</v>
      </c>
      <c r="GX258">
        <f t="shared" si="180"/>
        <v>0</v>
      </c>
      <c r="HA258">
        <v>0</v>
      </c>
      <c r="HB258">
        <v>0</v>
      </c>
      <c r="HC258">
        <f t="shared" si="181"/>
        <v>0</v>
      </c>
      <c r="HE258" t="s">
        <v>3</v>
      </c>
      <c r="HF258" t="s">
        <v>3</v>
      </c>
      <c r="HM258" t="s">
        <v>3</v>
      </c>
      <c r="HN258" t="s">
        <v>3</v>
      </c>
      <c r="HO258" t="s">
        <v>3</v>
      </c>
      <c r="HP258" t="s">
        <v>3</v>
      </c>
      <c r="HQ258" t="s">
        <v>3</v>
      </c>
      <c r="IK258">
        <v>0</v>
      </c>
    </row>
    <row r="259" spans="1:255" x14ac:dyDescent="0.2">
      <c r="A259" s="2">
        <v>18</v>
      </c>
      <c r="B259" s="2">
        <v>1</v>
      </c>
      <c r="C259" s="2">
        <v>221</v>
      </c>
      <c r="D259" s="2"/>
      <c r="E259" s="2" t="s">
        <v>294</v>
      </c>
      <c r="F259" s="2" t="s">
        <v>248</v>
      </c>
      <c r="G259" s="2" t="s">
        <v>295</v>
      </c>
      <c r="H259" s="2" t="s">
        <v>258</v>
      </c>
      <c r="I259" s="2">
        <f>I257*J259</f>
        <v>2.1842000000000001</v>
      </c>
      <c r="J259" s="2">
        <v>218.42000000000002</v>
      </c>
      <c r="K259" s="2">
        <v>218.42000000000002</v>
      </c>
      <c r="L259" s="2"/>
      <c r="M259" s="2"/>
      <c r="N259" s="2"/>
      <c r="O259" s="2">
        <f t="shared" ref="O259:O290" si="192">ROUND(CP259,2)</f>
        <v>0</v>
      </c>
      <c r="P259" s="2">
        <f t="shared" ref="P259:P290" si="193">ROUND((ROUND((AC259*AW259*I259),2)*BC259),2)</f>
        <v>0</v>
      </c>
      <c r="Q259" s="2">
        <f>(ROUND((ROUND(((ET259)*AV259*I259),2)*BB259),2)+ROUND((ROUND(((AE259-(EU259))*AV259*I259),2)*BS259),2))</f>
        <v>0</v>
      </c>
      <c r="R259" s="2">
        <f t="shared" ref="R259:R290" si="194">ROUND((ROUND((AE259*AV259*I259),2)*BS259),2)</f>
        <v>0</v>
      </c>
      <c r="S259" s="2">
        <f t="shared" ref="S259:S290" si="195">ROUND((ROUND((AF259*AV259*I259),2)*BA259),2)</f>
        <v>0</v>
      </c>
      <c r="T259" s="2">
        <f t="shared" ref="T259:T290" si="196">ROUND(CU259*I259,2)</f>
        <v>0</v>
      </c>
      <c r="U259" s="2">
        <f t="shared" ref="U259:U290" si="197">CV259*I259</f>
        <v>0</v>
      </c>
      <c r="V259" s="2">
        <f t="shared" ref="V259:V290" si="198">CW259*I259</f>
        <v>0</v>
      </c>
      <c r="W259" s="2">
        <f t="shared" ref="W259:W290" si="199">ROUND(CX259*I259,2)</f>
        <v>0</v>
      </c>
      <c r="X259" s="2">
        <f t="shared" ref="X259:X290" si="200">ROUND(CY259,2)</f>
        <v>0</v>
      </c>
      <c r="Y259" s="2">
        <f t="shared" ref="Y259:Y290" si="201">ROUND(CZ259,2)</f>
        <v>0</v>
      </c>
      <c r="Z259" s="2"/>
      <c r="AA259" s="2">
        <v>129761636</v>
      </c>
      <c r="AB259" s="2">
        <f t="shared" ref="AB259:AB290" si="202">ROUND((AC259+AD259+AF259),6)</f>
        <v>0</v>
      </c>
      <c r="AC259" s="2">
        <f t="shared" ref="AC259:AC290" si="203">ROUND((ES259),6)</f>
        <v>0</v>
      </c>
      <c r="AD259" s="2">
        <f>ROUND((((ET259)-(EU259))+AE259),6)</f>
        <v>0</v>
      </c>
      <c r="AE259" s="2">
        <f>ROUND((EU259),6)</f>
        <v>0</v>
      </c>
      <c r="AF259" s="2">
        <f>ROUND((EV259),6)</f>
        <v>0</v>
      </c>
      <c r="AG259" s="2">
        <f t="shared" ref="AG259:AG290" si="204">ROUND((AP259),6)</f>
        <v>0</v>
      </c>
      <c r="AH259" s="2">
        <f>(EW259)</f>
        <v>0</v>
      </c>
      <c r="AI259" s="2">
        <f>(EX259)</f>
        <v>0</v>
      </c>
      <c r="AJ259" s="2">
        <f t="shared" ref="AJ259:AJ290" si="205">(AS259)</f>
        <v>0</v>
      </c>
      <c r="AK259" s="2">
        <v>0</v>
      </c>
      <c r="AL259" s="2">
        <v>0</v>
      </c>
      <c r="AM259" s="2">
        <v>0</v>
      </c>
      <c r="AN259" s="2">
        <v>0</v>
      </c>
      <c r="AO259" s="2">
        <v>0</v>
      </c>
      <c r="AP259" s="2">
        <v>0</v>
      </c>
      <c r="AQ259" s="2">
        <v>0</v>
      </c>
      <c r="AR259" s="2">
        <v>0</v>
      </c>
      <c r="AS259" s="2">
        <v>0</v>
      </c>
      <c r="AT259" s="2">
        <v>85</v>
      </c>
      <c r="AU259" s="2">
        <v>70</v>
      </c>
      <c r="AV259" s="2">
        <v>1</v>
      </c>
      <c r="AW259" s="2">
        <v>1</v>
      </c>
      <c r="AX259" s="2"/>
      <c r="AY259" s="2"/>
      <c r="AZ259" s="2">
        <v>1</v>
      </c>
      <c r="BA259" s="2">
        <v>1</v>
      </c>
      <c r="BB259" s="2">
        <v>1</v>
      </c>
      <c r="BC259" s="2">
        <v>1</v>
      </c>
      <c r="BD259" s="2" t="s">
        <v>3</v>
      </c>
      <c r="BE259" s="2" t="s">
        <v>3</v>
      </c>
      <c r="BF259" s="2" t="s">
        <v>3</v>
      </c>
      <c r="BG259" s="2" t="s">
        <v>3</v>
      </c>
      <c r="BH259" s="2">
        <v>3</v>
      </c>
      <c r="BI259" s="2">
        <v>1</v>
      </c>
      <c r="BJ259" s="2" t="s">
        <v>3</v>
      </c>
      <c r="BK259" s="2"/>
      <c r="BL259" s="2"/>
      <c r="BM259" s="2">
        <v>80</v>
      </c>
      <c r="BN259" s="2">
        <v>0</v>
      </c>
      <c r="BO259" s="2" t="s">
        <v>3</v>
      </c>
      <c r="BP259" s="2">
        <v>0</v>
      </c>
      <c r="BQ259" s="2">
        <v>30</v>
      </c>
      <c r="BR259" s="2">
        <v>0</v>
      </c>
      <c r="BS259" s="2">
        <v>1</v>
      </c>
      <c r="BT259" s="2">
        <v>1</v>
      </c>
      <c r="BU259" s="2">
        <v>1</v>
      </c>
      <c r="BV259" s="2">
        <v>1</v>
      </c>
      <c r="BW259" s="2">
        <v>1</v>
      </c>
      <c r="BX259" s="2">
        <v>1</v>
      </c>
      <c r="BY259" s="2" t="s">
        <v>3</v>
      </c>
      <c r="BZ259" s="2">
        <v>85</v>
      </c>
      <c r="CA259" s="2">
        <v>70</v>
      </c>
      <c r="CB259" s="2" t="s">
        <v>3</v>
      </c>
      <c r="CC259" s="2"/>
      <c r="CD259" s="2"/>
      <c r="CE259" s="2">
        <v>30</v>
      </c>
      <c r="CF259" s="2">
        <v>0</v>
      </c>
      <c r="CG259" s="2">
        <v>0</v>
      </c>
      <c r="CH259" s="2"/>
      <c r="CI259" s="2"/>
      <c r="CJ259" s="2"/>
      <c r="CK259" s="2"/>
      <c r="CL259" s="2"/>
      <c r="CM259" s="2">
        <v>0</v>
      </c>
      <c r="CN259" s="2" t="s">
        <v>3</v>
      </c>
      <c r="CO259" s="2">
        <v>0</v>
      </c>
      <c r="CP259" s="2">
        <f t="shared" ref="CP259:CP290" si="206">(P259+Q259+S259)</f>
        <v>0</v>
      </c>
      <c r="CQ259" s="2">
        <f t="shared" ref="CQ259:CQ290" si="207">ROUND((ROUND((AC259*AW259*1),2)*BC259),2)</f>
        <v>0</v>
      </c>
      <c r="CR259" s="2">
        <f>(ROUND((ROUND(((ET259)*AV259*1),2)*BB259),2)+ROUND((ROUND(((AE259-(EU259))*AV259*1),2)*BS259),2))</f>
        <v>0</v>
      </c>
      <c r="CS259" s="2">
        <f t="shared" ref="CS259:CS290" si="208">ROUND((ROUND((AE259*AV259*1),2)*BS259),2)</f>
        <v>0</v>
      </c>
      <c r="CT259" s="2">
        <f t="shared" ref="CT259:CT290" si="209">ROUND((ROUND((AF259*AV259*1),2)*BA259),2)</f>
        <v>0</v>
      </c>
      <c r="CU259" s="2">
        <f t="shared" ref="CU259:CU290" si="210">AG259</f>
        <v>0</v>
      </c>
      <c r="CV259" s="2">
        <f t="shared" ref="CV259:CV290" si="211">(AH259*AV259)</f>
        <v>0</v>
      </c>
      <c r="CW259" s="2">
        <f t="shared" ref="CW259:CW290" si="212">AI259</f>
        <v>0</v>
      </c>
      <c r="CX259" s="2">
        <f t="shared" ref="CX259:CX290" si="213">AJ259</f>
        <v>0</v>
      </c>
      <c r="CY259" s="2">
        <f>((S259*BZ259)/100)</f>
        <v>0</v>
      </c>
      <c r="CZ259" s="2">
        <f>((S259*CA259)/100)</f>
        <v>0</v>
      </c>
      <c r="DA259" s="2"/>
      <c r="DB259" s="2"/>
      <c r="DC259" s="2" t="s">
        <v>3</v>
      </c>
      <c r="DD259" s="2" t="s">
        <v>3</v>
      </c>
      <c r="DE259" s="2" t="s">
        <v>3</v>
      </c>
      <c r="DF259" s="2" t="s">
        <v>3</v>
      </c>
      <c r="DG259" s="2" t="s">
        <v>3</v>
      </c>
      <c r="DH259" s="2" t="s">
        <v>3</v>
      </c>
      <c r="DI259" s="2" t="s">
        <v>3</v>
      </c>
      <c r="DJ259" s="2" t="s">
        <v>3</v>
      </c>
      <c r="DK259" s="2" t="s">
        <v>3</v>
      </c>
      <c r="DL259" s="2" t="s">
        <v>3</v>
      </c>
      <c r="DM259" s="2" t="s">
        <v>3</v>
      </c>
      <c r="DN259" s="2">
        <v>0</v>
      </c>
      <c r="DO259" s="2">
        <v>0</v>
      </c>
      <c r="DP259" s="2">
        <v>1</v>
      </c>
      <c r="DQ259" s="2">
        <v>1</v>
      </c>
      <c r="DR259" s="2"/>
      <c r="DS259" s="2"/>
      <c r="DT259" s="2"/>
      <c r="DU259" s="2">
        <v>1005</v>
      </c>
      <c r="DV259" s="2" t="s">
        <v>258</v>
      </c>
      <c r="DW259" s="2" t="s">
        <v>258</v>
      </c>
      <c r="DX259" s="2">
        <v>1</v>
      </c>
      <c r="DY259" s="2"/>
      <c r="DZ259" s="2" t="s">
        <v>3</v>
      </c>
      <c r="EA259" s="2" t="s">
        <v>3</v>
      </c>
      <c r="EB259" s="2" t="s">
        <v>3</v>
      </c>
      <c r="EC259" s="2" t="s">
        <v>3</v>
      </c>
      <c r="ED259" s="2"/>
      <c r="EE259" s="2">
        <v>126051541</v>
      </c>
      <c r="EF259" s="2">
        <v>30</v>
      </c>
      <c r="EG259" s="2" t="s">
        <v>23</v>
      </c>
      <c r="EH259" s="2">
        <v>0</v>
      </c>
      <c r="EI259" s="2" t="s">
        <v>3</v>
      </c>
      <c r="EJ259" s="2">
        <v>1</v>
      </c>
      <c r="EK259" s="2">
        <v>80</v>
      </c>
      <c r="EL259" s="2" t="s">
        <v>143</v>
      </c>
      <c r="EM259" s="2" t="s">
        <v>144</v>
      </c>
      <c r="EN259" s="2"/>
      <c r="EO259" s="2" t="s">
        <v>3</v>
      </c>
      <c r="EP259" s="2"/>
      <c r="EQ259" s="2">
        <v>0</v>
      </c>
      <c r="ER259" s="2">
        <v>0</v>
      </c>
      <c r="ES259" s="2">
        <v>0</v>
      </c>
      <c r="ET259" s="2">
        <v>0</v>
      </c>
      <c r="EU259" s="2">
        <v>0</v>
      </c>
      <c r="EV259" s="2">
        <v>0</v>
      </c>
      <c r="EW259" s="2">
        <v>0</v>
      </c>
      <c r="EX259" s="2">
        <v>0</v>
      </c>
      <c r="EY259" s="2"/>
      <c r="EZ259" s="2"/>
      <c r="FA259" s="2"/>
      <c r="FB259" s="2"/>
      <c r="FC259" s="2"/>
      <c r="FD259" s="2"/>
      <c r="FE259" s="2"/>
      <c r="FF259" s="2"/>
      <c r="FG259" s="2"/>
      <c r="FH259" s="2"/>
      <c r="FI259" s="2"/>
      <c r="FJ259" s="2"/>
      <c r="FK259" s="2"/>
      <c r="FL259" s="2"/>
      <c r="FM259" s="2"/>
      <c r="FN259" s="2"/>
      <c r="FO259" s="2"/>
      <c r="FP259" s="2"/>
      <c r="FQ259" s="2">
        <v>0</v>
      </c>
      <c r="FR259" s="2">
        <f t="shared" ref="FR259:FR290" si="214">ROUND(IF(AND(BH259=3,BI259=3),P259,0),2)</f>
        <v>0</v>
      </c>
      <c r="FS259" s="2">
        <v>0</v>
      </c>
      <c r="FT259" s="2"/>
      <c r="FU259" s="2"/>
      <c r="FV259" s="2"/>
      <c r="FW259" s="2"/>
      <c r="FX259" s="2">
        <v>85</v>
      </c>
      <c r="FY259" s="2">
        <v>70</v>
      </c>
      <c r="FZ259" s="2"/>
      <c r="GA259" s="2" t="s">
        <v>3</v>
      </c>
      <c r="GB259" s="2"/>
      <c r="GC259" s="2"/>
      <c r="GD259" s="2">
        <v>0</v>
      </c>
      <c r="GE259" s="2"/>
      <c r="GF259" s="2">
        <v>1461085409</v>
      </c>
      <c r="GG259" s="2">
        <v>2</v>
      </c>
      <c r="GH259" s="2">
        <v>0</v>
      </c>
      <c r="GI259" s="2">
        <v>-2</v>
      </c>
      <c r="GJ259" s="2">
        <v>0</v>
      </c>
      <c r="GK259" s="2">
        <f>ROUND(R259*(R12)/100,2)</f>
        <v>0</v>
      </c>
      <c r="GL259" s="2">
        <f t="shared" ref="GL259:GL290" si="215">ROUND(IF(AND(BH259=3,BI259=3,FS259&lt;&gt;0),P259,0),2)</f>
        <v>0</v>
      </c>
      <c r="GM259" s="2">
        <f t="shared" ref="GM259:GM290" si="216">ROUND(O259+X259+Y259+GK259,2)+GX259</f>
        <v>0</v>
      </c>
      <c r="GN259" s="2">
        <f t="shared" ref="GN259:GN290" si="217">IF(OR(BI259=0,BI259=1),ROUND(O259+X259+Y259+GK259,2),0)</f>
        <v>0</v>
      </c>
      <c r="GO259" s="2">
        <f t="shared" ref="GO259:GO290" si="218">IF(BI259=2,ROUND(O259+X259+Y259+GK259,2),0)</f>
        <v>0</v>
      </c>
      <c r="GP259" s="2">
        <f t="shared" ref="GP259:GP290" si="219">IF(BI259=4,ROUND(O259+X259+Y259+GK259,2)+GX259,0)</f>
        <v>0</v>
      </c>
      <c r="GQ259" s="2"/>
      <c r="GR259" s="2">
        <v>0</v>
      </c>
      <c r="GS259" s="2">
        <v>0</v>
      </c>
      <c r="GT259" s="2">
        <v>0</v>
      </c>
      <c r="GU259" s="2" t="s">
        <v>3</v>
      </c>
      <c r="GV259" s="2">
        <f t="shared" ref="GV259:GV290" si="220">ROUND((GT259),6)</f>
        <v>0</v>
      </c>
      <c r="GW259" s="2">
        <v>1</v>
      </c>
      <c r="GX259" s="2">
        <f t="shared" ref="GX259:GX290" si="221">ROUND(HC259*I259,2)</f>
        <v>0</v>
      </c>
      <c r="GY259" s="2"/>
      <c r="GZ259" s="2"/>
      <c r="HA259" s="2">
        <v>0</v>
      </c>
      <c r="HB259" s="2">
        <v>0</v>
      </c>
      <c r="HC259" s="2">
        <f t="shared" ref="HC259:HC290" si="222">GV259*GW259</f>
        <v>0</v>
      </c>
      <c r="HD259" s="2"/>
      <c r="HE259" s="2" t="s">
        <v>3</v>
      </c>
      <c r="HF259" s="2" t="s">
        <v>3</v>
      </c>
      <c r="HG259" s="2"/>
      <c r="HH259" s="2"/>
      <c r="HI259" s="2"/>
      <c r="HJ259" s="2"/>
      <c r="HK259" s="2"/>
      <c r="HL259" s="2"/>
      <c r="HM259" s="2" t="s">
        <v>3</v>
      </c>
      <c r="HN259" s="2" t="s">
        <v>3</v>
      </c>
      <c r="HO259" s="2" t="s">
        <v>3</v>
      </c>
      <c r="HP259" s="2" t="s">
        <v>3</v>
      </c>
      <c r="HQ259" s="2" t="s">
        <v>3</v>
      </c>
      <c r="HR259" s="2"/>
      <c r="HS259" s="2"/>
      <c r="HT259" s="2"/>
      <c r="HU259" s="2"/>
      <c r="HV259" s="2"/>
      <c r="HW259" s="2"/>
      <c r="HX259" s="2"/>
      <c r="HY259" s="2"/>
      <c r="HZ259" s="2"/>
      <c r="IA259" s="2"/>
      <c r="IB259" s="2"/>
      <c r="IC259" s="2"/>
      <c r="ID259" s="2"/>
      <c r="IE259" s="2"/>
      <c r="IF259" s="2"/>
      <c r="IG259" s="2"/>
      <c r="IH259" s="2"/>
      <c r="II259" s="2"/>
      <c r="IJ259" s="2"/>
      <c r="IK259" s="2">
        <v>0</v>
      </c>
      <c r="IL259" s="2"/>
      <c r="IM259" s="2"/>
      <c r="IN259" s="2"/>
      <c r="IO259" s="2"/>
      <c r="IP259" s="2"/>
      <c r="IQ259" s="2"/>
      <c r="IR259" s="2"/>
      <c r="IS259" s="2"/>
      <c r="IT259" s="2"/>
      <c r="IU259" s="2"/>
    </row>
    <row r="260" spans="1:255" x14ac:dyDescent="0.2">
      <c r="A260">
        <v>18</v>
      </c>
      <c r="B260">
        <v>1</v>
      </c>
      <c r="C260">
        <v>226</v>
      </c>
      <c r="E260" t="s">
        <v>294</v>
      </c>
      <c r="F260" t="s">
        <v>248</v>
      </c>
      <c r="G260" t="s">
        <v>295</v>
      </c>
      <c r="H260" t="s">
        <v>258</v>
      </c>
      <c r="I260">
        <f>I258*J260</f>
        <v>2.1842000000000001</v>
      </c>
      <c r="J260">
        <v>218.42000000000002</v>
      </c>
      <c r="K260">
        <v>218.42000000000002</v>
      </c>
      <c r="O260">
        <f t="shared" si="192"/>
        <v>64608.58</v>
      </c>
      <c r="P260">
        <f t="shared" si="193"/>
        <v>64608.58</v>
      </c>
      <c r="Q260">
        <f>(ROUND((ROUND(((ET260)*AV260*I260),2)*BB260),2)+ROUND((ROUND(((AE260-(EU260))*AV260*I260),2)*BS260),2))</f>
        <v>0</v>
      </c>
      <c r="R260">
        <f t="shared" si="194"/>
        <v>0</v>
      </c>
      <c r="S260">
        <f t="shared" si="195"/>
        <v>0</v>
      </c>
      <c r="T260">
        <f t="shared" si="196"/>
        <v>0</v>
      </c>
      <c r="U260">
        <f t="shared" si="197"/>
        <v>0</v>
      </c>
      <c r="V260">
        <f t="shared" si="198"/>
        <v>0</v>
      </c>
      <c r="W260">
        <f t="shared" si="199"/>
        <v>0</v>
      </c>
      <c r="X260">
        <f t="shared" si="200"/>
        <v>0</v>
      </c>
      <c r="Y260">
        <f t="shared" si="201"/>
        <v>0</v>
      </c>
      <c r="AA260">
        <v>129761633</v>
      </c>
      <c r="AB260">
        <f t="shared" si="202"/>
        <v>3419.65</v>
      </c>
      <c r="AC260">
        <f t="shared" si="203"/>
        <v>3419.65</v>
      </c>
      <c r="AD260">
        <f>ROUND((((ET260)-(EU260))+AE260),6)</f>
        <v>0</v>
      </c>
      <c r="AE260">
        <f>ROUND((EU260),6)</f>
        <v>0</v>
      </c>
      <c r="AF260">
        <f>ROUND((EV260),6)</f>
        <v>0</v>
      </c>
      <c r="AG260">
        <f t="shared" si="204"/>
        <v>0</v>
      </c>
      <c r="AH260">
        <f>(EW260)</f>
        <v>0</v>
      </c>
      <c r="AI260">
        <f>(EX260)</f>
        <v>0</v>
      </c>
      <c r="AJ260">
        <f t="shared" si="205"/>
        <v>0</v>
      </c>
      <c r="AK260">
        <v>3419.65</v>
      </c>
      <c r="AL260">
        <v>3419.65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1</v>
      </c>
      <c r="AW260">
        <v>1</v>
      </c>
      <c r="AZ260">
        <v>1</v>
      </c>
      <c r="BA260">
        <v>1</v>
      </c>
      <c r="BB260">
        <v>1</v>
      </c>
      <c r="BC260">
        <v>8.65</v>
      </c>
      <c r="BD260" t="s">
        <v>3</v>
      </c>
      <c r="BE260" t="s">
        <v>3</v>
      </c>
      <c r="BF260" t="s">
        <v>3</v>
      </c>
      <c r="BG260" t="s">
        <v>3</v>
      </c>
      <c r="BH260">
        <v>3</v>
      </c>
      <c r="BI260">
        <v>1</v>
      </c>
      <c r="BJ260" t="s">
        <v>3</v>
      </c>
      <c r="BM260">
        <v>80</v>
      </c>
      <c r="BN260">
        <v>0</v>
      </c>
      <c r="BO260" t="s">
        <v>3</v>
      </c>
      <c r="BP260">
        <v>0</v>
      </c>
      <c r="BQ260">
        <v>30</v>
      </c>
      <c r="BR260">
        <v>0</v>
      </c>
      <c r="BS260">
        <v>1</v>
      </c>
      <c r="BT260">
        <v>1</v>
      </c>
      <c r="BU260">
        <v>1</v>
      </c>
      <c r="BV260">
        <v>1</v>
      </c>
      <c r="BW260">
        <v>1</v>
      </c>
      <c r="BX260">
        <v>1</v>
      </c>
      <c r="BY260" t="s">
        <v>3</v>
      </c>
      <c r="BZ260">
        <v>0</v>
      </c>
      <c r="CA260">
        <v>0</v>
      </c>
      <c r="CB260" t="s">
        <v>3</v>
      </c>
      <c r="CE260">
        <v>30</v>
      </c>
      <c r="CF260">
        <v>0</v>
      </c>
      <c r="CG260">
        <v>0</v>
      </c>
      <c r="CM260">
        <v>0</v>
      </c>
      <c r="CN260" t="s">
        <v>3</v>
      </c>
      <c r="CO260">
        <v>0</v>
      </c>
      <c r="CP260">
        <f t="shared" si="206"/>
        <v>64608.58</v>
      </c>
      <c r="CQ260">
        <f t="shared" si="207"/>
        <v>29579.97</v>
      </c>
      <c r="CR260">
        <f>(ROUND((ROUND(((ET260)*AV260*1),2)*BB260),2)+ROUND((ROUND(((AE260-(EU260))*AV260*1),2)*BS260),2))</f>
        <v>0</v>
      </c>
      <c r="CS260">
        <f t="shared" si="208"/>
        <v>0</v>
      </c>
      <c r="CT260">
        <f t="shared" si="209"/>
        <v>0</v>
      </c>
      <c r="CU260">
        <f t="shared" si="210"/>
        <v>0</v>
      </c>
      <c r="CV260">
        <f t="shared" si="211"/>
        <v>0</v>
      </c>
      <c r="CW260">
        <f t="shared" si="212"/>
        <v>0</v>
      </c>
      <c r="CX260">
        <f t="shared" si="213"/>
        <v>0</v>
      </c>
      <c r="CY260">
        <f>S260*(BZ260/100)</f>
        <v>0</v>
      </c>
      <c r="CZ260">
        <f>S260*(CA260/100)</f>
        <v>0</v>
      </c>
      <c r="DC260" t="s">
        <v>3</v>
      </c>
      <c r="DD260" t="s">
        <v>3</v>
      </c>
      <c r="DE260" t="s">
        <v>3</v>
      </c>
      <c r="DF260" t="s">
        <v>3</v>
      </c>
      <c r="DG260" t="s">
        <v>3</v>
      </c>
      <c r="DH260" t="s">
        <v>3</v>
      </c>
      <c r="DI260" t="s">
        <v>3</v>
      </c>
      <c r="DJ260" t="s">
        <v>3</v>
      </c>
      <c r="DK260" t="s">
        <v>3</v>
      </c>
      <c r="DL260" t="s">
        <v>3</v>
      </c>
      <c r="DM260" t="s">
        <v>3</v>
      </c>
      <c r="DN260">
        <v>85</v>
      </c>
      <c r="DO260">
        <v>70</v>
      </c>
      <c r="DP260">
        <v>1</v>
      </c>
      <c r="DQ260">
        <v>1</v>
      </c>
      <c r="DU260">
        <v>1005</v>
      </c>
      <c r="DV260" t="s">
        <v>258</v>
      </c>
      <c r="DW260" t="s">
        <v>258</v>
      </c>
      <c r="DX260">
        <v>1</v>
      </c>
      <c r="DZ260" t="s">
        <v>3</v>
      </c>
      <c r="EA260" t="s">
        <v>3</v>
      </c>
      <c r="EB260" t="s">
        <v>3</v>
      </c>
      <c r="EC260" t="s">
        <v>3</v>
      </c>
      <c r="EE260">
        <v>126051541</v>
      </c>
      <c r="EF260">
        <v>30</v>
      </c>
      <c r="EG260" t="s">
        <v>23</v>
      </c>
      <c r="EH260">
        <v>0</v>
      </c>
      <c r="EI260" t="s">
        <v>3</v>
      </c>
      <c r="EJ260">
        <v>1</v>
      </c>
      <c r="EK260">
        <v>80</v>
      </c>
      <c r="EL260" t="s">
        <v>143</v>
      </c>
      <c r="EM260" t="s">
        <v>144</v>
      </c>
      <c r="EO260" t="s">
        <v>3</v>
      </c>
      <c r="EQ260">
        <v>0</v>
      </c>
      <c r="ER260">
        <v>3419.65</v>
      </c>
      <c r="ES260">
        <v>3419.65</v>
      </c>
      <c r="ET260">
        <v>0</v>
      </c>
      <c r="EU260">
        <v>0</v>
      </c>
      <c r="EV260">
        <v>0</v>
      </c>
      <c r="EW260">
        <v>0</v>
      </c>
      <c r="EX260">
        <v>0</v>
      </c>
      <c r="EZ260">
        <v>5</v>
      </c>
      <c r="FC260">
        <v>1</v>
      </c>
      <c r="FD260">
        <v>18</v>
      </c>
      <c r="FF260">
        <v>34800</v>
      </c>
      <c r="FQ260">
        <v>0</v>
      </c>
      <c r="FR260">
        <f t="shared" si="214"/>
        <v>0</v>
      </c>
      <c r="FS260">
        <v>0</v>
      </c>
      <c r="FX260">
        <v>85</v>
      </c>
      <c r="FY260">
        <v>70</v>
      </c>
      <c r="GA260" t="s">
        <v>296</v>
      </c>
      <c r="GD260">
        <v>0</v>
      </c>
      <c r="GF260">
        <v>1461085409</v>
      </c>
      <c r="GG260">
        <v>2</v>
      </c>
      <c r="GH260">
        <v>3</v>
      </c>
      <c r="GI260">
        <v>5</v>
      </c>
      <c r="GJ260">
        <v>0</v>
      </c>
      <c r="GK260">
        <f>ROUND(R260*(S12)/100,2)</f>
        <v>0</v>
      </c>
      <c r="GL260">
        <f t="shared" si="215"/>
        <v>0</v>
      </c>
      <c r="GM260">
        <f t="shared" si="216"/>
        <v>64608.58</v>
      </c>
      <c r="GN260">
        <f t="shared" si="217"/>
        <v>64608.58</v>
      </c>
      <c r="GO260">
        <f t="shared" si="218"/>
        <v>0</v>
      </c>
      <c r="GP260">
        <f t="shared" si="219"/>
        <v>0</v>
      </c>
      <c r="GR260">
        <v>1</v>
      </c>
      <c r="GS260">
        <v>1</v>
      </c>
      <c r="GT260">
        <v>0</v>
      </c>
      <c r="GU260" t="s">
        <v>3</v>
      </c>
      <c r="GV260">
        <f t="shared" si="220"/>
        <v>0</v>
      </c>
      <c r="GW260">
        <v>1</v>
      </c>
      <c r="GX260">
        <f t="shared" si="221"/>
        <v>0</v>
      </c>
      <c r="HA260">
        <v>0</v>
      </c>
      <c r="HB260">
        <v>0</v>
      </c>
      <c r="HC260">
        <f t="shared" si="222"/>
        <v>0</v>
      </c>
      <c r="HE260" t="s">
        <v>81</v>
      </c>
      <c r="HF260" t="s">
        <v>252</v>
      </c>
      <c r="HM260" t="s">
        <v>3</v>
      </c>
      <c r="HN260" t="s">
        <v>3</v>
      </c>
      <c r="HO260" t="s">
        <v>3</v>
      </c>
      <c r="HP260" t="s">
        <v>3</v>
      </c>
      <c r="HQ260" t="s">
        <v>3</v>
      </c>
      <c r="IK260">
        <v>0</v>
      </c>
    </row>
    <row r="261" spans="1:255" x14ac:dyDescent="0.2">
      <c r="A261" s="2">
        <v>17</v>
      </c>
      <c r="B261" s="2">
        <v>1</v>
      </c>
      <c r="C261" s="2">
        <f>ROW(SmtRes!A232)</f>
        <v>232</v>
      </c>
      <c r="D261" s="2">
        <f>ROW(EtalonRes!A238)</f>
        <v>238</v>
      </c>
      <c r="E261" s="2" t="s">
        <v>297</v>
      </c>
      <c r="F261" s="2" t="s">
        <v>298</v>
      </c>
      <c r="G261" s="2" t="s">
        <v>299</v>
      </c>
      <c r="H261" s="2" t="s">
        <v>231</v>
      </c>
      <c r="I261" s="2">
        <v>1</v>
      </c>
      <c r="J261" s="2">
        <v>0</v>
      </c>
      <c r="K261" s="2">
        <v>1</v>
      </c>
      <c r="L261" s="2"/>
      <c r="M261" s="2"/>
      <c r="N261" s="2"/>
      <c r="O261" s="2">
        <f t="shared" si="192"/>
        <v>107.48</v>
      </c>
      <c r="P261" s="2">
        <f t="shared" si="193"/>
        <v>67.209999999999994</v>
      </c>
      <c r="Q261" s="2">
        <f>(ROUND((ROUND((((ET261*1.25))*AV261*I261),2)*BB261),2)+ROUND((ROUND(((AE261-((EU261*1.25)))*AV261*I261),2)*BS261),2))</f>
        <v>9.91</v>
      </c>
      <c r="R261" s="2">
        <f t="shared" si="194"/>
        <v>1.0900000000000001</v>
      </c>
      <c r="S261" s="2">
        <f t="shared" si="195"/>
        <v>30.36</v>
      </c>
      <c r="T261" s="2">
        <f t="shared" si="196"/>
        <v>0</v>
      </c>
      <c r="U261" s="2">
        <f t="shared" si="197"/>
        <v>2.2999999999999998</v>
      </c>
      <c r="V261" s="2">
        <f t="shared" si="198"/>
        <v>0</v>
      </c>
      <c r="W261" s="2">
        <f t="shared" si="199"/>
        <v>0</v>
      </c>
      <c r="X261" s="2">
        <f t="shared" si="200"/>
        <v>33.4</v>
      </c>
      <c r="Y261" s="2">
        <f t="shared" si="201"/>
        <v>22.47</v>
      </c>
      <c r="Z261" s="2"/>
      <c r="AA261" s="2">
        <v>129761636</v>
      </c>
      <c r="AB261" s="2">
        <f t="shared" si="202"/>
        <v>107.4825</v>
      </c>
      <c r="AC261" s="2">
        <f t="shared" si="203"/>
        <v>67.209999999999994</v>
      </c>
      <c r="AD261" s="2">
        <f>ROUND(((((ET261*1.25))-((EU261*1.25)))+AE261),6)</f>
        <v>9.9124999999999996</v>
      </c>
      <c r="AE261" s="2">
        <f>ROUND(((EU261*1.25)),6)</f>
        <v>1.0874999999999999</v>
      </c>
      <c r="AF261" s="2">
        <f>ROUND(((EV261*1.15)),6)</f>
        <v>30.36</v>
      </c>
      <c r="AG261" s="2">
        <f t="shared" si="204"/>
        <v>0</v>
      </c>
      <c r="AH261" s="2">
        <f>((EW261*1.15))</f>
        <v>2.2999999999999998</v>
      </c>
      <c r="AI261" s="2">
        <f>((EX261*1.25))</f>
        <v>0</v>
      </c>
      <c r="AJ261" s="2">
        <f t="shared" si="205"/>
        <v>0</v>
      </c>
      <c r="AK261" s="2">
        <v>101.54</v>
      </c>
      <c r="AL261" s="2">
        <v>67.209999999999994</v>
      </c>
      <c r="AM261" s="2">
        <v>7.93</v>
      </c>
      <c r="AN261" s="2">
        <v>0.87</v>
      </c>
      <c r="AO261" s="2">
        <v>26.4</v>
      </c>
      <c r="AP261" s="2">
        <v>0</v>
      </c>
      <c r="AQ261" s="2">
        <v>2</v>
      </c>
      <c r="AR261" s="2">
        <v>0</v>
      </c>
      <c r="AS261" s="2">
        <v>0</v>
      </c>
      <c r="AT261" s="2">
        <v>110</v>
      </c>
      <c r="AU261" s="2">
        <v>74</v>
      </c>
      <c r="AV261" s="2">
        <v>1</v>
      </c>
      <c r="AW261" s="2">
        <v>1</v>
      </c>
      <c r="AX261" s="2"/>
      <c r="AY261" s="2"/>
      <c r="AZ261" s="2">
        <v>1</v>
      </c>
      <c r="BA261" s="2">
        <v>1</v>
      </c>
      <c r="BB261" s="2">
        <v>1</v>
      </c>
      <c r="BC261" s="2">
        <v>1</v>
      </c>
      <c r="BD261" s="2" t="s">
        <v>3</v>
      </c>
      <c r="BE261" s="2" t="s">
        <v>3</v>
      </c>
      <c r="BF261" s="2" t="s">
        <v>3</v>
      </c>
      <c r="BG261" s="2" t="s">
        <v>3</v>
      </c>
      <c r="BH261" s="2">
        <v>0</v>
      </c>
      <c r="BI261" s="2">
        <v>1</v>
      </c>
      <c r="BJ261" s="2" t="s">
        <v>300</v>
      </c>
      <c r="BK261" s="2"/>
      <c r="BL261" s="2"/>
      <c r="BM261" s="2">
        <v>139</v>
      </c>
      <c r="BN261" s="2">
        <v>0</v>
      </c>
      <c r="BO261" s="2" t="s">
        <v>3</v>
      </c>
      <c r="BP261" s="2">
        <v>0</v>
      </c>
      <c r="BQ261" s="2">
        <v>30</v>
      </c>
      <c r="BR261" s="2">
        <v>0</v>
      </c>
      <c r="BS261" s="2">
        <v>1</v>
      </c>
      <c r="BT261" s="2">
        <v>1</v>
      </c>
      <c r="BU261" s="2">
        <v>1</v>
      </c>
      <c r="BV261" s="2">
        <v>1</v>
      </c>
      <c r="BW261" s="2">
        <v>1</v>
      </c>
      <c r="BX261" s="2">
        <v>1</v>
      </c>
      <c r="BY261" s="2" t="s">
        <v>3</v>
      </c>
      <c r="BZ261" s="2">
        <v>110</v>
      </c>
      <c r="CA261" s="2">
        <v>74</v>
      </c>
      <c r="CB261" s="2" t="s">
        <v>3</v>
      </c>
      <c r="CC261" s="2"/>
      <c r="CD261" s="2"/>
      <c r="CE261" s="2">
        <v>30</v>
      </c>
      <c r="CF261" s="2">
        <v>0</v>
      </c>
      <c r="CG261" s="2">
        <v>0</v>
      </c>
      <c r="CH261" s="2"/>
      <c r="CI261" s="2"/>
      <c r="CJ261" s="2"/>
      <c r="CK261" s="2"/>
      <c r="CL261" s="2"/>
      <c r="CM261" s="2">
        <v>0</v>
      </c>
      <c r="CN261" s="2" t="s">
        <v>1559</v>
      </c>
      <c r="CO261" s="2">
        <v>0</v>
      </c>
      <c r="CP261" s="2">
        <f t="shared" si="206"/>
        <v>107.47999999999999</v>
      </c>
      <c r="CQ261" s="2">
        <f t="shared" si="207"/>
        <v>67.209999999999994</v>
      </c>
      <c r="CR261" s="2">
        <f>(ROUND((ROUND((((ET261*1.25))*AV261*1),2)*BB261),2)+ROUND((ROUND(((AE261-((EU261*1.25)))*AV261*1),2)*BS261),2))</f>
        <v>9.91</v>
      </c>
      <c r="CS261" s="2">
        <f t="shared" si="208"/>
        <v>1.0900000000000001</v>
      </c>
      <c r="CT261" s="2">
        <f t="shared" si="209"/>
        <v>30.36</v>
      </c>
      <c r="CU261" s="2">
        <f t="shared" si="210"/>
        <v>0</v>
      </c>
      <c r="CV261" s="2">
        <f t="shared" si="211"/>
        <v>2.2999999999999998</v>
      </c>
      <c r="CW261" s="2">
        <f t="shared" si="212"/>
        <v>0</v>
      </c>
      <c r="CX261" s="2">
        <f t="shared" si="213"/>
        <v>0</v>
      </c>
      <c r="CY261" s="2">
        <f>((S261*BZ261)/100)</f>
        <v>33.396000000000001</v>
      </c>
      <c r="CZ261" s="2">
        <f>((S261*CA261)/100)</f>
        <v>22.4664</v>
      </c>
      <c r="DA261" s="2"/>
      <c r="DB261" s="2"/>
      <c r="DC261" s="2" t="s">
        <v>3</v>
      </c>
      <c r="DD261" s="2" t="s">
        <v>3</v>
      </c>
      <c r="DE261" s="2" t="s">
        <v>86</v>
      </c>
      <c r="DF261" s="2" t="s">
        <v>86</v>
      </c>
      <c r="DG261" s="2" t="s">
        <v>87</v>
      </c>
      <c r="DH261" s="2" t="s">
        <v>3</v>
      </c>
      <c r="DI261" s="2" t="s">
        <v>87</v>
      </c>
      <c r="DJ261" s="2" t="s">
        <v>86</v>
      </c>
      <c r="DK261" s="2" t="s">
        <v>3</v>
      </c>
      <c r="DL261" s="2" t="s">
        <v>3</v>
      </c>
      <c r="DM261" s="2" t="s">
        <v>3</v>
      </c>
      <c r="DN261" s="2">
        <v>0</v>
      </c>
      <c r="DO261" s="2">
        <v>0</v>
      </c>
      <c r="DP261" s="2">
        <v>1</v>
      </c>
      <c r="DQ261" s="2">
        <v>1</v>
      </c>
      <c r="DR261" s="2"/>
      <c r="DS261" s="2"/>
      <c r="DT261" s="2"/>
      <c r="DU261" s="2">
        <v>1013</v>
      </c>
      <c r="DV261" s="2" t="s">
        <v>231</v>
      </c>
      <c r="DW261" s="2" t="s">
        <v>231</v>
      </c>
      <c r="DX261" s="2">
        <v>1</v>
      </c>
      <c r="DY261" s="2"/>
      <c r="DZ261" s="2" t="s">
        <v>3</v>
      </c>
      <c r="EA261" s="2" t="s">
        <v>3</v>
      </c>
      <c r="EB261" s="2" t="s">
        <v>3</v>
      </c>
      <c r="EC261" s="2" t="s">
        <v>3</v>
      </c>
      <c r="ED261" s="2"/>
      <c r="EE261" s="2">
        <v>126051600</v>
      </c>
      <c r="EF261" s="2">
        <v>30</v>
      </c>
      <c r="EG261" s="2" t="s">
        <v>23</v>
      </c>
      <c r="EH261" s="2">
        <v>0</v>
      </c>
      <c r="EI261" s="2" t="s">
        <v>3</v>
      </c>
      <c r="EJ261" s="2">
        <v>1</v>
      </c>
      <c r="EK261" s="2">
        <v>139</v>
      </c>
      <c r="EL261" s="2" t="s">
        <v>301</v>
      </c>
      <c r="EM261" s="2" t="s">
        <v>302</v>
      </c>
      <c r="EN261" s="2"/>
      <c r="EO261" s="2" t="s">
        <v>90</v>
      </c>
      <c r="EP261" s="2"/>
      <c r="EQ261" s="2">
        <v>131072</v>
      </c>
      <c r="ER261" s="2">
        <v>101.54</v>
      </c>
      <c r="ES261" s="2">
        <v>67.209999999999994</v>
      </c>
      <c r="ET261" s="2">
        <v>7.93</v>
      </c>
      <c r="EU261" s="2">
        <v>0.87</v>
      </c>
      <c r="EV261" s="2">
        <v>26.4</v>
      </c>
      <c r="EW261" s="2">
        <v>2</v>
      </c>
      <c r="EX261" s="2">
        <v>0</v>
      </c>
      <c r="EY261" s="2">
        <v>0</v>
      </c>
      <c r="EZ261" s="2"/>
      <c r="FA261" s="2"/>
      <c r="FB261" s="2"/>
      <c r="FC261" s="2"/>
      <c r="FD261" s="2"/>
      <c r="FE261" s="2"/>
      <c r="FF261" s="2"/>
      <c r="FG261" s="2"/>
      <c r="FH261" s="2"/>
      <c r="FI261" s="2"/>
      <c r="FJ261" s="2"/>
      <c r="FK261" s="2"/>
      <c r="FL261" s="2"/>
      <c r="FM261" s="2"/>
      <c r="FN261" s="2"/>
      <c r="FO261" s="2"/>
      <c r="FP261" s="2"/>
      <c r="FQ261" s="2">
        <v>0</v>
      </c>
      <c r="FR261" s="2">
        <f t="shared" si="214"/>
        <v>0</v>
      </c>
      <c r="FS261" s="2">
        <v>0</v>
      </c>
      <c r="FT261" s="2"/>
      <c r="FU261" s="2"/>
      <c r="FV261" s="2"/>
      <c r="FW261" s="2"/>
      <c r="FX261" s="2">
        <v>110</v>
      </c>
      <c r="FY261" s="2">
        <v>74</v>
      </c>
      <c r="FZ261" s="2"/>
      <c r="GA261" s="2" t="s">
        <v>3</v>
      </c>
      <c r="GB261" s="2"/>
      <c r="GC261" s="2"/>
      <c r="GD261" s="2">
        <v>0</v>
      </c>
      <c r="GE261" s="2"/>
      <c r="GF261" s="2">
        <v>-1346236756</v>
      </c>
      <c r="GG261" s="2">
        <v>2</v>
      </c>
      <c r="GH261" s="2">
        <v>1</v>
      </c>
      <c r="GI261" s="2">
        <v>-2</v>
      </c>
      <c r="GJ261" s="2">
        <v>0</v>
      </c>
      <c r="GK261" s="2">
        <f>ROUND(R261*(R12)/100,2)</f>
        <v>1.91</v>
      </c>
      <c r="GL261" s="2">
        <f t="shared" si="215"/>
        <v>0</v>
      </c>
      <c r="GM261" s="2">
        <f t="shared" si="216"/>
        <v>165.26</v>
      </c>
      <c r="GN261" s="2">
        <f t="shared" si="217"/>
        <v>165.26</v>
      </c>
      <c r="GO261" s="2">
        <f t="shared" si="218"/>
        <v>0</v>
      </c>
      <c r="GP261" s="2">
        <f t="shared" si="219"/>
        <v>0</v>
      </c>
      <c r="GQ261" s="2"/>
      <c r="GR261" s="2">
        <v>0</v>
      </c>
      <c r="GS261" s="2">
        <v>0</v>
      </c>
      <c r="GT261" s="2">
        <v>0</v>
      </c>
      <c r="GU261" s="2" t="s">
        <v>3</v>
      </c>
      <c r="GV261" s="2">
        <f t="shared" si="220"/>
        <v>0</v>
      </c>
      <c r="GW261" s="2">
        <v>1</v>
      </c>
      <c r="GX261" s="2">
        <f t="shared" si="221"/>
        <v>0</v>
      </c>
      <c r="GY261" s="2"/>
      <c r="GZ261" s="2"/>
      <c r="HA261" s="2">
        <v>0</v>
      </c>
      <c r="HB261" s="2">
        <v>0</v>
      </c>
      <c r="HC261" s="2">
        <f t="shared" si="222"/>
        <v>0</v>
      </c>
      <c r="HD261" s="2"/>
      <c r="HE261" s="2" t="s">
        <v>3</v>
      </c>
      <c r="HF261" s="2" t="s">
        <v>3</v>
      </c>
      <c r="HG261" s="2"/>
      <c r="HH261" s="2"/>
      <c r="HI261" s="2"/>
      <c r="HJ261" s="2"/>
      <c r="HK261" s="2"/>
      <c r="HL261" s="2"/>
      <c r="HM261" s="2" t="s">
        <v>3</v>
      </c>
      <c r="HN261" s="2" t="s">
        <v>3</v>
      </c>
      <c r="HO261" s="2" t="s">
        <v>3</v>
      </c>
      <c r="HP261" s="2" t="s">
        <v>3</v>
      </c>
      <c r="HQ261" s="2" t="s">
        <v>3</v>
      </c>
      <c r="HR261" s="2"/>
      <c r="HS261" s="2"/>
      <c r="HT261" s="2"/>
      <c r="HU261" s="2"/>
      <c r="HV261" s="2"/>
      <c r="HW261" s="2"/>
      <c r="HX261" s="2"/>
      <c r="HY261" s="2"/>
      <c r="HZ261" s="2"/>
      <c r="IA261" s="2"/>
      <c r="IB261" s="2"/>
      <c r="IC261" s="2"/>
      <c r="ID261" s="2"/>
      <c r="IE261" s="2"/>
      <c r="IF261" s="2"/>
      <c r="IG261" s="2"/>
      <c r="IH261" s="2"/>
      <c r="II261" s="2"/>
      <c r="IJ261" s="2"/>
      <c r="IK261" s="2">
        <v>0</v>
      </c>
      <c r="IL261" s="2"/>
      <c r="IM261" s="2"/>
      <c r="IN261" s="2"/>
      <c r="IO261" s="2"/>
      <c r="IP261" s="2"/>
      <c r="IQ261" s="2"/>
      <c r="IR261" s="2"/>
      <c r="IS261" s="2"/>
      <c r="IT261" s="2"/>
      <c r="IU261" s="2"/>
    </row>
    <row r="262" spans="1:255" x14ac:dyDescent="0.2">
      <c r="A262">
        <v>17</v>
      </c>
      <c r="B262">
        <v>1</v>
      </c>
      <c r="C262">
        <f>ROW(SmtRes!A238)</f>
        <v>238</v>
      </c>
      <c r="D262">
        <f>ROW(EtalonRes!A244)</f>
        <v>244</v>
      </c>
      <c r="E262" t="s">
        <v>297</v>
      </c>
      <c r="F262" t="s">
        <v>298</v>
      </c>
      <c r="G262" t="s">
        <v>299</v>
      </c>
      <c r="H262" t="s">
        <v>231</v>
      </c>
      <c r="I262">
        <v>1</v>
      </c>
      <c r="J262">
        <v>0</v>
      </c>
      <c r="K262">
        <v>1</v>
      </c>
      <c r="O262">
        <f t="shared" si="192"/>
        <v>1518.98</v>
      </c>
      <c r="P262">
        <f t="shared" si="193"/>
        <v>529.61</v>
      </c>
      <c r="Q262">
        <f>(ROUND((ROUND((((ET262*1.25))*AV262*I262),2)*BB262),2)+ROUND((ROUND(((AE262-((EU262*1.25)))*AV262*I262),2)*BS262),2))</f>
        <v>108.02</v>
      </c>
      <c r="R262">
        <f t="shared" si="194"/>
        <v>31.64</v>
      </c>
      <c r="S262">
        <f t="shared" si="195"/>
        <v>881.35</v>
      </c>
      <c r="T262">
        <f t="shared" si="196"/>
        <v>0</v>
      </c>
      <c r="U262">
        <f t="shared" si="197"/>
        <v>2.2999999999999998</v>
      </c>
      <c r="V262">
        <f t="shared" si="198"/>
        <v>0</v>
      </c>
      <c r="W262">
        <f t="shared" si="199"/>
        <v>0</v>
      </c>
      <c r="X262">
        <f t="shared" si="200"/>
        <v>793.22</v>
      </c>
      <c r="Y262">
        <f t="shared" si="201"/>
        <v>361.35</v>
      </c>
      <c r="AA262">
        <v>129761633</v>
      </c>
      <c r="AB262">
        <f t="shared" si="202"/>
        <v>107.4825</v>
      </c>
      <c r="AC262">
        <f t="shared" si="203"/>
        <v>67.209999999999994</v>
      </c>
      <c r="AD262">
        <f>ROUND(((((ET262*1.25))-((EU262*1.25)))+AE262),6)</f>
        <v>9.9124999999999996</v>
      </c>
      <c r="AE262">
        <f>ROUND(((EU262*1.25)),6)</f>
        <v>1.0874999999999999</v>
      </c>
      <c r="AF262">
        <f>ROUND(((EV262*1.15)),6)</f>
        <v>30.36</v>
      </c>
      <c r="AG262">
        <f t="shared" si="204"/>
        <v>0</v>
      </c>
      <c r="AH262">
        <f>((EW262*1.15))</f>
        <v>2.2999999999999998</v>
      </c>
      <c r="AI262">
        <f>((EX262*1.25))</f>
        <v>0</v>
      </c>
      <c r="AJ262">
        <f t="shared" si="205"/>
        <v>0</v>
      </c>
      <c r="AK262">
        <v>101.54</v>
      </c>
      <c r="AL262">
        <v>67.209999999999994</v>
      </c>
      <c r="AM262">
        <v>7.93</v>
      </c>
      <c r="AN262">
        <v>0.87</v>
      </c>
      <c r="AO262">
        <v>26.4</v>
      </c>
      <c r="AP262">
        <v>0</v>
      </c>
      <c r="AQ262">
        <v>2</v>
      </c>
      <c r="AR262">
        <v>0</v>
      </c>
      <c r="AS262">
        <v>0</v>
      </c>
      <c r="AT262">
        <v>90</v>
      </c>
      <c r="AU262">
        <v>41</v>
      </c>
      <c r="AV262">
        <v>1</v>
      </c>
      <c r="AW262">
        <v>1</v>
      </c>
      <c r="AZ262">
        <v>1</v>
      </c>
      <c r="BA262">
        <v>29.03</v>
      </c>
      <c r="BB262">
        <v>10.9</v>
      </c>
      <c r="BC262">
        <v>7.88</v>
      </c>
      <c r="BD262" t="s">
        <v>3</v>
      </c>
      <c r="BE262" t="s">
        <v>3</v>
      </c>
      <c r="BF262" t="s">
        <v>3</v>
      </c>
      <c r="BG262" t="s">
        <v>3</v>
      </c>
      <c r="BH262">
        <v>0</v>
      </c>
      <c r="BI262">
        <v>1</v>
      </c>
      <c r="BJ262" t="s">
        <v>300</v>
      </c>
      <c r="BM262">
        <v>139</v>
      </c>
      <c r="BN262">
        <v>0</v>
      </c>
      <c r="BO262" t="s">
        <v>298</v>
      </c>
      <c r="BP262">
        <v>1</v>
      </c>
      <c r="BQ262">
        <v>30</v>
      </c>
      <c r="BR262">
        <v>0</v>
      </c>
      <c r="BS262">
        <v>29.03</v>
      </c>
      <c r="BT262">
        <v>1</v>
      </c>
      <c r="BU262">
        <v>1</v>
      </c>
      <c r="BV262">
        <v>1</v>
      </c>
      <c r="BW262">
        <v>1</v>
      </c>
      <c r="BX262">
        <v>1</v>
      </c>
      <c r="BY262" t="s">
        <v>3</v>
      </c>
      <c r="BZ262">
        <v>90</v>
      </c>
      <c r="CA262">
        <v>41</v>
      </c>
      <c r="CB262" t="s">
        <v>3</v>
      </c>
      <c r="CE262">
        <v>30</v>
      </c>
      <c r="CF262">
        <v>0</v>
      </c>
      <c r="CG262">
        <v>0</v>
      </c>
      <c r="CM262">
        <v>0</v>
      </c>
      <c r="CN262" t="s">
        <v>1559</v>
      </c>
      <c r="CO262">
        <v>0</v>
      </c>
      <c r="CP262">
        <f t="shared" si="206"/>
        <v>1518.98</v>
      </c>
      <c r="CQ262">
        <f t="shared" si="207"/>
        <v>529.61</v>
      </c>
      <c r="CR262">
        <f>(ROUND((ROUND((((ET262*1.25))*AV262*1),2)*BB262),2)+ROUND((ROUND(((AE262-((EU262*1.25)))*AV262*1),2)*BS262),2))</f>
        <v>108.02</v>
      </c>
      <c r="CS262">
        <f t="shared" si="208"/>
        <v>31.64</v>
      </c>
      <c r="CT262">
        <f t="shared" si="209"/>
        <v>881.35</v>
      </c>
      <c r="CU262">
        <f t="shared" si="210"/>
        <v>0</v>
      </c>
      <c r="CV262">
        <f t="shared" si="211"/>
        <v>2.2999999999999998</v>
      </c>
      <c r="CW262">
        <f t="shared" si="212"/>
        <v>0</v>
      </c>
      <c r="CX262">
        <f t="shared" si="213"/>
        <v>0</v>
      </c>
      <c r="CY262">
        <f>S262*(BZ262/100)</f>
        <v>793.21500000000003</v>
      </c>
      <c r="CZ262">
        <f>S262*(CA262/100)</f>
        <v>361.3535</v>
      </c>
      <c r="DC262" t="s">
        <v>3</v>
      </c>
      <c r="DD262" t="s">
        <v>3</v>
      </c>
      <c r="DE262" t="s">
        <v>86</v>
      </c>
      <c r="DF262" t="s">
        <v>86</v>
      </c>
      <c r="DG262" t="s">
        <v>87</v>
      </c>
      <c r="DH262" t="s">
        <v>3</v>
      </c>
      <c r="DI262" t="s">
        <v>87</v>
      </c>
      <c r="DJ262" t="s">
        <v>86</v>
      </c>
      <c r="DK262" t="s">
        <v>3</v>
      </c>
      <c r="DL262" t="s">
        <v>3</v>
      </c>
      <c r="DM262" t="s">
        <v>3</v>
      </c>
      <c r="DN262">
        <v>110</v>
      </c>
      <c r="DO262">
        <v>74</v>
      </c>
      <c r="DP262">
        <v>1</v>
      </c>
      <c r="DQ262">
        <v>1</v>
      </c>
      <c r="DU262">
        <v>1013</v>
      </c>
      <c r="DV262" t="s">
        <v>231</v>
      </c>
      <c r="DW262" t="s">
        <v>231</v>
      </c>
      <c r="DX262">
        <v>1</v>
      </c>
      <c r="DZ262" t="s">
        <v>3</v>
      </c>
      <c r="EA262" t="s">
        <v>3</v>
      </c>
      <c r="EB262" t="s">
        <v>3</v>
      </c>
      <c r="EC262" t="s">
        <v>3</v>
      </c>
      <c r="EE262">
        <v>126051600</v>
      </c>
      <c r="EF262">
        <v>30</v>
      </c>
      <c r="EG262" t="s">
        <v>23</v>
      </c>
      <c r="EH262">
        <v>0</v>
      </c>
      <c r="EI262" t="s">
        <v>3</v>
      </c>
      <c r="EJ262">
        <v>1</v>
      </c>
      <c r="EK262">
        <v>139</v>
      </c>
      <c r="EL262" t="s">
        <v>301</v>
      </c>
      <c r="EM262" t="s">
        <v>302</v>
      </c>
      <c r="EO262" t="s">
        <v>90</v>
      </c>
      <c r="EQ262">
        <v>131072</v>
      </c>
      <c r="ER262">
        <v>101.54</v>
      </c>
      <c r="ES262">
        <v>67.209999999999994</v>
      </c>
      <c r="ET262">
        <v>7.93</v>
      </c>
      <c r="EU262">
        <v>0.87</v>
      </c>
      <c r="EV262">
        <v>26.4</v>
      </c>
      <c r="EW262">
        <v>2</v>
      </c>
      <c r="EX262">
        <v>0</v>
      </c>
      <c r="EY262">
        <v>0</v>
      </c>
      <c r="FQ262">
        <v>0</v>
      </c>
      <c r="FR262">
        <f t="shared" si="214"/>
        <v>0</v>
      </c>
      <c r="FS262">
        <v>0</v>
      </c>
      <c r="FX262">
        <v>110</v>
      </c>
      <c r="FY262">
        <v>74</v>
      </c>
      <c r="GA262" t="s">
        <v>3</v>
      </c>
      <c r="GD262">
        <v>0</v>
      </c>
      <c r="GF262">
        <v>-1346236756</v>
      </c>
      <c r="GG262">
        <v>2</v>
      </c>
      <c r="GH262">
        <v>1</v>
      </c>
      <c r="GI262">
        <v>2</v>
      </c>
      <c r="GJ262">
        <v>0</v>
      </c>
      <c r="GK262">
        <f>ROUND(R262*(S12)/100,2)</f>
        <v>50.62</v>
      </c>
      <c r="GL262">
        <f t="shared" si="215"/>
        <v>0</v>
      </c>
      <c r="GM262">
        <f t="shared" si="216"/>
        <v>2724.17</v>
      </c>
      <c r="GN262">
        <f t="shared" si="217"/>
        <v>2724.17</v>
      </c>
      <c r="GO262">
        <f t="shared" si="218"/>
        <v>0</v>
      </c>
      <c r="GP262">
        <f t="shared" si="219"/>
        <v>0</v>
      </c>
      <c r="GR262">
        <v>0</v>
      </c>
      <c r="GS262">
        <v>3</v>
      </c>
      <c r="GT262">
        <v>0</v>
      </c>
      <c r="GU262" t="s">
        <v>3</v>
      </c>
      <c r="GV262">
        <f t="shared" si="220"/>
        <v>0</v>
      </c>
      <c r="GW262">
        <v>1</v>
      </c>
      <c r="GX262">
        <f t="shared" si="221"/>
        <v>0</v>
      </c>
      <c r="HA262">
        <v>0</v>
      </c>
      <c r="HB262">
        <v>0</v>
      </c>
      <c r="HC262">
        <f t="shared" si="222"/>
        <v>0</v>
      </c>
      <c r="HE262" t="s">
        <v>3</v>
      </c>
      <c r="HF262" t="s">
        <v>3</v>
      </c>
      <c r="HM262" t="s">
        <v>3</v>
      </c>
      <c r="HN262" t="s">
        <v>3</v>
      </c>
      <c r="HO262" t="s">
        <v>3</v>
      </c>
      <c r="HP262" t="s">
        <v>3</v>
      </c>
      <c r="HQ262" t="s">
        <v>3</v>
      </c>
      <c r="IK262">
        <v>0</v>
      </c>
    </row>
    <row r="263" spans="1:255" x14ac:dyDescent="0.2">
      <c r="A263" s="2">
        <v>18</v>
      </c>
      <c r="B263" s="2">
        <v>1</v>
      </c>
      <c r="C263" s="2">
        <v>232</v>
      </c>
      <c r="D263" s="2"/>
      <c r="E263" s="2" t="s">
        <v>303</v>
      </c>
      <c r="F263" s="2" t="s">
        <v>248</v>
      </c>
      <c r="G263" s="2" t="s">
        <v>304</v>
      </c>
      <c r="H263" s="2" t="s">
        <v>250</v>
      </c>
      <c r="I263" s="2">
        <f>I261*J263</f>
        <v>1</v>
      </c>
      <c r="J263" s="2">
        <v>1</v>
      </c>
      <c r="K263" s="2">
        <v>1</v>
      </c>
      <c r="L263" s="2"/>
      <c r="M263" s="2"/>
      <c r="N263" s="2"/>
      <c r="O263" s="2">
        <f t="shared" si="192"/>
        <v>0</v>
      </c>
      <c r="P263" s="2">
        <f t="shared" si="193"/>
        <v>0</v>
      </c>
      <c r="Q263" s="2">
        <f>(ROUND((ROUND(((ET263)*AV263*I263),2)*BB263),2)+ROUND((ROUND(((AE263-(EU263))*AV263*I263),2)*BS263),2))</f>
        <v>0</v>
      </c>
      <c r="R263" s="2">
        <f t="shared" si="194"/>
        <v>0</v>
      </c>
      <c r="S263" s="2">
        <f t="shared" si="195"/>
        <v>0</v>
      </c>
      <c r="T263" s="2">
        <f t="shared" si="196"/>
        <v>0</v>
      </c>
      <c r="U263" s="2">
        <f t="shared" si="197"/>
        <v>0</v>
      </c>
      <c r="V263" s="2">
        <f t="shared" si="198"/>
        <v>0</v>
      </c>
      <c r="W263" s="2">
        <f t="shared" si="199"/>
        <v>0</v>
      </c>
      <c r="X263" s="2">
        <f t="shared" si="200"/>
        <v>0</v>
      </c>
      <c r="Y263" s="2">
        <f t="shared" si="201"/>
        <v>0</v>
      </c>
      <c r="Z263" s="2"/>
      <c r="AA263" s="2">
        <v>129761636</v>
      </c>
      <c r="AB263" s="2">
        <f t="shared" si="202"/>
        <v>0</v>
      </c>
      <c r="AC263" s="2">
        <f t="shared" si="203"/>
        <v>0</v>
      </c>
      <c r="AD263" s="2">
        <f>ROUND((((ET263)-(EU263))+AE263),6)</f>
        <v>0</v>
      </c>
      <c r="AE263" s="2">
        <f>ROUND((EU263),6)</f>
        <v>0</v>
      </c>
      <c r="AF263" s="2">
        <f>ROUND((EV263),6)</f>
        <v>0</v>
      </c>
      <c r="AG263" s="2">
        <f t="shared" si="204"/>
        <v>0</v>
      </c>
      <c r="AH263" s="2">
        <f>(EW263)</f>
        <v>0</v>
      </c>
      <c r="AI263" s="2">
        <f>(EX263)</f>
        <v>0</v>
      </c>
      <c r="AJ263" s="2">
        <f t="shared" si="205"/>
        <v>0</v>
      </c>
      <c r="AK263" s="2">
        <v>0</v>
      </c>
      <c r="AL263" s="2">
        <v>0</v>
      </c>
      <c r="AM263" s="2">
        <v>0</v>
      </c>
      <c r="AN263" s="2">
        <v>0</v>
      </c>
      <c r="AO263" s="2">
        <v>0</v>
      </c>
      <c r="AP263" s="2">
        <v>0</v>
      </c>
      <c r="AQ263" s="2">
        <v>0</v>
      </c>
      <c r="AR263" s="2">
        <v>0</v>
      </c>
      <c r="AS263" s="2">
        <v>0</v>
      </c>
      <c r="AT263" s="2">
        <v>110</v>
      </c>
      <c r="AU263" s="2">
        <v>74</v>
      </c>
      <c r="AV263" s="2">
        <v>1</v>
      </c>
      <c r="AW263" s="2">
        <v>1</v>
      </c>
      <c r="AX263" s="2"/>
      <c r="AY263" s="2"/>
      <c r="AZ263" s="2">
        <v>1</v>
      </c>
      <c r="BA263" s="2">
        <v>1</v>
      </c>
      <c r="BB263" s="2">
        <v>1</v>
      </c>
      <c r="BC263" s="2">
        <v>1</v>
      </c>
      <c r="BD263" s="2" t="s">
        <v>3</v>
      </c>
      <c r="BE263" s="2" t="s">
        <v>3</v>
      </c>
      <c r="BF263" s="2" t="s">
        <v>3</v>
      </c>
      <c r="BG263" s="2" t="s">
        <v>3</v>
      </c>
      <c r="BH263" s="2">
        <v>3</v>
      </c>
      <c r="BI263" s="2">
        <v>1</v>
      </c>
      <c r="BJ263" s="2" t="s">
        <v>3</v>
      </c>
      <c r="BK263" s="2"/>
      <c r="BL263" s="2"/>
      <c r="BM263" s="2">
        <v>139</v>
      </c>
      <c r="BN263" s="2">
        <v>0</v>
      </c>
      <c r="BO263" s="2" t="s">
        <v>3</v>
      </c>
      <c r="BP263" s="2">
        <v>0</v>
      </c>
      <c r="BQ263" s="2">
        <v>30</v>
      </c>
      <c r="BR263" s="2">
        <v>0</v>
      </c>
      <c r="BS263" s="2">
        <v>1</v>
      </c>
      <c r="BT263" s="2">
        <v>1</v>
      </c>
      <c r="BU263" s="2">
        <v>1</v>
      </c>
      <c r="BV263" s="2">
        <v>1</v>
      </c>
      <c r="BW263" s="2">
        <v>1</v>
      </c>
      <c r="BX263" s="2">
        <v>1</v>
      </c>
      <c r="BY263" s="2" t="s">
        <v>3</v>
      </c>
      <c r="BZ263" s="2">
        <v>110</v>
      </c>
      <c r="CA263" s="2">
        <v>74</v>
      </c>
      <c r="CB263" s="2" t="s">
        <v>3</v>
      </c>
      <c r="CC263" s="2"/>
      <c r="CD263" s="2"/>
      <c r="CE263" s="2">
        <v>30</v>
      </c>
      <c r="CF263" s="2">
        <v>0</v>
      </c>
      <c r="CG263" s="2">
        <v>0</v>
      </c>
      <c r="CH263" s="2"/>
      <c r="CI263" s="2"/>
      <c r="CJ263" s="2"/>
      <c r="CK263" s="2"/>
      <c r="CL263" s="2"/>
      <c r="CM263" s="2">
        <v>0</v>
      </c>
      <c r="CN263" s="2" t="s">
        <v>3</v>
      </c>
      <c r="CO263" s="2">
        <v>0</v>
      </c>
      <c r="CP263" s="2">
        <f t="shared" si="206"/>
        <v>0</v>
      </c>
      <c r="CQ263" s="2">
        <f t="shared" si="207"/>
        <v>0</v>
      </c>
      <c r="CR263" s="2">
        <f>(ROUND((ROUND(((ET263)*AV263*1),2)*BB263),2)+ROUND((ROUND(((AE263-(EU263))*AV263*1),2)*BS263),2))</f>
        <v>0</v>
      </c>
      <c r="CS263" s="2">
        <f t="shared" si="208"/>
        <v>0</v>
      </c>
      <c r="CT263" s="2">
        <f t="shared" si="209"/>
        <v>0</v>
      </c>
      <c r="CU263" s="2">
        <f t="shared" si="210"/>
        <v>0</v>
      </c>
      <c r="CV263" s="2">
        <f t="shared" si="211"/>
        <v>0</v>
      </c>
      <c r="CW263" s="2">
        <f t="shared" si="212"/>
        <v>0</v>
      </c>
      <c r="CX263" s="2">
        <f t="shared" si="213"/>
        <v>0</v>
      </c>
      <c r="CY263" s="2">
        <f>((S263*BZ263)/100)</f>
        <v>0</v>
      </c>
      <c r="CZ263" s="2">
        <f>((S263*CA263)/100)</f>
        <v>0</v>
      </c>
      <c r="DA263" s="2"/>
      <c r="DB263" s="2"/>
      <c r="DC263" s="2" t="s">
        <v>3</v>
      </c>
      <c r="DD263" s="2" t="s">
        <v>3</v>
      </c>
      <c r="DE263" s="2" t="s">
        <v>3</v>
      </c>
      <c r="DF263" s="2" t="s">
        <v>3</v>
      </c>
      <c r="DG263" s="2" t="s">
        <v>3</v>
      </c>
      <c r="DH263" s="2" t="s">
        <v>3</v>
      </c>
      <c r="DI263" s="2" t="s">
        <v>3</v>
      </c>
      <c r="DJ263" s="2" t="s">
        <v>3</v>
      </c>
      <c r="DK263" s="2" t="s">
        <v>3</v>
      </c>
      <c r="DL263" s="2" t="s">
        <v>3</v>
      </c>
      <c r="DM263" s="2" t="s">
        <v>3</v>
      </c>
      <c r="DN263" s="2">
        <v>0</v>
      </c>
      <c r="DO263" s="2">
        <v>0</v>
      </c>
      <c r="DP263" s="2">
        <v>1</v>
      </c>
      <c r="DQ263" s="2">
        <v>1</v>
      </c>
      <c r="DR263" s="2"/>
      <c r="DS263" s="2"/>
      <c r="DT263" s="2"/>
      <c r="DU263" s="2">
        <v>1010</v>
      </c>
      <c r="DV263" s="2" t="s">
        <v>250</v>
      </c>
      <c r="DW263" s="2" t="s">
        <v>250</v>
      </c>
      <c r="DX263" s="2">
        <v>1</v>
      </c>
      <c r="DY263" s="2"/>
      <c r="DZ263" s="2" t="s">
        <v>3</v>
      </c>
      <c r="EA263" s="2" t="s">
        <v>3</v>
      </c>
      <c r="EB263" s="2" t="s">
        <v>3</v>
      </c>
      <c r="EC263" s="2" t="s">
        <v>3</v>
      </c>
      <c r="ED263" s="2"/>
      <c r="EE263" s="2">
        <v>126051600</v>
      </c>
      <c r="EF263" s="2">
        <v>30</v>
      </c>
      <c r="EG263" s="2" t="s">
        <v>23</v>
      </c>
      <c r="EH263" s="2">
        <v>0</v>
      </c>
      <c r="EI263" s="2" t="s">
        <v>3</v>
      </c>
      <c r="EJ263" s="2">
        <v>1</v>
      </c>
      <c r="EK263" s="2">
        <v>139</v>
      </c>
      <c r="EL263" s="2" t="s">
        <v>301</v>
      </c>
      <c r="EM263" s="2" t="s">
        <v>302</v>
      </c>
      <c r="EN263" s="2"/>
      <c r="EO263" s="2" t="s">
        <v>3</v>
      </c>
      <c r="EP263" s="2"/>
      <c r="EQ263" s="2">
        <v>0</v>
      </c>
      <c r="ER263" s="2">
        <v>0</v>
      </c>
      <c r="ES263" s="2">
        <v>0</v>
      </c>
      <c r="ET263" s="2">
        <v>0</v>
      </c>
      <c r="EU263" s="2">
        <v>0</v>
      </c>
      <c r="EV263" s="2">
        <v>0</v>
      </c>
      <c r="EW263" s="2">
        <v>0</v>
      </c>
      <c r="EX263" s="2">
        <v>0</v>
      </c>
      <c r="EY263" s="2"/>
      <c r="EZ263" s="2"/>
      <c r="FA263" s="2"/>
      <c r="FB263" s="2"/>
      <c r="FC263" s="2"/>
      <c r="FD263" s="2"/>
      <c r="FE263" s="2"/>
      <c r="FF263" s="2"/>
      <c r="FG263" s="2"/>
      <c r="FH263" s="2"/>
      <c r="FI263" s="2"/>
      <c r="FJ263" s="2"/>
      <c r="FK263" s="2"/>
      <c r="FL263" s="2"/>
      <c r="FM263" s="2"/>
      <c r="FN263" s="2"/>
      <c r="FO263" s="2"/>
      <c r="FP263" s="2"/>
      <c r="FQ263" s="2">
        <v>0</v>
      </c>
      <c r="FR263" s="2">
        <f t="shared" si="214"/>
        <v>0</v>
      </c>
      <c r="FS263" s="2">
        <v>0</v>
      </c>
      <c r="FT263" s="2"/>
      <c r="FU263" s="2"/>
      <c r="FV263" s="2"/>
      <c r="FW263" s="2"/>
      <c r="FX263" s="2">
        <v>110</v>
      </c>
      <c r="FY263" s="2">
        <v>74</v>
      </c>
      <c r="FZ263" s="2"/>
      <c r="GA263" s="2" t="s">
        <v>3</v>
      </c>
      <c r="GB263" s="2"/>
      <c r="GC263" s="2"/>
      <c r="GD263" s="2">
        <v>0</v>
      </c>
      <c r="GE263" s="2"/>
      <c r="GF263" s="2">
        <v>1123218831</v>
      </c>
      <c r="GG263" s="2">
        <v>2</v>
      </c>
      <c r="GH263" s="2">
        <v>0</v>
      </c>
      <c r="GI263" s="2">
        <v>-2</v>
      </c>
      <c r="GJ263" s="2">
        <v>0</v>
      </c>
      <c r="GK263" s="2">
        <f>ROUND(R263*(R12)/100,2)</f>
        <v>0</v>
      </c>
      <c r="GL263" s="2">
        <f t="shared" si="215"/>
        <v>0</v>
      </c>
      <c r="GM263" s="2">
        <f t="shared" si="216"/>
        <v>0</v>
      </c>
      <c r="GN263" s="2">
        <f t="shared" si="217"/>
        <v>0</v>
      </c>
      <c r="GO263" s="2">
        <f t="shared" si="218"/>
        <v>0</v>
      </c>
      <c r="GP263" s="2">
        <f t="shared" si="219"/>
        <v>0</v>
      </c>
      <c r="GQ263" s="2"/>
      <c r="GR263" s="2">
        <v>0</v>
      </c>
      <c r="GS263" s="2">
        <v>0</v>
      </c>
      <c r="GT263" s="2">
        <v>0</v>
      </c>
      <c r="GU263" s="2" t="s">
        <v>3</v>
      </c>
      <c r="GV263" s="2">
        <f t="shared" si="220"/>
        <v>0</v>
      </c>
      <c r="GW263" s="2">
        <v>1</v>
      </c>
      <c r="GX263" s="2">
        <f t="shared" si="221"/>
        <v>0</v>
      </c>
      <c r="GY263" s="2"/>
      <c r="GZ263" s="2"/>
      <c r="HA263" s="2">
        <v>0</v>
      </c>
      <c r="HB263" s="2">
        <v>0</v>
      </c>
      <c r="HC263" s="2">
        <f t="shared" si="222"/>
        <v>0</v>
      </c>
      <c r="HD263" s="2"/>
      <c r="HE263" s="2" t="s">
        <v>3</v>
      </c>
      <c r="HF263" s="2" t="s">
        <v>3</v>
      </c>
      <c r="HG263" s="2"/>
      <c r="HH263" s="2"/>
      <c r="HI263" s="2"/>
      <c r="HJ263" s="2"/>
      <c r="HK263" s="2"/>
      <c r="HL263" s="2"/>
      <c r="HM263" s="2" t="s">
        <v>3</v>
      </c>
      <c r="HN263" s="2" t="s">
        <v>3</v>
      </c>
      <c r="HO263" s="2" t="s">
        <v>3</v>
      </c>
      <c r="HP263" s="2" t="s">
        <v>3</v>
      </c>
      <c r="HQ263" s="2" t="s">
        <v>3</v>
      </c>
      <c r="HR263" s="2"/>
      <c r="HS263" s="2"/>
      <c r="HT263" s="2"/>
      <c r="HU263" s="2"/>
      <c r="HV263" s="2"/>
      <c r="HW263" s="2"/>
      <c r="HX263" s="2"/>
      <c r="HY263" s="2"/>
      <c r="HZ263" s="2"/>
      <c r="IA263" s="2"/>
      <c r="IB263" s="2"/>
      <c r="IC263" s="2"/>
      <c r="ID263" s="2"/>
      <c r="IE263" s="2"/>
      <c r="IF263" s="2"/>
      <c r="IG263" s="2"/>
      <c r="IH263" s="2"/>
      <c r="II263" s="2"/>
      <c r="IJ263" s="2"/>
      <c r="IK263" s="2">
        <v>0</v>
      </c>
      <c r="IL263" s="2"/>
      <c r="IM263" s="2"/>
      <c r="IN263" s="2"/>
      <c r="IO263" s="2"/>
      <c r="IP263" s="2"/>
      <c r="IQ263" s="2"/>
      <c r="IR263" s="2"/>
      <c r="IS263" s="2"/>
      <c r="IT263" s="2"/>
      <c r="IU263" s="2"/>
    </row>
    <row r="264" spans="1:255" x14ac:dyDescent="0.2">
      <c r="A264">
        <v>18</v>
      </c>
      <c r="B264">
        <v>1</v>
      </c>
      <c r="C264">
        <v>238</v>
      </c>
      <c r="E264" t="s">
        <v>303</v>
      </c>
      <c r="F264" t="s">
        <v>248</v>
      </c>
      <c r="G264" t="s">
        <v>304</v>
      </c>
      <c r="H264" t="s">
        <v>250</v>
      </c>
      <c r="I264">
        <f>I262*J264</f>
        <v>1</v>
      </c>
      <c r="J264">
        <v>1</v>
      </c>
      <c r="K264">
        <v>1</v>
      </c>
      <c r="O264">
        <f t="shared" si="192"/>
        <v>1886.22</v>
      </c>
      <c r="P264">
        <f t="shared" si="193"/>
        <v>1886.22</v>
      </c>
      <c r="Q264">
        <f>(ROUND((ROUND(((ET264)*AV264*I264),2)*BB264),2)+ROUND((ROUND(((AE264-(EU264))*AV264*I264),2)*BS264),2))</f>
        <v>0</v>
      </c>
      <c r="R264">
        <f t="shared" si="194"/>
        <v>0</v>
      </c>
      <c r="S264">
        <f t="shared" si="195"/>
        <v>0</v>
      </c>
      <c r="T264">
        <f t="shared" si="196"/>
        <v>0</v>
      </c>
      <c r="U264">
        <f t="shared" si="197"/>
        <v>0</v>
      </c>
      <c r="V264">
        <f t="shared" si="198"/>
        <v>0</v>
      </c>
      <c r="W264">
        <f t="shared" si="199"/>
        <v>0</v>
      </c>
      <c r="X264">
        <f t="shared" si="200"/>
        <v>0</v>
      </c>
      <c r="Y264">
        <f t="shared" si="201"/>
        <v>0</v>
      </c>
      <c r="AA264">
        <v>129761633</v>
      </c>
      <c r="AB264">
        <f t="shared" si="202"/>
        <v>218.06</v>
      </c>
      <c r="AC264">
        <f t="shared" si="203"/>
        <v>218.06</v>
      </c>
      <c r="AD264">
        <f>ROUND((((ET264)-(EU264))+AE264),6)</f>
        <v>0</v>
      </c>
      <c r="AE264">
        <f>ROUND((EU264),6)</f>
        <v>0</v>
      </c>
      <c r="AF264">
        <f>ROUND((EV264),6)</f>
        <v>0</v>
      </c>
      <c r="AG264">
        <f t="shared" si="204"/>
        <v>0</v>
      </c>
      <c r="AH264">
        <f>(EW264)</f>
        <v>0</v>
      </c>
      <c r="AI264">
        <f>(EX264)</f>
        <v>0</v>
      </c>
      <c r="AJ264">
        <f t="shared" si="205"/>
        <v>0</v>
      </c>
      <c r="AK264">
        <v>218.06</v>
      </c>
      <c r="AL264">
        <v>218.06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1</v>
      </c>
      <c r="AW264">
        <v>1</v>
      </c>
      <c r="AZ264">
        <v>1</v>
      </c>
      <c r="BA264">
        <v>1</v>
      </c>
      <c r="BB264">
        <v>1</v>
      </c>
      <c r="BC264">
        <v>8.65</v>
      </c>
      <c r="BD264" t="s">
        <v>3</v>
      </c>
      <c r="BE264" t="s">
        <v>3</v>
      </c>
      <c r="BF264" t="s">
        <v>3</v>
      </c>
      <c r="BG264" t="s">
        <v>3</v>
      </c>
      <c r="BH264">
        <v>3</v>
      </c>
      <c r="BI264">
        <v>1</v>
      </c>
      <c r="BJ264" t="s">
        <v>3</v>
      </c>
      <c r="BM264">
        <v>139</v>
      </c>
      <c r="BN264">
        <v>0</v>
      </c>
      <c r="BO264" t="s">
        <v>3</v>
      </c>
      <c r="BP264">
        <v>0</v>
      </c>
      <c r="BQ264">
        <v>30</v>
      </c>
      <c r="BR264">
        <v>0</v>
      </c>
      <c r="BS264">
        <v>1</v>
      </c>
      <c r="BT264">
        <v>1</v>
      </c>
      <c r="BU264">
        <v>1</v>
      </c>
      <c r="BV264">
        <v>1</v>
      </c>
      <c r="BW264">
        <v>1</v>
      </c>
      <c r="BX264">
        <v>1</v>
      </c>
      <c r="BY264" t="s">
        <v>3</v>
      </c>
      <c r="BZ264">
        <v>0</v>
      </c>
      <c r="CA264">
        <v>0</v>
      </c>
      <c r="CB264" t="s">
        <v>3</v>
      </c>
      <c r="CE264">
        <v>30</v>
      </c>
      <c r="CF264">
        <v>0</v>
      </c>
      <c r="CG264">
        <v>0</v>
      </c>
      <c r="CM264">
        <v>0</v>
      </c>
      <c r="CN264" t="s">
        <v>3</v>
      </c>
      <c r="CO264">
        <v>0</v>
      </c>
      <c r="CP264">
        <f t="shared" si="206"/>
        <v>1886.22</v>
      </c>
      <c r="CQ264">
        <f t="shared" si="207"/>
        <v>1886.22</v>
      </c>
      <c r="CR264">
        <f>(ROUND((ROUND(((ET264)*AV264*1),2)*BB264),2)+ROUND((ROUND(((AE264-(EU264))*AV264*1),2)*BS264),2))</f>
        <v>0</v>
      </c>
      <c r="CS264">
        <f t="shared" si="208"/>
        <v>0</v>
      </c>
      <c r="CT264">
        <f t="shared" si="209"/>
        <v>0</v>
      </c>
      <c r="CU264">
        <f t="shared" si="210"/>
        <v>0</v>
      </c>
      <c r="CV264">
        <f t="shared" si="211"/>
        <v>0</v>
      </c>
      <c r="CW264">
        <f t="shared" si="212"/>
        <v>0</v>
      </c>
      <c r="CX264">
        <f t="shared" si="213"/>
        <v>0</v>
      </c>
      <c r="CY264">
        <f>S264*(BZ264/100)</f>
        <v>0</v>
      </c>
      <c r="CZ264">
        <f>S264*(CA264/100)</f>
        <v>0</v>
      </c>
      <c r="DC264" t="s">
        <v>3</v>
      </c>
      <c r="DD264" t="s">
        <v>3</v>
      </c>
      <c r="DE264" t="s">
        <v>3</v>
      </c>
      <c r="DF264" t="s">
        <v>3</v>
      </c>
      <c r="DG264" t="s">
        <v>3</v>
      </c>
      <c r="DH264" t="s">
        <v>3</v>
      </c>
      <c r="DI264" t="s">
        <v>3</v>
      </c>
      <c r="DJ264" t="s">
        <v>3</v>
      </c>
      <c r="DK264" t="s">
        <v>3</v>
      </c>
      <c r="DL264" t="s">
        <v>3</v>
      </c>
      <c r="DM264" t="s">
        <v>3</v>
      </c>
      <c r="DN264">
        <v>110</v>
      </c>
      <c r="DO264">
        <v>74</v>
      </c>
      <c r="DP264">
        <v>1</v>
      </c>
      <c r="DQ264">
        <v>1</v>
      </c>
      <c r="DU264">
        <v>1010</v>
      </c>
      <c r="DV264" t="s">
        <v>250</v>
      </c>
      <c r="DW264" t="s">
        <v>250</v>
      </c>
      <c r="DX264">
        <v>1</v>
      </c>
      <c r="DZ264" t="s">
        <v>3</v>
      </c>
      <c r="EA264" t="s">
        <v>3</v>
      </c>
      <c r="EB264" t="s">
        <v>3</v>
      </c>
      <c r="EC264" t="s">
        <v>3</v>
      </c>
      <c r="EE264">
        <v>126051600</v>
      </c>
      <c r="EF264">
        <v>30</v>
      </c>
      <c r="EG264" t="s">
        <v>23</v>
      </c>
      <c r="EH264">
        <v>0</v>
      </c>
      <c r="EI264" t="s">
        <v>3</v>
      </c>
      <c r="EJ264">
        <v>1</v>
      </c>
      <c r="EK264">
        <v>139</v>
      </c>
      <c r="EL264" t="s">
        <v>301</v>
      </c>
      <c r="EM264" t="s">
        <v>302</v>
      </c>
      <c r="EO264" t="s">
        <v>3</v>
      </c>
      <c r="EQ264">
        <v>0</v>
      </c>
      <c r="ER264">
        <v>218.06</v>
      </c>
      <c r="ES264">
        <v>218.06</v>
      </c>
      <c r="ET264">
        <v>0</v>
      </c>
      <c r="EU264">
        <v>0</v>
      </c>
      <c r="EV264">
        <v>0</v>
      </c>
      <c r="EW264">
        <v>0</v>
      </c>
      <c r="EX264">
        <v>0</v>
      </c>
      <c r="EZ264">
        <v>5</v>
      </c>
      <c r="FC264">
        <v>1</v>
      </c>
      <c r="FD264">
        <v>18</v>
      </c>
      <c r="FF264">
        <v>2219</v>
      </c>
      <c r="FQ264">
        <v>0</v>
      </c>
      <c r="FR264">
        <f t="shared" si="214"/>
        <v>0</v>
      </c>
      <c r="FS264">
        <v>0</v>
      </c>
      <c r="FX264">
        <v>110</v>
      </c>
      <c r="FY264">
        <v>74</v>
      </c>
      <c r="GA264" t="s">
        <v>305</v>
      </c>
      <c r="GD264">
        <v>0</v>
      </c>
      <c r="GF264">
        <v>1123218831</v>
      </c>
      <c r="GG264">
        <v>2</v>
      </c>
      <c r="GH264">
        <v>3</v>
      </c>
      <c r="GI264">
        <v>5</v>
      </c>
      <c r="GJ264">
        <v>0</v>
      </c>
      <c r="GK264">
        <f>ROUND(R264*(S12)/100,2)</f>
        <v>0</v>
      </c>
      <c r="GL264">
        <f t="shared" si="215"/>
        <v>0</v>
      </c>
      <c r="GM264">
        <f t="shared" si="216"/>
        <v>1886.22</v>
      </c>
      <c r="GN264">
        <f t="shared" si="217"/>
        <v>1886.22</v>
      </c>
      <c r="GO264">
        <f t="shared" si="218"/>
        <v>0</v>
      </c>
      <c r="GP264">
        <f t="shared" si="219"/>
        <v>0</v>
      </c>
      <c r="GR264">
        <v>1</v>
      </c>
      <c r="GS264">
        <v>1</v>
      </c>
      <c r="GT264">
        <v>0</v>
      </c>
      <c r="GU264" t="s">
        <v>3</v>
      </c>
      <c r="GV264">
        <f t="shared" si="220"/>
        <v>0</v>
      </c>
      <c r="GW264">
        <v>1</v>
      </c>
      <c r="GX264">
        <f t="shared" si="221"/>
        <v>0</v>
      </c>
      <c r="HA264">
        <v>0</v>
      </c>
      <c r="HB264">
        <v>0</v>
      </c>
      <c r="HC264">
        <f t="shared" si="222"/>
        <v>0</v>
      </c>
      <c r="HE264" t="s">
        <v>81</v>
      </c>
      <c r="HF264" t="s">
        <v>252</v>
      </c>
      <c r="HM264" t="s">
        <v>3</v>
      </c>
      <c r="HN264" t="s">
        <v>3</v>
      </c>
      <c r="HO264" t="s">
        <v>3</v>
      </c>
      <c r="HP264" t="s">
        <v>3</v>
      </c>
      <c r="HQ264" t="s">
        <v>3</v>
      </c>
      <c r="IK264">
        <v>0</v>
      </c>
    </row>
    <row r="265" spans="1:255" x14ac:dyDescent="0.2">
      <c r="A265" s="2">
        <v>17</v>
      </c>
      <c r="B265" s="2">
        <v>1</v>
      </c>
      <c r="C265" s="2">
        <f>ROW(SmtRes!A244)</f>
        <v>244</v>
      </c>
      <c r="D265" s="2">
        <f>ROW(EtalonRes!A250)</f>
        <v>250</v>
      </c>
      <c r="E265" s="2" t="s">
        <v>306</v>
      </c>
      <c r="F265" s="2" t="s">
        <v>307</v>
      </c>
      <c r="G265" s="2" t="s">
        <v>308</v>
      </c>
      <c r="H265" s="2" t="s">
        <v>309</v>
      </c>
      <c r="I265" s="2">
        <v>0.03</v>
      </c>
      <c r="J265" s="2">
        <v>0</v>
      </c>
      <c r="K265" s="2">
        <v>0.03</v>
      </c>
      <c r="L265" s="2"/>
      <c r="M265" s="2"/>
      <c r="N265" s="2"/>
      <c r="O265" s="2">
        <f t="shared" si="192"/>
        <v>47.6</v>
      </c>
      <c r="P265" s="2">
        <f t="shared" si="193"/>
        <v>1.72</v>
      </c>
      <c r="Q265" s="2">
        <f>(ROUND((ROUND((((ET265*1.25))*AV265*I265),2)*BB265),2)+ROUND((ROUND(((AE265-((EU265*1.25)))*AV265*I265),2)*BS265),2))</f>
        <v>0</v>
      </c>
      <c r="R265" s="2">
        <f t="shared" si="194"/>
        <v>0</v>
      </c>
      <c r="S265" s="2">
        <f t="shared" si="195"/>
        <v>45.88</v>
      </c>
      <c r="T265" s="2">
        <f t="shared" si="196"/>
        <v>0</v>
      </c>
      <c r="U265" s="2">
        <f t="shared" si="197"/>
        <v>4.1744999999999992</v>
      </c>
      <c r="V265" s="2">
        <f t="shared" si="198"/>
        <v>0</v>
      </c>
      <c r="W265" s="2">
        <f t="shared" si="199"/>
        <v>0</v>
      </c>
      <c r="X265" s="2">
        <f t="shared" si="200"/>
        <v>41.75</v>
      </c>
      <c r="Y265" s="2">
        <f t="shared" si="201"/>
        <v>32.119999999999997</v>
      </c>
      <c r="Z265" s="2"/>
      <c r="AA265" s="2">
        <v>129761636</v>
      </c>
      <c r="AB265" s="2">
        <f t="shared" si="202"/>
        <v>1586.7384999999999</v>
      </c>
      <c r="AC265" s="2">
        <f t="shared" si="203"/>
        <v>57.48</v>
      </c>
      <c r="AD265" s="2">
        <f>ROUND(((((ET265*1.25))-((EU265*1.25)))+AE265),6)</f>
        <v>0</v>
      </c>
      <c r="AE265" s="2">
        <f>ROUND(((EU265*1.25)),6)</f>
        <v>0</v>
      </c>
      <c r="AF265" s="2">
        <f>ROUND(((EV265*1.15)),6)</f>
        <v>1529.2584999999999</v>
      </c>
      <c r="AG265" s="2">
        <f t="shared" si="204"/>
        <v>0</v>
      </c>
      <c r="AH265" s="2">
        <f>((EW265*1.15))</f>
        <v>139.14999999999998</v>
      </c>
      <c r="AI265" s="2">
        <f>((EX265*1.25))</f>
        <v>0</v>
      </c>
      <c r="AJ265" s="2">
        <f t="shared" si="205"/>
        <v>0</v>
      </c>
      <c r="AK265" s="2">
        <v>1387.27</v>
      </c>
      <c r="AL265" s="2">
        <v>57.48</v>
      </c>
      <c r="AM265" s="2">
        <v>0</v>
      </c>
      <c r="AN265" s="2">
        <v>0</v>
      </c>
      <c r="AO265" s="2">
        <v>1329.79</v>
      </c>
      <c r="AP265" s="2">
        <v>0</v>
      </c>
      <c r="AQ265" s="2">
        <v>121</v>
      </c>
      <c r="AR265" s="2">
        <v>0</v>
      </c>
      <c r="AS265" s="2">
        <v>0</v>
      </c>
      <c r="AT265" s="2">
        <v>91</v>
      </c>
      <c r="AU265" s="2">
        <v>70</v>
      </c>
      <c r="AV265" s="2">
        <v>1</v>
      </c>
      <c r="AW265" s="2">
        <v>1</v>
      </c>
      <c r="AX265" s="2"/>
      <c r="AY265" s="2"/>
      <c r="AZ265" s="2">
        <v>1</v>
      </c>
      <c r="BA265" s="2">
        <v>1</v>
      </c>
      <c r="BB265" s="2">
        <v>1</v>
      </c>
      <c r="BC265" s="2">
        <v>1</v>
      </c>
      <c r="BD265" s="2" t="s">
        <v>3</v>
      </c>
      <c r="BE265" s="2" t="s">
        <v>3</v>
      </c>
      <c r="BF265" s="2" t="s">
        <v>3</v>
      </c>
      <c r="BG265" s="2" t="s">
        <v>3</v>
      </c>
      <c r="BH265" s="2">
        <v>0</v>
      </c>
      <c r="BI265" s="2">
        <v>1</v>
      </c>
      <c r="BJ265" s="2" t="s">
        <v>310</v>
      </c>
      <c r="BK265" s="2"/>
      <c r="BL265" s="2"/>
      <c r="BM265" s="2">
        <v>66</v>
      </c>
      <c r="BN265" s="2">
        <v>0</v>
      </c>
      <c r="BO265" s="2" t="s">
        <v>3</v>
      </c>
      <c r="BP265" s="2">
        <v>0</v>
      </c>
      <c r="BQ265" s="2">
        <v>30</v>
      </c>
      <c r="BR265" s="2">
        <v>0</v>
      </c>
      <c r="BS265" s="2">
        <v>1</v>
      </c>
      <c r="BT265" s="2">
        <v>1</v>
      </c>
      <c r="BU265" s="2">
        <v>1</v>
      </c>
      <c r="BV265" s="2">
        <v>1</v>
      </c>
      <c r="BW265" s="2">
        <v>1</v>
      </c>
      <c r="BX265" s="2">
        <v>1</v>
      </c>
      <c r="BY265" s="2" t="s">
        <v>3</v>
      </c>
      <c r="BZ265" s="2">
        <v>91</v>
      </c>
      <c r="CA265" s="2">
        <v>70</v>
      </c>
      <c r="CB265" s="2" t="s">
        <v>3</v>
      </c>
      <c r="CC265" s="2"/>
      <c r="CD265" s="2"/>
      <c r="CE265" s="2">
        <v>30</v>
      </c>
      <c r="CF265" s="2">
        <v>0</v>
      </c>
      <c r="CG265" s="2">
        <v>0</v>
      </c>
      <c r="CH265" s="2"/>
      <c r="CI265" s="2"/>
      <c r="CJ265" s="2"/>
      <c r="CK265" s="2"/>
      <c r="CL265" s="2"/>
      <c r="CM265" s="2">
        <v>0</v>
      </c>
      <c r="CN265" s="2" t="s">
        <v>1559</v>
      </c>
      <c r="CO265" s="2">
        <v>0</v>
      </c>
      <c r="CP265" s="2">
        <f t="shared" si="206"/>
        <v>47.6</v>
      </c>
      <c r="CQ265" s="2">
        <f t="shared" si="207"/>
        <v>57.48</v>
      </c>
      <c r="CR265" s="2">
        <f>(ROUND((ROUND((((ET265*1.25))*AV265*1),2)*BB265),2)+ROUND((ROUND(((AE265-((EU265*1.25)))*AV265*1),2)*BS265),2))</f>
        <v>0</v>
      </c>
      <c r="CS265" s="2">
        <f t="shared" si="208"/>
        <v>0</v>
      </c>
      <c r="CT265" s="2">
        <f t="shared" si="209"/>
        <v>1529.26</v>
      </c>
      <c r="CU265" s="2">
        <f t="shared" si="210"/>
        <v>0</v>
      </c>
      <c r="CV265" s="2">
        <f t="shared" si="211"/>
        <v>139.14999999999998</v>
      </c>
      <c r="CW265" s="2">
        <f t="shared" si="212"/>
        <v>0</v>
      </c>
      <c r="CX265" s="2">
        <f t="shared" si="213"/>
        <v>0</v>
      </c>
      <c r="CY265" s="2">
        <f>((S265*BZ265)/100)</f>
        <v>41.750799999999998</v>
      </c>
      <c r="CZ265" s="2">
        <f>((S265*CA265)/100)</f>
        <v>32.116000000000007</v>
      </c>
      <c r="DA265" s="2"/>
      <c r="DB265" s="2"/>
      <c r="DC265" s="2" t="s">
        <v>3</v>
      </c>
      <c r="DD265" s="2" t="s">
        <v>3</v>
      </c>
      <c r="DE265" s="2" t="s">
        <v>86</v>
      </c>
      <c r="DF265" s="2" t="s">
        <v>86</v>
      </c>
      <c r="DG265" s="2" t="s">
        <v>87</v>
      </c>
      <c r="DH265" s="2" t="s">
        <v>3</v>
      </c>
      <c r="DI265" s="2" t="s">
        <v>87</v>
      </c>
      <c r="DJ265" s="2" t="s">
        <v>86</v>
      </c>
      <c r="DK265" s="2" t="s">
        <v>3</v>
      </c>
      <c r="DL265" s="2" t="s">
        <v>3</v>
      </c>
      <c r="DM265" s="2" t="s">
        <v>3</v>
      </c>
      <c r="DN265" s="2">
        <v>0</v>
      </c>
      <c r="DO265" s="2">
        <v>0</v>
      </c>
      <c r="DP265" s="2">
        <v>1</v>
      </c>
      <c r="DQ265" s="2">
        <v>1</v>
      </c>
      <c r="DR265" s="2"/>
      <c r="DS265" s="2"/>
      <c r="DT265" s="2"/>
      <c r="DU265" s="2">
        <v>1005</v>
      </c>
      <c r="DV265" s="2" t="s">
        <v>309</v>
      </c>
      <c r="DW265" s="2" t="s">
        <v>309</v>
      </c>
      <c r="DX265" s="2">
        <v>100</v>
      </c>
      <c r="DY265" s="2"/>
      <c r="DZ265" s="2" t="s">
        <v>3</v>
      </c>
      <c r="EA265" s="2" t="s">
        <v>3</v>
      </c>
      <c r="EB265" s="2" t="s">
        <v>3</v>
      </c>
      <c r="EC265" s="2" t="s">
        <v>3</v>
      </c>
      <c r="ED265" s="2"/>
      <c r="EE265" s="2">
        <v>126051527</v>
      </c>
      <c r="EF265" s="2">
        <v>30</v>
      </c>
      <c r="EG265" s="2" t="s">
        <v>23</v>
      </c>
      <c r="EH265" s="2">
        <v>0</v>
      </c>
      <c r="EI265" s="2" t="s">
        <v>3</v>
      </c>
      <c r="EJ265" s="2">
        <v>1</v>
      </c>
      <c r="EK265" s="2">
        <v>66</v>
      </c>
      <c r="EL265" s="2" t="s">
        <v>311</v>
      </c>
      <c r="EM265" s="2" t="s">
        <v>312</v>
      </c>
      <c r="EN265" s="2"/>
      <c r="EO265" s="2" t="s">
        <v>90</v>
      </c>
      <c r="EP265" s="2"/>
      <c r="EQ265" s="2">
        <v>131072</v>
      </c>
      <c r="ER265" s="2">
        <v>1387.27</v>
      </c>
      <c r="ES265" s="2">
        <v>57.48</v>
      </c>
      <c r="ET265" s="2">
        <v>0</v>
      </c>
      <c r="EU265" s="2">
        <v>0</v>
      </c>
      <c r="EV265" s="2">
        <v>1329.79</v>
      </c>
      <c r="EW265" s="2">
        <v>121</v>
      </c>
      <c r="EX265" s="2">
        <v>0</v>
      </c>
      <c r="EY265" s="2">
        <v>0</v>
      </c>
      <c r="EZ265" s="2"/>
      <c r="FA265" s="2"/>
      <c r="FB265" s="2"/>
      <c r="FC265" s="2"/>
      <c r="FD265" s="2"/>
      <c r="FE265" s="2"/>
      <c r="FF265" s="2"/>
      <c r="FG265" s="2"/>
      <c r="FH265" s="2"/>
      <c r="FI265" s="2"/>
      <c r="FJ265" s="2"/>
      <c r="FK265" s="2"/>
      <c r="FL265" s="2"/>
      <c r="FM265" s="2"/>
      <c r="FN265" s="2"/>
      <c r="FO265" s="2"/>
      <c r="FP265" s="2"/>
      <c r="FQ265" s="2">
        <v>0</v>
      </c>
      <c r="FR265" s="2">
        <f t="shared" si="214"/>
        <v>0</v>
      </c>
      <c r="FS265" s="2">
        <v>0</v>
      </c>
      <c r="FT265" s="2"/>
      <c r="FU265" s="2"/>
      <c r="FV265" s="2"/>
      <c r="FW265" s="2"/>
      <c r="FX265" s="2">
        <v>91</v>
      </c>
      <c r="FY265" s="2">
        <v>70</v>
      </c>
      <c r="FZ265" s="2"/>
      <c r="GA265" s="2" t="s">
        <v>3</v>
      </c>
      <c r="GB265" s="2"/>
      <c r="GC265" s="2"/>
      <c r="GD265" s="2">
        <v>0</v>
      </c>
      <c r="GE265" s="2"/>
      <c r="GF265" s="2">
        <v>715005897</v>
      </c>
      <c r="GG265" s="2">
        <v>2</v>
      </c>
      <c r="GH265" s="2">
        <v>1</v>
      </c>
      <c r="GI265" s="2">
        <v>-2</v>
      </c>
      <c r="GJ265" s="2">
        <v>0</v>
      </c>
      <c r="GK265" s="2">
        <f>ROUND(R265*(R12)/100,2)</f>
        <v>0</v>
      </c>
      <c r="GL265" s="2">
        <f t="shared" si="215"/>
        <v>0</v>
      </c>
      <c r="GM265" s="2">
        <f t="shared" si="216"/>
        <v>121.47</v>
      </c>
      <c r="GN265" s="2">
        <f t="shared" si="217"/>
        <v>121.47</v>
      </c>
      <c r="GO265" s="2">
        <f t="shared" si="218"/>
        <v>0</v>
      </c>
      <c r="GP265" s="2">
        <f t="shared" si="219"/>
        <v>0</v>
      </c>
      <c r="GQ265" s="2"/>
      <c r="GR265" s="2">
        <v>0</v>
      </c>
      <c r="GS265" s="2">
        <v>0</v>
      </c>
      <c r="GT265" s="2">
        <v>0</v>
      </c>
      <c r="GU265" s="2" t="s">
        <v>3</v>
      </c>
      <c r="GV265" s="2">
        <f t="shared" si="220"/>
        <v>0</v>
      </c>
      <c r="GW265" s="2">
        <v>1</v>
      </c>
      <c r="GX265" s="2">
        <f t="shared" si="221"/>
        <v>0</v>
      </c>
      <c r="GY265" s="2"/>
      <c r="GZ265" s="2"/>
      <c r="HA265" s="2">
        <v>0</v>
      </c>
      <c r="HB265" s="2">
        <v>0</v>
      </c>
      <c r="HC265" s="2">
        <f t="shared" si="222"/>
        <v>0</v>
      </c>
      <c r="HD265" s="2"/>
      <c r="HE265" s="2" t="s">
        <v>3</v>
      </c>
      <c r="HF265" s="2" t="s">
        <v>3</v>
      </c>
      <c r="HG265" s="2"/>
      <c r="HH265" s="2"/>
      <c r="HI265" s="2"/>
      <c r="HJ265" s="2"/>
      <c r="HK265" s="2"/>
      <c r="HL265" s="2"/>
      <c r="HM265" s="2" t="s">
        <v>3</v>
      </c>
      <c r="HN265" s="2" t="s">
        <v>3</v>
      </c>
      <c r="HO265" s="2" t="s">
        <v>3</v>
      </c>
      <c r="HP265" s="2" t="s">
        <v>3</v>
      </c>
      <c r="HQ265" s="2" t="s">
        <v>3</v>
      </c>
      <c r="HR265" s="2"/>
      <c r="HS265" s="2"/>
      <c r="HT265" s="2"/>
      <c r="HU265" s="2"/>
      <c r="HV265" s="2"/>
      <c r="HW265" s="2"/>
      <c r="HX265" s="2"/>
      <c r="HY265" s="2"/>
      <c r="HZ265" s="2"/>
      <c r="IA265" s="2"/>
      <c r="IB265" s="2"/>
      <c r="IC265" s="2"/>
      <c r="ID265" s="2"/>
      <c r="IE265" s="2"/>
      <c r="IF265" s="2"/>
      <c r="IG265" s="2"/>
      <c r="IH265" s="2"/>
      <c r="II265" s="2"/>
      <c r="IJ265" s="2"/>
      <c r="IK265" s="2">
        <v>0</v>
      </c>
      <c r="IL265" s="2"/>
      <c r="IM265" s="2"/>
      <c r="IN265" s="2"/>
      <c r="IO265" s="2"/>
      <c r="IP265" s="2"/>
      <c r="IQ265" s="2"/>
      <c r="IR265" s="2"/>
      <c r="IS265" s="2"/>
      <c r="IT265" s="2"/>
      <c r="IU265" s="2"/>
    </row>
    <row r="266" spans="1:255" x14ac:dyDescent="0.2">
      <c r="A266">
        <v>17</v>
      </c>
      <c r="B266">
        <v>1</v>
      </c>
      <c r="C266">
        <f>ROW(SmtRes!A250)</f>
        <v>250</v>
      </c>
      <c r="D266">
        <f>ROW(EtalonRes!A256)</f>
        <v>256</v>
      </c>
      <c r="E266" t="s">
        <v>306</v>
      </c>
      <c r="F266" t="s">
        <v>307</v>
      </c>
      <c r="G266" t="s">
        <v>308</v>
      </c>
      <c r="H266" t="s">
        <v>309</v>
      </c>
      <c r="I266">
        <v>0.03</v>
      </c>
      <c r="J266">
        <v>0</v>
      </c>
      <c r="K266">
        <v>0.03</v>
      </c>
      <c r="O266">
        <f t="shared" si="192"/>
        <v>1340.53</v>
      </c>
      <c r="P266">
        <f t="shared" si="193"/>
        <v>8.6300000000000008</v>
      </c>
      <c r="Q266">
        <f>(ROUND((ROUND((((ET266*1.25))*AV266*I266),2)*BB266),2)+ROUND((ROUND(((AE266-((EU266*1.25)))*AV266*I266),2)*BS266),2))</f>
        <v>0</v>
      </c>
      <c r="R266">
        <f t="shared" si="194"/>
        <v>0</v>
      </c>
      <c r="S266">
        <f t="shared" si="195"/>
        <v>1331.9</v>
      </c>
      <c r="T266">
        <f t="shared" si="196"/>
        <v>0</v>
      </c>
      <c r="U266">
        <f t="shared" si="197"/>
        <v>4.1744999999999992</v>
      </c>
      <c r="V266">
        <f t="shared" si="198"/>
        <v>0</v>
      </c>
      <c r="W266">
        <f t="shared" si="199"/>
        <v>0</v>
      </c>
      <c r="X266">
        <f t="shared" si="200"/>
        <v>998.93</v>
      </c>
      <c r="Y266">
        <f t="shared" si="201"/>
        <v>546.08000000000004</v>
      </c>
      <c r="AA266">
        <v>129761633</v>
      </c>
      <c r="AB266">
        <f t="shared" si="202"/>
        <v>1586.7384999999999</v>
      </c>
      <c r="AC266">
        <f t="shared" si="203"/>
        <v>57.48</v>
      </c>
      <c r="AD266">
        <f>ROUND(((((ET266*1.25))-((EU266*1.25)))+AE266),6)</f>
        <v>0</v>
      </c>
      <c r="AE266">
        <f>ROUND(((EU266*1.25)),6)</f>
        <v>0</v>
      </c>
      <c r="AF266">
        <f>ROUND(((EV266*1.15)),6)</f>
        <v>1529.2584999999999</v>
      </c>
      <c r="AG266">
        <f t="shared" si="204"/>
        <v>0</v>
      </c>
      <c r="AH266">
        <f>((EW266*1.15))</f>
        <v>139.14999999999998</v>
      </c>
      <c r="AI266">
        <f>((EX266*1.25))</f>
        <v>0</v>
      </c>
      <c r="AJ266">
        <f t="shared" si="205"/>
        <v>0</v>
      </c>
      <c r="AK266">
        <v>1387.27</v>
      </c>
      <c r="AL266">
        <v>57.48</v>
      </c>
      <c r="AM266">
        <v>0</v>
      </c>
      <c r="AN266">
        <v>0</v>
      </c>
      <c r="AO266">
        <v>1329.79</v>
      </c>
      <c r="AP266">
        <v>0</v>
      </c>
      <c r="AQ266">
        <v>121</v>
      </c>
      <c r="AR266">
        <v>0</v>
      </c>
      <c r="AS266">
        <v>0</v>
      </c>
      <c r="AT266">
        <v>75</v>
      </c>
      <c r="AU266">
        <v>41</v>
      </c>
      <c r="AV266">
        <v>1</v>
      </c>
      <c r="AW266">
        <v>1</v>
      </c>
      <c r="AZ266">
        <v>1</v>
      </c>
      <c r="BA266">
        <v>29.03</v>
      </c>
      <c r="BB266">
        <v>1</v>
      </c>
      <c r="BC266">
        <v>5.0199999999999996</v>
      </c>
      <c r="BD266" t="s">
        <v>3</v>
      </c>
      <c r="BE266" t="s">
        <v>3</v>
      </c>
      <c r="BF266" t="s">
        <v>3</v>
      </c>
      <c r="BG266" t="s">
        <v>3</v>
      </c>
      <c r="BH266">
        <v>0</v>
      </c>
      <c r="BI266">
        <v>1</v>
      </c>
      <c r="BJ266" t="s">
        <v>310</v>
      </c>
      <c r="BM266">
        <v>66</v>
      </c>
      <c r="BN266">
        <v>0</v>
      </c>
      <c r="BO266" t="s">
        <v>307</v>
      </c>
      <c r="BP266">
        <v>1</v>
      </c>
      <c r="BQ266">
        <v>30</v>
      </c>
      <c r="BR266">
        <v>0</v>
      </c>
      <c r="BS266">
        <v>29.03</v>
      </c>
      <c r="BT266">
        <v>1</v>
      </c>
      <c r="BU266">
        <v>1</v>
      </c>
      <c r="BV266">
        <v>1</v>
      </c>
      <c r="BW266">
        <v>1</v>
      </c>
      <c r="BX266">
        <v>1</v>
      </c>
      <c r="BY266" t="s">
        <v>3</v>
      </c>
      <c r="BZ266">
        <v>75</v>
      </c>
      <c r="CA266">
        <v>41</v>
      </c>
      <c r="CB266" t="s">
        <v>3</v>
      </c>
      <c r="CE266">
        <v>30</v>
      </c>
      <c r="CF266">
        <v>0</v>
      </c>
      <c r="CG266">
        <v>0</v>
      </c>
      <c r="CM266">
        <v>0</v>
      </c>
      <c r="CN266" t="s">
        <v>1559</v>
      </c>
      <c r="CO266">
        <v>0</v>
      </c>
      <c r="CP266">
        <f t="shared" si="206"/>
        <v>1340.5300000000002</v>
      </c>
      <c r="CQ266">
        <f t="shared" si="207"/>
        <v>288.55</v>
      </c>
      <c r="CR266">
        <f>(ROUND((ROUND((((ET266*1.25))*AV266*1),2)*BB266),2)+ROUND((ROUND(((AE266-((EU266*1.25)))*AV266*1),2)*BS266),2))</f>
        <v>0</v>
      </c>
      <c r="CS266">
        <f t="shared" si="208"/>
        <v>0</v>
      </c>
      <c r="CT266">
        <f t="shared" si="209"/>
        <v>44394.42</v>
      </c>
      <c r="CU266">
        <f t="shared" si="210"/>
        <v>0</v>
      </c>
      <c r="CV266">
        <f t="shared" si="211"/>
        <v>139.14999999999998</v>
      </c>
      <c r="CW266">
        <f t="shared" si="212"/>
        <v>0</v>
      </c>
      <c r="CX266">
        <f t="shared" si="213"/>
        <v>0</v>
      </c>
      <c r="CY266">
        <f>S266*(BZ266/100)</f>
        <v>998.92500000000007</v>
      </c>
      <c r="CZ266">
        <f>S266*(CA266/100)</f>
        <v>546.07899999999995</v>
      </c>
      <c r="DC266" t="s">
        <v>3</v>
      </c>
      <c r="DD266" t="s">
        <v>3</v>
      </c>
      <c r="DE266" t="s">
        <v>86</v>
      </c>
      <c r="DF266" t="s">
        <v>86</v>
      </c>
      <c r="DG266" t="s">
        <v>87</v>
      </c>
      <c r="DH266" t="s">
        <v>3</v>
      </c>
      <c r="DI266" t="s">
        <v>87</v>
      </c>
      <c r="DJ266" t="s">
        <v>86</v>
      </c>
      <c r="DK266" t="s">
        <v>3</v>
      </c>
      <c r="DL266" t="s">
        <v>3</v>
      </c>
      <c r="DM266" t="s">
        <v>3</v>
      </c>
      <c r="DN266">
        <v>91</v>
      </c>
      <c r="DO266">
        <v>70</v>
      </c>
      <c r="DP266">
        <v>1</v>
      </c>
      <c r="DQ266">
        <v>1</v>
      </c>
      <c r="DU266">
        <v>1005</v>
      </c>
      <c r="DV266" t="s">
        <v>309</v>
      </c>
      <c r="DW266" t="s">
        <v>309</v>
      </c>
      <c r="DX266">
        <v>100</v>
      </c>
      <c r="DZ266" t="s">
        <v>3</v>
      </c>
      <c r="EA266" t="s">
        <v>3</v>
      </c>
      <c r="EB266" t="s">
        <v>3</v>
      </c>
      <c r="EC266" t="s">
        <v>3</v>
      </c>
      <c r="EE266">
        <v>126051527</v>
      </c>
      <c r="EF266">
        <v>30</v>
      </c>
      <c r="EG266" t="s">
        <v>23</v>
      </c>
      <c r="EH266">
        <v>0</v>
      </c>
      <c r="EI266" t="s">
        <v>3</v>
      </c>
      <c r="EJ266">
        <v>1</v>
      </c>
      <c r="EK266">
        <v>66</v>
      </c>
      <c r="EL266" t="s">
        <v>311</v>
      </c>
      <c r="EM266" t="s">
        <v>312</v>
      </c>
      <c r="EO266" t="s">
        <v>90</v>
      </c>
      <c r="EQ266">
        <v>131072</v>
      </c>
      <c r="ER266">
        <v>1387.27</v>
      </c>
      <c r="ES266">
        <v>57.48</v>
      </c>
      <c r="ET266">
        <v>0</v>
      </c>
      <c r="EU266">
        <v>0</v>
      </c>
      <c r="EV266">
        <v>1329.79</v>
      </c>
      <c r="EW266">
        <v>121</v>
      </c>
      <c r="EX266">
        <v>0</v>
      </c>
      <c r="EY266">
        <v>0</v>
      </c>
      <c r="FQ266">
        <v>0</v>
      </c>
      <c r="FR266">
        <f t="shared" si="214"/>
        <v>0</v>
      </c>
      <c r="FS266">
        <v>0</v>
      </c>
      <c r="FX266">
        <v>91</v>
      </c>
      <c r="FY266">
        <v>70</v>
      </c>
      <c r="GA266" t="s">
        <v>3</v>
      </c>
      <c r="GD266">
        <v>0</v>
      </c>
      <c r="GF266">
        <v>715005897</v>
      </c>
      <c r="GG266">
        <v>2</v>
      </c>
      <c r="GH266">
        <v>1</v>
      </c>
      <c r="GI266">
        <v>2</v>
      </c>
      <c r="GJ266">
        <v>0</v>
      </c>
      <c r="GK266">
        <f>ROUND(R266*(S12)/100,2)</f>
        <v>0</v>
      </c>
      <c r="GL266">
        <f t="shared" si="215"/>
        <v>0</v>
      </c>
      <c r="GM266">
        <f t="shared" si="216"/>
        <v>2885.54</v>
      </c>
      <c r="GN266">
        <f t="shared" si="217"/>
        <v>2885.54</v>
      </c>
      <c r="GO266">
        <f t="shared" si="218"/>
        <v>0</v>
      </c>
      <c r="GP266">
        <f t="shared" si="219"/>
        <v>0</v>
      </c>
      <c r="GR266">
        <v>0</v>
      </c>
      <c r="GS266">
        <v>3</v>
      </c>
      <c r="GT266">
        <v>0</v>
      </c>
      <c r="GU266" t="s">
        <v>3</v>
      </c>
      <c r="GV266">
        <f t="shared" si="220"/>
        <v>0</v>
      </c>
      <c r="GW266">
        <v>1</v>
      </c>
      <c r="GX266">
        <f t="shared" si="221"/>
        <v>0</v>
      </c>
      <c r="HA266">
        <v>0</v>
      </c>
      <c r="HB266">
        <v>0</v>
      </c>
      <c r="HC266">
        <f t="shared" si="222"/>
        <v>0</v>
      </c>
      <c r="HE266" t="s">
        <v>3</v>
      </c>
      <c r="HF266" t="s">
        <v>3</v>
      </c>
      <c r="HM266" t="s">
        <v>3</v>
      </c>
      <c r="HN266" t="s">
        <v>3</v>
      </c>
      <c r="HO266" t="s">
        <v>3</v>
      </c>
      <c r="HP266" t="s">
        <v>3</v>
      </c>
      <c r="HQ266" t="s">
        <v>3</v>
      </c>
      <c r="IK266">
        <v>0</v>
      </c>
    </row>
    <row r="267" spans="1:255" x14ac:dyDescent="0.2">
      <c r="A267" s="2">
        <v>18</v>
      </c>
      <c r="B267" s="2">
        <v>1</v>
      </c>
      <c r="C267" s="2">
        <v>241</v>
      </c>
      <c r="D267" s="2"/>
      <c r="E267" s="2" t="s">
        <v>313</v>
      </c>
      <c r="F267" s="2" t="s">
        <v>314</v>
      </c>
      <c r="G267" s="2" t="s">
        <v>315</v>
      </c>
      <c r="H267" s="2" t="s">
        <v>316</v>
      </c>
      <c r="I267" s="2">
        <f>I265*J267</f>
        <v>0.15</v>
      </c>
      <c r="J267" s="2">
        <v>5</v>
      </c>
      <c r="K267" s="2">
        <v>5</v>
      </c>
      <c r="L267" s="2"/>
      <c r="M267" s="2"/>
      <c r="N267" s="2"/>
      <c r="O267" s="2">
        <f t="shared" si="192"/>
        <v>159.69999999999999</v>
      </c>
      <c r="P267" s="2">
        <f t="shared" si="193"/>
        <v>159.69999999999999</v>
      </c>
      <c r="Q267" s="2">
        <f t="shared" ref="Q267:Q274" si="223">(ROUND((ROUND(((ET267)*AV267*I267),2)*BB267),2)+ROUND((ROUND(((AE267-(EU267))*AV267*I267),2)*BS267),2))</f>
        <v>0</v>
      </c>
      <c r="R267" s="2">
        <f t="shared" si="194"/>
        <v>0</v>
      </c>
      <c r="S267" s="2">
        <f t="shared" si="195"/>
        <v>0</v>
      </c>
      <c r="T267" s="2">
        <f t="shared" si="196"/>
        <v>0</v>
      </c>
      <c r="U267" s="2">
        <f t="shared" si="197"/>
        <v>0</v>
      </c>
      <c r="V267" s="2">
        <f t="shared" si="198"/>
        <v>0</v>
      </c>
      <c r="W267" s="2">
        <f t="shared" si="199"/>
        <v>0</v>
      </c>
      <c r="X267" s="2">
        <f t="shared" si="200"/>
        <v>0</v>
      </c>
      <c r="Y267" s="2">
        <f t="shared" si="201"/>
        <v>0</v>
      </c>
      <c r="Z267" s="2"/>
      <c r="AA267" s="2">
        <v>129761636</v>
      </c>
      <c r="AB267" s="2">
        <f t="shared" si="202"/>
        <v>1064.6600000000001</v>
      </c>
      <c r="AC267" s="2">
        <f t="shared" si="203"/>
        <v>1064.6600000000001</v>
      </c>
      <c r="AD267" s="2">
        <f t="shared" ref="AD267:AD274" si="224">ROUND((((ET267)-(EU267))+AE267),6)</f>
        <v>0</v>
      </c>
      <c r="AE267" s="2">
        <f t="shared" ref="AE267:AF274" si="225">ROUND((EU267),6)</f>
        <v>0</v>
      </c>
      <c r="AF267" s="2">
        <f t="shared" si="225"/>
        <v>0</v>
      </c>
      <c r="AG267" s="2">
        <f t="shared" si="204"/>
        <v>0</v>
      </c>
      <c r="AH267" s="2">
        <f t="shared" ref="AH267:AI274" si="226">(EW267)</f>
        <v>0</v>
      </c>
      <c r="AI267" s="2">
        <f t="shared" si="226"/>
        <v>0</v>
      </c>
      <c r="AJ267" s="2">
        <f t="shared" si="205"/>
        <v>0</v>
      </c>
      <c r="AK267" s="2">
        <v>1064.6600000000001</v>
      </c>
      <c r="AL267" s="2">
        <v>1064.6600000000001</v>
      </c>
      <c r="AM267" s="2">
        <v>0</v>
      </c>
      <c r="AN267" s="2">
        <v>0</v>
      </c>
      <c r="AO267" s="2">
        <v>0</v>
      </c>
      <c r="AP267" s="2">
        <v>0</v>
      </c>
      <c r="AQ267" s="2">
        <v>0</v>
      </c>
      <c r="AR267" s="2">
        <v>0</v>
      </c>
      <c r="AS267" s="2">
        <v>0</v>
      </c>
      <c r="AT267" s="2">
        <v>91</v>
      </c>
      <c r="AU267" s="2">
        <v>70</v>
      </c>
      <c r="AV267" s="2">
        <v>1</v>
      </c>
      <c r="AW267" s="2">
        <v>1</v>
      </c>
      <c r="AX267" s="2"/>
      <c r="AY267" s="2"/>
      <c r="AZ267" s="2">
        <v>1</v>
      </c>
      <c r="BA267" s="2">
        <v>1</v>
      </c>
      <c r="BB267" s="2">
        <v>1</v>
      </c>
      <c r="BC267" s="2">
        <v>1</v>
      </c>
      <c r="BD267" s="2" t="s">
        <v>3</v>
      </c>
      <c r="BE267" s="2" t="s">
        <v>3</v>
      </c>
      <c r="BF267" s="2" t="s">
        <v>3</v>
      </c>
      <c r="BG267" s="2" t="s">
        <v>3</v>
      </c>
      <c r="BH267" s="2">
        <v>3</v>
      </c>
      <c r="BI267" s="2">
        <v>1</v>
      </c>
      <c r="BJ267" s="2" t="s">
        <v>317</v>
      </c>
      <c r="BK267" s="2"/>
      <c r="BL267" s="2"/>
      <c r="BM267" s="2">
        <v>66</v>
      </c>
      <c r="BN267" s="2">
        <v>0</v>
      </c>
      <c r="BO267" s="2" t="s">
        <v>3</v>
      </c>
      <c r="BP267" s="2">
        <v>0</v>
      </c>
      <c r="BQ267" s="2">
        <v>30</v>
      </c>
      <c r="BR267" s="2">
        <v>0</v>
      </c>
      <c r="BS267" s="2">
        <v>1</v>
      </c>
      <c r="BT267" s="2">
        <v>1</v>
      </c>
      <c r="BU267" s="2">
        <v>1</v>
      </c>
      <c r="BV267" s="2">
        <v>1</v>
      </c>
      <c r="BW267" s="2">
        <v>1</v>
      </c>
      <c r="BX267" s="2">
        <v>1</v>
      </c>
      <c r="BY267" s="2" t="s">
        <v>3</v>
      </c>
      <c r="BZ267" s="2">
        <v>91</v>
      </c>
      <c r="CA267" s="2">
        <v>70</v>
      </c>
      <c r="CB267" s="2" t="s">
        <v>3</v>
      </c>
      <c r="CC267" s="2"/>
      <c r="CD267" s="2"/>
      <c r="CE267" s="2">
        <v>30</v>
      </c>
      <c r="CF267" s="2">
        <v>0</v>
      </c>
      <c r="CG267" s="2">
        <v>0</v>
      </c>
      <c r="CH267" s="2"/>
      <c r="CI267" s="2"/>
      <c r="CJ267" s="2"/>
      <c r="CK267" s="2"/>
      <c r="CL267" s="2"/>
      <c r="CM267" s="2">
        <v>0</v>
      </c>
      <c r="CN267" s="2" t="s">
        <v>3</v>
      </c>
      <c r="CO267" s="2">
        <v>0</v>
      </c>
      <c r="CP267" s="2">
        <f t="shared" si="206"/>
        <v>159.69999999999999</v>
      </c>
      <c r="CQ267" s="2">
        <f t="shared" si="207"/>
        <v>1064.6600000000001</v>
      </c>
      <c r="CR267" s="2">
        <f t="shared" ref="CR267:CR274" si="227">(ROUND((ROUND(((ET267)*AV267*1),2)*BB267),2)+ROUND((ROUND(((AE267-(EU267))*AV267*1),2)*BS267),2))</f>
        <v>0</v>
      </c>
      <c r="CS267" s="2">
        <f t="shared" si="208"/>
        <v>0</v>
      </c>
      <c r="CT267" s="2">
        <f t="shared" si="209"/>
        <v>0</v>
      </c>
      <c r="CU267" s="2">
        <f t="shared" si="210"/>
        <v>0</v>
      </c>
      <c r="CV267" s="2">
        <f t="shared" si="211"/>
        <v>0</v>
      </c>
      <c r="CW267" s="2">
        <f t="shared" si="212"/>
        <v>0</v>
      </c>
      <c r="CX267" s="2">
        <f t="shared" si="213"/>
        <v>0</v>
      </c>
      <c r="CY267" s="2">
        <f>((S267*BZ267)/100)</f>
        <v>0</v>
      </c>
      <c r="CZ267" s="2">
        <f>((S267*CA267)/100)</f>
        <v>0</v>
      </c>
      <c r="DA267" s="2"/>
      <c r="DB267" s="2"/>
      <c r="DC267" s="2" t="s">
        <v>3</v>
      </c>
      <c r="DD267" s="2" t="s">
        <v>3</v>
      </c>
      <c r="DE267" s="2" t="s">
        <v>3</v>
      </c>
      <c r="DF267" s="2" t="s">
        <v>3</v>
      </c>
      <c r="DG267" s="2" t="s">
        <v>3</v>
      </c>
      <c r="DH267" s="2" t="s">
        <v>3</v>
      </c>
      <c r="DI267" s="2" t="s">
        <v>3</v>
      </c>
      <c r="DJ267" s="2" t="s">
        <v>3</v>
      </c>
      <c r="DK267" s="2" t="s">
        <v>3</v>
      </c>
      <c r="DL267" s="2" t="s">
        <v>3</v>
      </c>
      <c r="DM267" s="2" t="s">
        <v>3</v>
      </c>
      <c r="DN267" s="2">
        <v>0</v>
      </c>
      <c r="DO267" s="2">
        <v>0</v>
      </c>
      <c r="DP267" s="2">
        <v>1</v>
      </c>
      <c r="DQ267" s="2">
        <v>1</v>
      </c>
      <c r="DR267" s="2"/>
      <c r="DS267" s="2"/>
      <c r="DT267" s="2"/>
      <c r="DU267" s="2">
        <v>1010</v>
      </c>
      <c r="DV267" s="2" t="s">
        <v>316</v>
      </c>
      <c r="DW267" s="2" t="s">
        <v>316</v>
      </c>
      <c r="DX267" s="2">
        <v>1000</v>
      </c>
      <c r="DY267" s="2"/>
      <c r="DZ267" s="2" t="s">
        <v>3</v>
      </c>
      <c r="EA267" s="2" t="s">
        <v>3</v>
      </c>
      <c r="EB267" s="2" t="s">
        <v>3</v>
      </c>
      <c r="EC267" s="2" t="s">
        <v>3</v>
      </c>
      <c r="ED267" s="2"/>
      <c r="EE267" s="2">
        <v>126051527</v>
      </c>
      <c r="EF267" s="2">
        <v>30</v>
      </c>
      <c r="EG267" s="2" t="s">
        <v>23</v>
      </c>
      <c r="EH267" s="2">
        <v>0</v>
      </c>
      <c r="EI267" s="2" t="s">
        <v>3</v>
      </c>
      <c r="EJ267" s="2">
        <v>1</v>
      </c>
      <c r="EK267" s="2">
        <v>66</v>
      </c>
      <c r="EL267" s="2" t="s">
        <v>311</v>
      </c>
      <c r="EM267" s="2" t="s">
        <v>312</v>
      </c>
      <c r="EN267" s="2"/>
      <c r="EO267" s="2" t="s">
        <v>3</v>
      </c>
      <c r="EP267" s="2"/>
      <c r="EQ267" s="2">
        <v>0</v>
      </c>
      <c r="ER267" s="2">
        <v>1064.6600000000001</v>
      </c>
      <c r="ES267" s="2">
        <v>1064.6600000000001</v>
      </c>
      <c r="ET267" s="2">
        <v>0</v>
      </c>
      <c r="EU267" s="2">
        <v>0</v>
      </c>
      <c r="EV267" s="2">
        <v>0</v>
      </c>
      <c r="EW267" s="2">
        <v>0</v>
      </c>
      <c r="EX267" s="2">
        <v>0</v>
      </c>
      <c r="EY267" s="2"/>
      <c r="EZ267" s="2"/>
      <c r="FA267" s="2"/>
      <c r="FB267" s="2"/>
      <c r="FC267" s="2"/>
      <c r="FD267" s="2"/>
      <c r="FE267" s="2"/>
      <c r="FF267" s="2"/>
      <c r="FG267" s="2"/>
      <c r="FH267" s="2"/>
      <c r="FI267" s="2"/>
      <c r="FJ267" s="2"/>
      <c r="FK267" s="2"/>
      <c r="FL267" s="2"/>
      <c r="FM267" s="2"/>
      <c r="FN267" s="2"/>
      <c r="FO267" s="2"/>
      <c r="FP267" s="2"/>
      <c r="FQ267" s="2">
        <v>0</v>
      </c>
      <c r="FR267" s="2">
        <f t="shared" si="214"/>
        <v>0</v>
      </c>
      <c r="FS267" s="2">
        <v>0</v>
      </c>
      <c r="FT267" s="2"/>
      <c r="FU267" s="2"/>
      <c r="FV267" s="2"/>
      <c r="FW267" s="2"/>
      <c r="FX267" s="2">
        <v>91</v>
      </c>
      <c r="FY267" s="2">
        <v>70</v>
      </c>
      <c r="FZ267" s="2"/>
      <c r="GA267" s="2" t="s">
        <v>3</v>
      </c>
      <c r="GB267" s="2"/>
      <c r="GC267" s="2"/>
      <c r="GD267" s="2">
        <v>0</v>
      </c>
      <c r="GE267" s="2"/>
      <c r="GF267" s="2">
        <v>1033483998</v>
      </c>
      <c r="GG267" s="2">
        <v>2</v>
      </c>
      <c r="GH267" s="2">
        <v>1</v>
      </c>
      <c r="GI267" s="2">
        <v>-2</v>
      </c>
      <c r="GJ267" s="2">
        <v>0</v>
      </c>
      <c r="GK267" s="2">
        <f>ROUND(R267*(R12)/100,2)</f>
        <v>0</v>
      </c>
      <c r="GL267" s="2">
        <f t="shared" si="215"/>
        <v>0</v>
      </c>
      <c r="GM267" s="2">
        <f t="shared" si="216"/>
        <v>159.69999999999999</v>
      </c>
      <c r="GN267" s="2">
        <f t="shared" si="217"/>
        <v>159.69999999999999</v>
      </c>
      <c r="GO267" s="2">
        <f t="shared" si="218"/>
        <v>0</v>
      </c>
      <c r="GP267" s="2">
        <f t="shared" si="219"/>
        <v>0</v>
      </c>
      <c r="GQ267" s="2"/>
      <c r="GR267" s="2">
        <v>0</v>
      </c>
      <c r="GS267" s="2">
        <v>0</v>
      </c>
      <c r="GT267" s="2">
        <v>0</v>
      </c>
      <c r="GU267" s="2" t="s">
        <v>3</v>
      </c>
      <c r="GV267" s="2">
        <f t="shared" si="220"/>
        <v>0</v>
      </c>
      <c r="GW267" s="2">
        <v>1</v>
      </c>
      <c r="GX267" s="2">
        <f t="shared" si="221"/>
        <v>0</v>
      </c>
      <c r="GY267" s="2"/>
      <c r="GZ267" s="2"/>
      <c r="HA267" s="2">
        <v>0</v>
      </c>
      <c r="HB267" s="2">
        <v>0</v>
      </c>
      <c r="HC267" s="2">
        <f t="shared" si="222"/>
        <v>0</v>
      </c>
      <c r="HD267" s="2"/>
      <c r="HE267" s="2" t="s">
        <v>3</v>
      </c>
      <c r="HF267" s="2" t="s">
        <v>3</v>
      </c>
      <c r="HG267" s="2"/>
      <c r="HH267" s="2"/>
      <c r="HI267" s="2"/>
      <c r="HJ267" s="2"/>
      <c r="HK267" s="2"/>
      <c r="HL267" s="2"/>
      <c r="HM267" s="2" t="s">
        <v>3</v>
      </c>
      <c r="HN267" s="2" t="s">
        <v>3</v>
      </c>
      <c r="HO267" s="2" t="s">
        <v>3</v>
      </c>
      <c r="HP267" s="2" t="s">
        <v>3</v>
      </c>
      <c r="HQ267" s="2" t="s">
        <v>3</v>
      </c>
      <c r="HR267" s="2"/>
      <c r="HS267" s="2"/>
      <c r="HT267" s="2"/>
      <c r="HU267" s="2"/>
      <c r="HV267" s="2"/>
      <c r="HW267" s="2"/>
      <c r="HX267" s="2"/>
      <c r="HY267" s="2"/>
      <c r="HZ267" s="2"/>
      <c r="IA267" s="2"/>
      <c r="IB267" s="2"/>
      <c r="IC267" s="2"/>
      <c r="ID267" s="2"/>
      <c r="IE267" s="2"/>
      <c r="IF267" s="2"/>
      <c r="IG267" s="2"/>
      <c r="IH267" s="2"/>
      <c r="II267" s="2"/>
      <c r="IJ267" s="2"/>
      <c r="IK267" s="2">
        <v>0</v>
      </c>
      <c r="IL267" s="2"/>
      <c r="IM267" s="2"/>
      <c r="IN267" s="2"/>
      <c r="IO267" s="2"/>
      <c r="IP267" s="2"/>
      <c r="IQ267" s="2"/>
      <c r="IR267" s="2"/>
      <c r="IS267" s="2"/>
      <c r="IT267" s="2"/>
      <c r="IU267" s="2"/>
    </row>
    <row r="268" spans="1:255" x14ac:dyDescent="0.2">
      <c r="A268">
        <v>18</v>
      </c>
      <c r="B268">
        <v>1</v>
      </c>
      <c r="C268">
        <v>247</v>
      </c>
      <c r="E268" t="s">
        <v>313</v>
      </c>
      <c r="F268" t="s">
        <v>314</v>
      </c>
      <c r="G268" t="s">
        <v>315</v>
      </c>
      <c r="H268" t="s">
        <v>316</v>
      </c>
      <c r="I268">
        <f>I266*J268</f>
        <v>0.15</v>
      </c>
      <c r="J268">
        <v>5</v>
      </c>
      <c r="K268">
        <v>5</v>
      </c>
      <c r="O268">
        <f t="shared" si="192"/>
        <v>2491.3200000000002</v>
      </c>
      <c r="P268">
        <f t="shared" si="193"/>
        <v>2491.3200000000002</v>
      </c>
      <c r="Q268">
        <f t="shared" si="223"/>
        <v>0</v>
      </c>
      <c r="R268">
        <f t="shared" si="194"/>
        <v>0</v>
      </c>
      <c r="S268">
        <f t="shared" si="195"/>
        <v>0</v>
      </c>
      <c r="T268">
        <f t="shared" si="196"/>
        <v>0</v>
      </c>
      <c r="U268">
        <f t="shared" si="197"/>
        <v>0</v>
      </c>
      <c r="V268">
        <f t="shared" si="198"/>
        <v>0</v>
      </c>
      <c r="W268">
        <f t="shared" si="199"/>
        <v>0</v>
      </c>
      <c r="X268">
        <f t="shared" si="200"/>
        <v>0</v>
      </c>
      <c r="Y268">
        <f t="shared" si="201"/>
        <v>0</v>
      </c>
      <c r="AA268">
        <v>129761633</v>
      </c>
      <c r="AB268">
        <f t="shared" si="202"/>
        <v>1064.6600000000001</v>
      </c>
      <c r="AC268">
        <f t="shared" si="203"/>
        <v>1064.6600000000001</v>
      </c>
      <c r="AD268">
        <f t="shared" si="224"/>
        <v>0</v>
      </c>
      <c r="AE268">
        <f t="shared" si="225"/>
        <v>0</v>
      </c>
      <c r="AF268">
        <f t="shared" si="225"/>
        <v>0</v>
      </c>
      <c r="AG268">
        <f t="shared" si="204"/>
        <v>0</v>
      </c>
      <c r="AH268">
        <f t="shared" si="226"/>
        <v>0</v>
      </c>
      <c r="AI268">
        <f t="shared" si="226"/>
        <v>0</v>
      </c>
      <c r="AJ268">
        <f t="shared" si="205"/>
        <v>0</v>
      </c>
      <c r="AK268">
        <v>1064.6600000000001</v>
      </c>
      <c r="AL268">
        <v>1064.6600000000001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1</v>
      </c>
      <c r="AW268">
        <v>1</v>
      </c>
      <c r="AZ268">
        <v>1</v>
      </c>
      <c r="BA268">
        <v>1</v>
      </c>
      <c r="BB268">
        <v>1</v>
      </c>
      <c r="BC268">
        <v>15.6</v>
      </c>
      <c r="BD268" t="s">
        <v>3</v>
      </c>
      <c r="BE268" t="s">
        <v>3</v>
      </c>
      <c r="BF268" t="s">
        <v>3</v>
      </c>
      <c r="BG268" t="s">
        <v>3</v>
      </c>
      <c r="BH268">
        <v>3</v>
      </c>
      <c r="BI268">
        <v>1</v>
      </c>
      <c r="BJ268" t="s">
        <v>317</v>
      </c>
      <c r="BM268">
        <v>66</v>
      </c>
      <c r="BN268">
        <v>0</v>
      </c>
      <c r="BO268" t="s">
        <v>314</v>
      </c>
      <c r="BP268">
        <v>1</v>
      </c>
      <c r="BQ268">
        <v>30</v>
      </c>
      <c r="BR268">
        <v>0</v>
      </c>
      <c r="BS268">
        <v>1</v>
      </c>
      <c r="BT268">
        <v>1</v>
      </c>
      <c r="BU268">
        <v>1</v>
      </c>
      <c r="BV268">
        <v>1</v>
      </c>
      <c r="BW268">
        <v>1</v>
      </c>
      <c r="BX268">
        <v>1</v>
      </c>
      <c r="BY268" t="s">
        <v>3</v>
      </c>
      <c r="BZ268">
        <v>0</v>
      </c>
      <c r="CA268">
        <v>0</v>
      </c>
      <c r="CB268" t="s">
        <v>3</v>
      </c>
      <c r="CE268">
        <v>30</v>
      </c>
      <c r="CF268">
        <v>0</v>
      </c>
      <c r="CG268">
        <v>0</v>
      </c>
      <c r="CM268">
        <v>0</v>
      </c>
      <c r="CN268" t="s">
        <v>3</v>
      </c>
      <c r="CO268">
        <v>0</v>
      </c>
      <c r="CP268">
        <f t="shared" si="206"/>
        <v>2491.3200000000002</v>
      </c>
      <c r="CQ268">
        <f t="shared" si="207"/>
        <v>16608.7</v>
      </c>
      <c r="CR268">
        <f t="shared" si="227"/>
        <v>0</v>
      </c>
      <c r="CS268">
        <f t="shared" si="208"/>
        <v>0</v>
      </c>
      <c r="CT268">
        <f t="shared" si="209"/>
        <v>0</v>
      </c>
      <c r="CU268">
        <f t="shared" si="210"/>
        <v>0</v>
      </c>
      <c r="CV268">
        <f t="shared" si="211"/>
        <v>0</v>
      </c>
      <c r="CW268">
        <f t="shared" si="212"/>
        <v>0</v>
      </c>
      <c r="CX268">
        <f t="shared" si="213"/>
        <v>0</v>
      </c>
      <c r="CY268">
        <f>S268*(BZ268/100)</f>
        <v>0</v>
      </c>
      <c r="CZ268">
        <f>S268*(CA268/100)</f>
        <v>0</v>
      </c>
      <c r="DC268" t="s">
        <v>3</v>
      </c>
      <c r="DD268" t="s">
        <v>3</v>
      </c>
      <c r="DE268" t="s">
        <v>3</v>
      </c>
      <c r="DF268" t="s">
        <v>3</v>
      </c>
      <c r="DG268" t="s">
        <v>3</v>
      </c>
      <c r="DH268" t="s">
        <v>3</v>
      </c>
      <c r="DI268" t="s">
        <v>3</v>
      </c>
      <c r="DJ268" t="s">
        <v>3</v>
      </c>
      <c r="DK268" t="s">
        <v>3</v>
      </c>
      <c r="DL268" t="s">
        <v>3</v>
      </c>
      <c r="DM268" t="s">
        <v>3</v>
      </c>
      <c r="DN268">
        <v>91</v>
      </c>
      <c r="DO268">
        <v>70</v>
      </c>
      <c r="DP268">
        <v>1</v>
      </c>
      <c r="DQ268">
        <v>1</v>
      </c>
      <c r="DU268">
        <v>1010</v>
      </c>
      <c r="DV268" t="s">
        <v>316</v>
      </c>
      <c r="DW268" t="s">
        <v>316</v>
      </c>
      <c r="DX268">
        <v>1000</v>
      </c>
      <c r="DZ268" t="s">
        <v>3</v>
      </c>
      <c r="EA268" t="s">
        <v>3</v>
      </c>
      <c r="EB268" t="s">
        <v>3</v>
      </c>
      <c r="EC268" t="s">
        <v>3</v>
      </c>
      <c r="EE268">
        <v>126051527</v>
      </c>
      <c r="EF268">
        <v>30</v>
      </c>
      <c r="EG268" t="s">
        <v>23</v>
      </c>
      <c r="EH268">
        <v>0</v>
      </c>
      <c r="EI268" t="s">
        <v>3</v>
      </c>
      <c r="EJ268">
        <v>1</v>
      </c>
      <c r="EK268">
        <v>66</v>
      </c>
      <c r="EL268" t="s">
        <v>311</v>
      </c>
      <c r="EM268" t="s">
        <v>312</v>
      </c>
      <c r="EO268" t="s">
        <v>3</v>
      </c>
      <c r="EQ268">
        <v>0</v>
      </c>
      <c r="ER268">
        <v>1064.6600000000001</v>
      </c>
      <c r="ES268">
        <v>1064.6600000000001</v>
      </c>
      <c r="ET268">
        <v>0</v>
      </c>
      <c r="EU268">
        <v>0</v>
      </c>
      <c r="EV268">
        <v>0</v>
      </c>
      <c r="EW268">
        <v>0</v>
      </c>
      <c r="EX268">
        <v>0</v>
      </c>
      <c r="FQ268">
        <v>0</v>
      </c>
      <c r="FR268">
        <f t="shared" si="214"/>
        <v>0</v>
      </c>
      <c r="FS268">
        <v>0</v>
      </c>
      <c r="FX268">
        <v>91</v>
      </c>
      <c r="FY268">
        <v>70</v>
      </c>
      <c r="GA268" t="s">
        <v>3</v>
      </c>
      <c r="GD268">
        <v>0</v>
      </c>
      <c r="GF268">
        <v>1033483998</v>
      </c>
      <c r="GG268">
        <v>2</v>
      </c>
      <c r="GH268">
        <v>1</v>
      </c>
      <c r="GI268">
        <v>2</v>
      </c>
      <c r="GJ268">
        <v>0</v>
      </c>
      <c r="GK268">
        <f>ROUND(R268*(S12)/100,2)</f>
        <v>0</v>
      </c>
      <c r="GL268">
        <f t="shared" si="215"/>
        <v>0</v>
      </c>
      <c r="GM268">
        <f t="shared" si="216"/>
        <v>2491.3200000000002</v>
      </c>
      <c r="GN268">
        <f t="shared" si="217"/>
        <v>2491.3200000000002</v>
      </c>
      <c r="GO268">
        <f t="shared" si="218"/>
        <v>0</v>
      </c>
      <c r="GP268">
        <f t="shared" si="219"/>
        <v>0</v>
      </c>
      <c r="GR268">
        <v>0</v>
      </c>
      <c r="GS268">
        <v>3</v>
      </c>
      <c r="GT268">
        <v>0</v>
      </c>
      <c r="GU268" t="s">
        <v>3</v>
      </c>
      <c r="GV268">
        <f t="shared" si="220"/>
        <v>0</v>
      </c>
      <c r="GW268">
        <v>1</v>
      </c>
      <c r="GX268">
        <f t="shared" si="221"/>
        <v>0</v>
      </c>
      <c r="HA268">
        <v>0</v>
      </c>
      <c r="HB268">
        <v>0</v>
      </c>
      <c r="HC268">
        <f t="shared" si="222"/>
        <v>0</v>
      </c>
      <c r="HE268" t="s">
        <v>3</v>
      </c>
      <c r="HF268" t="s">
        <v>3</v>
      </c>
      <c r="HM268" t="s">
        <v>3</v>
      </c>
      <c r="HN268" t="s">
        <v>3</v>
      </c>
      <c r="HO268" t="s">
        <v>3</v>
      </c>
      <c r="HP268" t="s">
        <v>3</v>
      </c>
      <c r="HQ268" t="s">
        <v>3</v>
      </c>
      <c r="IK268">
        <v>0</v>
      </c>
    </row>
    <row r="269" spans="1:255" x14ac:dyDescent="0.2">
      <c r="A269" s="2">
        <v>18</v>
      </c>
      <c r="B269" s="2">
        <v>1</v>
      </c>
      <c r="C269" s="2">
        <v>244</v>
      </c>
      <c r="D269" s="2"/>
      <c r="E269" s="2" t="s">
        <v>318</v>
      </c>
      <c r="F269" s="2" t="s">
        <v>319</v>
      </c>
      <c r="G269" s="2" t="s">
        <v>320</v>
      </c>
      <c r="H269" s="2" t="s">
        <v>94</v>
      </c>
      <c r="I269" s="2">
        <f>I265*J269</f>
        <v>6.9000000000000006E-2</v>
      </c>
      <c r="J269" s="2">
        <v>2.3000000000000003</v>
      </c>
      <c r="K269" s="2">
        <v>2.2999999999999998</v>
      </c>
      <c r="L269" s="2"/>
      <c r="M269" s="2"/>
      <c r="N269" s="2"/>
      <c r="O269" s="2">
        <f t="shared" si="192"/>
        <v>33.24</v>
      </c>
      <c r="P269" s="2">
        <f t="shared" si="193"/>
        <v>33.24</v>
      </c>
      <c r="Q269" s="2">
        <f t="shared" si="223"/>
        <v>0</v>
      </c>
      <c r="R269" s="2">
        <f t="shared" si="194"/>
        <v>0</v>
      </c>
      <c r="S269" s="2">
        <f t="shared" si="195"/>
        <v>0</v>
      </c>
      <c r="T269" s="2">
        <f t="shared" si="196"/>
        <v>0</v>
      </c>
      <c r="U269" s="2">
        <f t="shared" si="197"/>
        <v>0</v>
      </c>
      <c r="V269" s="2">
        <f t="shared" si="198"/>
        <v>0</v>
      </c>
      <c r="W269" s="2">
        <f t="shared" si="199"/>
        <v>0</v>
      </c>
      <c r="X269" s="2">
        <f t="shared" si="200"/>
        <v>0</v>
      </c>
      <c r="Y269" s="2">
        <f t="shared" si="201"/>
        <v>0</v>
      </c>
      <c r="Z269" s="2"/>
      <c r="AA269" s="2">
        <v>129761636</v>
      </c>
      <c r="AB269" s="2">
        <f t="shared" si="202"/>
        <v>481.69</v>
      </c>
      <c r="AC269" s="2">
        <f t="shared" si="203"/>
        <v>481.69</v>
      </c>
      <c r="AD269" s="2">
        <f t="shared" si="224"/>
        <v>0</v>
      </c>
      <c r="AE269" s="2">
        <f t="shared" si="225"/>
        <v>0</v>
      </c>
      <c r="AF269" s="2">
        <f t="shared" si="225"/>
        <v>0</v>
      </c>
      <c r="AG269" s="2">
        <f t="shared" si="204"/>
        <v>0</v>
      </c>
      <c r="AH269" s="2">
        <f t="shared" si="226"/>
        <v>0</v>
      </c>
      <c r="AI269" s="2">
        <f t="shared" si="226"/>
        <v>0</v>
      </c>
      <c r="AJ269" s="2">
        <f t="shared" si="205"/>
        <v>0</v>
      </c>
      <c r="AK269" s="2">
        <v>481.69</v>
      </c>
      <c r="AL269" s="2">
        <v>481.69</v>
      </c>
      <c r="AM269" s="2">
        <v>0</v>
      </c>
      <c r="AN269" s="2">
        <v>0</v>
      </c>
      <c r="AO269" s="2">
        <v>0</v>
      </c>
      <c r="AP269" s="2">
        <v>0</v>
      </c>
      <c r="AQ269" s="2">
        <v>0</v>
      </c>
      <c r="AR269" s="2">
        <v>0</v>
      </c>
      <c r="AS269" s="2">
        <v>0</v>
      </c>
      <c r="AT269" s="2">
        <v>91</v>
      </c>
      <c r="AU269" s="2">
        <v>70</v>
      </c>
      <c r="AV269" s="2">
        <v>1</v>
      </c>
      <c r="AW269" s="2">
        <v>1</v>
      </c>
      <c r="AX269" s="2"/>
      <c r="AY269" s="2"/>
      <c r="AZ269" s="2">
        <v>1</v>
      </c>
      <c r="BA269" s="2">
        <v>1</v>
      </c>
      <c r="BB269" s="2">
        <v>1</v>
      </c>
      <c r="BC269" s="2">
        <v>1</v>
      </c>
      <c r="BD269" s="2" t="s">
        <v>3</v>
      </c>
      <c r="BE269" s="2" t="s">
        <v>3</v>
      </c>
      <c r="BF269" s="2" t="s">
        <v>3</v>
      </c>
      <c r="BG269" s="2" t="s">
        <v>3</v>
      </c>
      <c r="BH269" s="2">
        <v>3</v>
      </c>
      <c r="BI269" s="2">
        <v>1</v>
      </c>
      <c r="BJ269" s="2" t="s">
        <v>321</v>
      </c>
      <c r="BK269" s="2"/>
      <c r="BL269" s="2"/>
      <c r="BM269" s="2">
        <v>66</v>
      </c>
      <c r="BN269" s="2">
        <v>0</v>
      </c>
      <c r="BO269" s="2" t="s">
        <v>3</v>
      </c>
      <c r="BP269" s="2">
        <v>0</v>
      </c>
      <c r="BQ269" s="2">
        <v>30</v>
      </c>
      <c r="BR269" s="2">
        <v>0</v>
      </c>
      <c r="BS269" s="2">
        <v>1</v>
      </c>
      <c r="BT269" s="2">
        <v>1</v>
      </c>
      <c r="BU269" s="2">
        <v>1</v>
      </c>
      <c r="BV269" s="2">
        <v>1</v>
      </c>
      <c r="BW269" s="2">
        <v>1</v>
      </c>
      <c r="BX269" s="2">
        <v>1</v>
      </c>
      <c r="BY269" s="2" t="s">
        <v>3</v>
      </c>
      <c r="BZ269" s="2">
        <v>91</v>
      </c>
      <c r="CA269" s="2">
        <v>70</v>
      </c>
      <c r="CB269" s="2" t="s">
        <v>3</v>
      </c>
      <c r="CC269" s="2"/>
      <c r="CD269" s="2"/>
      <c r="CE269" s="2">
        <v>30</v>
      </c>
      <c r="CF269" s="2">
        <v>0</v>
      </c>
      <c r="CG269" s="2">
        <v>0</v>
      </c>
      <c r="CH269" s="2"/>
      <c r="CI269" s="2"/>
      <c r="CJ269" s="2"/>
      <c r="CK269" s="2"/>
      <c r="CL269" s="2"/>
      <c r="CM269" s="2">
        <v>0</v>
      </c>
      <c r="CN269" s="2" t="s">
        <v>3</v>
      </c>
      <c r="CO269" s="2">
        <v>0</v>
      </c>
      <c r="CP269" s="2">
        <f t="shared" si="206"/>
        <v>33.24</v>
      </c>
      <c r="CQ269" s="2">
        <f t="shared" si="207"/>
        <v>481.69</v>
      </c>
      <c r="CR269" s="2">
        <f t="shared" si="227"/>
        <v>0</v>
      </c>
      <c r="CS269" s="2">
        <f t="shared" si="208"/>
        <v>0</v>
      </c>
      <c r="CT269" s="2">
        <f t="shared" si="209"/>
        <v>0</v>
      </c>
      <c r="CU269" s="2">
        <f t="shared" si="210"/>
        <v>0</v>
      </c>
      <c r="CV269" s="2">
        <f t="shared" si="211"/>
        <v>0</v>
      </c>
      <c r="CW269" s="2">
        <f t="shared" si="212"/>
        <v>0</v>
      </c>
      <c r="CX269" s="2">
        <f t="shared" si="213"/>
        <v>0</v>
      </c>
      <c r="CY269" s="2">
        <f>((S269*BZ269)/100)</f>
        <v>0</v>
      </c>
      <c r="CZ269" s="2">
        <f>((S269*CA269)/100)</f>
        <v>0</v>
      </c>
      <c r="DA269" s="2"/>
      <c r="DB269" s="2"/>
      <c r="DC269" s="2" t="s">
        <v>3</v>
      </c>
      <c r="DD269" s="2" t="s">
        <v>3</v>
      </c>
      <c r="DE269" s="2" t="s">
        <v>3</v>
      </c>
      <c r="DF269" s="2" t="s">
        <v>3</v>
      </c>
      <c r="DG269" s="2" t="s">
        <v>3</v>
      </c>
      <c r="DH269" s="2" t="s">
        <v>3</v>
      </c>
      <c r="DI269" s="2" t="s">
        <v>3</v>
      </c>
      <c r="DJ269" s="2" t="s">
        <v>3</v>
      </c>
      <c r="DK269" s="2" t="s">
        <v>3</v>
      </c>
      <c r="DL269" s="2" t="s">
        <v>3</v>
      </c>
      <c r="DM269" s="2" t="s">
        <v>3</v>
      </c>
      <c r="DN269" s="2">
        <v>0</v>
      </c>
      <c r="DO269" s="2">
        <v>0</v>
      </c>
      <c r="DP269" s="2">
        <v>1</v>
      </c>
      <c r="DQ269" s="2">
        <v>1</v>
      </c>
      <c r="DR269" s="2"/>
      <c r="DS269" s="2"/>
      <c r="DT269" s="2"/>
      <c r="DU269" s="2">
        <v>1007</v>
      </c>
      <c r="DV269" s="2" t="s">
        <v>94</v>
      </c>
      <c r="DW269" s="2" t="s">
        <v>94</v>
      </c>
      <c r="DX269" s="2">
        <v>1</v>
      </c>
      <c r="DY269" s="2"/>
      <c r="DZ269" s="2" t="s">
        <v>3</v>
      </c>
      <c r="EA269" s="2" t="s">
        <v>3</v>
      </c>
      <c r="EB269" s="2" t="s">
        <v>3</v>
      </c>
      <c r="EC269" s="2" t="s">
        <v>3</v>
      </c>
      <c r="ED269" s="2"/>
      <c r="EE269" s="2">
        <v>126051527</v>
      </c>
      <c r="EF269" s="2">
        <v>30</v>
      </c>
      <c r="EG269" s="2" t="s">
        <v>23</v>
      </c>
      <c r="EH269" s="2">
        <v>0</v>
      </c>
      <c r="EI269" s="2" t="s">
        <v>3</v>
      </c>
      <c r="EJ269" s="2">
        <v>1</v>
      </c>
      <c r="EK269" s="2">
        <v>66</v>
      </c>
      <c r="EL269" s="2" t="s">
        <v>311</v>
      </c>
      <c r="EM269" s="2" t="s">
        <v>312</v>
      </c>
      <c r="EN269" s="2"/>
      <c r="EO269" s="2" t="s">
        <v>3</v>
      </c>
      <c r="EP269" s="2"/>
      <c r="EQ269" s="2">
        <v>0</v>
      </c>
      <c r="ER269" s="2">
        <v>481.69</v>
      </c>
      <c r="ES269" s="2">
        <v>481.69</v>
      </c>
      <c r="ET269" s="2">
        <v>0</v>
      </c>
      <c r="EU269" s="2">
        <v>0</v>
      </c>
      <c r="EV269" s="2">
        <v>0</v>
      </c>
      <c r="EW269" s="2">
        <v>0</v>
      </c>
      <c r="EX269" s="2">
        <v>0</v>
      </c>
      <c r="EY269" s="2"/>
      <c r="EZ269" s="2"/>
      <c r="FA269" s="2"/>
      <c r="FB269" s="2"/>
      <c r="FC269" s="2"/>
      <c r="FD269" s="2"/>
      <c r="FE269" s="2"/>
      <c r="FF269" s="2"/>
      <c r="FG269" s="2"/>
      <c r="FH269" s="2"/>
      <c r="FI269" s="2"/>
      <c r="FJ269" s="2"/>
      <c r="FK269" s="2"/>
      <c r="FL269" s="2"/>
      <c r="FM269" s="2"/>
      <c r="FN269" s="2"/>
      <c r="FO269" s="2"/>
      <c r="FP269" s="2"/>
      <c r="FQ269" s="2">
        <v>0</v>
      </c>
      <c r="FR269" s="2">
        <f t="shared" si="214"/>
        <v>0</v>
      </c>
      <c r="FS269" s="2">
        <v>0</v>
      </c>
      <c r="FT269" s="2"/>
      <c r="FU269" s="2"/>
      <c r="FV269" s="2"/>
      <c r="FW269" s="2"/>
      <c r="FX269" s="2">
        <v>91</v>
      </c>
      <c r="FY269" s="2">
        <v>70</v>
      </c>
      <c r="FZ269" s="2"/>
      <c r="GA269" s="2" t="s">
        <v>3</v>
      </c>
      <c r="GB269" s="2"/>
      <c r="GC269" s="2"/>
      <c r="GD269" s="2">
        <v>0</v>
      </c>
      <c r="GE269" s="2"/>
      <c r="GF269" s="2">
        <v>202608499</v>
      </c>
      <c r="GG269" s="2">
        <v>2</v>
      </c>
      <c r="GH269" s="2">
        <v>1</v>
      </c>
      <c r="GI269" s="2">
        <v>-2</v>
      </c>
      <c r="GJ269" s="2">
        <v>0</v>
      </c>
      <c r="GK269" s="2">
        <f>ROUND(R269*(R12)/100,2)</f>
        <v>0</v>
      </c>
      <c r="GL269" s="2">
        <f t="shared" si="215"/>
        <v>0</v>
      </c>
      <c r="GM269" s="2">
        <f t="shared" si="216"/>
        <v>33.24</v>
      </c>
      <c r="GN269" s="2">
        <f t="shared" si="217"/>
        <v>33.24</v>
      </c>
      <c r="GO269" s="2">
        <f t="shared" si="218"/>
        <v>0</v>
      </c>
      <c r="GP269" s="2">
        <f t="shared" si="219"/>
        <v>0</v>
      </c>
      <c r="GQ269" s="2"/>
      <c r="GR269" s="2">
        <v>0</v>
      </c>
      <c r="GS269" s="2">
        <v>0</v>
      </c>
      <c r="GT269" s="2">
        <v>0</v>
      </c>
      <c r="GU269" s="2" t="s">
        <v>3</v>
      </c>
      <c r="GV269" s="2">
        <f t="shared" si="220"/>
        <v>0</v>
      </c>
      <c r="GW269" s="2">
        <v>1</v>
      </c>
      <c r="GX269" s="2">
        <f t="shared" si="221"/>
        <v>0</v>
      </c>
      <c r="GY269" s="2"/>
      <c r="GZ269" s="2"/>
      <c r="HA269" s="2">
        <v>0</v>
      </c>
      <c r="HB269" s="2">
        <v>0</v>
      </c>
      <c r="HC269" s="2">
        <f t="shared" si="222"/>
        <v>0</v>
      </c>
      <c r="HD269" s="2"/>
      <c r="HE269" s="2" t="s">
        <v>3</v>
      </c>
      <c r="HF269" s="2" t="s">
        <v>3</v>
      </c>
      <c r="HG269" s="2"/>
      <c r="HH269" s="2"/>
      <c r="HI269" s="2"/>
      <c r="HJ269" s="2"/>
      <c r="HK269" s="2"/>
      <c r="HL269" s="2"/>
      <c r="HM269" s="2" t="s">
        <v>3</v>
      </c>
      <c r="HN269" s="2" t="s">
        <v>3</v>
      </c>
      <c r="HO269" s="2" t="s">
        <v>3</v>
      </c>
      <c r="HP269" s="2" t="s">
        <v>3</v>
      </c>
      <c r="HQ269" s="2" t="s">
        <v>3</v>
      </c>
      <c r="HR269" s="2"/>
      <c r="HS269" s="2"/>
      <c r="HT269" s="2"/>
      <c r="HU269" s="2"/>
      <c r="HV269" s="2"/>
      <c r="HW269" s="2"/>
      <c r="HX269" s="2"/>
      <c r="HY269" s="2"/>
      <c r="HZ269" s="2"/>
      <c r="IA269" s="2"/>
      <c r="IB269" s="2"/>
      <c r="IC269" s="2"/>
      <c r="ID269" s="2"/>
      <c r="IE269" s="2"/>
      <c r="IF269" s="2"/>
      <c r="IG269" s="2"/>
      <c r="IH269" s="2"/>
      <c r="II269" s="2"/>
      <c r="IJ269" s="2"/>
      <c r="IK269" s="2">
        <v>0</v>
      </c>
      <c r="IL269" s="2"/>
      <c r="IM269" s="2"/>
      <c r="IN269" s="2"/>
      <c r="IO269" s="2"/>
      <c r="IP269" s="2"/>
      <c r="IQ269" s="2"/>
      <c r="IR269" s="2"/>
      <c r="IS269" s="2"/>
      <c r="IT269" s="2"/>
      <c r="IU269" s="2"/>
    </row>
    <row r="270" spans="1:255" x14ac:dyDescent="0.2">
      <c r="A270">
        <v>18</v>
      </c>
      <c r="B270">
        <v>1</v>
      </c>
      <c r="C270">
        <v>250</v>
      </c>
      <c r="E270" t="s">
        <v>318</v>
      </c>
      <c r="F270" t="s">
        <v>319</v>
      </c>
      <c r="G270" t="s">
        <v>320</v>
      </c>
      <c r="H270" t="s">
        <v>94</v>
      </c>
      <c r="I270">
        <f>I266*J270</f>
        <v>6.9000000000000006E-2</v>
      </c>
      <c r="J270">
        <v>2.3000000000000003</v>
      </c>
      <c r="K270">
        <v>2.2999999999999998</v>
      </c>
      <c r="O270">
        <f t="shared" si="192"/>
        <v>313.45</v>
      </c>
      <c r="P270">
        <f t="shared" si="193"/>
        <v>313.45</v>
      </c>
      <c r="Q270">
        <f t="shared" si="223"/>
        <v>0</v>
      </c>
      <c r="R270">
        <f t="shared" si="194"/>
        <v>0</v>
      </c>
      <c r="S270">
        <f t="shared" si="195"/>
        <v>0</v>
      </c>
      <c r="T270">
        <f t="shared" si="196"/>
        <v>0</v>
      </c>
      <c r="U270">
        <f t="shared" si="197"/>
        <v>0</v>
      </c>
      <c r="V270">
        <f t="shared" si="198"/>
        <v>0</v>
      </c>
      <c r="W270">
        <f t="shared" si="199"/>
        <v>0</v>
      </c>
      <c r="X270">
        <f t="shared" si="200"/>
        <v>0</v>
      </c>
      <c r="Y270">
        <f t="shared" si="201"/>
        <v>0</v>
      </c>
      <c r="AA270">
        <v>129761633</v>
      </c>
      <c r="AB270">
        <f t="shared" si="202"/>
        <v>481.69</v>
      </c>
      <c r="AC270">
        <f t="shared" si="203"/>
        <v>481.69</v>
      </c>
      <c r="AD270">
        <f t="shared" si="224"/>
        <v>0</v>
      </c>
      <c r="AE270">
        <f t="shared" si="225"/>
        <v>0</v>
      </c>
      <c r="AF270">
        <f t="shared" si="225"/>
        <v>0</v>
      </c>
      <c r="AG270">
        <f t="shared" si="204"/>
        <v>0</v>
      </c>
      <c r="AH270">
        <f t="shared" si="226"/>
        <v>0</v>
      </c>
      <c r="AI270">
        <f t="shared" si="226"/>
        <v>0</v>
      </c>
      <c r="AJ270">
        <f t="shared" si="205"/>
        <v>0</v>
      </c>
      <c r="AK270">
        <v>481.69</v>
      </c>
      <c r="AL270">
        <v>481.69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1</v>
      </c>
      <c r="AW270">
        <v>1</v>
      </c>
      <c r="AZ270">
        <v>1</v>
      </c>
      <c r="BA270">
        <v>1</v>
      </c>
      <c r="BB270">
        <v>1</v>
      </c>
      <c r="BC270">
        <v>9.43</v>
      </c>
      <c r="BD270" t="s">
        <v>3</v>
      </c>
      <c r="BE270" t="s">
        <v>3</v>
      </c>
      <c r="BF270" t="s">
        <v>3</v>
      </c>
      <c r="BG270" t="s">
        <v>3</v>
      </c>
      <c r="BH270">
        <v>3</v>
      </c>
      <c r="BI270">
        <v>1</v>
      </c>
      <c r="BJ270" t="s">
        <v>321</v>
      </c>
      <c r="BM270">
        <v>66</v>
      </c>
      <c r="BN270">
        <v>0</v>
      </c>
      <c r="BO270" t="s">
        <v>319</v>
      </c>
      <c r="BP270">
        <v>1</v>
      </c>
      <c r="BQ270">
        <v>30</v>
      </c>
      <c r="BR270">
        <v>0</v>
      </c>
      <c r="BS270">
        <v>1</v>
      </c>
      <c r="BT270">
        <v>1</v>
      </c>
      <c r="BU270">
        <v>1</v>
      </c>
      <c r="BV270">
        <v>1</v>
      </c>
      <c r="BW270">
        <v>1</v>
      </c>
      <c r="BX270">
        <v>1</v>
      </c>
      <c r="BY270" t="s">
        <v>3</v>
      </c>
      <c r="BZ270">
        <v>0</v>
      </c>
      <c r="CA270">
        <v>0</v>
      </c>
      <c r="CB270" t="s">
        <v>3</v>
      </c>
      <c r="CE270">
        <v>30</v>
      </c>
      <c r="CF270">
        <v>0</v>
      </c>
      <c r="CG270">
        <v>0</v>
      </c>
      <c r="CM270">
        <v>0</v>
      </c>
      <c r="CN270" t="s">
        <v>3</v>
      </c>
      <c r="CO270">
        <v>0</v>
      </c>
      <c r="CP270">
        <f t="shared" si="206"/>
        <v>313.45</v>
      </c>
      <c r="CQ270">
        <f t="shared" si="207"/>
        <v>4542.34</v>
      </c>
      <c r="CR270">
        <f t="shared" si="227"/>
        <v>0</v>
      </c>
      <c r="CS270">
        <f t="shared" si="208"/>
        <v>0</v>
      </c>
      <c r="CT270">
        <f t="shared" si="209"/>
        <v>0</v>
      </c>
      <c r="CU270">
        <f t="shared" si="210"/>
        <v>0</v>
      </c>
      <c r="CV270">
        <f t="shared" si="211"/>
        <v>0</v>
      </c>
      <c r="CW270">
        <f t="shared" si="212"/>
        <v>0</v>
      </c>
      <c r="CX270">
        <f t="shared" si="213"/>
        <v>0</v>
      </c>
      <c r="CY270">
        <f>S270*(BZ270/100)</f>
        <v>0</v>
      </c>
      <c r="CZ270">
        <f>S270*(CA270/100)</f>
        <v>0</v>
      </c>
      <c r="DC270" t="s">
        <v>3</v>
      </c>
      <c r="DD270" t="s">
        <v>3</v>
      </c>
      <c r="DE270" t="s">
        <v>3</v>
      </c>
      <c r="DF270" t="s">
        <v>3</v>
      </c>
      <c r="DG270" t="s">
        <v>3</v>
      </c>
      <c r="DH270" t="s">
        <v>3</v>
      </c>
      <c r="DI270" t="s">
        <v>3</v>
      </c>
      <c r="DJ270" t="s">
        <v>3</v>
      </c>
      <c r="DK270" t="s">
        <v>3</v>
      </c>
      <c r="DL270" t="s">
        <v>3</v>
      </c>
      <c r="DM270" t="s">
        <v>3</v>
      </c>
      <c r="DN270">
        <v>91</v>
      </c>
      <c r="DO270">
        <v>70</v>
      </c>
      <c r="DP270">
        <v>1</v>
      </c>
      <c r="DQ270">
        <v>1</v>
      </c>
      <c r="DU270">
        <v>1007</v>
      </c>
      <c r="DV270" t="s">
        <v>94</v>
      </c>
      <c r="DW270" t="s">
        <v>94</v>
      </c>
      <c r="DX270">
        <v>1</v>
      </c>
      <c r="DZ270" t="s">
        <v>3</v>
      </c>
      <c r="EA270" t="s">
        <v>3</v>
      </c>
      <c r="EB270" t="s">
        <v>3</v>
      </c>
      <c r="EC270" t="s">
        <v>3</v>
      </c>
      <c r="EE270">
        <v>126051527</v>
      </c>
      <c r="EF270">
        <v>30</v>
      </c>
      <c r="EG270" t="s">
        <v>23</v>
      </c>
      <c r="EH270">
        <v>0</v>
      </c>
      <c r="EI270" t="s">
        <v>3</v>
      </c>
      <c r="EJ270">
        <v>1</v>
      </c>
      <c r="EK270">
        <v>66</v>
      </c>
      <c r="EL270" t="s">
        <v>311</v>
      </c>
      <c r="EM270" t="s">
        <v>312</v>
      </c>
      <c r="EO270" t="s">
        <v>3</v>
      </c>
      <c r="EQ270">
        <v>0</v>
      </c>
      <c r="ER270">
        <v>481.69</v>
      </c>
      <c r="ES270">
        <v>481.69</v>
      </c>
      <c r="ET270">
        <v>0</v>
      </c>
      <c r="EU270">
        <v>0</v>
      </c>
      <c r="EV270">
        <v>0</v>
      </c>
      <c r="EW270">
        <v>0</v>
      </c>
      <c r="EX270">
        <v>0</v>
      </c>
      <c r="FQ270">
        <v>0</v>
      </c>
      <c r="FR270">
        <f t="shared" si="214"/>
        <v>0</v>
      </c>
      <c r="FS270">
        <v>0</v>
      </c>
      <c r="FX270">
        <v>91</v>
      </c>
      <c r="FY270">
        <v>70</v>
      </c>
      <c r="GA270" t="s">
        <v>3</v>
      </c>
      <c r="GD270">
        <v>0</v>
      </c>
      <c r="GF270">
        <v>202608499</v>
      </c>
      <c r="GG270">
        <v>2</v>
      </c>
      <c r="GH270">
        <v>1</v>
      </c>
      <c r="GI270">
        <v>2</v>
      </c>
      <c r="GJ270">
        <v>0</v>
      </c>
      <c r="GK270">
        <f>ROUND(R270*(S12)/100,2)</f>
        <v>0</v>
      </c>
      <c r="GL270">
        <f t="shared" si="215"/>
        <v>0</v>
      </c>
      <c r="GM270">
        <f t="shared" si="216"/>
        <v>313.45</v>
      </c>
      <c r="GN270">
        <f t="shared" si="217"/>
        <v>313.45</v>
      </c>
      <c r="GO270">
        <f t="shared" si="218"/>
        <v>0</v>
      </c>
      <c r="GP270">
        <f t="shared" si="219"/>
        <v>0</v>
      </c>
      <c r="GR270">
        <v>0</v>
      </c>
      <c r="GS270">
        <v>3</v>
      </c>
      <c r="GT270">
        <v>0</v>
      </c>
      <c r="GU270" t="s">
        <v>3</v>
      </c>
      <c r="GV270">
        <f t="shared" si="220"/>
        <v>0</v>
      </c>
      <c r="GW270">
        <v>1</v>
      </c>
      <c r="GX270">
        <f t="shared" si="221"/>
        <v>0</v>
      </c>
      <c r="HA270">
        <v>0</v>
      </c>
      <c r="HB270">
        <v>0</v>
      </c>
      <c r="HC270">
        <f t="shared" si="222"/>
        <v>0</v>
      </c>
      <c r="HE270" t="s">
        <v>3</v>
      </c>
      <c r="HF270" t="s">
        <v>3</v>
      </c>
      <c r="HM270" t="s">
        <v>3</v>
      </c>
      <c r="HN270" t="s">
        <v>3</v>
      </c>
      <c r="HO270" t="s">
        <v>3</v>
      </c>
      <c r="HP270" t="s">
        <v>3</v>
      </c>
      <c r="HQ270" t="s">
        <v>3</v>
      </c>
      <c r="IK270">
        <v>0</v>
      </c>
    </row>
    <row r="271" spans="1:255" x14ac:dyDescent="0.2">
      <c r="A271" s="2">
        <v>17</v>
      </c>
      <c r="B271" s="2">
        <v>1</v>
      </c>
      <c r="C271" s="2">
        <f>ROW(SmtRes!A252)</f>
        <v>252</v>
      </c>
      <c r="D271" s="2">
        <f>ROW(EtalonRes!A258)</f>
        <v>258</v>
      </c>
      <c r="E271" s="2" t="s">
        <v>322</v>
      </c>
      <c r="F271" s="2" t="s">
        <v>323</v>
      </c>
      <c r="G271" s="2" t="s">
        <v>324</v>
      </c>
      <c r="H271" s="2" t="s">
        <v>148</v>
      </c>
      <c r="I271" s="2">
        <v>0.42199999999999999</v>
      </c>
      <c r="J271" s="2">
        <v>0</v>
      </c>
      <c r="K271" s="2">
        <v>0.42199999999999999</v>
      </c>
      <c r="L271" s="2"/>
      <c r="M271" s="2"/>
      <c r="N271" s="2"/>
      <c r="O271" s="2">
        <f t="shared" si="192"/>
        <v>135.94</v>
      </c>
      <c r="P271" s="2">
        <f t="shared" si="193"/>
        <v>0</v>
      </c>
      <c r="Q271" s="2">
        <f t="shared" si="223"/>
        <v>0</v>
      </c>
      <c r="R271" s="2">
        <f t="shared" si="194"/>
        <v>0</v>
      </c>
      <c r="S271" s="2">
        <f t="shared" si="195"/>
        <v>135.94</v>
      </c>
      <c r="T271" s="2">
        <f t="shared" si="196"/>
        <v>0</v>
      </c>
      <c r="U271" s="2">
        <f t="shared" si="197"/>
        <v>12.482759999999999</v>
      </c>
      <c r="V271" s="2">
        <f t="shared" si="198"/>
        <v>0</v>
      </c>
      <c r="W271" s="2">
        <f t="shared" si="199"/>
        <v>0</v>
      </c>
      <c r="X271" s="2">
        <f t="shared" si="200"/>
        <v>135.94</v>
      </c>
      <c r="Y271" s="2">
        <f t="shared" si="201"/>
        <v>87</v>
      </c>
      <c r="Z271" s="2"/>
      <c r="AA271" s="2">
        <v>129761636</v>
      </c>
      <c r="AB271" s="2">
        <f t="shared" si="202"/>
        <v>322.13</v>
      </c>
      <c r="AC271" s="2">
        <f t="shared" si="203"/>
        <v>0</v>
      </c>
      <c r="AD271" s="2">
        <f t="shared" si="224"/>
        <v>0</v>
      </c>
      <c r="AE271" s="2">
        <f t="shared" si="225"/>
        <v>0</v>
      </c>
      <c r="AF271" s="2">
        <f t="shared" si="225"/>
        <v>322.13</v>
      </c>
      <c r="AG271" s="2">
        <f t="shared" si="204"/>
        <v>0</v>
      </c>
      <c r="AH271" s="2">
        <f t="shared" si="226"/>
        <v>29.58</v>
      </c>
      <c r="AI271" s="2">
        <f t="shared" si="226"/>
        <v>0</v>
      </c>
      <c r="AJ271" s="2">
        <f t="shared" si="205"/>
        <v>0</v>
      </c>
      <c r="AK271" s="2">
        <v>322.13</v>
      </c>
      <c r="AL271" s="2">
        <v>0</v>
      </c>
      <c r="AM271" s="2">
        <v>0</v>
      </c>
      <c r="AN271" s="2">
        <v>0</v>
      </c>
      <c r="AO271" s="2">
        <v>322.13</v>
      </c>
      <c r="AP271" s="2">
        <v>0</v>
      </c>
      <c r="AQ271" s="2">
        <v>29.58</v>
      </c>
      <c r="AR271" s="2">
        <v>0</v>
      </c>
      <c r="AS271" s="2">
        <v>0</v>
      </c>
      <c r="AT271" s="2">
        <v>100</v>
      </c>
      <c r="AU271" s="2">
        <v>64</v>
      </c>
      <c r="AV271" s="2">
        <v>1</v>
      </c>
      <c r="AW271" s="2">
        <v>1</v>
      </c>
      <c r="AX271" s="2"/>
      <c r="AY271" s="2"/>
      <c r="AZ271" s="2">
        <v>1</v>
      </c>
      <c r="BA271" s="2">
        <v>1</v>
      </c>
      <c r="BB271" s="2">
        <v>1</v>
      </c>
      <c r="BC271" s="2">
        <v>1</v>
      </c>
      <c r="BD271" s="2" t="s">
        <v>3</v>
      </c>
      <c r="BE271" s="2" t="s">
        <v>3</v>
      </c>
      <c r="BF271" s="2" t="s">
        <v>3</v>
      </c>
      <c r="BG271" s="2" t="s">
        <v>3</v>
      </c>
      <c r="BH271" s="2">
        <v>0</v>
      </c>
      <c r="BI271" s="2">
        <v>1</v>
      </c>
      <c r="BJ271" s="2" t="s">
        <v>325</v>
      </c>
      <c r="BK271" s="2"/>
      <c r="BL271" s="2"/>
      <c r="BM271" s="2">
        <v>454</v>
      </c>
      <c r="BN271" s="2">
        <v>0</v>
      </c>
      <c r="BO271" s="2" t="s">
        <v>3</v>
      </c>
      <c r="BP271" s="2">
        <v>0</v>
      </c>
      <c r="BQ271" s="2">
        <v>60</v>
      </c>
      <c r="BR271" s="2">
        <v>0</v>
      </c>
      <c r="BS271" s="2">
        <v>1</v>
      </c>
      <c r="BT271" s="2">
        <v>1</v>
      </c>
      <c r="BU271" s="2">
        <v>1</v>
      </c>
      <c r="BV271" s="2">
        <v>1</v>
      </c>
      <c r="BW271" s="2">
        <v>1</v>
      </c>
      <c r="BX271" s="2">
        <v>1</v>
      </c>
      <c r="BY271" s="2" t="s">
        <v>3</v>
      </c>
      <c r="BZ271" s="2">
        <v>100</v>
      </c>
      <c r="CA271" s="2">
        <v>64</v>
      </c>
      <c r="CB271" s="2" t="s">
        <v>3</v>
      </c>
      <c r="CC271" s="2"/>
      <c r="CD271" s="2"/>
      <c r="CE271" s="2">
        <v>30</v>
      </c>
      <c r="CF271" s="2">
        <v>0</v>
      </c>
      <c r="CG271" s="2">
        <v>0</v>
      </c>
      <c r="CH271" s="2"/>
      <c r="CI271" s="2"/>
      <c r="CJ271" s="2"/>
      <c r="CK271" s="2"/>
      <c r="CL271" s="2"/>
      <c r="CM271" s="2">
        <v>0</v>
      </c>
      <c r="CN271" s="2" t="s">
        <v>3</v>
      </c>
      <c r="CO271" s="2">
        <v>0</v>
      </c>
      <c r="CP271" s="2">
        <f t="shared" si="206"/>
        <v>135.94</v>
      </c>
      <c r="CQ271" s="2">
        <f t="shared" si="207"/>
        <v>0</v>
      </c>
      <c r="CR271" s="2">
        <f t="shared" si="227"/>
        <v>0</v>
      </c>
      <c r="CS271" s="2">
        <f t="shared" si="208"/>
        <v>0</v>
      </c>
      <c r="CT271" s="2">
        <f t="shared" si="209"/>
        <v>322.13</v>
      </c>
      <c r="CU271" s="2">
        <f t="shared" si="210"/>
        <v>0</v>
      </c>
      <c r="CV271" s="2">
        <f t="shared" si="211"/>
        <v>29.58</v>
      </c>
      <c r="CW271" s="2">
        <f t="shared" si="212"/>
        <v>0</v>
      </c>
      <c r="CX271" s="2">
        <f t="shared" si="213"/>
        <v>0</v>
      </c>
      <c r="CY271" s="2">
        <f>((S271*BZ271)/100)</f>
        <v>135.94</v>
      </c>
      <c r="CZ271" s="2">
        <f>((S271*CA271)/100)</f>
        <v>87.001599999999996</v>
      </c>
      <c r="DA271" s="2"/>
      <c r="DB271" s="2"/>
      <c r="DC271" s="2" t="s">
        <v>3</v>
      </c>
      <c r="DD271" s="2" t="s">
        <v>3</v>
      </c>
      <c r="DE271" s="2" t="s">
        <v>3</v>
      </c>
      <c r="DF271" s="2" t="s">
        <v>3</v>
      </c>
      <c r="DG271" s="2" t="s">
        <v>3</v>
      </c>
      <c r="DH271" s="2" t="s">
        <v>3</v>
      </c>
      <c r="DI271" s="2" t="s">
        <v>3</v>
      </c>
      <c r="DJ271" s="2" t="s">
        <v>3</v>
      </c>
      <c r="DK271" s="2" t="s">
        <v>3</v>
      </c>
      <c r="DL271" s="2" t="s">
        <v>3</v>
      </c>
      <c r="DM271" s="2" t="s">
        <v>3</v>
      </c>
      <c r="DN271" s="2">
        <v>0</v>
      </c>
      <c r="DO271" s="2">
        <v>0</v>
      </c>
      <c r="DP271" s="2">
        <v>1</v>
      </c>
      <c r="DQ271" s="2">
        <v>1</v>
      </c>
      <c r="DR271" s="2"/>
      <c r="DS271" s="2"/>
      <c r="DT271" s="2"/>
      <c r="DU271" s="2">
        <v>1005</v>
      </c>
      <c r="DV271" s="2" t="s">
        <v>148</v>
      </c>
      <c r="DW271" s="2" t="s">
        <v>148</v>
      </c>
      <c r="DX271" s="2">
        <v>100</v>
      </c>
      <c r="DY271" s="2"/>
      <c r="DZ271" s="2" t="s">
        <v>3</v>
      </c>
      <c r="EA271" s="2" t="s">
        <v>3</v>
      </c>
      <c r="EB271" s="2" t="s">
        <v>3</v>
      </c>
      <c r="EC271" s="2" t="s">
        <v>3</v>
      </c>
      <c r="ED271" s="2"/>
      <c r="EE271" s="2">
        <v>126051915</v>
      </c>
      <c r="EF271" s="2">
        <v>60</v>
      </c>
      <c r="EG271" s="2" t="s">
        <v>150</v>
      </c>
      <c r="EH271" s="2">
        <v>0</v>
      </c>
      <c r="EI271" s="2" t="s">
        <v>3</v>
      </c>
      <c r="EJ271" s="2">
        <v>1</v>
      </c>
      <c r="EK271" s="2">
        <v>454</v>
      </c>
      <c r="EL271" s="2" t="s">
        <v>326</v>
      </c>
      <c r="EM271" s="2" t="s">
        <v>327</v>
      </c>
      <c r="EN271" s="2"/>
      <c r="EO271" s="2" t="s">
        <v>3</v>
      </c>
      <c r="EP271" s="2"/>
      <c r="EQ271" s="2">
        <v>131072</v>
      </c>
      <c r="ER271" s="2">
        <v>322.13</v>
      </c>
      <c r="ES271" s="2">
        <v>0</v>
      </c>
      <c r="ET271" s="2">
        <v>0</v>
      </c>
      <c r="EU271" s="2">
        <v>0</v>
      </c>
      <c r="EV271" s="2">
        <v>322.13</v>
      </c>
      <c r="EW271" s="2">
        <v>29.58</v>
      </c>
      <c r="EX271" s="2">
        <v>0</v>
      </c>
      <c r="EY271" s="2">
        <v>0</v>
      </c>
      <c r="EZ271" s="2"/>
      <c r="FA271" s="2"/>
      <c r="FB271" s="2"/>
      <c r="FC271" s="2"/>
      <c r="FD271" s="2"/>
      <c r="FE271" s="2"/>
      <c r="FF271" s="2"/>
      <c r="FG271" s="2"/>
      <c r="FH271" s="2"/>
      <c r="FI271" s="2"/>
      <c r="FJ271" s="2"/>
      <c r="FK271" s="2"/>
      <c r="FL271" s="2"/>
      <c r="FM271" s="2"/>
      <c r="FN271" s="2"/>
      <c r="FO271" s="2"/>
      <c r="FP271" s="2"/>
      <c r="FQ271" s="2">
        <v>0</v>
      </c>
      <c r="FR271" s="2">
        <f t="shared" si="214"/>
        <v>0</v>
      </c>
      <c r="FS271" s="2">
        <v>0</v>
      </c>
      <c r="FT271" s="2"/>
      <c r="FU271" s="2"/>
      <c r="FV271" s="2"/>
      <c r="FW271" s="2"/>
      <c r="FX271" s="2">
        <v>100</v>
      </c>
      <c r="FY271" s="2">
        <v>64</v>
      </c>
      <c r="FZ271" s="2"/>
      <c r="GA271" s="2" t="s">
        <v>3</v>
      </c>
      <c r="GB271" s="2"/>
      <c r="GC271" s="2"/>
      <c r="GD271" s="2">
        <v>0</v>
      </c>
      <c r="GE271" s="2"/>
      <c r="GF271" s="2">
        <v>343634805</v>
      </c>
      <c r="GG271" s="2">
        <v>2</v>
      </c>
      <c r="GH271" s="2">
        <v>1</v>
      </c>
      <c r="GI271" s="2">
        <v>-2</v>
      </c>
      <c r="GJ271" s="2">
        <v>0</v>
      </c>
      <c r="GK271" s="2">
        <f>ROUND(R271*(R12)/100,2)</f>
        <v>0</v>
      </c>
      <c r="GL271" s="2">
        <f t="shared" si="215"/>
        <v>0</v>
      </c>
      <c r="GM271" s="2">
        <f t="shared" si="216"/>
        <v>358.88</v>
      </c>
      <c r="GN271" s="2">
        <f t="shared" si="217"/>
        <v>358.88</v>
      </c>
      <c r="GO271" s="2">
        <f t="shared" si="218"/>
        <v>0</v>
      </c>
      <c r="GP271" s="2">
        <f t="shared" si="219"/>
        <v>0</v>
      </c>
      <c r="GQ271" s="2"/>
      <c r="GR271" s="2">
        <v>0</v>
      </c>
      <c r="GS271" s="2">
        <v>0</v>
      </c>
      <c r="GT271" s="2">
        <v>0</v>
      </c>
      <c r="GU271" s="2" t="s">
        <v>3</v>
      </c>
      <c r="GV271" s="2">
        <f t="shared" si="220"/>
        <v>0</v>
      </c>
      <c r="GW271" s="2">
        <v>1</v>
      </c>
      <c r="GX271" s="2">
        <f t="shared" si="221"/>
        <v>0</v>
      </c>
      <c r="GY271" s="2"/>
      <c r="GZ271" s="2"/>
      <c r="HA271" s="2">
        <v>0</v>
      </c>
      <c r="HB271" s="2">
        <v>0</v>
      </c>
      <c r="HC271" s="2">
        <f t="shared" si="222"/>
        <v>0</v>
      </c>
      <c r="HD271" s="2"/>
      <c r="HE271" s="2" t="s">
        <v>3</v>
      </c>
      <c r="HF271" s="2" t="s">
        <v>3</v>
      </c>
      <c r="HG271" s="2"/>
      <c r="HH271" s="2"/>
      <c r="HI271" s="2"/>
      <c r="HJ271" s="2"/>
      <c r="HK271" s="2"/>
      <c r="HL271" s="2"/>
      <c r="HM271" s="2" t="s">
        <v>3</v>
      </c>
      <c r="HN271" s="2" t="s">
        <v>3</v>
      </c>
      <c r="HO271" s="2" t="s">
        <v>3</v>
      </c>
      <c r="HP271" s="2" t="s">
        <v>3</v>
      </c>
      <c r="HQ271" s="2" t="s">
        <v>3</v>
      </c>
      <c r="HR271" s="2"/>
      <c r="HS271" s="2"/>
      <c r="HT271" s="2"/>
      <c r="HU271" s="2"/>
      <c r="HV271" s="2"/>
      <c r="HW271" s="2"/>
      <c r="HX271" s="2"/>
      <c r="HY271" s="2"/>
      <c r="HZ271" s="2"/>
      <c r="IA271" s="2"/>
      <c r="IB271" s="2"/>
      <c r="IC271" s="2"/>
      <c r="ID271" s="2"/>
      <c r="IE271" s="2"/>
      <c r="IF271" s="2"/>
      <c r="IG271" s="2"/>
      <c r="IH271" s="2"/>
      <c r="II271" s="2"/>
      <c r="IJ271" s="2"/>
      <c r="IK271" s="2">
        <v>0</v>
      </c>
      <c r="IL271" s="2"/>
      <c r="IM271" s="2"/>
      <c r="IN271" s="2"/>
      <c r="IO271" s="2"/>
      <c r="IP271" s="2"/>
      <c r="IQ271" s="2"/>
      <c r="IR271" s="2"/>
      <c r="IS271" s="2"/>
      <c r="IT271" s="2"/>
      <c r="IU271" s="2"/>
    </row>
    <row r="272" spans="1:255" x14ac:dyDescent="0.2">
      <c r="A272">
        <v>17</v>
      </c>
      <c r="B272">
        <v>1</v>
      </c>
      <c r="C272">
        <f>ROW(SmtRes!A254)</f>
        <v>254</v>
      </c>
      <c r="D272">
        <f>ROW(EtalonRes!A260)</f>
        <v>260</v>
      </c>
      <c r="E272" t="s">
        <v>322</v>
      </c>
      <c r="F272" t="s">
        <v>323</v>
      </c>
      <c r="G272" t="s">
        <v>324</v>
      </c>
      <c r="H272" t="s">
        <v>148</v>
      </c>
      <c r="I272">
        <v>0.42199999999999999</v>
      </c>
      <c r="J272">
        <v>0</v>
      </c>
      <c r="K272">
        <v>0.42199999999999999</v>
      </c>
      <c r="O272">
        <f t="shared" si="192"/>
        <v>3946.34</v>
      </c>
      <c r="P272">
        <f t="shared" si="193"/>
        <v>0</v>
      </c>
      <c r="Q272">
        <f t="shared" si="223"/>
        <v>0</v>
      </c>
      <c r="R272">
        <f t="shared" si="194"/>
        <v>0</v>
      </c>
      <c r="S272">
        <f t="shared" si="195"/>
        <v>3946.34</v>
      </c>
      <c r="T272">
        <f t="shared" si="196"/>
        <v>0</v>
      </c>
      <c r="U272">
        <f t="shared" si="197"/>
        <v>12.482759999999999</v>
      </c>
      <c r="V272">
        <f t="shared" si="198"/>
        <v>0</v>
      </c>
      <c r="W272">
        <f t="shared" si="199"/>
        <v>0</v>
      </c>
      <c r="X272">
        <f t="shared" si="200"/>
        <v>3275.46</v>
      </c>
      <c r="Y272">
        <f t="shared" si="201"/>
        <v>1618</v>
      </c>
      <c r="AA272">
        <v>129761633</v>
      </c>
      <c r="AB272">
        <f t="shared" si="202"/>
        <v>322.13</v>
      </c>
      <c r="AC272">
        <f t="shared" si="203"/>
        <v>0</v>
      </c>
      <c r="AD272">
        <f t="shared" si="224"/>
        <v>0</v>
      </c>
      <c r="AE272">
        <f t="shared" si="225"/>
        <v>0</v>
      </c>
      <c r="AF272">
        <f t="shared" si="225"/>
        <v>322.13</v>
      </c>
      <c r="AG272">
        <f t="shared" si="204"/>
        <v>0</v>
      </c>
      <c r="AH272">
        <f t="shared" si="226"/>
        <v>29.58</v>
      </c>
      <c r="AI272">
        <f t="shared" si="226"/>
        <v>0</v>
      </c>
      <c r="AJ272">
        <f t="shared" si="205"/>
        <v>0</v>
      </c>
      <c r="AK272">
        <v>322.13</v>
      </c>
      <c r="AL272">
        <v>0</v>
      </c>
      <c r="AM272">
        <v>0</v>
      </c>
      <c r="AN272">
        <v>0</v>
      </c>
      <c r="AO272">
        <v>322.13</v>
      </c>
      <c r="AP272">
        <v>0</v>
      </c>
      <c r="AQ272">
        <v>29.58</v>
      </c>
      <c r="AR272">
        <v>0</v>
      </c>
      <c r="AS272">
        <v>0</v>
      </c>
      <c r="AT272">
        <v>83</v>
      </c>
      <c r="AU272">
        <v>41</v>
      </c>
      <c r="AV272">
        <v>1</v>
      </c>
      <c r="AW272">
        <v>1</v>
      </c>
      <c r="AZ272">
        <v>1</v>
      </c>
      <c r="BA272">
        <v>29.03</v>
      </c>
      <c r="BB272">
        <v>1</v>
      </c>
      <c r="BC272">
        <v>1</v>
      </c>
      <c r="BD272" t="s">
        <v>3</v>
      </c>
      <c r="BE272" t="s">
        <v>3</v>
      </c>
      <c r="BF272" t="s">
        <v>3</v>
      </c>
      <c r="BG272" t="s">
        <v>3</v>
      </c>
      <c r="BH272">
        <v>0</v>
      </c>
      <c r="BI272">
        <v>1</v>
      </c>
      <c r="BJ272" t="s">
        <v>325</v>
      </c>
      <c r="BM272">
        <v>454</v>
      </c>
      <c r="BN272">
        <v>0</v>
      </c>
      <c r="BO272" t="s">
        <v>323</v>
      </c>
      <c r="BP272">
        <v>1</v>
      </c>
      <c r="BQ272">
        <v>60</v>
      </c>
      <c r="BR272">
        <v>0</v>
      </c>
      <c r="BS272">
        <v>29.03</v>
      </c>
      <c r="BT272">
        <v>1</v>
      </c>
      <c r="BU272">
        <v>1</v>
      </c>
      <c r="BV272">
        <v>1</v>
      </c>
      <c r="BW272">
        <v>1</v>
      </c>
      <c r="BX272">
        <v>1</v>
      </c>
      <c r="BY272" t="s">
        <v>3</v>
      </c>
      <c r="BZ272">
        <v>83</v>
      </c>
      <c r="CA272">
        <v>41</v>
      </c>
      <c r="CB272" t="s">
        <v>3</v>
      </c>
      <c r="CE272">
        <v>30</v>
      </c>
      <c r="CF272">
        <v>0</v>
      </c>
      <c r="CG272">
        <v>0</v>
      </c>
      <c r="CM272">
        <v>0</v>
      </c>
      <c r="CN272" t="s">
        <v>3</v>
      </c>
      <c r="CO272">
        <v>0</v>
      </c>
      <c r="CP272">
        <f t="shared" si="206"/>
        <v>3946.34</v>
      </c>
      <c r="CQ272">
        <f t="shared" si="207"/>
        <v>0</v>
      </c>
      <c r="CR272">
        <f t="shared" si="227"/>
        <v>0</v>
      </c>
      <c r="CS272">
        <f t="shared" si="208"/>
        <v>0</v>
      </c>
      <c r="CT272">
        <f t="shared" si="209"/>
        <v>9351.43</v>
      </c>
      <c r="CU272">
        <f t="shared" si="210"/>
        <v>0</v>
      </c>
      <c r="CV272">
        <f t="shared" si="211"/>
        <v>29.58</v>
      </c>
      <c r="CW272">
        <f t="shared" si="212"/>
        <v>0</v>
      </c>
      <c r="CX272">
        <f t="shared" si="213"/>
        <v>0</v>
      </c>
      <c r="CY272">
        <f>S272*(BZ272/100)</f>
        <v>3275.4621999999999</v>
      </c>
      <c r="CZ272">
        <f>S272*(CA272/100)</f>
        <v>1617.9993999999999</v>
      </c>
      <c r="DC272" t="s">
        <v>3</v>
      </c>
      <c r="DD272" t="s">
        <v>3</v>
      </c>
      <c r="DE272" t="s">
        <v>3</v>
      </c>
      <c r="DF272" t="s">
        <v>3</v>
      </c>
      <c r="DG272" t="s">
        <v>3</v>
      </c>
      <c r="DH272" t="s">
        <v>3</v>
      </c>
      <c r="DI272" t="s">
        <v>3</v>
      </c>
      <c r="DJ272" t="s">
        <v>3</v>
      </c>
      <c r="DK272" t="s">
        <v>3</v>
      </c>
      <c r="DL272" t="s">
        <v>3</v>
      </c>
      <c r="DM272" t="s">
        <v>3</v>
      </c>
      <c r="DN272">
        <v>100</v>
      </c>
      <c r="DO272">
        <v>64</v>
      </c>
      <c r="DP272">
        <v>1</v>
      </c>
      <c r="DQ272">
        <v>1</v>
      </c>
      <c r="DU272">
        <v>1005</v>
      </c>
      <c r="DV272" t="s">
        <v>148</v>
      </c>
      <c r="DW272" t="s">
        <v>148</v>
      </c>
      <c r="DX272">
        <v>100</v>
      </c>
      <c r="DZ272" t="s">
        <v>3</v>
      </c>
      <c r="EA272" t="s">
        <v>3</v>
      </c>
      <c r="EB272" t="s">
        <v>3</v>
      </c>
      <c r="EC272" t="s">
        <v>3</v>
      </c>
      <c r="EE272">
        <v>126051915</v>
      </c>
      <c r="EF272">
        <v>60</v>
      </c>
      <c r="EG272" t="s">
        <v>150</v>
      </c>
      <c r="EH272">
        <v>0</v>
      </c>
      <c r="EI272" t="s">
        <v>3</v>
      </c>
      <c r="EJ272">
        <v>1</v>
      </c>
      <c r="EK272">
        <v>454</v>
      </c>
      <c r="EL272" t="s">
        <v>326</v>
      </c>
      <c r="EM272" t="s">
        <v>327</v>
      </c>
      <c r="EO272" t="s">
        <v>3</v>
      </c>
      <c r="EQ272">
        <v>131072</v>
      </c>
      <c r="ER272">
        <v>322.13</v>
      </c>
      <c r="ES272">
        <v>0</v>
      </c>
      <c r="ET272">
        <v>0</v>
      </c>
      <c r="EU272">
        <v>0</v>
      </c>
      <c r="EV272">
        <v>322.13</v>
      </c>
      <c r="EW272">
        <v>29.58</v>
      </c>
      <c r="EX272">
        <v>0</v>
      </c>
      <c r="EY272">
        <v>0</v>
      </c>
      <c r="FQ272">
        <v>0</v>
      </c>
      <c r="FR272">
        <f t="shared" si="214"/>
        <v>0</v>
      </c>
      <c r="FS272">
        <v>0</v>
      </c>
      <c r="FX272">
        <v>100</v>
      </c>
      <c r="FY272">
        <v>64</v>
      </c>
      <c r="GA272" t="s">
        <v>3</v>
      </c>
      <c r="GD272">
        <v>0</v>
      </c>
      <c r="GF272">
        <v>343634805</v>
      </c>
      <c r="GG272">
        <v>2</v>
      </c>
      <c r="GH272">
        <v>1</v>
      </c>
      <c r="GI272">
        <v>2</v>
      </c>
      <c r="GJ272">
        <v>0</v>
      </c>
      <c r="GK272">
        <f>ROUND(R272*(S12)/100,2)</f>
        <v>0</v>
      </c>
      <c r="GL272">
        <f t="shared" si="215"/>
        <v>0</v>
      </c>
      <c r="GM272">
        <f t="shared" si="216"/>
        <v>8839.7999999999993</v>
      </c>
      <c r="GN272">
        <f t="shared" si="217"/>
        <v>8839.7999999999993</v>
      </c>
      <c r="GO272">
        <f t="shared" si="218"/>
        <v>0</v>
      </c>
      <c r="GP272">
        <f t="shared" si="219"/>
        <v>0</v>
      </c>
      <c r="GR272">
        <v>0</v>
      </c>
      <c r="GS272">
        <v>3</v>
      </c>
      <c r="GT272">
        <v>0</v>
      </c>
      <c r="GU272" t="s">
        <v>3</v>
      </c>
      <c r="GV272">
        <f t="shared" si="220"/>
        <v>0</v>
      </c>
      <c r="GW272">
        <v>1</v>
      </c>
      <c r="GX272">
        <f t="shared" si="221"/>
        <v>0</v>
      </c>
      <c r="HA272">
        <v>0</v>
      </c>
      <c r="HB272">
        <v>0</v>
      </c>
      <c r="HC272">
        <f t="shared" si="222"/>
        <v>0</v>
      </c>
      <c r="HE272" t="s">
        <v>3</v>
      </c>
      <c r="HF272" t="s">
        <v>3</v>
      </c>
      <c r="HM272" t="s">
        <v>3</v>
      </c>
      <c r="HN272" t="s">
        <v>3</v>
      </c>
      <c r="HO272" t="s">
        <v>3</v>
      </c>
      <c r="HP272" t="s">
        <v>3</v>
      </c>
      <c r="HQ272" t="s">
        <v>3</v>
      </c>
      <c r="IK272">
        <v>0</v>
      </c>
    </row>
    <row r="273" spans="1:255" x14ac:dyDescent="0.2">
      <c r="A273" s="2">
        <v>18</v>
      </c>
      <c r="B273" s="2">
        <v>1</v>
      </c>
      <c r="C273" s="2">
        <v>252</v>
      </c>
      <c r="D273" s="2"/>
      <c r="E273" s="2" t="s">
        <v>328</v>
      </c>
      <c r="F273" s="2" t="s">
        <v>319</v>
      </c>
      <c r="G273" s="2" t="s">
        <v>320</v>
      </c>
      <c r="H273" s="2" t="s">
        <v>94</v>
      </c>
      <c r="I273" s="2">
        <f>I271*J273</f>
        <v>0.22366</v>
      </c>
      <c r="J273" s="2">
        <v>0.53</v>
      </c>
      <c r="K273" s="2">
        <v>0.53</v>
      </c>
      <c r="L273" s="2"/>
      <c r="M273" s="2"/>
      <c r="N273" s="2"/>
      <c r="O273" s="2">
        <f t="shared" si="192"/>
        <v>107.73</v>
      </c>
      <c r="P273" s="2">
        <f t="shared" si="193"/>
        <v>107.73</v>
      </c>
      <c r="Q273" s="2">
        <f t="shared" si="223"/>
        <v>0</v>
      </c>
      <c r="R273" s="2">
        <f t="shared" si="194"/>
        <v>0</v>
      </c>
      <c r="S273" s="2">
        <f t="shared" si="195"/>
        <v>0</v>
      </c>
      <c r="T273" s="2">
        <f t="shared" si="196"/>
        <v>0</v>
      </c>
      <c r="U273" s="2">
        <f t="shared" si="197"/>
        <v>0</v>
      </c>
      <c r="V273" s="2">
        <f t="shared" si="198"/>
        <v>0</v>
      </c>
      <c r="W273" s="2">
        <f t="shared" si="199"/>
        <v>0</v>
      </c>
      <c r="X273" s="2">
        <f t="shared" si="200"/>
        <v>0</v>
      </c>
      <c r="Y273" s="2">
        <f t="shared" si="201"/>
        <v>0</v>
      </c>
      <c r="Z273" s="2"/>
      <c r="AA273" s="2">
        <v>129761636</v>
      </c>
      <c r="AB273" s="2">
        <f t="shared" si="202"/>
        <v>481.69</v>
      </c>
      <c r="AC273" s="2">
        <f t="shared" si="203"/>
        <v>481.69</v>
      </c>
      <c r="AD273" s="2">
        <f t="shared" si="224"/>
        <v>0</v>
      </c>
      <c r="AE273" s="2">
        <f t="shared" si="225"/>
        <v>0</v>
      </c>
      <c r="AF273" s="2">
        <f t="shared" si="225"/>
        <v>0</v>
      </c>
      <c r="AG273" s="2">
        <f t="shared" si="204"/>
        <v>0</v>
      </c>
      <c r="AH273" s="2">
        <f t="shared" si="226"/>
        <v>0</v>
      </c>
      <c r="AI273" s="2">
        <f t="shared" si="226"/>
        <v>0</v>
      </c>
      <c r="AJ273" s="2">
        <f t="shared" si="205"/>
        <v>0</v>
      </c>
      <c r="AK273" s="2">
        <v>481.69</v>
      </c>
      <c r="AL273" s="2">
        <v>481.69</v>
      </c>
      <c r="AM273" s="2">
        <v>0</v>
      </c>
      <c r="AN273" s="2">
        <v>0</v>
      </c>
      <c r="AO273" s="2">
        <v>0</v>
      </c>
      <c r="AP273" s="2">
        <v>0</v>
      </c>
      <c r="AQ273" s="2">
        <v>0</v>
      </c>
      <c r="AR273" s="2">
        <v>0</v>
      </c>
      <c r="AS273" s="2">
        <v>0</v>
      </c>
      <c r="AT273" s="2">
        <v>100</v>
      </c>
      <c r="AU273" s="2">
        <v>64</v>
      </c>
      <c r="AV273" s="2">
        <v>1</v>
      </c>
      <c r="AW273" s="2">
        <v>1</v>
      </c>
      <c r="AX273" s="2"/>
      <c r="AY273" s="2"/>
      <c r="AZ273" s="2">
        <v>1</v>
      </c>
      <c r="BA273" s="2">
        <v>1</v>
      </c>
      <c r="BB273" s="2">
        <v>1</v>
      </c>
      <c r="BC273" s="2">
        <v>1</v>
      </c>
      <c r="BD273" s="2" t="s">
        <v>3</v>
      </c>
      <c r="BE273" s="2" t="s">
        <v>3</v>
      </c>
      <c r="BF273" s="2" t="s">
        <v>3</v>
      </c>
      <c r="BG273" s="2" t="s">
        <v>3</v>
      </c>
      <c r="BH273" s="2">
        <v>3</v>
      </c>
      <c r="BI273" s="2">
        <v>1</v>
      </c>
      <c r="BJ273" s="2" t="s">
        <v>321</v>
      </c>
      <c r="BK273" s="2"/>
      <c r="BL273" s="2"/>
      <c r="BM273" s="2">
        <v>454</v>
      </c>
      <c r="BN273" s="2">
        <v>0</v>
      </c>
      <c r="BO273" s="2" t="s">
        <v>3</v>
      </c>
      <c r="BP273" s="2">
        <v>0</v>
      </c>
      <c r="BQ273" s="2">
        <v>60</v>
      </c>
      <c r="BR273" s="2">
        <v>0</v>
      </c>
      <c r="BS273" s="2">
        <v>1</v>
      </c>
      <c r="BT273" s="2">
        <v>1</v>
      </c>
      <c r="BU273" s="2">
        <v>1</v>
      </c>
      <c r="BV273" s="2">
        <v>1</v>
      </c>
      <c r="BW273" s="2">
        <v>1</v>
      </c>
      <c r="BX273" s="2">
        <v>1</v>
      </c>
      <c r="BY273" s="2" t="s">
        <v>3</v>
      </c>
      <c r="BZ273" s="2">
        <v>100</v>
      </c>
      <c r="CA273" s="2">
        <v>64</v>
      </c>
      <c r="CB273" s="2" t="s">
        <v>3</v>
      </c>
      <c r="CC273" s="2"/>
      <c r="CD273" s="2"/>
      <c r="CE273" s="2">
        <v>30</v>
      </c>
      <c r="CF273" s="2">
        <v>0</v>
      </c>
      <c r="CG273" s="2">
        <v>0</v>
      </c>
      <c r="CH273" s="2"/>
      <c r="CI273" s="2"/>
      <c r="CJ273" s="2"/>
      <c r="CK273" s="2"/>
      <c r="CL273" s="2"/>
      <c r="CM273" s="2">
        <v>0</v>
      </c>
      <c r="CN273" s="2" t="s">
        <v>3</v>
      </c>
      <c r="CO273" s="2">
        <v>0</v>
      </c>
      <c r="CP273" s="2">
        <f t="shared" si="206"/>
        <v>107.73</v>
      </c>
      <c r="CQ273" s="2">
        <f t="shared" si="207"/>
        <v>481.69</v>
      </c>
      <c r="CR273" s="2">
        <f t="shared" si="227"/>
        <v>0</v>
      </c>
      <c r="CS273" s="2">
        <f t="shared" si="208"/>
        <v>0</v>
      </c>
      <c r="CT273" s="2">
        <f t="shared" si="209"/>
        <v>0</v>
      </c>
      <c r="CU273" s="2">
        <f t="shared" si="210"/>
        <v>0</v>
      </c>
      <c r="CV273" s="2">
        <f t="shared" si="211"/>
        <v>0</v>
      </c>
      <c r="CW273" s="2">
        <f t="shared" si="212"/>
        <v>0</v>
      </c>
      <c r="CX273" s="2">
        <f t="shared" si="213"/>
        <v>0</v>
      </c>
      <c r="CY273" s="2">
        <f>((S273*BZ273)/100)</f>
        <v>0</v>
      </c>
      <c r="CZ273" s="2">
        <f>((S273*CA273)/100)</f>
        <v>0</v>
      </c>
      <c r="DA273" s="2"/>
      <c r="DB273" s="2"/>
      <c r="DC273" s="2" t="s">
        <v>3</v>
      </c>
      <c r="DD273" s="2" t="s">
        <v>3</v>
      </c>
      <c r="DE273" s="2" t="s">
        <v>3</v>
      </c>
      <c r="DF273" s="2" t="s">
        <v>3</v>
      </c>
      <c r="DG273" s="2" t="s">
        <v>3</v>
      </c>
      <c r="DH273" s="2" t="s">
        <v>3</v>
      </c>
      <c r="DI273" s="2" t="s">
        <v>3</v>
      </c>
      <c r="DJ273" s="2" t="s">
        <v>3</v>
      </c>
      <c r="DK273" s="2" t="s">
        <v>3</v>
      </c>
      <c r="DL273" s="2" t="s">
        <v>3</v>
      </c>
      <c r="DM273" s="2" t="s">
        <v>3</v>
      </c>
      <c r="DN273" s="2">
        <v>0</v>
      </c>
      <c r="DO273" s="2">
        <v>0</v>
      </c>
      <c r="DP273" s="2">
        <v>1</v>
      </c>
      <c r="DQ273" s="2">
        <v>1</v>
      </c>
      <c r="DR273" s="2"/>
      <c r="DS273" s="2"/>
      <c r="DT273" s="2"/>
      <c r="DU273" s="2">
        <v>1007</v>
      </c>
      <c r="DV273" s="2" t="s">
        <v>94</v>
      </c>
      <c r="DW273" s="2" t="s">
        <v>94</v>
      </c>
      <c r="DX273" s="2">
        <v>1</v>
      </c>
      <c r="DY273" s="2"/>
      <c r="DZ273" s="2" t="s">
        <v>3</v>
      </c>
      <c r="EA273" s="2" t="s">
        <v>3</v>
      </c>
      <c r="EB273" s="2" t="s">
        <v>3</v>
      </c>
      <c r="EC273" s="2" t="s">
        <v>3</v>
      </c>
      <c r="ED273" s="2"/>
      <c r="EE273" s="2">
        <v>126051915</v>
      </c>
      <c r="EF273" s="2">
        <v>60</v>
      </c>
      <c r="EG273" s="2" t="s">
        <v>150</v>
      </c>
      <c r="EH273" s="2">
        <v>0</v>
      </c>
      <c r="EI273" s="2" t="s">
        <v>3</v>
      </c>
      <c r="EJ273" s="2">
        <v>1</v>
      </c>
      <c r="EK273" s="2">
        <v>454</v>
      </c>
      <c r="EL273" s="2" t="s">
        <v>326</v>
      </c>
      <c r="EM273" s="2" t="s">
        <v>327</v>
      </c>
      <c r="EN273" s="2"/>
      <c r="EO273" s="2" t="s">
        <v>3</v>
      </c>
      <c r="EP273" s="2"/>
      <c r="EQ273" s="2">
        <v>0</v>
      </c>
      <c r="ER273" s="2">
        <v>481.69</v>
      </c>
      <c r="ES273" s="2">
        <v>481.69</v>
      </c>
      <c r="ET273" s="2">
        <v>0</v>
      </c>
      <c r="EU273" s="2">
        <v>0</v>
      </c>
      <c r="EV273" s="2">
        <v>0</v>
      </c>
      <c r="EW273" s="2">
        <v>0</v>
      </c>
      <c r="EX273" s="2">
        <v>0</v>
      </c>
      <c r="EY273" s="2"/>
      <c r="EZ273" s="2"/>
      <c r="FA273" s="2"/>
      <c r="FB273" s="2"/>
      <c r="FC273" s="2"/>
      <c r="FD273" s="2"/>
      <c r="FE273" s="2"/>
      <c r="FF273" s="2"/>
      <c r="FG273" s="2"/>
      <c r="FH273" s="2"/>
      <c r="FI273" s="2"/>
      <c r="FJ273" s="2"/>
      <c r="FK273" s="2"/>
      <c r="FL273" s="2"/>
      <c r="FM273" s="2"/>
      <c r="FN273" s="2"/>
      <c r="FO273" s="2"/>
      <c r="FP273" s="2"/>
      <c r="FQ273" s="2">
        <v>0</v>
      </c>
      <c r="FR273" s="2">
        <f t="shared" si="214"/>
        <v>0</v>
      </c>
      <c r="FS273" s="2">
        <v>0</v>
      </c>
      <c r="FT273" s="2"/>
      <c r="FU273" s="2"/>
      <c r="FV273" s="2"/>
      <c r="FW273" s="2"/>
      <c r="FX273" s="2">
        <v>100</v>
      </c>
      <c r="FY273" s="2">
        <v>64</v>
      </c>
      <c r="FZ273" s="2"/>
      <c r="GA273" s="2" t="s">
        <v>3</v>
      </c>
      <c r="GB273" s="2"/>
      <c r="GC273" s="2"/>
      <c r="GD273" s="2">
        <v>0</v>
      </c>
      <c r="GE273" s="2"/>
      <c r="GF273" s="2">
        <v>202608499</v>
      </c>
      <c r="GG273" s="2">
        <v>2</v>
      </c>
      <c r="GH273" s="2">
        <v>1</v>
      </c>
      <c r="GI273" s="2">
        <v>-2</v>
      </c>
      <c r="GJ273" s="2">
        <v>0</v>
      </c>
      <c r="GK273" s="2">
        <f>ROUND(R273*(R12)/100,2)</f>
        <v>0</v>
      </c>
      <c r="GL273" s="2">
        <f t="shared" si="215"/>
        <v>0</v>
      </c>
      <c r="GM273" s="2">
        <f t="shared" si="216"/>
        <v>107.73</v>
      </c>
      <c r="GN273" s="2">
        <f t="shared" si="217"/>
        <v>107.73</v>
      </c>
      <c r="GO273" s="2">
        <f t="shared" si="218"/>
        <v>0</v>
      </c>
      <c r="GP273" s="2">
        <f t="shared" si="219"/>
        <v>0</v>
      </c>
      <c r="GQ273" s="2"/>
      <c r="GR273" s="2">
        <v>0</v>
      </c>
      <c r="GS273" s="2">
        <v>0</v>
      </c>
      <c r="GT273" s="2">
        <v>0</v>
      </c>
      <c r="GU273" s="2" t="s">
        <v>3</v>
      </c>
      <c r="GV273" s="2">
        <f t="shared" si="220"/>
        <v>0</v>
      </c>
      <c r="GW273" s="2">
        <v>1</v>
      </c>
      <c r="GX273" s="2">
        <f t="shared" si="221"/>
        <v>0</v>
      </c>
      <c r="GY273" s="2"/>
      <c r="GZ273" s="2"/>
      <c r="HA273" s="2">
        <v>0</v>
      </c>
      <c r="HB273" s="2">
        <v>0</v>
      </c>
      <c r="HC273" s="2">
        <f t="shared" si="222"/>
        <v>0</v>
      </c>
      <c r="HD273" s="2"/>
      <c r="HE273" s="2" t="s">
        <v>3</v>
      </c>
      <c r="HF273" s="2" t="s">
        <v>3</v>
      </c>
      <c r="HG273" s="2"/>
      <c r="HH273" s="2"/>
      <c r="HI273" s="2"/>
      <c r="HJ273" s="2"/>
      <c r="HK273" s="2"/>
      <c r="HL273" s="2"/>
      <c r="HM273" s="2" t="s">
        <v>3</v>
      </c>
      <c r="HN273" s="2" t="s">
        <v>3</v>
      </c>
      <c r="HO273" s="2" t="s">
        <v>3</v>
      </c>
      <c r="HP273" s="2" t="s">
        <v>3</v>
      </c>
      <c r="HQ273" s="2" t="s">
        <v>3</v>
      </c>
      <c r="HR273" s="2"/>
      <c r="HS273" s="2"/>
      <c r="HT273" s="2"/>
      <c r="HU273" s="2"/>
      <c r="HV273" s="2"/>
      <c r="HW273" s="2"/>
      <c r="HX273" s="2"/>
      <c r="HY273" s="2"/>
      <c r="HZ273" s="2"/>
      <c r="IA273" s="2"/>
      <c r="IB273" s="2"/>
      <c r="IC273" s="2"/>
      <c r="ID273" s="2"/>
      <c r="IE273" s="2"/>
      <c r="IF273" s="2"/>
      <c r="IG273" s="2"/>
      <c r="IH273" s="2"/>
      <c r="II273" s="2"/>
      <c r="IJ273" s="2"/>
      <c r="IK273" s="2">
        <v>0</v>
      </c>
      <c r="IL273" s="2"/>
      <c r="IM273" s="2"/>
      <c r="IN273" s="2"/>
      <c r="IO273" s="2"/>
      <c r="IP273" s="2"/>
      <c r="IQ273" s="2"/>
      <c r="IR273" s="2"/>
      <c r="IS273" s="2"/>
      <c r="IT273" s="2"/>
      <c r="IU273" s="2"/>
    </row>
    <row r="274" spans="1:255" x14ac:dyDescent="0.2">
      <c r="A274">
        <v>18</v>
      </c>
      <c r="B274">
        <v>1</v>
      </c>
      <c r="C274">
        <v>254</v>
      </c>
      <c r="E274" t="s">
        <v>328</v>
      </c>
      <c r="F274" t="s">
        <v>319</v>
      </c>
      <c r="G274" t="s">
        <v>320</v>
      </c>
      <c r="H274" t="s">
        <v>94</v>
      </c>
      <c r="I274">
        <f>I272*J274</f>
        <v>0.22366</v>
      </c>
      <c r="J274">
        <v>0.53</v>
      </c>
      <c r="K274">
        <v>0.53</v>
      </c>
      <c r="O274">
        <f t="shared" si="192"/>
        <v>1015.89</v>
      </c>
      <c r="P274">
        <f t="shared" si="193"/>
        <v>1015.89</v>
      </c>
      <c r="Q274">
        <f t="shared" si="223"/>
        <v>0</v>
      </c>
      <c r="R274">
        <f t="shared" si="194"/>
        <v>0</v>
      </c>
      <c r="S274">
        <f t="shared" si="195"/>
        <v>0</v>
      </c>
      <c r="T274">
        <f t="shared" si="196"/>
        <v>0</v>
      </c>
      <c r="U274">
        <f t="shared" si="197"/>
        <v>0</v>
      </c>
      <c r="V274">
        <f t="shared" si="198"/>
        <v>0</v>
      </c>
      <c r="W274">
        <f t="shared" si="199"/>
        <v>0</v>
      </c>
      <c r="X274">
        <f t="shared" si="200"/>
        <v>0</v>
      </c>
      <c r="Y274">
        <f t="shared" si="201"/>
        <v>0</v>
      </c>
      <c r="AA274">
        <v>129761633</v>
      </c>
      <c r="AB274">
        <f t="shared" si="202"/>
        <v>481.69</v>
      </c>
      <c r="AC274">
        <f t="shared" si="203"/>
        <v>481.69</v>
      </c>
      <c r="AD274">
        <f t="shared" si="224"/>
        <v>0</v>
      </c>
      <c r="AE274">
        <f t="shared" si="225"/>
        <v>0</v>
      </c>
      <c r="AF274">
        <f t="shared" si="225"/>
        <v>0</v>
      </c>
      <c r="AG274">
        <f t="shared" si="204"/>
        <v>0</v>
      </c>
      <c r="AH274">
        <f t="shared" si="226"/>
        <v>0</v>
      </c>
      <c r="AI274">
        <f t="shared" si="226"/>
        <v>0</v>
      </c>
      <c r="AJ274">
        <f t="shared" si="205"/>
        <v>0</v>
      </c>
      <c r="AK274">
        <v>481.69</v>
      </c>
      <c r="AL274">
        <v>481.69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1</v>
      </c>
      <c r="AW274">
        <v>1</v>
      </c>
      <c r="AZ274">
        <v>1</v>
      </c>
      <c r="BA274">
        <v>1</v>
      </c>
      <c r="BB274">
        <v>1</v>
      </c>
      <c r="BC274">
        <v>9.43</v>
      </c>
      <c r="BD274" t="s">
        <v>3</v>
      </c>
      <c r="BE274" t="s">
        <v>3</v>
      </c>
      <c r="BF274" t="s">
        <v>3</v>
      </c>
      <c r="BG274" t="s">
        <v>3</v>
      </c>
      <c r="BH274">
        <v>3</v>
      </c>
      <c r="BI274">
        <v>1</v>
      </c>
      <c r="BJ274" t="s">
        <v>321</v>
      </c>
      <c r="BM274">
        <v>454</v>
      </c>
      <c r="BN274">
        <v>0</v>
      </c>
      <c r="BO274" t="s">
        <v>319</v>
      </c>
      <c r="BP274">
        <v>1</v>
      </c>
      <c r="BQ274">
        <v>60</v>
      </c>
      <c r="BR274">
        <v>0</v>
      </c>
      <c r="BS274">
        <v>1</v>
      </c>
      <c r="BT274">
        <v>1</v>
      </c>
      <c r="BU274">
        <v>1</v>
      </c>
      <c r="BV274">
        <v>1</v>
      </c>
      <c r="BW274">
        <v>1</v>
      </c>
      <c r="BX274">
        <v>1</v>
      </c>
      <c r="BY274" t="s">
        <v>3</v>
      </c>
      <c r="BZ274">
        <v>0</v>
      </c>
      <c r="CA274">
        <v>0</v>
      </c>
      <c r="CB274" t="s">
        <v>3</v>
      </c>
      <c r="CE274">
        <v>30</v>
      </c>
      <c r="CF274">
        <v>0</v>
      </c>
      <c r="CG274">
        <v>0</v>
      </c>
      <c r="CM274">
        <v>0</v>
      </c>
      <c r="CN274" t="s">
        <v>3</v>
      </c>
      <c r="CO274">
        <v>0</v>
      </c>
      <c r="CP274">
        <f t="shared" si="206"/>
        <v>1015.89</v>
      </c>
      <c r="CQ274">
        <f t="shared" si="207"/>
        <v>4542.34</v>
      </c>
      <c r="CR274">
        <f t="shared" si="227"/>
        <v>0</v>
      </c>
      <c r="CS274">
        <f t="shared" si="208"/>
        <v>0</v>
      </c>
      <c r="CT274">
        <f t="shared" si="209"/>
        <v>0</v>
      </c>
      <c r="CU274">
        <f t="shared" si="210"/>
        <v>0</v>
      </c>
      <c r="CV274">
        <f t="shared" si="211"/>
        <v>0</v>
      </c>
      <c r="CW274">
        <f t="shared" si="212"/>
        <v>0</v>
      </c>
      <c r="CX274">
        <f t="shared" si="213"/>
        <v>0</v>
      </c>
      <c r="CY274">
        <f>S274*(BZ274/100)</f>
        <v>0</v>
      </c>
      <c r="CZ274">
        <f>S274*(CA274/100)</f>
        <v>0</v>
      </c>
      <c r="DC274" t="s">
        <v>3</v>
      </c>
      <c r="DD274" t="s">
        <v>3</v>
      </c>
      <c r="DE274" t="s">
        <v>3</v>
      </c>
      <c r="DF274" t="s">
        <v>3</v>
      </c>
      <c r="DG274" t="s">
        <v>3</v>
      </c>
      <c r="DH274" t="s">
        <v>3</v>
      </c>
      <c r="DI274" t="s">
        <v>3</v>
      </c>
      <c r="DJ274" t="s">
        <v>3</v>
      </c>
      <c r="DK274" t="s">
        <v>3</v>
      </c>
      <c r="DL274" t="s">
        <v>3</v>
      </c>
      <c r="DM274" t="s">
        <v>3</v>
      </c>
      <c r="DN274">
        <v>100</v>
      </c>
      <c r="DO274">
        <v>64</v>
      </c>
      <c r="DP274">
        <v>1</v>
      </c>
      <c r="DQ274">
        <v>1</v>
      </c>
      <c r="DU274">
        <v>1007</v>
      </c>
      <c r="DV274" t="s">
        <v>94</v>
      </c>
      <c r="DW274" t="s">
        <v>94</v>
      </c>
      <c r="DX274">
        <v>1</v>
      </c>
      <c r="DZ274" t="s">
        <v>3</v>
      </c>
      <c r="EA274" t="s">
        <v>3</v>
      </c>
      <c r="EB274" t="s">
        <v>3</v>
      </c>
      <c r="EC274" t="s">
        <v>3</v>
      </c>
      <c r="EE274">
        <v>126051915</v>
      </c>
      <c r="EF274">
        <v>60</v>
      </c>
      <c r="EG274" t="s">
        <v>150</v>
      </c>
      <c r="EH274">
        <v>0</v>
      </c>
      <c r="EI274" t="s">
        <v>3</v>
      </c>
      <c r="EJ274">
        <v>1</v>
      </c>
      <c r="EK274">
        <v>454</v>
      </c>
      <c r="EL274" t="s">
        <v>326</v>
      </c>
      <c r="EM274" t="s">
        <v>327</v>
      </c>
      <c r="EO274" t="s">
        <v>3</v>
      </c>
      <c r="EQ274">
        <v>0</v>
      </c>
      <c r="ER274">
        <v>481.69</v>
      </c>
      <c r="ES274">
        <v>481.69</v>
      </c>
      <c r="ET274">
        <v>0</v>
      </c>
      <c r="EU274">
        <v>0</v>
      </c>
      <c r="EV274">
        <v>0</v>
      </c>
      <c r="EW274">
        <v>0</v>
      </c>
      <c r="EX274">
        <v>0</v>
      </c>
      <c r="FQ274">
        <v>0</v>
      </c>
      <c r="FR274">
        <f t="shared" si="214"/>
        <v>0</v>
      </c>
      <c r="FS274">
        <v>0</v>
      </c>
      <c r="FX274">
        <v>100</v>
      </c>
      <c r="FY274">
        <v>64</v>
      </c>
      <c r="GA274" t="s">
        <v>3</v>
      </c>
      <c r="GD274">
        <v>0</v>
      </c>
      <c r="GF274">
        <v>202608499</v>
      </c>
      <c r="GG274">
        <v>2</v>
      </c>
      <c r="GH274">
        <v>1</v>
      </c>
      <c r="GI274">
        <v>2</v>
      </c>
      <c r="GJ274">
        <v>0</v>
      </c>
      <c r="GK274">
        <f>ROUND(R274*(S12)/100,2)</f>
        <v>0</v>
      </c>
      <c r="GL274">
        <f t="shared" si="215"/>
        <v>0</v>
      </c>
      <c r="GM274">
        <f t="shared" si="216"/>
        <v>1015.89</v>
      </c>
      <c r="GN274">
        <f t="shared" si="217"/>
        <v>1015.89</v>
      </c>
      <c r="GO274">
        <f t="shared" si="218"/>
        <v>0</v>
      </c>
      <c r="GP274">
        <f t="shared" si="219"/>
        <v>0</v>
      </c>
      <c r="GR274">
        <v>0</v>
      </c>
      <c r="GS274">
        <v>3</v>
      </c>
      <c r="GT274">
        <v>0</v>
      </c>
      <c r="GU274" t="s">
        <v>3</v>
      </c>
      <c r="GV274">
        <f t="shared" si="220"/>
        <v>0</v>
      </c>
      <c r="GW274">
        <v>1</v>
      </c>
      <c r="GX274">
        <f t="shared" si="221"/>
        <v>0</v>
      </c>
      <c r="HA274">
        <v>0</v>
      </c>
      <c r="HB274">
        <v>0</v>
      </c>
      <c r="HC274">
        <f t="shared" si="222"/>
        <v>0</v>
      </c>
      <c r="HE274" t="s">
        <v>3</v>
      </c>
      <c r="HF274" t="s">
        <v>3</v>
      </c>
      <c r="HM274" t="s">
        <v>3</v>
      </c>
      <c r="HN274" t="s">
        <v>3</v>
      </c>
      <c r="HO274" t="s">
        <v>3</v>
      </c>
      <c r="HP274" t="s">
        <v>3</v>
      </c>
      <c r="HQ274" t="s">
        <v>3</v>
      </c>
      <c r="IK274">
        <v>0</v>
      </c>
    </row>
    <row r="275" spans="1:255" x14ac:dyDescent="0.2">
      <c r="A275" s="2">
        <v>17</v>
      </c>
      <c r="B275" s="2">
        <v>1</v>
      </c>
      <c r="C275" s="2">
        <f>ROW(SmtRes!A259)</f>
        <v>259</v>
      </c>
      <c r="D275" s="2">
        <f>ROW(EtalonRes!A265)</f>
        <v>265</v>
      </c>
      <c r="E275" s="2" t="s">
        <v>329</v>
      </c>
      <c r="F275" s="2" t="s">
        <v>330</v>
      </c>
      <c r="G275" s="2" t="s">
        <v>331</v>
      </c>
      <c r="H275" s="2" t="s">
        <v>332</v>
      </c>
      <c r="I275" s="2">
        <v>0.42199999999999999</v>
      </c>
      <c r="J275" s="2">
        <v>0</v>
      </c>
      <c r="K275" s="2">
        <v>0.42199999999999999</v>
      </c>
      <c r="L275" s="2"/>
      <c r="M275" s="2"/>
      <c r="N275" s="2"/>
      <c r="O275" s="2">
        <f t="shared" si="192"/>
        <v>1463.53</v>
      </c>
      <c r="P275" s="2">
        <f t="shared" si="193"/>
        <v>306.79000000000002</v>
      </c>
      <c r="Q275" s="2">
        <f>(ROUND((ROUND((((ET275*1.25))*AV275*I275),2)*BB275),2)+ROUND((ROUND(((AE275-((EU275*1.25)))*AV275*I275),2)*BS275),2))</f>
        <v>15.31</v>
      </c>
      <c r="R275" s="2">
        <f t="shared" si="194"/>
        <v>3.62</v>
      </c>
      <c r="S275" s="2">
        <f t="shared" si="195"/>
        <v>1141.43</v>
      </c>
      <c r="T275" s="2">
        <f t="shared" si="196"/>
        <v>0</v>
      </c>
      <c r="U275" s="2">
        <f t="shared" si="197"/>
        <v>97.059999999999988</v>
      </c>
      <c r="V275" s="2">
        <f t="shared" si="198"/>
        <v>0</v>
      </c>
      <c r="W275" s="2">
        <f t="shared" si="199"/>
        <v>0</v>
      </c>
      <c r="X275" s="2">
        <f t="shared" si="200"/>
        <v>1141.43</v>
      </c>
      <c r="Y275" s="2">
        <f t="shared" si="201"/>
        <v>730.52</v>
      </c>
      <c r="Z275" s="2"/>
      <c r="AA275" s="2">
        <v>129761636</v>
      </c>
      <c r="AB275" s="2">
        <f t="shared" si="202"/>
        <v>3468.0675000000001</v>
      </c>
      <c r="AC275" s="2">
        <f t="shared" si="203"/>
        <v>726.98</v>
      </c>
      <c r="AD275" s="2">
        <f>ROUND(((((ET275*1.25))-((EU275*1.25)))+AE275),6)</f>
        <v>36.287500000000001</v>
      </c>
      <c r="AE275" s="2">
        <f>ROUND(((EU275*1.25)),6)</f>
        <v>8.5749999999999993</v>
      </c>
      <c r="AF275" s="2">
        <f>ROUND(((EV275*1.15)),6)</f>
        <v>2704.8</v>
      </c>
      <c r="AG275" s="2">
        <f t="shared" si="204"/>
        <v>0</v>
      </c>
      <c r="AH275" s="2">
        <f>((EW275*1.15))</f>
        <v>229.99999999999997</v>
      </c>
      <c r="AI275" s="2">
        <f>((EX275*1.25))</f>
        <v>0</v>
      </c>
      <c r="AJ275" s="2">
        <f t="shared" si="205"/>
        <v>0</v>
      </c>
      <c r="AK275" s="2">
        <v>3108.01</v>
      </c>
      <c r="AL275" s="2">
        <v>726.98</v>
      </c>
      <c r="AM275" s="2">
        <v>29.03</v>
      </c>
      <c r="AN275" s="2">
        <v>6.86</v>
      </c>
      <c r="AO275" s="2">
        <v>2352</v>
      </c>
      <c r="AP275" s="2">
        <v>0</v>
      </c>
      <c r="AQ275" s="2">
        <v>200</v>
      </c>
      <c r="AR275" s="2">
        <v>0</v>
      </c>
      <c r="AS275" s="2">
        <v>0</v>
      </c>
      <c r="AT275" s="2">
        <v>100</v>
      </c>
      <c r="AU275" s="2">
        <v>64</v>
      </c>
      <c r="AV275" s="2">
        <v>1</v>
      </c>
      <c r="AW275" s="2">
        <v>1</v>
      </c>
      <c r="AX275" s="2"/>
      <c r="AY275" s="2"/>
      <c r="AZ275" s="2">
        <v>1</v>
      </c>
      <c r="BA275" s="2">
        <v>1</v>
      </c>
      <c r="BB275" s="2">
        <v>1</v>
      </c>
      <c r="BC275" s="2">
        <v>1</v>
      </c>
      <c r="BD275" s="2" t="s">
        <v>3</v>
      </c>
      <c r="BE275" s="2" t="s">
        <v>3</v>
      </c>
      <c r="BF275" s="2" t="s">
        <v>3</v>
      </c>
      <c r="BG275" s="2" t="s">
        <v>3</v>
      </c>
      <c r="BH275" s="2">
        <v>0</v>
      </c>
      <c r="BI275" s="2">
        <v>1</v>
      </c>
      <c r="BJ275" s="2" t="s">
        <v>333</v>
      </c>
      <c r="BK275" s="2"/>
      <c r="BL275" s="2"/>
      <c r="BM275" s="2">
        <v>111</v>
      </c>
      <c r="BN275" s="2">
        <v>0</v>
      </c>
      <c r="BO275" s="2" t="s">
        <v>3</v>
      </c>
      <c r="BP275" s="2">
        <v>0</v>
      </c>
      <c r="BQ275" s="2">
        <v>30</v>
      </c>
      <c r="BR275" s="2">
        <v>0</v>
      </c>
      <c r="BS275" s="2">
        <v>1</v>
      </c>
      <c r="BT275" s="2">
        <v>1</v>
      </c>
      <c r="BU275" s="2">
        <v>1</v>
      </c>
      <c r="BV275" s="2">
        <v>1</v>
      </c>
      <c r="BW275" s="2">
        <v>1</v>
      </c>
      <c r="BX275" s="2">
        <v>1</v>
      </c>
      <c r="BY275" s="2" t="s">
        <v>3</v>
      </c>
      <c r="BZ275" s="2">
        <v>100</v>
      </c>
      <c r="CA275" s="2">
        <v>64</v>
      </c>
      <c r="CB275" s="2" t="s">
        <v>3</v>
      </c>
      <c r="CC275" s="2"/>
      <c r="CD275" s="2"/>
      <c r="CE275" s="2">
        <v>30</v>
      </c>
      <c r="CF275" s="2">
        <v>0</v>
      </c>
      <c r="CG275" s="2">
        <v>0</v>
      </c>
      <c r="CH275" s="2"/>
      <c r="CI275" s="2"/>
      <c r="CJ275" s="2"/>
      <c r="CK275" s="2"/>
      <c r="CL275" s="2"/>
      <c r="CM275" s="2">
        <v>0</v>
      </c>
      <c r="CN275" s="2" t="s">
        <v>1559</v>
      </c>
      <c r="CO275" s="2">
        <v>0</v>
      </c>
      <c r="CP275" s="2">
        <f t="shared" si="206"/>
        <v>1463.5300000000002</v>
      </c>
      <c r="CQ275" s="2">
        <f t="shared" si="207"/>
        <v>726.98</v>
      </c>
      <c r="CR275" s="2">
        <f>(ROUND((ROUND((((ET275*1.25))*AV275*1),2)*BB275),2)+ROUND((ROUND(((AE275-((EU275*1.25)))*AV275*1),2)*BS275),2))</f>
        <v>36.29</v>
      </c>
      <c r="CS275" s="2">
        <f t="shared" si="208"/>
        <v>8.58</v>
      </c>
      <c r="CT275" s="2">
        <f t="shared" si="209"/>
        <v>2704.8</v>
      </c>
      <c r="CU275" s="2">
        <f t="shared" si="210"/>
        <v>0</v>
      </c>
      <c r="CV275" s="2">
        <f t="shared" si="211"/>
        <v>229.99999999999997</v>
      </c>
      <c r="CW275" s="2">
        <f t="shared" si="212"/>
        <v>0</v>
      </c>
      <c r="CX275" s="2">
        <f t="shared" si="213"/>
        <v>0</v>
      </c>
      <c r="CY275" s="2">
        <f>((S275*BZ275)/100)</f>
        <v>1141.43</v>
      </c>
      <c r="CZ275" s="2">
        <f>((S275*CA275)/100)</f>
        <v>730.51520000000005</v>
      </c>
      <c r="DA275" s="2"/>
      <c r="DB275" s="2"/>
      <c r="DC275" s="2" t="s">
        <v>3</v>
      </c>
      <c r="DD275" s="2" t="s">
        <v>3</v>
      </c>
      <c r="DE275" s="2" t="s">
        <v>86</v>
      </c>
      <c r="DF275" s="2" t="s">
        <v>86</v>
      </c>
      <c r="DG275" s="2" t="s">
        <v>87</v>
      </c>
      <c r="DH275" s="2" t="s">
        <v>3</v>
      </c>
      <c r="DI275" s="2" t="s">
        <v>87</v>
      </c>
      <c r="DJ275" s="2" t="s">
        <v>86</v>
      </c>
      <c r="DK275" s="2" t="s">
        <v>3</v>
      </c>
      <c r="DL275" s="2" t="s">
        <v>3</v>
      </c>
      <c r="DM275" s="2" t="s">
        <v>3</v>
      </c>
      <c r="DN275" s="2">
        <v>0</v>
      </c>
      <c r="DO275" s="2">
        <v>0</v>
      </c>
      <c r="DP275" s="2">
        <v>1</v>
      </c>
      <c r="DQ275" s="2">
        <v>1</v>
      </c>
      <c r="DR275" s="2"/>
      <c r="DS275" s="2"/>
      <c r="DT275" s="2"/>
      <c r="DU275" s="2">
        <v>1013</v>
      </c>
      <c r="DV275" s="2" t="s">
        <v>332</v>
      </c>
      <c r="DW275" s="2" t="s">
        <v>332</v>
      </c>
      <c r="DX275" s="2">
        <v>1</v>
      </c>
      <c r="DY275" s="2"/>
      <c r="DZ275" s="2" t="s">
        <v>3</v>
      </c>
      <c r="EA275" s="2" t="s">
        <v>3</v>
      </c>
      <c r="EB275" s="2" t="s">
        <v>3</v>
      </c>
      <c r="EC275" s="2" t="s">
        <v>3</v>
      </c>
      <c r="ED275" s="2"/>
      <c r="EE275" s="2">
        <v>126051572</v>
      </c>
      <c r="EF275" s="2">
        <v>30</v>
      </c>
      <c r="EG275" s="2" t="s">
        <v>23</v>
      </c>
      <c r="EH275" s="2">
        <v>0</v>
      </c>
      <c r="EI275" s="2" t="s">
        <v>3</v>
      </c>
      <c r="EJ275" s="2">
        <v>1</v>
      </c>
      <c r="EK275" s="2">
        <v>111</v>
      </c>
      <c r="EL275" s="2" t="s">
        <v>334</v>
      </c>
      <c r="EM275" s="2" t="s">
        <v>335</v>
      </c>
      <c r="EN275" s="2"/>
      <c r="EO275" s="2" t="s">
        <v>90</v>
      </c>
      <c r="EP275" s="2"/>
      <c r="EQ275" s="2">
        <v>131072</v>
      </c>
      <c r="ER275" s="2">
        <v>3108.01</v>
      </c>
      <c r="ES275" s="2">
        <v>726.98</v>
      </c>
      <c r="ET275" s="2">
        <v>29.03</v>
      </c>
      <c r="EU275" s="2">
        <v>6.86</v>
      </c>
      <c r="EV275" s="2">
        <v>2352</v>
      </c>
      <c r="EW275" s="2">
        <v>200</v>
      </c>
      <c r="EX275" s="2">
        <v>0</v>
      </c>
      <c r="EY275" s="2">
        <v>0</v>
      </c>
      <c r="EZ275" s="2"/>
      <c r="FA275" s="2"/>
      <c r="FB275" s="2"/>
      <c r="FC275" s="2"/>
      <c r="FD275" s="2"/>
      <c r="FE275" s="2"/>
      <c r="FF275" s="2"/>
      <c r="FG275" s="2"/>
      <c r="FH275" s="2"/>
      <c r="FI275" s="2"/>
      <c r="FJ275" s="2"/>
      <c r="FK275" s="2"/>
      <c r="FL275" s="2"/>
      <c r="FM275" s="2"/>
      <c r="FN275" s="2"/>
      <c r="FO275" s="2"/>
      <c r="FP275" s="2"/>
      <c r="FQ275" s="2">
        <v>0</v>
      </c>
      <c r="FR275" s="2">
        <f t="shared" si="214"/>
        <v>0</v>
      </c>
      <c r="FS275" s="2">
        <v>0</v>
      </c>
      <c r="FT275" s="2"/>
      <c r="FU275" s="2"/>
      <c r="FV275" s="2"/>
      <c r="FW275" s="2"/>
      <c r="FX275" s="2">
        <v>100</v>
      </c>
      <c r="FY275" s="2">
        <v>64</v>
      </c>
      <c r="FZ275" s="2"/>
      <c r="GA275" s="2" t="s">
        <v>3</v>
      </c>
      <c r="GB275" s="2"/>
      <c r="GC275" s="2"/>
      <c r="GD275" s="2">
        <v>0</v>
      </c>
      <c r="GE275" s="2"/>
      <c r="GF275" s="2">
        <v>72075154</v>
      </c>
      <c r="GG275" s="2">
        <v>2</v>
      </c>
      <c r="GH275" s="2">
        <v>1</v>
      </c>
      <c r="GI275" s="2">
        <v>-2</v>
      </c>
      <c r="GJ275" s="2">
        <v>0</v>
      </c>
      <c r="GK275" s="2">
        <f>ROUND(R275*(R12)/100,2)</f>
        <v>6.34</v>
      </c>
      <c r="GL275" s="2">
        <f t="shared" si="215"/>
        <v>0</v>
      </c>
      <c r="GM275" s="2">
        <f t="shared" si="216"/>
        <v>3341.82</v>
      </c>
      <c r="GN275" s="2">
        <f t="shared" si="217"/>
        <v>3341.82</v>
      </c>
      <c r="GO275" s="2">
        <f t="shared" si="218"/>
        <v>0</v>
      </c>
      <c r="GP275" s="2">
        <f t="shared" si="219"/>
        <v>0</v>
      </c>
      <c r="GQ275" s="2"/>
      <c r="GR275" s="2">
        <v>0</v>
      </c>
      <c r="GS275" s="2">
        <v>0</v>
      </c>
      <c r="GT275" s="2">
        <v>0</v>
      </c>
      <c r="GU275" s="2" t="s">
        <v>3</v>
      </c>
      <c r="GV275" s="2">
        <f t="shared" si="220"/>
        <v>0</v>
      </c>
      <c r="GW275" s="2">
        <v>1</v>
      </c>
      <c r="GX275" s="2">
        <f t="shared" si="221"/>
        <v>0</v>
      </c>
      <c r="GY275" s="2"/>
      <c r="GZ275" s="2"/>
      <c r="HA275" s="2">
        <v>0</v>
      </c>
      <c r="HB275" s="2">
        <v>0</v>
      </c>
      <c r="HC275" s="2">
        <f t="shared" si="222"/>
        <v>0</v>
      </c>
      <c r="HD275" s="2"/>
      <c r="HE275" s="2" t="s">
        <v>3</v>
      </c>
      <c r="HF275" s="2" t="s">
        <v>3</v>
      </c>
      <c r="HG275" s="2"/>
      <c r="HH275" s="2"/>
      <c r="HI275" s="2"/>
      <c r="HJ275" s="2"/>
      <c r="HK275" s="2"/>
      <c r="HL275" s="2"/>
      <c r="HM275" s="2" t="s">
        <v>3</v>
      </c>
      <c r="HN275" s="2" t="s">
        <v>3</v>
      </c>
      <c r="HO275" s="2" t="s">
        <v>3</v>
      </c>
      <c r="HP275" s="2" t="s">
        <v>3</v>
      </c>
      <c r="HQ275" s="2" t="s">
        <v>3</v>
      </c>
      <c r="HR275" s="2"/>
      <c r="HS275" s="2"/>
      <c r="HT275" s="2"/>
      <c r="HU275" s="2"/>
      <c r="HV275" s="2"/>
      <c r="HW275" s="2"/>
      <c r="HX275" s="2"/>
      <c r="HY275" s="2"/>
      <c r="HZ275" s="2"/>
      <c r="IA275" s="2"/>
      <c r="IB275" s="2"/>
      <c r="IC275" s="2"/>
      <c r="ID275" s="2"/>
      <c r="IE275" s="2"/>
      <c r="IF275" s="2"/>
      <c r="IG275" s="2"/>
      <c r="IH275" s="2"/>
      <c r="II275" s="2"/>
      <c r="IJ275" s="2"/>
      <c r="IK275" s="2">
        <v>0</v>
      </c>
      <c r="IL275" s="2"/>
      <c r="IM275" s="2"/>
      <c r="IN275" s="2"/>
      <c r="IO275" s="2"/>
      <c r="IP275" s="2"/>
      <c r="IQ275" s="2"/>
      <c r="IR275" s="2"/>
      <c r="IS275" s="2"/>
      <c r="IT275" s="2"/>
      <c r="IU275" s="2"/>
    </row>
    <row r="276" spans="1:255" x14ac:dyDescent="0.2">
      <c r="A276">
        <v>17</v>
      </c>
      <c r="B276">
        <v>1</v>
      </c>
      <c r="C276">
        <f>ROW(SmtRes!A264)</f>
        <v>264</v>
      </c>
      <c r="D276">
        <f>ROW(EtalonRes!A270)</f>
        <v>270</v>
      </c>
      <c r="E276" t="s">
        <v>329</v>
      </c>
      <c r="F276" t="s">
        <v>330</v>
      </c>
      <c r="G276" t="s">
        <v>331</v>
      </c>
      <c r="H276" t="s">
        <v>332</v>
      </c>
      <c r="I276">
        <v>0.42199999999999999</v>
      </c>
      <c r="J276">
        <v>0</v>
      </c>
      <c r="K276">
        <v>0.42199999999999999</v>
      </c>
      <c r="O276">
        <f t="shared" si="192"/>
        <v>35952.26</v>
      </c>
      <c r="P276">
        <f t="shared" si="193"/>
        <v>2610.7800000000002</v>
      </c>
      <c r="Q276">
        <f>(ROUND((ROUND((((ET276*1.25))*AV276*I276),2)*BB276),2)+ROUND((ROUND(((AE276-((EU276*1.25)))*AV276*I276),2)*BS276),2))</f>
        <v>205.77</v>
      </c>
      <c r="R276">
        <f t="shared" si="194"/>
        <v>105.09</v>
      </c>
      <c r="S276">
        <f t="shared" si="195"/>
        <v>33135.71</v>
      </c>
      <c r="T276">
        <f t="shared" si="196"/>
        <v>0</v>
      </c>
      <c r="U276">
        <f t="shared" si="197"/>
        <v>97.059999999999988</v>
      </c>
      <c r="V276">
        <f t="shared" si="198"/>
        <v>0</v>
      </c>
      <c r="W276">
        <f t="shared" si="199"/>
        <v>0</v>
      </c>
      <c r="X276">
        <f t="shared" si="200"/>
        <v>27502.639999999999</v>
      </c>
      <c r="Y276">
        <f t="shared" si="201"/>
        <v>13585.64</v>
      </c>
      <c r="AA276">
        <v>129761633</v>
      </c>
      <c r="AB276">
        <f t="shared" si="202"/>
        <v>3468.0675000000001</v>
      </c>
      <c r="AC276">
        <f t="shared" si="203"/>
        <v>726.98</v>
      </c>
      <c r="AD276">
        <f>ROUND(((((ET276*1.25))-((EU276*1.25)))+AE276),6)</f>
        <v>36.287500000000001</v>
      </c>
      <c r="AE276">
        <f>ROUND(((EU276*1.25)),6)</f>
        <v>8.5749999999999993</v>
      </c>
      <c r="AF276">
        <f>ROUND(((EV276*1.15)),6)</f>
        <v>2704.8</v>
      </c>
      <c r="AG276">
        <f t="shared" si="204"/>
        <v>0</v>
      </c>
      <c r="AH276">
        <f>((EW276*1.15))</f>
        <v>229.99999999999997</v>
      </c>
      <c r="AI276">
        <f>((EX276*1.25))</f>
        <v>0</v>
      </c>
      <c r="AJ276">
        <f t="shared" si="205"/>
        <v>0</v>
      </c>
      <c r="AK276">
        <v>3108.01</v>
      </c>
      <c r="AL276">
        <v>726.98</v>
      </c>
      <c r="AM276">
        <v>29.03</v>
      </c>
      <c r="AN276">
        <v>6.86</v>
      </c>
      <c r="AO276">
        <v>2352</v>
      </c>
      <c r="AP276">
        <v>0</v>
      </c>
      <c r="AQ276">
        <v>200</v>
      </c>
      <c r="AR276">
        <v>0</v>
      </c>
      <c r="AS276">
        <v>0</v>
      </c>
      <c r="AT276">
        <v>83</v>
      </c>
      <c r="AU276">
        <v>41</v>
      </c>
      <c r="AV276">
        <v>1</v>
      </c>
      <c r="AW276">
        <v>1</v>
      </c>
      <c r="AZ276">
        <v>1</v>
      </c>
      <c r="BA276">
        <v>29.03</v>
      </c>
      <c r="BB276">
        <v>13.44</v>
      </c>
      <c r="BC276">
        <v>8.51</v>
      </c>
      <c r="BD276" t="s">
        <v>3</v>
      </c>
      <c r="BE276" t="s">
        <v>3</v>
      </c>
      <c r="BF276" t="s">
        <v>3</v>
      </c>
      <c r="BG276" t="s">
        <v>3</v>
      </c>
      <c r="BH276">
        <v>0</v>
      </c>
      <c r="BI276">
        <v>1</v>
      </c>
      <c r="BJ276" t="s">
        <v>333</v>
      </c>
      <c r="BM276">
        <v>111</v>
      </c>
      <c r="BN276">
        <v>0</v>
      </c>
      <c r="BO276" t="s">
        <v>330</v>
      </c>
      <c r="BP276">
        <v>1</v>
      </c>
      <c r="BQ276">
        <v>30</v>
      </c>
      <c r="BR276">
        <v>0</v>
      </c>
      <c r="BS276">
        <v>29.03</v>
      </c>
      <c r="BT276">
        <v>1</v>
      </c>
      <c r="BU276">
        <v>1</v>
      </c>
      <c r="BV276">
        <v>1</v>
      </c>
      <c r="BW276">
        <v>1</v>
      </c>
      <c r="BX276">
        <v>1</v>
      </c>
      <c r="BY276" t="s">
        <v>3</v>
      </c>
      <c r="BZ276">
        <v>83</v>
      </c>
      <c r="CA276">
        <v>41</v>
      </c>
      <c r="CB276" t="s">
        <v>3</v>
      </c>
      <c r="CE276">
        <v>30</v>
      </c>
      <c r="CF276">
        <v>0</v>
      </c>
      <c r="CG276">
        <v>0</v>
      </c>
      <c r="CM276">
        <v>0</v>
      </c>
      <c r="CN276" t="s">
        <v>1559</v>
      </c>
      <c r="CO276">
        <v>0</v>
      </c>
      <c r="CP276">
        <f t="shared" si="206"/>
        <v>35952.26</v>
      </c>
      <c r="CQ276">
        <f t="shared" si="207"/>
        <v>6186.6</v>
      </c>
      <c r="CR276">
        <f>(ROUND((ROUND((((ET276*1.25))*AV276*1),2)*BB276),2)+ROUND((ROUND(((AE276-((EU276*1.25)))*AV276*1),2)*BS276),2))</f>
        <v>487.74</v>
      </c>
      <c r="CS276">
        <f t="shared" si="208"/>
        <v>249.08</v>
      </c>
      <c r="CT276">
        <f t="shared" si="209"/>
        <v>78520.34</v>
      </c>
      <c r="CU276">
        <f t="shared" si="210"/>
        <v>0</v>
      </c>
      <c r="CV276">
        <f t="shared" si="211"/>
        <v>229.99999999999997</v>
      </c>
      <c r="CW276">
        <f t="shared" si="212"/>
        <v>0</v>
      </c>
      <c r="CX276">
        <f t="shared" si="213"/>
        <v>0</v>
      </c>
      <c r="CY276">
        <f>S276*(BZ276/100)</f>
        <v>27502.639299999999</v>
      </c>
      <c r="CZ276">
        <f>S276*(CA276/100)</f>
        <v>13585.641099999999</v>
      </c>
      <c r="DC276" t="s">
        <v>3</v>
      </c>
      <c r="DD276" t="s">
        <v>3</v>
      </c>
      <c r="DE276" t="s">
        <v>86</v>
      </c>
      <c r="DF276" t="s">
        <v>86</v>
      </c>
      <c r="DG276" t="s">
        <v>87</v>
      </c>
      <c r="DH276" t="s">
        <v>3</v>
      </c>
      <c r="DI276" t="s">
        <v>87</v>
      </c>
      <c r="DJ276" t="s">
        <v>86</v>
      </c>
      <c r="DK276" t="s">
        <v>3</v>
      </c>
      <c r="DL276" t="s">
        <v>3</v>
      </c>
      <c r="DM276" t="s">
        <v>3</v>
      </c>
      <c r="DN276">
        <v>100</v>
      </c>
      <c r="DO276">
        <v>64</v>
      </c>
      <c r="DP276">
        <v>1</v>
      </c>
      <c r="DQ276">
        <v>1</v>
      </c>
      <c r="DU276">
        <v>1013</v>
      </c>
      <c r="DV276" t="s">
        <v>332</v>
      </c>
      <c r="DW276" t="s">
        <v>332</v>
      </c>
      <c r="DX276">
        <v>1</v>
      </c>
      <c r="DZ276" t="s">
        <v>3</v>
      </c>
      <c r="EA276" t="s">
        <v>3</v>
      </c>
      <c r="EB276" t="s">
        <v>3</v>
      </c>
      <c r="EC276" t="s">
        <v>3</v>
      </c>
      <c r="EE276">
        <v>126051572</v>
      </c>
      <c r="EF276">
        <v>30</v>
      </c>
      <c r="EG276" t="s">
        <v>23</v>
      </c>
      <c r="EH276">
        <v>0</v>
      </c>
      <c r="EI276" t="s">
        <v>3</v>
      </c>
      <c r="EJ276">
        <v>1</v>
      </c>
      <c r="EK276">
        <v>111</v>
      </c>
      <c r="EL276" t="s">
        <v>334</v>
      </c>
      <c r="EM276" t="s">
        <v>335</v>
      </c>
      <c r="EO276" t="s">
        <v>90</v>
      </c>
      <c r="EQ276">
        <v>131072</v>
      </c>
      <c r="ER276">
        <v>3108.01</v>
      </c>
      <c r="ES276">
        <v>726.98</v>
      </c>
      <c r="ET276">
        <v>29.03</v>
      </c>
      <c r="EU276">
        <v>6.86</v>
      </c>
      <c r="EV276">
        <v>2352</v>
      </c>
      <c r="EW276">
        <v>200</v>
      </c>
      <c r="EX276">
        <v>0</v>
      </c>
      <c r="EY276">
        <v>0</v>
      </c>
      <c r="FQ276">
        <v>0</v>
      </c>
      <c r="FR276">
        <f t="shared" si="214"/>
        <v>0</v>
      </c>
      <c r="FS276">
        <v>0</v>
      </c>
      <c r="FX276">
        <v>100</v>
      </c>
      <c r="FY276">
        <v>64</v>
      </c>
      <c r="GA276" t="s">
        <v>3</v>
      </c>
      <c r="GD276">
        <v>0</v>
      </c>
      <c r="GF276">
        <v>72075154</v>
      </c>
      <c r="GG276">
        <v>2</v>
      </c>
      <c r="GH276">
        <v>1</v>
      </c>
      <c r="GI276">
        <v>2</v>
      </c>
      <c r="GJ276">
        <v>0</v>
      </c>
      <c r="GK276">
        <f>ROUND(R276*(S12)/100,2)</f>
        <v>168.14</v>
      </c>
      <c r="GL276">
        <f t="shared" si="215"/>
        <v>0</v>
      </c>
      <c r="GM276">
        <f t="shared" si="216"/>
        <v>77208.679999999993</v>
      </c>
      <c r="GN276">
        <f t="shared" si="217"/>
        <v>77208.679999999993</v>
      </c>
      <c r="GO276">
        <f t="shared" si="218"/>
        <v>0</v>
      </c>
      <c r="GP276">
        <f t="shared" si="219"/>
        <v>0</v>
      </c>
      <c r="GR276">
        <v>0</v>
      </c>
      <c r="GS276">
        <v>3</v>
      </c>
      <c r="GT276">
        <v>0</v>
      </c>
      <c r="GU276" t="s">
        <v>3</v>
      </c>
      <c r="GV276">
        <f t="shared" si="220"/>
        <v>0</v>
      </c>
      <c r="GW276">
        <v>1</v>
      </c>
      <c r="GX276">
        <f t="shared" si="221"/>
        <v>0</v>
      </c>
      <c r="HA276">
        <v>0</v>
      </c>
      <c r="HB276">
        <v>0</v>
      </c>
      <c r="HC276">
        <f t="shared" si="222"/>
        <v>0</v>
      </c>
      <c r="HE276" t="s">
        <v>3</v>
      </c>
      <c r="HF276" t="s">
        <v>3</v>
      </c>
      <c r="HM276" t="s">
        <v>3</v>
      </c>
      <c r="HN276" t="s">
        <v>3</v>
      </c>
      <c r="HO276" t="s">
        <v>3</v>
      </c>
      <c r="HP276" t="s">
        <v>3</v>
      </c>
      <c r="HQ276" t="s">
        <v>3</v>
      </c>
      <c r="IK276">
        <v>0</v>
      </c>
    </row>
    <row r="277" spans="1:255" x14ac:dyDescent="0.2">
      <c r="A277" s="2">
        <v>18</v>
      </c>
      <c r="B277" s="2">
        <v>1</v>
      </c>
      <c r="C277" s="2">
        <v>257</v>
      </c>
      <c r="D277" s="2"/>
      <c r="E277" s="2" t="s">
        <v>336</v>
      </c>
      <c r="F277" s="2" t="s">
        <v>337</v>
      </c>
      <c r="G277" s="2" t="s">
        <v>338</v>
      </c>
      <c r="H277" s="2" t="s">
        <v>258</v>
      </c>
      <c r="I277" s="2">
        <f>I275*J277</f>
        <v>42.2</v>
      </c>
      <c r="J277" s="2">
        <v>100.00000000000001</v>
      </c>
      <c r="K277" s="2">
        <v>100</v>
      </c>
      <c r="L277" s="2"/>
      <c r="M277" s="2"/>
      <c r="N277" s="2"/>
      <c r="O277" s="2">
        <f t="shared" si="192"/>
        <v>2880.99</v>
      </c>
      <c r="P277" s="2">
        <f t="shared" si="193"/>
        <v>2880.99</v>
      </c>
      <c r="Q277" s="2">
        <f>(ROUND((ROUND(((ET277)*AV277*I277),2)*BB277),2)+ROUND((ROUND(((AE277-(EU277))*AV277*I277),2)*BS277),2))</f>
        <v>0</v>
      </c>
      <c r="R277" s="2">
        <f t="shared" si="194"/>
        <v>0</v>
      </c>
      <c r="S277" s="2">
        <f t="shared" si="195"/>
        <v>0</v>
      </c>
      <c r="T277" s="2">
        <f t="shared" si="196"/>
        <v>0</v>
      </c>
      <c r="U277" s="2">
        <f t="shared" si="197"/>
        <v>0</v>
      </c>
      <c r="V277" s="2">
        <f t="shared" si="198"/>
        <v>0</v>
      </c>
      <c r="W277" s="2">
        <f t="shared" si="199"/>
        <v>0</v>
      </c>
      <c r="X277" s="2">
        <f t="shared" si="200"/>
        <v>0</v>
      </c>
      <c r="Y277" s="2">
        <f t="shared" si="201"/>
        <v>0</v>
      </c>
      <c r="Z277" s="2"/>
      <c r="AA277" s="2">
        <v>129761636</v>
      </c>
      <c r="AB277" s="2">
        <f t="shared" si="202"/>
        <v>68.27</v>
      </c>
      <c r="AC277" s="2">
        <f t="shared" si="203"/>
        <v>68.27</v>
      </c>
      <c r="AD277" s="2">
        <f>ROUND((((ET277)-(EU277))+AE277),6)</f>
        <v>0</v>
      </c>
      <c r="AE277" s="2">
        <f>ROUND((EU277),6)</f>
        <v>0</v>
      </c>
      <c r="AF277" s="2">
        <f>ROUND((EV277),6)</f>
        <v>0</v>
      </c>
      <c r="AG277" s="2">
        <f t="shared" si="204"/>
        <v>0</v>
      </c>
      <c r="AH277" s="2">
        <f>(EW277)</f>
        <v>0</v>
      </c>
      <c r="AI277" s="2">
        <f>(EX277)</f>
        <v>0</v>
      </c>
      <c r="AJ277" s="2">
        <f t="shared" si="205"/>
        <v>0</v>
      </c>
      <c r="AK277" s="2">
        <v>68.27</v>
      </c>
      <c r="AL277" s="2">
        <v>68.27</v>
      </c>
      <c r="AM277" s="2">
        <v>0</v>
      </c>
      <c r="AN277" s="2">
        <v>0</v>
      </c>
      <c r="AO277" s="2">
        <v>0</v>
      </c>
      <c r="AP277" s="2">
        <v>0</v>
      </c>
      <c r="AQ277" s="2">
        <v>0</v>
      </c>
      <c r="AR277" s="2">
        <v>0</v>
      </c>
      <c r="AS277" s="2">
        <v>0</v>
      </c>
      <c r="AT277" s="2">
        <v>100</v>
      </c>
      <c r="AU277" s="2">
        <v>64</v>
      </c>
      <c r="AV277" s="2">
        <v>1</v>
      </c>
      <c r="AW277" s="2">
        <v>1</v>
      </c>
      <c r="AX277" s="2"/>
      <c r="AY277" s="2"/>
      <c r="AZ277" s="2">
        <v>1</v>
      </c>
      <c r="BA277" s="2">
        <v>1</v>
      </c>
      <c r="BB277" s="2">
        <v>1</v>
      </c>
      <c r="BC277" s="2">
        <v>1</v>
      </c>
      <c r="BD277" s="2" t="s">
        <v>3</v>
      </c>
      <c r="BE277" s="2" t="s">
        <v>3</v>
      </c>
      <c r="BF277" s="2" t="s">
        <v>3</v>
      </c>
      <c r="BG277" s="2" t="s">
        <v>3</v>
      </c>
      <c r="BH277" s="2">
        <v>3</v>
      </c>
      <c r="BI277" s="2">
        <v>1</v>
      </c>
      <c r="BJ277" s="2" t="s">
        <v>339</v>
      </c>
      <c r="BK277" s="2"/>
      <c r="BL277" s="2"/>
      <c r="BM277" s="2">
        <v>111</v>
      </c>
      <c r="BN277" s="2">
        <v>0</v>
      </c>
      <c r="BO277" s="2" t="s">
        <v>3</v>
      </c>
      <c r="BP277" s="2">
        <v>0</v>
      </c>
      <c r="BQ277" s="2">
        <v>30</v>
      </c>
      <c r="BR277" s="2">
        <v>0</v>
      </c>
      <c r="BS277" s="2">
        <v>1</v>
      </c>
      <c r="BT277" s="2">
        <v>1</v>
      </c>
      <c r="BU277" s="2">
        <v>1</v>
      </c>
      <c r="BV277" s="2">
        <v>1</v>
      </c>
      <c r="BW277" s="2">
        <v>1</v>
      </c>
      <c r="BX277" s="2">
        <v>1</v>
      </c>
      <c r="BY277" s="2" t="s">
        <v>3</v>
      </c>
      <c r="BZ277" s="2">
        <v>100</v>
      </c>
      <c r="CA277" s="2">
        <v>64</v>
      </c>
      <c r="CB277" s="2" t="s">
        <v>3</v>
      </c>
      <c r="CC277" s="2"/>
      <c r="CD277" s="2"/>
      <c r="CE277" s="2">
        <v>30</v>
      </c>
      <c r="CF277" s="2">
        <v>0</v>
      </c>
      <c r="CG277" s="2">
        <v>0</v>
      </c>
      <c r="CH277" s="2"/>
      <c r="CI277" s="2"/>
      <c r="CJ277" s="2"/>
      <c r="CK277" s="2"/>
      <c r="CL277" s="2"/>
      <c r="CM277" s="2">
        <v>0</v>
      </c>
      <c r="CN277" s="2" t="s">
        <v>3</v>
      </c>
      <c r="CO277" s="2">
        <v>0</v>
      </c>
      <c r="CP277" s="2">
        <f t="shared" si="206"/>
        <v>2880.99</v>
      </c>
      <c r="CQ277" s="2">
        <f t="shared" si="207"/>
        <v>68.27</v>
      </c>
      <c r="CR277" s="2">
        <f>(ROUND((ROUND(((ET277)*AV277*1),2)*BB277),2)+ROUND((ROUND(((AE277-(EU277))*AV277*1),2)*BS277),2))</f>
        <v>0</v>
      </c>
      <c r="CS277" s="2">
        <f t="shared" si="208"/>
        <v>0</v>
      </c>
      <c r="CT277" s="2">
        <f t="shared" si="209"/>
        <v>0</v>
      </c>
      <c r="CU277" s="2">
        <f t="shared" si="210"/>
        <v>0</v>
      </c>
      <c r="CV277" s="2">
        <f t="shared" si="211"/>
        <v>0</v>
      </c>
      <c r="CW277" s="2">
        <f t="shared" si="212"/>
        <v>0</v>
      </c>
      <c r="CX277" s="2">
        <f t="shared" si="213"/>
        <v>0</v>
      </c>
      <c r="CY277" s="2">
        <f>((S277*BZ277)/100)</f>
        <v>0</v>
      </c>
      <c r="CZ277" s="2">
        <f>((S277*CA277)/100)</f>
        <v>0</v>
      </c>
      <c r="DA277" s="2"/>
      <c r="DB277" s="2"/>
      <c r="DC277" s="2" t="s">
        <v>3</v>
      </c>
      <c r="DD277" s="2" t="s">
        <v>3</v>
      </c>
      <c r="DE277" s="2" t="s">
        <v>3</v>
      </c>
      <c r="DF277" s="2" t="s">
        <v>3</v>
      </c>
      <c r="DG277" s="2" t="s">
        <v>3</v>
      </c>
      <c r="DH277" s="2" t="s">
        <v>3</v>
      </c>
      <c r="DI277" s="2" t="s">
        <v>3</v>
      </c>
      <c r="DJ277" s="2" t="s">
        <v>3</v>
      </c>
      <c r="DK277" s="2" t="s">
        <v>3</v>
      </c>
      <c r="DL277" s="2" t="s">
        <v>3</v>
      </c>
      <c r="DM277" s="2" t="s">
        <v>3</v>
      </c>
      <c r="DN277" s="2">
        <v>0</v>
      </c>
      <c r="DO277" s="2">
        <v>0</v>
      </c>
      <c r="DP277" s="2">
        <v>1</v>
      </c>
      <c r="DQ277" s="2">
        <v>1</v>
      </c>
      <c r="DR277" s="2"/>
      <c r="DS277" s="2"/>
      <c r="DT277" s="2"/>
      <c r="DU277" s="2">
        <v>1005</v>
      </c>
      <c r="DV277" s="2" t="s">
        <v>258</v>
      </c>
      <c r="DW277" s="2" t="s">
        <v>258</v>
      </c>
      <c r="DX277" s="2">
        <v>1</v>
      </c>
      <c r="DY277" s="2"/>
      <c r="DZ277" s="2" t="s">
        <v>3</v>
      </c>
      <c r="EA277" s="2" t="s">
        <v>3</v>
      </c>
      <c r="EB277" s="2" t="s">
        <v>3</v>
      </c>
      <c r="EC277" s="2" t="s">
        <v>3</v>
      </c>
      <c r="ED277" s="2"/>
      <c r="EE277" s="2">
        <v>126051572</v>
      </c>
      <c r="EF277" s="2">
        <v>30</v>
      </c>
      <c r="EG277" s="2" t="s">
        <v>23</v>
      </c>
      <c r="EH277" s="2">
        <v>0</v>
      </c>
      <c r="EI277" s="2" t="s">
        <v>3</v>
      </c>
      <c r="EJ277" s="2">
        <v>1</v>
      </c>
      <c r="EK277" s="2">
        <v>111</v>
      </c>
      <c r="EL277" s="2" t="s">
        <v>334</v>
      </c>
      <c r="EM277" s="2" t="s">
        <v>335</v>
      </c>
      <c r="EN277" s="2"/>
      <c r="EO277" s="2" t="s">
        <v>3</v>
      </c>
      <c r="EP277" s="2"/>
      <c r="EQ277" s="2">
        <v>0</v>
      </c>
      <c r="ER277" s="2">
        <v>68.27</v>
      </c>
      <c r="ES277" s="2">
        <v>68.27</v>
      </c>
      <c r="ET277" s="2">
        <v>0</v>
      </c>
      <c r="EU277" s="2">
        <v>0</v>
      </c>
      <c r="EV277" s="2">
        <v>0</v>
      </c>
      <c r="EW277" s="2">
        <v>0</v>
      </c>
      <c r="EX277" s="2">
        <v>0</v>
      </c>
      <c r="EY277" s="2"/>
      <c r="EZ277" s="2"/>
      <c r="FA277" s="2"/>
      <c r="FB277" s="2"/>
      <c r="FC277" s="2"/>
      <c r="FD277" s="2"/>
      <c r="FE277" s="2"/>
      <c r="FF277" s="2"/>
      <c r="FG277" s="2"/>
      <c r="FH277" s="2"/>
      <c r="FI277" s="2"/>
      <c r="FJ277" s="2"/>
      <c r="FK277" s="2"/>
      <c r="FL277" s="2"/>
      <c r="FM277" s="2"/>
      <c r="FN277" s="2"/>
      <c r="FO277" s="2"/>
      <c r="FP277" s="2"/>
      <c r="FQ277" s="2">
        <v>0</v>
      </c>
      <c r="FR277" s="2">
        <f t="shared" si="214"/>
        <v>0</v>
      </c>
      <c r="FS277" s="2">
        <v>0</v>
      </c>
      <c r="FT277" s="2"/>
      <c r="FU277" s="2"/>
      <c r="FV277" s="2"/>
      <c r="FW277" s="2"/>
      <c r="FX277" s="2">
        <v>100</v>
      </c>
      <c r="FY277" s="2">
        <v>64</v>
      </c>
      <c r="FZ277" s="2"/>
      <c r="GA277" s="2" t="s">
        <v>3</v>
      </c>
      <c r="GB277" s="2"/>
      <c r="GC277" s="2"/>
      <c r="GD277" s="2">
        <v>0</v>
      </c>
      <c r="GE277" s="2"/>
      <c r="GF277" s="2">
        <v>717419428</v>
      </c>
      <c r="GG277" s="2">
        <v>2</v>
      </c>
      <c r="GH277" s="2">
        <v>1</v>
      </c>
      <c r="GI277" s="2">
        <v>-2</v>
      </c>
      <c r="GJ277" s="2">
        <v>0</v>
      </c>
      <c r="GK277" s="2">
        <f>ROUND(R277*(R12)/100,2)</f>
        <v>0</v>
      </c>
      <c r="GL277" s="2">
        <f t="shared" si="215"/>
        <v>0</v>
      </c>
      <c r="GM277" s="2">
        <f t="shared" si="216"/>
        <v>2880.99</v>
      </c>
      <c r="GN277" s="2">
        <f t="shared" si="217"/>
        <v>2880.99</v>
      </c>
      <c r="GO277" s="2">
        <f t="shared" si="218"/>
        <v>0</v>
      </c>
      <c r="GP277" s="2">
        <f t="shared" si="219"/>
        <v>0</v>
      </c>
      <c r="GQ277" s="2"/>
      <c r="GR277" s="2">
        <v>0</v>
      </c>
      <c r="GS277" s="2">
        <v>0</v>
      </c>
      <c r="GT277" s="2">
        <v>0</v>
      </c>
      <c r="GU277" s="2" t="s">
        <v>3</v>
      </c>
      <c r="GV277" s="2">
        <f t="shared" si="220"/>
        <v>0</v>
      </c>
      <c r="GW277" s="2">
        <v>1</v>
      </c>
      <c r="GX277" s="2">
        <f t="shared" si="221"/>
        <v>0</v>
      </c>
      <c r="GY277" s="2"/>
      <c r="GZ277" s="2"/>
      <c r="HA277" s="2">
        <v>0</v>
      </c>
      <c r="HB277" s="2">
        <v>0</v>
      </c>
      <c r="HC277" s="2">
        <f t="shared" si="222"/>
        <v>0</v>
      </c>
      <c r="HD277" s="2"/>
      <c r="HE277" s="2" t="s">
        <v>3</v>
      </c>
      <c r="HF277" s="2" t="s">
        <v>3</v>
      </c>
      <c r="HG277" s="2"/>
      <c r="HH277" s="2"/>
      <c r="HI277" s="2"/>
      <c r="HJ277" s="2"/>
      <c r="HK277" s="2"/>
      <c r="HL277" s="2"/>
      <c r="HM277" s="2" t="s">
        <v>3</v>
      </c>
      <c r="HN277" s="2" t="s">
        <v>3</v>
      </c>
      <c r="HO277" s="2" t="s">
        <v>3</v>
      </c>
      <c r="HP277" s="2" t="s">
        <v>3</v>
      </c>
      <c r="HQ277" s="2" t="s">
        <v>3</v>
      </c>
      <c r="HR277" s="2"/>
      <c r="HS277" s="2"/>
      <c r="HT277" s="2"/>
      <c r="HU277" s="2"/>
      <c r="HV277" s="2"/>
      <c r="HW277" s="2"/>
      <c r="HX277" s="2"/>
      <c r="HY277" s="2"/>
      <c r="HZ277" s="2"/>
      <c r="IA277" s="2"/>
      <c r="IB277" s="2"/>
      <c r="IC277" s="2"/>
      <c r="ID277" s="2"/>
      <c r="IE277" s="2"/>
      <c r="IF277" s="2"/>
      <c r="IG277" s="2"/>
      <c r="IH277" s="2"/>
      <c r="II277" s="2"/>
      <c r="IJ277" s="2"/>
      <c r="IK277" s="2">
        <v>0</v>
      </c>
      <c r="IL277" s="2"/>
      <c r="IM277" s="2"/>
      <c r="IN277" s="2"/>
      <c r="IO277" s="2"/>
      <c r="IP277" s="2"/>
      <c r="IQ277" s="2"/>
      <c r="IR277" s="2"/>
      <c r="IS277" s="2"/>
      <c r="IT277" s="2"/>
      <c r="IU277" s="2"/>
    </row>
    <row r="278" spans="1:255" x14ac:dyDescent="0.2">
      <c r="A278">
        <v>18</v>
      </c>
      <c r="B278">
        <v>1</v>
      </c>
      <c r="C278">
        <v>262</v>
      </c>
      <c r="E278" t="s">
        <v>336</v>
      </c>
      <c r="F278" t="s">
        <v>337</v>
      </c>
      <c r="G278" t="s">
        <v>338</v>
      </c>
      <c r="H278" t="s">
        <v>258</v>
      </c>
      <c r="I278">
        <f>I276*J278</f>
        <v>42.2</v>
      </c>
      <c r="J278">
        <v>100.00000000000001</v>
      </c>
      <c r="K278">
        <v>100</v>
      </c>
      <c r="O278">
        <f t="shared" si="192"/>
        <v>35493.800000000003</v>
      </c>
      <c r="P278">
        <f t="shared" si="193"/>
        <v>35493.800000000003</v>
      </c>
      <c r="Q278">
        <f>(ROUND((ROUND(((ET278)*AV278*I278),2)*BB278),2)+ROUND((ROUND(((AE278-(EU278))*AV278*I278),2)*BS278),2))</f>
        <v>0</v>
      </c>
      <c r="R278">
        <f t="shared" si="194"/>
        <v>0</v>
      </c>
      <c r="S278">
        <f t="shared" si="195"/>
        <v>0</v>
      </c>
      <c r="T278">
        <f t="shared" si="196"/>
        <v>0</v>
      </c>
      <c r="U278">
        <f t="shared" si="197"/>
        <v>0</v>
      </c>
      <c r="V278">
        <f t="shared" si="198"/>
        <v>0</v>
      </c>
      <c r="W278">
        <f t="shared" si="199"/>
        <v>0</v>
      </c>
      <c r="X278">
        <f t="shared" si="200"/>
        <v>0</v>
      </c>
      <c r="Y278">
        <f t="shared" si="201"/>
        <v>0</v>
      </c>
      <c r="AA278">
        <v>129761633</v>
      </c>
      <c r="AB278">
        <f t="shared" si="202"/>
        <v>68.27</v>
      </c>
      <c r="AC278">
        <f t="shared" si="203"/>
        <v>68.27</v>
      </c>
      <c r="AD278">
        <f>ROUND((((ET278)-(EU278))+AE278),6)</f>
        <v>0</v>
      </c>
      <c r="AE278">
        <f>ROUND((EU278),6)</f>
        <v>0</v>
      </c>
      <c r="AF278">
        <f>ROUND((EV278),6)</f>
        <v>0</v>
      </c>
      <c r="AG278">
        <f t="shared" si="204"/>
        <v>0</v>
      </c>
      <c r="AH278">
        <f>(EW278)</f>
        <v>0</v>
      </c>
      <c r="AI278">
        <f>(EX278)</f>
        <v>0</v>
      </c>
      <c r="AJ278">
        <f t="shared" si="205"/>
        <v>0</v>
      </c>
      <c r="AK278">
        <v>68.27</v>
      </c>
      <c r="AL278">
        <v>68.27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1</v>
      </c>
      <c r="AW278">
        <v>1</v>
      </c>
      <c r="AZ278">
        <v>1</v>
      </c>
      <c r="BA278">
        <v>1</v>
      </c>
      <c r="BB278">
        <v>1</v>
      </c>
      <c r="BC278">
        <v>12.32</v>
      </c>
      <c r="BD278" t="s">
        <v>3</v>
      </c>
      <c r="BE278" t="s">
        <v>3</v>
      </c>
      <c r="BF278" t="s">
        <v>3</v>
      </c>
      <c r="BG278" t="s">
        <v>3</v>
      </c>
      <c r="BH278">
        <v>3</v>
      </c>
      <c r="BI278">
        <v>1</v>
      </c>
      <c r="BJ278" t="s">
        <v>339</v>
      </c>
      <c r="BM278">
        <v>111</v>
      </c>
      <c r="BN278">
        <v>0</v>
      </c>
      <c r="BO278" t="s">
        <v>337</v>
      </c>
      <c r="BP278">
        <v>1</v>
      </c>
      <c r="BQ278">
        <v>30</v>
      </c>
      <c r="BR278">
        <v>0</v>
      </c>
      <c r="BS278">
        <v>1</v>
      </c>
      <c r="BT278">
        <v>1</v>
      </c>
      <c r="BU278">
        <v>1</v>
      </c>
      <c r="BV278">
        <v>1</v>
      </c>
      <c r="BW278">
        <v>1</v>
      </c>
      <c r="BX278">
        <v>1</v>
      </c>
      <c r="BY278" t="s">
        <v>3</v>
      </c>
      <c r="BZ278">
        <v>0</v>
      </c>
      <c r="CA278">
        <v>0</v>
      </c>
      <c r="CB278" t="s">
        <v>3</v>
      </c>
      <c r="CE278">
        <v>30</v>
      </c>
      <c r="CF278">
        <v>0</v>
      </c>
      <c r="CG278">
        <v>0</v>
      </c>
      <c r="CM278">
        <v>0</v>
      </c>
      <c r="CN278" t="s">
        <v>3</v>
      </c>
      <c r="CO278">
        <v>0</v>
      </c>
      <c r="CP278">
        <f t="shared" si="206"/>
        <v>35493.800000000003</v>
      </c>
      <c r="CQ278">
        <f t="shared" si="207"/>
        <v>841.09</v>
      </c>
      <c r="CR278">
        <f>(ROUND((ROUND(((ET278)*AV278*1),2)*BB278),2)+ROUND((ROUND(((AE278-(EU278))*AV278*1),2)*BS278),2))</f>
        <v>0</v>
      </c>
      <c r="CS278">
        <f t="shared" si="208"/>
        <v>0</v>
      </c>
      <c r="CT278">
        <f t="shared" si="209"/>
        <v>0</v>
      </c>
      <c r="CU278">
        <f t="shared" si="210"/>
        <v>0</v>
      </c>
      <c r="CV278">
        <f t="shared" si="211"/>
        <v>0</v>
      </c>
      <c r="CW278">
        <f t="shared" si="212"/>
        <v>0</v>
      </c>
      <c r="CX278">
        <f t="shared" si="213"/>
        <v>0</v>
      </c>
      <c r="CY278">
        <f>S278*(BZ278/100)</f>
        <v>0</v>
      </c>
      <c r="CZ278">
        <f>S278*(CA278/100)</f>
        <v>0</v>
      </c>
      <c r="DC278" t="s">
        <v>3</v>
      </c>
      <c r="DD278" t="s">
        <v>3</v>
      </c>
      <c r="DE278" t="s">
        <v>3</v>
      </c>
      <c r="DF278" t="s">
        <v>3</v>
      </c>
      <c r="DG278" t="s">
        <v>3</v>
      </c>
      <c r="DH278" t="s">
        <v>3</v>
      </c>
      <c r="DI278" t="s">
        <v>3</v>
      </c>
      <c r="DJ278" t="s">
        <v>3</v>
      </c>
      <c r="DK278" t="s">
        <v>3</v>
      </c>
      <c r="DL278" t="s">
        <v>3</v>
      </c>
      <c r="DM278" t="s">
        <v>3</v>
      </c>
      <c r="DN278">
        <v>100</v>
      </c>
      <c r="DO278">
        <v>64</v>
      </c>
      <c r="DP278">
        <v>1</v>
      </c>
      <c r="DQ278">
        <v>1</v>
      </c>
      <c r="DU278">
        <v>1005</v>
      </c>
      <c r="DV278" t="s">
        <v>258</v>
      </c>
      <c r="DW278" t="s">
        <v>258</v>
      </c>
      <c r="DX278">
        <v>1</v>
      </c>
      <c r="DZ278" t="s">
        <v>3</v>
      </c>
      <c r="EA278" t="s">
        <v>3</v>
      </c>
      <c r="EB278" t="s">
        <v>3</v>
      </c>
      <c r="EC278" t="s">
        <v>3</v>
      </c>
      <c r="EE278">
        <v>126051572</v>
      </c>
      <c r="EF278">
        <v>30</v>
      </c>
      <c r="EG278" t="s">
        <v>23</v>
      </c>
      <c r="EH278">
        <v>0</v>
      </c>
      <c r="EI278" t="s">
        <v>3</v>
      </c>
      <c r="EJ278">
        <v>1</v>
      </c>
      <c r="EK278">
        <v>111</v>
      </c>
      <c r="EL278" t="s">
        <v>334</v>
      </c>
      <c r="EM278" t="s">
        <v>335</v>
      </c>
      <c r="EO278" t="s">
        <v>3</v>
      </c>
      <c r="EQ278">
        <v>0</v>
      </c>
      <c r="ER278">
        <v>68.27</v>
      </c>
      <c r="ES278">
        <v>68.27</v>
      </c>
      <c r="ET278">
        <v>0</v>
      </c>
      <c r="EU278">
        <v>0</v>
      </c>
      <c r="EV278">
        <v>0</v>
      </c>
      <c r="EW278">
        <v>0</v>
      </c>
      <c r="EX278">
        <v>0</v>
      </c>
      <c r="FQ278">
        <v>0</v>
      </c>
      <c r="FR278">
        <f t="shared" si="214"/>
        <v>0</v>
      </c>
      <c r="FS278">
        <v>0</v>
      </c>
      <c r="FX278">
        <v>100</v>
      </c>
      <c r="FY278">
        <v>64</v>
      </c>
      <c r="GA278" t="s">
        <v>3</v>
      </c>
      <c r="GD278">
        <v>0</v>
      </c>
      <c r="GF278">
        <v>717419428</v>
      </c>
      <c r="GG278">
        <v>2</v>
      </c>
      <c r="GH278">
        <v>1</v>
      </c>
      <c r="GI278">
        <v>2</v>
      </c>
      <c r="GJ278">
        <v>0</v>
      </c>
      <c r="GK278">
        <f>ROUND(R278*(S12)/100,2)</f>
        <v>0</v>
      </c>
      <c r="GL278">
        <f t="shared" si="215"/>
        <v>0</v>
      </c>
      <c r="GM278">
        <f t="shared" si="216"/>
        <v>35493.800000000003</v>
      </c>
      <c r="GN278">
        <f t="shared" si="217"/>
        <v>35493.800000000003</v>
      </c>
      <c r="GO278">
        <f t="shared" si="218"/>
        <v>0</v>
      </c>
      <c r="GP278">
        <f t="shared" si="219"/>
        <v>0</v>
      </c>
      <c r="GR278">
        <v>0</v>
      </c>
      <c r="GS278">
        <v>3</v>
      </c>
      <c r="GT278">
        <v>0</v>
      </c>
      <c r="GU278" t="s">
        <v>3</v>
      </c>
      <c r="GV278">
        <f t="shared" si="220"/>
        <v>0</v>
      </c>
      <c r="GW278">
        <v>1</v>
      </c>
      <c r="GX278">
        <f t="shared" si="221"/>
        <v>0</v>
      </c>
      <c r="HA278">
        <v>0</v>
      </c>
      <c r="HB278">
        <v>0</v>
      </c>
      <c r="HC278">
        <f t="shared" si="222"/>
        <v>0</v>
      </c>
      <c r="HE278" t="s">
        <v>3</v>
      </c>
      <c r="HF278" t="s">
        <v>3</v>
      </c>
      <c r="HM278" t="s">
        <v>3</v>
      </c>
      <c r="HN278" t="s">
        <v>3</v>
      </c>
      <c r="HO278" t="s">
        <v>3</v>
      </c>
      <c r="HP278" t="s">
        <v>3</v>
      </c>
      <c r="HQ278" t="s">
        <v>3</v>
      </c>
      <c r="IK278">
        <v>0</v>
      </c>
    </row>
    <row r="279" spans="1:255" x14ac:dyDescent="0.2">
      <c r="A279" s="2">
        <v>17</v>
      </c>
      <c r="B279" s="2">
        <v>1</v>
      </c>
      <c r="C279" s="2">
        <f>ROW(SmtRes!A272)</f>
        <v>272</v>
      </c>
      <c r="D279" s="2">
        <f>ROW(EtalonRes!A278)</f>
        <v>278</v>
      </c>
      <c r="E279" s="2" t="s">
        <v>340</v>
      </c>
      <c r="F279" s="2" t="s">
        <v>341</v>
      </c>
      <c r="G279" s="2" t="s">
        <v>342</v>
      </c>
      <c r="H279" s="2" t="s">
        <v>343</v>
      </c>
      <c r="I279" s="2">
        <v>0.123</v>
      </c>
      <c r="J279" s="2">
        <v>0</v>
      </c>
      <c r="K279" s="2">
        <v>0.123</v>
      </c>
      <c r="L279" s="2"/>
      <c r="M279" s="2"/>
      <c r="N279" s="2"/>
      <c r="O279" s="2">
        <f t="shared" si="192"/>
        <v>147.32</v>
      </c>
      <c r="P279" s="2">
        <f t="shared" si="193"/>
        <v>11.71</v>
      </c>
      <c r="Q279" s="2">
        <f>(ROUND((ROUND((((ET279*1.25))*AV279*I279),2)*BB279),2)+ROUND((ROUND(((AE279-((EU279*1.25)))*AV279*I279),2)*BS279),2))</f>
        <v>17.920000000000002</v>
      </c>
      <c r="R279" s="2">
        <f t="shared" si="194"/>
        <v>9.0399999999999991</v>
      </c>
      <c r="S279" s="2">
        <f t="shared" si="195"/>
        <v>117.69</v>
      </c>
      <c r="T279" s="2">
        <f t="shared" si="196"/>
        <v>0</v>
      </c>
      <c r="U279" s="2">
        <f t="shared" si="197"/>
        <v>9.1942500000000003</v>
      </c>
      <c r="V279" s="2">
        <f t="shared" si="198"/>
        <v>0</v>
      </c>
      <c r="W279" s="2">
        <f t="shared" si="199"/>
        <v>0</v>
      </c>
      <c r="X279" s="2">
        <f t="shared" si="200"/>
        <v>117.69</v>
      </c>
      <c r="Y279" s="2">
        <f t="shared" si="201"/>
        <v>75.319999999999993</v>
      </c>
      <c r="Z279" s="2"/>
      <c r="AA279" s="2">
        <v>129761636</v>
      </c>
      <c r="AB279" s="2">
        <f t="shared" si="202"/>
        <v>1197.71</v>
      </c>
      <c r="AC279" s="2">
        <f t="shared" si="203"/>
        <v>95.21</v>
      </c>
      <c r="AD279" s="2">
        <f>ROUND(((((ET279*1.25))-((EU279*1.25)))+AE279),6)</f>
        <v>145.69999999999999</v>
      </c>
      <c r="AE279" s="2">
        <f>ROUND(((EU279*1.25)),6)</f>
        <v>73.5</v>
      </c>
      <c r="AF279" s="2">
        <f>ROUND(((EV279*1.15)),6)</f>
        <v>956.8</v>
      </c>
      <c r="AG279" s="2">
        <f t="shared" si="204"/>
        <v>0</v>
      </c>
      <c r="AH279" s="2">
        <f>((EW279*1.15))</f>
        <v>74.75</v>
      </c>
      <c r="AI279" s="2">
        <f>((EX279*1.25))</f>
        <v>0</v>
      </c>
      <c r="AJ279" s="2">
        <f t="shared" si="205"/>
        <v>0</v>
      </c>
      <c r="AK279" s="2">
        <v>1043.77</v>
      </c>
      <c r="AL279" s="2">
        <v>95.21</v>
      </c>
      <c r="AM279" s="2">
        <v>116.56</v>
      </c>
      <c r="AN279" s="2">
        <v>58.8</v>
      </c>
      <c r="AO279" s="2">
        <v>832</v>
      </c>
      <c r="AP279" s="2">
        <v>0</v>
      </c>
      <c r="AQ279" s="2">
        <v>65</v>
      </c>
      <c r="AR279" s="2">
        <v>0</v>
      </c>
      <c r="AS279" s="2">
        <v>0</v>
      </c>
      <c r="AT279" s="2">
        <v>100</v>
      </c>
      <c r="AU279" s="2">
        <v>64</v>
      </c>
      <c r="AV279" s="2">
        <v>1</v>
      </c>
      <c r="AW279" s="2">
        <v>1</v>
      </c>
      <c r="AX279" s="2"/>
      <c r="AY279" s="2"/>
      <c r="AZ279" s="2">
        <v>1</v>
      </c>
      <c r="BA279" s="2">
        <v>1</v>
      </c>
      <c r="BB279" s="2">
        <v>1</v>
      </c>
      <c r="BC279" s="2">
        <v>1</v>
      </c>
      <c r="BD279" s="2" t="s">
        <v>3</v>
      </c>
      <c r="BE279" s="2" t="s">
        <v>3</v>
      </c>
      <c r="BF279" s="2" t="s">
        <v>3</v>
      </c>
      <c r="BG279" s="2" t="s">
        <v>3</v>
      </c>
      <c r="BH279" s="2">
        <v>0</v>
      </c>
      <c r="BI279" s="2">
        <v>1</v>
      </c>
      <c r="BJ279" s="2" t="s">
        <v>344</v>
      </c>
      <c r="BK279" s="2"/>
      <c r="BL279" s="2"/>
      <c r="BM279" s="2">
        <v>115</v>
      </c>
      <c r="BN279" s="2">
        <v>0</v>
      </c>
      <c r="BO279" s="2" t="s">
        <v>3</v>
      </c>
      <c r="BP279" s="2">
        <v>0</v>
      </c>
      <c r="BQ279" s="2">
        <v>30</v>
      </c>
      <c r="BR279" s="2">
        <v>0</v>
      </c>
      <c r="BS279" s="2">
        <v>1</v>
      </c>
      <c r="BT279" s="2">
        <v>1</v>
      </c>
      <c r="BU279" s="2">
        <v>1</v>
      </c>
      <c r="BV279" s="2">
        <v>1</v>
      </c>
      <c r="BW279" s="2">
        <v>1</v>
      </c>
      <c r="BX279" s="2">
        <v>1</v>
      </c>
      <c r="BY279" s="2" t="s">
        <v>3</v>
      </c>
      <c r="BZ279" s="2">
        <v>100</v>
      </c>
      <c r="CA279" s="2">
        <v>64</v>
      </c>
      <c r="CB279" s="2" t="s">
        <v>3</v>
      </c>
      <c r="CC279" s="2"/>
      <c r="CD279" s="2"/>
      <c r="CE279" s="2">
        <v>30</v>
      </c>
      <c r="CF279" s="2">
        <v>0</v>
      </c>
      <c r="CG279" s="2">
        <v>0</v>
      </c>
      <c r="CH279" s="2"/>
      <c r="CI279" s="2"/>
      <c r="CJ279" s="2"/>
      <c r="CK279" s="2"/>
      <c r="CL279" s="2"/>
      <c r="CM279" s="2">
        <v>0</v>
      </c>
      <c r="CN279" s="2" t="s">
        <v>1559</v>
      </c>
      <c r="CO279" s="2">
        <v>0</v>
      </c>
      <c r="CP279" s="2">
        <f t="shared" si="206"/>
        <v>147.32</v>
      </c>
      <c r="CQ279" s="2">
        <f t="shared" si="207"/>
        <v>95.21</v>
      </c>
      <c r="CR279" s="2">
        <f>(ROUND((ROUND((((ET279*1.25))*AV279*1),2)*BB279),2)+ROUND((ROUND(((AE279-((EU279*1.25)))*AV279*1),2)*BS279),2))</f>
        <v>145.69999999999999</v>
      </c>
      <c r="CS279" s="2">
        <f t="shared" si="208"/>
        <v>73.5</v>
      </c>
      <c r="CT279" s="2">
        <f t="shared" si="209"/>
        <v>956.8</v>
      </c>
      <c r="CU279" s="2">
        <f t="shared" si="210"/>
        <v>0</v>
      </c>
      <c r="CV279" s="2">
        <f t="shared" si="211"/>
        <v>74.75</v>
      </c>
      <c r="CW279" s="2">
        <f t="shared" si="212"/>
        <v>0</v>
      </c>
      <c r="CX279" s="2">
        <f t="shared" si="213"/>
        <v>0</v>
      </c>
      <c r="CY279" s="2">
        <f>((S279*BZ279)/100)</f>
        <v>117.69</v>
      </c>
      <c r="CZ279" s="2">
        <f>((S279*CA279)/100)</f>
        <v>75.321600000000004</v>
      </c>
      <c r="DA279" s="2"/>
      <c r="DB279" s="2"/>
      <c r="DC279" s="2" t="s">
        <v>3</v>
      </c>
      <c r="DD279" s="2" t="s">
        <v>3</v>
      </c>
      <c r="DE279" s="2" t="s">
        <v>86</v>
      </c>
      <c r="DF279" s="2" t="s">
        <v>86</v>
      </c>
      <c r="DG279" s="2" t="s">
        <v>87</v>
      </c>
      <c r="DH279" s="2" t="s">
        <v>3</v>
      </c>
      <c r="DI279" s="2" t="s">
        <v>87</v>
      </c>
      <c r="DJ279" s="2" t="s">
        <v>86</v>
      </c>
      <c r="DK279" s="2" t="s">
        <v>3</v>
      </c>
      <c r="DL279" s="2" t="s">
        <v>3</v>
      </c>
      <c r="DM279" s="2" t="s">
        <v>3</v>
      </c>
      <c r="DN279" s="2">
        <v>0</v>
      </c>
      <c r="DO279" s="2">
        <v>0</v>
      </c>
      <c r="DP279" s="2">
        <v>1</v>
      </c>
      <c r="DQ279" s="2">
        <v>1</v>
      </c>
      <c r="DR279" s="2"/>
      <c r="DS279" s="2"/>
      <c r="DT279" s="2"/>
      <c r="DU279" s="2">
        <v>1013</v>
      </c>
      <c r="DV279" s="2" t="s">
        <v>343</v>
      </c>
      <c r="DW279" s="2" t="s">
        <v>343</v>
      </c>
      <c r="DX279" s="2">
        <v>1</v>
      </c>
      <c r="DY279" s="2"/>
      <c r="DZ279" s="2" t="s">
        <v>3</v>
      </c>
      <c r="EA279" s="2" t="s">
        <v>3</v>
      </c>
      <c r="EB279" s="2" t="s">
        <v>3</v>
      </c>
      <c r="EC279" s="2" t="s">
        <v>3</v>
      </c>
      <c r="ED279" s="2"/>
      <c r="EE279" s="2">
        <v>126051576</v>
      </c>
      <c r="EF279" s="2">
        <v>30</v>
      </c>
      <c r="EG279" s="2" t="s">
        <v>23</v>
      </c>
      <c r="EH279" s="2">
        <v>0</v>
      </c>
      <c r="EI279" s="2" t="s">
        <v>3</v>
      </c>
      <c r="EJ279" s="2">
        <v>1</v>
      </c>
      <c r="EK279" s="2">
        <v>115</v>
      </c>
      <c r="EL279" s="2" t="s">
        <v>345</v>
      </c>
      <c r="EM279" s="2" t="s">
        <v>346</v>
      </c>
      <c r="EN279" s="2"/>
      <c r="EO279" s="2" t="s">
        <v>90</v>
      </c>
      <c r="EP279" s="2"/>
      <c r="EQ279" s="2">
        <v>131072</v>
      </c>
      <c r="ER279" s="2">
        <v>1043.77</v>
      </c>
      <c r="ES279" s="2">
        <v>95.21</v>
      </c>
      <c r="ET279" s="2">
        <v>116.56</v>
      </c>
      <c r="EU279" s="2">
        <v>58.8</v>
      </c>
      <c r="EV279" s="2">
        <v>832</v>
      </c>
      <c r="EW279" s="2">
        <v>65</v>
      </c>
      <c r="EX279" s="2">
        <v>0</v>
      </c>
      <c r="EY279" s="2">
        <v>0</v>
      </c>
      <c r="EZ279" s="2"/>
      <c r="FA279" s="2"/>
      <c r="FB279" s="2"/>
      <c r="FC279" s="2"/>
      <c r="FD279" s="2"/>
      <c r="FE279" s="2"/>
      <c r="FF279" s="2"/>
      <c r="FG279" s="2"/>
      <c r="FH279" s="2"/>
      <c r="FI279" s="2"/>
      <c r="FJ279" s="2"/>
      <c r="FK279" s="2"/>
      <c r="FL279" s="2"/>
      <c r="FM279" s="2"/>
      <c r="FN279" s="2"/>
      <c r="FO279" s="2"/>
      <c r="FP279" s="2"/>
      <c r="FQ279" s="2">
        <v>0</v>
      </c>
      <c r="FR279" s="2">
        <f t="shared" si="214"/>
        <v>0</v>
      </c>
      <c r="FS279" s="2">
        <v>0</v>
      </c>
      <c r="FT279" s="2"/>
      <c r="FU279" s="2"/>
      <c r="FV279" s="2"/>
      <c r="FW279" s="2"/>
      <c r="FX279" s="2">
        <v>100</v>
      </c>
      <c r="FY279" s="2">
        <v>64</v>
      </c>
      <c r="FZ279" s="2"/>
      <c r="GA279" s="2" t="s">
        <v>3</v>
      </c>
      <c r="GB279" s="2"/>
      <c r="GC279" s="2"/>
      <c r="GD279" s="2">
        <v>0</v>
      </c>
      <c r="GE279" s="2"/>
      <c r="GF279" s="2">
        <v>1111483583</v>
      </c>
      <c r="GG279" s="2">
        <v>2</v>
      </c>
      <c r="GH279" s="2">
        <v>1</v>
      </c>
      <c r="GI279" s="2">
        <v>-2</v>
      </c>
      <c r="GJ279" s="2">
        <v>0</v>
      </c>
      <c r="GK279" s="2">
        <f>ROUND(R279*(R12)/100,2)</f>
        <v>15.82</v>
      </c>
      <c r="GL279" s="2">
        <f t="shared" si="215"/>
        <v>0</v>
      </c>
      <c r="GM279" s="2">
        <f t="shared" si="216"/>
        <v>356.15</v>
      </c>
      <c r="GN279" s="2">
        <f t="shared" si="217"/>
        <v>356.15</v>
      </c>
      <c r="GO279" s="2">
        <f t="shared" si="218"/>
        <v>0</v>
      </c>
      <c r="GP279" s="2">
        <f t="shared" si="219"/>
        <v>0</v>
      </c>
      <c r="GQ279" s="2"/>
      <c r="GR279" s="2">
        <v>0</v>
      </c>
      <c r="GS279" s="2">
        <v>0</v>
      </c>
      <c r="GT279" s="2">
        <v>0</v>
      </c>
      <c r="GU279" s="2" t="s">
        <v>3</v>
      </c>
      <c r="GV279" s="2">
        <f t="shared" si="220"/>
        <v>0</v>
      </c>
      <c r="GW279" s="2">
        <v>1</v>
      </c>
      <c r="GX279" s="2">
        <f t="shared" si="221"/>
        <v>0</v>
      </c>
      <c r="GY279" s="2"/>
      <c r="GZ279" s="2"/>
      <c r="HA279" s="2">
        <v>0</v>
      </c>
      <c r="HB279" s="2">
        <v>0</v>
      </c>
      <c r="HC279" s="2">
        <f t="shared" si="222"/>
        <v>0</v>
      </c>
      <c r="HD279" s="2"/>
      <c r="HE279" s="2" t="s">
        <v>3</v>
      </c>
      <c r="HF279" s="2" t="s">
        <v>3</v>
      </c>
      <c r="HG279" s="2"/>
      <c r="HH279" s="2"/>
      <c r="HI279" s="2"/>
      <c r="HJ279" s="2"/>
      <c r="HK279" s="2"/>
      <c r="HL279" s="2"/>
      <c r="HM279" s="2" t="s">
        <v>3</v>
      </c>
      <c r="HN279" s="2" t="s">
        <v>3</v>
      </c>
      <c r="HO279" s="2" t="s">
        <v>3</v>
      </c>
      <c r="HP279" s="2" t="s">
        <v>3</v>
      </c>
      <c r="HQ279" s="2" t="s">
        <v>3</v>
      </c>
      <c r="HR279" s="2"/>
      <c r="HS279" s="2"/>
      <c r="HT279" s="2"/>
      <c r="HU279" s="2"/>
      <c r="HV279" s="2"/>
      <c r="HW279" s="2"/>
      <c r="HX279" s="2"/>
      <c r="HY279" s="2"/>
      <c r="HZ279" s="2"/>
      <c r="IA279" s="2"/>
      <c r="IB279" s="2"/>
      <c r="IC279" s="2"/>
      <c r="ID279" s="2"/>
      <c r="IE279" s="2"/>
      <c r="IF279" s="2"/>
      <c r="IG279" s="2"/>
      <c r="IH279" s="2"/>
      <c r="II279" s="2"/>
      <c r="IJ279" s="2"/>
      <c r="IK279" s="2">
        <v>0</v>
      </c>
      <c r="IL279" s="2"/>
      <c r="IM279" s="2"/>
      <c r="IN279" s="2"/>
      <c r="IO279" s="2"/>
      <c r="IP279" s="2"/>
      <c r="IQ279" s="2"/>
      <c r="IR279" s="2"/>
      <c r="IS279" s="2"/>
      <c r="IT279" s="2"/>
      <c r="IU279" s="2"/>
    </row>
    <row r="280" spans="1:255" x14ac:dyDescent="0.2">
      <c r="A280">
        <v>17</v>
      </c>
      <c r="B280">
        <v>1</v>
      </c>
      <c r="C280">
        <f>ROW(SmtRes!A280)</f>
        <v>280</v>
      </c>
      <c r="D280">
        <f>ROW(EtalonRes!A286)</f>
        <v>286</v>
      </c>
      <c r="E280" t="s">
        <v>340</v>
      </c>
      <c r="F280" t="s">
        <v>341</v>
      </c>
      <c r="G280" t="s">
        <v>342</v>
      </c>
      <c r="H280" t="s">
        <v>343</v>
      </c>
      <c r="I280">
        <v>0.123</v>
      </c>
      <c r="J280">
        <v>0</v>
      </c>
      <c r="K280">
        <v>0.123</v>
      </c>
      <c r="O280">
        <f t="shared" si="192"/>
        <v>4081.87</v>
      </c>
      <c r="P280">
        <f t="shared" si="193"/>
        <v>276.82</v>
      </c>
      <c r="Q280">
        <f>(ROUND((ROUND((((ET280*1.25))*AV280*I280),2)*BB280),2)+ROUND((ROUND(((AE280-((EU280*1.25)))*AV280*I280),2)*BS280),2))</f>
        <v>388.51</v>
      </c>
      <c r="R280">
        <f t="shared" si="194"/>
        <v>262.43</v>
      </c>
      <c r="S280">
        <f t="shared" si="195"/>
        <v>3416.54</v>
      </c>
      <c r="T280">
        <f t="shared" si="196"/>
        <v>0</v>
      </c>
      <c r="U280">
        <f t="shared" si="197"/>
        <v>9.1942500000000003</v>
      </c>
      <c r="V280">
        <f t="shared" si="198"/>
        <v>0</v>
      </c>
      <c r="W280">
        <f t="shared" si="199"/>
        <v>0</v>
      </c>
      <c r="X280">
        <f t="shared" si="200"/>
        <v>2835.73</v>
      </c>
      <c r="Y280">
        <f t="shared" si="201"/>
        <v>1400.78</v>
      </c>
      <c r="AA280">
        <v>129761633</v>
      </c>
      <c r="AB280">
        <f t="shared" si="202"/>
        <v>1197.71</v>
      </c>
      <c r="AC280">
        <f t="shared" si="203"/>
        <v>95.21</v>
      </c>
      <c r="AD280">
        <f>ROUND(((((ET280*1.25))-((EU280*1.25)))+AE280),6)</f>
        <v>145.69999999999999</v>
      </c>
      <c r="AE280">
        <f>ROUND(((EU280*1.25)),6)</f>
        <v>73.5</v>
      </c>
      <c r="AF280">
        <f>ROUND(((EV280*1.15)),6)</f>
        <v>956.8</v>
      </c>
      <c r="AG280">
        <f t="shared" si="204"/>
        <v>0</v>
      </c>
      <c r="AH280">
        <f>((EW280*1.15))</f>
        <v>74.75</v>
      </c>
      <c r="AI280">
        <f>((EX280*1.25))</f>
        <v>0</v>
      </c>
      <c r="AJ280">
        <f t="shared" si="205"/>
        <v>0</v>
      </c>
      <c r="AK280">
        <v>1043.77</v>
      </c>
      <c r="AL280">
        <v>95.21</v>
      </c>
      <c r="AM280">
        <v>116.56</v>
      </c>
      <c r="AN280">
        <v>58.8</v>
      </c>
      <c r="AO280">
        <v>832</v>
      </c>
      <c r="AP280">
        <v>0</v>
      </c>
      <c r="AQ280">
        <v>65</v>
      </c>
      <c r="AR280">
        <v>0</v>
      </c>
      <c r="AS280">
        <v>0</v>
      </c>
      <c r="AT280">
        <v>83</v>
      </c>
      <c r="AU280">
        <v>41</v>
      </c>
      <c r="AV280">
        <v>1</v>
      </c>
      <c r="AW280">
        <v>1</v>
      </c>
      <c r="AZ280">
        <v>1</v>
      </c>
      <c r="BA280">
        <v>29.03</v>
      </c>
      <c r="BB280">
        <v>21.68</v>
      </c>
      <c r="BC280">
        <v>23.64</v>
      </c>
      <c r="BD280" t="s">
        <v>3</v>
      </c>
      <c r="BE280" t="s">
        <v>3</v>
      </c>
      <c r="BF280" t="s">
        <v>3</v>
      </c>
      <c r="BG280" t="s">
        <v>3</v>
      </c>
      <c r="BH280">
        <v>0</v>
      </c>
      <c r="BI280">
        <v>1</v>
      </c>
      <c r="BJ280" t="s">
        <v>344</v>
      </c>
      <c r="BM280">
        <v>115</v>
      </c>
      <c r="BN280">
        <v>0</v>
      </c>
      <c r="BO280" t="s">
        <v>341</v>
      </c>
      <c r="BP280">
        <v>1</v>
      </c>
      <c r="BQ280">
        <v>30</v>
      </c>
      <c r="BR280">
        <v>0</v>
      </c>
      <c r="BS280">
        <v>29.03</v>
      </c>
      <c r="BT280">
        <v>1</v>
      </c>
      <c r="BU280">
        <v>1</v>
      </c>
      <c r="BV280">
        <v>1</v>
      </c>
      <c r="BW280">
        <v>1</v>
      </c>
      <c r="BX280">
        <v>1</v>
      </c>
      <c r="BY280" t="s">
        <v>3</v>
      </c>
      <c r="BZ280">
        <v>83</v>
      </c>
      <c r="CA280">
        <v>41</v>
      </c>
      <c r="CB280" t="s">
        <v>3</v>
      </c>
      <c r="CE280">
        <v>30</v>
      </c>
      <c r="CF280">
        <v>0</v>
      </c>
      <c r="CG280">
        <v>0</v>
      </c>
      <c r="CM280">
        <v>0</v>
      </c>
      <c r="CN280" t="s">
        <v>1559</v>
      </c>
      <c r="CO280">
        <v>0</v>
      </c>
      <c r="CP280">
        <f t="shared" si="206"/>
        <v>4081.87</v>
      </c>
      <c r="CQ280">
        <f t="shared" si="207"/>
        <v>2250.7600000000002</v>
      </c>
      <c r="CR280">
        <f>(ROUND((ROUND((((ET280*1.25))*AV280*1),2)*BB280),2)+ROUND((ROUND(((AE280-((EU280*1.25)))*AV280*1),2)*BS280),2))</f>
        <v>3158.78</v>
      </c>
      <c r="CS280">
        <f t="shared" si="208"/>
        <v>2133.71</v>
      </c>
      <c r="CT280">
        <f t="shared" si="209"/>
        <v>27775.9</v>
      </c>
      <c r="CU280">
        <f t="shared" si="210"/>
        <v>0</v>
      </c>
      <c r="CV280">
        <f t="shared" si="211"/>
        <v>74.75</v>
      </c>
      <c r="CW280">
        <f t="shared" si="212"/>
        <v>0</v>
      </c>
      <c r="CX280">
        <f t="shared" si="213"/>
        <v>0</v>
      </c>
      <c r="CY280">
        <f>S280*(BZ280/100)</f>
        <v>2835.7282</v>
      </c>
      <c r="CZ280">
        <f>S280*(CA280/100)</f>
        <v>1400.7813999999998</v>
      </c>
      <c r="DC280" t="s">
        <v>3</v>
      </c>
      <c r="DD280" t="s">
        <v>3</v>
      </c>
      <c r="DE280" t="s">
        <v>86</v>
      </c>
      <c r="DF280" t="s">
        <v>86</v>
      </c>
      <c r="DG280" t="s">
        <v>87</v>
      </c>
      <c r="DH280" t="s">
        <v>3</v>
      </c>
      <c r="DI280" t="s">
        <v>87</v>
      </c>
      <c r="DJ280" t="s">
        <v>86</v>
      </c>
      <c r="DK280" t="s">
        <v>3</v>
      </c>
      <c r="DL280" t="s">
        <v>3</v>
      </c>
      <c r="DM280" t="s">
        <v>3</v>
      </c>
      <c r="DN280">
        <v>100</v>
      </c>
      <c r="DO280">
        <v>64</v>
      </c>
      <c r="DP280">
        <v>1</v>
      </c>
      <c r="DQ280">
        <v>1</v>
      </c>
      <c r="DU280">
        <v>1013</v>
      </c>
      <c r="DV280" t="s">
        <v>343</v>
      </c>
      <c r="DW280" t="s">
        <v>343</v>
      </c>
      <c r="DX280">
        <v>1</v>
      </c>
      <c r="DZ280" t="s">
        <v>3</v>
      </c>
      <c r="EA280" t="s">
        <v>3</v>
      </c>
      <c r="EB280" t="s">
        <v>3</v>
      </c>
      <c r="EC280" t="s">
        <v>3</v>
      </c>
      <c r="EE280">
        <v>126051576</v>
      </c>
      <c r="EF280">
        <v>30</v>
      </c>
      <c r="EG280" t="s">
        <v>23</v>
      </c>
      <c r="EH280">
        <v>0</v>
      </c>
      <c r="EI280" t="s">
        <v>3</v>
      </c>
      <c r="EJ280">
        <v>1</v>
      </c>
      <c r="EK280">
        <v>115</v>
      </c>
      <c r="EL280" t="s">
        <v>345</v>
      </c>
      <c r="EM280" t="s">
        <v>346</v>
      </c>
      <c r="EO280" t="s">
        <v>90</v>
      </c>
      <c r="EQ280">
        <v>131072</v>
      </c>
      <c r="ER280">
        <v>1043.77</v>
      </c>
      <c r="ES280">
        <v>95.21</v>
      </c>
      <c r="ET280">
        <v>116.56</v>
      </c>
      <c r="EU280">
        <v>58.8</v>
      </c>
      <c r="EV280">
        <v>832</v>
      </c>
      <c r="EW280">
        <v>65</v>
      </c>
      <c r="EX280">
        <v>0</v>
      </c>
      <c r="EY280">
        <v>0</v>
      </c>
      <c r="FQ280">
        <v>0</v>
      </c>
      <c r="FR280">
        <f t="shared" si="214"/>
        <v>0</v>
      </c>
      <c r="FS280">
        <v>0</v>
      </c>
      <c r="FX280">
        <v>100</v>
      </c>
      <c r="FY280">
        <v>64</v>
      </c>
      <c r="GA280" t="s">
        <v>3</v>
      </c>
      <c r="GD280">
        <v>0</v>
      </c>
      <c r="GF280">
        <v>1111483583</v>
      </c>
      <c r="GG280">
        <v>2</v>
      </c>
      <c r="GH280">
        <v>1</v>
      </c>
      <c r="GI280">
        <v>2</v>
      </c>
      <c r="GJ280">
        <v>0</v>
      </c>
      <c r="GK280">
        <f>ROUND(R280*(S12)/100,2)</f>
        <v>419.89</v>
      </c>
      <c r="GL280">
        <f t="shared" si="215"/>
        <v>0</v>
      </c>
      <c r="GM280">
        <f t="shared" si="216"/>
        <v>8738.27</v>
      </c>
      <c r="GN280">
        <f t="shared" si="217"/>
        <v>8738.27</v>
      </c>
      <c r="GO280">
        <f t="shared" si="218"/>
        <v>0</v>
      </c>
      <c r="GP280">
        <f t="shared" si="219"/>
        <v>0</v>
      </c>
      <c r="GR280">
        <v>0</v>
      </c>
      <c r="GS280">
        <v>3</v>
      </c>
      <c r="GT280">
        <v>0</v>
      </c>
      <c r="GU280" t="s">
        <v>3</v>
      </c>
      <c r="GV280">
        <f t="shared" si="220"/>
        <v>0</v>
      </c>
      <c r="GW280">
        <v>1</v>
      </c>
      <c r="GX280">
        <f t="shared" si="221"/>
        <v>0</v>
      </c>
      <c r="HA280">
        <v>0</v>
      </c>
      <c r="HB280">
        <v>0</v>
      </c>
      <c r="HC280">
        <f t="shared" si="222"/>
        <v>0</v>
      </c>
      <c r="HE280" t="s">
        <v>3</v>
      </c>
      <c r="HF280" t="s">
        <v>3</v>
      </c>
      <c r="HM280" t="s">
        <v>3</v>
      </c>
      <c r="HN280" t="s">
        <v>3</v>
      </c>
      <c r="HO280" t="s">
        <v>3</v>
      </c>
      <c r="HP280" t="s">
        <v>3</v>
      </c>
      <c r="HQ280" t="s">
        <v>3</v>
      </c>
      <c r="IK280">
        <v>0</v>
      </c>
    </row>
    <row r="281" spans="1:255" x14ac:dyDescent="0.2">
      <c r="A281" s="2">
        <v>18</v>
      </c>
      <c r="B281" s="2">
        <v>1</v>
      </c>
      <c r="C281" s="2">
        <v>269</v>
      </c>
      <c r="D281" s="2"/>
      <c r="E281" s="2" t="s">
        <v>347</v>
      </c>
      <c r="F281" s="2" t="s">
        <v>348</v>
      </c>
      <c r="G281" s="2" t="s">
        <v>349</v>
      </c>
      <c r="H281" s="2" t="s">
        <v>94</v>
      </c>
      <c r="I281" s="2">
        <f>I279*J281</f>
        <v>1.0331999999999999E-2</v>
      </c>
      <c r="J281" s="2">
        <v>8.3999999999999991E-2</v>
      </c>
      <c r="K281" s="2">
        <v>8.4000000000000005E-2</v>
      </c>
      <c r="L281" s="2"/>
      <c r="M281" s="2"/>
      <c r="N281" s="2"/>
      <c r="O281" s="2">
        <f t="shared" si="192"/>
        <v>7.0000000000000007E-2</v>
      </c>
      <c r="P281" s="2">
        <f t="shared" si="193"/>
        <v>7.0000000000000007E-2</v>
      </c>
      <c r="Q281" s="2">
        <f t="shared" ref="Q281:Q286" si="228">(ROUND((ROUND(((ET281)*AV281*I281),2)*BB281),2)+ROUND((ROUND(((AE281-(EU281))*AV281*I281),2)*BS281),2))</f>
        <v>0</v>
      </c>
      <c r="R281" s="2">
        <f t="shared" si="194"/>
        <v>0</v>
      </c>
      <c r="S281" s="2">
        <f t="shared" si="195"/>
        <v>0</v>
      </c>
      <c r="T281" s="2">
        <f t="shared" si="196"/>
        <v>0</v>
      </c>
      <c r="U281" s="2">
        <f t="shared" si="197"/>
        <v>0</v>
      </c>
      <c r="V281" s="2">
        <f t="shared" si="198"/>
        <v>0</v>
      </c>
      <c r="W281" s="2">
        <f t="shared" si="199"/>
        <v>0</v>
      </c>
      <c r="X281" s="2">
        <f t="shared" si="200"/>
        <v>0</v>
      </c>
      <c r="Y281" s="2">
        <f t="shared" si="201"/>
        <v>0</v>
      </c>
      <c r="Z281" s="2"/>
      <c r="AA281" s="2">
        <v>129761636</v>
      </c>
      <c r="AB281" s="2">
        <f t="shared" si="202"/>
        <v>7.07</v>
      </c>
      <c r="AC281" s="2">
        <f t="shared" si="203"/>
        <v>7.07</v>
      </c>
      <c r="AD281" s="2">
        <f t="shared" ref="AD281:AD286" si="229">ROUND((((ET281)-(EU281))+AE281),6)</f>
        <v>0</v>
      </c>
      <c r="AE281" s="2">
        <f t="shared" ref="AE281:AF286" si="230">ROUND((EU281),6)</f>
        <v>0</v>
      </c>
      <c r="AF281" s="2">
        <f t="shared" si="230"/>
        <v>0</v>
      </c>
      <c r="AG281" s="2">
        <f t="shared" si="204"/>
        <v>0</v>
      </c>
      <c r="AH281" s="2">
        <f t="shared" ref="AH281:AI286" si="231">(EW281)</f>
        <v>0</v>
      </c>
      <c r="AI281" s="2">
        <f t="shared" si="231"/>
        <v>0</v>
      </c>
      <c r="AJ281" s="2">
        <f t="shared" si="205"/>
        <v>0</v>
      </c>
      <c r="AK281" s="2">
        <v>7.07</v>
      </c>
      <c r="AL281" s="2">
        <v>7.07</v>
      </c>
      <c r="AM281" s="2">
        <v>0</v>
      </c>
      <c r="AN281" s="2">
        <v>0</v>
      </c>
      <c r="AO281" s="2">
        <v>0</v>
      </c>
      <c r="AP281" s="2">
        <v>0</v>
      </c>
      <c r="AQ281" s="2">
        <v>0</v>
      </c>
      <c r="AR281" s="2">
        <v>0</v>
      </c>
      <c r="AS281" s="2">
        <v>0</v>
      </c>
      <c r="AT281" s="2">
        <v>100</v>
      </c>
      <c r="AU281" s="2">
        <v>64</v>
      </c>
      <c r="AV281" s="2">
        <v>1</v>
      </c>
      <c r="AW281" s="2">
        <v>1</v>
      </c>
      <c r="AX281" s="2"/>
      <c r="AY281" s="2"/>
      <c r="AZ281" s="2">
        <v>1</v>
      </c>
      <c r="BA281" s="2">
        <v>1</v>
      </c>
      <c r="BB281" s="2">
        <v>1</v>
      </c>
      <c r="BC281" s="2">
        <v>1</v>
      </c>
      <c r="BD281" s="2" t="s">
        <v>3</v>
      </c>
      <c r="BE281" s="2" t="s">
        <v>3</v>
      </c>
      <c r="BF281" s="2" t="s">
        <v>3</v>
      </c>
      <c r="BG281" s="2" t="s">
        <v>3</v>
      </c>
      <c r="BH281" s="2">
        <v>3</v>
      </c>
      <c r="BI281" s="2">
        <v>1</v>
      </c>
      <c r="BJ281" s="2" t="s">
        <v>350</v>
      </c>
      <c r="BK281" s="2"/>
      <c r="BL281" s="2"/>
      <c r="BM281" s="2">
        <v>115</v>
      </c>
      <c r="BN281" s="2">
        <v>0</v>
      </c>
      <c r="BO281" s="2" t="s">
        <v>3</v>
      </c>
      <c r="BP281" s="2">
        <v>0</v>
      </c>
      <c r="BQ281" s="2">
        <v>30</v>
      </c>
      <c r="BR281" s="2">
        <v>0</v>
      </c>
      <c r="BS281" s="2">
        <v>1</v>
      </c>
      <c r="BT281" s="2">
        <v>1</v>
      </c>
      <c r="BU281" s="2">
        <v>1</v>
      </c>
      <c r="BV281" s="2">
        <v>1</v>
      </c>
      <c r="BW281" s="2">
        <v>1</v>
      </c>
      <c r="BX281" s="2">
        <v>1</v>
      </c>
      <c r="BY281" s="2" t="s">
        <v>3</v>
      </c>
      <c r="BZ281" s="2">
        <v>100</v>
      </c>
      <c r="CA281" s="2">
        <v>64</v>
      </c>
      <c r="CB281" s="2" t="s">
        <v>3</v>
      </c>
      <c r="CC281" s="2"/>
      <c r="CD281" s="2"/>
      <c r="CE281" s="2">
        <v>30</v>
      </c>
      <c r="CF281" s="2">
        <v>0</v>
      </c>
      <c r="CG281" s="2">
        <v>0</v>
      </c>
      <c r="CH281" s="2"/>
      <c r="CI281" s="2"/>
      <c r="CJ281" s="2"/>
      <c r="CK281" s="2"/>
      <c r="CL281" s="2"/>
      <c r="CM281" s="2">
        <v>0</v>
      </c>
      <c r="CN281" s="2" t="s">
        <v>3</v>
      </c>
      <c r="CO281" s="2">
        <v>0</v>
      </c>
      <c r="CP281" s="2">
        <f t="shared" si="206"/>
        <v>7.0000000000000007E-2</v>
      </c>
      <c r="CQ281" s="2">
        <f t="shared" si="207"/>
        <v>7.07</v>
      </c>
      <c r="CR281" s="2">
        <f t="shared" ref="CR281:CR286" si="232">(ROUND((ROUND(((ET281)*AV281*1),2)*BB281),2)+ROUND((ROUND(((AE281-(EU281))*AV281*1),2)*BS281),2))</f>
        <v>0</v>
      </c>
      <c r="CS281" s="2">
        <f t="shared" si="208"/>
        <v>0</v>
      </c>
      <c r="CT281" s="2">
        <f t="shared" si="209"/>
        <v>0</v>
      </c>
      <c r="CU281" s="2">
        <f t="shared" si="210"/>
        <v>0</v>
      </c>
      <c r="CV281" s="2">
        <f t="shared" si="211"/>
        <v>0</v>
      </c>
      <c r="CW281" s="2">
        <f t="shared" si="212"/>
        <v>0</v>
      </c>
      <c r="CX281" s="2">
        <f t="shared" si="213"/>
        <v>0</v>
      </c>
      <c r="CY281" s="2">
        <f>((S281*BZ281)/100)</f>
        <v>0</v>
      </c>
      <c r="CZ281" s="2">
        <f>((S281*CA281)/100)</f>
        <v>0</v>
      </c>
      <c r="DA281" s="2"/>
      <c r="DB281" s="2"/>
      <c r="DC281" s="2" t="s">
        <v>3</v>
      </c>
      <c r="DD281" s="2" t="s">
        <v>3</v>
      </c>
      <c r="DE281" s="2" t="s">
        <v>3</v>
      </c>
      <c r="DF281" s="2" t="s">
        <v>3</v>
      </c>
      <c r="DG281" s="2" t="s">
        <v>3</v>
      </c>
      <c r="DH281" s="2" t="s">
        <v>3</v>
      </c>
      <c r="DI281" s="2" t="s">
        <v>3</v>
      </c>
      <c r="DJ281" s="2" t="s">
        <v>3</v>
      </c>
      <c r="DK281" s="2" t="s">
        <v>3</v>
      </c>
      <c r="DL281" s="2" t="s">
        <v>3</v>
      </c>
      <c r="DM281" s="2" t="s">
        <v>3</v>
      </c>
      <c r="DN281" s="2">
        <v>0</v>
      </c>
      <c r="DO281" s="2">
        <v>0</v>
      </c>
      <c r="DP281" s="2">
        <v>1</v>
      </c>
      <c r="DQ281" s="2">
        <v>1</v>
      </c>
      <c r="DR281" s="2"/>
      <c r="DS281" s="2"/>
      <c r="DT281" s="2"/>
      <c r="DU281" s="2">
        <v>1007</v>
      </c>
      <c r="DV281" s="2" t="s">
        <v>94</v>
      </c>
      <c r="DW281" s="2" t="s">
        <v>94</v>
      </c>
      <c r="DX281" s="2">
        <v>1</v>
      </c>
      <c r="DY281" s="2"/>
      <c r="DZ281" s="2" t="s">
        <v>3</v>
      </c>
      <c r="EA281" s="2" t="s">
        <v>3</v>
      </c>
      <c r="EB281" s="2" t="s">
        <v>3</v>
      </c>
      <c r="EC281" s="2" t="s">
        <v>3</v>
      </c>
      <c r="ED281" s="2"/>
      <c r="EE281" s="2">
        <v>126051576</v>
      </c>
      <c r="EF281" s="2">
        <v>30</v>
      </c>
      <c r="EG281" s="2" t="s">
        <v>23</v>
      </c>
      <c r="EH281" s="2">
        <v>0</v>
      </c>
      <c r="EI281" s="2" t="s">
        <v>3</v>
      </c>
      <c r="EJ281" s="2">
        <v>1</v>
      </c>
      <c r="EK281" s="2">
        <v>115</v>
      </c>
      <c r="EL281" s="2" t="s">
        <v>345</v>
      </c>
      <c r="EM281" s="2" t="s">
        <v>346</v>
      </c>
      <c r="EN281" s="2"/>
      <c r="EO281" s="2" t="s">
        <v>3</v>
      </c>
      <c r="EP281" s="2"/>
      <c r="EQ281" s="2">
        <v>0</v>
      </c>
      <c r="ER281" s="2">
        <v>7.07</v>
      </c>
      <c r="ES281" s="2">
        <v>7.07</v>
      </c>
      <c r="ET281" s="2">
        <v>0</v>
      </c>
      <c r="EU281" s="2">
        <v>0</v>
      </c>
      <c r="EV281" s="2">
        <v>0</v>
      </c>
      <c r="EW281" s="2">
        <v>0</v>
      </c>
      <c r="EX281" s="2">
        <v>0</v>
      </c>
      <c r="EY281" s="2"/>
      <c r="EZ281" s="2"/>
      <c r="FA281" s="2"/>
      <c r="FB281" s="2"/>
      <c r="FC281" s="2"/>
      <c r="FD281" s="2"/>
      <c r="FE281" s="2"/>
      <c r="FF281" s="2"/>
      <c r="FG281" s="2"/>
      <c r="FH281" s="2"/>
      <c r="FI281" s="2"/>
      <c r="FJ281" s="2"/>
      <c r="FK281" s="2"/>
      <c r="FL281" s="2"/>
      <c r="FM281" s="2"/>
      <c r="FN281" s="2"/>
      <c r="FO281" s="2"/>
      <c r="FP281" s="2"/>
      <c r="FQ281" s="2">
        <v>0</v>
      </c>
      <c r="FR281" s="2">
        <f t="shared" si="214"/>
        <v>0</v>
      </c>
      <c r="FS281" s="2">
        <v>0</v>
      </c>
      <c r="FT281" s="2"/>
      <c r="FU281" s="2"/>
      <c r="FV281" s="2"/>
      <c r="FW281" s="2"/>
      <c r="FX281" s="2">
        <v>100</v>
      </c>
      <c r="FY281" s="2">
        <v>64</v>
      </c>
      <c r="FZ281" s="2"/>
      <c r="GA281" s="2" t="s">
        <v>3</v>
      </c>
      <c r="GB281" s="2"/>
      <c r="GC281" s="2"/>
      <c r="GD281" s="2">
        <v>0</v>
      </c>
      <c r="GE281" s="2"/>
      <c r="GF281" s="2">
        <v>-862991314</v>
      </c>
      <c r="GG281" s="2">
        <v>2</v>
      </c>
      <c r="GH281" s="2">
        <v>1</v>
      </c>
      <c r="GI281" s="2">
        <v>-2</v>
      </c>
      <c r="GJ281" s="2">
        <v>0</v>
      </c>
      <c r="GK281" s="2">
        <f>ROUND(R281*(R12)/100,2)</f>
        <v>0</v>
      </c>
      <c r="GL281" s="2">
        <f t="shared" si="215"/>
        <v>0</v>
      </c>
      <c r="GM281" s="2">
        <f t="shared" si="216"/>
        <v>7.0000000000000007E-2</v>
      </c>
      <c r="GN281" s="2">
        <f t="shared" si="217"/>
        <v>7.0000000000000007E-2</v>
      </c>
      <c r="GO281" s="2">
        <f t="shared" si="218"/>
        <v>0</v>
      </c>
      <c r="GP281" s="2">
        <f t="shared" si="219"/>
        <v>0</v>
      </c>
      <c r="GQ281" s="2"/>
      <c r="GR281" s="2">
        <v>0</v>
      </c>
      <c r="GS281" s="2">
        <v>0</v>
      </c>
      <c r="GT281" s="2">
        <v>0</v>
      </c>
      <c r="GU281" s="2" t="s">
        <v>3</v>
      </c>
      <c r="GV281" s="2">
        <f t="shared" si="220"/>
        <v>0</v>
      </c>
      <c r="GW281" s="2">
        <v>1</v>
      </c>
      <c r="GX281" s="2">
        <f t="shared" si="221"/>
        <v>0</v>
      </c>
      <c r="GY281" s="2"/>
      <c r="GZ281" s="2"/>
      <c r="HA281" s="2">
        <v>0</v>
      </c>
      <c r="HB281" s="2">
        <v>0</v>
      </c>
      <c r="HC281" s="2">
        <f t="shared" si="222"/>
        <v>0</v>
      </c>
      <c r="HD281" s="2"/>
      <c r="HE281" s="2" t="s">
        <v>3</v>
      </c>
      <c r="HF281" s="2" t="s">
        <v>3</v>
      </c>
      <c r="HG281" s="2"/>
      <c r="HH281" s="2"/>
      <c r="HI281" s="2"/>
      <c r="HJ281" s="2"/>
      <c r="HK281" s="2"/>
      <c r="HL281" s="2"/>
      <c r="HM281" s="2" t="s">
        <v>3</v>
      </c>
      <c r="HN281" s="2" t="s">
        <v>3</v>
      </c>
      <c r="HO281" s="2" t="s">
        <v>3</v>
      </c>
      <c r="HP281" s="2" t="s">
        <v>3</v>
      </c>
      <c r="HQ281" s="2" t="s">
        <v>3</v>
      </c>
      <c r="HR281" s="2"/>
      <c r="HS281" s="2"/>
      <c r="HT281" s="2"/>
      <c r="HU281" s="2"/>
      <c r="HV281" s="2"/>
      <c r="HW281" s="2"/>
      <c r="HX281" s="2"/>
      <c r="HY281" s="2"/>
      <c r="HZ281" s="2"/>
      <c r="IA281" s="2"/>
      <c r="IB281" s="2"/>
      <c r="IC281" s="2"/>
      <c r="ID281" s="2"/>
      <c r="IE281" s="2"/>
      <c r="IF281" s="2"/>
      <c r="IG281" s="2"/>
      <c r="IH281" s="2"/>
      <c r="II281" s="2"/>
      <c r="IJ281" s="2"/>
      <c r="IK281" s="2">
        <v>0</v>
      </c>
      <c r="IL281" s="2"/>
      <c r="IM281" s="2"/>
      <c r="IN281" s="2"/>
      <c r="IO281" s="2"/>
      <c r="IP281" s="2"/>
      <c r="IQ281" s="2"/>
      <c r="IR281" s="2"/>
      <c r="IS281" s="2"/>
      <c r="IT281" s="2"/>
      <c r="IU281" s="2"/>
    </row>
    <row r="282" spans="1:255" x14ac:dyDescent="0.2">
      <c r="A282">
        <v>18</v>
      </c>
      <c r="B282">
        <v>1</v>
      </c>
      <c r="C282">
        <v>277</v>
      </c>
      <c r="E282" t="s">
        <v>347</v>
      </c>
      <c r="F282" t="s">
        <v>348</v>
      </c>
      <c r="G282" t="s">
        <v>349</v>
      </c>
      <c r="H282" t="s">
        <v>94</v>
      </c>
      <c r="I282">
        <f>I280*J282</f>
        <v>1.0331999999999999E-2</v>
      </c>
      <c r="J282">
        <v>8.3999999999999991E-2</v>
      </c>
      <c r="K282">
        <v>8.4000000000000005E-2</v>
      </c>
      <c r="O282">
        <f t="shared" si="192"/>
        <v>0.42</v>
      </c>
      <c r="P282">
        <f t="shared" si="193"/>
        <v>0.42</v>
      </c>
      <c r="Q282">
        <f t="shared" si="228"/>
        <v>0</v>
      </c>
      <c r="R282">
        <f t="shared" si="194"/>
        <v>0</v>
      </c>
      <c r="S282">
        <f t="shared" si="195"/>
        <v>0</v>
      </c>
      <c r="T282">
        <f t="shared" si="196"/>
        <v>0</v>
      </c>
      <c r="U282">
        <f t="shared" si="197"/>
        <v>0</v>
      </c>
      <c r="V282">
        <f t="shared" si="198"/>
        <v>0</v>
      </c>
      <c r="W282">
        <f t="shared" si="199"/>
        <v>0</v>
      </c>
      <c r="X282">
        <f t="shared" si="200"/>
        <v>0</v>
      </c>
      <c r="Y282">
        <f t="shared" si="201"/>
        <v>0</v>
      </c>
      <c r="AA282">
        <v>129761633</v>
      </c>
      <c r="AB282">
        <f t="shared" si="202"/>
        <v>7.07</v>
      </c>
      <c r="AC282">
        <f t="shared" si="203"/>
        <v>7.07</v>
      </c>
      <c r="AD282">
        <f t="shared" si="229"/>
        <v>0</v>
      </c>
      <c r="AE282">
        <f t="shared" si="230"/>
        <v>0</v>
      </c>
      <c r="AF282">
        <f t="shared" si="230"/>
        <v>0</v>
      </c>
      <c r="AG282">
        <f t="shared" si="204"/>
        <v>0</v>
      </c>
      <c r="AH282">
        <f t="shared" si="231"/>
        <v>0</v>
      </c>
      <c r="AI282">
        <f t="shared" si="231"/>
        <v>0</v>
      </c>
      <c r="AJ282">
        <f t="shared" si="205"/>
        <v>0</v>
      </c>
      <c r="AK282">
        <v>7.07</v>
      </c>
      <c r="AL282">
        <v>7.07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1</v>
      </c>
      <c r="AW282">
        <v>1</v>
      </c>
      <c r="AZ282">
        <v>1</v>
      </c>
      <c r="BA282">
        <v>1</v>
      </c>
      <c r="BB282">
        <v>1</v>
      </c>
      <c r="BC282">
        <v>6</v>
      </c>
      <c r="BD282" t="s">
        <v>3</v>
      </c>
      <c r="BE282" t="s">
        <v>3</v>
      </c>
      <c r="BF282" t="s">
        <v>3</v>
      </c>
      <c r="BG282" t="s">
        <v>3</v>
      </c>
      <c r="BH282">
        <v>3</v>
      </c>
      <c r="BI282">
        <v>1</v>
      </c>
      <c r="BJ282" t="s">
        <v>350</v>
      </c>
      <c r="BM282">
        <v>115</v>
      </c>
      <c r="BN282">
        <v>0</v>
      </c>
      <c r="BO282" t="s">
        <v>348</v>
      </c>
      <c r="BP282">
        <v>1</v>
      </c>
      <c r="BQ282">
        <v>30</v>
      </c>
      <c r="BR282">
        <v>0</v>
      </c>
      <c r="BS282">
        <v>1</v>
      </c>
      <c r="BT282">
        <v>1</v>
      </c>
      <c r="BU282">
        <v>1</v>
      </c>
      <c r="BV282">
        <v>1</v>
      </c>
      <c r="BW282">
        <v>1</v>
      </c>
      <c r="BX282">
        <v>1</v>
      </c>
      <c r="BY282" t="s">
        <v>3</v>
      </c>
      <c r="BZ282">
        <v>0</v>
      </c>
      <c r="CA282">
        <v>0</v>
      </c>
      <c r="CB282" t="s">
        <v>3</v>
      </c>
      <c r="CE282">
        <v>30</v>
      </c>
      <c r="CF282">
        <v>0</v>
      </c>
      <c r="CG282">
        <v>0</v>
      </c>
      <c r="CM282">
        <v>0</v>
      </c>
      <c r="CN282" t="s">
        <v>3</v>
      </c>
      <c r="CO282">
        <v>0</v>
      </c>
      <c r="CP282">
        <f t="shared" si="206"/>
        <v>0.42</v>
      </c>
      <c r="CQ282">
        <f t="shared" si="207"/>
        <v>42.42</v>
      </c>
      <c r="CR282">
        <f t="shared" si="232"/>
        <v>0</v>
      </c>
      <c r="CS282">
        <f t="shared" si="208"/>
        <v>0</v>
      </c>
      <c r="CT282">
        <f t="shared" si="209"/>
        <v>0</v>
      </c>
      <c r="CU282">
        <f t="shared" si="210"/>
        <v>0</v>
      </c>
      <c r="CV282">
        <f t="shared" si="211"/>
        <v>0</v>
      </c>
      <c r="CW282">
        <f t="shared" si="212"/>
        <v>0</v>
      </c>
      <c r="CX282">
        <f t="shared" si="213"/>
        <v>0</v>
      </c>
      <c r="CY282">
        <f>S282*(BZ282/100)</f>
        <v>0</v>
      </c>
      <c r="CZ282">
        <f>S282*(CA282/100)</f>
        <v>0</v>
      </c>
      <c r="DC282" t="s">
        <v>3</v>
      </c>
      <c r="DD282" t="s">
        <v>3</v>
      </c>
      <c r="DE282" t="s">
        <v>3</v>
      </c>
      <c r="DF282" t="s">
        <v>3</v>
      </c>
      <c r="DG282" t="s">
        <v>3</v>
      </c>
      <c r="DH282" t="s">
        <v>3</v>
      </c>
      <c r="DI282" t="s">
        <v>3</v>
      </c>
      <c r="DJ282" t="s">
        <v>3</v>
      </c>
      <c r="DK282" t="s">
        <v>3</v>
      </c>
      <c r="DL282" t="s">
        <v>3</v>
      </c>
      <c r="DM282" t="s">
        <v>3</v>
      </c>
      <c r="DN282">
        <v>100</v>
      </c>
      <c r="DO282">
        <v>64</v>
      </c>
      <c r="DP282">
        <v>1</v>
      </c>
      <c r="DQ282">
        <v>1</v>
      </c>
      <c r="DU282">
        <v>1007</v>
      </c>
      <c r="DV282" t="s">
        <v>94</v>
      </c>
      <c r="DW282" t="s">
        <v>94</v>
      </c>
      <c r="DX282">
        <v>1</v>
      </c>
      <c r="DZ282" t="s">
        <v>3</v>
      </c>
      <c r="EA282" t="s">
        <v>3</v>
      </c>
      <c r="EB282" t="s">
        <v>3</v>
      </c>
      <c r="EC282" t="s">
        <v>3</v>
      </c>
      <c r="EE282">
        <v>126051576</v>
      </c>
      <c r="EF282">
        <v>30</v>
      </c>
      <c r="EG282" t="s">
        <v>23</v>
      </c>
      <c r="EH282">
        <v>0</v>
      </c>
      <c r="EI282" t="s">
        <v>3</v>
      </c>
      <c r="EJ282">
        <v>1</v>
      </c>
      <c r="EK282">
        <v>115</v>
      </c>
      <c r="EL282" t="s">
        <v>345</v>
      </c>
      <c r="EM282" t="s">
        <v>346</v>
      </c>
      <c r="EO282" t="s">
        <v>3</v>
      </c>
      <c r="EQ282">
        <v>0</v>
      </c>
      <c r="ER282">
        <v>7.07</v>
      </c>
      <c r="ES282">
        <v>7.07</v>
      </c>
      <c r="ET282">
        <v>0</v>
      </c>
      <c r="EU282">
        <v>0</v>
      </c>
      <c r="EV282">
        <v>0</v>
      </c>
      <c r="EW282">
        <v>0</v>
      </c>
      <c r="EX282">
        <v>0</v>
      </c>
      <c r="FQ282">
        <v>0</v>
      </c>
      <c r="FR282">
        <f t="shared" si="214"/>
        <v>0</v>
      </c>
      <c r="FS282">
        <v>0</v>
      </c>
      <c r="FX282">
        <v>100</v>
      </c>
      <c r="FY282">
        <v>64</v>
      </c>
      <c r="GA282" t="s">
        <v>3</v>
      </c>
      <c r="GD282">
        <v>0</v>
      </c>
      <c r="GF282">
        <v>-862991314</v>
      </c>
      <c r="GG282">
        <v>2</v>
      </c>
      <c r="GH282">
        <v>1</v>
      </c>
      <c r="GI282">
        <v>2</v>
      </c>
      <c r="GJ282">
        <v>0</v>
      </c>
      <c r="GK282">
        <f>ROUND(R282*(S12)/100,2)</f>
        <v>0</v>
      </c>
      <c r="GL282">
        <f t="shared" si="215"/>
        <v>0</v>
      </c>
      <c r="GM282">
        <f t="shared" si="216"/>
        <v>0.42</v>
      </c>
      <c r="GN282">
        <f t="shared" si="217"/>
        <v>0.42</v>
      </c>
      <c r="GO282">
        <f t="shared" si="218"/>
        <v>0</v>
      </c>
      <c r="GP282">
        <f t="shared" si="219"/>
        <v>0</v>
      </c>
      <c r="GR282">
        <v>0</v>
      </c>
      <c r="GS282">
        <v>3</v>
      </c>
      <c r="GT282">
        <v>0</v>
      </c>
      <c r="GU282" t="s">
        <v>3</v>
      </c>
      <c r="GV282">
        <f t="shared" si="220"/>
        <v>0</v>
      </c>
      <c r="GW282">
        <v>1</v>
      </c>
      <c r="GX282">
        <f t="shared" si="221"/>
        <v>0</v>
      </c>
      <c r="HA282">
        <v>0</v>
      </c>
      <c r="HB282">
        <v>0</v>
      </c>
      <c r="HC282">
        <f t="shared" si="222"/>
        <v>0</v>
      </c>
      <c r="HE282" t="s">
        <v>3</v>
      </c>
      <c r="HF282" t="s">
        <v>3</v>
      </c>
      <c r="HM282" t="s">
        <v>3</v>
      </c>
      <c r="HN282" t="s">
        <v>3</v>
      </c>
      <c r="HO282" t="s">
        <v>3</v>
      </c>
      <c r="HP282" t="s">
        <v>3</v>
      </c>
      <c r="HQ282" t="s">
        <v>3</v>
      </c>
      <c r="IK282">
        <v>0</v>
      </c>
    </row>
    <row r="283" spans="1:255" x14ac:dyDescent="0.2">
      <c r="A283" s="2">
        <v>18</v>
      </c>
      <c r="B283" s="2">
        <v>1</v>
      </c>
      <c r="C283" s="2">
        <v>271</v>
      </c>
      <c r="D283" s="2"/>
      <c r="E283" s="2" t="s">
        <v>351</v>
      </c>
      <c r="F283" s="2" t="s">
        <v>352</v>
      </c>
      <c r="G283" s="2" t="s">
        <v>1563</v>
      </c>
      <c r="H283" s="2" t="s">
        <v>114</v>
      </c>
      <c r="I283" s="2">
        <f>I279*J283</f>
        <v>5.9040000000000002E-2</v>
      </c>
      <c r="J283" s="2">
        <v>0.48000000000000004</v>
      </c>
      <c r="K283" s="2">
        <v>0.48</v>
      </c>
      <c r="L283" s="2"/>
      <c r="M283" s="2"/>
      <c r="N283" s="2"/>
      <c r="O283" s="2">
        <f t="shared" si="192"/>
        <v>107.66</v>
      </c>
      <c r="P283" s="2">
        <f t="shared" si="193"/>
        <v>107.66</v>
      </c>
      <c r="Q283" s="2">
        <f t="shared" si="228"/>
        <v>0</v>
      </c>
      <c r="R283" s="2">
        <f t="shared" si="194"/>
        <v>0</v>
      </c>
      <c r="S283" s="2">
        <f t="shared" si="195"/>
        <v>0</v>
      </c>
      <c r="T283" s="2">
        <f t="shared" si="196"/>
        <v>0</v>
      </c>
      <c r="U283" s="2">
        <f t="shared" si="197"/>
        <v>0</v>
      </c>
      <c r="V283" s="2">
        <f t="shared" si="198"/>
        <v>0</v>
      </c>
      <c r="W283" s="2">
        <f t="shared" si="199"/>
        <v>0</v>
      </c>
      <c r="X283" s="2">
        <f t="shared" si="200"/>
        <v>0</v>
      </c>
      <c r="Y283" s="2">
        <f t="shared" si="201"/>
        <v>0</v>
      </c>
      <c r="Z283" s="2"/>
      <c r="AA283" s="2">
        <v>129761636</v>
      </c>
      <c r="AB283" s="2">
        <f t="shared" si="202"/>
        <v>1823.55</v>
      </c>
      <c r="AC283" s="2">
        <f t="shared" si="203"/>
        <v>1823.55</v>
      </c>
      <c r="AD283" s="2">
        <f t="shared" si="229"/>
        <v>0</v>
      </c>
      <c r="AE283" s="2">
        <f t="shared" si="230"/>
        <v>0</v>
      </c>
      <c r="AF283" s="2">
        <f t="shared" si="230"/>
        <v>0</v>
      </c>
      <c r="AG283" s="2">
        <f t="shared" si="204"/>
        <v>0</v>
      </c>
      <c r="AH283" s="2">
        <f t="shared" si="231"/>
        <v>0</v>
      </c>
      <c r="AI283" s="2">
        <f t="shared" si="231"/>
        <v>0</v>
      </c>
      <c r="AJ283" s="2">
        <f t="shared" si="205"/>
        <v>0</v>
      </c>
      <c r="AK283" s="2">
        <v>1823.55</v>
      </c>
      <c r="AL283" s="2">
        <v>1823.55</v>
      </c>
      <c r="AM283" s="2">
        <v>0</v>
      </c>
      <c r="AN283" s="2">
        <v>0</v>
      </c>
      <c r="AO283" s="2">
        <v>0</v>
      </c>
      <c r="AP283" s="2">
        <v>0</v>
      </c>
      <c r="AQ283" s="2">
        <v>0</v>
      </c>
      <c r="AR283" s="2">
        <v>0</v>
      </c>
      <c r="AS283" s="2">
        <v>0</v>
      </c>
      <c r="AT283" s="2">
        <v>100</v>
      </c>
      <c r="AU283" s="2">
        <v>64</v>
      </c>
      <c r="AV283" s="2">
        <v>1</v>
      </c>
      <c r="AW283" s="2">
        <v>1</v>
      </c>
      <c r="AX283" s="2"/>
      <c r="AY283" s="2"/>
      <c r="AZ283" s="2">
        <v>1</v>
      </c>
      <c r="BA283" s="2">
        <v>1</v>
      </c>
      <c r="BB283" s="2">
        <v>1</v>
      </c>
      <c r="BC283" s="2">
        <v>1</v>
      </c>
      <c r="BD283" s="2" t="s">
        <v>3</v>
      </c>
      <c r="BE283" s="2" t="s">
        <v>3</v>
      </c>
      <c r="BF283" s="2" t="s">
        <v>3</v>
      </c>
      <c r="BG283" s="2" t="s">
        <v>3</v>
      </c>
      <c r="BH283" s="2">
        <v>3</v>
      </c>
      <c r="BI283" s="2">
        <v>1</v>
      </c>
      <c r="BJ283" s="2" t="s">
        <v>353</v>
      </c>
      <c r="BK283" s="2"/>
      <c r="BL283" s="2"/>
      <c r="BM283" s="2">
        <v>115</v>
      </c>
      <c r="BN283" s="2">
        <v>0</v>
      </c>
      <c r="BO283" s="2" t="s">
        <v>3</v>
      </c>
      <c r="BP283" s="2">
        <v>0</v>
      </c>
      <c r="BQ283" s="2">
        <v>30</v>
      </c>
      <c r="BR283" s="2">
        <v>0</v>
      </c>
      <c r="BS283" s="2">
        <v>1</v>
      </c>
      <c r="BT283" s="2">
        <v>1</v>
      </c>
      <c r="BU283" s="2">
        <v>1</v>
      </c>
      <c r="BV283" s="2">
        <v>1</v>
      </c>
      <c r="BW283" s="2">
        <v>1</v>
      </c>
      <c r="BX283" s="2">
        <v>1</v>
      </c>
      <c r="BY283" s="2" t="s">
        <v>3</v>
      </c>
      <c r="BZ283" s="2">
        <v>100</v>
      </c>
      <c r="CA283" s="2">
        <v>64</v>
      </c>
      <c r="CB283" s="2" t="s">
        <v>3</v>
      </c>
      <c r="CC283" s="2"/>
      <c r="CD283" s="2"/>
      <c r="CE283" s="2">
        <v>30</v>
      </c>
      <c r="CF283" s="2">
        <v>0</v>
      </c>
      <c r="CG283" s="2">
        <v>0</v>
      </c>
      <c r="CH283" s="2"/>
      <c r="CI283" s="2"/>
      <c r="CJ283" s="2"/>
      <c r="CK283" s="2"/>
      <c r="CL283" s="2"/>
      <c r="CM283" s="2">
        <v>0</v>
      </c>
      <c r="CN283" s="2" t="s">
        <v>3</v>
      </c>
      <c r="CO283" s="2">
        <v>0</v>
      </c>
      <c r="CP283" s="2">
        <f t="shared" si="206"/>
        <v>107.66</v>
      </c>
      <c r="CQ283" s="2">
        <f t="shared" si="207"/>
        <v>1823.55</v>
      </c>
      <c r="CR283" s="2">
        <f t="shared" si="232"/>
        <v>0</v>
      </c>
      <c r="CS283" s="2">
        <f t="shared" si="208"/>
        <v>0</v>
      </c>
      <c r="CT283" s="2">
        <f t="shared" si="209"/>
        <v>0</v>
      </c>
      <c r="CU283" s="2">
        <f t="shared" si="210"/>
        <v>0</v>
      </c>
      <c r="CV283" s="2">
        <f t="shared" si="211"/>
        <v>0</v>
      </c>
      <c r="CW283" s="2">
        <f t="shared" si="212"/>
        <v>0</v>
      </c>
      <c r="CX283" s="2">
        <f t="shared" si="213"/>
        <v>0</v>
      </c>
      <c r="CY283" s="2">
        <f>((S283*BZ283)/100)</f>
        <v>0</v>
      </c>
      <c r="CZ283" s="2">
        <f>((S283*CA283)/100)</f>
        <v>0</v>
      </c>
      <c r="DA283" s="2"/>
      <c r="DB283" s="2"/>
      <c r="DC283" s="2" t="s">
        <v>3</v>
      </c>
      <c r="DD283" s="2" t="s">
        <v>3</v>
      </c>
      <c r="DE283" s="2" t="s">
        <v>3</v>
      </c>
      <c r="DF283" s="2" t="s">
        <v>3</v>
      </c>
      <c r="DG283" s="2" t="s">
        <v>3</v>
      </c>
      <c r="DH283" s="2" t="s">
        <v>3</v>
      </c>
      <c r="DI283" s="2" t="s">
        <v>3</v>
      </c>
      <c r="DJ283" s="2" t="s">
        <v>3</v>
      </c>
      <c r="DK283" s="2" t="s">
        <v>3</v>
      </c>
      <c r="DL283" s="2" t="s">
        <v>3</v>
      </c>
      <c r="DM283" s="2" t="s">
        <v>3</v>
      </c>
      <c r="DN283" s="2">
        <v>0</v>
      </c>
      <c r="DO283" s="2">
        <v>0</v>
      </c>
      <c r="DP283" s="2">
        <v>1</v>
      </c>
      <c r="DQ283" s="2">
        <v>1</v>
      </c>
      <c r="DR283" s="2"/>
      <c r="DS283" s="2"/>
      <c r="DT283" s="2"/>
      <c r="DU283" s="2">
        <v>1009</v>
      </c>
      <c r="DV283" s="2" t="s">
        <v>114</v>
      </c>
      <c r="DW283" s="2" t="s">
        <v>114</v>
      </c>
      <c r="DX283" s="2">
        <v>1000</v>
      </c>
      <c r="DY283" s="2"/>
      <c r="DZ283" s="2" t="s">
        <v>3</v>
      </c>
      <c r="EA283" s="2" t="s">
        <v>3</v>
      </c>
      <c r="EB283" s="2" t="s">
        <v>3</v>
      </c>
      <c r="EC283" s="2" t="s">
        <v>3</v>
      </c>
      <c r="ED283" s="2"/>
      <c r="EE283" s="2">
        <v>126051576</v>
      </c>
      <c r="EF283" s="2">
        <v>30</v>
      </c>
      <c r="EG283" s="2" t="s">
        <v>23</v>
      </c>
      <c r="EH283" s="2">
        <v>0</v>
      </c>
      <c r="EI283" s="2" t="s">
        <v>3</v>
      </c>
      <c r="EJ283" s="2">
        <v>1</v>
      </c>
      <c r="EK283" s="2">
        <v>115</v>
      </c>
      <c r="EL283" s="2" t="s">
        <v>345</v>
      </c>
      <c r="EM283" s="2" t="s">
        <v>346</v>
      </c>
      <c r="EN283" s="2"/>
      <c r="EO283" s="2" t="s">
        <v>3</v>
      </c>
      <c r="EP283" s="2"/>
      <c r="EQ283" s="2">
        <v>0</v>
      </c>
      <c r="ER283" s="2">
        <v>1823.55</v>
      </c>
      <c r="ES283" s="2">
        <v>1823.55</v>
      </c>
      <c r="ET283" s="2">
        <v>0</v>
      </c>
      <c r="EU283" s="2">
        <v>0</v>
      </c>
      <c r="EV283" s="2">
        <v>0</v>
      </c>
      <c r="EW283" s="2">
        <v>0</v>
      </c>
      <c r="EX283" s="2">
        <v>0</v>
      </c>
      <c r="EY283" s="2"/>
      <c r="EZ283" s="2"/>
      <c r="FA283" s="2"/>
      <c r="FB283" s="2"/>
      <c r="FC283" s="2"/>
      <c r="FD283" s="2"/>
      <c r="FE283" s="2"/>
      <c r="FF283" s="2"/>
      <c r="FG283" s="2"/>
      <c r="FH283" s="2"/>
      <c r="FI283" s="2"/>
      <c r="FJ283" s="2"/>
      <c r="FK283" s="2"/>
      <c r="FL283" s="2"/>
      <c r="FM283" s="2"/>
      <c r="FN283" s="2"/>
      <c r="FO283" s="2"/>
      <c r="FP283" s="2"/>
      <c r="FQ283" s="2">
        <v>0</v>
      </c>
      <c r="FR283" s="2">
        <f t="shared" si="214"/>
        <v>0</v>
      </c>
      <c r="FS283" s="2">
        <v>0</v>
      </c>
      <c r="FT283" s="2"/>
      <c r="FU283" s="2"/>
      <c r="FV283" s="2"/>
      <c r="FW283" s="2"/>
      <c r="FX283" s="2">
        <v>100</v>
      </c>
      <c r="FY283" s="2">
        <v>64</v>
      </c>
      <c r="FZ283" s="2"/>
      <c r="GA283" s="2" t="s">
        <v>3</v>
      </c>
      <c r="GB283" s="2"/>
      <c r="GC283" s="2"/>
      <c r="GD283" s="2">
        <v>0</v>
      </c>
      <c r="GE283" s="2"/>
      <c r="GF283" s="2">
        <v>-939349861</v>
      </c>
      <c r="GG283" s="2">
        <v>2</v>
      </c>
      <c r="GH283" s="2">
        <v>1</v>
      </c>
      <c r="GI283" s="2">
        <v>-2</v>
      </c>
      <c r="GJ283" s="2">
        <v>0</v>
      </c>
      <c r="GK283" s="2">
        <f>ROUND(R283*(R12)/100,2)</f>
        <v>0</v>
      </c>
      <c r="GL283" s="2">
        <f t="shared" si="215"/>
        <v>0</v>
      </c>
      <c r="GM283" s="2">
        <f t="shared" si="216"/>
        <v>107.66</v>
      </c>
      <c r="GN283" s="2">
        <f t="shared" si="217"/>
        <v>107.66</v>
      </c>
      <c r="GO283" s="2">
        <f t="shared" si="218"/>
        <v>0</v>
      </c>
      <c r="GP283" s="2">
        <f t="shared" si="219"/>
        <v>0</v>
      </c>
      <c r="GQ283" s="2"/>
      <c r="GR283" s="2">
        <v>0</v>
      </c>
      <c r="GS283" s="2">
        <v>0</v>
      </c>
      <c r="GT283" s="2">
        <v>0</v>
      </c>
      <c r="GU283" s="2" t="s">
        <v>3</v>
      </c>
      <c r="GV283" s="2">
        <f t="shared" si="220"/>
        <v>0</v>
      </c>
      <c r="GW283" s="2">
        <v>1</v>
      </c>
      <c r="GX283" s="2">
        <f t="shared" si="221"/>
        <v>0</v>
      </c>
      <c r="GY283" s="2"/>
      <c r="GZ283" s="2"/>
      <c r="HA283" s="2">
        <v>0</v>
      </c>
      <c r="HB283" s="2">
        <v>0</v>
      </c>
      <c r="HC283" s="2">
        <f t="shared" si="222"/>
        <v>0</v>
      </c>
      <c r="HD283" s="2"/>
      <c r="HE283" s="2" t="s">
        <v>3</v>
      </c>
      <c r="HF283" s="2" t="s">
        <v>3</v>
      </c>
      <c r="HG283" s="2"/>
      <c r="HH283" s="2"/>
      <c r="HI283" s="2"/>
      <c r="HJ283" s="2"/>
      <c r="HK283" s="2"/>
      <c r="HL283" s="2"/>
      <c r="HM283" s="2" t="s">
        <v>3</v>
      </c>
      <c r="HN283" s="2" t="s">
        <v>3</v>
      </c>
      <c r="HO283" s="2" t="s">
        <v>3</v>
      </c>
      <c r="HP283" s="2" t="s">
        <v>3</v>
      </c>
      <c r="HQ283" s="2" t="s">
        <v>3</v>
      </c>
      <c r="HR283" s="2"/>
      <c r="HS283" s="2"/>
      <c r="HT283" s="2"/>
      <c r="HU283" s="2"/>
      <c r="HV283" s="2"/>
      <c r="HW283" s="2"/>
      <c r="HX283" s="2"/>
      <c r="HY283" s="2"/>
      <c r="HZ283" s="2"/>
      <c r="IA283" s="2"/>
      <c r="IB283" s="2"/>
      <c r="IC283" s="2"/>
      <c r="ID283" s="2"/>
      <c r="IE283" s="2"/>
      <c r="IF283" s="2"/>
      <c r="IG283" s="2"/>
      <c r="IH283" s="2"/>
      <c r="II283" s="2"/>
      <c r="IJ283" s="2"/>
      <c r="IK283" s="2">
        <v>0</v>
      </c>
      <c r="IL283" s="2"/>
      <c r="IM283" s="2"/>
      <c r="IN283" s="2"/>
      <c r="IO283" s="2"/>
      <c r="IP283" s="2"/>
      <c r="IQ283" s="2"/>
      <c r="IR283" s="2"/>
      <c r="IS283" s="2"/>
      <c r="IT283" s="2"/>
      <c r="IU283" s="2"/>
    </row>
    <row r="284" spans="1:255" x14ac:dyDescent="0.2">
      <c r="A284">
        <v>18</v>
      </c>
      <c r="B284">
        <v>1</v>
      </c>
      <c r="C284">
        <v>279</v>
      </c>
      <c r="E284" t="s">
        <v>351</v>
      </c>
      <c r="F284" t="s">
        <v>352</v>
      </c>
      <c r="G284" t="s">
        <v>1563</v>
      </c>
      <c r="H284" t="s">
        <v>114</v>
      </c>
      <c r="I284">
        <f>I280*J284</f>
        <v>5.9040000000000002E-2</v>
      </c>
      <c r="J284">
        <v>0.48000000000000004</v>
      </c>
      <c r="K284">
        <v>0.48</v>
      </c>
      <c r="O284">
        <f t="shared" si="192"/>
        <v>527.53</v>
      </c>
      <c r="P284">
        <f t="shared" si="193"/>
        <v>527.53</v>
      </c>
      <c r="Q284">
        <f t="shared" si="228"/>
        <v>0</v>
      </c>
      <c r="R284">
        <f t="shared" si="194"/>
        <v>0</v>
      </c>
      <c r="S284">
        <f t="shared" si="195"/>
        <v>0</v>
      </c>
      <c r="T284">
        <f t="shared" si="196"/>
        <v>0</v>
      </c>
      <c r="U284">
        <f t="shared" si="197"/>
        <v>0</v>
      </c>
      <c r="V284">
        <f t="shared" si="198"/>
        <v>0</v>
      </c>
      <c r="W284">
        <f t="shared" si="199"/>
        <v>0</v>
      </c>
      <c r="X284">
        <f t="shared" si="200"/>
        <v>0</v>
      </c>
      <c r="Y284">
        <f t="shared" si="201"/>
        <v>0</v>
      </c>
      <c r="AA284">
        <v>129761633</v>
      </c>
      <c r="AB284">
        <f t="shared" si="202"/>
        <v>1823.55</v>
      </c>
      <c r="AC284">
        <f t="shared" si="203"/>
        <v>1823.55</v>
      </c>
      <c r="AD284">
        <f t="shared" si="229"/>
        <v>0</v>
      </c>
      <c r="AE284">
        <f t="shared" si="230"/>
        <v>0</v>
      </c>
      <c r="AF284">
        <f t="shared" si="230"/>
        <v>0</v>
      </c>
      <c r="AG284">
        <f t="shared" si="204"/>
        <v>0</v>
      </c>
      <c r="AH284">
        <f t="shared" si="231"/>
        <v>0</v>
      </c>
      <c r="AI284">
        <f t="shared" si="231"/>
        <v>0</v>
      </c>
      <c r="AJ284">
        <f t="shared" si="205"/>
        <v>0</v>
      </c>
      <c r="AK284">
        <v>1823.55</v>
      </c>
      <c r="AL284">
        <v>1823.55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1</v>
      </c>
      <c r="AW284">
        <v>1</v>
      </c>
      <c r="AZ284">
        <v>1</v>
      </c>
      <c r="BA284">
        <v>1</v>
      </c>
      <c r="BB284">
        <v>1</v>
      </c>
      <c r="BC284">
        <v>4.9000000000000004</v>
      </c>
      <c r="BD284" t="s">
        <v>3</v>
      </c>
      <c r="BE284" t="s">
        <v>3</v>
      </c>
      <c r="BF284" t="s">
        <v>3</v>
      </c>
      <c r="BG284" t="s">
        <v>3</v>
      </c>
      <c r="BH284">
        <v>3</v>
      </c>
      <c r="BI284">
        <v>1</v>
      </c>
      <c r="BJ284" t="s">
        <v>353</v>
      </c>
      <c r="BM284">
        <v>115</v>
      </c>
      <c r="BN284">
        <v>0</v>
      </c>
      <c r="BO284" t="s">
        <v>352</v>
      </c>
      <c r="BP284">
        <v>1</v>
      </c>
      <c r="BQ284">
        <v>30</v>
      </c>
      <c r="BR284">
        <v>0</v>
      </c>
      <c r="BS284">
        <v>1</v>
      </c>
      <c r="BT284">
        <v>1</v>
      </c>
      <c r="BU284">
        <v>1</v>
      </c>
      <c r="BV284">
        <v>1</v>
      </c>
      <c r="BW284">
        <v>1</v>
      </c>
      <c r="BX284">
        <v>1</v>
      </c>
      <c r="BY284" t="s">
        <v>3</v>
      </c>
      <c r="BZ284">
        <v>0</v>
      </c>
      <c r="CA284">
        <v>0</v>
      </c>
      <c r="CB284" t="s">
        <v>3</v>
      </c>
      <c r="CE284">
        <v>30</v>
      </c>
      <c r="CF284">
        <v>0</v>
      </c>
      <c r="CG284">
        <v>0</v>
      </c>
      <c r="CM284">
        <v>0</v>
      </c>
      <c r="CN284" t="s">
        <v>3</v>
      </c>
      <c r="CO284">
        <v>0</v>
      </c>
      <c r="CP284">
        <f t="shared" si="206"/>
        <v>527.53</v>
      </c>
      <c r="CQ284">
        <f t="shared" si="207"/>
        <v>8935.4</v>
      </c>
      <c r="CR284">
        <f t="shared" si="232"/>
        <v>0</v>
      </c>
      <c r="CS284">
        <f t="shared" si="208"/>
        <v>0</v>
      </c>
      <c r="CT284">
        <f t="shared" si="209"/>
        <v>0</v>
      </c>
      <c r="CU284">
        <f t="shared" si="210"/>
        <v>0</v>
      </c>
      <c r="CV284">
        <f t="shared" si="211"/>
        <v>0</v>
      </c>
      <c r="CW284">
        <f t="shared" si="212"/>
        <v>0</v>
      </c>
      <c r="CX284">
        <f t="shared" si="213"/>
        <v>0</v>
      </c>
      <c r="CY284">
        <f>S284*(BZ284/100)</f>
        <v>0</v>
      </c>
      <c r="CZ284">
        <f>S284*(CA284/100)</f>
        <v>0</v>
      </c>
      <c r="DC284" t="s">
        <v>3</v>
      </c>
      <c r="DD284" t="s">
        <v>3</v>
      </c>
      <c r="DE284" t="s">
        <v>3</v>
      </c>
      <c r="DF284" t="s">
        <v>3</v>
      </c>
      <c r="DG284" t="s">
        <v>3</v>
      </c>
      <c r="DH284" t="s">
        <v>3</v>
      </c>
      <c r="DI284" t="s">
        <v>3</v>
      </c>
      <c r="DJ284" t="s">
        <v>3</v>
      </c>
      <c r="DK284" t="s">
        <v>3</v>
      </c>
      <c r="DL284" t="s">
        <v>3</v>
      </c>
      <c r="DM284" t="s">
        <v>3</v>
      </c>
      <c r="DN284">
        <v>100</v>
      </c>
      <c r="DO284">
        <v>64</v>
      </c>
      <c r="DP284">
        <v>1</v>
      </c>
      <c r="DQ284">
        <v>1</v>
      </c>
      <c r="DU284">
        <v>1009</v>
      </c>
      <c r="DV284" t="s">
        <v>114</v>
      </c>
      <c r="DW284" t="s">
        <v>114</v>
      </c>
      <c r="DX284">
        <v>1000</v>
      </c>
      <c r="DZ284" t="s">
        <v>3</v>
      </c>
      <c r="EA284" t="s">
        <v>3</v>
      </c>
      <c r="EB284" t="s">
        <v>3</v>
      </c>
      <c r="EC284" t="s">
        <v>3</v>
      </c>
      <c r="EE284">
        <v>126051576</v>
      </c>
      <c r="EF284">
        <v>30</v>
      </c>
      <c r="EG284" t="s">
        <v>23</v>
      </c>
      <c r="EH284">
        <v>0</v>
      </c>
      <c r="EI284" t="s">
        <v>3</v>
      </c>
      <c r="EJ284">
        <v>1</v>
      </c>
      <c r="EK284">
        <v>115</v>
      </c>
      <c r="EL284" t="s">
        <v>345</v>
      </c>
      <c r="EM284" t="s">
        <v>346</v>
      </c>
      <c r="EO284" t="s">
        <v>3</v>
      </c>
      <c r="EQ284">
        <v>0</v>
      </c>
      <c r="ER284">
        <v>1823.55</v>
      </c>
      <c r="ES284">
        <v>1823.55</v>
      </c>
      <c r="ET284">
        <v>0</v>
      </c>
      <c r="EU284">
        <v>0</v>
      </c>
      <c r="EV284">
        <v>0</v>
      </c>
      <c r="EW284">
        <v>0</v>
      </c>
      <c r="EX284">
        <v>0</v>
      </c>
      <c r="FQ284">
        <v>0</v>
      </c>
      <c r="FR284">
        <f t="shared" si="214"/>
        <v>0</v>
      </c>
      <c r="FS284">
        <v>0</v>
      </c>
      <c r="FX284">
        <v>100</v>
      </c>
      <c r="FY284">
        <v>64</v>
      </c>
      <c r="GA284" t="s">
        <v>3</v>
      </c>
      <c r="GD284">
        <v>0</v>
      </c>
      <c r="GF284">
        <v>-939349861</v>
      </c>
      <c r="GG284">
        <v>2</v>
      </c>
      <c r="GH284">
        <v>1</v>
      </c>
      <c r="GI284">
        <v>2</v>
      </c>
      <c r="GJ284">
        <v>0</v>
      </c>
      <c r="GK284">
        <f>ROUND(R284*(S12)/100,2)</f>
        <v>0</v>
      </c>
      <c r="GL284">
        <f t="shared" si="215"/>
        <v>0</v>
      </c>
      <c r="GM284">
        <f t="shared" si="216"/>
        <v>527.53</v>
      </c>
      <c r="GN284">
        <f t="shared" si="217"/>
        <v>527.53</v>
      </c>
      <c r="GO284">
        <f t="shared" si="218"/>
        <v>0</v>
      </c>
      <c r="GP284">
        <f t="shared" si="219"/>
        <v>0</v>
      </c>
      <c r="GR284">
        <v>0</v>
      </c>
      <c r="GS284">
        <v>3</v>
      </c>
      <c r="GT284">
        <v>0</v>
      </c>
      <c r="GU284" t="s">
        <v>3</v>
      </c>
      <c r="GV284">
        <f t="shared" si="220"/>
        <v>0</v>
      </c>
      <c r="GW284">
        <v>1</v>
      </c>
      <c r="GX284">
        <f t="shared" si="221"/>
        <v>0</v>
      </c>
      <c r="HA284">
        <v>0</v>
      </c>
      <c r="HB284">
        <v>0</v>
      </c>
      <c r="HC284">
        <f t="shared" si="222"/>
        <v>0</v>
      </c>
      <c r="HE284" t="s">
        <v>3</v>
      </c>
      <c r="HF284" t="s">
        <v>3</v>
      </c>
      <c r="HM284" t="s">
        <v>3</v>
      </c>
      <c r="HN284" t="s">
        <v>3</v>
      </c>
      <c r="HO284" t="s">
        <v>3</v>
      </c>
      <c r="HP284" t="s">
        <v>3</v>
      </c>
      <c r="HQ284" t="s">
        <v>3</v>
      </c>
      <c r="IK284">
        <v>0</v>
      </c>
    </row>
    <row r="285" spans="1:255" x14ac:dyDescent="0.2">
      <c r="A285" s="2">
        <v>18</v>
      </c>
      <c r="B285" s="2">
        <v>1</v>
      </c>
      <c r="C285" s="2">
        <v>270</v>
      </c>
      <c r="D285" s="2"/>
      <c r="E285" s="2" t="s">
        <v>354</v>
      </c>
      <c r="F285" s="2" t="s">
        <v>319</v>
      </c>
      <c r="G285" s="2" t="s">
        <v>320</v>
      </c>
      <c r="H285" s="2" t="s">
        <v>94</v>
      </c>
      <c r="I285" s="2">
        <f>I279*J285</f>
        <v>0.14858399999999999</v>
      </c>
      <c r="J285" s="2">
        <v>1.208</v>
      </c>
      <c r="K285" s="2">
        <v>1.208</v>
      </c>
      <c r="L285" s="2"/>
      <c r="M285" s="2"/>
      <c r="N285" s="2"/>
      <c r="O285" s="2">
        <f t="shared" si="192"/>
        <v>71.569999999999993</v>
      </c>
      <c r="P285" s="2">
        <f t="shared" si="193"/>
        <v>71.569999999999993</v>
      </c>
      <c r="Q285" s="2">
        <f t="shared" si="228"/>
        <v>0</v>
      </c>
      <c r="R285" s="2">
        <f t="shared" si="194"/>
        <v>0</v>
      </c>
      <c r="S285" s="2">
        <f t="shared" si="195"/>
        <v>0</v>
      </c>
      <c r="T285" s="2">
        <f t="shared" si="196"/>
        <v>0</v>
      </c>
      <c r="U285" s="2">
        <f t="shared" si="197"/>
        <v>0</v>
      </c>
      <c r="V285" s="2">
        <f t="shared" si="198"/>
        <v>0</v>
      </c>
      <c r="W285" s="2">
        <f t="shared" si="199"/>
        <v>0</v>
      </c>
      <c r="X285" s="2">
        <f t="shared" si="200"/>
        <v>0</v>
      </c>
      <c r="Y285" s="2">
        <f t="shared" si="201"/>
        <v>0</v>
      </c>
      <c r="Z285" s="2"/>
      <c r="AA285" s="2">
        <v>129761636</v>
      </c>
      <c r="AB285" s="2">
        <f t="shared" si="202"/>
        <v>481.69</v>
      </c>
      <c r="AC285" s="2">
        <f t="shared" si="203"/>
        <v>481.69</v>
      </c>
      <c r="AD285" s="2">
        <f t="shared" si="229"/>
        <v>0</v>
      </c>
      <c r="AE285" s="2">
        <f t="shared" si="230"/>
        <v>0</v>
      </c>
      <c r="AF285" s="2">
        <f t="shared" si="230"/>
        <v>0</v>
      </c>
      <c r="AG285" s="2">
        <f t="shared" si="204"/>
        <v>0</v>
      </c>
      <c r="AH285" s="2">
        <f t="shared" si="231"/>
        <v>0</v>
      </c>
      <c r="AI285" s="2">
        <f t="shared" si="231"/>
        <v>0</v>
      </c>
      <c r="AJ285" s="2">
        <f t="shared" si="205"/>
        <v>0</v>
      </c>
      <c r="AK285" s="2">
        <v>481.69</v>
      </c>
      <c r="AL285" s="2">
        <v>481.69</v>
      </c>
      <c r="AM285" s="2">
        <v>0</v>
      </c>
      <c r="AN285" s="2">
        <v>0</v>
      </c>
      <c r="AO285" s="2">
        <v>0</v>
      </c>
      <c r="AP285" s="2">
        <v>0</v>
      </c>
      <c r="AQ285" s="2">
        <v>0</v>
      </c>
      <c r="AR285" s="2">
        <v>0</v>
      </c>
      <c r="AS285" s="2">
        <v>0</v>
      </c>
      <c r="AT285" s="2">
        <v>100</v>
      </c>
      <c r="AU285" s="2">
        <v>64</v>
      </c>
      <c r="AV285" s="2">
        <v>1</v>
      </c>
      <c r="AW285" s="2">
        <v>1</v>
      </c>
      <c r="AX285" s="2"/>
      <c r="AY285" s="2"/>
      <c r="AZ285" s="2">
        <v>1</v>
      </c>
      <c r="BA285" s="2">
        <v>1</v>
      </c>
      <c r="BB285" s="2">
        <v>1</v>
      </c>
      <c r="BC285" s="2">
        <v>1</v>
      </c>
      <c r="BD285" s="2" t="s">
        <v>3</v>
      </c>
      <c r="BE285" s="2" t="s">
        <v>3</v>
      </c>
      <c r="BF285" s="2" t="s">
        <v>3</v>
      </c>
      <c r="BG285" s="2" t="s">
        <v>3</v>
      </c>
      <c r="BH285" s="2">
        <v>3</v>
      </c>
      <c r="BI285" s="2">
        <v>1</v>
      </c>
      <c r="BJ285" s="2" t="s">
        <v>321</v>
      </c>
      <c r="BK285" s="2"/>
      <c r="BL285" s="2"/>
      <c r="BM285" s="2">
        <v>115</v>
      </c>
      <c r="BN285" s="2">
        <v>0</v>
      </c>
      <c r="BO285" s="2" t="s">
        <v>3</v>
      </c>
      <c r="BP285" s="2">
        <v>0</v>
      </c>
      <c r="BQ285" s="2">
        <v>30</v>
      </c>
      <c r="BR285" s="2">
        <v>0</v>
      </c>
      <c r="BS285" s="2">
        <v>1</v>
      </c>
      <c r="BT285" s="2">
        <v>1</v>
      </c>
      <c r="BU285" s="2">
        <v>1</v>
      </c>
      <c r="BV285" s="2">
        <v>1</v>
      </c>
      <c r="BW285" s="2">
        <v>1</v>
      </c>
      <c r="BX285" s="2">
        <v>1</v>
      </c>
      <c r="BY285" s="2" t="s">
        <v>3</v>
      </c>
      <c r="BZ285" s="2">
        <v>100</v>
      </c>
      <c r="CA285" s="2">
        <v>64</v>
      </c>
      <c r="CB285" s="2" t="s">
        <v>3</v>
      </c>
      <c r="CC285" s="2"/>
      <c r="CD285" s="2"/>
      <c r="CE285" s="2">
        <v>30</v>
      </c>
      <c r="CF285" s="2">
        <v>0</v>
      </c>
      <c r="CG285" s="2">
        <v>0</v>
      </c>
      <c r="CH285" s="2"/>
      <c r="CI285" s="2"/>
      <c r="CJ285" s="2"/>
      <c r="CK285" s="2"/>
      <c r="CL285" s="2"/>
      <c r="CM285" s="2">
        <v>0</v>
      </c>
      <c r="CN285" s="2" t="s">
        <v>3</v>
      </c>
      <c r="CO285" s="2">
        <v>0</v>
      </c>
      <c r="CP285" s="2">
        <f t="shared" si="206"/>
        <v>71.569999999999993</v>
      </c>
      <c r="CQ285" s="2">
        <f t="shared" si="207"/>
        <v>481.69</v>
      </c>
      <c r="CR285" s="2">
        <f t="shared" si="232"/>
        <v>0</v>
      </c>
      <c r="CS285" s="2">
        <f t="shared" si="208"/>
        <v>0</v>
      </c>
      <c r="CT285" s="2">
        <f t="shared" si="209"/>
        <v>0</v>
      </c>
      <c r="CU285" s="2">
        <f t="shared" si="210"/>
        <v>0</v>
      </c>
      <c r="CV285" s="2">
        <f t="shared" si="211"/>
        <v>0</v>
      </c>
      <c r="CW285" s="2">
        <f t="shared" si="212"/>
        <v>0</v>
      </c>
      <c r="CX285" s="2">
        <f t="shared" si="213"/>
        <v>0</v>
      </c>
      <c r="CY285" s="2">
        <f>((S285*BZ285)/100)</f>
        <v>0</v>
      </c>
      <c r="CZ285" s="2">
        <f>((S285*CA285)/100)</f>
        <v>0</v>
      </c>
      <c r="DA285" s="2"/>
      <c r="DB285" s="2"/>
      <c r="DC285" s="2" t="s">
        <v>3</v>
      </c>
      <c r="DD285" s="2" t="s">
        <v>3</v>
      </c>
      <c r="DE285" s="2" t="s">
        <v>3</v>
      </c>
      <c r="DF285" s="2" t="s">
        <v>3</v>
      </c>
      <c r="DG285" s="2" t="s">
        <v>3</v>
      </c>
      <c r="DH285" s="2" t="s">
        <v>3</v>
      </c>
      <c r="DI285" s="2" t="s">
        <v>3</v>
      </c>
      <c r="DJ285" s="2" t="s">
        <v>3</v>
      </c>
      <c r="DK285" s="2" t="s">
        <v>3</v>
      </c>
      <c r="DL285" s="2" t="s">
        <v>3</v>
      </c>
      <c r="DM285" s="2" t="s">
        <v>3</v>
      </c>
      <c r="DN285" s="2">
        <v>0</v>
      </c>
      <c r="DO285" s="2">
        <v>0</v>
      </c>
      <c r="DP285" s="2">
        <v>1</v>
      </c>
      <c r="DQ285" s="2">
        <v>1</v>
      </c>
      <c r="DR285" s="2"/>
      <c r="DS285" s="2"/>
      <c r="DT285" s="2"/>
      <c r="DU285" s="2">
        <v>1007</v>
      </c>
      <c r="DV285" s="2" t="s">
        <v>94</v>
      </c>
      <c r="DW285" s="2" t="s">
        <v>94</v>
      </c>
      <c r="DX285" s="2">
        <v>1</v>
      </c>
      <c r="DY285" s="2"/>
      <c r="DZ285" s="2" t="s">
        <v>3</v>
      </c>
      <c r="EA285" s="2" t="s">
        <v>3</v>
      </c>
      <c r="EB285" s="2" t="s">
        <v>3</v>
      </c>
      <c r="EC285" s="2" t="s">
        <v>3</v>
      </c>
      <c r="ED285" s="2"/>
      <c r="EE285" s="2">
        <v>126051576</v>
      </c>
      <c r="EF285" s="2">
        <v>30</v>
      </c>
      <c r="EG285" s="2" t="s">
        <v>23</v>
      </c>
      <c r="EH285" s="2">
        <v>0</v>
      </c>
      <c r="EI285" s="2" t="s">
        <v>3</v>
      </c>
      <c r="EJ285" s="2">
        <v>1</v>
      </c>
      <c r="EK285" s="2">
        <v>115</v>
      </c>
      <c r="EL285" s="2" t="s">
        <v>345</v>
      </c>
      <c r="EM285" s="2" t="s">
        <v>346</v>
      </c>
      <c r="EN285" s="2"/>
      <c r="EO285" s="2" t="s">
        <v>3</v>
      </c>
      <c r="EP285" s="2"/>
      <c r="EQ285" s="2">
        <v>0</v>
      </c>
      <c r="ER285" s="2">
        <v>481.69</v>
      </c>
      <c r="ES285" s="2">
        <v>481.69</v>
      </c>
      <c r="ET285" s="2">
        <v>0</v>
      </c>
      <c r="EU285" s="2">
        <v>0</v>
      </c>
      <c r="EV285" s="2">
        <v>0</v>
      </c>
      <c r="EW285" s="2">
        <v>0</v>
      </c>
      <c r="EX285" s="2">
        <v>0</v>
      </c>
      <c r="EY285" s="2"/>
      <c r="EZ285" s="2"/>
      <c r="FA285" s="2"/>
      <c r="FB285" s="2"/>
      <c r="FC285" s="2"/>
      <c r="FD285" s="2"/>
      <c r="FE285" s="2"/>
      <c r="FF285" s="2"/>
      <c r="FG285" s="2"/>
      <c r="FH285" s="2"/>
      <c r="FI285" s="2"/>
      <c r="FJ285" s="2"/>
      <c r="FK285" s="2"/>
      <c r="FL285" s="2"/>
      <c r="FM285" s="2"/>
      <c r="FN285" s="2"/>
      <c r="FO285" s="2"/>
      <c r="FP285" s="2"/>
      <c r="FQ285" s="2">
        <v>0</v>
      </c>
      <c r="FR285" s="2">
        <f t="shared" si="214"/>
        <v>0</v>
      </c>
      <c r="FS285" s="2">
        <v>0</v>
      </c>
      <c r="FT285" s="2"/>
      <c r="FU285" s="2"/>
      <c r="FV285" s="2"/>
      <c r="FW285" s="2"/>
      <c r="FX285" s="2">
        <v>100</v>
      </c>
      <c r="FY285" s="2">
        <v>64</v>
      </c>
      <c r="FZ285" s="2"/>
      <c r="GA285" s="2" t="s">
        <v>3</v>
      </c>
      <c r="GB285" s="2"/>
      <c r="GC285" s="2"/>
      <c r="GD285" s="2">
        <v>0</v>
      </c>
      <c r="GE285" s="2"/>
      <c r="GF285" s="2">
        <v>202608499</v>
      </c>
      <c r="GG285" s="2">
        <v>2</v>
      </c>
      <c r="GH285" s="2">
        <v>1</v>
      </c>
      <c r="GI285" s="2">
        <v>-2</v>
      </c>
      <c r="GJ285" s="2">
        <v>0</v>
      </c>
      <c r="GK285" s="2">
        <f>ROUND(R285*(R12)/100,2)</f>
        <v>0</v>
      </c>
      <c r="GL285" s="2">
        <f t="shared" si="215"/>
        <v>0</v>
      </c>
      <c r="GM285" s="2">
        <f t="shared" si="216"/>
        <v>71.569999999999993</v>
      </c>
      <c r="GN285" s="2">
        <f t="shared" si="217"/>
        <v>71.569999999999993</v>
      </c>
      <c r="GO285" s="2">
        <f t="shared" si="218"/>
        <v>0</v>
      </c>
      <c r="GP285" s="2">
        <f t="shared" si="219"/>
        <v>0</v>
      </c>
      <c r="GQ285" s="2"/>
      <c r="GR285" s="2">
        <v>0</v>
      </c>
      <c r="GS285" s="2">
        <v>0</v>
      </c>
      <c r="GT285" s="2">
        <v>0</v>
      </c>
      <c r="GU285" s="2" t="s">
        <v>3</v>
      </c>
      <c r="GV285" s="2">
        <f t="shared" si="220"/>
        <v>0</v>
      </c>
      <c r="GW285" s="2">
        <v>1</v>
      </c>
      <c r="GX285" s="2">
        <f t="shared" si="221"/>
        <v>0</v>
      </c>
      <c r="GY285" s="2"/>
      <c r="GZ285" s="2"/>
      <c r="HA285" s="2">
        <v>0</v>
      </c>
      <c r="HB285" s="2">
        <v>0</v>
      </c>
      <c r="HC285" s="2">
        <f t="shared" si="222"/>
        <v>0</v>
      </c>
      <c r="HD285" s="2"/>
      <c r="HE285" s="2" t="s">
        <v>3</v>
      </c>
      <c r="HF285" s="2" t="s">
        <v>3</v>
      </c>
      <c r="HG285" s="2"/>
      <c r="HH285" s="2"/>
      <c r="HI285" s="2"/>
      <c r="HJ285" s="2"/>
      <c r="HK285" s="2"/>
      <c r="HL285" s="2"/>
      <c r="HM285" s="2" t="s">
        <v>3</v>
      </c>
      <c r="HN285" s="2" t="s">
        <v>3</v>
      </c>
      <c r="HO285" s="2" t="s">
        <v>3</v>
      </c>
      <c r="HP285" s="2" t="s">
        <v>3</v>
      </c>
      <c r="HQ285" s="2" t="s">
        <v>3</v>
      </c>
      <c r="HR285" s="2"/>
      <c r="HS285" s="2"/>
      <c r="HT285" s="2"/>
      <c r="HU285" s="2"/>
      <c r="HV285" s="2"/>
      <c r="HW285" s="2"/>
      <c r="HX285" s="2"/>
      <c r="HY285" s="2"/>
      <c r="HZ285" s="2"/>
      <c r="IA285" s="2"/>
      <c r="IB285" s="2"/>
      <c r="IC285" s="2"/>
      <c r="ID285" s="2"/>
      <c r="IE285" s="2"/>
      <c r="IF285" s="2"/>
      <c r="IG285" s="2"/>
      <c r="IH285" s="2"/>
      <c r="II285" s="2"/>
      <c r="IJ285" s="2"/>
      <c r="IK285" s="2">
        <v>0</v>
      </c>
      <c r="IL285" s="2"/>
      <c r="IM285" s="2"/>
      <c r="IN285" s="2"/>
      <c r="IO285" s="2"/>
      <c r="IP285" s="2"/>
      <c r="IQ285" s="2"/>
      <c r="IR285" s="2"/>
      <c r="IS285" s="2"/>
      <c r="IT285" s="2"/>
      <c r="IU285" s="2"/>
    </row>
    <row r="286" spans="1:255" x14ac:dyDescent="0.2">
      <c r="A286">
        <v>18</v>
      </c>
      <c r="B286">
        <v>1</v>
      </c>
      <c r="C286">
        <v>278</v>
      </c>
      <c r="E286" t="s">
        <v>354</v>
      </c>
      <c r="F286" t="s">
        <v>319</v>
      </c>
      <c r="G286" t="s">
        <v>320</v>
      </c>
      <c r="H286" t="s">
        <v>94</v>
      </c>
      <c r="I286">
        <f>I280*J286</f>
        <v>0.14858399999999999</v>
      </c>
      <c r="J286">
        <v>1.208</v>
      </c>
      <c r="K286">
        <v>1.208</v>
      </c>
      <c r="O286">
        <f t="shared" si="192"/>
        <v>674.91</v>
      </c>
      <c r="P286">
        <f t="shared" si="193"/>
        <v>674.91</v>
      </c>
      <c r="Q286">
        <f t="shared" si="228"/>
        <v>0</v>
      </c>
      <c r="R286">
        <f t="shared" si="194"/>
        <v>0</v>
      </c>
      <c r="S286">
        <f t="shared" si="195"/>
        <v>0</v>
      </c>
      <c r="T286">
        <f t="shared" si="196"/>
        <v>0</v>
      </c>
      <c r="U286">
        <f t="shared" si="197"/>
        <v>0</v>
      </c>
      <c r="V286">
        <f t="shared" si="198"/>
        <v>0</v>
      </c>
      <c r="W286">
        <f t="shared" si="199"/>
        <v>0</v>
      </c>
      <c r="X286">
        <f t="shared" si="200"/>
        <v>0</v>
      </c>
      <c r="Y286">
        <f t="shared" si="201"/>
        <v>0</v>
      </c>
      <c r="AA286">
        <v>129761633</v>
      </c>
      <c r="AB286">
        <f t="shared" si="202"/>
        <v>481.69</v>
      </c>
      <c r="AC286">
        <f t="shared" si="203"/>
        <v>481.69</v>
      </c>
      <c r="AD286">
        <f t="shared" si="229"/>
        <v>0</v>
      </c>
      <c r="AE286">
        <f t="shared" si="230"/>
        <v>0</v>
      </c>
      <c r="AF286">
        <f t="shared" si="230"/>
        <v>0</v>
      </c>
      <c r="AG286">
        <f t="shared" si="204"/>
        <v>0</v>
      </c>
      <c r="AH286">
        <f t="shared" si="231"/>
        <v>0</v>
      </c>
      <c r="AI286">
        <f t="shared" si="231"/>
        <v>0</v>
      </c>
      <c r="AJ286">
        <f t="shared" si="205"/>
        <v>0</v>
      </c>
      <c r="AK286">
        <v>481.69</v>
      </c>
      <c r="AL286">
        <v>481.69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1</v>
      </c>
      <c r="AW286">
        <v>1</v>
      </c>
      <c r="AZ286">
        <v>1</v>
      </c>
      <c r="BA286">
        <v>1</v>
      </c>
      <c r="BB286">
        <v>1</v>
      </c>
      <c r="BC286">
        <v>9.43</v>
      </c>
      <c r="BD286" t="s">
        <v>3</v>
      </c>
      <c r="BE286" t="s">
        <v>3</v>
      </c>
      <c r="BF286" t="s">
        <v>3</v>
      </c>
      <c r="BG286" t="s">
        <v>3</v>
      </c>
      <c r="BH286">
        <v>3</v>
      </c>
      <c r="BI286">
        <v>1</v>
      </c>
      <c r="BJ286" t="s">
        <v>321</v>
      </c>
      <c r="BM286">
        <v>115</v>
      </c>
      <c r="BN286">
        <v>0</v>
      </c>
      <c r="BO286" t="s">
        <v>319</v>
      </c>
      <c r="BP286">
        <v>1</v>
      </c>
      <c r="BQ286">
        <v>30</v>
      </c>
      <c r="BR286">
        <v>0</v>
      </c>
      <c r="BS286">
        <v>1</v>
      </c>
      <c r="BT286">
        <v>1</v>
      </c>
      <c r="BU286">
        <v>1</v>
      </c>
      <c r="BV286">
        <v>1</v>
      </c>
      <c r="BW286">
        <v>1</v>
      </c>
      <c r="BX286">
        <v>1</v>
      </c>
      <c r="BY286" t="s">
        <v>3</v>
      </c>
      <c r="BZ286">
        <v>0</v>
      </c>
      <c r="CA286">
        <v>0</v>
      </c>
      <c r="CB286" t="s">
        <v>3</v>
      </c>
      <c r="CE286">
        <v>30</v>
      </c>
      <c r="CF286">
        <v>0</v>
      </c>
      <c r="CG286">
        <v>0</v>
      </c>
      <c r="CM286">
        <v>0</v>
      </c>
      <c r="CN286" t="s">
        <v>3</v>
      </c>
      <c r="CO286">
        <v>0</v>
      </c>
      <c r="CP286">
        <f t="shared" si="206"/>
        <v>674.91</v>
      </c>
      <c r="CQ286">
        <f t="shared" si="207"/>
        <v>4542.34</v>
      </c>
      <c r="CR286">
        <f t="shared" si="232"/>
        <v>0</v>
      </c>
      <c r="CS286">
        <f t="shared" si="208"/>
        <v>0</v>
      </c>
      <c r="CT286">
        <f t="shared" si="209"/>
        <v>0</v>
      </c>
      <c r="CU286">
        <f t="shared" si="210"/>
        <v>0</v>
      </c>
      <c r="CV286">
        <f t="shared" si="211"/>
        <v>0</v>
      </c>
      <c r="CW286">
        <f t="shared" si="212"/>
        <v>0</v>
      </c>
      <c r="CX286">
        <f t="shared" si="213"/>
        <v>0</v>
      </c>
      <c r="CY286">
        <f>S286*(BZ286/100)</f>
        <v>0</v>
      </c>
      <c r="CZ286">
        <f>S286*(CA286/100)</f>
        <v>0</v>
      </c>
      <c r="DC286" t="s">
        <v>3</v>
      </c>
      <c r="DD286" t="s">
        <v>3</v>
      </c>
      <c r="DE286" t="s">
        <v>3</v>
      </c>
      <c r="DF286" t="s">
        <v>3</v>
      </c>
      <c r="DG286" t="s">
        <v>3</v>
      </c>
      <c r="DH286" t="s">
        <v>3</v>
      </c>
      <c r="DI286" t="s">
        <v>3</v>
      </c>
      <c r="DJ286" t="s">
        <v>3</v>
      </c>
      <c r="DK286" t="s">
        <v>3</v>
      </c>
      <c r="DL286" t="s">
        <v>3</v>
      </c>
      <c r="DM286" t="s">
        <v>3</v>
      </c>
      <c r="DN286">
        <v>100</v>
      </c>
      <c r="DO286">
        <v>64</v>
      </c>
      <c r="DP286">
        <v>1</v>
      </c>
      <c r="DQ286">
        <v>1</v>
      </c>
      <c r="DU286">
        <v>1007</v>
      </c>
      <c r="DV286" t="s">
        <v>94</v>
      </c>
      <c r="DW286" t="s">
        <v>94</v>
      </c>
      <c r="DX286">
        <v>1</v>
      </c>
      <c r="DZ286" t="s">
        <v>3</v>
      </c>
      <c r="EA286" t="s">
        <v>3</v>
      </c>
      <c r="EB286" t="s">
        <v>3</v>
      </c>
      <c r="EC286" t="s">
        <v>3</v>
      </c>
      <c r="EE286">
        <v>126051576</v>
      </c>
      <c r="EF286">
        <v>30</v>
      </c>
      <c r="EG286" t="s">
        <v>23</v>
      </c>
      <c r="EH286">
        <v>0</v>
      </c>
      <c r="EI286" t="s">
        <v>3</v>
      </c>
      <c r="EJ286">
        <v>1</v>
      </c>
      <c r="EK286">
        <v>115</v>
      </c>
      <c r="EL286" t="s">
        <v>345</v>
      </c>
      <c r="EM286" t="s">
        <v>346</v>
      </c>
      <c r="EO286" t="s">
        <v>3</v>
      </c>
      <c r="EQ286">
        <v>0</v>
      </c>
      <c r="ER286">
        <v>481.69</v>
      </c>
      <c r="ES286">
        <v>481.69</v>
      </c>
      <c r="ET286">
        <v>0</v>
      </c>
      <c r="EU286">
        <v>0</v>
      </c>
      <c r="EV286">
        <v>0</v>
      </c>
      <c r="EW286">
        <v>0</v>
      </c>
      <c r="EX286">
        <v>0</v>
      </c>
      <c r="FQ286">
        <v>0</v>
      </c>
      <c r="FR286">
        <f t="shared" si="214"/>
        <v>0</v>
      </c>
      <c r="FS286">
        <v>0</v>
      </c>
      <c r="FX286">
        <v>100</v>
      </c>
      <c r="FY286">
        <v>64</v>
      </c>
      <c r="GA286" t="s">
        <v>3</v>
      </c>
      <c r="GD286">
        <v>0</v>
      </c>
      <c r="GF286">
        <v>202608499</v>
      </c>
      <c r="GG286">
        <v>2</v>
      </c>
      <c r="GH286">
        <v>1</v>
      </c>
      <c r="GI286">
        <v>2</v>
      </c>
      <c r="GJ286">
        <v>0</v>
      </c>
      <c r="GK286">
        <f>ROUND(R286*(S12)/100,2)</f>
        <v>0</v>
      </c>
      <c r="GL286">
        <f t="shared" si="215"/>
        <v>0</v>
      </c>
      <c r="GM286">
        <f t="shared" si="216"/>
        <v>674.91</v>
      </c>
      <c r="GN286">
        <f t="shared" si="217"/>
        <v>674.91</v>
      </c>
      <c r="GO286">
        <f t="shared" si="218"/>
        <v>0</v>
      </c>
      <c r="GP286">
        <f t="shared" si="219"/>
        <v>0</v>
      </c>
      <c r="GR286">
        <v>0</v>
      </c>
      <c r="GS286">
        <v>3</v>
      </c>
      <c r="GT286">
        <v>0</v>
      </c>
      <c r="GU286" t="s">
        <v>3</v>
      </c>
      <c r="GV286">
        <f t="shared" si="220"/>
        <v>0</v>
      </c>
      <c r="GW286">
        <v>1</v>
      </c>
      <c r="GX286">
        <f t="shared" si="221"/>
        <v>0</v>
      </c>
      <c r="HA286">
        <v>0</v>
      </c>
      <c r="HB286">
        <v>0</v>
      </c>
      <c r="HC286">
        <f t="shared" si="222"/>
        <v>0</v>
      </c>
      <c r="HE286" t="s">
        <v>3</v>
      </c>
      <c r="HF286" t="s">
        <v>3</v>
      </c>
      <c r="HM286" t="s">
        <v>3</v>
      </c>
      <c r="HN286" t="s">
        <v>3</v>
      </c>
      <c r="HO286" t="s">
        <v>3</v>
      </c>
      <c r="HP286" t="s">
        <v>3</v>
      </c>
      <c r="HQ286" t="s">
        <v>3</v>
      </c>
      <c r="IK286">
        <v>0</v>
      </c>
    </row>
    <row r="287" spans="1:255" x14ac:dyDescent="0.2">
      <c r="A287" s="2">
        <v>17</v>
      </c>
      <c r="B287" s="2">
        <v>1</v>
      </c>
      <c r="C287" s="2">
        <f>ROW(SmtRes!A286)</f>
        <v>286</v>
      </c>
      <c r="D287" s="2">
        <f>ROW(EtalonRes!A292)</f>
        <v>292</v>
      </c>
      <c r="E287" s="2" t="s">
        <v>355</v>
      </c>
      <c r="F287" s="2" t="s">
        <v>356</v>
      </c>
      <c r="G287" s="2" t="s">
        <v>357</v>
      </c>
      <c r="H287" s="2" t="s">
        <v>358</v>
      </c>
      <c r="I287" s="2">
        <v>0.161</v>
      </c>
      <c r="J287" s="2">
        <v>0</v>
      </c>
      <c r="K287" s="2">
        <v>0.161</v>
      </c>
      <c r="L287" s="2"/>
      <c r="M287" s="2"/>
      <c r="N287" s="2"/>
      <c r="O287" s="2">
        <f t="shared" si="192"/>
        <v>91.74</v>
      </c>
      <c r="P287" s="2">
        <f t="shared" si="193"/>
        <v>0.98</v>
      </c>
      <c r="Q287" s="2">
        <f>(ROUND((ROUND((((ET287*1.25))*AV287*I287),2)*BB287),2)+ROUND((ROUND(((AE287-((EU287*1.25)))*AV287*I287),2)*BS287),2))</f>
        <v>5.84</v>
      </c>
      <c r="R287" s="2">
        <f t="shared" si="194"/>
        <v>1.38</v>
      </c>
      <c r="S287" s="2">
        <f t="shared" si="195"/>
        <v>84.92</v>
      </c>
      <c r="T287" s="2">
        <f t="shared" si="196"/>
        <v>0</v>
      </c>
      <c r="U287" s="2">
        <f t="shared" si="197"/>
        <v>7.2208499999999995</v>
      </c>
      <c r="V287" s="2">
        <f t="shared" si="198"/>
        <v>0</v>
      </c>
      <c r="W287" s="2">
        <f t="shared" si="199"/>
        <v>0</v>
      </c>
      <c r="X287" s="2">
        <f t="shared" si="200"/>
        <v>84.92</v>
      </c>
      <c r="Y287" s="2">
        <f t="shared" si="201"/>
        <v>54.35</v>
      </c>
      <c r="Z287" s="2"/>
      <c r="AA287" s="2">
        <v>129761636</v>
      </c>
      <c r="AB287" s="2">
        <f t="shared" si="202"/>
        <v>569.81349999999998</v>
      </c>
      <c r="AC287" s="2">
        <f t="shared" si="203"/>
        <v>6.09</v>
      </c>
      <c r="AD287" s="2">
        <f>ROUND(((((ET287*1.25))-((EU287*1.25)))+AE287),6)</f>
        <v>36.287500000000001</v>
      </c>
      <c r="AE287" s="2">
        <f>ROUND(((EU287*1.25)),6)</f>
        <v>8.5749999999999993</v>
      </c>
      <c r="AF287" s="2">
        <f>ROUND(((EV287*1.15)),6)</f>
        <v>527.43600000000004</v>
      </c>
      <c r="AG287" s="2">
        <f t="shared" si="204"/>
        <v>0</v>
      </c>
      <c r="AH287" s="2">
        <f>((EW287*1.15))</f>
        <v>44.849999999999994</v>
      </c>
      <c r="AI287" s="2">
        <f>((EX287*1.25))</f>
        <v>0</v>
      </c>
      <c r="AJ287" s="2">
        <f t="shared" si="205"/>
        <v>0</v>
      </c>
      <c r="AK287" s="2">
        <v>493.76</v>
      </c>
      <c r="AL287" s="2">
        <v>6.09</v>
      </c>
      <c r="AM287" s="2">
        <v>29.03</v>
      </c>
      <c r="AN287" s="2">
        <v>6.86</v>
      </c>
      <c r="AO287" s="2">
        <v>458.64</v>
      </c>
      <c r="AP287" s="2">
        <v>0</v>
      </c>
      <c r="AQ287" s="2">
        <v>39</v>
      </c>
      <c r="AR287" s="2">
        <v>0</v>
      </c>
      <c r="AS287" s="2">
        <v>0</v>
      </c>
      <c r="AT287" s="2">
        <v>100</v>
      </c>
      <c r="AU287" s="2">
        <v>64</v>
      </c>
      <c r="AV287" s="2">
        <v>1</v>
      </c>
      <c r="AW287" s="2">
        <v>1</v>
      </c>
      <c r="AX287" s="2"/>
      <c r="AY287" s="2"/>
      <c r="AZ287" s="2">
        <v>1</v>
      </c>
      <c r="BA287" s="2">
        <v>1</v>
      </c>
      <c r="BB287" s="2">
        <v>1</v>
      </c>
      <c r="BC287" s="2">
        <v>1</v>
      </c>
      <c r="BD287" s="2" t="s">
        <v>3</v>
      </c>
      <c r="BE287" s="2" t="s">
        <v>3</v>
      </c>
      <c r="BF287" s="2" t="s">
        <v>3</v>
      </c>
      <c r="BG287" s="2" t="s">
        <v>3</v>
      </c>
      <c r="BH287" s="2">
        <v>0</v>
      </c>
      <c r="BI287" s="2">
        <v>1</v>
      </c>
      <c r="BJ287" s="2" t="s">
        <v>359</v>
      </c>
      <c r="BK287" s="2"/>
      <c r="BL287" s="2"/>
      <c r="BM287" s="2">
        <v>117</v>
      </c>
      <c r="BN287" s="2">
        <v>0</v>
      </c>
      <c r="BO287" s="2" t="s">
        <v>3</v>
      </c>
      <c r="BP287" s="2">
        <v>0</v>
      </c>
      <c r="BQ287" s="2">
        <v>30</v>
      </c>
      <c r="BR287" s="2">
        <v>0</v>
      </c>
      <c r="BS287" s="2">
        <v>1</v>
      </c>
      <c r="BT287" s="2">
        <v>1</v>
      </c>
      <c r="BU287" s="2">
        <v>1</v>
      </c>
      <c r="BV287" s="2">
        <v>1</v>
      </c>
      <c r="BW287" s="2">
        <v>1</v>
      </c>
      <c r="BX287" s="2">
        <v>1</v>
      </c>
      <c r="BY287" s="2" t="s">
        <v>3</v>
      </c>
      <c r="BZ287" s="2">
        <v>100</v>
      </c>
      <c r="CA287" s="2">
        <v>64</v>
      </c>
      <c r="CB287" s="2" t="s">
        <v>3</v>
      </c>
      <c r="CC287" s="2"/>
      <c r="CD287" s="2"/>
      <c r="CE287" s="2">
        <v>30</v>
      </c>
      <c r="CF287" s="2">
        <v>0</v>
      </c>
      <c r="CG287" s="2">
        <v>0</v>
      </c>
      <c r="CH287" s="2"/>
      <c r="CI287" s="2"/>
      <c r="CJ287" s="2"/>
      <c r="CK287" s="2"/>
      <c r="CL287" s="2"/>
      <c r="CM287" s="2">
        <v>0</v>
      </c>
      <c r="CN287" s="2" t="s">
        <v>1559</v>
      </c>
      <c r="CO287" s="2">
        <v>0</v>
      </c>
      <c r="CP287" s="2">
        <f t="shared" si="206"/>
        <v>91.740000000000009</v>
      </c>
      <c r="CQ287" s="2">
        <f t="shared" si="207"/>
        <v>6.09</v>
      </c>
      <c r="CR287" s="2">
        <f>(ROUND((ROUND((((ET287*1.25))*AV287*1),2)*BB287),2)+ROUND((ROUND(((AE287-((EU287*1.25)))*AV287*1),2)*BS287),2))</f>
        <v>36.29</v>
      </c>
      <c r="CS287" s="2">
        <f t="shared" si="208"/>
        <v>8.58</v>
      </c>
      <c r="CT287" s="2">
        <f t="shared" si="209"/>
        <v>527.44000000000005</v>
      </c>
      <c r="CU287" s="2">
        <f t="shared" si="210"/>
        <v>0</v>
      </c>
      <c r="CV287" s="2">
        <f t="shared" si="211"/>
        <v>44.849999999999994</v>
      </c>
      <c r="CW287" s="2">
        <f t="shared" si="212"/>
        <v>0</v>
      </c>
      <c r="CX287" s="2">
        <f t="shared" si="213"/>
        <v>0</v>
      </c>
      <c r="CY287" s="2">
        <f>((S287*BZ287)/100)</f>
        <v>84.92</v>
      </c>
      <c r="CZ287" s="2">
        <f>((S287*CA287)/100)</f>
        <v>54.348800000000004</v>
      </c>
      <c r="DA287" s="2"/>
      <c r="DB287" s="2"/>
      <c r="DC287" s="2" t="s">
        <v>3</v>
      </c>
      <c r="DD287" s="2" t="s">
        <v>3</v>
      </c>
      <c r="DE287" s="2" t="s">
        <v>86</v>
      </c>
      <c r="DF287" s="2" t="s">
        <v>86</v>
      </c>
      <c r="DG287" s="2" t="s">
        <v>87</v>
      </c>
      <c r="DH287" s="2" t="s">
        <v>3</v>
      </c>
      <c r="DI287" s="2" t="s">
        <v>87</v>
      </c>
      <c r="DJ287" s="2" t="s">
        <v>86</v>
      </c>
      <c r="DK287" s="2" t="s">
        <v>3</v>
      </c>
      <c r="DL287" s="2" t="s">
        <v>3</v>
      </c>
      <c r="DM287" s="2" t="s">
        <v>3</v>
      </c>
      <c r="DN287" s="2">
        <v>0</v>
      </c>
      <c r="DO287" s="2">
        <v>0</v>
      </c>
      <c r="DP287" s="2">
        <v>1</v>
      </c>
      <c r="DQ287" s="2">
        <v>1</v>
      </c>
      <c r="DR287" s="2"/>
      <c r="DS287" s="2"/>
      <c r="DT287" s="2"/>
      <c r="DU287" s="2">
        <v>1005</v>
      </c>
      <c r="DV287" s="2" t="s">
        <v>358</v>
      </c>
      <c r="DW287" s="2" t="s">
        <v>358</v>
      </c>
      <c r="DX287" s="2">
        <v>100</v>
      </c>
      <c r="DY287" s="2"/>
      <c r="DZ287" s="2" t="s">
        <v>3</v>
      </c>
      <c r="EA287" s="2" t="s">
        <v>3</v>
      </c>
      <c r="EB287" s="2" t="s">
        <v>3</v>
      </c>
      <c r="EC287" s="2" t="s">
        <v>3</v>
      </c>
      <c r="ED287" s="2"/>
      <c r="EE287" s="2">
        <v>126051578</v>
      </c>
      <c r="EF287" s="2">
        <v>30</v>
      </c>
      <c r="EG287" s="2" t="s">
        <v>23</v>
      </c>
      <c r="EH287" s="2">
        <v>0</v>
      </c>
      <c r="EI287" s="2" t="s">
        <v>3</v>
      </c>
      <c r="EJ287" s="2">
        <v>1</v>
      </c>
      <c r="EK287" s="2">
        <v>117</v>
      </c>
      <c r="EL287" s="2" t="s">
        <v>360</v>
      </c>
      <c r="EM287" s="2" t="s">
        <v>361</v>
      </c>
      <c r="EN287" s="2"/>
      <c r="EO287" s="2" t="s">
        <v>90</v>
      </c>
      <c r="EP287" s="2"/>
      <c r="EQ287" s="2">
        <v>131072</v>
      </c>
      <c r="ER287" s="2">
        <v>493.76</v>
      </c>
      <c r="ES287" s="2">
        <v>6.09</v>
      </c>
      <c r="ET287" s="2">
        <v>29.03</v>
      </c>
      <c r="EU287" s="2">
        <v>6.86</v>
      </c>
      <c r="EV287" s="2">
        <v>458.64</v>
      </c>
      <c r="EW287" s="2">
        <v>39</v>
      </c>
      <c r="EX287" s="2">
        <v>0</v>
      </c>
      <c r="EY287" s="2">
        <v>0</v>
      </c>
      <c r="EZ287" s="2"/>
      <c r="FA287" s="2"/>
      <c r="FB287" s="2"/>
      <c r="FC287" s="2"/>
      <c r="FD287" s="2"/>
      <c r="FE287" s="2"/>
      <c r="FF287" s="2"/>
      <c r="FG287" s="2"/>
      <c r="FH287" s="2"/>
      <c r="FI287" s="2"/>
      <c r="FJ287" s="2"/>
      <c r="FK287" s="2"/>
      <c r="FL287" s="2"/>
      <c r="FM287" s="2"/>
      <c r="FN287" s="2"/>
      <c r="FO287" s="2"/>
      <c r="FP287" s="2"/>
      <c r="FQ287" s="2">
        <v>0</v>
      </c>
      <c r="FR287" s="2">
        <f t="shared" si="214"/>
        <v>0</v>
      </c>
      <c r="FS287" s="2">
        <v>0</v>
      </c>
      <c r="FT287" s="2"/>
      <c r="FU287" s="2"/>
      <c r="FV287" s="2"/>
      <c r="FW287" s="2"/>
      <c r="FX287" s="2">
        <v>100</v>
      </c>
      <c r="FY287" s="2">
        <v>64</v>
      </c>
      <c r="FZ287" s="2"/>
      <c r="GA287" s="2" t="s">
        <v>3</v>
      </c>
      <c r="GB287" s="2"/>
      <c r="GC287" s="2"/>
      <c r="GD287" s="2">
        <v>0</v>
      </c>
      <c r="GE287" s="2"/>
      <c r="GF287" s="2">
        <v>-1692696959</v>
      </c>
      <c r="GG287" s="2">
        <v>2</v>
      </c>
      <c r="GH287" s="2">
        <v>1</v>
      </c>
      <c r="GI287" s="2">
        <v>-2</v>
      </c>
      <c r="GJ287" s="2">
        <v>0</v>
      </c>
      <c r="GK287" s="2">
        <f>ROUND(R287*(R12)/100,2)</f>
        <v>2.42</v>
      </c>
      <c r="GL287" s="2">
        <f t="shared" si="215"/>
        <v>0</v>
      </c>
      <c r="GM287" s="2">
        <f t="shared" si="216"/>
        <v>233.43</v>
      </c>
      <c r="GN287" s="2">
        <f t="shared" si="217"/>
        <v>233.43</v>
      </c>
      <c r="GO287" s="2">
        <f t="shared" si="218"/>
        <v>0</v>
      </c>
      <c r="GP287" s="2">
        <f t="shared" si="219"/>
        <v>0</v>
      </c>
      <c r="GQ287" s="2"/>
      <c r="GR287" s="2">
        <v>0</v>
      </c>
      <c r="GS287" s="2">
        <v>0</v>
      </c>
      <c r="GT287" s="2">
        <v>0</v>
      </c>
      <c r="GU287" s="2" t="s">
        <v>3</v>
      </c>
      <c r="GV287" s="2">
        <f t="shared" si="220"/>
        <v>0</v>
      </c>
      <c r="GW287" s="2">
        <v>1</v>
      </c>
      <c r="GX287" s="2">
        <f t="shared" si="221"/>
        <v>0</v>
      </c>
      <c r="GY287" s="2"/>
      <c r="GZ287" s="2"/>
      <c r="HA287" s="2">
        <v>0</v>
      </c>
      <c r="HB287" s="2">
        <v>0</v>
      </c>
      <c r="HC287" s="2">
        <f t="shared" si="222"/>
        <v>0</v>
      </c>
      <c r="HD287" s="2"/>
      <c r="HE287" s="2" t="s">
        <v>3</v>
      </c>
      <c r="HF287" s="2" t="s">
        <v>3</v>
      </c>
      <c r="HG287" s="2"/>
      <c r="HH287" s="2"/>
      <c r="HI287" s="2"/>
      <c r="HJ287" s="2"/>
      <c r="HK287" s="2"/>
      <c r="HL287" s="2"/>
      <c r="HM287" s="2" t="s">
        <v>3</v>
      </c>
      <c r="HN287" s="2" t="s">
        <v>3</v>
      </c>
      <c r="HO287" s="2" t="s">
        <v>3</v>
      </c>
      <c r="HP287" s="2" t="s">
        <v>3</v>
      </c>
      <c r="HQ287" s="2" t="s">
        <v>3</v>
      </c>
      <c r="HR287" s="2"/>
      <c r="HS287" s="2"/>
      <c r="HT287" s="2"/>
      <c r="HU287" s="2"/>
      <c r="HV287" s="2"/>
      <c r="HW287" s="2"/>
      <c r="HX287" s="2"/>
      <c r="HY287" s="2"/>
      <c r="HZ287" s="2"/>
      <c r="IA287" s="2"/>
      <c r="IB287" s="2"/>
      <c r="IC287" s="2"/>
      <c r="ID287" s="2"/>
      <c r="IE287" s="2"/>
      <c r="IF287" s="2"/>
      <c r="IG287" s="2"/>
      <c r="IH287" s="2"/>
      <c r="II287" s="2"/>
      <c r="IJ287" s="2"/>
      <c r="IK287" s="2">
        <v>0</v>
      </c>
      <c r="IL287" s="2"/>
      <c r="IM287" s="2"/>
      <c r="IN287" s="2"/>
      <c r="IO287" s="2"/>
      <c r="IP287" s="2"/>
      <c r="IQ287" s="2"/>
      <c r="IR287" s="2"/>
      <c r="IS287" s="2"/>
      <c r="IT287" s="2"/>
      <c r="IU287" s="2"/>
    </row>
    <row r="288" spans="1:255" x14ac:dyDescent="0.2">
      <c r="A288">
        <v>17</v>
      </c>
      <c r="B288">
        <v>1</v>
      </c>
      <c r="C288">
        <f>ROW(SmtRes!A292)</f>
        <v>292</v>
      </c>
      <c r="D288">
        <f>ROW(EtalonRes!A298)</f>
        <v>298</v>
      </c>
      <c r="E288" t="s">
        <v>355</v>
      </c>
      <c r="F288" t="s">
        <v>356</v>
      </c>
      <c r="G288" t="s">
        <v>357</v>
      </c>
      <c r="H288" t="s">
        <v>358</v>
      </c>
      <c r="I288">
        <v>0.161</v>
      </c>
      <c r="J288">
        <v>0</v>
      </c>
      <c r="K288">
        <v>0.161</v>
      </c>
      <c r="O288">
        <f t="shared" si="192"/>
        <v>2552.41</v>
      </c>
      <c r="P288">
        <f t="shared" si="193"/>
        <v>8.69</v>
      </c>
      <c r="Q288">
        <f>(ROUND((ROUND((((ET288*1.25))*AV288*I288),2)*BB288),2)+ROUND((ROUND(((AE288-((EU288*1.25)))*AV288*I288),2)*BS288),2))</f>
        <v>78.489999999999995</v>
      </c>
      <c r="R288">
        <f t="shared" si="194"/>
        <v>40.06</v>
      </c>
      <c r="S288">
        <f t="shared" si="195"/>
        <v>2465.23</v>
      </c>
      <c r="T288">
        <f t="shared" si="196"/>
        <v>0</v>
      </c>
      <c r="U288">
        <f t="shared" si="197"/>
        <v>7.2208499999999995</v>
      </c>
      <c r="V288">
        <f t="shared" si="198"/>
        <v>0</v>
      </c>
      <c r="W288">
        <f t="shared" si="199"/>
        <v>0</v>
      </c>
      <c r="X288">
        <f t="shared" si="200"/>
        <v>2046.14</v>
      </c>
      <c r="Y288">
        <f t="shared" si="201"/>
        <v>1010.74</v>
      </c>
      <c r="AA288">
        <v>129761633</v>
      </c>
      <c r="AB288">
        <f t="shared" si="202"/>
        <v>569.81349999999998</v>
      </c>
      <c r="AC288">
        <f t="shared" si="203"/>
        <v>6.09</v>
      </c>
      <c r="AD288">
        <f>ROUND(((((ET288*1.25))-((EU288*1.25)))+AE288),6)</f>
        <v>36.287500000000001</v>
      </c>
      <c r="AE288">
        <f>ROUND(((EU288*1.25)),6)</f>
        <v>8.5749999999999993</v>
      </c>
      <c r="AF288">
        <f>ROUND(((EV288*1.15)),6)</f>
        <v>527.43600000000004</v>
      </c>
      <c r="AG288">
        <f t="shared" si="204"/>
        <v>0</v>
      </c>
      <c r="AH288">
        <f>((EW288*1.15))</f>
        <v>44.849999999999994</v>
      </c>
      <c r="AI288">
        <f>((EX288*1.25))</f>
        <v>0</v>
      </c>
      <c r="AJ288">
        <f t="shared" si="205"/>
        <v>0</v>
      </c>
      <c r="AK288">
        <v>493.76</v>
      </c>
      <c r="AL288">
        <v>6.09</v>
      </c>
      <c r="AM288">
        <v>29.03</v>
      </c>
      <c r="AN288">
        <v>6.86</v>
      </c>
      <c r="AO288">
        <v>458.64</v>
      </c>
      <c r="AP288">
        <v>0</v>
      </c>
      <c r="AQ288">
        <v>39</v>
      </c>
      <c r="AR288">
        <v>0</v>
      </c>
      <c r="AS288">
        <v>0</v>
      </c>
      <c r="AT288">
        <v>83</v>
      </c>
      <c r="AU288">
        <v>41</v>
      </c>
      <c r="AV288">
        <v>1</v>
      </c>
      <c r="AW288">
        <v>1</v>
      </c>
      <c r="AZ288">
        <v>1</v>
      </c>
      <c r="BA288">
        <v>29.03</v>
      </c>
      <c r="BB288">
        <v>13.44</v>
      </c>
      <c r="BC288">
        <v>8.8699999999999992</v>
      </c>
      <c r="BD288" t="s">
        <v>3</v>
      </c>
      <c r="BE288" t="s">
        <v>3</v>
      </c>
      <c r="BF288" t="s">
        <v>3</v>
      </c>
      <c r="BG288" t="s">
        <v>3</v>
      </c>
      <c r="BH288">
        <v>0</v>
      </c>
      <c r="BI288">
        <v>1</v>
      </c>
      <c r="BJ288" t="s">
        <v>359</v>
      </c>
      <c r="BM288">
        <v>117</v>
      </c>
      <c r="BN288">
        <v>0</v>
      </c>
      <c r="BO288" t="s">
        <v>356</v>
      </c>
      <c r="BP288">
        <v>1</v>
      </c>
      <c r="BQ288">
        <v>30</v>
      </c>
      <c r="BR288">
        <v>0</v>
      </c>
      <c r="BS288">
        <v>29.03</v>
      </c>
      <c r="BT288">
        <v>1</v>
      </c>
      <c r="BU288">
        <v>1</v>
      </c>
      <c r="BV288">
        <v>1</v>
      </c>
      <c r="BW288">
        <v>1</v>
      </c>
      <c r="BX288">
        <v>1</v>
      </c>
      <c r="BY288" t="s">
        <v>3</v>
      </c>
      <c r="BZ288">
        <v>83</v>
      </c>
      <c r="CA288">
        <v>41</v>
      </c>
      <c r="CB288" t="s">
        <v>3</v>
      </c>
      <c r="CE288">
        <v>30</v>
      </c>
      <c r="CF288">
        <v>0</v>
      </c>
      <c r="CG288">
        <v>0</v>
      </c>
      <c r="CM288">
        <v>0</v>
      </c>
      <c r="CN288" t="s">
        <v>1559</v>
      </c>
      <c r="CO288">
        <v>0</v>
      </c>
      <c r="CP288">
        <f t="shared" si="206"/>
        <v>2552.41</v>
      </c>
      <c r="CQ288">
        <f t="shared" si="207"/>
        <v>54.02</v>
      </c>
      <c r="CR288">
        <f>(ROUND((ROUND((((ET288*1.25))*AV288*1),2)*BB288),2)+ROUND((ROUND(((AE288-((EU288*1.25)))*AV288*1),2)*BS288),2))</f>
        <v>487.74</v>
      </c>
      <c r="CS288">
        <f t="shared" si="208"/>
        <v>249.08</v>
      </c>
      <c r="CT288">
        <f t="shared" si="209"/>
        <v>15311.58</v>
      </c>
      <c r="CU288">
        <f t="shared" si="210"/>
        <v>0</v>
      </c>
      <c r="CV288">
        <f t="shared" si="211"/>
        <v>44.849999999999994</v>
      </c>
      <c r="CW288">
        <f t="shared" si="212"/>
        <v>0</v>
      </c>
      <c r="CX288">
        <f t="shared" si="213"/>
        <v>0</v>
      </c>
      <c r="CY288">
        <f>S288*(BZ288/100)</f>
        <v>2046.1408999999999</v>
      </c>
      <c r="CZ288">
        <f>S288*(CA288/100)</f>
        <v>1010.7443</v>
      </c>
      <c r="DC288" t="s">
        <v>3</v>
      </c>
      <c r="DD288" t="s">
        <v>3</v>
      </c>
      <c r="DE288" t="s">
        <v>86</v>
      </c>
      <c r="DF288" t="s">
        <v>86</v>
      </c>
      <c r="DG288" t="s">
        <v>87</v>
      </c>
      <c r="DH288" t="s">
        <v>3</v>
      </c>
      <c r="DI288" t="s">
        <v>87</v>
      </c>
      <c r="DJ288" t="s">
        <v>86</v>
      </c>
      <c r="DK288" t="s">
        <v>3</v>
      </c>
      <c r="DL288" t="s">
        <v>3</v>
      </c>
      <c r="DM288" t="s">
        <v>3</v>
      </c>
      <c r="DN288">
        <v>100</v>
      </c>
      <c r="DO288">
        <v>64</v>
      </c>
      <c r="DP288">
        <v>1</v>
      </c>
      <c r="DQ288">
        <v>1</v>
      </c>
      <c r="DU288">
        <v>1005</v>
      </c>
      <c r="DV288" t="s">
        <v>358</v>
      </c>
      <c r="DW288" t="s">
        <v>358</v>
      </c>
      <c r="DX288">
        <v>100</v>
      </c>
      <c r="DZ288" t="s">
        <v>3</v>
      </c>
      <c r="EA288" t="s">
        <v>3</v>
      </c>
      <c r="EB288" t="s">
        <v>3</v>
      </c>
      <c r="EC288" t="s">
        <v>3</v>
      </c>
      <c r="EE288">
        <v>126051578</v>
      </c>
      <c r="EF288">
        <v>30</v>
      </c>
      <c r="EG288" t="s">
        <v>23</v>
      </c>
      <c r="EH288">
        <v>0</v>
      </c>
      <c r="EI288" t="s">
        <v>3</v>
      </c>
      <c r="EJ288">
        <v>1</v>
      </c>
      <c r="EK288">
        <v>117</v>
      </c>
      <c r="EL288" t="s">
        <v>360</v>
      </c>
      <c r="EM288" t="s">
        <v>361</v>
      </c>
      <c r="EO288" t="s">
        <v>90</v>
      </c>
      <c r="EQ288">
        <v>131072</v>
      </c>
      <c r="ER288">
        <v>493.76</v>
      </c>
      <c r="ES288">
        <v>6.09</v>
      </c>
      <c r="ET288">
        <v>29.03</v>
      </c>
      <c r="EU288">
        <v>6.86</v>
      </c>
      <c r="EV288">
        <v>458.64</v>
      </c>
      <c r="EW288">
        <v>39</v>
      </c>
      <c r="EX288">
        <v>0</v>
      </c>
      <c r="EY288">
        <v>0</v>
      </c>
      <c r="FQ288">
        <v>0</v>
      </c>
      <c r="FR288">
        <f t="shared" si="214"/>
        <v>0</v>
      </c>
      <c r="FS288">
        <v>0</v>
      </c>
      <c r="FX288">
        <v>100</v>
      </c>
      <c r="FY288">
        <v>64</v>
      </c>
      <c r="GA288" t="s">
        <v>3</v>
      </c>
      <c r="GD288">
        <v>0</v>
      </c>
      <c r="GF288">
        <v>-1692696959</v>
      </c>
      <c r="GG288">
        <v>2</v>
      </c>
      <c r="GH288">
        <v>1</v>
      </c>
      <c r="GI288">
        <v>2</v>
      </c>
      <c r="GJ288">
        <v>0</v>
      </c>
      <c r="GK288">
        <f>ROUND(R288*(S12)/100,2)</f>
        <v>64.099999999999994</v>
      </c>
      <c r="GL288">
        <f t="shared" si="215"/>
        <v>0</v>
      </c>
      <c r="GM288">
        <f t="shared" si="216"/>
        <v>5673.39</v>
      </c>
      <c r="GN288">
        <f t="shared" si="217"/>
        <v>5673.39</v>
      </c>
      <c r="GO288">
        <f t="shared" si="218"/>
        <v>0</v>
      </c>
      <c r="GP288">
        <f t="shared" si="219"/>
        <v>0</v>
      </c>
      <c r="GR288">
        <v>0</v>
      </c>
      <c r="GS288">
        <v>3</v>
      </c>
      <c r="GT288">
        <v>0</v>
      </c>
      <c r="GU288" t="s">
        <v>3</v>
      </c>
      <c r="GV288">
        <f t="shared" si="220"/>
        <v>0</v>
      </c>
      <c r="GW288">
        <v>1</v>
      </c>
      <c r="GX288">
        <f t="shared" si="221"/>
        <v>0</v>
      </c>
      <c r="HA288">
        <v>0</v>
      </c>
      <c r="HB288">
        <v>0</v>
      </c>
      <c r="HC288">
        <f t="shared" si="222"/>
        <v>0</v>
      </c>
      <c r="HE288" t="s">
        <v>3</v>
      </c>
      <c r="HF288" t="s">
        <v>3</v>
      </c>
      <c r="HM288" t="s">
        <v>3</v>
      </c>
      <c r="HN288" t="s">
        <v>3</v>
      </c>
      <c r="HO288" t="s">
        <v>3</v>
      </c>
      <c r="HP288" t="s">
        <v>3</v>
      </c>
      <c r="HQ288" t="s">
        <v>3</v>
      </c>
      <c r="IK288">
        <v>0</v>
      </c>
    </row>
    <row r="289" spans="1:255" x14ac:dyDescent="0.2">
      <c r="A289" s="2">
        <v>18</v>
      </c>
      <c r="B289" s="2">
        <v>1</v>
      </c>
      <c r="C289" s="2">
        <v>283</v>
      </c>
      <c r="D289" s="2"/>
      <c r="E289" s="2" t="s">
        <v>362</v>
      </c>
      <c r="F289" s="2" t="s">
        <v>363</v>
      </c>
      <c r="G289" s="2" t="s">
        <v>364</v>
      </c>
      <c r="H289" s="2" t="s">
        <v>114</v>
      </c>
      <c r="I289" s="2">
        <f>I287*J289</f>
        <v>8.2109999999999995E-3</v>
      </c>
      <c r="J289" s="2">
        <v>5.0999999999999997E-2</v>
      </c>
      <c r="K289" s="2">
        <v>5.0999999999999997E-2</v>
      </c>
      <c r="L289" s="2"/>
      <c r="M289" s="2"/>
      <c r="N289" s="2"/>
      <c r="O289" s="2">
        <f t="shared" si="192"/>
        <v>18.71</v>
      </c>
      <c r="P289" s="2">
        <f t="shared" si="193"/>
        <v>18.71</v>
      </c>
      <c r="Q289" s="2">
        <f t="shared" ref="Q289:Q300" si="233">(ROUND((ROUND(((ET289)*AV289*I289),2)*BB289),2)+ROUND((ROUND(((AE289-(EU289))*AV289*I289),2)*BS289),2))</f>
        <v>0</v>
      </c>
      <c r="R289" s="2">
        <f t="shared" si="194"/>
        <v>0</v>
      </c>
      <c r="S289" s="2">
        <f t="shared" si="195"/>
        <v>0</v>
      </c>
      <c r="T289" s="2">
        <f t="shared" si="196"/>
        <v>0</v>
      </c>
      <c r="U289" s="2">
        <f t="shared" si="197"/>
        <v>0</v>
      </c>
      <c r="V289" s="2">
        <f t="shared" si="198"/>
        <v>0</v>
      </c>
      <c r="W289" s="2">
        <f t="shared" si="199"/>
        <v>0</v>
      </c>
      <c r="X289" s="2">
        <f t="shared" si="200"/>
        <v>0</v>
      </c>
      <c r="Y289" s="2">
        <f t="shared" si="201"/>
        <v>0</v>
      </c>
      <c r="Z289" s="2"/>
      <c r="AA289" s="2">
        <v>129761636</v>
      </c>
      <c r="AB289" s="2">
        <f t="shared" si="202"/>
        <v>2278.84</v>
      </c>
      <c r="AC289" s="2">
        <f t="shared" si="203"/>
        <v>2278.84</v>
      </c>
      <c r="AD289" s="2">
        <f t="shared" ref="AD289:AD300" si="234">ROUND((((ET289)-(EU289))+AE289),6)</f>
        <v>0</v>
      </c>
      <c r="AE289" s="2">
        <f t="shared" ref="AE289:AE300" si="235">ROUND((EU289),6)</f>
        <v>0</v>
      </c>
      <c r="AF289" s="2">
        <f t="shared" ref="AF289:AF300" si="236">ROUND((EV289),6)</f>
        <v>0</v>
      </c>
      <c r="AG289" s="2">
        <f t="shared" si="204"/>
        <v>0</v>
      </c>
      <c r="AH289" s="2">
        <f t="shared" ref="AH289:AH300" si="237">(EW289)</f>
        <v>0</v>
      </c>
      <c r="AI289" s="2">
        <f t="shared" ref="AI289:AI300" si="238">(EX289)</f>
        <v>0</v>
      </c>
      <c r="AJ289" s="2">
        <f t="shared" si="205"/>
        <v>0</v>
      </c>
      <c r="AK289" s="2">
        <v>2278.84</v>
      </c>
      <c r="AL289" s="2">
        <v>2278.84</v>
      </c>
      <c r="AM289" s="2">
        <v>0</v>
      </c>
      <c r="AN289" s="2">
        <v>0</v>
      </c>
      <c r="AO289" s="2">
        <v>0</v>
      </c>
      <c r="AP289" s="2">
        <v>0</v>
      </c>
      <c r="AQ289" s="2">
        <v>0</v>
      </c>
      <c r="AR289" s="2">
        <v>0</v>
      </c>
      <c r="AS289" s="2">
        <v>0</v>
      </c>
      <c r="AT289" s="2">
        <v>100</v>
      </c>
      <c r="AU289" s="2">
        <v>64</v>
      </c>
      <c r="AV289" s="2">
        <v>1</v>
      </c>
      <c r="AW289" s="2">
        <v>1</v>
      </c>
      <c r="AX289" s="2"/>
      <c r="AY289" s="2"/>
      <c r="AZ289" s="2">
        <v>1</v>
      </c>
      <c r="BA289" s="2">
        <v>1</v>
      </c>
      <c r="BB289" s="2">
        <v>1</v>
      </c>
      <c r="BC289" s="2">
        <v>1</v>
      </c>
      <c r="BD289" s="2" t="s">
        <v>3</v>
      </c>
      <c r="BE289" s="2" t="s">
        <v>3</v>
      </c>
      <c r="BF289" s="2" t="s">
        <v>3</v>
      </c>
      <c r="BG289" s="2" t="s">
        <v>3</v>
      </c>
      <c r="BH289" s="2">
        <v>3</v>
      </c>
      <c r="BI289" s="2">
        <v>1</v>
      </c>
      <c r="BJ289" s="2" t="s">
        <v>365</v>
      </c>
      <c r="BK289" s="2"/>
      <c r="BL289" s="2"/>
      <c r="BM289" s="2">
        <v>117</v>
      </c>
      <c r="BN289" s="2">
        <v>0</v>
      </c>
      <c r="BO289" s="2" t="s">
        <v>3</v>
      </c>
      <c r="BP289" s="2">
        <v>0</v>
      </c>
      <c r="BQ289" s="2">
        <v>30</v>
      </c>
      <c r="BR289" s="2">
        <v>0</v>
      </c>
      <c r="BS289" s="2">
        <v>1</v>
      </c>
      <c r="BT289" s="2">
        <v>1</v>
      </c>
      <c r="BU289" s="2">
        <v>1</v>
      </c>
      <c r="BV289" s="2">
        <v>1</v>
      </c>
      <c r="BW289" s="2">
        <v>1</v>
      </c>
      <c r="BX289" s="2">
        <v>1</v>
      </c>
      <c r="BY289" s="2" t="s">
        <v>3</v>
      </c>
      <c r="BZ289" s="2">
        <v>100</v>
      </c>
      <c r="CA289" s="2">
        <v>64</v>
      </c>
      <c r="CB289" s="2" t="s">
        <v>3</v>
      </c>
      <c r="CC289" s="2"/>
      <c r="CD289" s="2"/>
      <c r="CE289" s="2">
        <v>30</v>
      </c>
      <c r="CF289" s="2">
        <v>0</v>
      </c>
      <c r="CG289" s="2">
        <v>0</v>
      </c>
      <c r="CH289" s="2"/>
      <c r="CI289" s="2"/>
      <c r="CJ289" s="2"/>
      <c r="CK289" s="2"/>
      <c r="CL289" s="2"/>
      <c r="CM289" s="2">
        <v>0</v>
      </c>
      <c r="CN289" s="2" t="s">
        <v>3</v>
      </c>
      <c r="CO289" s="2">
        <v>0</v>
      </c>
      <c r="CP289" s="2">
        <f t="shared" si="206"/>
        <v>18.71</v>
      </c>
      <c r="CQ289" s="2">
        <f t="shared" si="207"/>
        <v>2278.84</v>
      </c>
      <c r="CR289" s="2">
        <f t="shared" ref="CR289:CR300" si="239">(ROUND((ROUND(((ET289)*AV289*1),2)*BB289),2)+ROUND((ROUND(((AE289-(EU289))*AV289*1),2)*BS289),2))</f>
        <v>0</v>
      </c>
      <c r="CS289" s="2">
        <f t="shared" si="208"/>
        <v>0</v>
      </c>
      <c r="CT289" s="2">
        <f t="shared" si="209"/>
        <v>0</v>
      </c>
      <c r="CU289" s="2">
        <f t="shared" si="210"/>
        <v>0</v>
      </c>
      <c r="CV289" s="2">
        <f t="shared" si="211"/>
        <v>0</v>
      </c>
      <c r="CW289" s="2">
        <f t="shared" si="212"/>
        <v>0</v>
      </c>
      <c r="CX289" s="2">
        <f t="shared" si="213"/>
        <v>0</v>
      </c>
      <c r="CY289" s="2">
        <f>((S289*BZ289)/100)</f>
        <v>0</v>
      </c>
      <c r="CZ289" s="2">
        <f>((S289*CA289)/100)</f>
        <v>0</v>
      </c>
      <c r="DA289" s="2"/>
      <c r="DB289" s="2"/>
      <c r="DC289" s="2" t="s">
        <v>3</v>
      </c>
      <c r="DD289" s="2" t="s">
        <v>3</v>
      </c>
      <c r="DE289" s="2" t="s">
        <v>3</v>
      </c>
      <c r="DF289" s="2" t="s">
        <v>3</v>
      </c>
      <c r="DG289" s="2" t="s">
        <v>3</v>
      </c>
      <c r="DH289" s="2" t="s">
        <v>3</v>
      </c>
      <c r="DI289" s="2" t="s">
        <v>3</v>
      </c>
      <c r="DJ289" s="2" t="s">
        <v>3</v>
      </c>
      <c r="DK289" s="2" t="s">
        <v>3</v>
      </c>
      <c r="DL289" s="2" t="s">
        <v>3</v>
      </c>
      <c r="DM289" s="2" t="s">
        <v>3</v>
      </c>
      <c r="DN289" s="2">
        <v>0</v>
      </c>
      <c r="DO289" s="2">
        <v>0</v>
      </c>
      <c r="DP289" s="2">
        <v>1</v>
      </c>
      <c r="DQ289" s="2">
        <v>1</v>
      </c>
      <c r="DR289" s="2"/>
      <c r="DS289" s="2"/>
      <c r="DT289" s="2"/>
      <c r="DU289" s="2">
        <v>1009</v>
      </c>
      <c r="DV289" s="2" t="s">
        <v>114</v>
      </c>
      <c r="DW289" s="2" t="s">
        <v>114</v>
      </c>
      <c r="DX289" s="2">
        <v>1000</v>
      </c>
      <c r="DY289" s="2"/>
      <c r="DZ289" s="2" t="s">
        <v>3</v>
      </c>
      <c r="EA289" s="2" t="s">
        <v>3</v>
      </c>
      <c r="EB289" s="2" t="s">
        <v>3</v>
      </c>
      <c r="EC289" s="2" t="s">
        <v>3</v>
      </c>
      <c r="ED289" s="2"/>
      <c r="EE289" s="2">
        <v>126051578</v>
      </c>
      <c r="EF289" s="2">
        <v>30</v>
      </c>
      <c r="EG289" s="2" t="s">
        <v>23</v>
      </c>
      <c r="EH289" s="2">
        <v>0</v>
      </c>
      <c r="EI289" s="2" t="s">
        <v>3</v>
      </c>
      <c r="EJ289" s="2">
        <v>1</v>
      </c>
      <c r="EK289" s="2">
        <v>117</v>
      </c>
      <c r="EL289" s="2" t="s">
        <v>360</v>
      </c>
      <c r="EM289" s="2" t="s">
        <v>361</v>
      </c>
      <c r="EN289" s="2"/>
      <c r="EO289" s="2" t="s">
        <v>3</v>
      </c>
      <c r="EP289" s="2"/>
      <c r="EQ289" s="2">
        <v>0</v>
      </c>
      <c r="ER289" s="2">
        <v>2278.84</v>
      </c>
      <c r="ES289" s="2">
        <v>2278.84</v>
      </c>
      <c r="ET289" s="2">
        <v>0</v>
      </c>
      <c r="EU289" s="2">
        <v>0</v>
      </c>
      <c r="EV289" s="2">
        <v>0</v>
      </c>
      <c r="EW289" s="2">
        <v>0</v>
      </c>
      <c r="EX289" s="2">
        <v>0</v>
      </c>
      <c r="EY289" s="2"/>
      <c r="EZ289" s="2"/>
      <c r="FA289" s="2"/>
      <c r="FB289" s="2"/>
      <c r="FC289" s="2"/>
      <c r="FD289" s="2"/>
      <c r="FE289" s="2"/>
      <c r="FF289" s="2"/>
      <c r="FG289" s="2"/>
      <c r="FH289" s="2"/>
      <c r="FI289" s="2"/>
      <c r="FJ289" s="2"/>
      <c r="FK289" s="2"/>
      <c r="FL289" s="2"/>
      <c r="FM289" s="2"/>
      <c r="FN289" s="2"/>
      <c r="FO289" s="2"/>
      <c r="FP289" s="2"/>
      <c r="FQ289" s="2">
        <v>0</v>
      </c>
      <c r="FR289" s="2">
        <f t="shared" si="214"/>
        <v>0</v>
      </c>
      <c r="FS289" s="2">
        <v>0</v>
      </c>
      <c r="FT289" s="2"/>
      <c r="FU289" s="2"/>
      <c r="FV289" s="2"/>
      <c r="FW289" s="2"/>
      <c r="FX289" s="2">
        <v>100</v>
      </c>
      <c r="FY289" s="2">
        <v>64</v>
      </c>
      <c r="FZ289" s="2"/>
      <c r="GA289" s="2" t="s">
        <v>3</v>
      </c>
      <c r="GB289" s="2"/>
      <c r="GC289" s="2"/>
      <c r="GD289" s="2">
        <v>0</v>
      </c>
      <c r="GE289" s="2"/>
      <c r="GF289" s="2">
        <v>1793685401</v>
      </c>
      <c r="GG289" s="2">
        <v>2</v>
      </c>
      <c r="GH289" s="2">
        <v>1</v>
      </c>
      <c r="GI289" s="2">
        <v>-2</v>
      </c>
      <c r="GJ289" s="2">
        <v>0</v>
      </c>
      <c r="GK289" s="2">
        <f>ROUND(R289*(R12)/100,2)</f>
        <v>0</v>
      </c>
      <c r="GL289" s="2">
        <f t="shared" si="215"/>
        <v>0</v>
      </c>
      <c r="GM289" s="2">
        <f t="shared" si="216"/>
        <v>18.71</v>
      </c>
      <c r="GN289" s="2">
        <f t="shared" si="217"/>
        <v>18.71</v>
      </c>
      <c r="GO289" s="2">
        <f t="shared" si="218"/>
        <v>0</v>
      </c>
      <c r="GP289" s="2">
        <f t="shared" si="219"/>
        <v>0</v>
      </c>
      <c r="GQ289" s="2"/>
      <c r="GR289" s="2">
        <v>0</v>
      </c>
      <c r="GS289" s="2">
        <v>0</v>
      </c>
      <c r="GT289" s="2">
        <v>0</v>
      </c>
      <c r="GU289" s="2" t="s">
        <v>3</v>
      </c>
      <c r="GV289" s="2">
        <f t="shared" si="220"/>
        <v>0</v>
      </c>
      <c r="GW289" s="2">
        <v>1</v>
      </c>
      <c r="GX289" s="2">
        <f t="shared" si="221"/>
        <v>0</v>
      </c>
      <c r="GY289" s="2"/>
      <c r="GZ289" s="2"/>
      <c r="HA289" s="2">
        <v>0</v>
      </c>
      <c r="HB289" s="2">
        <v>0</v>
      </c>
      <c r="HC289" s="2">
        <f t="shared" si="222"/>
        <v>0</v>
      </c>
      <c r="HD289" s="2"/>
      <c r="HE289" s="2" t="s">
        <v>3</v>
      </c>
      <c r="HF289" s="2" t="s">
        <v>3</v>
      </c>
      <c r="HG289" s="2"/>
      <c r="HH289" s="2"/>
      <c r="HI289" s="2"/>
      <c r="HJ289" s="2"/>
      <c r="HK289" s="2"/>
      <c r="HL289" s="2"/>
      <c r="HM289" s="2" t="s">
        <v>3</v>
      </c>
      <c r="HN289" s="2" t="s">
        <v>3</v>
      </c>
      <c r="HO289" s="2" t="s">
        <v>3</v>
      </c>
      <c r="HP289" s="2" t="s">
        <v>3</v>
      </c>
      <c r="HQ289" s="2" t="s">
        <v>3</v>
      </c>
      <c r="HR289" s="2"/>
      <c r="HS289" s="2"/>
      <c r="HT289" s="2"/>
      <c r="HU289" s="2"/>
      <c r="HV289" s="2"/>
      <c r="HW289" s="2"/>
      <c r="HX289" s="2"/>
      <c r="HY289" s="2"/>
      <c r="HZ289" s="2"/>
      <c r="IA289" s="2"/>
      <c r="IB289" s="2"/>
      <c r="IC289" s="2"/>
      <c r="ID289" s="2"/>
      <c r="IE289" s="2"/>
      <c r="IF289" s="2"/>
      <c r="IG289" s="2"/>
      <c r="IH289" s="2"/>
      <c r="II289" s="2"/>
      <c r="IJ289" s="2"/>
      <c r="IK289" s="2">
        <v>0</v>
      </c>
      <c r="IL289" s="2"/>
      <c r="IM289" s="2"/>
      <c r="IN289" s="2"/>
      <c r="IO289" s="2"/>
      <c r="IP289" s="2"/>
      <c r="IQ289" s="2"/>
      <c r="IR289" s="2"/>
      <c r="IS289" s="2"/>
      <c r="IT289" s="2"/>
      <c r="IU289" s="2"/>
    </row>
    <row r="290" spans="1:255" x14ac:dyDescent="0.2">
      <c r="A290">
        <v>18</v>
      </c>
      <c r="B290">
        <v>1</v>
      </c>
      <c r="C290">
        <v>289</v>
      </c>
      <c r="E290" t="s">
        <v>362</v>
      </c>
      <c r="F290" t="s">
        <v>363</v>
      </c>
      <c r="G290" t="s">
        <v>364</v>
      </c>
      <c r="H290" t="s">
        <v>114</v>
      </c>
      <c r="I290">
        <f>I288*J290</f>
        <v>8.2109999999999995E-3</v>
      </c>
      <c r="J290">
        <v>5.0999999999999997E-2</v>
      </c>
      <c r="K290">
        <v>5.0999999999999997E-2</v>
      </c>
      <c r="O290">
        <f t="shared" si="192"/>
        <v>155.66999999999999</v>
      </c>
      <c r="P290">
        <f t="shared" si="193"/>
        <v>155.66999999999999</v>
      </c>
      <c r="Q290">
        <f t="shared" si="233"/>
        <v>0</v>
      </c>
      <c r="R290">
        <f t="shared" si="194"/>
        <v>0</v>
      </c>
      <c r="S290">
        <f t="shared" si="195"/>
        <v>0</v>
      </c>
      <c r="T290">
        <f t="shared" si="196"/>
        <v>0</v>
      </c>
      <c r="U290">
        <f t="shared" si="197"/>
        <v>0</v>
      </c>
      <c r="V290">
        <f t="shared" si="198"/>
        <v>0</v>
      </c>
      <c r="W290">
        <f t="shared" si="199"/>
        <v>0</v>
      </c>
      <c r="X290">
        <f t="shared" si="200"/>
        <v>0</v>
      </c>
      <c r="Y290">
        <f t="shared" si="201"/>
        <v>0</v>
      </c>
      <c r="AA290">
        <v>129761633</v>
      </c>
      <c r="AB290">
        <f t="shared" si="202"/>
        <v>2278.84</v>
      </c>
      <c r="AC290">
        <f t="shared" si="203"/>
        <v>2278.84</v>
      </c>
      <c r="AD290">
        <f t="shared" si="234"/>
        <v>0</v>
      </c>
      <c r="AE290">
        <f t="shared" si="235"/>
        <v>0</v>
      </c>
      <c r="AF290">
        <f t="shared" si="236"/>
        <v>0</v>
      </c>
      <c r="AG290">
        <f t="shared" si="204"/>
        <v>0</v>
      </c>
      <c r="AH290">
        <f t="shared" si="237"/>
        <v>0</v>
      </c>
      <c r="AI290">
        <f t="shared" si="238"/>
        <v>0</v>
      </c>
      <c r="AJ290">
        <f t="shared" si="205"/>
        <v>0</v>
      </c>
      <c r="AK290">
        <v>2278.84</v>
      </c>
      <c r="AL290">
        <v>2278.84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1</v>
      </c>
      <c r="AW290">
        <v>1</v>
      </c>
      <c r="AZ290">
        <v>1</v>
      </c>
      <c r="BA290">
        <v>1</v>
      </c>
      <c r="BB290">
        <v>1</v>
      </c>
      <c r="BC290">
        <v>8.32</v>
      </c>
      <c r="BD290" t="s">
        <v>3</v>
      </c>
      <c r="BE290" t="s">
        <v>3</v>
      </c>
      <c r="BF290" t="s">
        <v>3</v>
      </c>
      <c r="BG290" t="s">
        <v>3</v>
      </c>
      <c r="BH290">
        <v>3</v>
      </c>
      <c r="BI290">
        <v>1</v>
      </c>
      <c r="BJ290" t="s">
        <v>365</v>
      </c>
      <c r="BM290">
        <v>117</v>
      </c>
      <c r="BN290">
        <v>0</v>
      </c>
      <c r="BO290" t="s">
        <v>363</v>
      </c>
      <c r="BP290">
        <v>1</v>
      </c>
      <c r="BQ290">
        <v>30</v>
      </c>
      <c r="BR290">
        <v>0</v>
      </c>
      <c r="BS290">
        <v>1</v>
      </c>
      <c r="BT290">
        <v>1</v>
      </c>
      <c r="BU290">
        <v>1</v>
      </c>
      <c r="BV290">
        <v>1</v>
      </c>
      <c r="BW290">
        <v>1</v>
      </c>
      <c r="BX290">
        <v>1</v>
      </c>
      <c r="BY290" t="s">
        <v>3</v>
      </c>
      <c r="BZ290">
        <v>0</v>
      </c>
      <c r="CA290">
        <v>0</v>
      </c>
      <c r="CB290" t="s">
        <v>3</v>
      </c>
      <c r="CE290">
        <v>30</v>
      </c>
      <c r="CF290">
        <v>0</v>
      </c>
      <c r="CG290">
        <v>0</v>
      </c>
      <c r="CM290">
        <v>0</v>
      </c>
      <c r="CN290" t="s">
        <v>3</v>
      </c>
      <c r="CO290">
        <v>0</v>
      </c>
      <c r="CP290">
        <f t="shared" si="206"/>
        <v>155.66999999999999</v>
      </c>
      <c r="CQ290">
        <f t="shared" si="207"/>
        <v>18959.95</v>
      </c>
      <c r="CR290">
        <f t="shared" si="239"/>
        <v>0</v>
      </c>
      <c r="CS290">
        <f t="shared" si="208"/>
        <v>0</v>
      </c>
      <c r="CT290">
        <f t="shared" si="209"/>
        <v>0</v>
      </c>
      <c r="CU290">
        <f t="shared" si="210"/>
        <v>0</v>
      </c>
      <c r="CV290">
        <f t="shared" si="211"/>
        <v>0</v>
      </c>
      <c r="CW290">
        <f t="shared" si="212"/>
        <v>0</v>
      </c>
      <c r="CX290">
        <f t="shared" si="213"/>
        <v>0</v>
      </c>
      <c r="CY290">
        <f>S290*(BZ290/100)</f>
        <v>0</v>
      </c>
      <c r="CZ290">
        <f>S290*(CA290/100)</f>
        <v>0</v>
      </c>
      <c r="DC290" t="s">
        <v>3</v>
      </c>
      <c r="DD290" t="s">
        <v>3</v>
      </c>
      <c r="DE290" t="s">
        <v>3</v>
      </c>
      <c r="DF290" t="s">
        <v>3</v>
      </c>
      <c r="DG290" t="s">
        <v>3</v>
      </c>
      <c r="DH290" t="s">
        <v>3</v>
      </c>
      <c r="DI290" t="s">
        <v>3</v>
      </c>
      <c r="DJ290" t="s">
        <v>3</v>
      </c>
      <c r="DK290" t="s">
        <v>3</v>
      </c>
      <c r="DL290" t="s">
        <v>3</v>
      </c>
      <c r="DM290" t="s">
        <v>3</v>
      </c>
      <c r="DN290">
        <v>100</v>
      </c>
      <c r="DO290">
        <v>64</v>
      </c>
      <c r="DP290">
        <v>1</v>
      </c>
      <c r="DQ290">
        <v>1</v>
      </c>
      <c r="DU290">
        <v>1009</v>
      </c>
      <c r="DV290" t="s">
        <v>114</v>
      </c>
      <c r="DW290" t="s">
        <v>114</v>
      </c>
      <c r="DX290">
        <v>1000</v>
      </c>
      <c r="DZ290" t="s">
        <v>3</v>
      </c>
      <c r="EA290" t="s">
        <v>3</v>
      </c>
      <c r="EB290" t="s">
        <v>3</v>
      </c>
      <c r="EC290" t="s">
        <v>3</v>
      </c>
      <c r="EE290">
        <v>126051578</v>
      </c>
      <c r="EF290">
        <v>30</v>
      </c>
      <c r="EG290" t="s">
        <v>23</v>
      </c>
      <c r="EH290">
        <v>0</v>
      </c>
      <c r="EI290" t="s">
        <v>3</v>
      </c>
      <c r="EJ290">
        <v>1</v>
      </c>
      <c r="EK290">
        <v>117</v>
      </c>
      <c r="EL290" t="s">
        <v>360</v>
      </c>
      <c r="EM290" t="s">
        <v>361</v>
      </c>
      <c r="EO290" t="s">
        <v>3</v>
      </c>
      <c r="EQ290">
        <v>0</v>
      </c>
      <c r="ER290">
        <v>2278.84</v>
      </c>
      <c r="ES290">
        <v>2278.84</v>
      </c>
      <c r="ET290">
        <v>0</v>
      </c>
      <c r="EU290">
        <v>0</v>
      </c>
      <c r="EV290">
        <v>0</v>
      </c>
      <c r="EW290">
        <v>0</v>
      </c>
      <c r="EX290">
        <v>0</v>
      </c>
      <c r="FQ290">
        <v>0</v>
      </c>
      <c r="FR290">
        <f t="shared" si="214"/>
        <v>0</v>
      </c>
      <c r="FS290">
        <v>0</v>
      </c>
      <c r="FX290">
        <v>100</v>
      </c>
      <c r="FY290">
        <v>64</v>
      </c>
      <c r="GA290" t="s">
        <v>3</v>
      </c>
      <c r="GD290">
        <v>0</v>
      </c>
      <c r="GF290">
        <v>1793685401</v>
      </c>
      <c r="GG290">
        <v>2</v>
      </c>
      <c r="GH290">
        <v>1</v>
      </c>
      <c r="GI290">
        <v>2</v>
      </c>
      <c r="GJ290">
        <v>0</v>
      </c>
      <c r="GK290">
        <f>ROUND(R290*(S12)/100,2)</f>
        <v>0</v>
      </c>
      <c r="GL290">
        <f t="shared" si="215"/>
        <v>0</v>
      </c>
      <c r="GM290">
        <f t="shared" si="216"/>
        <v>155.66999999999999</v>
      </c>
      <c r="GN290">
        <f t="shared" si="217"/>
        <v>155.66999999999999</v>
      </c>
      <c r="GO290">
        <f t="shared" si="218"/>
        <v>0</v>
      </c>
      <c r="GP290">
        <f t="shared" si="219"/>
        <v>0</v>
      </c>
      <c r="GR290">
        <v>0</v>
      </c>
      <c r="GS290">
        <v>3</v>
      </c>
      <c r="GT290">
        <v>0</v>
      </c>
      <c r="GU290" t="s">
        <v>3</v>
      </c>
      <c r="GV290">
        <f t="shared" si="220"/>
        <v>0</v>
      </c>
      <c r="GW290">
        <v>1</v>
      </c>
      <c r="GX290">
        <f t="shared" si="221"/>
        <v>0</v>
      </c>
      <c r="HA290">
        <v>0</v>
      </c>
      <c r="HB290">
        <v>0</v>
      </c>
      <c r="HC290">
        <f t="shared" si="222"/>
        <v>0</v>
      </c>
      <c r="HE290" t="s">
        <v>3</v>
      </c>
      <c r="HF290" t="s">
        <v>3</v>
      </c>
      <c r="HM290" t="s">
        <v>3</v>
      </c>
      <c r="HN290" t="s">
        <v>3</v>
      </c>
      <c r="HO290" t="s">
        <v>3</v>
      </c>
      <c r="HP290" t="s">
        <v>3</v>
      </c>
      <c r="HQ290" t="s">
        <v>3</v>
      </c>
      <c r="IK290">
        <v>0</v>
      </c>
    </row>
    <row r="291" spans="1:255" x14ac:dyDescent="0.2">
      <c r="A291" s="2">
        <v>18</v>
      </c>
      <c r="B291" s="2">
        <v>1</v>
      </c>
      <c r="C291" s="2">
        <v>285</v>
      </c>
      <c r="D291" s="2"/>
      <c r="E291" s="2" t="s">
        <v>366</v>
      </c>
      <c r="F291" s="2" t="s">
        <v>367</v>
      </c>
      <c r="G291" s="2" t="s">
        <v>368</v>
      </c>
      <c r="H291" s="2" t="s">
        <v>369</v>
      </c>
      <c r="I291" s="2">
        <f>I287*J291</f>
        <v>8.2000519999999995</v>
      </c>
      <c r="J291" s="2">
        <v>50.931999999999995</v>
      </c>
      <c r="K291" s="2">
        <v>50.932000000000002</v>
      </c>
      <c r="L291" s="2"/>
      <c r="M291" s="2"/>
      <c r="N291" s="2"/>
      <c r="O291" s="2">
        <f t="shared" ref="O291:O322" si="240">ROUND(CP291,2)</f>
        <v>237.64</v>
      </c>
      <c r="P291" s="2">
        <f t="shared" ref="P291:P322" si="241">ROUND((ROUND((AC291*AW291*I291),2)*BC291),2)</f>
        <v>237.64</v>
      </c>
      <c r="Q291" s="2">
        <f t="shared" si="233"/>
        <v>0</v>
      </c>
      <c r="R291" s="2">
        <f t="shared" ref="R291:R322" si="242">ROUND((ROUND((AE291*AV291*I291),2)*BS291),2)</f>
        <v>0</v>
      </c>
      <c r="S291" s="2">
        <f t="shared" ref="S291:S322" si="243">ROUND((ROUND((AF291*AV291*I291),2)*BA291),2)</f>
        <v>0</v>
      </c>
      <c r="T291" s="2">
        <f t="shared" ref="T291:T322" si="244">ROUND(CU291*I291,2)</f>
        <v>0</v>
      </c>
      <c r="U291" s="2">
        <f t="shared" ref="U291:U322" si="245">CV291*I291</f>
        <v>0</v>
      </c>
      <c r="V291" s="2">
        <f t="shared" ref="V291:V322" si="246">CW291*I291</f>
        <v>0</v>
      </c>
      <c r="W291" s="2">
        <f t="shared" ref="W291:W322" si="247">ROUND(CX291*I291,2)</f>
        <v>0</v>
      </c>
      <c r="X291" s="2">
        <f t="shared" ref="X291:X322" si="248">ROUND(CY291,2)</f>
        <v>0</v>
      </c>
      <c r="Y291" s="2">
        <f t="shared" ref="Y291:Y322" si="249">ROUND(CZ291,2)</f>
        <v>0</v>
      </c>
      <c r="Z291" s="2"/>
      <c r="AA291" s="2">
        <v>129761636</v>
      </c>
      <c r="AB291" s="2">
        <f t="shared" ref="AB291:AB322" si="250">ROUND((AC291+AD291+AF291),6)</f>
        <v>28.98</v>
      </c>
      <c r="AC291" s="2">
        <f t="shared" ref="AC291:AC322" si="251">ROUND((ES291),6)</f>
        <v>28.98</v>
      </c>
      <c r="AD291" s="2">
        <f t="shared" si="234"/>
        <v>0</v>
      </c>
      <c r="AE291" s="2">
        <f t="shared" si="235"/>
        <v>0</v>
      </c>
      <c r="AF291" s="2">
        <f t="shared" si="236"/>
        <v>0</v>
      </c>
      <c r="AG291" s="2">
        <f t="shared" ref="AG291:AG322" si="252">ROUND((AP291),6)</f>
        <v>0</v>
      </c>
      <c r="AH291" s="2">
        <f t="shared" si="237"/>
        <v>0</v>
      </c>
      <c r="AI291" s="2">
        <f t="shared" si="238"/>
        <v>0</v>
      </c>
      <c r="AJ291" s="2">
        <f t="shared" ref="AJ291:AJ322" si="253">(AS291)</f>
        <v>0</v>
      </c>
      <c r="AK291" s="2">
        <v>28.98</v>
      </c>
      <c r="AL291" s="2">
        <v>28.98</v>
      </c>
      <c r="AM291" s="2">
        <v>0</v>
      </c>
      <c r="AN291" s="2">
        <v>0</v>
      </c>
      <c r="AO291" s="2">
        <v>0</v>
      </c>
      <c r="AP291" s="2">
        <v>0</v>
      </c>
      <c r="AQ291" s="2">
        <v>0</v>
      </c>
      <c r="AR291" s="2">
        <v>0</v>
      </c>
      <c r="AS291" s="2">
        <v>0</v>
      </c>
      <c r="AT291" s="2">
        <v>100</v>
      </c>
      <c r="AU291" s="2">
        <v>64</v>
      </c>
      <c r="AV291" s="2">
        <v>1</v>
      </c>
      <c r="AW291" s="2">
        <v>1</v>
      </c>
      <c r="AX291" s="2"/>
      <c r="AY291" s="2"/>
      <c r="AZ291" s="2">
        <v>1</v>
      </c>
      <c r="BA291" s="2">
        <v>1</v>
      </c>
      <c r="BB291" s="2">
        <v>1</v>
      </c>
      <c r="BC291" s="2">
        <v>1</v>
      </c>
      <c r="BD291" s="2" t="s">
        <v>3</v>
      </c>
      <c r="BE291" s="2" t="s">
        <v>3</v>
      </c>
      <c r="BF291" s="2" t="s">
        <v>3</v>
      </c>
      <c r="BG291" s="2" t="s">
        <v>3</v>
      </c>
      <c r="BH291" s="2">
        <v>3</v>
      </c>
      <c r="BI291" s="2">
        <v>1</v>
      </c>
      <c r="BJ291" s="2" t="s">
        <v>370</v>
      </c>
      <c r="BK291" s="2"/>
      <c r="BL291" s="2"/>
      <c r="BM291" s="2">
        <v>117</v>
      </c>
      <c r="BN291" s="2">
        <v>0</v>
      </c>
      <c r="BO291" s="2" t="s">
        <v>3</v>
      </c>
      <c r="BP291" s="2">
        <v>0</v>
      </c>
      <c r="BQ291" s="2">
        <v>30</v>
      </c>
      <c r="BR291" s="2">
        <v>0</v>
      </c>
      <c r="BS291" s="2">
        <v>1</v>
      </c>
      <c r="BT291" s="2">
        <v>1</v>
      </c>
      <c r="BU291" s="2">
        <v>1</v>
      </c>
      <c r="BV291" s="2">
        <v>1</v>
      </c>
      <c r="BW291" s="2">
        <v>1</v>
      </c>
      <c r="BX291" s="2">
        <v>1</v>
      </c>
      <c r="BY291" s="2" t="s">
        <v>3</v>
      </c>
      <c r="BZ291" s="2">
        <v>100</v>
      </c>
      <c r="CA291" s="2">
        <v>64</v>
      </c>
      <c r="CB291" s="2" t="s">
        <v>3</v>
      </c>
      <c r="CC291" s="2"/>
      <c r="CD291" s="2"/>
      <c r="CE291" s="2">
        <v>30</v>
      </c>
      <c r="CF291" s="2">
        <v>0</v>
      </c>
      <c r="CG291" s="2">
        <v>0</v>
      </c>
      <c r="CH291" s="2"/>
      <c r="CI291" s="2"/>
      <c r="CJ291" s="2"/>
      <c r="CK291" s="2"/>
      <c r="CL291" s="2"/>
      <c r="CM291" s="2">
        <v>0</v>
      </c>
      <c r="CN291" s="2" t="s">
        <v>3</v>
      </c>
      <c r="CO291" s="2">
        <v>0</v>
      </c>
      <c r="CP291" s="2">
        <f t="shared" ref="CP291:CP322" si="254">(P291+Q291+S291)</f>
        <v>237.64</v>
      </c>
      <c r="CQ291" s="2">
        <f t="shared" ref="CQ291:CQ322" si="255">ROUND((ROUND((AC291*AW291*1),2)*BC291),2)</f>
        <v>28.98</v>
      </c>
      <c r="CR291" s="2">
        <f t="shared" si="239"/>
        <v>0</v>
      </c>
      <c r="CS291" s="2">
        <f t="shared" ref="CS291:CS322" si="256">ROUND((ROUND((AE291*AV291*1),2)*BS291),2)</f>
        <v>0</v>
      </c>
      <c r="CT291" s="2">
        <f t="shared" ref="CT291:CT322" si="257">ROUND((ROUND((AF291*AV291*1),2)*BA291),2)</f>
        <v>0</v>
      </c>
      <c r="CU291" s="2">
        <f t="shared" ref="CU291:CU322" si="258">AG291</f>
        <v>0</v>
      </c>
      <c r="CV291" s="2">
        <f t="shared" ref="CV291:CV322" si="259">(AH291*AV291)</f>
        <v>0</v>
      </c>
      <c r="CW291" s="2">
        <f t="shared" ref="CW291:CW322" si="260">AI291</f>
        <v>0</v>
      </c>
      <c r="CX291" s="2">
        <f t="shared" ref="CX291:CX322" si="261">AJ291</f>
        <v>0</v>
      </c>
      <c r="CY291" s="2">
        <f>((S291*BZ291)/100)</f>
        <v>0</v>
      </c>
      <c r="CZ291" s="2">
        <f>((S291*CA291)/100)</f>
        <v>0</v>
      </c>
      <c r="DA291" s="2"/>
      <c r="DB291" s="2"/>
      <c r="DC291" s="2" t="s">
        <v>3</v>
      </c>
      <c r="DD291" s="2" t="s">
        <v>3</v>
      </c>
      <c r="DE291" s="2" t="s">
        <v>3</v>
      </c>
      <c r="DF291" s="2" t="s">
        <v>3</v>
      </c>
      <c r="DG291" s="2" t="s">
        <v>3</v>
      </c>
      <c r="DH291" s="2" t="s">
        <v>3</v>
      </c>
      <c r="DI291" s="2" t="s">
        <v>3</v>
      </c>
      <c r="DJ291" s="2" t="s">
        <v>3</v>
      </c>
      <c r="DK291" s="2" t="s">
        <v>3</v>
      </c>
      <c r="DL291" s="2" t="s">
        <v>3</v>
      </c>
      <c r="DM291" s="2" t="s">
        <v>3</v>
      </c>
      <c r="DN291" s="2">
        <v>0</v>
      </c>
      <c r="DO291" s="2">
        <v>0</v>
      </c>
      <c r="DP291" s="2">
        <v>1</v>
      </c>
      <c r="DQ291" s="2">
        <v>1</v>
      </c>
      <c r="DR291" s="2"/>
      <c r="DS291" s="2"/>
      <c r="DT291" s="2"/>
      <c r="DU291" s="2">
        <v>1009</v>
      </c>
      <c r="DV291" s="2" t="s">
        <v>369</v>
      </c>
      <c r="DW291" s="2" t="s">
        <v>369</v>
      </c>
      <c r="DX291" s="2">
        <v>1</v>
      </c>
      <c r="DY291" s="2"/>
      <c r="DZ291" s="2" t="s">
        <v>3</v>
      </c>
      <c r="EA291" s="2" t="s">
        <v>3</v>
      </c>
      <c r="EB291" s="2" t="s">
        <v>3</v>
      </c>
      <c r="EC291" s="2" t="s">
        <v>3</v>
      </c>
      <c r="ED291" s="2"/>
      <c r="EE291" s="2">
        <v>126051578</v>
      </c>
      <c r="EF291" s="2">
        <v>30</v>
      </c>
      <c r="EG291" s="2" t="s">
        <v>23</v>
      </c>
      <c r="EH291" s="2">
        <v>0</v>
      </c>
      <c r="EI291" s="2" t="s">
        <v>3</v>
      </c>
      <c r="EJ291" s="2">
        <v>1</v>
      </c>
      <c r="EK291" s="2">
        <v>117</v>
      </c>
      <c r="EL291" s="2" t="s">
        <v>360</v>
      </c>
      <c r="EM291" s="2" t="s">
        <v>361</v>
      </c>
      <c r="EN291" s="2"/>
      <c r="EO291" s="2" t="s">
        <v>3</v>
      </c>
      <c r="EP291" s="2"/>
      <c r="EQ291" s="2">
        <v>0</v>
      </c>
      <c r="ER291" s="2">
        <v>28.98</v>
      </c>
      <c r="ES291" s="2">
        <v>28.98</v>
      </c>
      <c r="ET291" s="2">
        <v>0</v>
      </c>
      <c r="EU291" s="2">
        <v>0</v>
      </c>
      <c r="EV291" s="2">
        <v>0</v>
      </c>
      <c r="EW291" s="2">
        <v>0</v>
      </c>
      <c r="EX291" s="2">
        <v>0</v>
      </c>
      <c r="EY291" s="2"/>
      <c r="EZ291" s="2"/>
      <c r="FA291" s="2"/>
      <c r="FB291" s="2"/>
      <c r="FC291" s="2"/>
      <c r="FD291" s="2"/>
      <c r="FE291" s="2"/>
      <c r="FF291" s="2"/>
      <c r="FG291" s="2"/>
      <c r="FH291" s="2"/>
      <c r="FI291" s="2"/>
      <c r="FJ291" s="2"/>
      <c r="FK291" s="2"/>
      <c r="FL291" s="2"/>
      <c r="FM291" s="2"/>
      <c r="FN291" s="2"/>
      <c r="FO291" s="2"/>
      <c r="FP291" s="2"/>
      <c r="FQ291" s="2">
        <v>0</v>
      </c>
      <c r="FR291" s="2">
        <f t="shared" ref="FR291:FR322" si="262">ROUND(IF(AND(BH291=3,BI291=3),P291,0),2)</f>
        <v>0</v>
      </c>
      <c r="FS291" s="2">
        <v>0</v>
      </c>
      <c r="FT291" s="2"/>
      <c r="FU291" s="2"/>
      <c r="FV291" s="2"/>
      <c r="FW291" s="2"/>
      <c r="FX291" s="2">
        <v>100</v>
      </c>
      <c r="FY291" s="2">
        <v>64</v>
      </c>
      <c r="FZ291" s="2"/>
      <c r="GA291" s="2" t="s">
        <v>3</v>
      </c>
      <c r="GB291" s="2"/>
      <c r="GC291" s="2"/>
      <c r="GD291" s="2">
        <v>0</v>
      </c>
      <c r="GE291" s="2"/>
      <c r="GF291" s="2">
        <v>33071459</v>
      </c>
      <c r="GG291" s="2">
        <v>2</v>
      </c>
      <c r="GH291" s="2">
        <v>1</v>
      </c>
      <c r="GI291" s="2">
        <v>-2</v>
      </c>
      <c r="GJ291" s="2">
        <v>0</v>
      </c>
      <c r="GK291" s="2">
        <f>ROUND(R291*(R12)/100,2)</f>
        <v>0</v>
      </c>
      <c r="GL291" s="2">
        <f t="shared" ref="GL291:GL322" si="263">ROUND(IF(AND(BH291=3,BI291=3,FS291&lt;&gt;0),P291,0),2)</f>
        <v>0</v>
      </c>
      <c r="GM291" s="2">
        <f t="shared" ref="GM291:GM322" si="264">ROUND(O291+X291+Y291+GK291,2)+GX291</f>
        <v>237.64</v>
      </c>
      <c r="GN291" s="2">
        <f t="shared" ref="GN291:GN322" si="265">IF(OR(BI291=0,BI291=1),ROUND(O291+X291+Y291+GK291,2),0)</f>
        <v>237.64</v>
      </c>
      <c r="GO291" s="2">
        <f t="shared" ref="GO291:GO322" si="266">IF(BI291=2,ROUND(O291+X291+Y291+GK291,2),0)</f>
        <v>0</v>
      </c>
      <c r="GP291" s="2">
        <f t="shared" ref="GP291:GP322" si="267">IF(BI291=4,ROUND(O291+X291+Y291+GK291,2)+GX291,0)</f>
        <v>0</v>
      </c>
      <c r="GQ291" s="2"/>
      <c r="GR291" s="2">
        <v>0</v>
      </c>
      <c r="GS291" s="2">
        <v>0</v>
      </c>
      <c r="GT291" s="2">
        <v>0</v>
      </c>
      <c r="GU291" s="2" t="s">
        <v>3</v>
      </c>
      <c r="GV291" s="2">
        <f t="shared" ref="GV291:GV322" si="268">ROUND((GT291),6)</f>
        <v>0</v>
      </c>
      <c r="GW291" s="2">
        <v>1</v>
      </c>
      <c r="GX291" s="2">
        <f t="shared" ref="GX291:GX322" si="269">ROUND(HC291*I291,2)</f>
        <v>0</v>
      </c>
      <c r="GY291" s="2"/>
      <c r="GZ291" s="2"/>
      <c r="HA291" s="2">
        <v>0</v>
      </c>
      <c r="HB291" s="2">
        <v>0</v>
      </c>
      <c r="HC291" s="2">
        <f t="shared" ref="HC291:HC322" si="270">GV291*GW291</f>
        <v>0</v>
      </c>
      <c r="HD291" s="2"/>
      <c r="HE291" s="2" t="s">
        <v>3</v>
      </c>
      <c r="HF291" s="2" t="s">
        <v>3</v>
      </c>
      <c r="HG291" s="2"/>
      <c r="HH291" s="2"/>
      <c r="HI291" s="2"/>
      <c r="HJ291" s="2"/>
      <c r="HK291" s="2"/>
      <c r="HL291" s="2"/>
      <c r="HM291" s="2" t="s">
        <v>3</v>
      </c>
      <c r="HN291" s="2" t="s">
        <v>3</v>
      </c>
      <c r="HO291" s="2" t="s">
        <v>3</v>
      </c>
      <c r="HP291" s="2" t="s">
        <v>3</v>
      </c>
      <c r="HQ291" s="2" t="s">
        <v>3</v>
      </c>
      <c r="HR291" s="2"/>
      <c r="HS291" s="2"/>
      <c r="HT291" s="2"/>
      <c r="HU291" s="2"/>
      <c r="HV291" s="2"/>
      <c r="HW291" s="2"/>
      <c r="HX291" s="2"/>
      <c r="HY291" s="2"/>
      <c r="HZ291" s="2"/>
      <c r="IA291" s="2"/>
      <c r="IB291" s="2"/>
      <c r="IC291" s="2"/>
      <c r="ID291" s="2"/>
      <c r="IE291" s="2"/>
      <c r="IF291" s="2"/>
      <c r="IG291" s="2"/>
      <c r="IH291" s="2"/>
      <c r="II291" s="2"/>
      <c r="IJ291" s="2"/>
      <c r="IK291" s="2">
        <v>0</v>
      </c>
      <c r="IL291" s="2"/>
      <c r="IM291" s="2"/>
      <c r="IN291" s="2"/>
      <c r="IO291" s="2"/>
      <c r="IP291" s="2"/>
      <c r="IQ291" s="2"/>
      <c r="IR291" s="2"/>
      <c r="IS291" s="2"/>
      <c r="IT291" s="2"/>
      <c r="IU291" s="2"/>
    </row>
    <row r="292" spans="1:255" x14ac:dyDescent="0.2">
      <c r="A292">
        <v>18</v>
      </c>
      <c r="B292">
        <v>1</v>
      </c>
      <c r="C292">
        <v>291</v>
      </c>
      <c r="E292" t="s">
        <v>366</v>
      </c>
      <c r="F292" t="s">
        <v>367</v>
      </c>
      <c r="G292" t="s">
        <v>368</v>
      </c>
      <c r="H292" t="s">
        <v>369</v>
      </c>
      <c r="I292">
        <f>I288*J292</f>
        <v>8.2000519999999995</v>
      </c>
      <c r="J292">
        <v>50.931999999999995</v>
      </c>
      <c r="K292">
        <v>50.932000000000002</v>
      </c>
      <c r="O292">
        <f t="shared" si="240"/>
        <v>850.75</v>
      </c>
      <c r="P292">
        <f t="shared" si="241"/>
        <v>850.75</v>
      </c>
      <c r="Q292">
        <f t="shared" si="233"/>
        <v>0</v>
      </c>
      <c r="R292">
        <f t="shared" si="242"/>
        <v>0</v>
      </c>
      <c r="S292">
        <f t="shared" si="243"/>
        <v>0</v>
      </c>
      <c r="T292">
        <f t="shared" si="244"/>
        <v>0</v>
      </c>
      <c r="U292">
        <f t="shared" si="245"/>
        <v>0</v>
      </c>
      <c r="V292">
        <f t="shared" si="246"/>
        <v>0</v>
      </c>
      <c r="W292">
        <f t="shared" si="247"/>
        <v>0</v>
      </c>
      <c r="X292">
        <f t="shared" si="248"/>
        <v>0</v>
      </c>
      <c r="Y292">
        <f t="shared" si="249"/>
        <v>0</v>
      </c>
      <c r="AA292">
        <v>129761633</v>
      </c>
      <c r="AB292">
        <f t="shared" si="250"/>
        <v>28.98</v>
      </c>
      <c r="AC292">
        <f t="shared" si="251"/>
        <v>28.98</v>
      </c>
      <c r="AD292">
        <f t="shared" si="234"/>
        <v>0</v>
      </c>
      <c r="AE292">
        <f t="shared" si="235"/>
        <v>0</v>
      </c>
      <c r="AF292">
        <f t="shared" si="236"/>
        <v>0</v>
      </c>
      <c r="AG292">
        <f t="shared" si="252"/>
        <v>0</v>
      </c>
      <c r="AH292">
        <f t="shared" si="237"/>
        <v>0</v>
      </c>
      <c r="AI292">
        <f t="shared" si="238"/>
        <v>0</v>
      </c>
      <c r="AJ292">
        <f t="shared" si="253"/>
        <v>0</v>
      </c>
      <c r="AK292">
        <v>28.98</v>
      </c>
      <c r="AL292">
        <v>28.98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1</v>
      </c>
      <c r="AW292">
        <v>1</v>
      </c>
      <c r="AZ292">
        <v>1</v>
      </c>
      <c r="BA292">
        <v>1</v>
      </c>
      <c r="BB292">
        <v>1</v>
      </c>
      <c r="BC292">
        <v>3.58</v>
      </c>
      <c r="BD292" t="s">
        <v>3</v>
      </c>
      <c r="BE292" t="s">
        <v>3</v>
      </c>
      <c r="BF292" t="s">
        <v>3</v>
      </c>
      <c r="BG292" t="s">
        <v>3</v>
      </c>
      <c r="BH292">
        <v>3</v>
      </c>
      <c r="BI292">
        <v>1</v>
      </c>
      <c r="BJ292" t="s">
        <v>370</v>
      </c>
      <c r="BM292">
        <v>117</v>
      </c>
      <c r="BN292">
        <v>0</v>
      </c>
      <c r="BO292" t="s">
        <v>367</v>
      </c>
      <c r="BP292">
        <v>1</v>
      </c>
      <c r="BQ292">
        <v>30</v>
      </c>
      <c r="BR292">
        <v>0</v>
      </c>
      <c r="BS292">
        <v>1</v>
      </c>
      <c r="BT292">
        <v>1</v>
      </c>
      <c r="BU292">
        <v>1</v>
      </c>
      <c r="BV292">
        <v>1</v>
      </c>
      <c r="BW292">
        <v>1</v>
      </c>
      <c r="BX292">
        <v>1</v>
      </c>
      <c r="BY292" t="s">
        <v>3</v>
      </c>
      <c r="BZ292">
        <v>0</v>
      </c>
      <c r="CA292">
        <v>0</v>
      </c>
      <c r="CB292" t="s">
        <v>3</v>
      </c>
      <c r="CE292">
        <v>30</v>
      </c>
      <c r="CF292">
        <v>0</v>
      </c>
      <c r="CG292">
        <v>0</v>
      </c>
      <c r="CM292">
        <v>0</v>
      </c>
      <c r="CN292" t="s">
        <v>3</v>
      </c>
      <c r="CO292">
        <v>0</v>
      </c>
      <c r="CP292">
        <f t="shared" si="254"/>
        <v>850.75</v>
      </c>
      <c r="CQ292">
        <f t="shared" si="255"/>
        <v>103.75</v>
      </c>
      <c r="CR292">
        <f t="shared" si="239"/>
        <v>0</v>
      </c>
      <c r="CS292">
        <f t="shared" si="256"/>
        <v>0</v>
      </c>
      <c r="CT292">
        <f t="shared" si="257"/>
        <v>0</v>
      </c>
      <c r="CU292">
        <f t="shared" si="258"/>
        <v>0</v>
      </c>
      <c r="CV292">
        <f t="shared" si="259"/>
        <v>0</v>
      </c>
      <c r="CW292">
        <f t="shared" si="260"/>
        <v>0</v>
      </c>
      <c r="CX292">
        <f t="shared" si="261"/>
        <v>0</v>
      </c>
      <c r="CY292">
        <f>S292*(BZ292/100)</f>
        <v>0</v>
      </c>
      <c r="CZ292">
        <f>S292*(CA292/100)</f>
        <v>0</v>
      </c>
      <c r="DC292" t="s">
        <v>3</v>
      </c>
      <c r="DD292" t="s">
        <v>3</v>
      </c>
      <c r="DE292" t="s">
        <v>3</v>
      </c>
      <c r="DF292" t="s">
        <v>3</v>
      </c>
      <c r="DG292" t="s">
        <v>3</v>
      </c>
      <c r="DH292" t="s">
        <v>3</v>
      </c>
      <c r="DI292" t="s">
        <v>3</v>
      </c>
      <c r="DJ292" t="s">
        <v>3</v>
      </c>
      <c r="DK292" t="s">
        <v>3</v>
      </c>
      <c r="DL292" t="s">
        <v>3</v>
      </c>
      <c r="DM292" t="s">
        <v>3</v>
      </c>
      <c r="DN292">
        <v>100</v>
      </c>
      <c r="DO292">
        <v>64</v>
      </c>
      <c r="DP292">
        <v>1</v>
      </c>
      <c r="DQ292">
        <v>1</v>
      </c>
      <c r="DU292">
        <v>1009</v>
      </c>
      <c r="DV292" t="s">
        <v>369</v>
      </c>
      <c r="DW292" t="s">
        <v>369</v>
      </c>
      <c r="DX292">
        <v>1</v>
      </c>
      <c r="DZ292" t="s">
        <v>3</v>
      </c>
      <c r="EA292" t="s">
        <v>3</v>
      </c>
      <c r="EB292" t="s">
        <v>3</v>
      </c>
      <c r="EC292" t="s">
        <v>3</v>
      </c>
      <c r="EE292">
        <v>126051578</v>
      </c>
      <c r="EF292">
        <v>30</v>
      </c>
      <c r="EG292" t="s">
        <v>23</v>
      </c>
      <c r="EH292">
        <v>0</v>
      </c>
      <c r="EI292" t="s">
        <v>3</v>
      </c>
      <c r="EJ292">
        <v>1</v>
      </c>
      <c r="EK292">
        <v>117</v>
      </c>
      <c r="EL292" t="s">
        <v>360</v>
      </c>
      <c r="EM292" t="s">
        <v>361</v>
      </c>
      <c r="EO292" t="s">
        <v>3</v>
      </c>
      <c r="EQ292">
        <v>0</v>
      </c>
      <c r="ER292">
        <v>28.98</v>
      </c>
      <c r="ES292">
        <v>28.98</v>
      </c>
      <c r="ET292">
        <v>0</v>
      </c>
      <c r="EU292">
        <v>0</v>
      </c>
      <c r="EV292">
        <v>0</v>
      </c>
      <c r="EW292">
        <v>0</v>
      </c>
      <c r="EX292">
        <v>0</v>
      </c>
      <c r="FQ292">
        <v>0</v>
      </c>
      <c r="FR292">
        <f t="shared" si="262"/>
        <v>0</v>
      </c>
      <c r="FS292">
        <v>0</v>
      </c>
      <c r="FX292">
        <v>100</v>
      </c>
      <c r="FY292">
        <v>64</v>
      </c>
      <c r="GA292" t="s">
        <v>3</v>
      </c>
      <c r="GD292">
        <v>0</v>
      </c>
      <c r="GF292">
        <v>33071459</v>
      </c>
      <c r="GG292">
        <v>2</v>
      </c>
      <c r="GH292">
        <v>1</v>
      </c>
      <c r="GI292">
        <v>2</v>
      </c>
      <c r="GJ292">
        <v>0</v>
      </c>
      <c r="GK292">
        <f>ROUND(R292*(S12)/100,2)</f>
        <v>0</v>
      </c>
      <c r="GL292">
        <f t="shared" si="263"/>
        <v>0</v>
      </c>
      <c r="GM292">
        <f t="shared" si="264"/>
        <v>850.75</v>
      </c>
      <c r="GN292">
        <f t="shared" si="265"/>
        <v>850.75</v>
      </c>
      <c r="GO292">
        <f t="shared" si="266"/>
        <v>0</v>
      </c>
      <c r="GP292">
        <f t="shared" si="267"/>
        <v>0</v>
      </c>
      <c r="GR292">
        <v>0</v>
      </c>
      <c r="GS292">
        <v>3</v>
      </c>
      <c r="GT292">
        <v>0</v>
      </c>
      <c r="GU292" t="s">
        <v>3</v>
      </c>
      <c r="GV292">
        <f t="shared" si="268"/>
        <v>0</v>
      </c>
      <c r="GW292">
        <v>1</v>
      </c>
      <c r="GX292">
        <f t="shared" si="269"/>
        <v>0</v>
      </c>
      <c r="HA292">
        <v>0</v>
      </c>
      <c r="HB292">
        <v>0</v>
      </c>
      <c r="HC292">
        <f t="shared" si="270"/>
        <v>0</v>
      </c>
      <c r="HE292" t="s">
        <v>3</v>
      </c>
      <c r="HF292" t="s">
        <v>3</v>
      </c>
      <c r="HM292" t="s">
        <v>3</v>
      </c>
      <c r="HN292" t="s">
        <v>3</v>
      </c>
      <c r="HO292" t="s">
        <v>3</v>
      </c>
      <c r="HP292" t="s">
        <v>3</v>
      </c>
      <c r="HQ292" t="s">
        <v>3</v>
      </c>
      <c r="IK292">
        <v>0</v>
      </c>
    </row>
    <row r="293" spans="1:255" x14ac:dyDescent="0.2">
      <c r="A293" s="2">
        <v>18</v>
      </c>
      <c r="B293" s="2">
        <v>1</v>
      </c>
      <c r="C293" s="2">
        <v>284</v>
      </c>
      <c r="D293" s="2"/>
      <c r="E293" s="2" t="s">
        <v>371</v>
      </c>
      <c r="F293" s="2" t="s">
        <v>372</v>
      </c>
      <c r="G293" s="2" t="s">
        <v>1564</v>
      </c>
      <c r="H293" s="2" t="s">
        <v>114</v>
      </c>
      <c r="I293" s="2">
        <f>I287*J293</f>
        <v>1.0143000000000001E-2</v>
      </c>
      <c r="J293" s="2">
        <v>6.3E-2</v>
      </c>
      <c r="K293" s="2">
        <v>6.3E-2</v>
      </c>
      <c r="L293" s="2"/>
      <c r="M293" s="2"/>
      <c r="N293" s="2"/>
      <c r="O293" s="2">
        <f t="shared" si="240"/>
        <v>335.03</v>
      </c>
      <c r="P293" s="2">
        <f t="shared" si="241"/>
        <v>335.03</v>
      </c>
      <c r="Q293" s="2">
        <f t="shared" si="233"/>
        <v>0</v>
      </c>
      <c r="R293" s="2">
        <f t="shared" si="242"/>
        <v>0</v>
      </c>
      <c r="S293" s="2">
        <f t="shared" si="243"/>
        <v>0</v>
      </c>
      <c r="T293" s="2">
        <f t="shared" si="244"/>
        <v>0</v>
      </c>
      <c r="U293" s="2">
        <f t="shared" si="245"/>
        <v>0</v>
      </c>
      <c r="V293" s="2">
        <f t="shared" si="246"/>
        <v>0</v>
      </c>
      <c r="W293" s="2">
        <f t="shared" si="247"/>
        <v>0</v>
      </c>
      <c r="X293" s="2">
        <f t="shared" si="248"/>
        <v>0</v>
      </c>
      <c r="Y293" s="2">
        <f t="shared" si="249"/>
        <v>0</v>
      </c>
      <c r="Z293" s="2"/>
      <c r="AA293" s="2">
        <v>129761636</v>
      </c>
      <c r="AB293" s="2">
        <f t="shared" si="250"/>
        <v>33030.400000000001</v>
      </c>
      <c r="AC293" s="2">
        <f t="shared" si="251"/>
        <v>33030.400000000001</v>
      </c>
      <c r="AD293" s="2">
        <f t="shared" si="234"/>
        <v>0</v>
      </c>
      <c r="AE293" s="2">
        <f t="shared" si="235"/>
        <v>0</v>
      </c>
      <c r="AF293" s="2">
        <f t="shared" si="236"/>
        <v>0</v>
      </c>
      <c r="AG293" s="2">
        <f t="shared" si="252"/>
        <v>0</v>
      </c>
      <c r="AH293" s="2">
        <f t="shared" si="237"/>
        <v>0</v>
      </c>
      <c r="AI293" s="2">
        <f t="shared" si="238"/>
        <v>0</v>
      </c>
      <c r="AJ293" s="2">
        <f t="shared" si="253"/>
        <v>0</v>
      </c>
      <c r="AK293" s="2">
        <v>33030.400000000001</v>
      </c>
      <c r="AL293" s="2">
        <v>33030.400000000001</v>
      </c>
      <c r="AM293" s="2">
        <v>0</v>
      </c>
      <c r="AN293" s="2">
        <v>0</v>
      </c>
      <c r="AO293" s="2">
        <v>0</v>
      </c>
      <c r="AP293" s="2">
        <v>0</v>
      </c>
      <c r="AQ293" s="2">
        <v>0</v>
      </c>
      <c r="AR293" s="2">
        <v>0</v>
      </c>
      <c r="AS293" s="2">
        <v>0</v>
      </c>
      <c r="AT293" s="2">
        <v>100</v>
      </c>
      <c r="AU293" s="2">
        <v>64</v>
      </c>
      <c r="AV293" s="2">
        <v>1</v>
      </c>
      <c r="AW293" s="2">
        <v>1</v>
      </c>
      <c r="AX293" s="2"/>
      <c r="AY293" s="2"/>
      <c r="AZ293" s="2">
        <v>1</v>
      </c>
      <c r="BA293" s="2">
        <v>1</v>
      </c>
      <c r="BB293" s="2">
        <v>1</v>
      </c>
      <c r="BC293" s="2">
        <v>1</v>
      </c>
      <c r="BD293" s="2" t="s">
        <v>3</v>
      </c>
      <c r="BE293" s="2" t="s">
        <v>3</v>
      </c>
      <c r="BF293" s="2" t="s">
        <v>3</v>
      </c>
      <c r="BG293" s="2" t="s">
        <v>3</v>
      </c>
      <c r="BH293" s="2">
        <v>3</v>
      </c>
      <c r="BI293" s="2">
        <v>1</v>
      </c>
      <c r="BJ293" s="2" t="s">
        <v>373</v>
      </c>
      <c r="BK293" s="2"/>
      <c r="BL293" s="2"/>
      <c r="BM293" s="2">
        <v>117</v>
      </c>
      <c r="BN293" s="2">
        <v>0</v>
      </c>
      <c r="BO293" s="2" t="s">
        <v>3</v>
      </c>
      <c r="BP293" s="2">
        <v>0</v>
      </c>
      <c r="BQ293" s="2">
        <v>30</v>
      </c>
      <c r="BR293" s="2">
        <v>0</v>
      </c>
      <c r="BS293" s="2">
        <v>1</v>
      </c>
      <c r="BT293" s="2">
        <v>1</v>
      </c>
      <c r="BU293" s="2">
        <v>1</v>
      </c>
      <c r="BV293" s="2">
        <v>1</v>
      </c>
      <c r="BW293" s="2">
        <v>1</v>
      </c>
      <c r="BX293" s="2">
        <v>1</v>
      </c>
      <c r="BY293" s="2" t="s">
        <v>3</v>
      </c>
      <c r="BZ293" s="2">
        <v>100</v>
      </c>
      <c r="CA293" s="2">
        <v>64</v>
      </c>
      <c r="CB293" s="2" t="s">
        <v>3</v>
      </c>
      <c r="CC293" s="2"/>
      <c r="CD293" s="2"/>
      <c r="CE293" s="2">
        <v>30</v>
      </c>
      <c r="CF293" s="2">
        <v>0</v>
      </c>
      <c r="CG293" s="2">
        <v>0</v>
      </c>
      <c r="CH293" s="2"/>
      <c r="CI293" s="2"/>
      <c r="CJ293" s="2"/>
      <c r="CK293" s="2"/>
      <c r="CL293" s="2"/>
      <c r="CM293" s="2">
        <v>0</v>
      </c>
      <c r="CN293" s="2" t="s">
        <v>3</v>
      </c>
      <c r="CO293" s="2">
        <v>0</v>
      </c>
      <c r="CP293" s="2">
        <f t="shared" si="254"/>
        <v>335.03</v>
      </c>
      <c r="CQ293" s="2">
        <f t="shared" si="255"/>
        <v>33030.400000000001</v>
      </c>
      <c r="CR293" s="2">
        <f t="shared" si="239"/>
        <v>0</v>
      </c>
      <c r="CS293" s="2">
        <f t="shared" si="256"/>
        <v>0</v>
      </c>
      <c r="CT293" s="2">
        <f t="shared" si="257"/>
        <v>0</v>
      </c>
      <c r="CU293" s="2">
        <f t="shared" si="258"/>
        <v>0</v>
      </c>
      <c r="CV293" s="2">
        <f t="shared" si="259"/>
        <v>0</v>
      </c>
      <c r="CW293" s="2">
        <f t="shared" si="260"/>
        <v>0</v>
      </c>
      <c r="CX293" s="2">
        <f t="shared" si="261"/>
        <v>0</v>
      </c>
      <c r="CY293" s="2">
        <f>((S293*BZ293)/100)</f>
        <v>0</v>
      </c>
      <c r="CZ293" s="2">
        <f>((S293*CA293)/100)</f>
        <v>0</v>
      </c>
      <c r="DA293" s="2"/>
      <c r="DB293" s="2"/>
      <c r="DC293" s="2" t="s">
        <v>3</v>
      </c>
      <c r="DD293" s="2" t="s">
        <v>3</v>
      </c>
      <c r="DE293" s="2" t="s">
        <v>3</v>
      </c>
      <c r="DF293" s="2" t="s">
        <v>3</v>
      </c>
      <c r="DG293" s="2" t="s">
        <v>3</v>
      </c>
      <c r="DH293" s="2" t="s">
        <v>3</v>
      </c>
      <c r="DI293" s="2" t="s">
        <v>3</v>
      </c>
      <c r="DJ293" s="2" t="s">
        <v>3</v>
      </c>
      <c r="DK293" s="2" t="s">
        <v>3</v>
      </c>
      <c r="DL293" s="2" t="s">
        <v>3</v>
      </c>
      <c r="DM293" s="2" t="s">
        <v>3</v>
      </c>
      <c r="DN293" s="2">
        <v>0</v>
      </c>
      <c r="DO293" s="2">
        <v>0</v>
      </c>
      <c r="DP293" s="2">
        <v>1</v>
      </c>
      <c r="DQ293" s="2">
        <v>1</v>
      </c>
      <c r="DR293" s="2"/>
      <c r="DS293" s="2"/>
      <c r="DT293" s="2"/>
      <c r="DU293" s="2">
        <v>1009</v>
      </c>
      <c r="DV293" s="2" t="s">
        <v>114</v>
      </c>
      <c r="DW293" s="2" t="s">
        <v>114</v>
      </c>
      <c r="DX293" s="2">
        <v>1000</v>
      </c>
      <c r="DY293" s="2"/>
      <c r="DZ293" s="2" t="s">
        <v>3</v>
      </c>
      <c r="EA293" s="2" t="s">
        <v>3</v>
      </c>
      <c r="EB293" s="2" t="s">
        <v>3</v>
      </c>
      <c r="EC293" s="2" t="s">
        <v>3</v>
      </c>
      <c r="ED293" s="2"/>
      <c r="EE293" s="2">
        <v>126051578</v>
      </c>
      <c r="EF293" s="2">
        <v>30</v>
      </c>
      <c r="EG293" s="2" t="s">
        <v>23</v>
      </c>
      <c r="EH293" s="2">
        <v>0</v>
      </c>
      <c r="EI293" s="2" t="s">
        <v>3</v>
      </c>
      <c r="EJ293" s="2">
        <v>1</v>
      </c>
      <c r="EK293" s="2">
        <v>117</v>
      </c>
      <c r="EL293" s="2" t="s">
        <v>360</v>
      </c>
      <c r="EM293" s="2" t="s">
        <v>361</v>
      </c>
      <c r="EN293" s="2"/>
      <c r="EO293" s="2" t="s">
        <v>3</v>
      </c>
      <c r="EP293" s="2"/>
      <c r="EQ293" s="2">
        <v>0</v>
      </c>
      <c r="ER293" s="2">
        <v>33030.400000000001</v>
      </c>
      <c r="ES293" s="2">
        <v>33030.400000000001</v>
      </c>
      <c r="ET293" s="2">
        <v>0</v>
      </c>
      <c r="EU293" s="2">
        <v>0</v>
      </c>
      <c r="EV293" s="2">
        <v>0</v>
      </c>
      <c r="EW293" s="2">
        <v>0</v>
      </c>
      <c r="EX293" s="2">
        <v>0</v>
      </c>
      <c r="EY293" s="2"/>
      <c r="EZ293" s="2"/>
      <c r="FA293" s="2"/>
      <c r="FB293" s="2"/>
      <c r="FC293" s="2"/>
      <c r="FD293" s="2"/>
      <c r="FE293" s="2"/>
      <c r="FF293" s="2"/>
      <c r="FG293" s="2"/>
      <c r="FH293" s="2"/>
      <c r="FI293" s="2"/>
      <c r="FJ293" s="2"/>
      <c r="FK293" s="2"/>
      <c r="FL293" s="2"/>
      <c r="FM293" s="2"/>
      <c r="FN293" s="2"/>
      <c r="FO293" s="2"/>
      <c r="FP293" s="2"/>
      <c r="FQ293" s="2">
        <v>0</v>
      </c>
      <c r="FR293" s="2">
        <f t="shared" si="262"/>
        <v>0</v>
      </c>
      <c r="FS293" s="2">
        <v>0</v>
      </c>
      <c r="FT293" s="2"/>
      <c r="FU293" s="2"/>
      <c r="FV293" s="2"/>
      <c r="FW293" s="2"/>
      <c r="FX293" s="2">
        <v>100</v>
      </c>
      <c r="FY293" s="2">
        <v>64</v>
      </c>
      <c r="FZ293" s="2"/>
      <c r="GA293" s="2" t="s">
        <v>3</v>
      </c>
      <c r="GB293" s="2"/>
      <c r="GC293" s="2"/>
      <c r="GD293" s="2">
        <v>0</v>
      </c>
      <c r="GE293" s="2"/>
      <c r="GF293" s="2">
        <v>-781431118</v>
      </c>
      <c r="GG293" s="2">
        <v>2</v>
      </c>
      <c r="GH293" s="2">
        <v>1</v>
      </c>
      <c r="GI293" s="2">
        <v>-2</v>
      </c>
      <c r="GJ293" s="2">
        <v>0</v>
      </c>
      <c r="GK293" s="2">
        <f>ROUND(R293*(R12)/100,2)</f>
        <v>0</v>
      </c>
      <c r="GL293" s="2">
        <f t="shared" si="263"/>
        <v>0</v>
      </c>
      <c r="GM293" s="2">
        <f t="shared" si="264"/>
        <v>335.03</v>
      </c>
      <c r="GN293" s="2">
        <f t="shared" si="265"/>
        <v>335.03</v>
      </c>
      <c r="GO293" s="2">
        <f t="shared" si="266"/>
        <v>0</v>
      </c>
      <c r="GP293" s="2">
        <f t="shared" si="267"/>
        <v>0</v>
      </c>
      <c r="GQ293" s="2"/>
      <c r="GR293" s="2">
        <v>0</v>
      </c>
      <c r="GS293" s="2">
        <v>0</v>
      </c>
      <c r="GT293" s="2">
        <v>0</v>
      </c>
      <c r="GU293" s="2" t="s">
        <v>3</v>
      </c>
      <c r="GV293" s="2">
        <f t="shared" si="268"/>
        <v>0</v>
      </c>
      <c r="GW293" s="2">
        <v>1</v>
      </c>
      <c r="GX293" s="2">
        <f t="shared" si="269"/>
        <v>0</v>
      </c>
      <c r="GY293" s="2"/>
      <c r="GZ293" s="2"/>
      <c r="HA293" s="2">
        <v>0</v>
      </c>
      <c r="HB293" s="2">
        <v>0</v>
      </c>
      <c r="HC293" s="2">
        <f t="shared" si="270"/>
        <v>0</v>
      </c>
      <c r="HD293" s="2"/>
      <c r="HE293" s="2" t="s">
        <v>3</v>
      </c>
      <c r="HF293" s="2" t="s">
        <v>3</v>
      </c>
      <c r="HG293" s="2"/>
      <c r="HH293" s="2"/>
      <c r="HI293" s="2"/>
      <c r="HJ293" s="2"/>
      <c r="HK293" s="2"/>
      <c r="HL293" s="2"/>
      <c r="HM293" s="2" t="s">
        <v>3</v>
      </c>
      <c r="HN293" s="2" t="s">
        <v>3</v>
      </c>
      <c r="HO293" s="2" t="s">
        <v>3</v>
      </c>
      <c r="HP293" s="2" t="s">
        <v>3</v>
      </c>
      <c r="HQ293" s="2" t="s">
        <v>3</v>
      </c>
      <c r="HR293" s="2"/>
      <c r="HS293" s="2"/>
      <c r="HT293" s="2"/>
      <c r="HU293" s="2"/>
      <c r="HV293" s="2"/>
      <c r="HW293" s="2"/>
      <c r="HX293" s="2"/>
      <c r="HY293" s="2"/>
      <c r="HZ293" s="2"/>
      <c r="IA293" s="2"/>
      <c r="IB293" s="2"/>
      <c r="IC293" s="2"/>
      <c r="ID293" s="2"/>
      <c r="IE293" s="2"/>
      <c r="IF293" s="2"/>
      <c r="IG293" s="2"/>
      <c r="IH293" s="2"/>
      <c r="II293" s="2"/>
      <c r="IJ293" s="2"/>
      <c r="IK293" s="2">
        <v>0</v>
      </c>
      <c r="IL293" s="2"/>
      <c r="IM293" s="2"/>
      <c r="IN293" s="2"/>
      <c r="IO293" s="2"/>
      <c r="IP293" s="2"/>
      <c r="IQ293" s="2"/>
      <c r="IR293" s="2"/>
      <c r="IS293" s="2"/>
      <c r="IT293" s="2"/>
      <c r="IU293" s="2"/>
    </row>
    <row r="294" spans="1:255" x14ac:dyDescent="0.2">
      <c r="A294">
        <v>18</v>
      </c>
      <c r="B294">
        <v>1</v>
      </c>
      <c r="C294">
        <v>290</v>
      </c>
      <c r="E294" t="s">
        <v>371</v>
      </c>
      <c r="F294" t="s">
        <v>372</v>
      </c>
      <c r="G294" t="s">
        <v>1564</v>
      </c>
      <c r="H294" t="s">
        <v>114</v>
      </c>
      <c r="I294">
        <f>I288*J294</f>
        <v>1.0143000000000001E-2</v>
      </c>
      <c r="J294">
        <v>6.3E-2</v>
      </c>
      <c r="K294">
        <v>6.3E-2</v>
      </c>
      <c r="O294">
        <f t="shared" si="240"/>
        <v>1276.46</v>
      </c>
      <c r="P294">
        <f t="shared" si="241"/>
        <v>1276.46</v>
      </c>
      <c r="Q294">
        <f t="shared" si="233"/>
        <v>0</v>
      </c>
      <c r="R294">
        <f t="shared" si="242"/>
        <v>0</v>
      </c>
      <c r="S294">
        <f t="shared" si="243"/>
        <v>0</v>
      </c>
      <c r="T294">
        <f t="shared" si="244"/>
        <v>0</v>
      </c>
      <c r="U294">
        <f t="shared" si="245"/>
        <v>0</v>
      </c>
      <c r="V294">
        <f t="shared" si="246"/>
        <v>0</v>
      </c>
      <c r="W294">
        <f t="shared" si="247"/>
        <v>0</v>
      </c>
      <c r="X294">
        <f t="shared" si="248"/>
        <v>0</v>
      </c>
      <c r="Y294">
        <f t="shared" si="249"/>
        <v>0</v>
      </c>
      <c r="AA294">
        <v>129761633</v>
      </c>
      <c r="AB294">
        <f t="shared" si="250"/>
        <v>33030.400000000001</v>
      </c>
      <c r="AC294">
        <f t="shared" si="251"/>
        <v>33030.400000000001</v>
      </c>
      <c r="AD294">
        <f t="shared" si="234"/>
        <v>0</v>
      </c>
      <c r="AE294">
        <f t="shared" si="235"/>
        <v>0</v>
      </c>
      <c r="AF294">
        <f t="shared" si="236"/>
        <v>0</v>
      </c>
      <c r="AG294">
        <f t="shared" si="252"/>
        <v>0</v>
      </c>
      <c r="AH294">
        <f t="shared" si="237"/>
        <v>0</v>
      </c>
      <c r="AI294">
        <f t="shared" si="238"/>
        <v>0</v>
      </c>
      <c r="AJ294">
        <f t="shared" si="253"/>
        <v>0</v>
      </c>
      <c r="AK294">
        <v>33030.400000000001</v>
      </c>
      <c r="AL294">
        <v>33030.400000000001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1</v>
      </c>
      <c r="AW294">
        <v>1</v>
      </c>
      <c r="AZ294">
        <v>1</v>
      </c>
      <c r="BA294">
        <v>1</v>
      </c>
      <c r="BB294">
        <v>1</v>
      </c>
      <c r="BC294">
        <v>3.81</v>
      </c>
      <c r="BD294" t="s">
        <v>3</v>
      </c>
      <c r="BE294" t="s">
        <v>3</v>
      </c>
      <c r="BF294" t="s">
        <v>3</v>
      </c>
      <c r="BG294" t="s">
        <v>3</v>
      </c>
      <c r="BH294">
        <v>3</v>
      </c>
      <c r="BI294">
        <v>1</v>
      </c>
      <c r="BJ294" t="s">
        <v>373</v>
      </c>
      <c r="BM294">
        <v>117</v>
      </c>
      <c r="BN294">
        <v>0</v>
      </c>
      <c r="BO294" t="s">
        <v>372</v>
      </c>
      <c r="BP294">
        <v>1</v>
      </c>
      <c r="BQ294">
        <v>30</v>
      </c>
      <c r="BR294">
        <v>0</v>
      </c>
      <c r="BS294">
        <v>1</v>
      </c>
      <c r="BT294">
        <v>1</v>
      </c>
      <c r="BU294">
        <v>1</v>
      </c>
      <c r="BV294">
        <v>1</v>
      </c>
      <c r="BW294">
        <v>1</v>
      </c>
      <c r="BX294">
        <v>1</v>
      </c>
      <c r="BY294" t="s">
        <v>3</v>
      </c>
      <c r="BZ294">
        <v>0</v>
      </c>
      <c r="CA294">
        <v>0</v>
      </c>
      <c r="CB294" t="s">
        <v>3</v>
      </c>
      <c r="CE294">
        <v>30</v>
      </c>
      <c r="CF294">
        <v>0</v>
      </c>
      <c r="CG294">
        <v>0</v>
      </c>
      <c r="CM294">
        <v>0</v>
      </c>
      <c r="CN294" t="s">
        <v>3</v>
      </c>
      <c r="CO294">
        <v>0</v>
      </c>
      <c r="CP294">
        <f t="shared" si="254"/>
        <v>1276.46</v>
      </c>
      <c r="CQ294">
        <f t="shared" si="255"/>
        <v>125845.82</v>
      </c>
      <c r="CR294">
        <f t="shared" si="239"/>
        <v>0</v>
      </c>
      <c r="CS294">
        <f t="shared" si="256"/>
        <v>0</v>
      </c>
      <c r="CT294">
        <f t="shared" si="257"/>
        <v>0</v>
      </c>
      <c r="CU294">
        <f t="shared" si="258"/>
        <v>0</v>
      </c>
      <c r="CV294">
        <f t="shared" si="259"/>
        <v>0</v>
      </c>
      <c r="CW294">
        <f t="shared" si="260"/>
        <v>0</v>
      </c>
      <c r="CX294">
        <f t="shared" si="261"/>
        <v>0</v>
      </c>
      <c r="CY294">
        <f>S294*(BZ294/100)</f>
        <v>0</v>
      </c>
      <c r="CZ294">
        <f>S294*(CA294/100)</f>
        <v>0</v>
      </c>
      <c r="DC294" t="s">
        <v>3</v>
      </c>
      <c r="DD294" t="s">
        <v>3</v>
      </c>
      <c r="DE294" t="s">
        <v>3</v>
      </c>
      <c r="DF294" t="s">
        <v>3</v>
      </c>
      <c r="DG294" t="s">
        <v>3</v>
      </c>
      <c r="DH294" t="s">
        <v>3</v>
      </c>
      <c r="DI294" t="s">
        <v>3</v>
      </c>
      <c r="DJ294" t="s">
        <v>3</v>
      </c>
      <c r="DK294" t="s">
        <v>3</v>
      </c>
      <c r="DL294" t="s">
        <v>3</v>
      </c>
      <c r="DM294" t="s">
        <v>3</v>
      </c>
      <c r="DN294">
        <v>100</v>
      </c>
      <c r="DO294">
        <v>64</v>
      </c>
      <c r="DP294">
        <v>1</v>
      </c>
      <c r="DQ294">
        <v>1</v>
      </c>
      <c r="DU294">
        <v>1009</v>
      </c>
      <c r="DV294" t="s">
        <v>114</v>
      </c>
      <c r="DW294" t="s">
        <v>114</v>
      </c>
      <c r="DX294">
        <v>1000</v>
      </c>
      <c r="DZ294" t="s">
        <v>3</v>
      </c>
      <c r="EA294" t="s">
        <v>3</v>
      </c>
      <c r="EB294" t="s">
        <v>3</v>
      </c>
      <c r="EC294" t="s">
        <v>3</v>
      </c>
      <c r="EE294">
        <v>126051578</v>
      </c>
      <c r="EF294">
        <v>30</v>
      </c>
      <c r="EG294" t="s">
        <v>23</v>
      </c>
      <c r="EH294">
        <v>0</v>
      </c>
      <c r="EI294" t="s">
        <v>3</v>
      </c>
      <c r="EJ294">
        <v>1</v>
      </c>
      <c r="EK294">
        <v>117</v>
      </c>
      <c r="EL294" t="s">
        <v>360</v>
      </c>
      <c r="EM294" t="s">
        <v>361</v>
      </c>
      <c r="EO294" t="s">
        <v>3</v>
      </c>
      <c r="EQ294">
        <v>0</v>
      </c>
      <c r="ER294">
        <v>33030.400000000001</v>
      </c>
      <c r="ES294">
        <v>33030.400000000001</v>
      </c>
      <c r="ET294">
        <v>0</v>
      </c>
      <c r="EU294">
        <v>0</v>
      </c>
      <c r="EV294">
        <v>0</v>
      </c>
      <c r="EW294">
        <v>0</v>
      </c>
      <c r="EX294">
        <v>0</v>
      </c>
      <c r="FQ294">
        <v>0</v>
      </c>
      <c r="FR294">
        <f t="shared" si="262"/>
        <v>0</v>
      </c>
      <c r="FS294">
        <v>0</v>
      </c>
      <c r="FX294">
        <v>100</v>
      </c>
      <c r="FY294">
        <v>64</v>
      </c>
      <c r="GA294" t="s">
        <v>3</v>
      </c>
      <c r="GD294">
        <v>0</v>
      </c>
      <c r="GF294">
        <v>-781431118</v>
      </c>
      <c r="GG294">
        <v>2</v>
      </c>
      <c r="GH294">
        <v>1</v>
      </c>
      <c r="GI294">
        <v>2</v>
      </c>
      <c r="GJ294">
        <v>0</v>
      </c>
      <c r="GK294">
        <f>ROUND(R294*(S12)/100,2)</f>
        <v>0</v>
      </c>
      <c r="GL294">
        <f t="shared" si="263"/>
        <v>0</v>
      </c>
      <c r="GM294">
        <f t="shared" si="264"/>
        <v>1276.46</v>
      </c>
      <c r="GN294">
        <f t="shared" si="265"/>
        <v>1276.46</v>
      </c>
      <c r="GO294">
        <f t="shared" si="266"/>
        <v>0</v>
      </c>
      <c r="GP294">
        <f t="shared" si="267"/>
        <v>0</v>
      </c>
      <c r="GR294">
        <v>0</v>
      </c>
      <c r="GS294">
        <v>3</v>
      </c>
      <c r="GT294">
        <v>0</v>
      </c>
      <c r="GU294" t="s">
        <v>3</v>
      </c>
      <c r="GV294">
        <f t="shared" si="268"/>
        <v>0</v>
      </c>
      <c r="GW294">
        <v>1</v>
      </c>
      <c r="GX294">
        <f t="shared" si="269"/>
        <v>0</v>
      </c>
      <c r="HA294">
        <v>0</v>
      </c>
      <c r="HB294">
        <v>0</v>
      </c>
      <c r="HC294">
        <f t="shared" si="270"/>
        <v>0</v>
      </c>
      <c r="HE294" t="s">
        <v>3</v>
      </c>
      <c r="HF294" t="s">
        <v>3</v>
      </c>
      <c r="HM294" t="s">
        <v>3</v>
      </c>
      <c r="HN294" t="s">
        <v>3</v>
      </c>
      <c r="HO294" t="s">
        <v>3</v>
      </c>
      <c r="HP294" t="s">
        <v>3</v>
      </c>
      <c r="HQ294" t="s">
        <v>3</v>
      </c>
      <c r="IK294">
        <v>0</v>
      </c>
    </row>
    <row r="295" spans="1:255" x14ac:dyDescent="0.2">
      <c r="A295" s="2">
        <v>17</v>
      </c>
      <c r="B295" s="2">
        <v>1</v>
      </c>
      <c r="C295" s="2">
        <f>ROW(SmtRes!A301)</f>
        <v>301</v>
      </c>
      <c r="D295" s="2">
        <f>ROW(EtalonRes!A307)</f>
        <v>307</v>
      </c>
      <c r="E295" s="2" t="s">
        <v>374</v>
      </c>
      <c r="F295" s="2" t="s">
        <v>375</v>
      </c>
      <c r="G295" s="2" t="s">
        <v>376</v>
      </c>
      <c r="H295" s="2" t="s">
        <v>358</v>
      </c>
      <c r="I295" s="2">
        <v>6.7000000000000004E-2</v>
      </c>
      <c r="J295" s="2">
        <v>0</v>
      </c>
      <c r="K295" s="2">
        <v>6.7000000000000004E-2</v>
      </c>
      <c r="L295" s="2"/>
      <c r="M295" s="2"/>
      <c r="N295" s="2"/>
      <c r="O295" s="2">
        <f t="shared" si="240"/>
        <v>40.4</v>
      </c>
      <c r="P295" s="2">
        <f t="shared" si="241"/>
        <v>14.24</v>
      </c>
      <c r="Q295" s="2">
        <f t="shared" si="233"/>
        <v>0.3</v>
      </c>
      <c r="R295" s="2">
        <f t="shared" si="242"/>
        <v>7.0000000000000007E-2</v>
      </c>
      <c r="S295" s="2">
        <f t="shared" si="243"/>
        <v>25.86</v>
      </c>
      <c r="T295" s="2">
        <f t="shared" si="244"/>
        <v>0</v>
      </c>
      <c r="U295" s="2">
        <f t="shared" si="245"/>
        <v>2.2847000000000004</v>
      </c>
      <c r="V295" s="2">
        <f t="shared" si="246"/>
        <v>0</v>
      </c>
      <c r="W295" s="2">
        <f t="shared" si="247"/>
        <v>0</v>
      </c>
      <c r="X295" s="2">
        <f t="shared" si="248"/>
        <v>25.86</v>
      </c>
      <c r="Y295" s="2">
        <f t="shared" si="249"/>
        <v>16.55</v>
      </c>
      <c r="Z295" s="2"/>
      <c r="AA295" s="2">
        <v>129761636</v>
      </c>
      <c r="AB295" s="2">
        <f t="shared" si="250"/>
        <v>602.99</v>
      </c>
      <c r="AC295" s="2">
        <f t="shared" si="251"/>
        <v>212.51</v>
      </c>
      <c r="AD295" s="2">
        <f t="shared" si="234"/>
        <v>4.47</v>
      </c>
      <c r="AE295" s="2">
        <f t="shared" si="235"/>
        <v>1.06</v>
      </c>
      <c r="AF295" s="2">
        <f t="shared" si="236"/>
        <v>386.01</v>
      </c>
      <c r="AG295" s="2">
        <f t="shared" si="252"/>
        <v>0</v>
      </c>
      <c r="AH295" s="2">
        <f t="shared" si="237"/>
        <v>34.1</v>
      </c>
      <c r="AI295" s="2">
        <f t="shared" si="238"/>
        <v>0</v>
      </c>
      <c r="AJ295" s="2">
        <f t="shared" si="253"/>
        <v>0</v>
      </c>
      <c r="AK295" s="2">
        <v>602.99</v>
      </c>
      <c r="AL295" s="2">
        <v>212.51</v>
      </c>
      <c r="AM295" s="2">
        <v>4.47</v>
      </c>
      <c r="AN295" s="2">
        <v>1.06</v>
      </c>
      <c r="AO295" s="2">
        <v>386.01</v>
      </c>
      <c r="AP295" s="2">
        <v>0</v>
      </c>
      <c r="AQ295" s="2">
        <v>34.1</v>
      </c>
      <c r="AR295" s="2">
        <v>0</v>
      </c>
      <c r="AS295" s="2">
        <v>0</v>
      </c>
      <c r="AT295" s="2">
        <v>100</v>
      </c>
      <c r="AU295" s="2">
        <v>64</v>
      </c>
      <c r="AV295" s="2">
        <v>1</v>
      </c>
      <c r="AW295" s="2">
        <v>1</v>
      </c>
      <c r="AX295" s="2"/>
      <c r="AY295" s="2"/>
      <c r="AZ295" s="2">
        <v>1</v>
      </c>
      <c r="BA295" s="2">
        <v>1</v>
      </c>
      <c r="BB295" s="2">
        <v>1</v>
      </c>
      <c r="BC295" s="2">
        <v>1</v>
      </c>
      <c r="BD295" s="2" t="s">
        <v>3</v>
      </c>
      <c r="BE295" s="2" t="s">
        <v>3</v>
      </c>
      <c r="BF295" s="2" t="s">
        <v>3</v>
      </c>
      <c r="BG295" s="2" t="s">
        <v>3</v>
      </c>
      <c r="BH295" s="2">
        <v>0</v>
      </c>
      <c r="BI295" s="2">
        <v>1</v>
      </c>
      <c r="BJ295" s="2" t="s">
        <v>377</v>
      </c>
      <c r="BK295" s="2"/>
      <c r="BL295" s="2"/>
      <c r="BM295" s="2">
        <v>478</v>
      </c>
      <c r="BN295" s="2">
        <v>0</v>
      </c>
      <c r="BO295" s="2" t="s">
        <v>3</v>
      </c>
      <c r="BP295" s="2">
        <v>0</v>
      </c>
      <c r="BQ295" s="2">
        <v>60</v>
      </c>
      <c r="BR295" s="2">
        <v>0</v>
      </c>
      <c r="BS295" s="2">
        <v>1</v>
      </c>
      <c r="BT295" s="2">
        <v>1</v>
      </c>
      <c r="BU295" s="2">
        <v>1</v>
      </c>
      <c r="BV295" s="2">
        <v>1</v>
      </c>
      <c r="BW295" s="2">
        <v>1</v>
      </c>
      <c r="BX295" s="2">
        <v>1</v>
      </c>
      <c r="BY295" s="2" t="s">
        <v>3</v>
      </c>
      <c r="BZ295" s="2">
        <v>100</v>
      </c>
      <c r="CA295" s="2">
        <v>64</v>
      </c>
      <c r="CB295" s="2" t="s">
        <v>3</v>
      </c>
      <c r="CC295" s="2"/>
      <c r="CD295" s="2"/>
      <c r="CE295" s="2">
        <v>30</v>
      </c>
      <c r="CF295" s="2">
        <v>0</v>
      </c>
      <c r="CG295" s="2">
        <v>0</v>
      </c>
      <c r="CH295" s="2"/>
      <c r="CI295" s="2"/>
      <c r="CJ295" s="2"/>
      <c r="CK295" s="2"/>
      <c r="CL295" s="2"/>
      <c r="CM295" s="2">
        <v>0</v>
      </c>
      <c r="CN295" s="2" t="s">
        <v>3</v>
      </c>
      <c r="CO295" s="2">
        <v>0</v>
      </c>
      <c r="CP295" s="2">
        <f t="shared" si="254"/>
        <v>40.4</v>
      </c>
      <c r="CQ295" s="2">
        <f t="shared" si="255"/>
        <v>212.51</v>
      </c>
      <c r="CR295" s="2">
        <f t="shared" si="239"/>
        <v>4.47</v>
      </c>
      <c r="CS295" s="2">
        <f t="shared" si="256"/>
        <v>1.06</v>
      </c>
      <c r="CT295" s="2">
        <f t="shared" si="257"/>
        <v>386.01</v>
      </c>
      <c r="CU295" s="2">
        <f t="shared" si="258"/>
        <v>0</v>
      </c>
      <c r="CV295" s="2">
        <f t="shared" si="259"/>
        <v>34.1</v>
      </c>
      <c r="CW295" s="2">
        <f t="shared" si="260"/>
        <v>0</v>
      </c>
      <c r="CX295" s="2">
        <f t="shared" si="261"/>
        <v>0</v>
      </c>
      <c r="CY295" s="2">
        <f>((S295*BZ295)/100)</f>
        <v>25.86</v>
      </c>
      <c r="CZ295" s="2">
        <f>((S295*CA295)/100)</f>
        <v>16.5504</v>
      </c>
      <c r="DA295" s="2"/>
      <c r="DB295" s="2"/>
      <c r="DC295" s="2" t="s">
        <v>3</v>
      </c>
      <c r="DD295" s="2" t="s">
        <v>3</v>
      </c>
      <c r="DE295" s="2" t="s">
        <v>3</v>
      </c>
      <c r="DF295" s="2" t="s">
        <v>3</v>
      </c>
      <c r="DG295" s="2" t="s">
        <v>3</v>
      </c>
      <c r="DH295" s="2" t="s">
        <v>3</v>
      </c>
      <c r="DI295" s="2" t="s">
        <v>3</v>
      </c>
      <c r="DJ295" s="2" t="s">
        <v>3</v>
      </c>
      <c r="DK295" s="2" t="s">
        <v>3</v>
      </c>
      <c r="DL295" s="2" t="s">
        <v>3</v>
      </c>
      <c r="DM295" s="2" t="s">
        <v>3</v>
      </c>
      <c r="DN295" s="2">
        <v>0</v>
      </c>
      <c r="DO295" s="2">
        <v>0</v>
      </c>
      <c r="DP295" s="2">
        <v>1</v>
      </c>
      <c r="DQ295" s="2">
        <v>1</v>
      </c>
      <c r="DR295" s="2"/>
      <c r="DS295" s="2"/>
      <c r="DT295" s="2"/>
      <c r="DU295" s="2">
        <v>1005</v>
      </c>
      <c r="DV295" s="2" t="s">
        <v>358</v>
      </c>
      <c r="DW295" s="2" t="s">
        <v>358</v>
      </c>
      <c r="DX295" s="2">
        <v>100</v>
      </c>
      <c r="DY295" s="2"/>
      <c r="DZ295" s="2" t="s">
        <v>3</v>
      </c>
      <c r="EA295" s="2" t="s">
        <v>3</v>
      </c>
      <c r="EB295" s="2" t="s">
        <v>3</v>
      </c>
      <c r="EC295" s="2" t="s">
        <v>3</v>
      </c>
      <c r="ED295" s="2"/>
      <c r="EE295" s="2">
        <v>126051939</v>
      </c>
      <c r="EF295" s="2">
        <v>60</v>
      </c>
      <c r="EG295" s="2" t="s">
        <v>150</v>
      </c>
      <c r="EH295" s="2">
        <v>0</v>
      </c>
      <c r="EI295" s="2" t="s">
        <v>3</v>
      </c>
      <c r="EJ295" s="2">
        <v>1</v>
      </c>
      <c r="EK295" s="2">
        <v>478</v>
      </c>
      <c r="EL295" s="2" t="s">
        <v>378</v>
      </c>
      <c r="EM295" s="2" t="s">
        <v>379</v>
      </c>
      <c r="EN295" s="2"/>
      <c r="EO295" s="2" t="s">
        <v>3</v>
      </c>
      <c r="EP295" s="2"/>
      <c r="EQ295" s="2">
        <v>131072</v>
      </c>
      <c r="ER295" s="2">
        <v>602.99</v>
      </c>
      <c r="ES295" s="2">
        <v>212.51</v>
      </c>
      <c r="ET295" s="2">
        <v>4.47</v>
      </c>
      <c r="EU295" s="2">
        <v>1.06</v>
      </c>
      <c r="EV295" s="2">
        <v>386.01</v>
      </c>
      <c r="EW295" s="2">
        <v>34.1</v>
      </c>
      <c r="EX295" s="2">
        <v>0</v>
      </c>
      <c r="EY295" s="2">
        <v>0</v>
      </c>
      <c r="EZ295" s="2"/>
      <c r="FA295" s="2"/>
      <c r="FB295" s="2"/>
      <c r="FC295" s="2"/>
      <c r="FD295" s="2"/>
      <c r="FE295" s="2"/>
      <c r="FF295" s="2"/>
      <c r="FG295" s="2"/>
      <c r="FH295" s="2"/>
      <c r="FI295" s="2"/>
      <c r="FJ295" s="2"/>
      <c r="FK295" s="2"/>
      <c r="FL295" s="2"/>
      <c r="FM295" s="2"/>
      <c r="FN295" s="2"/>
      <c r="FO295" s="2"/>
      <c r="FP295" s="2"/>
      <c r="FQ295" s="2">
        <v>0</v>
      </c>
      <c r="FR295" s="2">
        <f t="shared" si="262"/>
        <v>0</v>
      </c>
      <c r="FS295" s="2">
        <v>0</v>
      </c>
      <c r="FT295" s="2"/>
      <c r="FU295" s="2"/>
      <c r="FV295" s="2"/>
      <c r="FW295" s="2"/>
      <c r="FX295" s="2">
        <v>100</v>
      </c>
      <c r="FY295" s="2">
        <v>64</v>
      </c>
      <c r="FZ295" s="2"/>
      <c r="GA295" s="2" t="s">
        <v>3</v>
      </c>
      <c r="GB295" s="2"/>
      <c r="GC295" s="2"/>
      <c r="GD295" s="2">
        <v>0</v>
      </c>
      <c r="GE295" s="2"/>
      <c r="GF295" s="2">
        <v>284864709</v>
      </c>
      <c r="GG295" s="2">
        <v>2</v>
      </c>
      <c r="GH295" s="2">
        <v>1</v>
      </c>
      <c r="GI295" s="2">
        <v>-2</v>
      </c>
      <c r="GJ295" s="2">
        <v>0</v>
      </c>
      <c r="GK295" s="2">
        <f>ROUND(R295*(R12)/100,2)</f>
        <v>0.12</v>
      </c>
      <c r="GL295" s="2">
        <f t="shared" si="263"/>
        <v>0</v>
      </c>
      <c r="GM295" s="2">
        <f t="shared" si="264"/>
        <v>82.93</v>
      </c>
      <c r="GN295" s="2">
        <f t="shared" si="265"/>
        <v>82.93</v>
      </c>
      <c r="GO295" s="2">
        <f t="shared" si="266"/>
        <v>0</v>
      </c>
      <c r="GP295" s="2">
        <f t="shared" si="267"/>
        <v>0</v>
      </c>
      <c r="GQ295" s="2"/>
      <c r="GR295" s="2">
        <v>0</v>
      </c>
      <c r="GS295" s="2">
        <v>0</v>
      </c>
      <c r="GT295" s="2">
        <v>0</v>
      </c>
      <c r="GU295" s="2" t="s">
        <v>3</v>
      </c>
      <c r="GV295" s="2">
        <f t="shared" si="268"/>
        <v>0</v>
      </c>
      <c r="GW295" s="2">
        <v>1</v>
      </c>
      <c r="GX295" s="2">
        <f t="shared" si="269"/>
        <v>0</v>
      </c>
      <c r="GY295" s="2"/>
      <c r="GZ295" s="2"/>
      <c r="HA295" s="2">
        <v>0</v>
      </c>
      <c r="HB295" s="2">
        <v>0</v>
      </c>
      <c r="HC295" s="2">
        <f t="shared" si="270"/>
        <v>0</v>
      </c>
      <c r="HD295" s="2"/>
      <c r="HE295" s="2" t="s">
        <v>3</v>
      </c>
      <c r="HF295" s="2" t="s">
        <v>3</v>
      </c>
      <c r="HG295" s="2"/>
      <c r="HH295" s="2"/>
      <c r="HI295" s="2"/>
      <c r="HJ295" s="2"/>
      <c r="HK295" s="2"/>
      <c r="HL295" s="2"/>
      <c r="HM295" s="2" t="s">
        <v>3</v>
      </c>
      <c r="HN295" s="2" t="s">
        <v>3</v>
      </c>
      <c r="HO295" s="2" t="s">
        <v>3</v>
      </c>
      <c r="HP295" s="2" t="s">
        <v>3</v>
      </c>
      <c r="HQ295" s="2" t="s">
        <v>3</v>
      </c>
      <c r="HR295" s="2"/>
      <c r="HS295" s="2"/>
      <c r="HT295" s="2"/>
      <c r="HU295" s="2"/>
      <c r="HV295" s="2"/>
      <c r="HW295" s="2"/>
      <c r="HX295" s="2"/>
      <c r="HY295" s="2"/>
      <c r="HZ295" s="2"/>
      <c r="IA295" s="2"/>
      <c r="IB295" s="2"/>
      <c r="IC295" s="2"/>
      <c r="ID295" s="2"/>
      <c r="IE295" s="2"/>
      <c r="IF295" s="2"/>
      <c r="IG295" s="2"/>
      <c r="IH295" s="2"/>
      <c r="II295" s="2"/>
      <c r="IJ295" s="2"/>
      <c r="IK295" s="2">
        <v>0</v>
      </c>
      <c r="IL295" s="2"/>
      <c r="IM295" s="2"/>
      <c r="IN295" s="2"/>
      <c r="IO295" s="2"/>
      <c r="IP295" s="2"/>
      <c r="IQ295" s="2"/>
      <c r="IR295" s="2"/>
      <c r="IS295" s="2"/>
      <c r="IT295" s="2"/>
      <c r="IU295" s="2"/>
    </row>
    <row r="296" spans="1:255" x14ac:dyDescent="0.2">
      <c r="A296">
        <v>17</v>
      </c>
      <c r="B296">
        <v>1</v>
      </c>
      <c r="C296">
        <f>ROW(SmtRes!A310)</f>
        <v>310</v>
      </c>
      <c r="D296">
        <f>ROW(EtalonRes!A316)</f>
        <v>316</v>
      </c>
      <c r="E296" t="s">
        <v>374</v>
      </c>
      <c r="F296" t="s">
        <v>375</v>
      </c>
      <c r="G296" t="s">
        <v>376</v>
      </c>
      <c r="H296" t="s">
        <v>358</v>
      </c>
      <c r="I296">
        <v>6.7000000000000004E-2</v>
      </c>
      <c r="J296">
        <v>0</v>
      </c>
      <c r="K296">
        <v>6.7000000000000004E-2</v>
      </c>
      <c r="O296">
        <f t="shared" si="240"/>
        <v>867.4</v>
      </c>
      <c r="P296">
        <f t="shared" si="241"/>
        <v>112.64</v>
      </c>
      <c r="Q296">
        <f t="shared" si="233"/>
        <v>4.04</v>
      </c>
      <c r="R296">
        <f t="shared" si="242"/>
        <v>2.0299999999999998</v>
      </c>
      <c r="S296">
        <f t="shared" si="243"/>
        <v>750.72</v>
      </c>
      <c r="T296">
        <f t="shared" si="244"/>
        <v>0</v>
      </c>
      <c r="U296">
        <f t="shared" si="245"/>
        <v>2.2847000000000004</v>
      </c>
      <c r="V296">
        <f t="shared" si="246"/>
        <v>0</v>
      </c>
      <c r="W296">
        <f t="shared" si="247"/>
        <v>0</v>
      </c>
      <c r="X296">
        <f t="shared" si="248"/>
        <v>623.1</v>
      </c>
      <c r="Y296">
        <f t="shared" si="249"/>
        <v>307.8</v>
      </c>
      <c r="AA296">
        <v>129761633</v>
      </c>
      <c r="AB296">
        <f t="shared" si="250"/>
        <v>602.99</v>
      </c>
      <c r="AC296">
        <f t="shared" si="251"/>
        <v>212.51</v>
      </c>
      <c r="AD296">
        <f t="shared" si="234"/>
        <v>4.47</v>
      </c>
      <c r="AE296">
        <f t="shared" si="235"/>
        <v>1.06</v>
      </c>
      <c r="AF296">
        <f t="shared" si="236"/>
        <v>386.01</v>
      </c>
      <c r="AG296">
        <f t="shared" si="252"/>
        <v>0</v>
      </c>
      <c r="AH296">
        <f t="shared" si="237"/>
        <v>34.1</v>
      </c>
      <c r="AI296">
        <f t="shared" si="238"/>
        <v>0</v>
      </c>
      <c r="AJ296">
        <f t="shared" si="253"/>
        <v>0</v>
      </c>
      <c r="AK296">
        <v>602.99</v>
      </c>
      <c r="AL296">
        <v>212.51</v>
      </c>
      <c r="AM296">
        <v>4.47</v>
      </c>
      <c r="AN296">
        <v>1.06</v>
      </c>
      <c r="AO296">
        <v>386.01</v>
      </c>
      <c r="AP296">
        <v>0</v>
      </c>
      <c r="AQ296">
        <v>34.1</v>
      </c>
      <c r="AR296">
        <v>0</v>
      </c>
      <c r="AS296">
        <v>0</v>
      </c>
      <c r="AT296">
        <v>83</v>
      </c>
      <c r="AU296">
        <v>41</v>
      </c>
      <c r="AV296">
        <v>1</v>
      </c>
      <c r="AW296">
        <v>1</v>
      </c>
      <c r="AZ296">
        <v>1</v>
      </c>
      <c r="BA296">
        <v>29.03</v>
      </c>
      <c r="BB296">
        <v>13.46</v>
      </c>
      <c r="BC296">
        <v>7.91</v>
      </c>
      <c r="BD296" t="s">
        <v>3</v>
      </c>
      <c r="BE296" t="s">
        <v>3</v>
      </c>
      <c r="BF296" t="s">
        <v>3</v>
      </c>
      <c r="BG296" t="s">
        <v>3</v>
      </c>
      <c r="BH296">
        <v>0</v>
      </c>
      <c r="BI296">
        <v>1</v>
      </c>
      <c r="BJ296" t="s">
        <v>377</v>
      </c>
      <c r="BM296">
        <v>478</v>
      </c>
      <c r="BN296">
        <v>0</v>
      </c>
      <c r="BO296" t="s">
        <v>375</v>
      </c>
      <c r="BP296">
        <v>1</v>
      </c>
      <c r="BQ296">
        <v>60</v>
      </c>
      <c r="BR296">
        <v>0</v>
      </c>
      <c r="BS296">
        <v>29.03</v>
      </c>
      <c r="BT296">
        <v>1</v>
      </c>
      <c r="BU296">
        <v>1</v>
      </c>
      <c r="BV296">
        <v>1</v>
      </c>
      <c r="BW296">
        <v>1</v>
      </c>
      <c r="BX296">
        <v>1</v>
      </c>
      <c r="BY296" t="s">
        <v>3</v>
      </c>
      <c r="BZ296">
        <v>83</v>
      </c>
      <c r="CA296">
        <v>41</v>
      </c>
      <c r="CB296" t="s">
        <v>3</v>
      </c>
      <c r="CE296">
        <v>30</v>
      </c>
      <c r="CF296">
        <v>0</v>
      </c>
      <c r="CG296">
        <v>0</v>
      </c>
      <c r="CM296">
        <v>0</v>
      </c>
      <c r="CN296" t="s">
        <v>3</v>
      </c>
      <c r="CO296">
        <v>0</v>
      </c>
      <c r="CP296">
        <f t="shared" si="254"/>
        <v>867.40000000000009</v>
      </c>
      <c r="CQ296">
        <f t="shared" si="255"/>
        <v>1680.95</v>
      </c>
      <c r="CR296">
        <f t="shared" si="239"/>
        <v>60.17</v>
      </c>
      <c r="CS296">
        <f t="shared" si="256"/>
        <v>30.77</v>
      </c>
      <c r="CT296">
        <f t="shared" si="257"/>
        <v>11205.87</v>
      </c>
      <c r="CU296">
        <f t="shared" si="258"/>
        <v>0</v>
      </c>
      <c r="CV296">
        <f t="shared" si="259"/>
        <v>34.1</v>
      </c>
      <c r="CW296">
        <f t="shared" si="260"/>
        <v>0</v>
      </c>
      <c r="CX296">
        <f t="shared" si="261"/>
        <v>0</v>
      </c>
      <c r="CY296">
        <f>S296*(BZ296/100)</f>
        <v>623.09759999999994</v>
      </c>
      <c r="CZ296">
        <f>S296*(CA296/100)</f>
        <v>307.79519999999997</v>
      </c>
      <c r="DC296" t="s">
        <v>3</v>
      </c>
      <c r="DD296" t="s">
        <v>3</v>
      </c>
      <c r="DE296" t="s">
        <v>3</v>
      </c>
      <c r="DF296" t="s">
        <v>3</v>
      </c>
      <c r="DG296" t="s">
        <v>3</v>
      </c>
      <c r="DH296" t="s">
        <v>3</v>
      </c>
      <c r="DI296" t="s">
        <v>3</v>
      </c>
      <c r="DJ296" t="s">
        <v>3</v>
      </c>
      <c r="DK296" t="s">
        <v>3</v>
      </c>
      <c r="DL296" t="s">
        <v>3</v>
      </c>
      <c r="DM296" t="s">
        <v>3</v>
      </c>
      <c r="DN296">
        <v>100</v>
      </c>
      <c r="DO296">
        <v>64</v>
      </c>
      <c r="DP296">
        <v>1</v>
      </c>
      <c r="DQ296">
        <v>1</v>
      </c>
      <c r="DU296">
        <v>1005</v>
      </c>
      <c r="DV296" t="s">
        <v>358</v>
      </c>
      <c r="DW296" t="s">
        <v>358</v>
      </c>
      <c r="DX296">
        <v>100</v>
      </c>
      <c r="DZ296" t="s">
        <v>3</v>
      </c>
      <c r="EA296" t="s">
        <v>3</v>
      </c>
      <c r="EB296" t="s">
        <v>3</v>
      </c>
      <c r="EC296" t="s">
        <v>3</v>
      </c>
      <c r="EE296">
        <v>126051939</v>
      </c>
      <c r="EF296">
        <v>60</v>
      </c>
      <c r="EG296" t="s">
        <v>150</v>
      </c>
      <c r="EH296">
        <v>0</v>
      </c>
      <c r="EI296" t="s">
        <v>3</v>
      </c>
      <c r="EJ296">
        <v>1</v>
      </c>
      <c r="EK296">
        <v>478</v>
      </c>
      <c r="EL296" t="s">
        <v>378</v>
      </c>
      <c r="EM296" t="s">
        <v>379</v>
      </c>
      <c r="EO296" t="s">
        <v>3</v>
      </c>
      <c r="EQ296">
        <v>131072</v>
      </c>
      <c r="ER296">
        <v>602.99</v>
      </c>
      <c r="ES296">
        <v>212.51</v>
      </c>
      <c r="ET296">
        <v>4.47</v>
      </c>
      <c r="EU296">
        <v>1.06</v>
      </c>
      <c r="EV296">
        <v>386.01</v>
      </c>
      <c r="EW296">
        <v>34.1</v>
      </c>
      <c r="EX296">
        <v>0</v>
      </c>
      <c r="EY296">
        <v>0</v>
      </c>
      <c r="FQ296">
        <v>0</v>
      </c>
      <c r="FR296">
        <f t="shared" si="262"/>
        <v>0</v>
      </c>
      <c r="FS296">
        <v>0</v>
      </c>
      <c r="FX296">
        <v>100</v>
      </c>
      <c r="FY296">
        <v>64</v>
      </c>
      <c r="GA296" t="s">
        <v>3</v>
      </c>
      <c r="GD296">
        <v>0</v>
      </c>
      <c r="GF296">
        <v>284864709</v>
      </c>
      <c r="GG296">
        <v>2</v>
      </c>
      <c r="GH296">
        <v>1</v>
      </c>
      <c r="GI296">
        <v>2</v>
      </c>
      <c r="GJ296">
        <v>0</v>
      </c>
      <c r="GK296">
        <f>ROUND(R296*(S12)/100,2)</f>
        <v>3.25</v>
      </c>
      <c r="GL296">
        <f t="shared" si="263"/>
        <v>0</v>
      </c>
      <c r="GM296">
        <f t="shared" si="264"/>
        <v>1801.55</v>
      </c>
      <c r="GN296">
        <f t="shared" si="265"/>
        <v>1801.55</v>
      </c>
      <c r="GO296">
        <f t="shared" si="266"/>
        <v>0</v>
      </c>
      <c r="GP296">
        <f t="shared" si="267"/>
        <v>0</v>
      </c>
      <c r="GR296">
        <v>0</v>
      </c>
      <c r="GS296">
        <v>3</v>
      </c>
      <c r="GT296">
        <v>0</v>
      </c>
      <c r="GU296" t="s">
        <v>3</v>
      </c>
      <c r="GV296">
        <f t="shared" si="268"/>
        <v>0</v>
      </c>
      <c r="GW296">
        <v>1</v>
      </c>
      <c r="GX296">
        <f t="shared" si="269"/>
        <v>0</v>
      </c>
      <c r="HA296">
        <v>0</v>
      </c>
      <c r="HB296">
        <v>0</v>
      </c>
      <c r="HC296">
        <f t="shared" si="270"/>
        <v>0</v>
      </c>
      <c r="HE296" t="s">
        <v>3</v>
      </c>
      <c r="HF296" t="s">
        <v>3</v>
      </c>
      <c r="HM296" t="s">
        <v>3</v>
      </c>
      <c r="HN296" t="s">
        <v>3</v>
      </c>
      <c r="HO296" t="s">
        <v>3</v>
      </c>
      <c r="HP296" t="s">
        <v>3</v>
      </c>
      <c r="HQ296" t="s">
        <v>3</v>
      </c>
      <c r="IK296">
        <v>0</v>
      </c>
    </row>
    <row r="297" spans="1:255" x14ac:dyDescent="0.2">
      <c r="A297" s="2">
        <v>18</v>
      </c>
      <c r="B297" s="2">
        <v>1</v>
      </c>
      <c r="C297" s="2">
        <v>297</v>
      </c>
      <c r="D297" s="2"/>
      <c r="E297" s="2" t="s">
        <v>380</v>
      </c>
      <c r="F297" s="2" t="s">
        <v>363</v>
      </c>
      <c r="G297" s="2" t="s">
        <v>364</v>
      </c>
      <c r="H297" s="2" t="s">
        <v>114</v>
      </c>
      <c r="I297" s="2">
        <f>I295*J297</f>
        <v>4.5600000000000003E-4</v>
      </c>
      <c r="J297" s="2">
        <v>6.8059701492537315E-3</v>
      </c>
      <c r="K297" s="2">
        <v>6.7999999999999996E-3</v>
      </c>
      <c r="L297" s="2"/>
      <c r="M297" s="2"/>
      <c r="N297" s="2"/>
      <c r="O297" s="2">
        <f t="shared" si="240"/>
        <v>1.04</v>
      </c>
      <c r="P297" s="2">
        <f t="shared" si="241"/>
        <v>1.04</v>
      </c>
      <c r="Q297" s="2">
        <f t="shared" si="233"/>
        <v>0</v>
      </c>
      <c r="R297" s="2">
        <f t="shared" si="242"/>
        <v>0</v>
      </c>
      <c r="S297" s="2">
        <f t="shared" si="243"/>
        <v>0</v>
      </c>
      <c r="T297" s="2">
        <f t="shared" si="244"/>
        <v>0</v>
      </c>
      <c r="U297" s="2">
        <f t="shared" si="245"/>
        <v>0</v>
      </c>
      <c r="V297" s="2">
        <f t="shared" si="246"/>
        <v>0</v>
      </c>
      <c r="W297" s="2">
        <f t="shared" si="247"/>
        <v>0</v>
      </c>
      <c r="X297" s="2">
        <f t="shared" si="248"/>
        <v>0</v>
      </c>
      <c r="Y297" s="2">
        <f t="shared" si="249"/>
        <v>0</v>
      </c>
      <c r="Z297" s="2"/>
      <c r="AA297" s="2">
        <v>129761636</v>
      </c>
      <c r="AB297" s="2">
        <f t="shared" si="250"/>
        <v>2278.84</v>
      </c>
      <c r="AC297" s="2">
        <f t="shared" si="251"/>
        <v>2278.84</v>
      </c>
      <c r="AD297" s="2">
        <f t="shared" si="234"/>
        <v>0</v>
      </c>
      <c r="AE297" s="2">
        <f t="shared" si="235"/>
        <v>0</v>
      </c>
      <c r="AF297" s="2">
        <f t="shared" si="236"/>
        <v>0</v>
      </c>
      <c r="AG297" s="2">
        <f t="shared" si="252"/>
        <v>0</v>
      </c>
      <c r="AH297" s="2">
        <f t="shared" si="237"/>
        <v>0</v>
      </c>
      <c r="AI297" s="2">
        <f t="shared" si="238"/>
        <v>0</v>
      </c>
      <c r="AJ297" s="2">
        <f t="shared" si="253"/>
        <v>0</v>
      </c>
      <c r="AK297" s="2">
        <v>2278.84</v>
      </c>
      <c r="AL297" s="2">
        <v>2278.84</v>
      </c>
      <c r="AM297" s="2">
        <v>0</v>
      </c>
      <c r="AN297" s="2">
        <v>0</v>
      </c>
      <c r="AO297" s="2">
        <v>0</v>
      </c>
      <c r="AP297" s="2">
        <v>0</v>
      </c>
      <c r="AQ297" s="2">
        <v>0</v>
      </c>
      <c r="AR297" s="2">
        <v>0</v>
      </c>
      <c r="AS297" s="2">
        <v>0</v>
      </c>
      <c r="AT297" s="2">
        <v>100</v>
      </c>
      <c r="AU297" s="2">
        <v>64</v>
      </c>
      <c r="AV297" s="2">
        <v>1</v>
      </c>
      <c r="AW297" s="2">
        <v>1</v>
      </c>
      <c r="AX297" s="2"/>
      <c r="AY297" s="2"/>
      <c r="AZ297" s="2">
        <v>1</v>
      </c>
      <c r="BA297" s="2">
        <v>1</v>
      </c>
      <c r="BB297" s="2">
        <v>1</v>
      </c>
      <c r="BC297" s="2">
        <v>1</v>
      </c>
      <c r="BD297" s="2" t="s">
        <v>3</v>
      </c>
      <c r="BE297" s="2" t="s">
        <v>3</v>
      </c>
      <c r="BF297" s="2" t="s">
        <v>3</v>
      </c>
      <c r="BG297" s="2" t="s">
        <v>3</v>
      </c>
      <c r="BH297" s="2">
        <v>3</v>
      </c>
      <c r="BI297" s="2">
        <v>1</v>
      </c>
      <c r="BJ297" s="2" t="s">
        <v>365</v>
      </c>
      <c r="BK297" s="2"/>
      <c r="BL297" s="2"/>
      <c r="BM297" s="2">
        <v>478</v>
      </c>
      <c r="BN297" s="2">
        <v>0</v>
      </c>
      <c r="BO297" s="2" t="s">
        <v>3</v>
      </c>
      <c r="BP297" s="2">
        <v>0</v>
      </c>
      <c r="BQ297" s="2">
        <v>60</v>
      </c>
      <c r="BR297" s="2">
        <v>0</v>
      </c>
      <c r="BS297" s="2">
        <v>1</v>
      </c>
      <c r="BT297" s="2">
        <v>1</v>
      </c>
      <c r="BU297" s="2">
        <v>1</v>
      </c>
      <c r="BV297" s="2">
        <v>1</v>
      </c>
      <c r="BW297" s="2">
        <v>1</v>
      </c>
      <c r="BX297" s="2">
        <v>1</v>
      </c>
      <c r="BY297" s="2" t="s">
        <v>3</v>
      </c>
      <c r="BZ297" s="2">
        <v>100</v>
      </c>
      <c r="CA297" s="2">
        <v>64</v>
      </c>
      <c r="CB297" s="2" t="s">
        <v>3</v>
      </c>
      <c r="CC297" s="2"/>
      <c r="CD297" s="2"/>
      <c r="CE297" s="2">
        <v>30</v>
      </c>
      <c r="CF297" s="2">
        <v>0</v>
      </c>
      <c r="CG297" s="2">
        <v>0</v>
      </c>
      <c r="CH297" s="2"/>
      <c r="CI297" s="2"/>
      <c r="CJ297" s="2"/>
      <c r="CK297" s="2"/>
      <c r="CL297" s="2"/>
      <c r="CM297" s="2">
        <v>0</v>
      </c>
      <c r="CN297" s="2" t="s">
        <v>3</v>
      </c>
      <c r="CO297" s="2">
        <v>0</v>
      </c>
      <c r="CP297" s="2">
        <f t="shared" si="254"/>
        <v>1.04</v>
      </c>
      <c r="CQ297" s="2">
        <f t="shared" si="255"/>
        <v>2278.84</v>
      </c>
      <c r="CR297" s="2">
        <f t="shared" si="239"/>
        <v>0</v>
      </c>
      <c r="CS297" s="2">
        <f t="shared" si="256"/>
        <v>0</v>
      </c>
      <c r="CT297" s="2">
        <f t="shared" si="257"/>
        <v>0</v>
      </c>
      <c r="CU297" s="2">
        <f t="shared" si="258"/>
        <v>0</v>
      </c>
      <c r="CV297" s="2">
        <f t="shared" si="259"/>
        <v>0</v>
      </c>
      <c r="CW297" s="2">
        <f t="shared" si="260"/>
        <v>0</v>
      </c>
      <c r="CX297" s="2">
        <f t="shared" si="261"/>
        <v>0</v>
      </c>
      <c r="CY297" s="2">
        <f>((S297*BZ297)/100)</f>
        <v>0</v>
      </c>
      <c r="CZ297" s="2">
        <f>((S297*CA297)/100)</f>
        <v>0</v>
      </c>
      <c r="DA297" s="2"/>
      <c r="DB297" s="2"/>
      <c r="DC297" s="2" t="s">
        <v>3</v>
      </c>
      <c r="DD297" s="2" t="s">
        <v>3</v>
      </c>
      <c r="DE297" s="2" t="s">
        <v>3</v>
      </c>
      <c r="DF297" s="2" t="s">
        <v>3</v>
      </c>
      <c r="DG297" s="2" t="s">
        <v>3</v>
      </c>
      <c r="DH297" s="2" t="s">
        <v>3</v>
      </c>
      <c r="DI297" s="2" t="s">
        <v>3</v>
      </c>
      <c r="DJ297" s="2" t="s">
        <v>3</v>
      </c>
      <c r="DK297" s="2" t="s">
        <v>3</v>
      </c>
      <c r="DL297" s="2" t="s">
        <v>3</v>
      </c>
      <c r="DM297" s="2" t="s">
        <v>3</v>
      </c>
      <c r="DN297" s="2">
        <v>0</v>
      </c>
      <c r="DO297" s="2">
        <v>0</v>
      </c>
      <c r="DP297" s="2">
        <v>1</v>
      </c>
      <c r="DQ297" s="2">
        <v>1</v>
      </c>
      <c r="DR297" s="2"/>
      <c r="DS297" s="2"/>
      <c r="DT297" s="2"/>
      <c r="DU297" s="2">
        <v>1009</v>
      </c>
      <c r="DV297" s="2" t="s">
        <v>114</v>
      </c>
      <c r="DW297" s="2" t="s">
        <v>114</v>
      </c>
      <c r="DX297" s="2">
        <v>1000</v>
      </c>
      <c r="DY297" s="2"/>
      <c r="DZ297" s="2" t="s">
        <v>3</v>
      </c>
      <c r="EA297" s="2" t="s">
        <v>3</v>
      </c>
      <c r="EB297" s="2" t="s">
        <v>3</v>
      </c>
      <c r="EC297" s="2" t="s">
        <v>3</v>
      </c>
      <c r="ED297" s="2"/>
      <c r="EE297" s="2">
        <v>126051939</v>
      </c>
      <c r="EF297" s="2">
        <v>60</v>
      </c>
      <c r="EG297" s="2" t="s">
        <v>150</v>
      </c>
      <c r="EH297" s="2">
        <v>0</v>
      </c>
      <c r="EI297" s="2" t="s">
        <v>3</v>
      </c>
      <c r="EJ297" s="2">
        <v>1</v>
      </c>
      <c r="EK297" s="2">
        <v>478</v>
      </c>
      <c r="EL297" s="2" t="s">
        <v>378</v>
      </c>
      <c r="EM297" s="2" t="s">
        <v>379</v>
      </c>
      <c r="EN297" s="2"/>
      <c r="EO297" s="2" t="s">
        <v>3</v>
      </c>
      <c r="EP297" s="2"/>
      <c r="EQ297" s="2">
        <v>0</v>
      </c>
      <c r="ER297" s="2">
        <v>2278.84</v>
      </c>
      <c r="ES297" s="2">
        <v>2278.84</v>
      </c>
      <c r="ET297" s="2">
        <v>0</v>
      </c>
      <c r="EU297" s="2">
        <v>0</v>
      </c>
      <c r="EV297" s="2">
        <v>0</v>
      </c>
      <c r="EW297" s="2">
        <v>0</v>
      </c>
      <c r="EX297" s="2">
        <v>0</v>
      </c>
      <c r="EY297" s="2"/>
      <c r="EZ297" s="2"/>
      <c r="FA297" s="2"/>
      <c r="FB297" s="2"/>
      <c r="FC297" s="2"/>
      <c r="FD297" s="2"/>
      <c r="FE297" s="2"/>
      <c r="FF297" s="2"/>
      <c r="FG297" s="2"/>
      <c r="FH297" s="2"/>
      <c r="FI297" s="2"/>
      <c r="FJ297" s="2"/>
      <c r="FK297" s="2"/>
      <c r="FL297" s="2"/>
      <c r="FM297" s="2"/>
      <c r="FN297" s="2"/>
      <c r="FO297" s="2"/>
      <c r="FP297" s="2"/>
      <c r="FQ297" s="2">
        <v>0</v>
      </c>
      <c r="FR297" s="2">
        <f t="shared" si="262"/>
        <v>0</v>
      </c>
      <c r="FS297" s="2">
        <v>0</v>
      </c>
      <c r="FT297" s="2"/>
      <c r="FU297" s="2"/>
      <c r="FV297" s="2"/>
      <c r="FW297" s="2"/>
      <c r="FX297" s="2">
        <v>100</v>
      </c>
      <c r="FY297" s="2">
        <v>64</v>
      </c>
      <c r="FZ297" s="2"/>
      <c r="GA297" s="2" t="s">
        <v>3</v>
      </c>
      <c r="GB297" s="2"/>
      <c r="GC297" s="2"/>
      <c r="GD297" s="2">
        <v>0</v>
      </c>
      <c r="GE297" s="2"/>
      <c r="GF297" s="2">
        <v>1793685401</v>
      </c>
      <c r="GG297" s="2">
        <v>2</v>
      </c>
      <c r="GH297" s="2">
        <v>1</v>
      </c>
      <c r="GI297" s="2">
        <v>-2</v>
      </c>
      <c r="GJ297" s="2">
        <v>0</v>
      </c>
      <c r="GK297" s="2">
        <f>ROUND(R297*(R12)/100,2)</f>
        <v>0</v>
      </c>
      <c r="GL297" s="2">
        <f t="shared" si="263"/>
        <v>0</v>
      </c>
      <c r="GM297" s="2">
        <f t="shared" si="264"/>
        <v>1.04</v>
      </c>
      <c r="GN297" s="2">
        <f t="shared" si="265"/>
        <v>1.04</v>
      </c>
      <c r="GO297" s="2">
        <f t="shared" si="266"/>
        <v>0</v>
      </c>
      <c r="GP297" s="2">
        <f t="shared" si="267"/>
        <v>0</v>
      </c>
      <c r="GQ297" s="2"/>
      <c r="GR297" s="2">
        <v>0</v>
      </c>
      <c r="GS297" s="2">
        <v>0</v>
      </c>
      <c r="GT297" s="2">
        <v>0</v>
      </c>
      <c r="GU297" s="2" t="s">
        <v>3</v>
      </c>
      <c r="GV297" s="2">
        <f t="shared" si="268"/>
        <v>0</v>
      </c>
      <c r="GW297" s="2">
        <v>1</v>
      </c>
      <c r="GX297" s="2">
        <f t="shared" si="269"/>
        <v>0</v>
      </c>
      <c r="GY297" s="2"/>
      <c r="GZ297" s="2"/>
      <c r="HA297" s="2">
        <v>0</v>
      </c>
      <c r="HB297" s="2">
        <v>0</v>
      </c>
      <c r="HC297" s="2">
        <f t="shared" si="270"/>
        <v>0</v>
      </c>
      <c r="HD297" s="2"/>
      <c r="HE297" s="2" t="s">
        <v>3</v>
      </c>
      <c r="HF297" s="2" t="s">
        <v>3</v>
      </c>
      <c r="HG297" s="2"/>
      <c r="HH297" s="2"/>
      <c r="HI297" s="2"/>
      <c r="HJ297" s="2"/>
      <c r="HK297" s="2"/>
      <c r="HL297" s="2"/>
      <c r="HM297" s="2" t="s">
        <v>3</v>
      </c>
      <c r="HN297" s="2" t="s">
        <v>3</v>
      </c>
      <c r="HO297" s="2" t="s">
        <v>3</v>
      </c>
      <c r="HP297" s="2" t="s">
        <v>3</v>
      </c>
      <c r="HQ297" s="2" t="s">
        <v>3</v>
      </c>
      <c r="HR297" s="2"/>
      <c r="HS297" s="2"/>
      <c r="HT297" s="2"/>
      <c r="HU297" s="2"/>
      <c r="HV297" s="2"/>
      <c r="HW297" s="2"/>
      <c r="HX297" s="2"/>
      <c r="HY297" s="2"/>
      <c r="HZ297" s="2"/>
      <c r="IA297" s="2"/>
      <c r="IB297" s="2"/>
      <c r="IC297" s="2"/>
      <c r="ID297" s="2"/>
      <c r="IE297" s="2"/>
      <c r="IF297" s="2"/>
      <c r="IG297" s="2"/>
      <c r="IH297" s="2"/>
      <c r="II297" s="2"/>
      <c r="IJ297" s="2"/>
      <c r="IK297" s="2">
        <v>0</v>
      </c>
      <c r="IL297" s="2"/>
      <c r="IM297" s="2"/>
      <c r="IN297" s="2"/>
      <c r="IO297" s="2"/>
      <c r="IP297" s="2"/>
      <c r="IQ297" s="2"/>
      <c r="IR297" s="2"/>
      <c r="IS297" s="2"/>
      <c r="IT297" s="2"/>
      <c r="IU297" s="2"/>
    </row>
    <row r="298" spans="1:255" x14ac:dyDescent="0.2">
      <c r="A298">
        <v>18</v>
      </c>
      <c r="B298">
        <v>1</v>
      </c>
      <c r="C298">
        <v>306</v>
      </c>
      <c r="E298" t="s">
        <v>380</v>
      </c>
      <c r="F298" t="s">
        <v>363</v>
      </c>
      <c r="G298" t="s">
        <v>364</v>
      </c>
      <c r="H298" t="s">
        <v>114</v>
      </c>
      <c r="I298">
        <f>I296*J298</f>
        <v>4.5600000000000003E-4</v>
      </c>
      <c r="J298">
        <v>6.8059701492537315E-3</v>
      </c>
      <c r="K298">
        <v>6.7999999999999996E-3</v>
      </c>
      <c r="O298">
        <f t="shared" si="240"/>
        <v>8.65</v>
      </c>
      <c r="P298">
        <f t="shared" si="241"/>
        <v>8.65</v>
      </c>
      <c r="Q298">
        <f t="shared" si="233"/>
        <v>0</v>
      </c>
      <c r="R298">
        <f t="shared" si="242"/>
        <v>0</v>
      </c>
      <c r="S298">
        <f t="shared" si="243"/>
        <v>0</v>
      </c>
      <c r="T298">
        <f t="shared" si="244"/>
        <v>0</v>
      </c>
      <c r="U298">
        <f t="shared" si="245"/>
        <v>0</v>
      </c>
      <c r="V298">
        <f t="shared" si="246"/>
        <v>0</v>
      </c>
      <c r="W298">
        <f t="shared" si="247"/>
        <v>0</v>
      </c>
      <c r="X298">
        <f t="shared" si="248"/>
        <v>0</v>
      </c>
      <c r="Y298">
        <f t="shared" si="249"/>
        <v>0</v>
      </c>
      <c r="AA298">
        <v>129761633</v>
      </c>
      <c r="AB298">
        <f t="shared" si="250"/>
        <v>2278.84</v>
      </c>
      <c r="AC298">
        <f t="shared" si="251"/>
        <v>2278.84</v>
      </c>
      <c r="AD298">
        <f t="shared" si="234"/>
        <v>0</v>
      </c>
      <c r="AE298">
        <f t="shared" si="235"/>
        <v>0</v>
      </c>
      <c r="AF298">
        <f t="shared" si="236"/>
        <v>0</v>
      </c>
      <c r="AG298">
        <f t="shared" si="252"/>
        <v>0</v>
      </c>
      <c r="AH298">
        <f t="shared" si="237"/>
        <v>0</v>
      </c>
      <c r="AI298">
        <f t="shared" si="238"/>
        <v>0</v>
      </c>
      <c r="AJ298">
        <f t="shared" si="253"/>
        <v>0</v>
      </c>
      <c r="AK298">
        <v>2278.84</v>
      </c>
      <c r="AL298">
        <v>2278.84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1</v>
      </c>
      <c r="AW298">
        <v>1</v>
      </c>
      <c r="AZ298">
        <v>1</v>
      </c>
      <c r="BA298">
        <v>1</v>
      </c>
      <c r="BB298">
        <v>1</v>
      </c>
      <c r="BC298">
        <v>8.32</v>
      </c>
      <c r="BD298" t="s">
        <v>3</v>
      </c>
      <c r="BE298" t="s">
        <v>3</v>
      </c>
      <c r="BF298" t="s">
        <v>3</v>
      </c>
      <c r="BG298" t="s">
        <v>3</v>
      </c>
      <c r="BH298">
        <v>3</v>
      </c>
      <c r="BI298">
        <v>1</v>
      </c>
      <c r="BJ298" t="s">
        <v>365</v>
      </c>
      <c r="BM298">
        <v>478</v>
      </c>
      <c r="BN298">
        <v>0</v>
      </c>
      <c r="BO298" t="s">
        <v>363</v>
      </c>
      <c r="BP298">
        <v>1</v>
      </c>
      <c r="BQ298">
        <v>60</v>
      </c>
      <c r="BR298">
        <v>0</v>
      </c>
      <c r="BS298">
        <v>1</v>
      </c>
      <c r="BT298">
        <v>1</v>
      </c>
      <c r="BU298">
        <v>1</v>
      </c>
      <c r="BV298">
        <v>1</v>
      </c>
      <c r="BW298">
        <v>1</v>
      </c>
      <c r="BX298">
        <v>1</v>
      </c>
      <c r="BY298" t="s">
        <v>3</v>
      </c>
      <c r="BZ298">
        <v>0</v>
      </c>
      <c r="CA298">
        <v>0</v>
      </c>
      <c r="CB298" t="s">
        <v>3</v>
      </c>
      <c r="CE298">
        <v>30</v>
      </c>
      <c r="CF298">
        <v>0</v>
      </c>
      <c r="CG298">
        <v>0</v>
      </c>
      <c r="CM298">
        <v>0</v>
      </c>
      <c r="CN298" t="s">
        <v>3</v>
      </c>
      <c r="CO298">
        <v>0</v>
      </c>
      <c r="CP298">
        <f t="shared" si="254"/>
        <v>8.65</v>
      </c>
      <c r="CQ298">
        <f t="shared" si="255"/>
        <v>18959.95</v>
      </c>
      <c r="CR298">
        <f t="shared" si="239"/>
        <v>0</v>
      </c>
      <c r="CS298">
        <f t="shared" si="256"/>
        <v>0</v>
      </c>
      <c r="CT298">
        <f t="shared" si="257"/>
        <v>0</v>
      </c>
      <c r="CU298">
        <f t="shared" si="258"/>
        <v>0</v>
      </c>
      <c r="CV298">
        <f t="shared" si="259"/>
        <v>0</v>
      </c>
      <c r="CW298">
        <f t="shared" si="260"/>
        <v>0</v>
      </c>
      <c r="CX298">
        <f t="shared" si="261"/>
        <v>0</v>
      </c>
      <c r="CY298">
        <f>S298*(BZ298/100)</f>
        <v>0</v>
      </c>
      <c r="CZ298">
        <f>S298*(CA298/100)</f>
        <v>0</v>
      </c>
      <c r="DC298" t="s">
        <v>3</v>
      </c>
      <c r="DD298" t="s">
        <v>3</v>
      </c>
      <c r="DE298" t="s">
        <v>3</v>
      </c>
      <c r="DF298" t="s">
        <v>3</v>
      </c>
      <c r="DG298" t="s">
        <v>3</v>
      </c>
      <c r="DH298" t="s">
        <v>3</v>
      </c>
      <c r="DI298" t="s">
        <v>3</v>
      </c>
      <c r="DJ298" t="s">
        <v>3</v>
      </c>
      <c r="DK298" t="s">
        <v>3</v>
      </c>
      <c r="DL298" t="s">
        <v>3</v>
      </c>
      <c r="DM298" t="s">
        <v>3</v>
      </c>
      <c r="DN298">
        <v>100</v>
      </c>
      <c r="DO298">
        <v>64</v>
      </c>
      <c r="DP298">
        <v>1</v>
      </c>
      <c r="DQ298">
        <v>1</v>
      </c>
      <c r="DU298">
        <v>1009</v>
      </c>
      <c r="DV298" t="s">
        <v>114</v>
      </c>
      <c r="DW298" t="s">
        <v>114</v>
      </c>
      <c r="DX298">
        <v>1000</v>
      </c>
      <c r="DZ298" t="s">
        <v>3</v>
      </c>
      <c r="EA298" t="s">
        <v>3</v>
      </c>
      <c r="EB298" t="s">
        <v>3</v>
      </c>
      <c r="EC298" t="s">
        <v>3</v>
      </c>
      <c r="EE298">
        <v>126051939</v>
      </c>
      <c r="EF298">
        <v>60</v>
      </c>
      <c r="EG298" t="s">
        <v>150</v>
      </c>
      <c r="EH298">
        <v>0</v>
      </c>
      <c r="EI298" t="s">
        <v>3</v>
      </c>
      <c r="EJ298">
        <v>1</v>
      </c>
      <c r="EK298">
        <v>478</v>
      </c>
      <c r="EL298" t="s">
        <v>378</v>
      </c>
      <c r="EM298" t="s">
        <v>379</v>
      </c>
      <c r="EO298" t="s">
        <v>3</v>
      </c>
      <c r="EQ298">
        <v>0</v>
      </c>
      <c r="ER298">
        <v>2278.84</v>
      </c>
      <c r="ES298">
        <v>2278.84</v>
      </c>
      <c r="ET298">
        <v>0</v>
      </c>
      <c r="EU298">
        <v>0</v>
      </c>
      <c r="EV298">
        <v>0</v>
      </c>
      <c r="EW298">
        <v>0</v>
      </c>
      <c r="EX298">
        <v>0</v>
      </c>
      <c r="FQ298">
        <v>0</v>
      </c>
      <c r="FR298">
        <f t="shared" si="262"/>
        <v>0</v>
      </c>
      <c r="FS298">
        <v>0</v>
      </c>
      <c r="FX298">
        <v>100</v>
      </c>
      <c r="FY298">
        <v>64</v>
      </c>
      <c r="GA298" t="s">
        <v>3</v>
      </c>
      <c r="GD298">
        <v>0</v>
      </c>
      <c r="GF298">
        <v>1793685401</v>
      </c>
      <c r="GG298">
        <v>2</v>
      </c>
      <c r="GH298">
        <v>1</v>
      </c>
      <c r="GI298">
        <v>2</v>
      </c>
      <c r="GJ298">
        <v>0</v>
      </c>
      <c r="GK298">
        <f>ROUND(R298*(S12)/100,2)</f>
        <v>0</v>
      </c>
      <c r="GL298">
        <f t="shared" si="263"/>
        <v>0</v>
      </c>
      <c r="GM298">
        <f t="shared" si="264"/>
        <v>8.65</v>
      </c>
      <c r="GN298">
        <f t="shared" si="265"/>
        <v>8.65</v>
      </c>
      <c r="GO298">
        <f t="shared" si="266"/>
        <v>0</v>
      </c>
      <c r="GP298">
        <f t="shared" si="267"/>
        <v>0</v>
      </c>
      <c r="GR298">
        <v>0</v>
      </c>
      <c r="GS298">
        <v>3</v>
      </c>
      <c r="GT298">
        <v>0</v>
      </c>
      <c r="GU298" t="s">
        <v>3</v>
      </c>
      <c r="GV298">
        <f t="shared" si="268"/>
        <v>0</v>
      </c>
      <c r="GW298">
        <v>1</v>
      </c>
      <c r="GX298">
        <f t="shared" si="269"/>
        <v>0</v>
      </c>
      <c r="HA298">
        <v>0</v>
      </c>
      <c r="HB298">
        <v>0</v>
      </c>
      <c r="HC298">
        <f t="shared" si="270"/>
        <v>0</v>
      </c>
      <c r="HE298" t="s">
        <v>3</v>
      </c>
      <c r="HF298" t="s">
        <v>3</v>
      </c>
      <c r="HM298" t="s">
        <v>3</v>
      </c>
      <c r="HN298" t="s">
        <v>3</v>
      </c>
      <c r="HO298" t="s">
        <v>3</v>
      </c>
      <c r="HP298" t="s">
        <v>3</v>
      </c>
      <c r="HQ298" t="s">
        <v>3</v>
      </c>
      <c r="IK298">
        <v>0</v>
      </c>
    </row>
    <row r="299" spans="1:255" x14ac:dyDescent="0.2">
      <c r="A299" s="2">
        <v>18</v>
      </c>
      <c r="B299" s="2">
        <v>1</v>
      </c>
      <c r="C299" s="2">
        <v>299</v>
      </c>
      <c r="D299" s="2"/>
      <c r="E299" s="2" t="s">
        <v>381</v>
      </c>
      <c r="F299" s="2" t="s">
        <v>382</v>
      </c>
      <c r="G299" s="2" t="s">
        <v>383</v>
      </c>
      <c r="H299" s="2" t="s">
        <v>114</v>
      </c>
      <c r="I299" s="2">
        <f>I295*J299</f>
        <v>4.4889999999999999E-3</v>
      </c>
      <c r="J299" s="2">
        <v>6.699999999999999E-2</v>
      </c>
      <c r="K299" s="2">
        <v>6.7000000000000004E-2</v>
      </c>
      <c r="L299" s="2"/>
      <c r="M299" s="2"/>
      <c r="N299" s="2"/>
      <c r="O299" s="2">
        <f t="shared" si="240"/>
        <v>101.69</v>
      </c>
      <c r="P299" s="2">
        <f t="shared" si="241"/>
        <v>101.69</v>
      </c>
      <c r="Q299" s="2">
        <f t="shared" si="233"/>
        <v>0</v>
      </c>
      <c r="R299" s="2">
        <f t="shared" si="242"/>
        <v>0</v>
      </c>
      <c r="S299" s="2">
        <f t="shared" si="243"/>
        <v>0</v>
      </c>
      <c r="T299" s="2">
        <f t="shared" si="244"/>
        <v>0</v>
      </c>
      <c r="U299" s="2">
        <f t="shared" si="245"/>
        <v>0</v>
      </c>
      <c r="V299" s="2">
        <f t="shared" si="246"/>
        <v>0</v>
      </c>
      <c r="W299" s="2">
        <f t="shared" si="247"/>
        <v>0</v>
      </c>
      <c r="X299" s="2">
        <f t="shared" si="248"/>
        <v>0</v>
      </c>
      <c r="Y299" s="2">
        <f t="shared" si="249"/>
        <v>0</v>
      </c>
      <c r="Z299" s="2"/>
      <c r="AA299" s="2">
        <v>129761636</v>
      </c>
      <c r="AB299" s="2">
        <f t="shared" si="250"/>
        <v>22652.13</v>
      </c>
      <c r="AC299" s="2">
        <f t="shared" si="251"/>
        <v>22652.13</v>
      </c>
      <c r="AD299" s="2">
        <f t="shared" si="234"/>
        <v>0</v>
      </c>
      <c r="AE299" s="2">
        <f t="shared" si="235"/>
        <v>0</v>
      </c>
      <c r="AF299" s="2">
        <f t="shared" si="236"/>
        <v>0</v>
      </c>
      <c r="AG299" s="2">
        <f t="shared" si="252"/>
        <v>0</v>
      </c>
      <c r="AH299" s="2">
        <f t="shared" si="237"/>
        <v>0</v>
      </c>
      <c r="AI299" s="2">
        <f t="shared" si="238"/>
        <v>0</v>
      </c>
      <c r="AJ299" s="2">
        <f t="shared" si="253"/>
        <v>0</v>
      </c>
      <c r="AK299" s="2">
        <v>22652.13</v>
      </c>
      <c r="AL299" s="2">
        <v>22652.13</v>
      </c>
      <c r="AM299" s="2">
        <v>0</v>
      </c>
      <c r="AN299" s="2">
        <v>0</v>
      </c>
      <c r="AO299" s="2">
        <v>0</v>
      </c>
      <c r="AP299" s="2">
        <v>0</v>
      </c>
      <c r="AQ299" s="2">
        <v>0</v>
      </c>
      <c r="AR299" s="2">
        <v>0</v>
      </c>
      <c r="AS299" s="2">
        <v>0</v>
      </c>
      <c r="AT299" s="2">
        <v>100</v>
      </c>
      <c r="AU299" s="2">
        <v>64</v>
      </c>
      <c r="AV299" s="2">
        <v>1</v>
      </c>
      <c r="AW299" s="2">
        <v>1</v>
      </c>
      <c r="AX299" s="2"/>
      <c r="AY299" s="2"/>
      <c r="AZ299" s="2">
        <v>1</v>
      </c>
      <c r="BA299" s="2">
        <v>1</v>
      </c>
      <c r="BB299" s="2">
        <v>1</v>
      </c>
      <c r="BC299" s="2">
        <v>1</v>
      </c>
      <c r="BD299" s="2" t="s">
        <v>3</v>
      </c>
      <c r="BE299" s="2" t="s">
        <v>3</v>
      </c>
      <c r="BF299" s="2" t="s">
        <v>3</v>
      </c>
      <c r="BG299" s="2" t="s">
        <v>3</v>
      </c>
      <c r="BH299" s="2">
        <v>3</v>
      </c>
      <c r="BI299" s="2">
        <v>1</v>
      </c>
      <c r="BJ299" s="2" t="s">
        <v>384</v>
      </c>
      <c r="BK299" s="2"/>
      <c r="BL299" s="2"/>
      <c r="BM299" s="2">
        <v>478</v>
      </c>
      <c r="BN299" s="2">
        <v>0</v>
      </c>
      <c r="BO299" s="2" t="s">
        <v>3</v>
      </c>
      <c r="BP299" s="2">
        <v>0</v>
      </c>
      <c r="BQ299" s="2">
        <v>60</v>
      </c>
      <c r="BR299" s="2">
        <v>0</v>
      </c>
      <c r="BS299" s="2">
        <v>1</v>
      </c>
      <c r="BT299" s="2">
        <v>1</v>
      </c>
      <c r="BU299" s="2">
        <v>1</v>
      </c>
      <c r="BV299" s="2">
        <v>1</v>
      </c>
      <c r="BW299" s="2">
        <v>1</v>
      </c>
      <c r="BX299" s="2">
        <v>1</v>
      </c>
      <c r="BY299" s="2" t="s">
        <v>3</v>
      </c>
      <c r="BZ299" s="2">
        <v>100</v>
      </c>
      <c r="CA299" s="2">
        <v>64</v>
      </c>
      <c r="CB299" s="2" t="s">
        <v>3</v>
      </c>
      <c r="CC299" s="2"/>
      <c r="CD299" s="2"/>
      <c r="CE299" s="2">
        <v>30</v>
      </c>
      <c r="CF299" s="2">
        <v>0</v>
      </c>
      <c r="CG299" s="2">
        <v>0</v>
      </c>
      <c r="CH299" s="2"/>
      <c r="CI299" s="2"/>
      <c r="CJ299" s="2"/>
      <c r="CK299" s="2"/>
      <c r="CL299" s="2"/>
      <c r="CM299" s="2">
        <v>0</v>
      </c>
      <c r="CN299" s="2" t="s">
        <v>3</v>
      </c>
      <c r="CO299" s="2">
        <v>0</v>
      </c>
      <c r="CP299" s="2">
        <f t="shared" si="254"/>
        <v>101.69</v>
      </c>
      <c r="CQ299" s="2">
        <f t="shared" si="255"/>
        <v>22652.13</v>
      </c>
      <c r="CR299" s="2">
        <f t="shared" si="239"/>
        <v>0</v>
      </c>
      <c r="CS299" s="2">
        <f t="shared" si="256"/>
        <v>0</v>
      </c>
      <c r="CT299" s="2">
        <f t="shared" si="257"/>
        <v>0</v>
      </c>
      <c r="CU299" s="2">
        <f t="shared" si="258"/>
        <v>0</v>
      </c>
      <c r="CV299" s="2">
        <f t="shared" si="259"/>
        <v>0</v>
      </c>
      <c r="CW299" s="2">
        <f t="shared" si="260"/>
        <v>0</v>
      </c>
      <c r="CX299" s="2">
        <f t="shared" si="261"/>
        <v>0</v>
      </c>
      <c r="CY299" s="2">
        <f>((S299*BZ299)/100)</f>
        <v>0</v>
      </c>
      <c r="CZ299" s="2">
        <f>((S299*CA299)/100)</f>
        <v>0</v>
      </c>
      <c r="DA299" s="2"/>
      <c r="DB299" s="2"/>
      <c r="DC299" s="2" t="s">
        <v>3</v>
      </c>
      <c r="DD299" s="2" t="s">
        <v>3</v>
      </c>
      <c r="DE299" s="2" t="s">
        <v>3</v>
      </c>
      <c r="DF299" s="2" t="s">
        <v>3</v>
      </c>
      <c r="DG299" s="2" t="s">
        <v>3</v>
      </c>
      <c r="DH299" s="2" t="s">
        <v>3</v>
      </c>
      <c r="DI299" s="2" t="s">
        <v>3</v>
      </c>
      <c r="DJ299" s="2" t="s">
        <v>3</v>
      </c>
      <c r="DK299" s="2" t="s">
        <v>3</v>
      </c>
      <c r="DL299" s="2" t="s">
        <v>3</v>
      </c>
      <c r="DM299" s="2" t="s">
        <v>3</v>
      </c>
      <c r="DN299" s="2">
        <v>0</v>
      </c>
      <c r="DO299" s="2">
        <v>0</v>
      </c>
      <c r="DP299" s="2">
        <v>1</v>
      </c>
      <c r="DQ299" s="2">
        <v>1</v>
      </c>
      <c r="DR299" s="2"/>
      <c r="DS299" s="2"/>
      <c r="DT299" s="2"/>
      <c r="DU299" s="2">
        <v>1009</v>
      </c>
      <c r="DV299" s="2" t="s">
        <v>114</v>
      </c>
      <c r="DW299" s="2" t="s">
        <v>114</v>
      </c>
      <c r="DX299" s="2">
        <v>1000</v>
      </c>
      <c r="DY299" s="2"/>
      <c r="DZ299" s="2" t="s">
        <v>3</v>
      </c>
      <c r="EA299" s="2" t="s">
        <v>3</v>
      </c>
      <c r="EB299" s="2" t="s">
        <v>3</v>
      </c>
      <c r="EC299" s="2" t="s">
        <v>3</v>
      </c>
      <c r="ED299" s="2"/>
      <c r="EE299" s="2">
        <v>126051939</v>
      </c>
      <c r="EF299" s="2">
        <v>60</v>
      </c>
      <c r="EG299" s="2" t="s">
        <v>150</v>
      </c>
      <c r="EH299" s="2">
        <v>0</v>
      </c>
      <c r="EI299" s="2" t="s">
        <v>3</v>
      </c>
      <c r="EJ299" s="2">
        <v>1</v>
      </c>
      <c r="EK299" s="2">
        <v>478</v>
      </c>
      <c r="EL299" s="2" t="s">
        <v>378</v>
      </c>
      <c r="EM299" s="2" t="s">
        <v>379</v>
      </c>
      <c r="EN299" s="2"/>
      <c r="EO299" s="2" t="s">
        <v>3</v>
      </c>
      <c r="EP299" s="2"/>
      <c r="EQ299" s="2">
        <v>0</v>
      </c>
      <c r="ER299" s="2">
        <v>22652.13</v>
      </c>
      <c r="ES299" s="2">
        <v>22652.13</v>
      </c>
      <c r="ET299" s="2">
        <v>0</v>
      </c>
      <c r="EU299" s="2">
        <v>0</v>
      </c>
      <c r="EV299" s="2">
        <v>0</v>
      </c>
      <c r="EW299" s="2">
        <v>0</v>
      </c>
      <c r="EX299" s="2">
        <v>0</v>
      </c>
      <c r="EY299" s="2"/>
      <c r="EZ299" s="2"/>
      <c r="FA299" s="2"/>
      <c r="FB299" s="2"/>
      <c r="FC299" s="2"/>
      <c r="FD299" s="2"/>
      <c r="FE299" s="2"/>
      <c r="FF299" s="2"/>
      <c r="FG299" s="2"/>
      <c r="FH299" s="2"/>
      <c r="FI299" s="2"/>
      <c r="FJ299" s="2"/>
      <c r="FK299" s="2"/>
      <c r="FL299" s="2"/>
      <c r="FM299" s="2"/>
      <c r="FN299" s="2"/>
      <c r="FO299" s="2"/>
      <c r="FP299" s="2"/>
      <c r="FQ299" s="2">
        <v>0</v>
      </c>
      <c r="FR299" s="2">
        <f t="shared" si="262"/>
        <v>0</v>
      </c>
      <c r="FS299" s="2">
        <v>0</v>
      </c>
      <c r="FT299" s="2"/>
      <c r="FU299" s="2"/>
      <c r="FV299" s="2"/>
      <c r="FW299" s="2"/>
      <c r="FX299" s="2">
        <v>100</v>
      </c>
      <c r="FY299" s="2">
        <v>64</v>
      </c>
      <c r="FZ299" s="2"/>
      <c r="GA299" s="2" t="s">
        <v>3</v>
      </c>
      <c r="GB299" s="2"/>
      <c r="GC299" s="2"/>
      <c r="GD299" s="2">
        <v>0</v>
      </c>
      <c r="GE299" s="2"/>
      <c r="GF299" s="2">
        <v>-908598485</v>
      </c>
      <c r="GG299" s="2">
        <v>2</v>
      </c>
      <c r="GH299" s="2">
        <v>1</v>
      </c>
      <c r="GI299" s="2">
        <v>-2</v>
      </c>
      <c r="GJ299" s="2">
        <v>0</v>
      </c>
      <c r="GK299" s="2">
        <f>ROUND(R299*(R12)/100,2)</f>
        <v>0</v>
      </c>
      <c r="GL299" s="2">
        <f t="shared" si="263"/>
        <v>0</v>
      </c>
      <c r="GM299" s="2">
        <f t="shared" si="264"/>
        <v>101.69</v>
      </c>
      <c r="GN299" s="2">
        <f t="shared" si="265"/>
        <v>101.69</v>
      </c>
      <c r="GO299" s="2">
        <f t="shared" si="266"/>
        <v>0</v>
      </c>
      <c r="GP299" s="2">
        <f t="shared" si="267"/>
        <v>0</v>
      </c>
      <c r="GQ299" s="2"/>
      <c r="GR299" s="2">
        <v>0</v>
      </c>
      <c r="GS299" s="2">
        <v>0</v>
      </c>
      <c r="GT299" s="2">
        <v>0</v>
      </c>
      <c r="GU299" s="2" t="s">
        <v>3</v>
      </c>
      <c r="GV299" s="2">
        <f t="shared" si="268"/>
        <v>0</v>
      </c>
      <c r="GW299" s="2">
        <v>1</v>
      </c>
      <c r="GX299" s="2">
        <f t="shared" si="269"/>
        <v>0</v>
      </c>
      <c r="GY299" s="2"/>
      <c r="GZ299" s="2"/>
      <c r="HA299" s="2">
        <v>0</v>
      </c>
      <c r="HB299" s="2">
        <v>0</v>
      </c>
      <c r="HC299" s="2">
        <f t="shared" si="270"/>
        <v>0</v>
      </c>
      <c r="HD299" s="2"/>
      <c r="HE299" s="2" t="s">
        <v>3</v>
      </c>
      <c r="HF299" s="2" t="s">
        <v>3</v>
      </c>
      <c r="HG299" s="2"/>
      <c r="HH299" s="2"/>
      <c r="HI299" s="2"/>
      <c r="HJ299" s="2"/>
      <c r="HK299" s="2"/>
      <c r="HL299" s="2"/>
      <c r="HM299" s="2" t="s">
        <v>3</v>
      </c>
      <c r="HN299" s="2" t="s">
        <v>3</v>
      </c>
      <c r="HO299" s="2" t="s">
        <v>3</v>
      </c>
      <c r="HP299" s="2" t="s">
        <v>3</v>
      </c>
      <c r="HQ299" s="2" t="s">
        <v>3</v>
      </c>
      <c r="HR299" s="2"/>
      <c r="HS299" s="2"/>
      <c r="HT299" s="2"/>
      <c r="HU299" s="2"/>
      <c r="HV299" s="2"/>
      <c r="HW299" s="2"/>
      <c r="HX299" s="2"/>
      <c r="HY299" s="2"/>
      <c r="HZ299" s="2"/>
      <c r="IA299" s="2"/>
      <c r="IB299" s="2"/>
      <c r="IC299" s="2"/>
      <c r="ID299" s="2"/>
      <c r="IE299" s="2"/>
      <c r="IF299" s="2"/>
      <c r="IG299" s="2"/>
      <c r="IH299" s="2"/>
      <c r="II299" s="2"/>
      <c r="IJ299" s="2"/>
      <c r="IK299" s="2">
        <v>0</v>
      </c>
      <c r="IL299" s="2"/>
      <c r="IM299" s="2"/>
      <c r="IN299" s="2"/>
      <c r="IO299" s="2"/>
      <c r="IP299" s="2"/>
      <c r="IQ299" s="2"/>
      <c r="IR299" s="2"/>
      <c r="IS299" s="2"/>
      <c r="IT299" s="2"/>
      <c r="IU299" s="2"/>
    </row>
    <row r="300" spans="1:255" x14ac:dyDescent="0.2">
      <c r="A300">
        <v>18</v>
      </c>
      <c r="B300">
        <v>1</v>
      </c>
      <c r="C300">
        <v>308</v>
      </c>
      <c r="E300" t="s">
        <v>381</v>
      </c>
      <c r="F300" t="s">
        <v>382</v>
      </c>
      <c r="G300" t="s">
        <v>383</v>
      </c>
      <c r="H300" t="s">
        <v>114</v>
      </c>
      <c r="I300">
        <f>I296*J300</f>
        <v>4.4889999999999999E-3</v>
      </c>
      <c r="J300">
        <v>6.699999999999999E-2</v>
      </c>
      <c r="K300">
        <v>6.7000000000000004E-2</v>
      </c>
      <c r="O300">
        <f t="shared" si="240"/>
        <v>209.48</v>
      </c>
      <c r="P300">
        <f t="shared" si="241"/>
        <v>209.48</v>
      </c>
      <c r="Q300">
        <f t="shared" si="233"/>
        <v>0</v>
      </c>
      <c r="R300">
        <f t="shared" si="242"/>
        <v>0</v>
      </c>
      <c r="S300">
        <f t="shared" si="243"/>
        <v>0</v>
      </c>
      <c r="T300">
        <f t="shared" si="244"/>
        <v>0</v>
      </c>
      <c r="U300">
        <f t="shared" si="245"/>
        <v>0</v>
      </c>
      <c r="V300">
        <f t="shared" si="246"/>
        <v>0</v>
      </c>
      <c r="W300">
        <f t="shared" si="247"/>
        <v>0</v>
      </c>
      <c r="X300">
        <f t="shared" si="248"/>
        <v>0</v>
      </c>
      <c r="Y300">
        <f t="shared" si="249"/>
        <v>0</v>
      </c>
      <c r="AA300">
        <v>129761633</v>
      </c>
      <c r="AB300">
        <f t="shared" si="250"/>
        <v>22652.13</v>
      </c>
      <c r="AC300">
        <f t="shared" si="251"/>
        <v>22652.13</v>
      </c>
      <c r="AD300">
        <f t="shared" si="234"/>
        <v>0</v>
      </c>
      <c r="AE300">
        <f t="shared" si="235"/>
        <v>0</v>
      </c>
      <c r="AF300">
        <f t="shared" si="236"/>
        <v>0</v>
      </c>
      <c r="AG300">
        <f t="shared" si="252"/>
        <v>0</v>
      </c>
      <c r="AH300">
        <f t="shared" si="237"/>
        <v>0</v>
      </c>
      <c r="AI300">
        <f t="shared" si="238"/>
        <v>0</v>
      </c>
      <c r="AJ300">
        <f t="shared" si="253"/>
        <v>0</v>
      </c>
      <c r="AK300">
        <v>22652.13</v>
      </c>
      <c r="AL300">
        <v>22652.13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1</v>
      </c>
      <c r="AW300">
        <v>1</v>
      </c>
      <c r="AZ300">
        <v>1</v>
      </c>
      <c r="BA300">
        <v>1</v>
      </c>
      <c r="BB300">
        <v>1</v>
      </c>
      <c r="BC300">
        <v>2.06</v>
      </c>
      <c r="BD300" t="s">
        <v>3</v>
      </c>
      <c r="BE300" t="s">
        <v>3</v>
      </c>
      <c r="BF300" t="s">
        <v>3</v>
      </c>
      <c r="BG300" t="s">
        <v>3</v>
      </c>
      <c r="BH300">
        <v>3</v>
      </c>
      <c r="BI300">
        <v>1</v>
      </c>
      <c r="BJ300" t="s">
        <v>384</v>
      </c>
      <c r="BM300">
        <v>478</v>
      </c>
      <c r="BN300">
        <v>0</v>
      </c>
      <c r="BO300" t="s">
        <v>382</v>
      </c>
      <c r="BP300">
        <v>1</v>
      </c>
      <c r="BQ300">
        <v>60</v>
      </c>
      <c r="BR300">
        <v>0</v>
      </c>
      <c r="BS300">
        <v>1</v>
      </c>
      <c r="BT300">
        <v>1</v>
      </c>
      <c r="BU300">
        <v>1</v>
      </c>
      <c r="BV300">
        <v>1</v>
      </c>
      <c r="BW300">
        <v>1</v>
      </c>
      <c r="BX300">
        <v>1</v>
      </c>
      <c r="BY300" t="s">
        <v>3</v>
      </c>
      <c r="BZ300">
        <v>0</v>
      </c>
      <c r="CA300">
        <v>0</v>
      </c>
      <c r="CB300" t="s">
        <v>3</v>
      </c>
      <c r="CE300">
        <v>30</v>
      </c>
      <c r="CF300">
        <v>0</v>
      </c>
      <c r="CG300">
        <v>0</v>
      </c>
      <c r="CM300">
        <v>0</v>
      </c>
      <c r="CN300" t="s">
        <v>3</v>
      </c>
      <c r="CO300">
        <v>0</v>
      </c>
      <c r="CP300">
        <f t="shared" si="254"/>
        <v>209.48</v>
      </c>
      <c r="CQ300">
        <f t="shared" si="255"/>
        <v>46663.39</v>
      </c>
      <c r="CR300">
        <f t="shared" si="239"/>
        <v>0</v>
      </c>
      <c r="CS300">
        <f t="shared" si="256"/>
        <v>0</v>
      </c>
      <c r="CT300">
        <f t="shared" si="257"/>
        <v>0</v>
      </c>
      <c r="CU300">
        <f t="shared" si="258"/>
        <v>0</v>
      </c>
      <c r="CV300">
        <f t="shared" si="259"/>
        <v>0</v>
      </c>
      <c r="CW300">
        <f t="shared" si="260"/>
        <v>0</v>
      </c>
      <c r="CX300">
        <f t="shared" si="261"/>
        <v>0</v>
      </c>
      <c r="CY300">
        <f>S300*(BZ300/100)</f>
        <v>0</v>
      </c>
      <c r="CZ300">
        <f>S300*(CA300/100)</f>
        <v>0</v>
      </c>
      <c r="DC300" t="s">
        <v>3</v>
      </c>
      <c r="DD300" t="s">
        <v>3</v>
      </c>
      <c r="DE300" t="s">
        <v>3</v>
      </c>
      <c r="DF300" t="s">
        <v>3</v>
      </c>
      <c r="DG300" t="s">
        <v>3</v>
      </c>
      <c r="DH300" t="s">
        <v>3</v>
      </c>
      <c r="DI300" t="s">
        <v>3</v>
      </c>
      <c r="DJ300" t="s">
        <v>3</v>
      </c>
      <c r="DK300" t="s">
        <v>3</v>
      </c>
      <c r="DL300" t="s">
        <v>3</v>
      </c>
      <c r="DM300" t="s">
        <v>3</v>
      </c>
      <c r="DN300">
        <v>100</v>
      </c>
      <c r="DO300">
        <v>64</v>
      </c>
      <c r="DP300">
        <v>1</v>
      </c>
      <c r="DQ300">
        <v>1</v>
      </c>
      <c r="DU300">
        <v>1009</v>
      </c>
      <c r="DV300" t="s">
        <v>114</v>
      </c>
      <c r="DW300" t="s">
        <v>114</v>
      </c>
      <c r="DX300">
        <v>1000</v>
      </c>
      <c r="DZ300" t="s">
        <v>3</v>
      </c>
      <c r="EA300" t="s">
        <v>3</v>
      </c>
      <c r="EB300" t="s">
        <v>3</v>
      </c>
      <c r="EC300" t="s">
        <v>3</v>
      </c>
      <c r="EE300">
        <v>126051939</v>
      </c>
      <c r="EF300">
        <v>60</v>
      </c>
      <c r="EG300" t="s">
        <v>150</v>
      </c>
      <c r="EH300">
        <v>0</v>
      </c>
      <c r="EI300" t="s">
        <v>3</v>
      </c>
      <c r="EJ300">
        <v>1</v>
      </c>
      <c r="EK300">
        <v>478</v>
      </c>
      <c r="EL300" t="s">
        <v>378</v>
      </c>
      <c r="EM300" t="s">
        <v>379</v>
      </c>
      <c r="EO300" t="s">
        <v>3</v>
      </c>
      <c r="EQ300">
        <v>0</v>
      </c>
      <c r="ER300">
        <v>22652.13</v>
      </c>
      <c r="ES300">
        <v>22652.13</v>
      </c>
      <c r="ET300">
        <v>0</v>
      </c>
      <c r="EU300">
        <v>0</v>
      </c>
      <c r="EV300">
        <v>0</v>
      </c>
      <c r="EW300">
        <v>0</v>
      </c>
      <c r="EX300">
        <v>0</v>
      </c>
      <c r="FQ300">
        <v>0</v>
      </c>
      <c r="FR300">
        <f t="shared" si="262"/>
        <v>0</v>
      </c>
      <c r="FS300">
        <v>0</v>
      </c>
      <c r="FX300">
        <v>100</v>
      </c>
      <c r="FY300">
        <v>64</v>
      </c>
      <c r="GA300" t="s">
        <v>3</v>
      </c>
      <c r="GD300">
        <v>0</v>
      </c>
      <c r="GF300">
        <v>-908598485</v>
      </c>
      <c r="GG300">
        <v>2</v>
      </c>
      <c r="GH300">
        <v>1</v>
      </c>
      <c r="GI300">
        <v>2</v>
      </c>
      <c r="GJ300">
        <v>0</v>
      </c>
      <c r="GK300">
        <f>ROUND(R300*(S12)/100,2)</f>
        <v>0</v>
      </c>
      <c r="GL300">
        <f t="shared" si="263"/>
        <v>0</v>
      </c>
      <c r="GM300">
        <f t="shared" si="264"/>
        <v>209.48</v>
      </c>
      <c r="GN300">
        <f t="shared" si="265"/>
        <v>209.48</v>
      </c>
      <c r="GO300">
        <f t="shared" si="266"/>
        <v>0</v>
      </c>
      <c r="GP300">
        <f t="shared" si="267"/>
        <v>0</v>
      </c>
      <c r="GR300">
        <v>0</v>
      </c>
      <c r="GS300">
        <v>3</v>
      </c>
      <c r="GT300">
        <v>0</v>
      </c>
      <c r="GU300" t="s">
        <v>3</v>
      </c>
      <c r="GV300">
        <f t="shared" si="268"/>
        <v>0</v>
      </c>
      <c r="GW300">
        <v>1</v>
      </c>
      <c r="GX300">
        <f t="shared" si="269"/>
        <v>0</v>
      </c>
      <c r="HA300">
        <v>0</v>
      </c>
      <c r="HB300">
        <v>0</v>
      </c>
      <c r="HC300">
        <f t="shared" si="270"/>
        <v>0</v>
      </c>
      <c r="HE300" t="s">
        <v>3</v>
      </c>
      <c r="HF300" t="s">
        <v>3</v>
      </c>
      <c r="HM300" t="s">
        <v>3</v>
      </c>
      <c r="HN300" t="s">
        <v>3</v>
      </c>
      <c r="HO300" t="s">
        <v>3</v>
      </c>
      <c r="HP300" t="s">
        <v>3</v>
      </c>
      <c r="HQ300" t="s">
        <v>3</v>
      </c>
      <c r="IK300">
        <v>0</v>
      </c>
    </row>
    <row r="301" spans="1:255" x14ac:dyDescent="0.2">
      <c r="A301" s="2">
        <v>17</v>
      </c>
      <c r="B301" s="2">
        <v>1</v>
      </c>
      <c r="C301" s="2">
        <f>ROW(SmtRes!A316)</f>
        <v>316</v>
      </c>
      <c r="D301" s="2">
        <f>ROW(EtalonRes!A322)</f>
        <v>322</v>
      </c>
      <c r="E301" s="2" t="s">
        <v>385</v>
      </c>
      <c r="F301" s="2" t="s">
        <v>386</v>
      </c>
      <c r="G301" s="2" t="s">
        <v>387</v>
      </c>
      <c r="H301" s="2" t="s">
        <v>148</v>
      </c>
      <c r="I301" s="2">
        <v>0.8</v>
      </c>
      <c r="J301" s="2">
        <v>0</v>
      </c>
      <c r="K301" s="2">
        <v>0.8</v>
      </c>
      <c r="L301" s="2"/>
      <c r="M301" s="2"/>
      <c r="N301" s="2"/>
      <c r="O301" s="2">
        <f t="shared" si="240"/>
        <v>1987.97</v>
      </c>
      <c r="P301" s="2">
        <f t="shared" si="241"/>
        <v>41.46</v>
      </c>
      <c r="Q301" s="2">
        <f>(ROUND((ROUND((((ET301*1.25))*AV301*I301),2)*BB301),2)+ROUND((ROUND(((AE301-((EU301*1.25)))*AV301*I301),2)*BS301),2))</f>
        <v>19.66</v>
      </c>
      <c r="R301" s="2">
        <f t="shared" si="242"/>
        <v>3.93</v>
      </c>
      <c r="S301" s="2">
        <f t="shared" si="243"/>
        <v>1926.85</v>
      </c>
      <c r="T301" s="2">
        <f t="shared" si="244"/>
        <v>0</v>
      </c>
      <c r="U301" s="2">
        <f t="shared" si="245"/>
        <v>161.91999999999999</v>
      </c>
      <c r="V301" s="2">
        <f t="shared" si="246"/>
        <v>0</v>
      </c>
      <c r="W301" s="2">
        <f t="shared" si="247"/>
        <v>0</v>
      </c>
      <c r="X301" s="2">
        <f t="shared" si="248"/>
        <v>1926.85</v>
      </c>
      <c r="Y301" s="2">
        <f t="shared" si="249"/>
        <v>1233.18</v>
      </c>
      <c r="Z301" s="2"/>
      <c r="AA301" s="2">
        <v>129761636</v>
      </c>
      <c r="AB301" s="2">
        <f t="shared" si="250"/>
        <v>2484.9549999999999</v>
      </c>
      <c r="AC301" s="2">
        <f t="shared" si="251"/>
        <v>51.82</v>
      </c>
      <c r="AD301" s="2">
        <f>ROUND(((((ET301*1.25))-((EU301*1.25)))+AE301),6)</f>
        <v>24.574999999999999</v>
      </c>
      <c r="AE301" s="2">
        <f>ROUND(((EU301*1.25)),6)</f>
        <v>4.9124999999999996</v>
      </c>
      <c r="AF301" s="2">
        <f>ROUND(((EV301*1.15)),6)</f>
        <v>2408.56</v>
      </c>
      <c r="AG301" s="2">
        <f t="shared" si="252"/>
        <v>0</v>
      </c>
      <c r="AH301" s="2">
        <f>((EW301*1.15))</f>
        <v>202.39999999999998</v>
      </c>
      <c r="AI301" s="2">
        <f>((EX301*1.25))</f>
        <v>0</v>
      </c>
      <c r="AJ301" s="2">
        <f t="shared" si="253"/>
        <v>0</v>
      </c>
      <c r="AK301" s="2">
        <v>2165.88</v>
      </c>
      <c r="AL301" s="2">
        <v>51.82</v>
      </c>
      <c r="AM301" s="2">
        <v>19.66</v>
      </c>
      <c r="AN301" s="2">
        <v>3.93</v>
      </c>
      <c r="AO301" s="2">
        <v>2094.4</v>
      </c>
      <c r="AP301" s="2">
        <v>0</v>
      </c>
      <c r="AQ301" s="2">
        <v>176</v>
      </c>
      <c r="AR301" s="2">
        <v>0</v>
      </c>
      <c r="AS301" s="2">
        <v>0</v>
      </c>
      <c r="AT301" s="2">
        <v>100</v>
      </c>
      <c r="AU301" s="2">
        <v>64</v>
      </c>
      <c r="AV301" s="2">
        <v>1</v>
      </c>
      <c r="AW301" s="2">
        <v>1</v>
      </c>
      <c r="AX301" s="2"/>
      <c r="AY301" s="2"/>
      <c r="AZ301" s="2">
        <v>1</v>
      </c>
      <c r="BA301" s="2">
        <v>1</v>
      </c>
      <c r="BB301" s="2">
        <v>1</v>
      </c>
      <c r="BC301" s="2">
        <v>1</v>
      </c>
      <c r="BD301" s="2" t="s">
        <v>3</v>
      </c>
      <c r="BE301" s="2" t="s">
        <v>3</v>
      </c>
      <c r="BF301" s="2" t="s">
        <v>3</v>
      </c>
      <c r="BG301" s="2" t="s">
        <v>3</v>
      </c>
      <c r="BH301" s="2">
        <v>0</v>
      </c>
      <c r="BI301" s="2">
        <v>1</v>
      </c>
      <c r="BJ301" s="2" t="s">
        <v>388</v>
      </c>
      <c r="BK301" s="2"/>
      <c r="BL301" s="2"/>
      <c r="BM301" s="2">
        <v>113</v>
      </c>
      <c r="BN301" s="2">
        <v>0</v>
      </c>
      <c r="BO301" s="2" t="s">
        <v>3</v>
      </c>
      <c r="BP301" s="2">
        <v>0</v>
      </c>
      <c r="BQ301" s="2">
        <v>30</v>
      </c>
      <c r="BR301" s="2">
        <v>0</v>
      </c>
      <c r="BS301" s="2">
        <v>1</v>
      </c>
      <c r="BT301" s="2">
        <v>1</v>
      </c>
      <c r="BU301" s="2">
        <v>1</v>
      </c>
      <c r="BV301" s="2">
        <v>1</v>
      </c>
      <c r="BW301" s="2">
        <v>1</v>
      </c>
      <c r="BX301" s="2">
        <v>1</v>
      </c>
      <c r="BY301" s="2" t="s">
        <v>3</v>
      </c>
      <c r="BZ301" s="2">
        <v>100</v>
      </c>
      <c r="CA301" s="2">
        <v>64</v>
      </c>
      <c r="CB301" s="2" t="s">
        <v>3</v>
      </c>
      <c r="CC301" s="2"/>
      <c r="CD301" s="2"/>
      <c r="CE301" s="2">
        <v>30</v>
      </c>
      <c r="CF301" s="2">
        <v>0</v>
      </c>
      <c r="CG301" s="2">
        <v>0</v>
      </c>
      <c r="CH301" s="2"/>
      <c r="CI301" s="2"/>
      <c r="CJ301" s="2"/>
      <c r="CK301" s="2"/>
      <c r="CL301" s="2"/>
      <c r="CM301" s="2">
        <v>0</v>
      </c>
      <c r="CN301" s="2" t="s">
        <v>1559</v>
      </c>
      <c r="CO301" s="2">
        <v>0</v>
      </c>
      <c r="CP301" s="2">
        <f t="shared" si="254"/>
        <v>1987.9699999999998</v>
      </c>
      <c r="CQ301" s="2">
        <f t="shared" si="255"/>
        <v>51.82</v>
      </c>
      <c r="CR301" s="2">
        <f>(ROUND((ROUND((((ET301*1.25))*AV301*1),2)*BB301),2)+ROUND((ROUND(((AE301-((EU301*1.25)))*AV301*1),2)*BS301),2))</f>
        <v>24.58</v>
      </c>
      <c r="CS301" s="2">
        <f t="shared" si="256"/>
        <v>4.91</v>
      </c>
      <c r="CT301" s="2">
        <f t="shared" si="257"/>
        <v>2408.56</v>
      </c>
      <c r="CU301" s="2">
        <f t="shared" si="258"/>
        <v>0</v>
      </c>
      <c r="CV301" s="2">
        <f t="shared" si="259"/>
        <v>202.39999999999998</v>
      </c>
      <c r="CW301" s="2">
        <f t="shared" si="260"/>
        <v>0</v>
      </c>
      <c r="CX301" s="2">
        <f t="shared" si="261"/>
        <v>0</v>
      </c>
      <c r="CY301" s="2">
        <f>((S301*BZ301)/100)</f>
        <v>1926.85</v>
      </c>
      <c r="CZ301" s="2">
        <f>((S301*CA301)/100)</f>
        <v>1233.184</v>
      </c>
      <c r="DA301" s="2"/>
      <c r="DB301" s="2"/>
      <c r="DC301" s="2" t="s">
        <v>3</v>
      </c>
      <c r="DD301" s="2" t="s">
        <v>3</v>
      </c>
      <c r="DE301" s="2" t="s">
        <v>86</v>
      </c>
      <c r="DF301" s="2" t="s">
        <v>86</v>
      </c>
      <c r="DG301" s="2" t="s">
        <v>87</v>
      </c>
      <c r="DH301" s="2" t="s">
        <v>3</v>
      </c>
      <c r="DI301" s="2" t="s">
        <v>87</v>
      </c>
      <c r="DJ301" s="2" t="s">
        <v>86</v>
      </c>
      <c r="DK301" s="2" t="s">
        <v>3</v>
      </c>
      <c r="DL301" s="2" t="s">
        <v>3</v>
      </c>
      <c r="DM301" s="2" t="s">
        <v>3</v>
      </c>
      <c r="DN301" s="2">
        <v>0</v>
      </c>
      <c r="DO301" s="2">
        <v>0</v>
      </c>
      <c r="DP301" s="2">
        <v>1</v>
      </c>
      <c r="DQ301" s="2">
        <v>1</v>
      </c>
      <c r="DR301" s="2"/>
      <c r="DS301" s="2"/>
      <c r="DT301" s="2"/>
      <c r="DU301" s="2">
        <v>1005</v>
      </c>
      <c r="DV301" s="2" t="s">
        <v>148</v>
      </c>
      <c r="DW301" s="2" t="s">
        <v>148</v>
      </c>
      <c r="DX301" s="2">
        <v>100</v>
      </c>
      <c r="DY301" s="2"/>
      <c r="DZ301" s="2" t="s">
        <v>3</v>
      </c>
      <c r="EA301" s="2" t="s">
        <v>3</v>
      </c>
      <c r="EB301" s="2" t="s">
        <v>3</v>
      </c>
      <c r="EC301" s="2" t="s">
        <v>3</v>
      </c>
      <c r="ED301" s="2"/>
      <c r="EE301" s="2">
        <v>126051574</v>
      </c>
      <c r="EF301" s="2">
        <v>30</v>
      </c>
      <c r="EG301" s="2" t="s">
        <v>23</v>
      </c>
      <c r="EH301" s="2">
        <v>0</v>
      </c>
      <c r="EI301" s="2" t="s">
        <v>3</v>
      </c>
      <c r="EJ301" s="2">
        <v>1</v>
      </c>
      <c r="EK301" s="2">
        <v>113</v>
      </c>
      <c r="EL301" s="2" t="s">
        <v>389</v>
      </c>
      <c r="EM301" s="2" t="s">
        <v>390</v>
      </c>
      <c r="EN301" s="2"/>
      <c r="EO301" s="2" t="s">
        <v>90</v>
      </c>
      <c r="EP301" s="2"/>
      <c r="EQ301" s="2">
        <v>131072</v>
      </c>
      <c r="ER301" s="2">
        <v>2165.88</v>
      </c>
      <c r="ES301" s="2">
        <v>51.82</v>
      </c>
      <c r="ET301" s="2">
        <v>19.66</v>
      </c>
      <c r="EU301" s="2">
        <v>3.93</v>
      </c>
      <c r="EV301" s="2">
        <v>2094.4</v>
      </c>
      <c r="EW301" s="2">
        <v>176</v>
      </c>
      <c r="EX301" s="2">
        <v>0</v>
      </c>
      <c r="EY301" s="2">
        <v>0</v>
      </c>
      <c r="EZ301" s="2"/>
      <c r="FA301" s="2"/>
      <c r="FB301" s="2"/>
      <c r="FC301" s="2"/>
      <c r="FD301" s="2"/>
      <c r="FE301" s="2"/>
      <c r="FF301" s="2"/>
      <c r="FG301" s="2"/>
      <c r="FH301" s="2"/>
      <c r="FI301" s="2"/>
      <c r="FJ301" s="2"/>
      <c r="FK301" s="2"/>
      <c r="FL301" s="2"/>
      <c r="FM301" s="2"/>
      <c r="FN301" s="2"/>
      <c r="FO301" s="2"/>
      <c r="FP301" s="2"/>
      <c r="FQ301" s="2">
        <v>0</v>
      </c>
      <c r="FR301" s="2">
        <f t="shared" si="262"/>
        <v>0</v>
      </c>
      <c r="FS301" s="2">
        <v>0</v>
      </c>
      <c r="FT301" s="2"/>
      <c r="FU301" s="2"/>
      <c r="FV301" s="2"/>
      <c r="FW301" s="2"/>
      <c r="FX301" s="2">
        <v>100</v>
      </c>
      <c r="FY301" s="2">
        <v>64</v>
      </c>
      <c r="FZ301" s="2"/>
      <c r="GA301" s="2" t="s">
        <v>3</v>
      </c>
      <c r="GB301" s="2"/>
      <c r="GC301" s="2"/>
      <c r="GD301" s="2">
        <v>0</v>
      </c>
      <c r="GE301" s="2"/>
      <c r="GF301" s="2">
        <v>756687370</v>
      </c>
      <c r="GG301" s="2">
        <v>2</v>
      </c>
      <c r="GH301" s="2">
        <v>1</v>
      </c>
      <c r="GI301" s="2">
        <v>-2</v>
      </c>
      <c r="GJ301" s="2">
        <v>0</v>
      </c>
      <c r="GK301" s="2">
        <f>ROUND(R301*(R12)/100,2)</f>
        <v>6.88</v>
      </c>
      <c r="GL301" s="2">
        <f t="shared" si="263"/>
        <v>0</v>
      </c>
      <c r="GM301" s="2">
        <f t="shared" si="264"/>
        <v>5154.88</v>
      </c>
      <c r="GN301" s="2">
        <f t="shared" si="265"/>
        <v>5154.88</v>
      </c>
      <c r="GO301" s="2">
        <f t="shared" si="266"/>
        <v>0</v>
      </c>
      <c r="GP301" s="2">
        <f t="shared" si="267"/>
        <v>0</v>
      </c>
      <c r="GQ301" s="2"/>
      <c r="GR301" s="2">
        <v>0</v>
      </c>
      <c r="GS301" s="2">
        <v>0</v>
      </c>
      <c r="GT301" s="2">
        <v>0</v>
      </c>
      <c r="GU301" s="2" t="s">
        <v>3</v>
      </c>
      <c r="GV301" s="2">
        <f t="shared" si="268"/>
        <v>0</v>
      </c>
      <c r="GW301" s="2">
        <v>1</v>
      </c>
      <c r="GX301" s="2">
        <f t="shared" si="269"/>
        <v>0</v>
      </c>
      <c r="GY301" s="2"/>
      <c r="GZ301" s="2"/>
      <c r="HA301" s="2">
        <v>0</v>
      </c>
      <c r="HB301" s="2">
        <v>0</v>
      </c>
      <c r="HC301" s="2">
        <f t="shared" si="270"/>
        <v>0</v>
      </c>
      <c r="HD301" s="2"/>
      <c r="HE301" s="2" t="s">
        <v>3</v>
      </c>
      <c r="HF301" s="2" t="s">
        <v>3</v>
      </c>
      <c r="HG301" s="2"/>
      <c r="HH301" s="2"/>
      <c r="HI301" s="2"/>
      <c r="HJ301" s="2"/>
      <c r="HK301" s="2"/>
      <c r="HL301" s="2"/>
      <c r="HM301" s="2" t="s">
        <v>3</v>
      </c>
      <c r="HN301" s="2" t="s">
        <v>3</v>
      </c>
      <c r="HO301" s="2" t="s">
        <v>3</v>
      </c>
      <c r="HP301" s="2" t="s">
        <v>3</v>
      </c>
      <c r="HQ301" s="2" t="s">
        <v>3</v>
      </c>
      <c r="HR301" s="2"/>
      <c r="HS301" s="2"/>
      <c r="HT301" s="2"/>
      <c r="HU301" s="2"/>
      <c r="HV301" s="2"/>
      <c r="HW301" s="2"/>
      <c r="HX301" s="2"/>
      <c r="HY301" s="2"/>
      <c r="HZ301" s="2"/>
      <c r="IA301" s="2"/>
      <c r="IB301" s="2"/>
      <c r="IC301" s="2"/>
      <c r="ID301" s="2"/>
      <c r="IE301" s="2"/>
      <c r="IF301" s="2"/>
      <c r="IG301" s="2"/>
      <c r="IH301" s="2"/>
      <c r="II301" s="2"/>
      <c r="IJ301" s="2"/>
      <c r="IK301" s="2">
        <v>0</v>
      </c>
      <c r="IL301" s="2"/>
      <c r="IM301" s="2"/>
      <c r="IN301" s="2"/>
      <c r="IO301" s="2"/>
      <c r="IP301" s="2"/>
      <c r="IQ301" s="2"/>
      <c r="IR301" s="2"/>
      <c r="IS301" s="2"/>
      <c r="IT301" s="2"/>
      <c r="IU301" s="2"/>
    </row>
    <row r="302" spans="1:255" x14ac:dyDescent="0.2">
      <c r="A302">
        <v>17</v>
      </c>
      <c r="B302">
        <v>1</v>
      </c>
      <c r="C302">
        <f>ROW(SmtRes!A322)</f>
        <v>322</v>
      </c>
      <c r="D302">
        <f>ROW(EtalonRes!A328)</f>
        <v>328</v>
      </c>
      <c r="E302" t="s">
        <v>385</v>
      </c>
      <c r="F302" t="s">
        <v>386</v>
      </c>
      <c r="G302" t="s">
        <v>387</v>
      </c>
      <c r="H302" t="s">
        <v>148</v>
      </c>
      <c r="I302">
        <v>0.8</v>
      </c>
      <c r="J302">
        <v>0</v>
      </c>
      <c r="K302">
        <v>0.8</v>
      </c>
      <c r="O302">
        <f t="shared" si="240"/>
        <v>56485.48</v>
      </c>
      <c r="P302">
        <f t="shared" si="241"/>
        <v>299.33999999999997</v>
      </c>
      <c r="Q302">
        <f>(ROUND((ROUND((((ET302*1.25))*AV302*I302),2)*BB302),2)+ROUND((ROUND(((AE302-((EU302*1.25)))*AV302*I302),2)*BS302),2))</f>
        <v>249.68</v>
      </c>
      <c r="R302">
        <f t="shared" si="242"/>
        <v>114.09</v>
      </c>
      <c r="S302">
        <f t="shared" si="243"/>
        <v>55936.46</v>
      </c>
      <c r="T302">
        <f t="shared" si="244"/>
        <v>0</v>
      </c>
      <c r="U302">
        <f t="shared" si="245"/>
        <v>161.91999999999999</v>
      </c>
      <c r="V302">
        <f t="shared" si="246"/>
        <v>0</v>
      </c>
      <c r="W302">
        <f t="shared" si="247"/>
        <v>0</v>
      </c>
      <c r="X302">
        <f t="shared" si="248"/>
        <v>46427.26</v>
      </c>
      <c r="Y302">
        <f t="shared" si="249"/>
        <v>22933.95</v>
      </c>
      <c r="AA302">
        <v>129761633</v>
      </c>
      <c r="AB302">
        <f t="shared" si="250"/>
        <v>2484.9549999999999</v>
      </c>
      <c r="AC302">
        <f t="shared" si="251"/>
        <v>51.82</v>
      </c>
      <c r="AD302">
        <f>ROUND(((((ET302*1.25))-((EU302*1.25)))+AE302),6)</f>
        <v>24.574999999999999</v>
      </c>
      <c r="AE302">
        <f>ROUND(((EU302*1.25)),6)</f>
        <v>4.9124999999999996</v>
      </c>
      <c r="AF302">
        <f>ROUND(((EV302*1.15)),6)</f>
        <v>2408.56</v>
      </c>
      <c r="AG302">
        <f t="shared" si="252"/>
        <v>0</v>
      </c>
      <c r="AH302">
        <f>((EW302*1.15))</f>
        <v>202.39999999999998</v>
      </c>
      <c r="AI302">
        <f>((EX302*1.25))</f>
        <v>0</v>
      </c>
      <c r="AJ302">
        <f t="shared" si="253"/>
        <v>0</v>
      </c>
      <c r="AK302">
        <v>2165.88</v>
      </c>
      <c r="AL302">
        <v>51.82</v>
      </c>
      <c r="AM302">
        <v>19.66</v>
      </c>
      <c r="AN302">
        <v>3.93</v>
      </c>
      <c r="AO302">
        <v>2094.4</v>
      </c>
      <c r="AP302">
        <v>0</v>
      </c>
      <c r="AQ302">
        <v>176</v>
      </c>
      <c r="AR302">
        <v>0</v>
      </c>
      <c r="AS302">
        <v>0</v>
      </c>
      <c r="AT302">
        <v>83</v>
      </c>
      <c r="AU302">
        <v>41</v>
      </c>
      <c r="AV302">
        <v>1</v>
      </c>
      <c r="AW302">
        <v>1</v>
      </c>
      <c r="AZ302">
        <v>1</v>
      </c>
      <c r="BA302">
        <v>29.03</v>
      </c>
      <c r="BB302">
        <v>12.7</v>
      </c>
      <c r="BC302">
        <v>7.22</v>
      </c>
      <c r="BD302" t="s">
        <v>3</v>
      </c>
      <c r="BE302" t="s">
        <v>3</v>
      </c>
      <c r="BF302" t="s">
        <v>3</v>
      </c>
      <c r="BG302" t="s">
        <v>3</v>
      </c>
      <c r="BH302">
        <v>0</v>
      </c>
      <c r="BI302">
        <v>1</v>
      </c>
      <c r="BJ302" t="s">
        <v>388</v>
      </c>
      <c r="BM302">
        <v>113</v>
      </c>
      <c r="BN302">
        <v>0</v>
      </c>
      <c r="BO302" t="s">
        <v>386</v>
      </c>
      <c r="BP302">
        <v>1</v>
      </c>
      <c r="BQ302">
        <v>30</v>
      </c>
      <c r="BR302">
        <v>0</v>
      </c>
      <c r="BS302">
        <v>29.03</v>
      </c>
      <c r="BT302">
        <v>1</v>
      </c>
      <c r="BU302">
        <v>1</v>
      </c>
      <c r="BV302">
        <v>1</v>
      </c>
      <c r="BW302">
        <v>1</v>
      </c>
      <c r="BX302">
        <v>1</v>
      </c>
      <c r="BY302" t="s">
        <v>3</v>
      </c>
      <c r="BZ302">
        <v>83</v>
      </c>
      <c r="CA302">
        <v>41</v>
      </c>
      <c r="CB302" t="s">
        <v>3</v>
      </c>
      <c r="CE302">
        <v>30</v>
      </c>
      <c r="CF302">
        <v>0</v>
      </c>
      <c r="CG302">
        <v>0</v>
      </c>
      <c r="CM302">
        <v>0</v>
      </c>
      <c r="CN302" t="s">
        <v>1559</v>
      </c>
      <c r="CO302">
        <v>0</v>
      </c>
      <c r="CP302">
        <f t="shared" si="254"/>
        <v>56485.479999999996</v>
      </c>
      <c r="CQ302">
        <f t="shared" si="255"/>
        <v>374.14</v>
      </c>
      <c r="CR302">
        <f>(ROUND((ROUND((((ET302*1.25))*AV302*1),2)*BB302),2)+ROUND((ROUND(((AE302-((EU302*1.25)))*AV302*1),2)*BS302),2))</f>
        <v>312.17</v>
      </c>
      <c r="CS302">
        <f t="shared" si="256"/>
        <v>142.54</v>
      </c>
      <c r="CT302">
        <f t="shared" si="257"/>
        <v>69920.5</v>
      </c>
      <c r="CU302">
        <f t="shared" si="258"/>
        <v>0</v>
      </c>
      <c r="CV302">
        <f t="shared" si="259"/>
        <v>202.39999999999998</v>
      </c>
      <c r="CW302">
        <f t="shared" si="260"/>
        <v>0</v>
      </c>
      <c r="CX302">
        <f t="shared" si="261"/>
        <v>0</v>
      </c>
      <c r="CY302">
        <f>S302*(BZ302/100)</f>
        <v>46427.2618</v>
      </c>
      <c r="CZ302">
        <f>S302*(CA302/100)</f>
        <v>22933.9486</v>
      </c>
      <c r="DC302" t="s">
        <v>3</v>
      </c>
      <c r="DD302" t="s">
        <v>3</v>
      </c>
      <c r="DE302" t="s">
        <v>86</v>
      </c>
      <c r="DF302" t="s">
        <v>86</v>
      </c>
      <c r="DG302" t="s">
        <v>87</v>
      </c>
      <c r="DH302" t="s">
        <v>3</v>
      </c>
      <c r="DI302" t="s">
        <v>87</v>
      </c>
      <c r="DJ302" t="s">
        <v>86</v>
      </c>
      <c r="DK302" t="s">
        <v>3</v>
      </c>
      <c r="DL302" t="s">
        <v>3</v>
      </c>
      <c r="DM302" t="s">
        <v>3</v>
      </c>
      <c r="DN302">
        <v>100</v>
      </c>
      <c r="DO302">
        <v>64</v>
      </c>
      <c r="DP302">
        <v>1</v>
      </c>
      <c r="DQ302">
        <v>1</v>
      </c>
      <c r="DU302">
        <v>1005</v>
      </c>
      <c r="DV302" t="s">
        <v>148</v>
      </c>
      <c r="DW302" t="s">
        <v>148</v>
      </c>
      <c r="DX302">
        <v>100</v>
      </c>
      <c r="DZ302" t="s">
        <v>3</v>
      </c>
      <c r="EA302" t="s">
        <v>3</v>
      </c>
      <c r="EB302" t="s">
        <v>3</v>
      </c>
      <c r="EC302" t="s">
        <v>3</v>
      </c>
      <c r="EE302">
        <v>126051574</v>
      </c>
      <c r="EF302">
        <v>30</v>
      </c>
      <c r="EG302" t="s">
        <v>23</v>
      </c>
      <c r="EH302">
        <v>0</v>
      </c>
      <c r="EI302" t="s">
        <v>3</v>
      </c>
      <c r="EJ302">
        <v>1</v>
      </c>
      <c r="EK302">
        <v>113</v>
      </c>
      <c r="EL302" t="s">
        <v>389</v>
      </c>
      <c r="EM302" t="s">
        <v>390</v>
      </c>
      <c r="EO302" t="s">
        <v>90</v>
      </c>
      <c r="EQ302">
        <v>131072</v>
      </c>
      <c r="ER302">
        <v>2165.88</v>
      </c>
      <c r="ES302">
        <v>51.82</v>
      </c>
      <c r="ET302">
        <v>19.66</v>
      </c>
      <c r="EU302">
        <v>3.93</v>
      </c>
      <c r="EV302">
        <v>2094.4</v>
      </c>
      <c r="EW302">
        <v>176</v>
      </c>
      <c r="EX302">
        <v>0</v>
      </c>
      <c r="EY302">
        <v>0</v>
      </c>
      <c r="FQ302">
        <v>0</v>
      </c>
      <c r="FR302">
        <f t="shared" si="262"/>
        <v>0</v>
      </c>
      <c r="FS302">
        <v>0</v>
      </c>
      <c r="FX302">
        <v>100</v>
      </c>
      <c r="FY302">
        <v>64</v>
      </c>
      <c r="GA302" t="s">
        <v>3</v>
      </c>
      <c r="GD302">
        <v>0</v>
      </c>
      <c r="GF302">
        <v>756687370</v>
      </c>
      <c r="GG302">
        <v>2</v>
      </c>
      <c r="GH302">
        <v>1</v>
      </c>
      <c r="GI302">
        <v>2</v>
      </c>
      <c r="GJ302">
        <v>0</v>
      </c>
      <c r="GK302">
        <f>ROUND(R302*(S12)/100,2)</f>
        <v>182.54</v>
      </c>
      <c r="GL302">
        <f t="shared" si="263"/>
        <v>0</v>
      </c>
      <c r="GM302">
        <f t="shared" si="264"/>
        <v>126029.23</v>
      </c>
      <c r="GN302">
        <f t="shared" si="265"/>
        <v>126029.23</v>
      </c>
      <c r="GO302">
        <f t="shared" si="266"/>
        <v>0</v>
      </c>
      <c r="GP302">
        <f t="shared" si="267"/>
        <v>0</v>
      </c>
      <c r="GR302">
        <v>0</v>
      </c>
      <c r="GS302">
        <v>3</v>
      </c>
      <c r="GT302">
        <v>0</v>
      </c>
      <c r="GU302" t="s">
        <v>3</v>
      </c>
      <c r="GV302">
        <f t="shared" si="268"/>
        <v>0</v>
      </c>
      <c r="GW302">
        <v>1</v>
      </c>
      <c r="GX302">
        <f t="shared" si="269"/>
        <v>0</v>
      </c>
      <c r="HA302">
        <v>0</v>
      </c>
      <c r="HB302">
        <v>0</v>
      </c>
      <c r="HC302">
        <f t="shared" si="270"/>
        <v>0</v>
      </c>
      <c r="HE302" t="s">
        <v>3</v>
      </c>
      <c r="HF302" t="s">
        <v>3</v>
      </c>
      <c r="HM302" t="s">
        <v>3</v>
      </c>
      <c r="HN302" t="s">
        <v>3</v>
      </c>
      <c r="HO302" t="s">
        <v>3</v>
      </c>
      <c r="HP302" t="s">
        <v>3</v>
      </c>
      <c r="HQ302" t="s">
        <v>3</v>
      </c>
      <c r="IK302">
        <v>0</v>
      </c>
    </row>
    <row r="303" spans="1:255" x14ac:dyDescent="0.2">
      <c r="A303" s="2">
        <v>18</v>
      </c>
      <c r="B303" s="2">
        <v>1</v>
      </c>
      <c r="C303" s="2">
        <v>314</v>
      </c>
      <c r="D303" s="2"/>
      <c r="E303" s="2" t="s">
        <v>391</v>
      </c>
      <c r="F303" s="2" t="s">
        <v>392</v>
      </c>
      <c r="G303" s="2" t="s">
        <v>393</v>
      </c>
      <c r="H303" s="2" t="s">
        <v>238</v>
      </c>
      <c r="I303" s="2">
        <f>I301*J303</f>
        <v>80</v>
      </c>
      <c r="J303" s="2">
        <v>100</v>
      </c>
      <c r="K303" s="2">
        <v>100</v>
      </c>
      <c r="L303" s="2"/>
      <c r="M303" s="2"/>
      <c r="N303" s="2"/>
      <c r="O303" s="2">
        <f t="shared" si="240"/>
        <v>0</v>
      </c>
      <c r="P303" s="2">
        <f t="shared" si="241"/>
        <v>0</v>
      </c>
      <c r="Q303" s="2">
        <f>(ROUND((ROUND(((ET303)*AV303*I303),2)*BB303),2)+ROUND((ROUND(((AE303-(EU303))*AV303*I303),2)*BS303),2))</f>
        <v>0</v>
      </c>
      <c r="R303" s="2">
        <f t="shared" si="242"/>
        <v>0</v>
      </c>
      <c r="S303" s="2">
        <f t="shared" si="243"/>
        <v>0</v>
      </c>
      <c r="T303" s="2">
        <f t="shared" si="244"/>
        <v>0</v>
      </c>
      <c r="U303" s="2">
        <f t="shared" si="245"/>
        <v>0</v>
      </c>
      <c r="V303" s="2">
        <f t="shared" si="246"/>
        <v>0</v>
      </c>
      <c r="W303" s="2">
        <f t="shared" si="247"/>
        <v>0</v>
      </c>
      <c r="X303" s="2">
        <f t="shared" si="248"/>
        <v>0</v>
      </c>
      <c r="Y303" s="2">
        <f t="shared" si="249"/>
        <v>0</v>
      </c>
      <c r="Z303" s="2"/>
      <c r="AA303" s="2">
        <v>129761636</v>
      </c>
      <c r="AB303" s="2">
        <f t="shared" si="250"/>
        <v>0</v>
      </c>
      <c r="AC303" s="2">
        <f t="shared" si="251"/>
        <v>0</v>
      </c>
      <c r="AD303" s="2">
        <f>ROUND((((ET303)-(EU303))+AE303),6)</f>
        <v>0</v>
      </c>
      <c r="AE303" s="2">
        <f t="shared" ref="AE303:AF306" si="271">ROUND((EU303),6)</f>
        <v>0</v>
      </c>
      <c r="AF303" s="2">
        <f t="shared" si="271"/>
        <v>0</v>
      </c>
      <c r="AG303" s="2">
        <f t="shared" si="252"/>
        <v>0</v>
      </c>
      <c r="AH303" s="2">
        <f t="shared" ref="AH303:AI306" si="272">(EW303)</f>
        <v>0</v>
      </c>
      <c r="AI303" s="2">
        <f t="shared" si="272"/>
        <v>0</v>
      </c>
      <c r="AJ303" s="2">
        <f t="shared" si="253"/>
        <v>0</v>
      </c>
      <c r="AK303" s="2">
        <v>0</v>
      </c>
      <c r="AL303" s="2">
        <v>0</v>
      </c>
      <c r="AM303" s="2">
        <v>0</v>
      </c>
      <c r="AN303" s="2">
        <v>0</v>
      </c>
      <c r="AO303" s="2">
        <v>0</v>
      </c>
      <c r="AP303" s="2">
        <v>0</v>
      </c>
      <c r="AQ303" s="2">
        <v>0</v>
      </c>
      <c r="AR303" s="2">
        <v>0</v>
      </c>
      <c r="AS303" s="2">
        <v>0</v>
      </c>
      <c r="AT303" s="2">
        <v>100</v>
      </c>
      <c r="AU303" s="2">
        <v>64</v>
      </c>
      <c r="AV303" s="2">
        <v>1</v>
      </c>
      <c r="AW303" s="2">
        <v>1</v>
      </c>
      <c r="AX303" s="2"/>
      <c r="AY303" s="2"/>
      <c r="AZ303" s="2">
        <v>1</v>
      </c>
      <c r="BA303" s="2">
        <v>1</v>
      </c>
      <c r="BB303" s="2">
        <v>1</v>
      </c>
      <c r="BC303" s="2">
        <v>1</v>
      </c>
      <c r="BD303" s="2" t="s">
        <v>3</v>
      </c>
      <c r="BE303" s="2" t="s">
        <v>3</v>
      </c>
      <c r="BF303" s="2" t="s">
        <v>3</v>
      </c>
      <c r="BG303" s="2" t="s">
        <v>3</v>
      </c>
      <c r="BH303" s="2">
        <v>3</v>
      </c>
      <c r="BI303" s="2">
        <v>1</v>
      </c>
      <c r="BJ303" s="2" t="s">
        <v>3</v>
      </c>
      <c r="BK303" s="2"/>
      <c r="BL303" s="2"/>
      <c r="BM303" s="2">
        <v>113</v>
      </c>
      <c r="BN303" s="2">
        <v>0</v>
      </c>
      <c r="BO303" s="2" t="s">
        <v>3</v>
      </c>
      <c r="BP303" s="2">
        <v>0</v>
      </c>
      <c r="BQ303" s="2">
        <v>30</v>
      </c>
      <c r="BR303" s="2">
        <v>0</v>
      </c>
      <c r="BS303" s="2">
        <v>1</v>
      </c>
      <c r="BT303" s="2">
        <v>1</v>
      </c>
      <c r="BU303" s="2">
        <v>1</v>
      </c>
      <c r="BV303" s="2">
        <v>1</v>
      </c>
      <c r="BW303" s="2">
        <v>1</v>
      </c>
      <c r="BX303" s="2">
        <v>1</v>
      </c>
      <c r="BY303" s="2" t="s">
        <v>3</v>
      </c>
      <c r="BZ303" s="2">
        <v>100</v>
      </c>
      <c r="CA303" s="2">
        <v>64</v>
      </c>
      <c r="CB303" s="2" t="s">
        <v>3</v>
      </c>
      <c r="CC303" s="2"/>
      <c r="CD303" s="2"/>
      <c r="CE303" s="2">
        <v>30</v>
      </c>
      <c r="CF303" s="2">
        <v>0</v>
      </c>
      <c r="CG303" s="2">
        <v>0</v>
      </c>
      <c r="CH303" s="2"/>
      <c r="CI303" s="2"/>
      <c r="CJ303" s="2"/>
      <c r="CK303" s="2"/>
      <c r="CL303" s="2"/>
      <c r="CM303" s="2">
        <v>0</v>
      </c>
      <c r="CN303" s="2" t="s">
        <v>3</v>
      </c>
      <c r="CO303" s="2">
        <v>0</v>
      </c>
      <c r="CP303" s="2">
        <f t="shared" si="254"/>
        <v>0</v>
      </c>
      <c r="CQ303" s="2">
        <f t="shared" si="255"/>
        <v>0</v>
      </c>
      <c r="CR303" s="2">
        <f>(ROUND((ROUND(((ET303)*AV303*1),2)*BB303),2)+ROUND((ROUND(((AE303-(EU303))*AV303*1),2)*BS303),2))</f>
        <v>0</v>
      </c>
      <c r="CS303" s="2">
        <f t="shared" si="256"/>
        <v>0</v>
      </c>
      <c r="CT303" s="2">
        <f t="shared" si="257"/>
        <v>0</v>
      </c>
      <c r="CU303" s="2">
        <f t="shared" si="258"/>
        <v>0</v>
      </c>
      <c r="CV303" s="2">
        <f t="shared" si="259"/>
        <v>0</v>
      </c>
      <c r="CW303" s="2">
        <f t="shared" si="260"/>
        <v>0</v>
      </c>
      <c r="CX303" s="2">
        <f t="shared" si="261"/>
        <v>0</v>
      </c>
      <c r="CY303" s="2">
        <f>((S303*BZ303)/100)</f>
        <v>0</v>
      </c>
      <c r="CZ303" s="2">
        <f>((S303*CA303)/100)</f>
        <v>0</v>
      </c>
      <c r="DA303" s="2"/>
      <c r="DB303" s="2"/>
      <c r="DC303" s="2" t="s">
        <v>3</v>
      </c>
      <c r="DD303" s="2" t="s">
        <v>3</v>
      </c>
      <c r="DE303" s="2" t="s">
        <v>3</v>
      </c>
      <c r="DF303" s="2" t="s">
        <v>3</v>
      </c>
      <c r="DG303" s="2" t="s">
        <v>3</v>
      </c>
      <c r="DH303" s="2" t="s">
        <v>3</v>
      </c>
      <c r="DI303" s="2" t="s">
        <v>3</v>
      </c>
      <c r="DJ303" s="2" t="s">
        <v>3</v>
      </c>
      <c r="DK303" s="2" t="s">
        <v>3</v>
      </c>
      <c r="DL303" s="2" t="s">
        <v>3</v>
      </c>
      <c r="DM303" s="2" t="s">
        <v>3</v>
      </c>
      <c r="DN303" s="2">
        <v>0</v>
      </c>
      <c r="DO303" s="2">
        <v>0</v>
      </c>
      <c r="DP303" s="2">
        <v>1</v>
      </c>
      <c r="DQ303" s="2">
        <v>1</v>
      </c>
      <c r="DR303" s="2"/>
      <c r="DS303" s="2"/>
      <c r="DT303" s="2"/>
      <c r="DU303" s="2">
        <v>1013</v>
      </c>
      <c r="DV303" s="2" t="s">
        <v>238</v>
      </c>
      <c r="DW303" s="2" t="s">
        <v>238</v>
      </c>
      <c r="DX303" s="2">
        <v>1</v>
      </c>
      <c r="DY303" s="2"/>
      <c r="DZ303" s="2" t="s">
        <v>3</v>
      </c>
      <c r="EA303" s="2" t="s">
        <v>3</v>
      </c>
      <c r="EB303" s="2" t="s">
        <v>3</v>
      </c>
      <c r="EC303" s="2" t="s">
        <v>3</v>
      </c>
      <c r="ED303" s="2"/>
      <c r="EE303" s="2">
        <v>126051574</v>
      </c>
      <c r="EF303" s="2">
        <v>30</v>
      </c>
      <c r="EG303" s="2" t="s">
        <v>23</v>
      </c>
      <c r="EH303" s="2">
        <v>0</v>
      </c>
      <c r="EI303" s="2" t="s">
        <v>3</v>
      </c>
      <c r="EJ303" s="2">
        <v>1</v>
      </c>
      <c r="EK303" s="2">
        <v>113</v>
      </c>
      <c r="EL303" s="2" t="s">
        <v>389</v>
      </c>
      <c r="EM303" s="2" t="s">
        <v>390</v>
      </c>
      <c r="EN303" s="2"/>
      <c r="EO303" s="2" t="s">
        <v>3</v>
      </c>
      <c r="EP303" s="2"/>
      <c r="EQ303" s="2">
        <v>0</v>
      </c>
      <c r="ER303" s="2">
        <v>0</v>
      </c>
      <c r="ES303" s="2">
        <v>0</v>
      </c>
      <c r="ET303" s="2">
        <v>0</v>
      </c>
      <c r="EU303" s="2">
        <v>0</v>
      </c>
      <c r="EV303" s="2">
        <v>0</v>
      </c>
      <c r="EW303" s="2">
        <v>0</v>
      </c>
      <c r="EX303" s="2">
        <v>0</v>
      </c>
      <c r="EY303" s="2"/>
      <c r="EZ303" s="2"/>
      <c r="FA303" s="2"/>
      <c r="FB303" s="2"/>
      <c r="FC303" s="2"/>
      <c r="FD303" s="2"/>
      <c r="FE303" s="2"/>
      <c r="FF303" s="2"/>
      <c r="FG303" s="2"/>
      <c r="FH303" s="2"/>
      <c r="FI303" s="2"/>
      <c r="FJ303" s="2"/>
      <c r="FK303" s="2"/>
      <c r="FL303" s="2"/>
      <c r="FM303" s="2"/>
      <c r="FN303" s="2"/>
      <c r="FO303" s="2"/>
      <c r="FP303" s="2"/>
      <c r="FQ303" s="2">
        <v>0</v>
      </c>
      <c r="FR303" s="2">
        <f t="shared" si="262"/>
        <v>0</v>
      </c>
      <c r="FS303" s="2">
        <v>0</v>
      </c>
      <c r="FT303" s="2"/>
      <c r="FU303" s="2"/>
      <c r="FV303" s="2"/>
      <c r="FW303" s="2"/>
      <c r="FX303" s="2">
        <v>100</v>
      </c>
      <c r="FY303" s="2">
        <v>64</v>
      </c>
      <c r="FZ303" s="2"/>
      <c r="GA303" s="2" t="s">
        <v>3</v>
      </c>
      <c r="GB303" s="2"/>
      <c r="GC303" s="2"/>
      <c r="GD303" s="2">
        <v>0</v>
      </c>
      <c r="GE303" s="2"/>
      <c r="GF303" s="2">
        <v>-444997731</v>
      </c>
      <c r="GG303" s="2">
        <v>2</v>
      </c>
      <c r="GH303" s="2">
        <v>1</v>
      </c>
      <c r="GI303" s="2">
        <v>-2</v>
      </c>
      <c r="GJ303" s="2">
        <v>0</v>
      </c>
      <c r="GK303" s="2">
        <f>ROUND(R303*(R12)/100,2)</f>
        <v>0</v>
      </c>
      <c r="GL303" s="2">
        <f t="shared" si="263"/>
        <v>0</v>
      </c>
      <c r="GM303" s="2">
        <f t="shared" si="264"/>
        <v>0</v>
      </c>
      <c r="GN303" s="2">
        <f t="shared" si="265"/>
        <v>0</v>
      </c>
      <c r="GO303" s="2">
        <f t="shared" si="266"/>
        <v>0</v>
      </c>
      <c r="GP303" s="2">
        <f t="shared" si="267"/>
        <v>0</v>
      </c>
      <c r="GQ303" s="2"/>
      <c r="GR303" s="2">
        <v>0</v>
      </c>
      <c r="GS303" s="2">
        <v>0</v>
      </c>
      <c r="GT303" s="2">
        <v>0</v>
      </c>
      <c r="GU303" s="2" t="s">
        <v>3</v>
      </c>
      <c r="GV303" s="2">
        <f t="shared" si="268"/>
        <v>0</v>
      </c>
      <c r="GW303" s="2">
        <v>1</v>
      </c>
      <c r="GX303" s="2">
        <f t="shared" si="269"/>
        <v>0</v>
      </c>
      <c r="GY303" s="2"/>
      <c r="GZ303" s="2"/>
      <c r="HA303" s="2">
        <v>0</v>
      </c>
      <c r="HB303" s="2">
        <v>0</v>
      </c>
      <c r="HC303" s="2">
        <f t="shared" si="270"/>
        <v>0</v>
      </c>
      <c r="HD303" s="2"/>
      <c r="HE303" s="2" t="s">
        <v>3</v>
      </c>
      <c r="HF303" s="2" t="s">
        <v>3</v>
      </c>
      <c r="HG303" s="2"/>
      <c r="HH303" s="2"/>
      <c r="HI303" s="2"/>
      <c r="HJ303" s="2"/>
      <c r="HK303" s="2"/>
      <c r="HL303" s="2"/>
      <c r="HM303" s="2" t="s">
        <v>3</v>
      </c>
      <c r="HN303" s="2" t="s">
        <v>3</v>
      </c>
      <c r="HO303" s="2" t="s">
        <v>3</v>
      </c>
      <c r="HP303" s="2" t="s">
        <v>3</v>
      </c>
      <c r="HQ303" s="2" t="s">
        <v>3</v>
      </c>
      <c r="HR303" s="2"/>
      <c r="HS303" s="2"/>
      <c r="HT303" s="2"/>
      <c r="HU303" s="2"/>
      <c r="HV303" s="2"/>
      <c r="HW303" s="2"/>
      <c r="HX303" s="2"/>
      <c r="HY303" s="2"/>
      <c r="HZ303" s="2"/>
      <c r="IA303" s="2"/>
      <c r="IB303" s="2"/>
      <c r="IC303" s="2"/>
      <c r="ID303" s="2"/>
      <c r="IE303" s="2"/>
      <c r="IF303" s="2"/>
      <c r="IG303" s="2"/>
      <c r="IH303" s="2"/>
      <c r="II303" s="2"/>
      <c r="IJ303" s="2"/>
      <c r="IK303" s="2">
        <v>0</v>
      </c>
      <c r="IL303" s="2"/>
      <c r="IM303" s="2"/>
      <c r="IN303" s="2"/>
      <c r="IO303" s="2"/>
      <c r="IP303" s="2"/>
      <c r="IQ303" s="2"/>
      <c r="IR303" s="2"/>
      <c r="IS303" s="2"/>
      <c r="IT303" s="2"/>
      <c r="IU303" s="2"/>
    </row>
    <row r="304" spans="1:255" x14ac:dyDescent="0.2">
      <c r="A304">
        <v>18</v>
      </c>
      <c r="B304">
        <v>1</v>
      </c>
      <c r="C304">
        <v>320</v>
      </c>
      <c r="E304" t="s">
        <v>391</v>
      </c>
      <c r="F304" t="s">
        <v>392</v>
      </c>
      <c r="G304" t="s">
        <v>393</v>
      </c>
      <c r="H304" t="s">
        <v>238</v>
      </c>
      <c r="I304">
        <f>I302*J304</f>
        <v>80</v>
      </c>
      <c r="J304">
        <v>100</v>
      </c>
      <c r="K304">
        <v>100</v>
      </c>
      <c r="O304">
        <f t="shared" si="240"/>
        <v>0</v>
      </c>
      <c r="P304">
        <f t="shared" si="241"/>
        <v>0</v>
      </c>
      <c r="Q304">
        <f>(ROUND((ROUND(((ET304)*AV304*I304),2)*BB304),2)+ROUND((ROUND(((AE304-(EU304))*AV304*I304),2)*BS304),2))</f>
        <v>0</v>
      </c>
      <c r="R304">
        <f t="shared" si="242"/>
        <v>0</v>
      </c>
      <c r="S304">
        <f t="shared" si="243"/>
        <v>0</v>
      </c>
      <c r="T304">
        <f t="shared" si="244"/>
        <v>0</v>
      </c>
      <c r="U304">
        <f t="shared" si="245"/>
        <v>0</v>
      </c>
      <c r="V304">
        <f t="shared" si="246"/>
        <v>0</v>
      </c>
      <c r="W304">
        <f t="shared" si="247"/>
        <v>0</v>
      </c>
      <c r="X304">
        <f t="shared" si="248"/>
        <v>0</v>
      </c>
      <c r="Y304">
        <f t="shared" si="249"/>
        <v>0</v>
      </c>
      <c r="AA304">
        <v>129761633</v>
      </c>
      <c r="AB304">
        <f t="shared" si="250"/>
        <v>0</v>
      </c>
      <c r="AC304">
        <f t="shared" si="251"/>
        <v>0</v>
      </c>
      <c r="AD304">
        <f>ROUND((((ET304)-(EU304))+AE304),6)</f>
        <v>0</v>
      </c>
      <c r="AE304">
        <f t="shared" si="271"/>
        <v>0</v>
      </c>
      <c r="AF304">
        <f t="shared" si="271"/>
        <v>0</v>
      </c>
      <c r="AG304">
        <f t="shared" si="252"/>
        <v>0</v>
      </c>
      <c r="AH304">
        <f t="shared" si="272"/>
        <v>0</v>
      </c>
      <c r="AI304">
        <f t="shared" si="272"/>
        <v>0</v>
      </c>
      <c r="AJ304">
        <f t="shared" si="253"/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1</v>
      </c>
      <c r="AW304">
        <v>1</v>
      </c>
      <c r="AZ304">
        <v>1</v>
      </c>
      <c r="BA304">
        <v>1</v>
      </c>
      <c r="BB304">
        <v>1</v>
      </c>
      <c r="BC304">
        <v>8.65</v>
      </c>
      <c r="BD304" t="s">
        <v>3</v>
      </c>
      <c r="BE304" t="s">
        <v>3</v>
      </c>
      <c r="BF304" t="s">
        <v>3</v>
      </c>
      <c r="BG304" t="s">
        <v>3</v>
      </c>
      <c r="BH304">
        <v>3</v>
      </c>
      <c r="BI304">
        <v>1</v>
      </c>
      <c r="BJ304" t="s">
        <v>3</v>
      </c>
      <c r="BM304">
        <v>113</v>
      </c>
      <c r="BN304">
        <v>0</v>
      </c>
      <c r="BO304" t="s">
        <v>3</v>
      </c>
      <c r="BP304">
        <v>0</v>
      </c>
      <c r="BQ304">
        <v>30</v>
      </c>
      <c r="BR304">
        <v>0</v>
      </c>
      <c r="BS304">
        <v>1</v>
      </c>
      <c r="BT304">
        <v>1</v>
      </c>
      <c r="BU304">
        <v>1</v>
      </c>
      <c r="BV304">
        <v>1</v>
      </c>
      <c r="BW304">
        <v>1</v>
      </c>
      <c r="BX304">
        <v>1</v>
      </c>
      <c r="BY304" t="s">
        <v>3</v>
      </c>
      <c r="BZ304">
        <v>0</v>
      </c>
      <c r="CA304">
        <v>0</v>
      </c>
      <c r="CB304" t="s">
        <v>3</v>
      </c>
      <c r="CE304">
        <v>30</v>
      </c>
      <c r="CF304">
        <v>0</v>
      </c>
      <c r="CG304">
        <v>0</v>
      </c>
      <c r="CM304">
        <v>0</v>
      </c>
      <c r="CN304" t="s">
        <v>3</v>
      </c>
      <c r="CO304">
        <v>0</v>
      </c>
      <c r="CP304">
        <f t="shared" si="254"/>
        <v>0</v>
      </c>
      <c r="CQ304">
        <f t="shared" si="255"/>
        <v>0</v>
      </c>
      <c r="CR304">
        <f>(ROUND((ROUND(((ET304)*AV304*1),2)*BB304),2)+ROUND((ROUND(((AE304-(EU304))*AV304*1),2)*BS304),2))</f>
        <v>0</v>
      </c>
      <c r="CS304">
        <f t="shared" si="256"/>
        <v>0</v>
      </c>
      <c r="CT304">
        <f t="shared" si="257"/>
        <v>0</v>
      </c>
      <c r="CU304">
        <f t="shared" si="258"/>
        <v>0</v>
      </c>
      <c r="CV304">
        <f t="shared" si="259"/>
        <v>0</v>
      </c>
      <c r="CW304">
        <f t="shared" si="260"/>
        <v>0</v>
      </c>
      <c r="CX304">
        <f t="shared" si="261"/>
        <v>0</v>
      </c>
      <c r="CY304">
        <f>S304*(BZ304/100)</f>
        <v>0</v>
      </c>
      <c r="CZ304">
        <f>S304*(CA304/100)</f>
        <v>0</v>
      </c>
      <c r="DC304" t="s">
        <v>3</v>
      </c>
      <c r="DD304" t="s">
        <v>3</v>
      </c>
      <c r="DE304" t="s">
        <v>3</v>
      </c>
      <c r="DF304" t="s">
        <v>3</v>
      </c>
      <c r="DG304" t="s">
        <v>3</v>
      </c>
      <c r="DH304" t="s">
        <v>3</v>
      </c>
      <c r="DI304" t="s">
        <v>3</v>
      </c>
      <c r="DJ304" t="s">
        <v>3</v>
      </c>
      <c r="DK304" t="s">
        <v>3</v>
      </c>
      <c r="DL304" t="s">
        <v>3</v>
      </c>
      <c r="DM304" t="s">
        <v>3</v>
      </c>
      <c r="DN304">
        <v>100</v>
      </c>
      <c r="DO304">
        <v>64</v>
      </c>
      <c r="DP304">
        <v>1</v>
      </c>
      <c r="DQ304">
        <v>1</v>
      </c>
      <c r="DU304">
        <v>1013</v>
      </c>
      <c r="DV304" t="s">
        <v>238</v>
      </c>
      <c r="DW304" t="s">
        <v>238</v>
      </c>
      <c r="DX304">
        <v>1</v>
      </c>
      <c r="DZ304" t="s">
        <v>3</v>
      </c>
      <c r="EA304" t="s">
        <v>3</v>
      </c>
      <c r="EB304" t="s">
        <v>3</v>
      </c>
      <c r="EC304" t="s">
        <v>3</v>
      </c>
      <c r="EE304">
        <v>126051574</v>
      </c>
      <c r="EF304">
        <v>30</v>
      </c>
      <c r="EG304" t="s">
        <v>23</v>
      </c>
      <c r="EH304">
        <v>0</v>
      </c>
      <c r="EI304" t="s">
        <v>3</v>
      </c>
      <c r="EJ304">
        <v>1</v>
      </c>
      <c r="EK304">
        <v>113</v>
      </c>
      <c r="EL304" t="s">
        <v>389</v>
      </c>
      <c r="EM304" t="s">
        <v>390</v>
      </c>
      <c r="EO304" t="s">
        <v>3</v>
      </c>
      <c r="EQ304">
        <v>0</v>
      </c>
      <c r="ER304">
        <v>0</v>
      </c>
      <c r="ES304">
        <v>0</v>
      </c>
      <c r="ET304">
        <v>0</v>
      </c>
      <c r="EU304">
        <v>0</v>
      </c>
      <c r="EV304">
        <v>0</v>
      </c>
      <c r="EW304">
        <v>0</v>
      </c>
      <c r="EX304">
        <v>0</v>
      </c>
      <c r="FQ304">
        <v>0</v>
      </c>
      <c r="FR304">
        <f t="shared" si="262"/>
        <v>0</v>
      </c>
      <c r="FS304">
        <v>0</v>
      </c>
      <c r="FX304">
        <v>100</v>
      </c>
      <c r="FY304">
        <v>64</v>
      </c>
      <c r="GA304" t="s">
        <v>3</v>
      </c>
      <c r="GD304">
        <v>0</v>
      </c>
      <c r="GF304">
        <v>-444997731</v>
      </c>
      <c r="GG304">
        <v>2</v>
      </c>
      <c r="GH304">
        <v>1</v>
      </c>
      <c r="GI304">
        <v>5</v>
      </c>
      <c r="GJ304">
        <v>0</v>
      </c>
      <c r="GK304">
        <f>ROUND(R304*(S12)/100,2)</f>
        <v>0</v>
      </c>
      <c r="GL304">
        <f t="shared" si="263"/>
        <v>0</v>
      </c>
      <c r="GM304">
        <f t="shared" si="264"/>
        <v>0</v>
      </c>
      <c r="GN304">
        <f t="shared" si="265"/>
        <v>0</v>
      </c>
      <c r="GO304">
        <f t="shared" si="266"/>
        <v>0</v>
      </c>
      <c r="GP304">
        <f t="shared" si="267"/>
        <v>0</v>
      </c>
      <c r="GR304">
        <v>0</v>
      </c>
      <c r="GS304">
        <v>3</v>
      </c>
      <c r="GT304">
        <v>0</v>
      </c>
      <c r="GU304" t="s">
        <v>3</v>
      </c>
      <c r="GV304">
        <f t="shared" si="268"/>
        <v>0</v>
      </c>
      <c r="GW304">
        <v>1</v>
      </c>
      <c r="GX304">
        <f t="shared" si="269"/>
        <v>0</v>
      </c>
      <c r="HA304">
        <v>0</v>
      </c>
      <c r="HB304">
        <v>0</v>
      </c>
      <c r="HC304">
        <f t="shared" si="270"/>
        <v>0</v>
      </c>
      <c r="HE304" t="s">
        <v>3</v>
      </c>
      <c r="HF304" t="s">
        <v>3</v>
      </c>
      <c r="HM304" t="s">
        <v>3</v>
      </c>
      <c r="HN304" t="s">
        <v>3</v>
      </c>
      <c r="HO304" t="s">
        <v>3</v>
      </c>
      <c r="HP304" t="s">
        <v>3</v>
      </c>
      <c r="HQ304" t="s">
        <v>3</v>
      </c>
      <c r="IK304">
        <v>0</v>
      </c>
    </row>
    <row r="305" spans="1:255" x14ac:dyDescent="0.2">
      <c r="A305" s="2">
        <v>18</v>
      </c>
      <c r="B305" s="2">
        <v>1</v>
      </c>
      <c r="C305" s="2">
        <v>315</v>
      </c>
      <c r="D305" s="2"/>
      <c r="E305" s="2" t="s">
        <v>394</v>
      </c>
      <c r="F305" s="2" t="s">
        <v>395</v>
      </c>
      <c r="G305" s="2" t="s">
        <v>396</v>
      </c>
      <c r="H305" s="2" t="s">
        <v>258</v>
      </c>
      <c r="I305" s="2">
        <f>I301*J305</f>
        <v>0</v>
      </c>
      <c r="J305" s="2">
        <v>0</v>
      </c>
      <c r="K305" s="2">
        <v>0</v>
      </c>
      <c r="L305" s="2"/>
      <c r="M305" s="2"/>
      <c r="N305" s="2"/>
      <c r="O305" s="2">
        <f t="shared" si="240"/>
        <v>0</v>
      </c>
      <c r="P305" s="2">
        <f t="shared" si="241"/>
        <v>0</v>
      </c>
      <c r="Q305" s="2">
        <f>(ROUND((ROUND(((ET305)*AV305*I305),2)*BB305),2)+ROUND((ROUND(((AE305-(EU305))*AV305*I305),2)*BS305),2))</f>
        <v>0</v>
      </c>
      <c r="R305" s="2">
        <f t="shared" si="242"/>
        <v>0</v>
      </c>
      <c r="S305" s="2">
        <f t="shared" si="243"/>
        <v>0</v>
      </c>
      <c r="T305" s="2">
        <f t="shared" si="244"/>
        <v>0</v>
      </c>
      <c r="U305" s="2">
        <f t="shared" si="245"/>
        <v>0</v>
      </c>
      <c r="V305" s="2">
        <f t="shared" si="246"/>
        <v>0</v>
      </c>
      <c r="W305" s="2">
        <f t="shared" si="247"/>
        <v>0</v>
      </c>
      <c r="X305" s="2">
        <f t="shared" si="248"/>
        <v>0</v>
      </c>
      <c r="Y305" s="2">
        <f t="shared" si="249"/>
        <v>0</v>
      </c>
      <c r="Z305" s="2"/>
      <c r="AA305" s="2">
        <v>129761636</v>
      </c>
      <c r="AB305" s="2">
        <f t="shared" si="250"/>
        <v>0</v>
      </c>
      <c r="AC305" s="2">
        <f t="shared" si="251"/>
        <v>0</v>
      </c>
      <c r="AD305" s="2">
        <f>ROUND((((ET305)-(EU305))+AE305),6)</f>
        <v>0</v>
      </c>
      <c r="AE305" s="2">
        <f t="shared" si="271"/>
        <v>0</v>
      </c>
      <c r="AF305" s="2">
        <f t="shared" si="271"/>
        <v>0</v>
      </c>
      <c r="AG305" s="2">
        <f t="shared" si="252"/>
        <v>0</v>
      </c>
      <c r="AH305" s="2">
        <f t="shared" si="272"/>
        <v>0</v>
      </c>
      <c r="AI305" s="2">
        <f t="shared" si="272"/>
        <v>0</v>
      </c>
      <c r="AJ305" s="2">
        <f t="shared" si="253"/>
        <v>0</v>
      </c>
      <c r="AK305" s="2">
        <v>0</v>
      </c>
      <c r="AL305" s="2">
        <v>0</v>
      </c>
      <c r="AM305" s="2">
        <v>0</v>
      </c>
      <c r="AN305" s="2">
        <v>0</v>
      </c>
      <c r="AO305" s="2">
        <v>0</v>
      </c>
      <c r="AP305" s="2">
        <v>0</v>
      </c>
      <c r="AQ305" s="2">
        <v>0</v>
      </c>
      <c r="AR305" s="2">
        <v>0</v>
      </c>
      <c r="AS305" s="2">
        <v>0</v>
      </c>
      <c r="AT305" s="2">
        <v>100</v>
      </c>
      <c r="AU305" s="2">
        <v>64</v>
      </c>
      <c r="AV305" s="2">
        <v>1</v>
      </c>
      <c r="AW305" s="2">
        <v>1</v>
      </c>
      <c r="AX305" s="2"/>
      <c r="AY305" s="2"/>
      <c r="AZ305" s="2">
        <v>1</v>
      </c>
      <c r="BA305" s="2">
        <v>1</v>
      </c>
      <c r="BB305" s="2">
        <v>1</v>
      </c>
      <c r="BC305" s="2">
        <v>1</v>
      </c>
      <c r="BD305" s="2" t="s">
        <v>3</v>
      </c>
      <c r="BE305" s="2" t="s">
        <v>3</v>
      </c>
      <c r="BF305" s="2" t="s">
        <v>3</v>
      </c>
      <c r="BG305" s="2" t="s">
        <v>3</v>
      </c>
      <c r="BH305" s="2">
        <v>3</v>
      </c>
      <c r="BI305" s="2">
        <v>1</v>
      </c>
      <c r="BJ305" s="2" t="s">
        <v>3</v>
      </c>
      <c r="BK305" s="2"/>
      <c r="BL305" s="2"/>
      <c r="BM305" s="2">
        <v>113</v>
      </c>
      <c r="BN305" s="2">
        <v>0</v>
      </c>
      <c r="BO305" s="2" t="s">
        <v>3</v>
      </c>
      <c r="BP305" s="2">
        <v>0</v>
      </c>
      <c r="BQ305" s="2">
        <v>30</v>
      </c>
      <c r="BR305" s="2">
        <v>0</v>
      </c>
      <c r="BS305" s="2">
        <v>1</v>
      </c>
      <c r="BT305" s="2">
        <v>1</v>
      </c>
      <c r="BU305" s="2">
        <v>1</v>
      </c>
      <c r="BV305" s="2">
        <v>1</v>
      </c>
      <c r="BW305" s="2">
        <v>1</v>
      </c>
      <c r="BX305" s="2">
        <v>1</v>
      </c>
      <c r="BY305" s="2" t="s">
        <v>3</v>
      </c>
      <c r="BZ305" s="2">
        <v>100</v>
      </c>
      <c r="CA305" s="2">
        <v>64</v>
      </c>
      <c r="CB305" s="2" t="s">
        <v>3</v>
      </c>
      <c r="CC305" s="2"/>
      <c r="CD305" s="2"/>
      <c r="CE305" s="2">
        <v>30</v>
      </c>
      <c r="CF305" s="2">
        <v>0</v>
      </c>
      <c r="CG305" s="2">
        <v>0</v>
      </c>
      <c r="CH305" s="2"/>
      <c r="CI305" s="2"/>
      <c r="CJ305" s="2"/>
      <c r="CK305" s="2"/>
      <c r="CL305" s="2"/>
      <c r="CM305" s="2">
        <v>0</v>
      </c>
      <c r="CN305" s="2" t="s">
        <v>3</v>
      </c>
      <c r="CO305" s="2">
        <v>0</v>
      </c>
      <c r="CP305" s="2">
        <f t="shared" si="254"/>
        <v>0</v>
      </c>
      <c r="CQ305" s="2">
        <f t="shared" si="255"/>
        <v>0</v>
      </c>
      <c r="CR305" s="2">
        <f>(ROUND((ROUND(((ET305)*AV305*1),2)*BB305),2)+ROUND((ROUND(((AE305-(EU305))*AV305*1),2)*BS305),2))</f>
        <v>0</v>
      </c>
      <c r="CS305" s="2">
        <f t="shared" si="256"/>
        <v>0</v>
      </c>
      <c r="CT305" s="2">
        <f t="shared" si="257"/>
        <v>0</v>
      </c>
      <c r="CU305" s="2">
        <f t="shared" si="258"/>
        <v>0</v>
      </c>
      <c r="CV305" s="2">
        <f t="shared" si="259"/>
        <v>0</v>
      </c>
      <c r="CW305" s="2">
        <f t="shared" si="260"/>
        <v>0</v>
      </c>
      <c r="CX305" s="2">
        <f t="shared" si="261"/>
        <v>0</v>
      </c>
      <c r="CY305" s="2">
        <f>((S305*BZ305)/100)</f>
        <v>0</v>
      </c>
      <c r="CZ305" s="2">
        <f>((S305*CA305)/100)</f>
        <v>0</v>
      </c>
      <c r="DA305" s="2"/>
      <c r="DB305" s="2"/>
      <c r="DC305" s="2" t="s">
        <v>3</v>
      </c>
      <c r="DD305" s="2" t="s">
        <v>3</v>
      </c>
      <c r="DE305" s="2" t="s">
        <v>3</v>
      </c>
      <c r="DF305" s="2" t="s">
        <v>3</v>
      </c>
      <c r="DG305" s="2" t="s">
        <v>3</v>
      </c>
      <c r="DH305" s="2" t="s">
        <v>3</v>
      </c>
      <c r="DI305" s="2" t="s">
        <v>3</v>
      </c>
      <c r="DJ305" s="2" t="s">
        <v>3</v>
      </c>
      <c r="DK305" s="2" t="s">
        <v>3</v>
      </c>
      <c r="DL305" s="2" t="s">
        <v>3</v>
      </c>
      <c r="DM305" s="2" t="s">
        <v>3</v>
      </c>
      <c r="DN305" s="2">
        <v>0</v>
      </c>
      <c r="DO305" s="2">
        <v>0</v>
      </c>
      <c r="DP305" s="2">
        <v>1</v>
      </c>
      <c r="DQ305" s="2">
        <v>1</v>
      </c>
      <c r="DR305" s="2"/>
      <c r="DS305" s="2"/>
      <c r="DT305" s="2"/>
      <c r="DU305" s="2">
        <v>1005</v>
      </c>
      <c r="DV305" s="2" t="s">
        <v>258</v>
      </c>
      <c r="DW305" s="2" t="s">
        <v>258</v>
      </c>
      <c r="DX305" s="2">
        <v>1</v>
      </c>
      <c r="DY305" s="2"/>
      <c r="DZ305" s="2" t="s">
        <v>3</v>
      </c>
      <c r="EA305" s="2" t="s">
        <v>3</v>
      </c>
      <c r="EB305" s="2" t="s">
        <v>3</v>
      </c>
      <c r="EC305" s="2" t="s">
        <v>3</v>
      </c>
      <c r="ED305" s="2"/>
      <c r="EE305" s="2">
        <v>126051574</v>
      </c>
      <c r="EF305" s="2">
        <v>30</v>
      </c>
      <c r="EG305" s="2" t="s">
        <v>23</v>
      </c>
      <c r="EH305" s="2">
        <v>0</v>
      </c>
      <c r="EI305" s="2" t="s">
        <v>3</v>
      </c>
      <c r="EJ305" s="2">
        <v>1</v>
      </c>
      <c r="EK305" s="2">
        <v>113</v>
      </c>
      <c r="EL305" s="2" t="s">
        <v>389</v>
      </c>
      <c r="EM305" s="2" t="s">
        <v>390</v>
      </c>
      <c r="EN305" s="2"/>
      <c r="EO305" s="2" t="s">
        <v>3</v>
      </c>
      <c r="EP305" s="2"/>
      <c r="EQ305" s="2">
        <v>0</v>
      </c>
      <c r="ER305" s="2">
        <v>0</v>
      </c>
      <c r="ES305" s="2">
        <v>0</v>
      </c>
      <c r="ET305" s="2">
        <v>0</v>
      </c>
      <c r="EU305" s="2">
        <v>0</v>
      </c>
      <c r="EV305" s="2">
        <v>0</v>
      </c>
      <c r="EW305" s="2">
        <v>0</v>
      </c>
      <c r="EX305" s="2">
        <v>0</v>
      </c>
      <c r="EY305" s="2"/>
      <c r="EZ305" s="2"/>
      <c r="FA305" s="2"/>
      <c r="FB305" s="2"/>
      <c r="FC305" s="2"/>
      <c r="FD305" s="2"/>
      <c r="FE305" s="2"/>
      <c r="FF305" s="2"/>
      <c r="FG305" s="2"/>
      <c r="FH305" s="2"/>
      <c r="FI305" s="2"/>
      <c r="FJ305" s="2"/>
      <c r="FK305" s="2"/>
      <c r="FL305" s="2"/>
      <c r="FM305" s="2"/>
      <c r="FN305" s="2"/>
      <c r="FO305" s="2"/>
      <c r="FP305" s="2"/>
      <c r="FQ305" s="2">
        <v>0</v>
      </c>
      <c r="FR305" s="2">
        <f t="shared" si="262"/>
        <v>0</v>
      </c>
      <c r="FS305" s="2">
        <v>0</v>
      </c>
      <c r="FT305" s="2"/>
      <c r="FU305" s="2"/>
      <c r="FV305" s="2"/>
      <c r="FW305" s="2"/>
      <c r="FX305" s="2">
        <v>100</v>
      </c>
      <c r="FY305" s="2">
        <v>64</v>
      </c>
      <c r="FZ305" s="2"/>
      <c r="GA305" s="2" t="s">
        <v>3</v>
      </c>
      <c r="GB305" s="2"/>
      <c r="GC305" s="2"/>
      <c r="GD305" s="2">
        <v>0</v>
      </c>
      <c r="GE305" s="2"/>
      <c r="GF305" s="2">
        <v>-1012860968</v>
      </c>
      <c r="GG305" s="2">
        <v>2</v>
      </c>
      <c r="GH305" s="2">
        <v>1</v>
      </c>
      <c r="GI305" s="2">
        <v>-2</v>
      </c>
      <c r="GJ305" s="2">
        <v>0</v>
      </c>
      <c r="GK305" s="2">
        <f>ROUND(R305*(R12)/100,2)</f>
        <v>0</v>
      </c>
      <c r="GL305" s="2">
        <f t="shared" si="263"/>
        <v>0</v>
      </c>
      <c r="GM305" s="2">
        <f t="shared" si="264"/>
        <v>0</v>
      </c>
      <c r="GN305" s="2">
        <f t="shared" si="265"/>
        <v>0</v>
      </c>
      <c r="GO305" s="2">
        <f t="shared" si="266"/>
        <v>0</v>
      </c>
      <c r="GP305" s="2">
        <f t="shared" si="267"/>
        <v>0</v>
      </c>
      <c r="GQ305" s="2"/>
      <c r="GR305" s="2">
        <v>0</v>
      </c>
      <c r="GS305" s="2">
        <v>0</v>
      </c>
      <c r="GT305" s="2">
        <v>0</v>
      </c>
      <c r="GU305" s="2" t="s">
        <v>3</v>
      </c>
      <c r="GV305" s="2">
        <f t="shared" si="268"/>
        <v>0</v>
      </c>
      <c r="GW305" s="2">
        <v>1</v>
      </c>
      <c r="GX305" s="2">
        <f t="shared" si="269"/>
        <v>0</v>
      </c>
      <c r="GY305" s="2"/>
      <c r="GZ305" s="2"/>
      <c r="HA305" s="2">
        <v>0</v>
      </c>
      <c r="HB305" s="2">
        <v>0</v>
      </c>
      <c r="HC305" s="2">
        <f t="shared" si="270"/>
        <v>0</v>
      </c>
      <c r="HD305" s="2"/>
      <c r="HE305" s="2" t="s">
        <v>3</v>
      </c>
      <c r="HF305" s="2" t="s">
        <v>3</v>
      </c>
      <c r="HG305" s="2"/>
      <c r="HH305" s="2"/>
      <c r="HI305" s="2"/>
      <c r="HJ305" s="2"/>
      <c r="HK305" s="2"/>
      <c r="HL305" s="2"/>
      <c r="HM305" s="2" t="s">
        <v>3</v>
      </c>
      <c r="HN305" s="2" t="s">
        <v>3</v>
      </c>
      <c r="HO305" s="2" t="s">
        <v>3</v>
      </c>
      <c r="HP305" s="2" t="s">
        <v>3</v>
      </c>
      <c r="HQ305" s="2" t="s">
        <v>3</v>
      </c>
      <c r="HR305" s="2"/>
      <c r="HS305" s="2"/>
      <c r="HT305" s="2"/>
      <c r="HU305" s="2"/>
      <c r="HV305" s="2"/>
      <c r="HW305" s="2"/>
      <c r="HX305" s="2"/>
      <c r="HY305" s="2"/>
      <c r="HZ305" s="2"/>
      <c r="IA305" s="2"/>
      <c r="IB305" s="2"/>
      <c r="IC305" s="2"/>
      <c r="ID305" s="2"/>
      <c r="IE305" s="2"/>
      <c r="IF305" s="2"/>
      <c r="IG305" s="2"/>
      <c r="IH305" s="2"/>
      <c r="II305" s="2"/>
      <c r="IJ305" s="2"/>
      <c r="IK305" s="2">
        <v>0</v>
      </c>
      <c r="IL305" s="2"/>
      <c r="IM305" s="2"/>
      <c r="IN305" s="2"/>
      <c r="IO305" s="2"/>
      <c r="IP305" s="2"/>
      <c r="IQ305" s="2"/>
      <c r="IR305" s="2"/>
      <c r="IS305" s="2"/>
      <c r="IT305" s="2"/>
      <c r="IU305" s="2"/>
    </row>
    <row r="306" spans="1:255" x14ac:dyDescent="0.2">
      <c r="A306">
        <v>18</v>
      </c>
      <c r="B306">
        <v>1</v>
      </c>
      <c r="C306">
        <v>321</v>
      </c>
      <c r="E306" t="s">
        <v>394</v>
      </c>
      <c r="F306" t="s">
        <v>395</v>
      </c>
      <c r="G306" t="s">
        <v>396</v>
      </c>
      <c r="H306" t="s">
        <v>258</v>
      </c>
      <c r="I306">
        <f>I302*J306</f>
        <v>0</v>
      </c>
      <c r="J306">
        <v>0</v>
      </c>
      <c r="K306">
        <v>0</v>
      </c>
      <c r="O306">
        <f t="shared" si="240"/>
        <v>0</v>
      </c>
      <c r="P306">
        <f t="shared" si="241"/>
        <v>0</v>
      </c>
      <c r="Q306">
        <f>(ROUND((ROUND(((ET306)*AV306*I306),2)*BB306),2)+ROUND((ROUND(((AE306-(EU306))*AV306*I306),2)*BS306),2))</f>
        <v>0</v>
      </c>
      <c r="R306">
        <f t="shared" si="242"/>
        <v>0</v>
      </c>
      <c r="S306">
        <f t="shared" si="243"/>
        <v>0</v>
      </c>
      <c r="T306">
        <f t="shared" si="244"/>
        <v>0</v>
      </c>
      <c r="U306">
        <f t="shared" si="245"/>
        <v>0</v>
      </c>
      <c r="V306">
        <f t="shared" si="246"/>
        <v>0</v>
      </c>
      <c r="W306">
        <f t="shared" si="247"/>
        <v>0</v>
      </c>
      <c r="X306">
        <f t="shared" si="248"/>
        <v>0</v>
      </c>
      <c r="Y306">
        <f t="shared" si="249"/>
        <v>0</v>
      </c>
      <c r="AA306">
        <v>129761633</v>
      </c>
      <c r="AB306">
        <f t="shared" si="250"/>
        <v>0</v>
      </c>
      <c r="AC306">
        <f t="shared" si="251"/>
        <v>0</v>
      </c>
      <c r="AD306">
        <f>ROUND((((ET306)-(EU306))+AE306),6)</f>
        <v>0</v>
      </c>
      <c r="AE306">
        <f t="shared" si="271"/>
        <v>0</v>
      </c>
      <c r="AF306">
        <f t="shared" si="271"/>
        <v>0</v>
      </c>
      <c r="AG306">
        <f t="shared" si="252"/>
        <v>0</v>
      </c>
      <c r="AH306">
        <f t="shared" si="272"/>
        <v>0</v>
      </c>
      <c r="AI306">
        <f t="shared" si="272"/>
        <v>0</v>
      </c>
      <c r="AJ306">
        <f t="shared" si="253"/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1</v>
      </c>
      <c r="AW306">
        <v>1</v>
      </c>
      <c r="AZ306">
        <v>1</v>
      </c>
      <c r="BA306">
        <v>1</v>
      </c>
      <c r="BB306">
        <v>1</v>
      </c>
      <c r="BC306">
        <v>8.65</v>
      </c>
      <c r="BD306" t="s">
        <v>3</v>
      </c>
      <c r="BE306" t="s">
        <v>3</v>
      </c>
      <c r="BF306" t="s">
        <v>3</v>
      </c>
      <c r="BG306" t="s">
        <v>3</v>
      </c>
      <c r="BH306">
        <v>3</v>
      </c>
      <c r="BI306">
        <v>1</v>
      </c>
      <c r="BJ306" t="s">
        <v>3</v>
      </c>
      <c r="BM306">
        <v>113</v>
      </c>
      <c r="BN306">
        <v>0</v>
      </c>
      <c r="BO306" t="s">
        <v>3</v>
      </c>
      <c r="BP306">
        <v>0</v>
      </c>
      <c r="BQ306">
        <v>30</v>
      </c>
      <c r="BR306">
        <v>0</v>
      </c>
      <c r="BS306">
        <v>1</v>
      </c>
      <c r="BT306">
        <v>1</v>
      </c>
      <c r="BU306">
        <v>1</v>
      </c>
      <c r="BV306">
        <v>1</v>
      </c>
      <c r="BW306">
        <v>1</v>
      </c>
      <c r="BX306">
        <v>1</v>
      </c>
      <c r="BY306" t="s">
        <v>3</v>
      </c>
      <c r="BZ306">
        <v>0</v>
      </c>
      <c r="CA306">
        <v>0</v>
      </c>
      <c r="CB306" t="s">
        <v>3</v>
      </c>
      <c r="CE306">
        <v>30</v>
      </c>
      <c r="CF306">
        <v>0</v>
      </c>
      <c r="CG306">
        <v>0</v>
      </c>
      <c r="CM306">
        <v>0</v>
      </c>
      <c r="CN306" t="s">
        <v>3</v>
      </c>
      <c r="CO306">
        <v>0</v>
      </c>
      <c r="CP306">
        <f t="shared" si="254"/>
        <v>0</v>
      </c>
      <c r="CQ306">
        <f t="shared" si="255"/>
        <v>0</v>
      </c>
      <c r="CR306">
        <f>(ROUND((ROUND(((ET306)*AV306*1),2)*BB306),2)+ROUND((ROUND(((AE306-(EU306))*AV306*1),2)*BS306),2))</f>
        <v>0</v>
      </c>
      <c r="CS306">
        <f t="shared" si="256"/>
        <v>0</v>
      </c>
      <c r="CT306">
        <f t="shared" si="257"/>
        <v>0</v>
      </c>
      <c r="CU306">
        <f t="shared" si="258"/>
        <v>0</v>
      </c>
      <c r="CV306">
        <f t="shared" si="259"/>
        <v>0</v>
      </c>
      <c r="CW306">
        <f t="shared" si="260"/>
        <v>0</v>
      </c>
      <c r="CX306">
        <f t="shared" si="261"/>
        <v>0</v>
      </c>
      <c r="CY306">
        <f>S306*(BZ306/100)</f>
        <v>0</v>
      </c>
      <c r="CZ306">
        <f>S306*(CA306/100)</f>
        <v>0</v>
      </c>
      <c r="DC306" t="s">
        <v>3</v>
      </c>
      <c r="DD306" t="s">
        <v>3</v>
      </c>
      <c r="DE306" t="s">
        <v>3</v>
      </c>
      <c r="DF306" t="s">
        <v>3</v>
      </c>
      <c r="DG306" t="s">
        <v>3</v>
      </c>
      <c r="DH306" t="s">
        <v>3</v>
      </c>
      <c r="DI306" t="s">
        <v>3</v>
      </c>
      <c r="DJ306" t="s">
        <v>3</v>
      </c>
      <c r="DK306" t="s">
        <v>3</v>
      </c>
      <c r="DL306" t="s">
        <v>3</v>
      </c>
      <c r="DM306" t="s">
        <v>3</v>
      </c>
      <c r="DN306">
        <v>100</v>
      </c>
      <c r="DO306">
        <v>64</v>
      </c>
      <c r="DP306">
        <v>1</v>
      </c>
      <c r="DQ306">
        <v>1</v>
      </c>
      <c r="DU306">
        <v>1005</v>
      </c>
      <c r="DV306" t="s">
        <v>258</v>
      </c>
      <c r="DW306" t="s">
        <v>258</v>
      </c>
      <c r="DX306">
        <v>1</v>
      </c>
      <c r="DZ306" t="s">
        <v>3</v>
      </c>
      <c r="EA306" t="s">
        <v>3</v>
      </c>
      <c r="EB306" t="s">
        <v>3</v>
      </c>
      <c r="EC306" t="s">
        <v>3</v>
      </c>
      <c r="EE306">
        <v>126051574</v>
      </c>
      <c r="EF306">
        <v>30</v>
      </c>
      <c r="EG306" t="s">
        <v>23</v>
      </c>
      <c r="EH306">
        <v>0</v>
      </c>
      <c r="EI306" t="s">
        <v>3</v>
      </c>
      <c r="EJ306">
        <v>1</v>
      </c>
      <c r="EK306">
        <v>113</v>
      </c>
      <c r="EL306" t="s">
        <v>389</v>
      </c>
      <c r="EM306" t="s">
        <v>390</v>
      </c>
      <c r="EO306" t="s">
        <v>3</v>
      </c>
      <c r="EQ306">
        <v>0</v>
      </c>
      <c r="ER306">
        <v>0</v>
      </c>
      <c r="ES306">
        <v>0</v>
      </c>
      <c r="ET306">
        <v>0</v>
      </c>
      <c r="EU306">
        <v>0</v>
      </c>
      <c r="EV306">
        <v>0</v>
      </c>
      <c r="EW306">
        <v>0</v>
      </c>
      <c r="EX306">
        <v>0</v>
      </c>
      <c r="FQ306">
        <v>0</v>
      </c>
      <c r="FR306">
        <f t="shared" si="262"/>
        <v>0</v>
      </c>
      <c r="FS306">
        <v>0</v>
      </c>
      <c r="FX306">
        <v>100</v>
      </c>
      <c r="FY306">
        <v>64</v>
      </c>
      <c r="GA306" t="s">
        <v>3</v>
      </c>
      <c r="GD306">
        <v>0</v>
      </c>
      <c r="GF306">
        <v>-1012860968</v>
      </c>
      <c r="GG306">
        <v>2</v>
      </c>
      <c r="GH306">
        <v>1</v>
      </c>
      <c r="GI306">
        <v>5</v>
      </c>
      <c r="GJ306">
        <v>0</v>
      </c>
      <c r="GK306">
        <f>ROUND(R306*(S12)/100,2)</f>
        <v>0</v>
      </c>
      <c r="GL306">
        <f t="shared" si="263"/>
        <v>0</v>
      </c>
      <c r="GM306">
        <f t="shared" si="264"/>
        <v>0</v>
      </c>
      <c r="GN306">
        <f t="shared" si="265"/>
        <v>0</v>
      </c>
      <c r="GO306">
        <f t="shared" si="266"/>
        <v>0</v>
      </c>
      <c r="GP306">
        <f t="shared" si="267"/>
        <v>0</v>
      </c>
      <c r="GR306">
        <v>0</v>
      </c>
      <c r="GS306">
        <v>3</v>
      </c>
      <c r="GT306">
        <v>0</v>
      </c>
      <c r="GU306" t="s">
        <v>3</v>
      </c>
      <c r="GV306">
        <f t="shared" si="268"/>
        <v>0</v>
      </c>
      <c r="GW306">
        <v>1</v>
      </c>
      <c r="GX306">
        <f t="shared" si="269"/>
        <v>0</v>
      </c>
      <c r="HA306">
        <v>0</v>
      </c>
      <c r="HB306">
        <v>0</v>
      </c>
      <c r="HC306">
        <f t="shared" si="270"/>
        <v>0</v>
      </c>
      <c r="HE306" t="s">
        <v>3</v>
      </c>
      <c r="HF306" t="s">
        <v>3</v>
      </c>
      <c r="HM306" t="s">
        <v>3</v>
      </c>
      <c r="HN306" t="s">
        <v>3</v>
      </c>
      <c r="HO306" t="s">
        <v>3</v>
      </c>
      <c r="HP306" t="s">
        <v>3</v>
      </c>
      <c r="HQ306" t="s">
        <v>3</v>
      </c>
      <c r="IK306">
        <v>0</v>
      </c>
    </row>
    <row r="307" spans="1:255" x14ac:dyDescent="0.2">
      <c r="A307" s="2">
        <v>17</v>
      </c>
      <c r="B307" s="2">
        <v>1</v>
      </c>
      <c r="C307" s="2">
        <f>ROW(SmtRes!A332)</f>
        <v>332</v>
      </c>
      <c r="D307" s="2">
        <f>ROW(EtalonRes!A337)</f>
        <v>337</v>
      </c>
      <c r="E307" s="2" t="s">
        <v>397</v>
      </c>
      <c r="F307" s="2" t="s">
        <v>398</v>
      </c>
      <c r="G307" s="2" t="s">
        <v>399</v>
      </c>
      <c r="H307" s="2" t="s">
        <v>400</v>
      </c>
      <c r="I307" s="2">
        <v>6.0999999999999999E-2</v>
      </c>
      <c r="J307" s="2">
        <v>0</v>
      </c>
      <c r="K307" s="2">
        <v>6.0999999999999999E-2</v>
      </c>
      <c r="L307" s="2"/>
      <c r="M307" s="2"/>
      <c r="N307" s="2"/>
      <c r="O307" s="2">
        <f t="shared" si="240"/>
        <v>119.54</v>
      </c>
      <c r="P307" s="2">
        <f t="shared" si="241"/>
        <v>42.69</v>
      </c>
      <c r="Q307" s="2">
        <f>(ROUND((ROUND((((ET307*1.25))*AV307*I307),2)*BB307),2)+ROUND((ROUND(((AE307-((EU307*1.25)))*AV307*I307),2)*BS307),2))</f>
        <v>7.61</v>
      </c>
      <c r="R307" s="2">
        <f t="shared" si="242"/>
        <v>0.95</v>
      </c>
      <c r="S307" s="2">
        <f t="shared" si="243"/>
        <v>69.239999999999995</v>
      </c>
      <c r="T307" s="2">
        <f t="shared" si="244"/>
        <v>0</v>
      </c>
      <c r="U307" s="2">
        <f t="shared" si="245"/>
        <v>5.8982119999999991</v>
      </c>
      <c r="V307" s="2">
        <f t="shared" si="246"/>
        <v>0</v>
      </c>
      <c r="W307" s="2">
        <f t="shared" si="247"/>
        <v>0</v>
      </c>
      <c r="X307" s="2">
        <f t="shared" si="248"/>
        <v>72.010000000000005</v>
      </c>
      <c r="Y307" s="2">
        <f t="shared" si="249"/>
        <v>48.47</v>
      </c>
      <c r="Z307" s="2"/>
      <c r="AA307" s="2">
        <v>129761636</v>
      </c>
      <c r="AB307" s="2">
        <f t="shared" si="250"/>
        <v>1959.5195000000001</v>
      </c>
      <c r="AC307" s="2">
        <f t="shared" si="251"/>
        <v>699.78</v>
      </c>
      <c r="AD307" s="2">
        <f>ROUND(((((ET307*1.25))-((EU307*1.25)))+AE307),6)</f>
        <v>124.71250000000001</v>
      </c>
      <c r="AE307" s="2">
        <f>ROUND(((EU307*1.25)),6)</f>
        <v>15.637499999999999</v>
      </c>
      <c r="AF307" s="2">
        <f>ROUND(((EV307*1.15)),6)</f>
        <v>1135.027</v>
      </c>
      <c r="AG307" s="2">
        <f t="shared" si="252"/>
        <v>0</v>
      </c>
      <c r="AH307" s="2">
        <f>((EW307*1.15))</f>
        <v>96.691999999999993</v>
      </c>
      <c r="AI307" s="2">
        <f>((EX307*1.25))</f>
        <v>0</v>
      </c>
      <c r="AJ307" s="2">
        <f t="shared" si="253"/>
        <v>0</v>
      </c>
      <c r="AK307" s="2">
        <v>1786.53</v>
      </c>
      <c r="AL307" s="2">
        <v>699.78</v>
      </c>
      <c r="AM307" s="2">
        <v>99.77</v>
      </c>
      <c r="AN307" s="2">
        <v>12.51</v>
      </c>
      <c r="AO307" s="2">
        <v>986.98</v>
      </c>
      <c r="AP307" s="2">
        <v>0</v>
      </c>
      <c r="AQ307" s="2">
        <v>84.08</v>
      </c>
      <c r="AR307" s="2">
        <v>0</v>
      </c>
      <c r="AS307" s="2">
        <v>0</v>
      </c>
      <c r="AT307" s="2">
        <v>104</v>
      </c>
      <c r="AU307" s="2">
        <v>70</v>
      </c>
      <c r="AV307" s="2">
        <v>1</v>
      </c>
      <c r="AW307" s="2">
        <v>1</v>
      </c>
      <c r="AX307" s="2"/>
      <c r="AY307" s="2"/>
      <c r="AZ307" s="2">
        <v>1</v>
      </c>
      <c r="BA307" s="2">
        <v>1</v>
      </c>
      <c r="BB307" s="2">
        <v>1</v>
      </c>
      <c r="BC307" s="2">
        <v>1</v>
      </c>
      <c r="BD307" s="2" t="s">
        <v>3</v>
      </c>
      <c r="BE307" s="2" t="s">
        <v>3</v>
      </c>
      <c r="BF307" s="2" t="s">
        <v>3</v>
      </c>
      <c r="BG307" s="2" t="s">
        <v>3</v>
      </c>
      <c r="BH307" s="2">
        <v>0</v>
      </c>
      <c r="BI307" s="2">
        <v>1</v>
      </c>
      <c r="BJ307" s="2" t="s">
        <v>401</v>
      </c>
      <c r="BK307" s="2"/>
      <c r="BL307" s="2"/>
      <c r="BM307" s="2">
        <v>92</v>
      </c>
      <c r="BN307" s="2">
        <v>0</v>
      </c>
      <c r="BO307" s="2" t="s">
        <v>3</v>
      </c>
      <c r="BP307" s="2">
        <v>0</v>
      </c>
      <c r="BQ307" s="2">
        <v>30</v>
      </c>
      <c r="BR307" s="2">
        <v>0</v>
      </c>
      <c r="BS307" s="2">
        <v>1</v>
      </c>
      <c r="BT307" s="2">
        <v>1</v>
      </c>
      <c r="BU307" s="2">
        <v>1</v>
      </c>
      <c r="BV307" s="2">
        <v>1</v>
      </c>
      <c r="BW307" s="2">
        <v>1</v>
      </c>
      <c r="BX307" s="2">
        <v>1</v>
      </c>
      <c r="BY307" s="2" t="s">
        <v>3</v>
      </c>
      <c r="BZ307" s="2">
        <v>104</v>
      </c>
      <c r="CA307" s="2">
        <v>70</v>
      </c>
      <c r="CB307" s="2" t="s">
        <v>3</v>
      </c>
      <c r="CC307" s="2"/>
      <c r="CD307" s="2"/>
      <c r="CE307" s="2">
        <v>30</v>
      </c>
      <c r="CF307" s="2">
        <v>0</v>
      </c>
      <c r="CG307" s="2">
        <v>0</v>
      </c>
      <c r="CH307" s="2"/>
      <c r="CI307" s="2"/>
      <c r="CJ307" s="2"/>
      <c r="CK307" s="2"/>
      <c r="CL307" s="2"/>
      <c r="CM307" s="2">
        <v>0</v>
      </c>
      <c r="CN307" s="2" t="s">
        <v>1559</v>
      </c>
      <c r="CO307" s="2">
        <v>0</v>
      </c>
      <c r="CP307" s="2">
        <f t="shared" si="254"/>
        <v>119.53999999999999</v>
      </c>
      <c r="CQ307" s="2">
        <f t="shared" si="255"/>
        <v>699.78</v>
      </c>
      <c r="CR307" s="2">
        <f>(ROUND((ROUND((((ET307*1.25))*AV307*1),2)*BB307),2)+ROUND((ROUND(((AE307-((EU307*1.25)))*AV307*1),2)*BS307),2))</f>
        <v>124.71</v>
      </c>
      <c r="CS307" s="2">
        <f t="shared" si="256"/>
        <v>15.64</v>
      </c>
      <c r="CT307" s="2">
        <f t="shared" si="257"/>
        <v>1135.03</v>
      </c>
      <c r="CU307" s="2">
        <f t="shared" si="258"/>
        <v>0</v>
      </c>
      <c r="CV307" s="2">
        <f t="shared" si="259"/>
        <v>96.691999999999993</v>
      </c>
      <c r="CW307" s="2">
        <f t="shared" si="260"/>
        <v>0</v>
      </c>
      <c r="CX307" s="2">
        <f t="shared" si="261"/>
        <v>0</v>
      </c>
      <c r="CY307" s="2">
        <f>((S307*BZ307)/100)</f>
        <v>72.009599999999992</v>
      </c>
      <c r="CZ307" s="2">
        <f>((S307*CA307)/100)</f>
        <v>48.467999999999989</v>
      </c>
      <c r="DA307" s="2"/>
      <c r="DB307" s="2"/>
      <c r="DC307" s="2" t="s">
        <v>3</v>
      </c>
      <c r="DD307" s="2" t="s">
        <v>3</v>
      </c>
      <c r="DE307" s="2" t="s">
        <v>86</v>
      </c>
      <c r="DF307" s="2" t="s">
        <v>86</v>
      </c>
      <c r="DG307" s="2" t="s">
        <v>87</v>
      </c>
      <c r="DH307" s="2" t="s">
        <v>3</v>
      </c>
      <c r="DI307" s="2" t="s">
        <v>87</v>
      </c>
      <c r="DJ307" s="2" t="s">
        <v>86</v>
      </c>
      <c r="DK307" s="2" t="s">
        <v>3</v>
      </c>
      <c r="DL307" s="2" t="s">
        <v>3</v>
      </c>
      <c r="DM307" s="2" t="s">
        <v>3</v>
      </c>
      <c r="DN307" s="2">
        <v>0</v>
      </c>
      <c r="DO307" s="2">
        <v>0</v>
      </c>
      <c r="DP307" s="2">
        <v>1</v>
      </c>
      <c r="DQ307" s="2">
        <v>1</v>
      </c>
      <c r="DR307" s="2"/>
      <c r="DS307" s="2"/>
      <c r="DT307" s="2"/>
      <c r="DU307" s="2">
        <v>1013</v>
      </c>
      <c r="DV307" s="2" t="s">
        <v>400</v>
      </c>
      <c r="DW307" s="2" t="s">
        <v>400</v>
      </c>
      <c r="DX307" s="2">
        <v>1</v>
      </c>
      <c r="DY307" s="2"/>
      <c r="DZ307" s="2" t="s">
        <v>3</v>
      </c>
      <c r="EA307" s="2" t="s">
        <v>3</v>
      </c>
      <c r="EB307" s="2" t="s">
        <v>3</v>
      </c>
      <c r="EC307" s="2" t="s">
        <v>3</v>
      </c>
      <c r="ED307" s="2"/>
      <c r="EE307" s="2">
        <v>126051553</v>
      </c>
      <c r="EF307" s="2">
        <v>30</v>
      </c>
      <c r="EG307" s="2" t="s">
        <v>23</v>
      </c>
      <c r="EH307" s="2">
        <v>0</v>
      </c>
      <c r="EI307" s="2" t="s">
        <v>3</v>
      </c>
      <c r="EJ307" s="2">
        <v>1</v>
      </c>
      <c r="EK307" s="2">
        <v>92</v>
      </c>
      <c r="EL307" s="2" t="s">
        <v>402</v>
      </c>
      <c r="EM307" s="2" t="s">
        <v>403</v>
      </c>
      <c r="EN307" s="2"/>
      <c r="EO307" s="2" t="s">
        <v>90</v>
      </c>
      <c r="EP307" s="2"/>
      <c r="EQ307" s="2">
        <v>131072</v>
      </c>
      <c r="ER307" s="2">
        <v>1786.53</v>
      </c>
      <c r="ES307" s="2">
        <v>699.78</v>
      </c>
      <c r="ET307" s="2">
        <v>99.77</v>
      </c>
      <c r="EU307" s="2">
        <v>12.51</v>
      </c>
      <c r="EV307" s="2">
        <v>986.98</v>
      </c>
      <c r="EW307" s="2">
        <v>84.08</v>
      </c>
      <c r="EX307" s="2">
        <v>0</v>
      </c>
      <c r="EY307" s="2">
        <v>0</v>
      </c>
      <c r="EZ307" s="2"/>
      <c r="FA307" s="2"/>
      <c r="FB307" s="2"/>
      <c r="FC307" s="2"/>
      <c r="FD307" s="2"/>
      <c r="FE307" s="2"/>
      <c r="FF307" s="2"/>
      <c r="FG307" s="2"/>
      <c r="FH307" s="2"/>
      <c r="FI307" s="2"/>
      <c r="FJ307" s="2"/>
      <c r="FK307" s="2"/>
      <c r="FL307" s="2"/>
      <c r="FM307" s="2"/>
      <c r="FN307" s="2"/>
      <c r="FO307" s="2"/>
      <c r="FP307" s="2"/>
      <c r="FQ307" s="2">
        <v>0</v>
      </c>
      <c r="FR307" s="2">
        <f t="shared" si="262"/>
        <v>0</v>
      </c>
      <c r="FS307" s="2">
        <v>0</v>
      </c>
      <c r="FT307" s="2"/>
      <c r="FU307" s="2"/>
      <c r="FV307" s="2"/>
      <c r="FW307" s="2"/>
      <c r="FX307" s="2">
        <v>104</v>
      </c>
      <c r="FY307" s="2">
        <v>70</v>
      </c>
      <c r="FZ307" s="2"/>
      <c r="GA307" s="2" t="s">
        <v>3</v>
      </c>
      <c r="GB307" s="2"/>
      <c r="GC307" s="2"/>
      <c r="GD307" s="2">
        <v>0</v>
      </c>
      <c r="GE307" s="2"/>
      <c r="GF307" s="2">
        <v>1813605207</v>
      </c>
      <c r="GG307" s="2">
        <v>2</v>
      </c>
      <c r="GH307" s="2">
        <v>1</v>
      </c>
      <c r="GI307" s="2">
        <v>-2</v>
      </c>
      <c r="GJ307" s="2">
        <v>0</v>
      </c>
      <c r="GK307" s="2">
        <f>ROUND(R307*(R12)/100,2)</f>
        <v>1.66</v>
      </c>
      <c r="GL307" s="2">
        <f t="shared" si="263"/>
        <v>0</v>
      </c>
      <c r="GM307" s="2">
        <f t="shared" si="264"/>
        <v>241.68</v>
      </c>
      <c r="GN307" s="2">
        <f t="shared" si="265"/>
        <v>241.68</v>
      </c>
      <c r="GO307" s="2">
        <f t="shared" si="266"/>
        <v>0</v>
      </c>
      <c r="GP307" s="2">
        <f t="shared" si="267"/>
        <v>0</v>
      </c>
      <c r="GQ307" s="2"/>
      <c r="GR307" s="2">
        <v>0</v>
      </c>
      <c r="GS307" s="2">
        <v>0</v>
      </c>
      <c r="GT307" s="2">
        <v>0</v>
      </c>
      <c r="GU307" s="2" t="s">
        <v>3</v>
      </c>
      <c r="GV307" s="2">
        <f t="shared" si="268"/>
        <v>0</v>
      </c>
      <c r="GW307" s="2">
        <v>1</v>
      </c>
      <c r="GX307" s="2">
        <f t="shared" si="269"/>
        <v>0</v>
      </c>
      <c r="GY307" s="2"/>
      <c r="GZ307" s="2"/>
      <c r="HA307" s="2">
        <v>0</v>
      </c>
      <c r="HB307" s="2">
        <v>0</v>
      </c>
      <c r="HC307" s="2">
        <f t="shared" si="270"/>
        <v>0</v>
      </c>
      <c r="HD307" s="2"/>
      <c r="HE307" s="2" t="s">
        <v>3</v>
      </c>
      <c r="HF307" s="2" t="s">
        <v>3</v>
      </c>
      <c r="HG307" s="2"/>
      <c r="HH307" s="2"/>
      <c r="HI307" s="2"/>
      <c r="HJ307" s="2"/>
      <c r="HK307" s="2"/>
      <c r="HL307" s="2"/>
      <c r="HM307" s="2" t="s">
        <v>3</v>
      </c>
      <c r="HN307" s="2" t="s">
        <v>3</v>
      </c>
      <c r="HO307" s="2" t="s">
        <v>3</v>
      </c>
      <c r="HP307" s="2" t="s">
        <v>3</v>
      </c>
      <c r="HQ307" s="2" t="s">
        <v>3</v>
      </c>
      <c r="HR307" s="2"/>
      <c r="HS307" s="2"/>
      <c r="HT307" s="2"/>
      <c r="HU307" s="2"/>
      <c r="HV307" s="2"/>
      <c r="HW307" s="2"/>
      <c r="HX307" s="2"/>
      <c r="HY307" s="2"/>
      <c r="HZ307" s="2"/>
      <c r="IA307" s="2"/>
      <c r="IB307" s="2"/>
      <c r="IC307" s="2"/>
      <c r="ID307" s="2"/>
      <c r="IE307" s="2"/>
      <c r="IF307" s="2"/>
      <c r="IG307" s="2"/>
      <c r="IH307" s="2"/>
      <c r="II307" s="2"/>
      <c r="IJ307" s="2"/>
      <c r="IK307" s="2">
        <v>0</v>
      </c>
      <c r="IL307" s="2"/>
      <c r="IM307" s="2"/>
      <c r="IN307" s="2"/>
      <c r="IO307" s="2"/>
      <c r="IP307" s="2"/>
      <c r="IQ307" s="2"/>
      <c r="IR307" s="2"/>
      <c r="IS307" s="2"/>
      <c r="IT307" s="2"/>
      <c r="IU307" s="2"/>
    </row>
    <row r="308" spans="1:255" x14ac:dyDescent="0.2">
      <c r="A308">
        <v>17</v>
      </c>
      <c r="B308">
        <v>1</v>
      </c>
      <c r="C308">
        <f>ROW(SmtRes!A342)</f>
        <v>342</v>
      </c>
      <c r="D308">
        <f>ROW(EtalonRes!A346)</f>
        <v>346</v>
      </c>
      <c r="E308" t="s">
        <v>397</v>
      </c>
      <c r="F308" t="s">
        <v>398</v>
      </c>
      <c r="G308" t="s">
        <v>399</v>
      </c>
      <c r="H308" t="s">
        <v>400</v>
      </c>
      <c r="I308">
        <v>6.0999999999999999E-2</v>
      </c>
      <c r="J308">
        <v>0</v>
      </c>
      <c r="K308">
        <v>6.0999999999999999E-2</v>
      </c>
      <c r="O308">
        <f t="shared" si="240"/>
        <v>2238.62</v>
      </c>
      <c r="P308">
        <f t="shared" si="241"/>
        <v>137.03</v>
      </c>
      <c r="Q308">
        <f>(ROUND((ROUND((((ET308*1.25))*AV308*I308),2)*BB308),2)+ROUND((ROUND(((AE308-((EU308*1.25)))*AV308*I308),2)*BS308),2))</f>
        <v>91.55</v>
      </c>
      <c r="R308">
        <f t="shared" si="242"/>
        <v>27.58</v>
      </c>
      <c r="S308">
        <f t="shared" si="243"/>
        <v>2010.04</v>
      </c>
      <c r="T308">
        <f t="shared" si="244"/>
        <v>0</v>
      </c>
      <c r="U308">
        <f t="shared" si="245"/>
        <v>5.8982119999999991</v>
      </c>
      <c r="V308">
        <f t="shared" si="246"/>
        <v>0</v>
      </c>
      <c r="W308">
        <f t="shared" si="247"/>
        <v>0</v>
      </c>
      <c r="X308">
        <f t="shared" si="248"/>
        <v>1748.73</v>
      </c>
      <c r="Y308">
        <f t="shared" si="249"/>
        <v>824.12</v>
      </c>
      <c r="AA308">
        <v>129761633</v>
      </c>
      <c r="AB308">
        <f t="shared" si="250"/>
        <v>1959.5195000000001</v>
      </c>
      <c r="AC308">
        <f t="shared" si="251"/>
        <v>699.78</v>
      </c>
      <c r="AD308">
        <f>ROUND(((((ET308*1.25))-((EU308*1.25)))+AE308),6)</f>
        <v>124.71250000000001</v>
      </c>
      <c r="AE308">
        <f>ROUND(((EU308*1.25)),6)</f>
        <v>15.637499999999999</v>
      </c>
      <c r="AF308">
        <f>ROUND(((EV308*1.15)),6)</f>
        <v>1135.027</v>
      </c>
      <c r="AG308">
        <f t="shared" si="252"/>
        <v>0</v>
      </c>
      <c r="AH308">
        <f>((EW308*1.15))</f>
        <v>96.691999999999993</v>
      </c>
      <c r="AI308">
        <f>((EX308*1.25))</f>
        <v>0</v>
      </c>
      <c r="AJ308">
        <f t="shared" si="253"/>
        <v>0</v>
      </c>
      <c r="AK308">
        <v>1786.53</v>
      </c>
      <c r="AL308">
        <v>699.78</v>
      </c>
      <c r="AM308">
        <v>99.77</v>
      </c>
      <c r="AN308">
        <v>12.51</v>
      </c>
      <c r="AO308">
        <v>986.98</v>
      </c>
      <c r="AP308">
        <v>0</v>
      </c>
      <c r="AQ308">
        <v>84.08</v>
      </c>
      <c r="AR308">
        <v>0</v>
      </c>
      <c r="AS308">
        <v>0</v>
      </c>
      <c r="AT308">
        <v>87</v>
      </c>
      <c r="AU308">
        <v>41</v>
      </c>
      <c r="AV308">
        <v>1</v>
      </c>
      <c r="AW308">
        <v>1</v>
      </c>
      <c r="AZ308">
        <v>1</v>
      </c>
      <c r="BA308">
        <v>29.03</v>
      </c>
      <c r="BB308">
        <v>12.03</v>
      </c>
      <c r="BC308">
        <v>3.21</v>
      </c>
      <c r="BD308" t="s">
        <v>3</v>
      </c>
      <c r="BE308" t="s">
        <v>3</v>
      </c>
      <c r="BF308" t="s">
        <v>3</v>
      </c>
      <c r="BG308" t="s">
        <v>3</v>
      </c>
      <c r="BH308">
        <v>0</v>
      </c>
      <c r="BI308">
        <v>1</v>
      </c>
      <c r="BJ308" t="s">
        <v>401</v>
      </c>
      <c r="BM308">
        <v>92</v>
      </c>
      <c r="BN308">
        <v>0</v>
      </c>
      <c r="BO308" t="s">
        <v>398</v>
      </c>
      <c r="BP308">
        <v>1</v>
      </c>
      <c r="BQ308">
        <v>30</v>
      </c>
      <c r="BR308">
        <v>0</v>
      </c>
      <c r="BS308">
        <v>29.03</v>
      </c>
      <c r="BT308">
        <v>1</v>
      </c>
      <c r="BU308">
        <v>1</v>
      </c>
      <c r="BV308">
        <v>1</v>
      </c>
      <c r="BW308">
        <v>1</v>
      </c>
      <c r="BX308">
        <v>1</v>
      </c>
      <c r="BY308" t="s">
        <v>3</v>
      </c>
      <c r="BZ308">
        <v>87</v>
      </c>
      <c r="CA308">
        <v>41</v>
      </c>
      <c r="CB308" t="s">
        <v>3</v>
      </c>
      <c r="CE308">
        <v>30</v>
      </c>
      <c r="CF308">
        <v>0</v>
      </c>
      <c r="CG308">
        <v>0</v>
      </c>
      <c r="CM308">
        <v>0</v>
      </c>
      <c r="CN308" t="s">
        <v>1559</v>
      </c>
      <c r="CO308">
        <v>0</v>
      </c>
      <c r="CP308">
        <f t="shared" si="254"/>
        <v>2238.62</v>
      </c>
      <c r="CQ308">
        <f t="shared" si="255"/>
        <v>2246.29</v>
      </c>
      <c r="CR308">
        <f>(ROUND((ROUND((((ET308*1.25))*AV308*1),2)*BB308),2)+ROUND((ROUND(((AE308-((EU308*1.25)))*AV308*1),2)*BS308),2))</f>
        <v>1500.26</v>
      </c>
      <c r="CS308">
        <f t="shared" si="256"/>
        <v>454.03</v>
      </c>
      <c r="CT308">
        <f t="shared" si="257"/>
        <v>32949.919999999998</v>
      </c>
      <c r="CU308">
        <f t="shared" si="258"/>
        <v>0</v>
      </c>
      <c r="CV308">
        <f t="shared" si="259"/>
        <v>96.691999999999993</v>
      </c>
      <c r="CW308">
        <f t="shared" si="260"/>
        <v>0</v>
      </c>
      <c r="CX308">
        <f t="shared" si="261"/>
        <v>0</v>
      </c>
      <c r="CY308">
        <f>S308*(BZ308/100)</f>
        <v>1748.7348</v>
      </c>
      <c r="CZ308">
        <f>S308*(CA308/100)</f>
        <v>824.11639999999989</v>
      </c>
      <c r="DC308" t="s">
        <v>3</v>
      </c>
      <c r="DD308" t="s">
        <v>3</v>
      </c>
      <c r="DE308" t="s">
        <v>86</v>
      </c>
      <c r="DF308" t="s">
        <v>86</v>
      </c>
      <c r="DG308" t="s">
        <v>87</v>
      </c>
      <c r="DH308" t="s">
        <v>3</v>
      </c>
      <c r="DI308" t="s">
        <v>87</v>
      </c>
      <c r="DJ308" t="s">
        <v>86</v>
      </c>
      <c r="DK308" t="s">
        <v>3</v>
      </c>
      <c r="DL308" t="s">
        <v>3</v>
      </c>
      <c r="DM308" t="s">
        <v>3</v>
      </c>
      <c r="DN308">
        <v>104</v>
      </c>
      <c r="DO308">
        <v>70</v>
      </c>
      <c r="DP308">
        <v>1</v>
      </c>
      <c r="DQ308">
        <v>1</v>
      </c>
      <c r="DU308">
        <v>1013</v>
      </c>
      <c r="DV308" t="s">
        <v>400</v>
      </c>
      <c r="DW308" t="s">
        <v>400</v>
      </c>
      <c r="DX308">
        <v>1</v>
      </c>
      <c r="DZ308" t="s">
        <v>3</v>
      </c>
      <c r="EA308" t="s">
        <v>3</v>
      </c>
      <c r="EB308" t="s">
        <v>3</v>
      </c>
      <c r="EC308" t="s">
        <v>3</v>
      </c>
      <c r="EE308">
        <v>126051553</v>
      </c>
      <c r="EF308">
        <v>30</v>
      </c>
      <c r="EG308" t="s">
        <v>23</v>
      </c>
      <c r="EH308">
        <v>0</v>
      </c>
      <c r="EI308" t="s">
        <v>3</v>
      </c>
      <c r="EJ308">
        <v>1</v>
      </c>
      <c r="EK308">
        <v>92</v>
      </c>
      <c r="EL308" t="s">
        <v>402</v>
      </c>
      <c r="EM308" t="s">
        <v>403</v>
      </c>
      <c r="EO308" t="s">
        <v>90</v>
      </c>
      <c r="EQ308">
        <v>131072</v>
      </c>
      <c r="ER308">
        <v>1786.53</v>
      </c>
      <c r="ES308">
        <v>699.78</v>
      </c>
      <c r="ET308">
        <v>99.77</v>
      </c>
      <c r="EU308">
        <v>12.51</v>
      </c>
      <c r="EV308">
        <v>986.98</v>
      </c>
      <c r="EW308">
        <v>84.08</v>
      </c>
      <c r="EX308">
        <v>0</v>
      </c>
      <c r="EY308">
        <v>0</v>
      </c>
      <c r="FQ308">
        <v>0</v>
      </c>
      <c r="FR308">
        <f t="shared" si="262"/>
        <v>0</v>
      </c>
      <c r="FS308">
        <v>0</v>
      </c>
      <c r="FX308">
        <v>104</v>
      </c>
      <c r="FY308">
        <v>70</v>
      </c>
      <c r="GA308" t="s">
        <v>3</v>
      </c>
      <c r="GD308">
        <v>0</v>
      </c>
      <c r="GF308">
        <v>1813605207</v>
      </c>
      <c r="GG308">
        <v>2</v>
      </c>
      <c r="GH308">
        <v>1</v>
      </c>
      <c r="GI308">
        <v>2</v>
      </c>
      <c r="GJ308">
        <v>0</v>
      </c>
      <c r="GK308">
        <f>ROUND(R308*(S12)/100,2)</f>
        <v>44.13</v>
      </c>
      <c r="GL308">
        <f t="shared" si="263"/>
        <v>0</v>
      </c>
      <c r="GM308">
        <f t="shared" si="264"/>
        <v>4855.6000000000004</v>
      </c>
      <c r="GN308">
        <f t="shared" si="265"/>
        <v>4855.6000000000004</v>
      </c>
      <c r="GO308">
        <f t="shared" si="266"/>
        <v>0</v>
      </c>
      <c r="GP308">
        <f t="shared" si="267"/>
        <v>0</v>
      </c>
      <c r="GR308">
        <v>0</v>
      </c>
      <c r="GS308">
        <v>3</v>
      </c>
      <c r="GT308">
        <v>0</v>
      </c>
      <c r="GU308" t="s">
        <v>3</v>
      </c>
      <c r="GV308">
        <f t="shared" si="268"/>
        <v>0</v>
      </c>
      <c r="GW308">
        <v>1</v>
      </c>
      <c r="GX308">
        <f t="shared" si="269"/>
        <v>0</v>
      </c>
      <c r="HA308">
        <v>0</v>
      </c>
      <c r="HB308">
        <v>0</v>
      </c>
      <c r="HC308">
        <f t="shared" si="270"/>
        <v>0</v>
      </c>
      <c r="HE308" t="s">
        <v>3</v>
      </c>
      <c r="HF308" t="s">
        <v>3</v>
      </c>
      <c r="HM308" t="s">
        <v>3</v>
      </c>
      <c r="HN308" t="s">
        <v>3</v>
      </c>
      <c r="HO308" t="s">
        <v>3</v>
      </c>
      <c r="HP308" t="s">
        <v>3</v>
      </c>
      <c r="HQ308" t="s">
        <v>3</v>
      </c>
      <c r="IK308">
        <v>0</v>
      </c>
    </row>
    <row r="309" spans="1:255" x14ac:dyDescent="0.2">
      <c r="A309" s="2">
        <v>18</v>
      </c>
      <c r="B309" s="2">
        <v>1</v>
      </c>
      <c r="C309" s="2">
        <v>331</v>
      </c>
      <c r="D309" s="2"/>
      <c r="E309" s="2" t="s">
        <v>404</v>
      </c>
      <c r="F309" s="2" t="s">
        <v>405</v>
      </c>
      <c r="G309" s="2" t="s">
        <v>406</v>
      </c>
      <c r="H309" s="2" t="s">
        <v>114</v>
      </c>
      <c r="I309" s="2">
        <f>I307*J309</f>
        <v>6.1000000000000004E-3</v>
      </c>
      <c r="J309" s="2">
        <v>0.1</v>
      </c>
      <c r="K309" s="2">
        <v>0.1</v>
      </c>
      <c r="L309" s="2"/>
      <c r="M309" s="2"/>
      <c r="N309" s="2"/>
      <c r="O309" s="2">
        <f t="shared" si="240"/>
        <v>166.91</v>
      </c>
      <c r="P309" s="2">
        <f t="shared" si="241"/>
        <v>166.91</v>
      </c>
      <c r="Q309" s="2">
        <f t="shared" ref="Q309:Q316" si="273">(ROUND((ROUND(((ET309)*AV309*I309),2)*BB309),2)+ROUND((ROUND(((AE309-(EU309))*AV309*I309),2)*BS309),2))</f>
        <v>0</v>
      </c>
      <c r="R309" s="2">
        <f t="shared" si="242"/>
        <v>0</v>
      </c>
      <c r="S309" s="2">
        <f t="shared" si="243"/>
        <v>0</v>
      </c>
      <c r="T309" s="2">
        <f t="shared" si="244"/>
        <v>0</v>
      </c>
      <c r="U309" s="2">
        <f t="shared" si="245"/>
        <v>0</v>
      </c>
      <c r="V309" s="2">
        <f t="shared" si="246"/>
        <v>0</v>
      </c>
      <c r="W309" s="2">
        <f t="shared" si="247"/>
        <v>0</v>
      </c>
      <c r="X309" s="2">
        <f t="shared" si="248"/>
        <v>0</v>
      </c>
      <c r="Y309" s="2">
        <f t="shared" si="249"/>
        <v>0</v>
      </c>
      <c r="Z309" s="2"/>
      <c r="AA309" s="2">
        <v>129761636</v>
      </c>
      <c r="AB309" s="2">
        <f t="shared" si="250"/>
        <v>27362.67</v>
      </c>
      <c r="AC309" s="2">
        <f t="shared" si="251"/>
        <v>27362.67</v>
      </c>
      <c r="AD309" s="2">
        <f t="shared" ref="AD309:AD316" si="274">ROUND((((ET309)-(EU309))+AE309),6)</f>
        <v>0</v>
      </c>
      <c r="AE309" s="2">
        <f t="shared" ref="AE309:AF316" si="275">ROUND((EU309),6)</f>
        <v>0</v>
      </c>
      <c r="AF309" s="2">
        <f t="shared" si="275"/>
        <v>0</v>
      </c>
      <c r="AG309" s="2">
        <f t="shared" si="252"/>
        <v>0</v>
      </c>
      <c r="AH309" s="2">
        <f t="shared" ref="AH309:AI316" si="276">(EW309)</f>
        <v>0</v>
      </c>
      <c r="AI309" s="2">
        <f t="shared" si="276"/>
        <v>0</v>
      </c>
      <c r="AJ309" s="2">
        <f t="shared" si="253"/>
        <v>0</v>
      </c>
      <c r="AK309" s="2">
        <v>27362.67</v>
      </c>
      <c r="AL309" s="2">
        <v>27362.67</v>
      </c>
      <c r="AM309" s="2">
        <v>0</v>
      </c>
      <c r="AN309" s="2">
        <v>0</v>
      </c>
      <c r="AO309" s="2">
        <v>0</v>
      </c>
      <c r="AP309" s="2">
        <v>0</v>
      </c>
      <c r="AQ309" s="2">
        <v>0</v>
      </c>
      <c r="AR309" s="2">
        <v>0</v>
      </c>
      <c r="AS309" s="2">
        <v>0</v>
      </c>
      <c r="AT309" s="2">
        <v>104</v>
      </c>
      <c r="AU309" s="2">
        <v>70</v>
      </c>
      <c r="AV309" s="2">
        <v>1</v>
      </c>
      <c r="AW309" s="2">
        <v>1</v>
      </c>
      <c r="AX309" s="2"/>
      <c r="AY309" s="2"/>
      <c r="AZ309" s="2">
        <v>1</v>
      </c>
      <c r="BA309" s="2">
        <v>1</v>
      </c>
      <c r="BB309" s="2">
        <v>1</v>
      </c>
      <c r="BC309" s="2">
        <v>1</v>
      </c>
      <c r="BD309" s="2" t="s">
        <v>3</v>
      </c>
      <c r="BE309" s="2" t="s">
        <v>3</v>
      </c>
      <c r="BF309" s="2" t="s">
        <v>3</v>
      </c>
      <c r="BG309" s="2" t="s">
        <v>3</v>
      </c>
      <c r="BH309" s="2">
        <v>3</v>
      </c>
      <c r="BI309" s="2">
        <v>1</v>
      </c>
      <c r="BJ309" s="2" t="s">
        <v>407</v>
      </c>
      <c r="BK309" s="2"/>
      <c r="BL309" s="2"/>
      <c r="BM309" s="2">
        <v>92</v>
      </c>
      <c r="BN309" s="2">
        <v>0</v>
      </c>
      <c r="BO309" s="2" t="s">
        <v>3</v>
      </c>
      <c r="BP309" s="2">
        <v>0</v>
      </c>
      <c r="BQ309" s="2">
        <v>30</v>
      </c>
      <c r="BR309" s="2">
        <v>0</v>
      </c>
      <c r="BS309" s="2">
        <v>1</v>
      </c>
      <c r="BT309" s="2">
        <v>1</v>
      </c>
      <c r="BU309" s="2">
        <v>1</v>
      </c>
      <c r="BV309" s="2">
        <v>1</v>
      </c>
      <c r="BW309" s="2">
        <v>1</v>
      </c>
      <c r="BX309" s="2">
        <v>1</v>
      </c>
      <c r="BY309" s="2" t="s">
        <v>3</v>
      </c>
      <c r="BZ309" s="2">
        <v>104</v>
      </c>
      <c r="CA309" s="2">
        <v>70</v>
      </c>
      <c r="CB309" s="2" t="s">
        <v>3</v>
      </c>
      <c r="CC309" s="2"/>
      <c r="CD309" s="2"/>
      <c r="CE309" s="2">
        <v>30</v>
      </c>
      <c r="CF309" s="2">
        <v>0</v>
      </c>
      <c r="CG309" s="2">
        <v>0</v>
      </c>
      <c r="CH309" s="2"/>
      <c r="CI309" s="2"/>
      <c r="CJ309" s="2"/>
      <c r="CK309" s="2"/>
      <c r="CL309" s="2"/>
      <c r="CM309" s="2">
        <v>0</v>
      </c>
      <c r="CN309" s="2" t="s">
        <v>3</v>
      </c>
      <c r="CO309" s="2">
        <v>0</v>
      </c>
      <c r="CP309" s="2">
        <f t="shared" si="254"/>
        <v>166.91</v>
      </c>
      <c r="CQ309" s="2">
        <f t="shared" si="255"/>
        <v>27362.67</v>
      </c>
      <c r="CR309" s="2">
        <f t="shared" ref="CR309:CR316" si="277">(ROUND((ROUND(((ET309)*AV309*1),2)*BB309),2)+ROUND((ROUND(((AE309-(EU309))*AV309*1),2)*BS309),2))</f>
        <v>0</v>
      </c>
      <c r="CS309" s="2">
        <f t="shared" si="256"/>
        <v>0</v>
      </c>
      <c r="CT309" s="2">
        <f t="shared" si="257"/>
        <v>0</v>
      </c>
      <c r="CU309" s="2">
        <f t="shared" si="258"/>
        <v>0</v>
      </c>
      <c r="CV309" s="2">
        <f t="shared" si="259"/>
        <v>0</v>
      </c>
      <c r="CW309" s="2">
        <f t="shared" si="260"/>
        <v>0</v>
      </c>
      <c r="CX309" s="2">
        <f t="shared" si="261"/>
        <v>0</v>
      </c>
      <c r="CY309" s="2">
        <f>((S309*BZ309)/100)</f>
        <v>0</v>
      </c>
      <c r="CZ309" s="2">
        <f>((S309*CA309)/100)</f>
        <v>0</v>
      </c>
      <c r="DA309" s="2"/>
      <c r="DB309" s="2"/>
      <c r="DC309" s="2" t="s">
        <v>3</v>
      </c>
      <c r="DD309" s="2" t="s">
        <v>3</v>
      </c>
      <c r="DE309" s="2" t="s">
        <v>3</v>
      </c>
      <c r="DF309" s="2" t="s">
        <v>3</v>
      </c>
      <c r="DG309" s="2" t="s">
        <v>3</v>
      </c>
      <c r="DH309" s="2" t="s">
        <v>3</v>
      </c>
      <c r="DI309" s="2" t="s">
        <v>3</v>
      </c>
      <c r="DJ309" s="2" t="s">
        <v>3</v>
      </c>
      <c r="DK309" s="2" t="s">
        <v>3</v>
      </c>
      <c r="DL309" s="2" t="s">
        <v>3</v>
      </c>
      <c r="DM309" s="2" t="s">
        <v>3</v>
      </c>
      <c r="DN309" s="2">
        <v>0</v>
      </c>
      <c r="DO309" s="2">
        <v>0</v>
      </c>
      <c r="DP309" s="2">
        <v>1</v>
      </c>
      <c r="DQ309" s="2">
        <v>1</v>
      </c>
      <c r="DR309" s="2"/>
      <c r="DS309" s="2"/>
      <c r="DT309" s="2"/>
      <c r="DU309" s="2">
        <v>1009</v>
      </c>
      <c r="DV309" s="2" t="s">
        <v>114</v>
      </c>
      <c r="DW309" s="2" t="s">
        <v>114</v>
      </c>
      <c r="DX309" s="2">
        <v>1000</v>
      </c>
      <c r="DY309" s="2"/>
      <c r="DZ309" s="2" t="s">
        <v>3</v>
      </c>
      <c r="EA309" s="2" t="s">
        <v>3</v>
      </c>
      <c r="EB309" s="2" t="s">
        <v>3</v>
      </c>
      <c r="EC309" s="2" t="s">
        <v>3</v>
      </c>
      <c r="ED309" s="2"/>
      <c r="EE309" s="2">
        <v>126051553</v>
      </c>
      <c r="EF309" s="2">
        <v>30</v>
      </c>
      <c r="EG309" s="2" t="s">
        <v>23</v>
      </c>
      <c r="EH309" s="2">
        <v>0</v>
      </c>
      <c r="EI309" s="2" t="s">
        <v>3</v>
      </c>
      <c r="EJ309" s="2">
        <v>1</v>
      </c>
      <c r="EK309" s="2">
        <v>92</v>
      </c>
      <c r="EL309" s="2" t="s">
        <v>402</v>
      </c>
      <c r="EM309" s="2" t="s">
        <v>403</v>
      </c>
      <c r="EN309" s="2"/>
      <c r="EO309" s="2" t="s">
        <v>3</v>
      </c>
      <c r="EP309" s="2"/>
      <c r="EQ309" s="2">
        <v>0</v>
      </c>
      <c r="ER309" s="2">
        <v>27362.67</v>
      </c>
      <c r="ES309" s="2">
        <v>27362.67</v>
      </c>
      <c r="ET309" s="2">
        <v>0</v>
      </c>
      <c r="EU309" s="2">
        <v>0</v>
      </c>
      <c r="EV309" s="2">
        <v>0</v>
      </c>
      <c r="EW309" s="2">
        <v>0</v>
      </c>
      <c r="EX309" s="2">
        <v>0</v>
      </c>
      <c r="EY309" s="2"/>
      <c r="EZ309" s="2"/>
      <c r="FA309" s="2"/>
      <c r="FB309" s="2"/>
      <c r="FC309" s="2"/>
      <c r="FD309" s="2"/>
      <c r="FE309" s="2"/>
      <c r="FF309" s="2"/>
      <c r="FG309" s="2"/>
      <c r="FH309" s="2"/>
      <c r="FI309" s="2"/>
      <c r="FJ309" s="2"/>
      <c r="FK309" s="2"/>
      <c r="FL309" s="2"/>
      <c r="FM309" s="2"/>
      <c r="FN309" s="2"/>
      <c r="FO309" s="2"/>
      <c r="FP309" s="2"/>
      <c r="FQ309" s="2">
        <v>0</v>
      </c>
      <c r="FR309" s="2">
        <f t="shared" si="262"/>
        <v>0</v>
      </c>
      <c r="FS309" s="2">
        <v>0</v>
      </c>
      <c r="FT309" s="2"/>
      <c r="FU309" s="2"/>
      <c r="FV309" s="2"/>
      <c r="FW309" s="2"/>
      <c r="FX309" s="2">
        <v>104</v>
      </c>
      <c r="FY309" s="2">
        <v>70</v>
      </c>
      <c r="FZ309" s="2"/>
      <c r="GA309" s="2" t="s">
        <v>3</v>
      </c>
      <c r="GB309" s="2"/>
      <c r="GC309" s="2"/>
      <c r="GD309" s="2">
        <v>0</v>
      </c>
      <c r="GE309" s="2"/>
      <c r="GF309" s="2">
        <v>1389983172</v>
      </c>
      <c r="GG309" s="2">
        <v>2</v>
      </c>
      <c r="GH309" s="2">
        <v>1</v>
      </c>
      <c r="GI309" s="2">
        <v>-2</v>
      </c>
      <c r="GJ309" s="2">
        <v>0</v>
      </c>
      <c r="GK309" s="2">
        <f>ROUND(R309*(R12)/100,2)</f>
        <v>0</v>
      </c>
      <c r="GL309" s="2">
        <f t="shared" si="263"/>
        <v>0</v>
      </c>
      <c r="GM309" s="2">
        <f t="shared" si="264"/>
        <v>166.91</v>
      </c>
      <c r="GN309" s="2">
        <f t="shared" si="265"/>
        <v>166.91</v>
      </c>
      <c r="GO309" s="2">
        <f t="shared" si="266"/>
        <v>0</v>
      </c>
      <c r="GP309" s="2">
        <f t="shared" si="267"/>
        <v>0</v>
      </c>
      <c r="GQ309" s="2"/>
      <c r="GR309" s="2">
        <v>0</v>
      </c>
      <c r="GS309" s="2">
        <v>0</v>
      </c>
      <c r="GT309" s="2">
        <v>0</v>
      </c>
      <c r="GU309" s="2" t="s">
        <v>3</v>
      </c>
      <c r="GV309" s="2">
        <f t="shared" si="268"/>
        <v>0</v>
      </c>
      <c r="GW309" s="2">
        <v>1</v>
      </c>
      <c r="GX309" s="2">
        <f t="shared" si="269"/>
        <v>0</v>
      </c>
      <c r="GY309" s="2"/>
      <c r="GZ309" s="2"/>
      <c r="HA309" s="2">
        <v>0</v>
      </c>
      <c r="HB309" s="2">
        <v>0</v>
      </c>
      <c r="HC309" s="2">
        <f t="shared" si="270"/>
        <v>0</v>
      </c>
      <c r="HD309" s="2"/>
      <c r="HE309" s="2" t="s">
        <v>3</v>
      </c>
      <c r="HF309" s="2" t="s">
        <v>3</v>
      </c>
      <c r="HG309" s="2"/>
      <c r="HH309" s="2"/>
      <c r="HI309" s="2"/>
      <c r="HJ309" s="2"/>
      <c r="HK309" s="2"/>
      <c r="HL309" s="2"/>
      <c r="HM309" s="2" t="s">
        <v>3</v>
      </c>
      <c r="HN309" s="2" t="s">
        <v>3</v>
      </c>
      <c r="HO309" s="2" t="s">
        <v>3</v>
      </c>
      <c r="HP309" s="2" t="s">
        <v>3</v>
      </c>
      <c r="HQ309" s="2" t="s">
        <v>3</v>
      </c>
      <c r="HR309" s="2"/>
      <c r="HS309" s="2"/>
      <c r="HT309" s="2"/>
      <c r="HU309" s="2"/>
      <c r="HV309" s="2"/>
      <c r="HW309" s="2"/>
      <c r="HX309" s="2"/>
      <c r="HY309" s="2"/>
      <c r="HZ309" s="2"/>
      <c r="IA309" s="2"/>
      <c r="IB309" s="2"/>
      <c r="IC309" s="2"/>
      <c r="ID309" s="2"/>
      <c r="IE309" s="2"/>
      <c r="IF309" s="2"/>
      <c r="IG309" s="2"/>
      <c r="IH309" s="2"/>
      <c r="II309" s="2"/>
      <c r="IJ309" s="2"/>
      <c r="IK309" s="2">
        <v>0</v>
      </c>
      <c r="IL309" s="2"/>
      <c r="IM309" s="2"/>
      <c r="IN309" s="2"/>
      <c r="IO309" s="2"/>
      <c r="IP309" s="2"/>
      <c r="IQ309" s="2"/>
      <c r="IR309" s="2"/>
      <c r="IS309" s="2"/>
      <c r="IT309" s="2"/>
      <c r="IU309" s="2"/>
    </row>
    <row r="310" spans="1:255" x14ac:dyDescent="0.2">
      <c r="A310">
        <v>18</v>
      </c>
      <c r="B310">
        <v>1</v>
      </c>
      <c r="C310">
        <v>341</v>
      </c>
      <c r="E310" t="s">
        <v>404</v>
      </c>
      <c r="F310" t="s">
        <v>405</v>
      </c>
      <c r="G310" t="s">
        <v>406</v>
      </c>
      <c r="H310" t="s">
        <v>114</v>
      </c>
      <c r="I310">
        <f>I308*J310</f>
        <v>6.1000000000000004E-3</v>
      </c>
      <c r="J310">
        <v>0.1</v>
      </c>
      <c r="K310">
        <v>0.1</v>
      </c>
      <c r="O310">
        <f t="shared" si="240"/>
        <v>387.23</v>
      </c>
      <c r="P310">
        <f t="shared" si="241"/>
        <v>387.23</v>
      </c>
      <c r="Q310">
        <f t="shared" si="273"/>
        <v>0</v>
      </c>
      <c r="R310">
        <f t="shared" si="242"/>
        <v>0</v>
      </c>
      <c r="S310">
        <f t="shared" si="243"/>
        <v>0</v>
      </c>
      <c r="T310">
        <f t="shared" si="244"/>
        <v>0</v>
      </c>
      <c r="U310">
        <f t="shared" si="245"/>
        <v>0</v>
      </c>
      <c r="V310">
        <f t="shared" si="246"/>
        <v>0</v>
      </c>
      <c r="W310">
        <f t="shared" si="247"/>
        <v>0</v>
      </c>
      <c r="X310">
        <f t="shared" si="248"/>
        <v>0</v>
      </c>
      <c r="Y310">
        <f t="shared" si="249"/>
        <v>0</v>
      </c>
      <c r="AA310">
        <v>129761633</v>
      </c>
      <c r="AB310">
        <f t="shared" si="250"/>
        <v>27362.67</v>
      </c>
      <c r="AC310">
        <f t="shared" si="251"/>
        <v>27362.67</v>
      </c>
      <c r="AD310">
        <f t="shared" si="274"/>
        <v>0</v>
      </c>
      <c r="AE310">
        <f t="shared" si="275"/>
        <v>0</v>
      </c>
      <c r="AF310">
        <f t="shared" si="275"/>
        <v>0</v>
      </c>
      <c r="AG310">
        <f t="shared" si="252"/>
        <v>0</v>
      </c>
      <c r="AH310">
        <f t="shared" si="276"/>
        <v>0</v>
      </c>
      <c r="AI310">
        <f t="shared" si="276"/>
        <v>0</v>
      </c>
      <c r="AJ310">
        <f t="shared" si="253"/>
        <v>0</v>
      </c>
      <c r="AK310">
        <v>27362.67</v>
      </c>
      <c r="AL310">
        <v>27362.67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1</v>
      </c>
      <c r="AW310">
        <v>1</v>
      </c>
      <c r="AZ310">
        <v>1</v>
      </c>
      <c r="BA310">
        <v>1</v>
      </c>
      <c r="BB310">
        <v>1</v>
      </c>
      <c r="BC310">
        <v>2.3199999999999998</v>
      </c>
      <c r="BD310" t="s">
        <v>3</v>
      </c>
      <c r="BE310" t="s">
        <v>3</v>
      </c>
      <c r="BF310" t="s">
        <v>3</v>
      </c>
      <c r="BG310" t="s">
        <v>3</v>
      </c>
      <c r="BH310">
        <v>3</v>
      </c>
      <c r="BI310">
        <v>1</v>
      </c>
      <c r="BJ310" t="s">
        <v>407</v>
      </c>
      <c r="BM310">
        <v>92</v>
      </c>
      <c r="BN310">
        <v>0</v>
      </c>
      <c r="BO310" t="s">
        <v>405</v>
      </c>
      <c r="BP310">
        <v>1</v>
      </c>
      <c r="BQ310">
        <v>30</v>
      </c>
      <c r="BR310">
        <v>0</v>
      </c>
      <c r="BS310">
        <v>1</v>
      </c>
      <c r="BT310">
        <v>1</v>
      </c>
      <c r="BU310">
        <v>1</v>
      </c>
      <c r="BV310">
        <v>1</v>
      </c>
      <c r="BW310">
        <v>1</v>
      </c>
      <c r="BX310">
        <v>1</v>
      </c>
      <c r="BY310" t="s">
        <v>3</v>
      </c>
      <c r="BZ310">
        <v>0</v>
      </c>
      <c r="CA310">
        <v>0</v>
      </c>
      <c r="CB310" t="s">
        <v>3</v>
      </c>
      <c r="CE310">
        <v>30</v>
      </c>
      <c r="CF310">
        <v>0</v>
      </c>
      <c r="CG310">
        <v>0</v>
      </c>
      <c r="CM310">
        <v>0</v>
      </c>
      <c r="CN310" t="s">
        <v>3</v>
      </c>
      <c r="CO310">
        <v>0</v>
      </c>
      <c r="CP310">
        <f t="shared" si="254"/>
        <v>387.23</v>
      </c>
      <c r="CQ310">
        <f t="shared" si="255"/>
        <v>63481.39</v>
      </c>
      <c r="CR310">
        <f t="shared" si="277"/>
        <v>0</v>
      </c>
      <c r="CS310">
        <f t="shared" si="256"/>
        <v>0</v>
      </c>
      <c r="CT310">
        <f t="shared" si="257"/>
        <v>0</v>
      </c>
      <c r="CU310">
        <f t="shared" si="258"/>
        <v>0</v>
      </c>
      <c r="CV310">
        <f t="shared" si="259"/>
        <v>0</v>
      </c>
      <c r="CW310">
        <f t="shared" si="260"/>
        <v>0</v>
      </c>
      <c r="CX310">
        <f t="shared" si="261"/>
        <v>0</v>
      </c>
      <c r="CY310">
        <f>S310*(BZ310/100)</f>
        <v>0</v>
      </c>
      <c r="CZ310">
        <f>S310*(CA310/100)</f>
        <v>0</v>
      </c>
      <c r="DC310" t="s">
        <v>3</v>
      </c>
      <c r="DD310" t="s">
        <v>3</v>
      </c>
      <c r="DE310" t="s">
        <v>3</v>
      </c>
      <c r="DF310" t="s">
        <v>3</v>
      </c>
      <c r="DG310" t="s">
        <v>3</v>
      </c>
      <c r="DH310" t="s">
        <v>3</v>
      </c>
      <c r="DI310" t="s">
        <v>3</v>
      </c>
      <c r="DJ310" t="s">
        <v>3</v>
      </c>
      <c r="DK310" t="s">
        <v>3</v>
      </c>
      <c r="DL310" t="s">
        <v>3</v>
      </c>
      <c r="DM310" t="s">
        <v>3</v>
      </c>
      <c r="DN310">
        <v>104</v>
      </c>
      <c r="DO310">
        <v>70</v>
      </c>
      <c r="DP310">
        <v>1</v>
      </c>
      <c r="DQ310">
        <v>1</v>
      </c>
      <c r="DU310">
        <v>1009</v>
      </c>
      <c r="DV310" t="s">
        <v>114</v>
      </c>
      <c r="DW310" t="s">
        <v>114</v>
      </c>
      <c r="DX310">
        <v>1000</v>
      </c>
      <c r="DZ310" t="s">
        <v>3</v>
      </c>
      <c r="EA310" t="s">
        <v>3</v>
      </c>
      <c r="EB310" t="s">
        <v>3</v>
      </c>
      <c r="EC310" t="s">
        <v>3</v>
      </c>
      <c r="EE310">
        <v>126051553</v>
      </c>
      <c r="EF310">
        <v>30</v>
      </c>
      <c r="EG310" t="s">
        <v>23</v>
      </c>
      <c r="EH310">
        <v>0</v>
      </c>
      <c r="EI310" t="s">
        <v>3</v>
      </c>
      <c r="EJ310">
        <v>1</v>
      </c>
      <c r="EK310">
        <v>92</v>
      </c>
      <c r="EL310" t="s">
        <v>402</v>
      </c>
      <c r="EM310" t="s">
        <v>403</v>
      </c>
      <c r="EO310" t="s">
        <v>3</v>
      </c>
      <c r="EQ310">
        <v>0</v>
      </c>
      <c r="ER310">
        <v>27362.67</v>
      </c>
      <c r="ES310">
        <v>27362.67</v>
      </c>
      <c r="ET310">
        <v>0</v>
      </c>
      <c r="EU310">
        <v>0</v>
      </c>
      <c r="EV310">
        <v>0</v>
      </c>
      <c r="EW310">
        <v>0</v>
      </c>
      <c r="EX310">
        <v>0</v>
      </c>
      <c r="FQ310">
        <v>0</v>
      </c>
      <c r="FR310">
        <f t="shared" si="262"/>
        <v>0</v>
      </c>
      <c r="FS310">
        <v>0</v>
      </c>
      <c r="FX310">
        <v>104</v>
      </c>
      <c r="FY310">
        <v>70</v>
      </c>
      <c r="GA310" t="s">
        <v>3</v>
      </c>
      <c r="GD310">
        <v>0</v>
      </c>
      <c r="GF310">
        <v>1389983172</v>
      </c>
      <c r="GG310">
        <v>2</v>
      </c>
      <c r="GH310">
        <v>1</v>
      </c>
      <c r="GI310">
        <v>2</v>
      </c>
      <c r="GJ310">
        <v>0</v>
      </c>
      <c r="GK310">
        <f>ROUND(R310*(S12)/100,2)</f>
        <v>0</v>
      </c>
      <c r="GL310">
        <f t="shared" si="263"/>
        <v>0</v>
      </c>
      <c r="GM310">
        <f t="shared" si="264"/>
        <v>387.23</v>
      </c>
      <c r="GN310">
        <f t="shared" si="265"/>
        <v>387.23</v>
      </c>
      <c r="GO310">
        <f t="shared" si="266"/>
        <v>0</v>
      </c>
      <c r="GP310">
        <f t="shared" si="267"/>
        <v>0</v>
      </c>
      <c r="GR310">
        <v>0</v>
      </c>
      <c r="GS310">
        <v>3</v>
      </c>
      <c r="GT310">
        <v>0</v>
      </c>
      <c r="GU310" t="s">
        <v>3</v>
      </c>
      <c r="GV310">
        <f t="shared" si="268"/>
        <v>0</v>
      </c>
      <c r="GW310">
        <v>1</v>
      </c>
      <c r="GX310">
        <f t="shared" si="269"/>
        <v>0</v>
      </c>
      <c r="HA310">
        <v>0</v>
      </c>
      <c r="HB310">
        <v>0</v>
      </c>
      <c r="HC310">
        <f t="shared" si="270"/>
        <v>0</v>
      </c>
      <c r="HE310" t="s">
        <v>3</v>
      </c>
      <c r="HF310" t="s">
        <v>3</v>
      </c>
      <c r="HM310" t="s">
        <v>3</v>
      </c>
      <c r="HN310" t="s">
        <v>3</v>
      </c>
      <c r="HO310" t="s">
        <v>3</v>
      </c>
      <c r="HP310" t="s">
        <v>3</v>
      </c>
      <c r="HQ310" t="s">
        <v>3</v>
      </c>
      <c r="IK310">
        <v>0</v>
      </c>
    </row>
    <row r="311" spans="1:255" x14ac:dyDescent="0.2">
      <c r="A311" s="2">
        <v>18</v>
      </c>
      <c r="B311" s="2">
        <v>1</v>
      </c>
      <c r="C311" s="2">
        <v>330</v>
      </c>
      <c r="D311" s="2"/>
      <c r="E311" s="2" t="s">
        <v>408</v>
      </c>
      <c r="F311" s="2" t="s">
        <v>409</v>
      </c>
      <c r="G311" s="2" t="s">
        <v>410</v>
      </c>
      <c r="H311" s="2" t="s">
        <v>114</v>
      </c>
      <c r="I311" s="2">
        <f>I307*J311</f>
        <v>2.8670000000000001E-2</v>
      </c>
      <c r="J311" s="2">
        <v>0.47000000000000003</v>
      </c>
      <c r="K311" s="2">
        <v>0.47</v>
      </c>
      <c r="L311" s="2"/>
      <c r="M311" s="2"/>
      <c r="N311" s="2"/>
      <c r="O311" s="2">
        <f t="shared" si="240"/>
        <v>40.85</v>
      </c>
      <c r="P311" s="2">
        <f t="shared" si="241"/>
        <v>40.85</v>
      </c>
      <c r="Q311" s="2">
        <f t="shared" si="273"/>
        <v>0</v>
      </c>
      <c r="R311" s="2">
        <f t="shared" si="242"/>
        <v>0</v>
      </c>
      <c r="S311" s="2">
        <f t="shared" si="243"/>
        <v>0</v>
      </c>
      <c r="T311" s="2">
        <f t="shared" si="244"/>
        <v>0</v>
      </c>
      <c r="U311" s="2">
        <f t="shared" si="245"/>
        <v>0</v>
      </c>
      <c r="V311" s="2">
        <f t="shared" si="246"/>
        <v>0</v>
      </c>
      <c r="W311" s="2">
        <f t="shared" si="247"/>
        <v>0</v>
      </c>
      <c r="X311" s="2">
        <f t="shared" si="248"/>
        <v>0</v>
      </c>
      <c r="Y311" s="2">
        <f t="shared" si="249"/>
        <v>0</v>
      </c>
      <c r="Z311" s="2"/>
      <c r="AA311" s="2">
        <v>129761636</v>
      </c>
      <c r="AB311" s="2">
        <f t="shared" si="250"/>
        <v>1424.67</v>
      </c>
      <c r="AC311" s="2">
        <f t="shared" si="251"/>
        <v>1424.67</v>
      </c>
      <c r="AD311" s="2">
        <f t="shared" si="274"/>
        <v>0</v>
      </c>
      <c r="AE311" s="2">
        <f t="shared" si="275"/>
        <v>0</v>
      </c>
      <c r="AF311" s="2">
        <f t="shared" si="275"/>
        <v>0</v>
      </c>
      <c r="AG311" s="2">
        <f t="shared" si="252"/>
        <v>0</v>
      </c>
      <c r="AH311" s="2">
        <f t="shared" si="276"/>
        <v>0</v>
      </c>
      <c r="AI311" s="2">
        <f t="shared" si="276"/>
        <v>0</v>
      </c>
      <c r="AJ311" s="2">
        <f t="shared" si="253"/>
        <v>0</v>
      </c>
      <c r="AK311" s="2">
        <v>1424.67</v>
      </c>
      <c r="AL311" s="2">
        <v>1424.67</v>
      </c>
      <c r="AM311" s="2">
        <v>0</v>
      </c>
      <c r="AN311" s="2">
        <v>0</v>
      </c>
      <c r="AO311" s="2">
        <v>0</v>
      </c>
      <c r="AP311" s="2">
        <v>0</v>
      </c>
      <c r="AQ311" s="2">
        <v>0</v>
      </c>
      <c r="AR311" s="2">
        <v>0</v>
      </c>
      <c r="AS311" s="2">
        <v>0</v>
      </c>
      <c r="AT311" s="2">
        <v>104</v>
      </c>
      <c r="AU311" s="2">
        <v>70</v>
      </c>
      <c r="AV311" s="2">
        <v>1</v>
      </c>
      <c r="AW311" s="2">
        <v>1</v>
      </c>
      <c r="AX311" s="2"/>
      <c r="AY311" s="2"/>
      <c r="AZ311" s="2">
        <v>1</v>
      </c>
      <c r="BA311" s="2">
        <v>1</v>
      </c>
      <c r="BB311" s="2">
        <v>1</v>
      </c>
      <c r="BC311" s="2">
        <v>1</v>
      </c>
      <c r="BD311" s="2" t="s">
        <v>3</v>
      </c>
      <c r="BE311" s="2" t="s">
        <v>3</v>
      </c>
      <c r="BF311" s="2" t="s">
        <v>3</v>
      </c>
      <c r="BG311" s="2" t="s">
        <v>3</v>
      </c>
      <c r="BH311" s="2">
        <v>3</v>
      </c>
      <c r="BI311" s="2">
        <v>1</v>
      </c>
      <c r="BJ311" s="2" t="s">
        <v>411</v>
      </c>
      <c r="BK311" s="2"/>
      <c r="BL311" s="2"/>
      <c r="BM311" s="2">
        <v>92</v>
      </c>
      <c r="BN311" s="2">
        <v>0</v>
      </c>
      <c r="BO311" s="2" t="s">
        <v>3</v>
      </c>
      <c r="BP311" s="2">
        <v>0</v>
      </c>
      <c r="BQ311" s="2">
        <v>30</v>
      </c>
      <c r="BR311" s="2">
        <v>0</v>
      </c>
      <c r="BS311" s="2">
        <v>1</v>
      </c>
      <c r="BT311" s="2">
        <v>1</v>
      </c>
      <c r="BU311" s="2">
        <v>1</v>
      </c>
      <c r="BV311" s="2">
        <v>1</v>
      </c>
      <c r="BW311" s="2">
        <v>1</v>
      </c>
      <c r="BX311" s="2">
        <v>1</v>
      </c>
      <c r="BY311" s="2" t="s">
        <v>3</v>
      </c>
      <c r="BZ311" s="2">
        <v>104</v>
      </c>
      <c r="CA311" s="2">
        <v>70</v>
      </c>
      <c r="CB311" s="2" t="s">
        <v>3</v>
      </c>
      <c r="CC311" s="2"/>
      <c r="CD311" s="2"/>
      <c r="CE311" s="2">
        <v>30</v>
      </c>
      <c r="CF311" s="2">
        <v>0</v>
      </c>
      <c r="CG311" s="2">
        <v>0</v>
      </c>
      <c r="CH311" s="2"/>
      <c r="CI311" s="2"/>
      <c r="CJ311" s="2"/>
      <c r="CK311" s="2"/>
      <c r="CL311" s="2"/>
      <c r="CM311" s="2">
        <v>0</v>
      </c>
      <c r="CN311" s="2" t="s">
        <v>3</v>
      </c>
      <c r="CO311" s="2">
        <v>0</v>
      </c>
      <c r="CP311" s="2">
        <f t="shared" si="254"/>
        <v>40.85</v>
      </c>
      <c r="CQ311" s="2">
        <f t="shared" si="255"/>
        <v>1424.67</v>
      </c>
      <c r="CR311" s="2">
        <f t="shared" si="277"/>
        <v>0</v>
      </c>
      <c r="CS311" s="2">
        <f t="shared" si="256"/>
        <v>0</v>
      </c>
      <c r="CT311" s="2">
        <f t="shared" si="257"/>
        <v>0</v>
      </c>
      <c r="CU311" s="2">
        <f t="shared" si="258"/>
        <v>0</v>
      </c>
      <c r="CV311" s="2">
        <f t="shared" si="259"/>
        <v>0</v>
      </c>
      <c r="CW311" s="2">
        <f t="shared" si="260"/>
        <v>0</v>
      </c>
      <c r="CX311" s="2">
        <f t="shared" si="261"/>
        <v>0</v>
      </c>
      <c r="CY311" s="2">
        <f>((S311*BZ311)/100)</f>
        <v>0</v>
      </c>
      <c r="CZ311" s="2">
        <f>((S311*CA311)/100)</f>
        <v>0</v>
      </c>
      <c r="DA311" s="2"/>
      <c r="DB311" s="2"/>
      <c r="DC311" s="2" t="s">
        <v>3</v>
      </c>
      <c r="DD311" s="2" t="s">
        <v>3</v>
      </c>
      <c r="DE311" s="2" t="s">
        <v>3</v>
      </c>
      <c r="DF311" s="2" t="s">
        <v>3</v>
      </c>
      <c r="DG311" s="2" t="s">
        <v>3</v>
      </c>
      <c r="DH311" s="2" t="s">
        <v>3</v>
      </c>
      <c r="DI311" s="2" t="s">
        <v>3</v>
      </c>
      <c r="DJ311" s="2" t="s">
        <v>3</v>
      </c>
      <c r="DK311" s="2" t="s">
        <v>3</v>
      </c>
      <c r="DL311" s="2" t="s">
        <v>3</v>
      </c>
      <c r="DM311" s="2" t="s">
        <v>3</v>
      </c>
      <c r="DN311" s="2">
        <v>0</v>
      </c>
      <c r="DO311" s="2">
        <v>0</v>
      </c>
      <c r="DP311" s="2">
        <v>1</v>
      </c>
      <c r="DQ311" s="2">
        <v>1</v>
      </c>
      <c r="DR311" s="2"/>
      <c r="DS311" s="2"/>
      <c r="DT311" s="2"/>
      <c r="DU311" s="2">
        <v>1009</v>
      </c>
      <c r="DV311" s="2" t="s">
        <v>114</v>
      </c>
      <c r="DW311" s="2" t="s">
        <v>114</v>
      </c>
      <c r="DX311" s="2">
        <v>1000</v>
      </c>
      <c r="DY311" s="2"/>
      <c r="DZ311" s="2" t="s">
        <v>3</v>
      </c>
      <c r="EA311" s="2" t="s">
        <v>3</v>
      </c>
      <c r="EB311" s="2" t="s">
        <v>3</v>
      </c>
      <c r="EC311" s="2" t="s">
        <v>3</v>
      </c>
      <c r="ED311" s="2"/>
      <c r="EE311" s="2">
        <v>126051553</v>
      </c>
      <c r="EF311" s="2">
        <v>30</v>
      </c>
      <c r="EG311" s="2" t="s">
        <v>23</v>
      </c>
      <c r="EH311" s="2">
        <v>0</v>
      </c>
      <c r="EI311" s="2" t="s">
        <v>3</v>
      </c>
      <c r="EJ311" s="2">
        <v>1</v>
      </c>
      <c r="EK311" s="2">
        <v>92</v>
      </c>
      <c r="EL311" s="2" t="s">
        <v>402</v>
      </c>
      <c r="EM311" s="2" t="s">
        <v>403</v>
      </c>
      <c r="EN311" s="2"/>
      <c r="EO311" s="2" t="s">
        <v>3</v>
      </c>
      <c r="EP311" s="2"/>
      <c r="EQ311" s="2">
        <v>0</v>
      </c>
      <c r="ER311" s="2">
        <v>1424.67</v>
      </c>
      <c r="ES311" s="2">
        <v>1424.67</v>
      </c>
      <c r="ET311" s="2">
        <v>0</v>
      </c>
      <c r="EU311" s="2">
        <v>0</v>
      </c>
      <c r="EV311" s="2">
        <v>0</v>
      </c>
      <c r="EW311" s="2">
        <v>0</v>
      </c>
      <c r="EX311" s="2">
        <v>0</v>
      </c>
      <c r="EY311" s="2"/>
      <c r="EZ311" s="2"/>
      <c r="FA311" s="2"/>
      <c r="FB311" s="2"/>
      <c r="FC311" s="2"/>
      <c r="FD311" s="2"/>
      <c r="FE311" s="2"/>
      <c r="FF311" s="2"/>
      <c r="FG311" s="2"/>
      <c r="FH311" s="2"/>
      <c r="FI311" s="2"/>
      <c r="FJ311" s="2"/>
      <c r="FK311" s="2"/>
      <c r="FL311" s="2"/>
      <c r="FM311" s="2"/>
      <c r="FN311" s="2"/>
      <c r="FO311" s="2"/>
      <c r="FP311" s="2"/>
      <c r="FQ311" s="2">
        <v>0</v>
      </c>
      <c r="FR311" s="2">
        <f t="shared" si="262"/>
        <v>0</v>
      </c>
      <c r="FS311" s="2">
        <v>0</v>
      </c>
      <c r="FT311" s="2"/>
      <c r="FU311" s="2"/>
      <c r="FV311" s="2"/>
      <c r="FW311" s="2"/>
      <c r="FX311" s="2">
        <v>104</v>
      </c>
      <c r="FY311" s="2">
        <v>70</v>
      </c>
      <c r="FZ311" s="2"/>
      <c r="GA311" s="2" t="s">
        <v>3</v>
      </c>
      <c r="GB311" s="2"/>
      <c r="GC311" s="2"/>
      <c r="GD311" s="2">
        <v>0</v>
      </c>
      <c r="GE311" s="2"/>
      <c r="GF311" s="2">
        <v>1192135998</v>
      </c>
      <c r="GG311" s="2">
        <v>2</v>
      </c>
      <c r="GH311" s="2">
        <v>1</v>
      </c>
      <c r="GI311" s="2">
        <v>-2</v>
      </c>
      <c r="GJ311" s="2">
        <v>0</v>
      </c>
      <c r="GK311" s="2">
        <f>ROUND(R311*(R12)/100,2)</f>
        <v>0</v>
      </c>
      <c r="GL311" s="2">
        <f t="shared" si="263"/>
        <v>0</v>
      </c>
      <c r="GM311" s="2">
        <f t="shared" si="264"/>
        <v>40.85</v>
      </c>
      <c r="GN311" s="2">
        <f t="shared" si="265"/>
        <v>40.85</v>
      </c>
      <c r="GO311" s="2">
        <f t="shared" si="266"/>
        <v>0</v>
      </c>
      <c r="GP311" s="2">
        <f t="shared" si="267"/>
        <v>0</v>
      </c>
      <c r="GQ311" s="2"/>
      <c r="GR311" s="2">
        <v>0</v>
      </c>
      <c r="GS311" s="2">
        <v>0</v>
      </c>
      <c r="GT311" s="2">
        <v>0</v>
      </c>
      <c r="GU311" s="2" t="s">
        <v>3</v>
      </c>
      <c r="GV311" s="2">
        <f t="shared" si="268"/>
        <v>0</v>
      </c>
      <c r="GW311" s="2">
        <v>1</v>
      </c>
      <c r="GX311" s="2">
        <f t="shared" si="269"/>
        <v>0</v>
      </c>
      <c r="GY311" s="2"/>
      <c r="GZ311" s="2"/>
      <c r="HA311" s="2">
        <v>0</v>
      </c>
      <c r="HB311" s="2">
        <v>0</v>
      </c>
      <c r="HC311" s="2">
        <f t="shared" si="270"/>
        <v>0</v>
      </c>
      <c r="HD311" s="2"/>
      <c r="HE311" s="2" t="s">
        <v>3</v>
      </c>
      <c r="HF311" s="2" t="s">
        <v>3</v>
      </c>
      <c r="HG311" s="2"/>
      <c r="HH311" s="2"/>
      <c r="HI311" s="2"/>
      <c r="HJ311" s="2"/>
      <c r="HK311" s="2"/>
      <c r="HL311" s="2"/>
      <c r="HM311" s="2" t="s">
        <v>3</v>
      </c>
      <c r="HN311" s="2" t="s">
        <v>3</v>
      </c>
      <c r="HO311" s="2" t="s">
        <v>3</v>
      </c>
      <c r="HP311" s="2" t="s">
        <v>3</v>
      </c>
      <c r="HQ311" s="2" t="s">
        <v>3</v>
      </c>
      <c r="HR311" s="2"/>
      <c r="HS311" s="2"/>
      <c r="HT311" s="2"/>
      <c r="HU311" s="2"/>
      <c r="HV311" s="2"/>
      <c r="HW311" s="2"/>
      <c r="HX311" s="2"/>
      <c r="HY311" s="2"/>
      <c r="HZ311" s="2"/>
      <c r="IA311" s="2"/>
      <c r="IB311" s="2"/>
      <c r="IC311" s="2"/>
      <c r="ID311" s="2"/>
      <c r="IE311" s="2"/>
      <c r="IF311" s="2"/>
      <c r="IG311" s="2"/>
      <c r="IH311" s="2"/>
      <c r="II311" s="2"/>
      <c r="IJ311" s="2"/>
      <c r="IK311" s="2">
        <v>0</v>
      </c>
      <c r="IL311" s="2"/>
      <c r="IM311" s="2"/>
      <c r="IN311" s="2"/>
      <c r="IO311" s="2"/>
      <c r="IP311" s="2"/>
      <c r="IQ311" s="2"/>
      <c r="IR311" s="2"/>
      <c r="IS311" s="2"/>
      <c r="IT311" s="2"/>
      <c r="IU311" s="2"/>
    </row>
    <row r="312" spans="1:255" x14ac:dyDescent="0.2">
      <c r="A312">
        <v>18</v>
      </c>
      <c r="B312">
        <v>1</v>
      </c>
      <c r="C312">
        <v>340</v>
      </c>
      <c r="E312" t="s">
        <v>408</v>
      </c>
      <c r="F312" t="s">
        <v>409</v>
      </c>
      <c r="G312" t="s">
        <v>410</v>
      </c>
      <c r="H312" t="s">
        <v>114</v>
      </c>
      <c r="I312">
        <f>I308*J312</f>
        <v>2.8670000000000001E-2</v>
      </c>
      <c r="J312">
        <v>0.47000000000000003</v>
      </c>
      <c r="K312">
        <v>0.47</v>
      </c>
      <c r="O312">
        <f t="shared" si="240"/>
        <v>775.74</v>
      </c>
      <c r="P312">
        <f t="shared" si="241"/>
        <v>775.74</v>
      </c>
      <c r="Q312">
        <f t="shared" si="273"/>
        <v>0</v>
      </c>
      <c r="R312">
        <f t="shared" si="242"/>
        <v>0</v>
      </c>
      <c r="S312">
        <f t="shared" si="243"/>
        <v>0</v>
      </c>
      <c r="T312">
        <f t="shared" si="244"/>
        <v>0</v>
      </c>
      <c r="U312">
        <f t="shared" si="245"/>
        <v>0</v>
      </c>
      <c r="V312">
        <f t="shared" si="246"/>
        <v>0</v>
      </c>
      <c r="W312">
        <f t="shared" si="247"/>
        <v>0</v>
      </c>
      <c r="X312">
        <f t="shared" si="248"/>
        <v>0</v>
      </c>
      <c r="Y312">
        <f t="shared" si="249"/>
        <v>0</v>
      </c>
      <c r="AA312">
        <v>129761633</v>
      </c>
      <c r="AB312">
        <f t="shared" si="250"/>
        <v>1424.67</v>
      </c>
      <c r="AC312">
        <f t="shared" si="251"/>
        <v>1424.67</v>
      </c>
      <c r="AD312">
        <f t="shared" si="274"/>
        <v>0</v>
      </c>
      <c r="AE312">
        <f t="shared" si="275"/>
        <v>0</v>
      </c>
      <c r="AF312">
        <f t="shared" si="275"/>
        <v>0</v>
      </c>
      <c r="AG312">
        <f t="shared" si="252"/>
        <v>0</v>
      </c>
      <c r="AH312">
        <f t="shared" si="276"/>
        <v>0</v>
      </c>
      <c r="AI312">
        <f t="shared" si="276"/>
        <v>0</v>
      </c>
      <c r="AJ312">
        <f t="shared" si="253"/>
        <v>0</v>
      </c>
      <c r="AK312">
        <v>1424.67</v>
      </c>
      <c r="AL312">
        <v>1424.67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1</v>
      </c>
      <c r="AW312">
        <v>1</v>
      </c>
      <c r="AZ312">
        <v>1</v>
      </c>
      <c r="BA312">
        <v>1</v>
      </c>
      <c r="BB312">
        <v>1</v>
      </c>
      <c r="BC312">
        <v>18.989999999999998</v>
      </c>
      <c r="BD312" t="s">
        <v>3</v>
      </c>
      <c r="BE312" t="s">
        <v>3</v>
      </c>
      <c r="BF312" t="s">
        <v>3</v>
      </c>
      <c r="BG312" t="s">
        <v>3</v>
      </c>
      <c r="BH312">
        <v>3</v>
      </c>
      <c r="BI312">
        <v>1</v>
      </c>
      <c r="BJ312" t="s">
        <v>411</v>
      </c>
      <c r="BM312">
        <v>92</v>
      </c>
      <c r="BN312">
        <v>0</v>
      </c>
      <c r="BO312" t="s">
        <v>409</v>
      </c>
      <c r="BP312">
        <v>1</v>
      </c>
      <c r="BQ312">
        <v>30</v>
      </c>
      <c r="BR312">
        <v>0</v>
      </c>
      <c r="BS312">
        <v>1</v>
      </c>
      <c r="BT312">
        <v>1</v>
      </c>
      <c r="BU312">
        <v>1</v>
      </c>
      <c r="BV312">
        <v>1</v>
      </c>
      <c r="BW312">
        <v>1</v>
      </c>
      <c r="BX312">
        <v>1</v>
      </c>
      <c r="BY312" t="s">
        <v>3</v>
      </c>
      <c r="BZ312">
        <v>0</v>
      </c>
      <c r="CA312">
        <v>0</v>
      </c>
      <c r="CB312" t="s">
        <v>3</v>
      </c>
      <c r="CE312">
        <v>30</v>
      </c>
      <c r="CF312">
        <v>0</v>
      </c>
      <c r="CG312">
        <v>0</v>
      </c>
      <c r="CM312">
        <v>0</v>
      </c>
      <c r="CN312" t="s">
        <v>3</v>
      </c>
      <c r="CO312">
        <v>0</v>
      </c>
      <c r="CP312">
        <f t="shared" si="254"/>
        <v>775.74</v>
      </c>
      <c r="CQ312">
        <f t="shared" si="255"/>
        <v>27054.48</v>
      </c>
      <c r="CR312">
        <f t="shared" si="277"/>
        <v>0</v>
      </c>
      <c r="CS312">
        <f t="shared" si="256"/>
        <v>0</v>
      </c>
      <c r="CT312">
        <f t="shared" si="257"/>
        <v>0</v>
      </c>
      <c r="CU312">
        <f t="shared" si="258"/>
        <v>0</v>
      </c>
      <c r="CV312">
        <f t="shared" si="259"/>
        <v>0</v>
      </c>
      <c r="CW312">
        <f t="shared" si="260"/>
        <v>0</v>
      </c>
      <c r="CX312">
        <f t="shared" si="261"/>
        <v>0</v>
      </c>
      <c r="CY312">
        <f>S312*(BZ312/100)</f>
        <v>0</v>
      </c>
      <c r="CZ312">
        <f>S312*(CA312/100)</f>
        <v>0</v>
      </c>
      <c r="DC312" t="s">
        <v>3</v>
      </c>
      <c r="DD312" t="s">
        <v>3</v>
      </c>
      <c r="DE312" t="s">
        <v>3</v>
      </c>
      <c r="DF312" t="s">
        <v>3</v>
      </c>
      <c r="DG312" t="s">
        <v>3</v>
      </c>
      <c r="DH312" t="s">
        <v>3</v>
      </c>
      <c r="DI312" t="s">
        <v>3</v>
      </c>
      <c r="DJ312" t="s">
        <v>3</v>
      </c>
      <c r="DK312" t="s">
        <v>3</v>
      </c>
      <c r="DL312" t="s">
        <v>3</v>
      </c>
      <c r="DM312" t="s">
        <v>3</v>
      </c>
      <c r="DN312">
        <v>104</v>
      </c>
      <c r="DO312">
        <v>70</v>
      </c>
      <c r="DP312">
        <v>1</v>
      </c>
      <c r="DQ312">
        <v>1</v>
      </c>
      <c r="DU312">
        <v>1009</v>
      </c>
      <c r="DV312" t="s">
        <v>114</v>
      </c>
      <c r="DW312" t="s">
        <v>114</v>
      </c>
      <c r="DX312">
        <v>1000</v>
      </c>
      <c r="DZ312" t="s">
        <v>3</v>
      </c>
      <c r="EA312" t="s">
        <v>3</v>
      </c>
      <c r="EB312" t="s">
        <v>3</v>
      </c>
      <c r="EC312" t="s">
        <v>3</v>
      </c>
      <c r="EE312">
        <v>126051553</v>
      </c>
      <c r="EF312">
        <v>30</v>
      </c>
      <c r="EG312" t="s">
        <v>23</v>
      </c>
      <c r="EH312">
        <v>0</v>
      </c>
      <c r="EI312" t="s">
        <v>3</v>
      </c>
      <c r="EJ312">
        <v>1</v>
      </c>
      <c r="EK312">
        <v>92</v>
      </c>
      <c r="EL312" t="s">
        <v>402</v>
      </c>
      <c r="EM312" t="s">
        <v>403</v>
      </c>
      <c r="EO312" t="s">
        <v>3</v>
      </c>
      <c r="EQ312">
        <v>0</v>
      </c>
      <c r="ER312">
        <v>1424.67</v>
      </c>
      <c r="ES312">
        <v>1424.67</v>
      </c>
      <c r="ET312">
        <v>0</v>
      </c>
      <c r="EU312">
        <v>0</v>
      </c>
      <c r="EV312">
        <v>0</v>
      </c>
      <c r="EW312">
        <v>0</v>
      </c>
      <c r="EX312">
        <v>0</v>
      </c>
      <c r="FQ312">
        <v>0</v>
      </c>
      <c r="FR312">
        <f t="shared" si="262"/>
        <v>0</v>
      </c>
      <c r="FS312">
        <v>0</v>
      </c>
      <c r="FX312">
        <v>104</v>
      </c>
      <c r="FY312">
        <v>70</v>
      </c>
      <c r="GA312" t="s">
        <v>3</v>
      </c>
      <c r="GD312">
        <v>0</v>
      </c>
      <c r="GF312">
        <v>1192135998</v>
      </c>
      <c r="GG312">
        <v>2</v>
      </c>
      <c r="GH312">
        <v>1</v>
      </c>
      <c r="GI312">
        <v>2</v>
      </c>
      <c r="GJ312">
        <v>0</v>
      </c>
      <c r="GK312">
        <f>ROUND(R312*(S12)/100,2)</f>
        <v>0</v>
      </c>
      <c r="GL312">
        <f t="shared" si="263"/>
        <v>0</v>
      </c>
      <c r="GM312">
        <f t="shared" si="264"/>
        <v>775.74</v>
      </c>
      <c r="GN312">
        <f t="shared" si="265"/>
        <v>775.74</v>
      </c>
      <c r="GO312">
        <f t="shared" si="266"/>
        <v>0</v>
      </c>
      <c r="GP312">
        <f t="shared" si="267"/>
        <v>0</v>
      </c>
      <c r="GR312">
        <v>0</v>
      </c>
      <c r="GS312">
        <v>3</v>
      </c>
      <c r="GT312">
        <v>0</v>
      </c>
      <c r="GU312" t="s">
        <v>3</v>
      </c>
      <c r="GV312">
        <f t="shared" si="268"/>
        <v>0</v>
      </c>
      <c r="GW312">
        <v>1</v>
      </c>
      <c r="GX312">
        <f t="shared" si="269"/>
        <v>0</v>
      </c>
      <c r="HA312">
        <v>0</v>
      </c>
      <c r="HB312">
        <v>0</v>
      </c>
      <c r="HC312">
        <f t="shared" si="270"/>
        <v>0</v>
      </c>
      <c r="HE312" t="s">
        <v>3</v>
      </c>
      <c r="HF312" t="s">
        <v>3</v>
      </c>
      <c r="HM312" t="s">
        <v>3</v>
      </c>
      <c r="HN312" t="s">
        <v>3</v>
      </c>
      <c r="HO312" t="s">
        <v>3</v>
      </c>
      <c r="HP312" t="s">
        <v>3</v>
      </c>
      <c r="HQ312" t="s">
        <v>3</v>
      </c>
      <c r="IK312">
        <v>0</v>
      </c>
    </row>
    <row r="313" spans="1:255" x14ac:dyDescent="0.2">
      <c r="A313" s="2">
        <v>18</v>
      </c>
      <c r="B313" s="2">
        <v>1</v>
      </c>
      <c r="C313" s="2">
        <v>332</v>
      </c>
      <c r="D313" s="2"/>
      <c r="E313" s="2" t="s">
        <v>412</v>
      </c>
      <c r="F313" s="2" t="s">
        <v>248</v>
      </c>
      <c r="G313" s="2" t="s">
        <v>413</v>
      </c>
      <c r="H313" s="2" t="s">
        <v>258</v>
      </c>
      <c r="I313" s="2">
        <f>I307*J313</f>
        <v>6.2220000000000004</v>
      </c>
      <c r="J313" s="2">
        <v>102.00000000000001</v>
      </c>
      <c r="K313" s="2">
        <v>102</v>
      </c>
      <c r="L313" s="2"/>
      <c r="M313" s="2"/>
      <c r="N313" s="2"/>
      <c r="O313" s="2">
        <f t="shared" si="240"/>
        <v>0</v>
      </c>
      <c r="P313" s="2">
        <f t="shared" si="241"/>
        <v>0</v>
      </c>
      <c r="Q313" s="2">
        <f t="shared" si="273"/>
        <v>0</v>
      </c>
      <c r="R313" s="2">
        <f t="shared" si="242"/>
        <v>0</v>
      </c>
      <c r="S313" s="2">
        <f t="shared" si="243"/>
        <v>0</v>
      </c>
      <c r="T313" s="2">
        <f t="shared" si="244"/>
        <v>0</v>
      </c>
      <c r="U313" s="2">
        <f t="shared" si="245"/>
        <v>0</v>
      </c>
      <c r="V313" s="2">
        <f t="shared" si="246"/>
        <v>0</v>
      </c>
      <c r="W313" s="2">
        <f t="shared" si="247"/>
        <v>0</v>
      </c>
      <c r="X313" s="2">
        <f t="shared" si="248"/>
        <v>0</v>
      </c>
      <c r="Y313" s="2">
        <f t="shared" si="249"/>
        <v>0</v>
      </c>
      <c r="Z313" s="2"/>
      <c r="AA313" s="2">
        <v>129761636</v>
      </c>
      <c r="AB313" s="2">
        <f t="shared" si="250"/>
        <v>0</v>
      </c>
      <c r="AC313" s="2">
        <f t="shared" si="251"/>
        <v>0</v>
      </c>
      <c r="AD313" s="2">
        <f t="shared" si="274"/>
        <v>0</v>
      </c>
      <c r="AE313" s="2">
        <f t="shared" si="275"/>
        <v>0</v>
      </c>
      <c r="AF313" s="2">
        <f t="shared" si="275"/>
        <v>0</v>
      </c>
      <c r="AG313" s="2">
        <f t="shared" si="252"/>
        <v>0</v>
      </c>
      <c r="AH313" s="2">
        <f t="shared" si="276"/>
        <v>0</v>
      </c>
      <c r="AI313" s="2">
        <f t="shared" si="276"/>
        <v>0</v>
      </c>
      <c r="AJ313" s="2">
        <f t="shared" si="253"/>
        <v>0</v>
      </c>
      <c r="AK313" s="2">
        <v>0</v>
      </c>
      <c r="AL313" s="2">
        <v>0</v>
      </c>
      <c r="AM313" s="2">
        <v>0</v>
      </c>
      <c r="AN313" s="2">
        <v>0</v>
      </c>
      <c r="AO313" s="2">
        <v>0</v>
      </c>
      <c r="AP313" s="2">
        <v>0</v>
      </c>
      <c r="AQ313" s="2">
        <v>0</v>
      </c>
      <c r="AR313" s="2">
        <v>0</v>
      </c>
      <c r="AS313" s="2">
        <v>0</v>
      </c>
      <c r="AT313" s="2">
        <v>104</v>
      </c>
      <c r="AU313" s="2">
        <v>70</v>
      </c>
      <c r="AV313" s="2">
        <v>1</v>
      </c>
      <c r="AW313" s="2">
        <v>1</v>
      </c>
      <c r="AX313" s="2"/>
      <c r="AY313" s="2"/>
      <c r="AZ313" s="2">
        <v>1</v>
      </c>
      <c r="BA313" s="2">
        <v>1</v>
      </c>
      <c r="BB313" s="2">
        <v>1</v>
      </c>
      <c r="BC313" s="2">
        <v>1</v>
      </c>
      <c r="BD313" s="2" t="s">
        <v>3</v>
      </c>
      <c r="BE313" s="2" t="s">
        <v>3</v>
      </c>
      <c r="BF313" s="2" t="s">
        <v>3</v>
      </c>
      <c r="BG313" s="2" t="s">
        <v>3</v>
      </c>
      <c r="BH313" s="2">
        <v>3</v>
      </c>
      <c r="BI313" s="2">
        <v>1</v>
      </c>
      <c r="BJ313" s="2" t="s">
        <v>3</v>
      </c>
      <c r="BK313" s="2"/>
      <c r="BL313" s="2"/>
      <c r="BM313" s="2">
        <v>92</v>
      </c>
      <c r="BN313" s="2">
        <v>0</v>
      </c>
      <c r="BO313" s="2" t="s">
        <v>3</v>
      </c>
      <c r="BP313" s="2">
        <v>0</v>
      </c>
      <c r="BQ313" s="2">
        <v>30</v>
      </c>
      <c r="BR313" s="2">
        <v>0</v>
      </c>
      <c r="BS313" s="2">
        <v>1</v>
      </c>
      <c r="BT313" s="2">
        <v>1</v>
      </c>
      <c r="BU313" s="2">
        <v>1</v>
      </c>
      <c r="BV313" s="2">
        <v>1</v>
      </c>
      <c r="BW313" s="2">
        <v>1</v>
      </c>
      <c r="BX313" s="2">
        <v>1</v>
      </c>
      <c r="BY313" s="2" t="s">
        <v>3</v>
      </c>
      <c r="BZ313" s="2">
        <v>104</v>
      </c>
      <c r="CA313" s="2">
        <v>70</v>
      </c>
      <c r="CB313" s="2" t="s">
        <v>3</v>
      </c>
      <c r="CC313" s="2"/>
      <c r="CD313" s="2"/>
      <c r="CE313" s="2">
        <v>30</v>
      </c>
      <c r="CF313" s="2">
        <v>0</v>
      </c>
      <c r="CG313" s="2">
        <v>0</v>
      </c>
      <c r="CH313" s="2"/>
      <c r="CI313" s="2"/>
      <c r="CJ313" s="2"/>
      <c r="CK313" s="2"/>
      <c r="CL313" s="2"/>
      <c r="CM313" s="2">
        <v>0</v>
      </c>
      <c r="CN313" s="2" t="s">
        <v>3</v>
      </c>
      <c r="CO313" s="2">
        <v>0</v>
      </c>
      <c r="CP313" s="2">
        <f t="shared" si="254"/>
        <v>0</v>
      </c>
      <c r="CQ313" s="2">
        <f t="shared" si="255"/>
        <v>0</v>
      </c>
      <c r="CR313" s="2">
        <f t="shared" si="277"/>
        <v>0</v>
      </c>
      <c r="CS313" s="2">
        <f t="shared" si="256"/>
        <v>0</v>
      </c>
      <c r="CT313" s="2">
        <f t="shared" si="257"/>
        <v>0</v>
      </c>
      <c r="CU313" s="2">
        <f t="shared" si="258"/>
        <v>0</v>
      </c>
      <c r="CV313" s="2">
        <f t="shared" si="259"/>
        <v>0</v>
      </c>
      <c r="CW313" s="2">
        <f t="shared" si="260"/>
        <v>0</v>
      </c>
      <c r="CX313" s="2">
        <f t="shared" si="261"/>
        <v>0</v>
      </c>
      <c r="CY313" s="2">
        <f>((S313*BZ313)/100)</f>
        <v>0</v>
      </c>
      <c r="CZ313" s="2">
        <f>((S313*CA313)/100)</f>
        <v>0</v>
      </c>
      <c r="DA313" s="2"/>
      <c r="DB313" s="2"/>
      <c r="DC313" s="2" t="s">
        <v>3</v>
      </c>
      <c r="DD313" s="2" t="s">
        <v>3</v>
      </c>
      <c r="DE313" s="2" t="s">
        <v>3</v>
      </c>
      <c r="DF313" s="2" t="s">
        <v>3</v>
      </c>
      <c r="DG313" s="2" t="s">
        <v>3</v>
      </c>
      <c r="DH313" s="2" t="s">
        <v>3</v>
      </c>
      <c r="DI313" s="2" t="s">
        <v>3</v>
      </c>
      <c r="DJ313" s="2" t="s">
        <v>3</v>
      </c>
      <c r="DK313" s="2" t="s">
        <v>3</v>
      </c>
      <c r="DL313" s="2" t="s">
        <v>3</v>
      </c>
      <c r="DM313" s="2" t="s">
        <v>3</v>
      </c>
      <c r="DN313" s="2">
        <v>0</v>
      </c>
      <c r="DO313" s="2">
        <v>0</v>
      </c>
      <c r="DP313" s="2">
        <v>1</v>
      </c>
      <c r="DQ313" s="2">
        <v>1</v>
      </c>
      <c r="DR313" s="2"/>
      <c r="DS313" s="2"/>
      <c r="DT313" s="2"/>
      <c r="DU313" s="2">
        <v>1005</v>
      </c>
      <c r="DV313" s="2" t="s">
        <v>258</v>
      </c>
      <c r="DW313" s="2" t="s">
        <v>258</v>
      </c>
      <c r="DX313" s="2">
        <v>1</v>
      </c>
      <c r="DY313" s="2"/>
      <c r="DZ313" s="2" t="s">
        <v>3</v>
      </c>
      <c r="EA313" s="2" t="s">
        <v>3</v>
      </c>
      <c r="EB313" s="2" t="s">
        <v>3</v>
      </c>
      <c r="EC313" s="2" t="s">
        <v>3</v>
      </c>
      <c r="ED313" s="2"/>
      <c r="EE313" s="2">
        <v>126051553</v>
      </c>
      <c r="EF313" s="2">
        <v>30</v>
      </c>
      <c r="EG313" s="2" t="s">
        <v>23</v>
      </c>
      <c r="EH313" s="2">
        <v>0</v>
      </c>
      <c r="EI313" s="2" t="s">
        <v>3</v>
      </c>
      <c r="EJ313" s="2">
        <v>1</v>
      </c>
      <c r="EK313" s="2">
        <v>92</v>
      </c>
      <c r="EL313" s="2" t="s">
        <v>402</v>
      </c>
      <c r="EM313" s="2" t="s">
        <v>403</v>
      </c>
      <c r="EN313" s="2"/>
      <c r="EO313" s="2" t="s">
        <v>3</v>
      </c>
      <c r="EP313" s="2"/>
      <c r="EQ313" s="2">
        <v>0</v>
      </c>
      <c r="ER313" s="2">
        <v>0</v>
      </c>
      <c r="ES313" s="2">
        <v>0</v>
      </c>
      <c r="ET313" s="2">
        <v>0</v>
      </c>
      <c r="EU313" s="2">
        <v>0</v>
      </c>
      <c r="EV313" s="2">
        <v>0</v>
      </c>
      <c r="EW313" s="2">
        <v>0</v>
      </c>
      <c r="EX313" s="2">
        <v>0</v>
      </c>
      <c r="EY313" s="2"/>
      <c r="EZ313" s="2"/>
      <c r="FA313" s="2"/>
      <c r="FB313" s="2"/>
      <c r="FC313" s="2"/>
      <c r="FD313" s="2"/>
      <c r="FE313" s="2"/>
      <c r="FF313" s="2"/>
      <c r="FG313" s="2"/>
      <c r="FH313" s="2"/>
      <c r="FI313" s="2"/>
      <c r="FJ313" s="2"/>
      <c r="FK313" s="2"/>
      <c r="FL313" s="2"/>
      <c r="FM313" s="2"/>
      <c r="FN313" s="2"/>
      <c r="FO313" s="2"/>
      <c r="FP313" s="2"/>
      <c r="FQ313" s="2">
        <v>0</v>
      </c>
      <c r="FR313" s="2">
        <f t="shared" si="262"/>
        <v>0</v>
      </c>
      <c r="FS313" s="2">
        <v>0</v>
      </c>
      <c r="FT313" s="2"/>
      <c r="FU313" s="2"/>
      <c r="FV313" s="2"/>
      <c r="FW313" s="2"/>
      <c r="FX313" s="2">
        <v>104</v>
      </c>
      <c r="FY313" s="2">
        <v>70</v>
      </c>
      <c r="FZ313" s="2"/>
      <c r="GA313" s="2" t="s">
        <v>3</v>
      </c>
      <c r="GB313" s="2"/>
      <c r="GC313" s="2"/>
      <c r="GD313" s="2">
        <v>0</v>
      </c>
      <c r="GE313" s="2"/>
      <c r="GF313" s="2">
        <v>1228675506</v>
      </c>
      <c r="GG313" s="2">
        <v>2</v>
      </c>
      <c r="GH313" s="2">
        <v>0</v>
      </c>
      <c r="GI313" s="2">
        <v>-2</v>
      </c>
      <c r="GJ313" s="2">
        <v>0</v>
      </c>
      <c r="GK313" s="2">
        <f>ROUND(R313*(R12)/100,2)</f>
        <v>0</v>
      </c>
      <c r="GL313" s="2">
        <f t="shared" si="263"/>
        <v>0</v>
      </c>
      <c r="GM313" s="2">
        <f t="shared" si="264"/>
        <v>0</v>
      </c>
      <c r="GN313" s="2">
        <f t="shared" si="265"/>
        <v>0</v>
      </c>
      <c r="GO313" s="2">
        <f t="shared" si="266"/>
        <v>0</v>
      </c>
      <c r="GP313" s="2">
        <f t="shared" si="267"/>
        <v>0</v>
      </c>
      <c r="GQ313" s="2"/>
      <c r="GR313" s="2">
        <v>0</v>
      </c>
      <c r="GS313" s="2">
        <v>3</v>
      </c>
      <c r="GT313" s="2">
        <v>0</v>
      </c>
      <c r="GU313" s="2" t="s">
        <v>3</v>
      </c>
      <c r="GV313" s="2">
        <f t="shared" si="268"/>
        <v>0</v>
      </c>
      <c r="GW313" s="2">
        <v>1</v>
      </c>
      <c r="GX313" s="2">
        <f t="shared" si="269"/>
        <v>0</v>
      </c>
      <c r="GY313" s="2"/>
      <c r="GZ313" s="2"/>
      <c r="HA313" s="2">
        <v>0</v>
      </c>
      <c r="HB313" s="2">
        <v>0</v>
      </c>
      <c r="HC313" s="2">
        <f t="shared" si="270"/>
        <v>0</v>
      </c>
      <c r="HD313" s="2"/>
      <c r="HE313" s="2" t="s">
        <v>3</v>
      </c>
      <c r="HF313" s="2" t="s">
        <v>3</v>
      </c>
      <c r="HG313" s="2"/>
      <c r="HH313" s="2"/>
      <c r="HI313" s="2"/>
      <c r="HJ313" s="2"/>
      <c r="HK313" s="2"/>
      <c r="HL313" s="2"/>
      <c r="HM313" s="2" t="s">
        <v>3</v>
      </c>
      <c r="HN313" s="2" t="s">
        <v>3</v>
      </c>
      <c r="HO313" s="2" t="s">
        <v>3</v>
      </c>
      <c r="HP313" s="2" t="s">
        <v>3</v>
      </c>
      <c r="HQ313" s="2" t="s">
        <v>3</v>
      </c>
      <c r="HR313" s="2"/>
      <c r="HS313" s="2"/>
      <c r="HT313" s="2"/>
      <c r="HU313" s="2"/>
      <c r="HV313" s="2"/>
      <c r="HW313" s="2"/>
      <c r="HX313" s="2"/>
      <c r="HY313" s="2"/>
      <c r="HZ313" s="2"/>
      <c r="IA313" s="2"/>
      <c r="IB313" s="2"/>
      <c r="IC313" s="2"/>
      <c r="ID313" s="2"/>
      <c r="IE313" s="2"/>
      <c r="IF313" s="2"/>
      <c r="IG313" s="2"/>
      <c r="IH313" s="2"/>
      <c r="II313" s="2"/>
      <c r="IJ313" s="2"/>
      <c r="IK313" s="2">
        <v>0</v>
      </c>
      <c r="IL313" s="2"/>
      <c r="IM313" s="2"/>
      <c r="IN313" s="2"/>
      <c r="IO313" s="2"/>
      <c r="IP313" s="2"/>
      <c r="IQ313" s="2"/>
      <c r="IR313" s="2"/>
      <c r="IS313" s="2"/>
      <c r="IT313" s="2"/>
      <c r="IU313" s="2"/>
    </row>
    <row r="314" spans="1:255" x14ac:dyDescent="0.2">
      <c r="A314">
        <v>18</v>
      </c>
      <c r="B314">
        <v>1</v>
      </c>
      <c r="C314">
        <v>342</v>
      </c>
      <c r="E314" t="s">
        <v>412</v>
      </c>
      <c r="F314" t="s">
        <v>248</v>
      </c>
      <c r="G314" t="s">
        <v>413</v>
      </c>
      <c r="H314" t="s">
        <v>258</v>
      </c>
      <c r="I314">
        <f>I308*J314</f>
        <v>6.2220000000000004</v>
      </c>
      <c r="J314">
        <v>102.00000000000001</v>
      </c>
      <c r="K314">
        <v>102</v>
      </c>
      <c r="O314">
        <f t="shared" si="240"/>
        <v>7721.6</v>
      </c>
      <c r="P314">
        <f t="shared" si="241"/>
        <v>7721.6</v>
      </c>
      <c r="Q314">
        <f t="shared" si="273"/>
        <v>0</v>
      </c>
      <c r="R314">
        <f t="shared" si="242"/>
        <v>0</v>
      </c>
      <c r="S314">
        <f t="shared" si="243"/>
        <v>0</v>
      </c>
      <c r="T314">
        <f t="shared" si="244"/>
        <v>0</v>
      </c>
      <c r="U314">
        <f t="shared" si="245"/>
        <v>0</v>
      </c>
      <c r="V314">
        <f t="shared" si="246"/>
        <v>0</v>
      </c>
      <c r="W314">
        <f t="shared" si="247"/>
        <v>0</v>
      </c>
      <c r="X314">
        <f t="shared" si="248"/>
        <v>0</v>
      </c>
      <c r="Y314">
        <f t="shared" si="249"/>
        <v>0</v>
      </c>
      <c r="AA314">
        <v>129761633</v>
      </c>
      <c r="AB314">
        <f t="shared" si="250"/>
        <v>143.47</v>
      </c>
      <c r="AC314">
        <f t="shared" si="251"/>
        <v>143.47</v>
      </c>
      <c r="AD314">
        <f t="shared" si="274"/>
        <v>0</v>
      </c>
      <c r="AE314">
        <f t="shared" si="275"/>
        <v>0</v>
      </c>
      <c r="AF314">
        <f t="shared" si="275"/>
        <v>0</v>
      </c>
      <c r="AG314">
        <f t="shared" si="252"/>
        <v>0</v>
      </c>
      <c r="AH314">
        <f t="shared" si="276"/>
        <v>0</v>
      </c>
      <c r="AI314">
        <f t="shared" si="276"/>
        <v>0</v>
      </c>
      <c r="AJ314">
        <f t="shared" si="253"/>
        <v>0</v>
      </c>
      <c r="AK314">
        <v>143.47</v>
      </c>
      <c r="AL314">
        <v>143.47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1</v>
      </c>
      <c r="AW314">
        <v>1</v>
      </c>
      <c r="AZ314">
        <v>1</v>
      </c>
      <c r="BA314">
        <v>1</v>
      </c>
      <c r="BB314">
        <v>1</v>
      </c>
      <c r="BC314">
        <v>8.65</v>
      </c>
      <c r="BD314" t="s">
        <v>3</v>
      </c>
      <c r="BE314" t="s">
        <v>3</v>
      </c>
      <c r="BF314" t="s">
        <v>3</v>
      </c>
      <c r="BG314" t="s">
        <v>3</v>
      </c>
      <c r="BH314">
        <v>3</v>
      </c>
      <c r="BI314">
        <v>1</v>
      </c>
      <c r="BJ314" t="s">
        <v>3</v>
      </c>
      <c r="BM314">
        <v>92</v>
      </c>
      <c r="BN314">
        <v>0</v>
      </c>
      <c r="BO314" t="s">
        <v>3</v>
      </c>
      <c r="BP314">
        <v>0</v>
      </c>
      <c r="BQ314">
        <v>30</v>
      </c>
      <c r="BR314">
        <v>0</v>
      </c>
      <c r="BS314">
        <v>1</v>
      </c>
      <c r="BT314">
        <v>1</v>
      </c>
      <c r="BU314">
        <v>1</v>
      </c>
      <c r="BV314">
        <v>1</v>
      </c>
      <c r="BW314">
        <v>1</v>
      </c>
      <c r="BX314">
        <v>1</v>
      </c>
      <c r="BY314" t="s">
        <v>3</v>
      </c>
      <c r="BZ314">
        <v>0</v>
      </c>
      <c r="CA314">
        <v>0</v>
      </c>
      <c r="CB314" t="s">
        <v>3</v>
      </c>
      <c r="CE314">
        <v>30</v>
      </c>
      <c r="CF314">
        <v>0</v>
      </c>
      <c r="CG314">
        <v>0</v>
      </c>
      <c r="CM314">
        <v>0</v>
      </c>
      <c r="CN314" t="s">
        <v>3</v>
      </c>
      <c r="CO314">
        <v>0</v>
      </c>
      <c r="CP314">
        <f t="shared" si="254"/>
        <v>7721.6</v>
      </c>
      <c r="CQ314">
        <f t="shared" si="255"/>
        <v>1241.02</v>
      </c>
      <c r="CR314">
        <f t="shared" si="277"/>
        <v>0</v>
      </c>
      <c r="CS314">
        <f t="shared" si="256"/>
        <v>0</v>
      </c>
      <c r="CT314">
        <f t="shared" si="257"/>
        <v>0</v>
      </c>
      <c r="CU314">
        <f t="shared" si="258"/>
        <v>0</v>
      </c>
      <c r="CV314">
        <f t="shared" si="259"/>
        <v>0</v>
      </c>
      <c r="CW314">
        <f t="shared" si="260"/>
        <v>0</v>
      </c>
      <c r="CX314">
        <f t="shared" si="261"/>
        <v>0</v>
      </c>
      <c r="CY314">
        <f>S314*(BZ314/100)</f>
        <v>0</v>
      </c>
      <c r="CZ314">
        <f>S314*(CA314/100)</f>
        <v>0</v>
      </c>
      <c r="DC314" t="s">
        <v>3</v>
      </c>
      <c r="DD314" t="s">
        <v>3</v>
      </c>
      <c r="DE314" t="s">
        <v>3</v>
      </c>
      <c r="DF314" t="s">
        <v>3</v>
      </c>
      <c r="DG314" t="s">
        <v>3</v>
      </c>
      <c r="DH314" t="s">
        <v>3</v>
      </c>
      <c r="DI314" t="s">
        <v>3</v>
      </c>
      <c r="DJ314" t="s">
        <v>3</v>
      </c>
      <c r="DK314" t="s">
        <v>3</v>
      </c>
      <c r="DL314" t="s">
        <v>3</v>
      </c>
      <c r="DM314" t="s">
        <v>3</v>
      </c>
      <c r="DN314">
        <v>104</v>
      </c>
      <c r="DO314">
        <v>70</v>
      </c>
      <c r="DP314">
        <v>1</v>
      </c>
      <c r="DQ314">
        <v>1</v>
      </c>
      <c r="DU314">
        <v>1005</v>
      </c>
      <c r="DV314" t="s">
        <v>258</v>
      </c>
      <c r="DW314" t="s">
        <v>258</v>
      </c>
      <c r="DX314">
        <v>1</v>
      </c>
      <c r="DZ314" t="s">
        <v>3</v>
      </c>
      <c r="EA314" t="s">
        <v>3</v>
      </c>
      <c r="EB314" t="s">
        <v>3</v>
      </c>
      <c r="EC314" t="s">
        <v>3</v>
      </c>
      <c r="EE314">
        <v>126051553</v>
      </c>
      <c r="EF314">
        <v>30</v>
      </c>
      <c r="EG314" t="s">
        <v>23</v>
      </c>
      <c r="EH314">
        <v>0</v>
      </c>
      <c r="EI314" t="s">
        <v>3</v>
      </c>
      <c r="EJ314">
        <v>1</v>
      </c>
      <c r="EK314">
        <v>92</v>
      </c>
      <c r="EL314" t="s">
        <v>402</v>
      </c>
      <c r="EM314" t="s">
        <v>403</v>
      </c>
      <c r="EO314" t="s">
        <v>3</v>
      </c>
      <c r="EQ314">
        <v>0</v>
      </c>
      <c r="ER314">
        <v>143.47</v>
      </c>
      <c r="ES314">
        <v>143.47</v>
      </c>
      <c r="ET314">
        <v>0</v>
      </c>
      <c r="EU314">
        <v>0</v>
      </c>
      <c r="EV314">
        <v>0</v>
      </c>
      <c r="EW314">
        <v>0</v>
      </c>
      <c r="EX314">
        <v>0</v>
      </c>
      <c r="EZ314">
        <v>5</v>
      </c>
      <c r="FC314">
        <v>1</v>
      </c>
      <c r="FD314">
        <v>18</v>
      </c>
      <c r="FF314">
        <v>1460</v>
      </c>
      <c r="FQ314">
        <v>0</v>
      </c>
      <c r="FR314">
        <f t="shared" si="262"/>
        <v>0</v>
      </c>
      <c r="FS314">
        <v>0</v>
      </c>
      <c r="FX314">
        <v>104</v>
      </c>
      <c r="FY314">
        <v>70</v>
      </c>
      <c r="GA314" t="s">
        <v>414</v>
      </c>
      <c r="GD314">
        <v>0</v>
      </c>
      <c r="GF314">
        <v>1228675506</v>
      </c>
      <c r="GG314">
        <v>2</v>
      </c>
      <c r="GH314">
        <v>3</v>
      </c>
      <c r="GI314">
        <v>5</v>
      </c>
      <c r="GJ314">
        <v>0</v>
      </c>
      <c r="GK314">
        <f>ROUND(R314*(S12)/100,2)</f>
        <v>0</v>
      </c>
      <c r="GL314">
        <f t="shared" si="263"/>
        <v>0</v>
      </c>
      <c r="GM314">
        <f t="shared" si="264"/>
        <v>7721.6</v>
      </c>
      <c r="GN314">
        <f t="shared" si="265"/>
        <v>7721.6</v>
      </c>
      <c r="GO314">
        <f t="shared" si="266"/>
        <v>0</v>
      </c>
      <c r="GP314">
        <f t="shared" si="267"/>
        <v>0</v>
      </c>
      <c r="GR314">
        <v>1</v>
      </c>
      <c r="GS314">
        <v>1</v>
      </c>
      <c r="GT314">
        <v>0</v>
      </c>
      <c r="GU314" t="s">
        <v>3</v>
      </c>
      <c r="GV314">
        <f t="shared" si="268"/>
        <v>0</v>
      </c>
      <c r="GW314">
        <v>1</v>
      </c>
      <c r="GX314">
        <f t="shared" si="269"/>
        <v>0</v>
      </c>
      <c r="HA314">
        <v>0</v>
      </c>
      <c r="HB314">
        <v>0</v>
      </c>
      <c r="HC314">
        <f t="shared" si="270"/>
        <v>0</v>
      </c>
      <c r="HE314" t="s">
        <v>81</v>
      </c>
      <c r="HF314" t="s">
        <v>252</v>
      </c>
      <c r="HM314" t="s">
        <v>3</v>
      </c>
      <c r="HN314" t="s">
        <v>3</v>
      </c>
      <c r="HO314" t="s">
        <v>3</v>
      </c>
      <c r="HP314" t="s">
        <v>3</v>
      </c>
      <c r="HQ314" t="s">
        <v>3</v>
      </c>
      <c r="IK314">
        <v>0</v>
      </c>
    </row>
    <row r="315" spans="1:255" x14ac:dyDescent="0.2">
      <c r="A315" s="2">
        <v>18</v>
      </c>
      <c r="B315" s="2">
        <v>1</v>
      </c>
      <c r="C315" s="2">
        <v>328</v>
      </c>
      <c r="D315" s="2"/>
      <c r="E315" s="2" t="s">
        <v>415</v>
      </c>
      <c r="F315" s="2" t="s">
        <v>416</v>
      </c>
      <c r="G315" s="2" t="s">
        <v>417</v>
      </c>
      <c r="H315" s="2" t="s">
        <v>258</v>
      </c>
      <c r="I315" s="2">
        <f>I307*J315</f>
        <v>0</v>
      </c>
      <c r="J315" s="2">
        <v>0</v>
      </c>
      <c r="K315" s="2">
        <v>0</v>
      </c>
      <c r="L315" s="2"/>
      <c r="M315" s="2"/>
      <c r="N315" s="2"/>
      <c r="O315" s="2">
        <f t="shared" si="240"/>
        <v>0</v>
      </c>
      <c r="P315" s="2">
        <f t="shared" si="241"/>
        <v>0</v>
      </c>
      <c r="Q315" s="2">
        <f t="shared" si="273"/>
        <v>0</v>
      </c>
      <c r="R315" s="2">
        <f t="shared" si="242"/>
        <v>0</v>
      </c>
      <c r="S315" s="2">
        <f t="shared" si="243"/>
        <v>0</v>
      </c>
      <c r="T315" s="2">
        <f t="shared" si="244"/>
        <v>0</v>
      </c>
      <c r="U315" s="2">
        <f t="shared" si="245"/>
        <v>0</v>
      </c>
      <c r="V315" s="2">
        <f t="shared" si="246"/>
        <v>0</v>
      </c>
      <c r="W315" s="2">
        <f t="shared" si="247"/>
        <v>0</v>
      </c>
      <c r="X315" s="2">
        <f t="shared" si="248"/>
        <v>0</v>
      </c>
      <c r="Y315" s="2">
        <f t="shared" si="249"/>
        <v>0</v>
      </c>
      <c r="Z315" s="2"/>
      <c r="AA315" s="2">
        <v>129761636</v>
      </c>
      <c r="AB315" s="2">
        <f t="shared" si="250"/>
        <v>92.02</v>
      </c>
      <c r="AC315" s="2">
        <f t="shared" si="251"/>
        <v>92.02</v>
      </c>
      <c r="AD315" s="2">
        <f t="shared" si="274"/>
        <v>0</v>
      </c>
      <c r="AE315" s="2">
        <f t="shared" si="275"/>
        <v>0</v>
      </c>
      <c r="AF315" s="2">
        <f t="shared" si="275"/>
        <v>0</v>
      </c>
      <c r="AG315" s="2">
        <f t="shared" si="252"/>
        <v>0</v>
      </c>
      <c r="AH315" s="2">
        <f t="shared" si="276"/>
        <v>0</v>
      </c>
      <c r="AI315" s="2">
        <f t="shared" si="276"/>
        <v>0</v>
      </c>
      <c r="AJ315" s="2">
        <f t="shared" si="253"/>
        <v>0</v>
      </c>
      <c r="AK315" s="2">
        <v>92.02</v>
      </c>
      <c r="AL315" s="2">
        <v>92.02</v>
      </c>
      <c r="AM315" s="2">
        <v>0</v>
      </c>
      <c r="AN315" s="2">
        <v>0</v>
      </c>
      <c r="AO315" s="2">
        <v>0</v>
      </c>
      <c r="AP315" s="2">
        <v>0</v>
      </c>
      <c r="AQ315" s="2">
        <v>0</v>
      </c>
      <c r="AR315" s="2">
        <v>0</v>
      </c>
      <c r="AS315" s="2">
        <v>0</v>
      </c>
      <c r="AT315" s="2">
        <v>104</v>
      </c>
      <c r="AU315" s="2">
        <v>70</v>
      </c>
      <c r="AV315" s="2">
        <v>1</v>
      </c>
      <c r="AW315" s="2">
        <v>1</v>
      </c>
      <c r="AX315" s="2"/>
      <c r="AY315" s="2"/>
      <c r="AZ315" s="2">
        <v>1</v>
      </c>
      <c r="BA315" s="2">
        <v>1</v>
      </c>
      <c r="BB315" s="2">
        <v>1</v>
      </c>
      <c r="BC315" s="2">
        <v>1</v>
      </c>
      <c r="BD315" s="2" t="s">
        <v>3</v>
      </c>
      <c r="BE315" s="2" t="s">
        <v>3</v>
      </c>
      <c r="BF315" s="2" t="s">
        <v>3</v>
      </c>
      <c r="BG315" s="2" t="s">
        <v>3</v>
      </c>
      <c r="BH315" s="2">
        <v>3</v>
      </c>
      <c r="BI315" s="2">
        <v>1</v>
      </c>
      <c r="BJ315" s="2" t="s">
        <v>418</v>
      </c>
      <c r="BK315" s="2"/>
      <c r="BL315" s="2"/>
      <c r="BM315" s="2">
        <v>92</v>
      </c>
      <c r="BN315" s="2">
        <v>0</v>
      </c>
      <c r="BO315" s="2" t="s">
        <v>3</v>
      </c>
      <c r="BP315" s="2">
        <v>0</v>
      </c>
      <c r="BQ315" s="2">
        <v>30</v>
      </c>
      <c r="BR315" s="2">
        <v>0</v>
      </c>
      <c r="BS315" s="2">
        <v>1</v>
      </c>
      <c r="BT315" s="2">
        <v>1</v>
      </c>
      <c r="BU315" s="2">
        <v>1</v>
      </c>
      <c r="BV315" s="2">
        <v>1</v>
      </c>
      <c r="BW315" s="2">
        <v>1</v>
      </c>
      <c r="BX315" s="2">
        <v>1</v>
      </c>
      <c r="BY315" s="2" t="s">
        <v>3</v>
      </c>
      <c r="BZ315" s="2">
        <v>104</v>
      </c>
      <c r="CA315" s="2">
        <v>70</v>
      </c>
      <c r="CB315" s="2" t="s">
        <v>3</v>
      </c>
      <c r="CC315" s="2"/>
      <c r="CD315" s="2"/>
      <c r="CE315" s="2">
        <v>30</v>
      </c>
      <c r="CF315" s="2">
        <v>0</v>
      </c>
      <c r="CG315" s="2">
        <v>0</v>
      </c>
      <c r="CH315" s="2"/>
      <c r="CI315" s="2"/>
      <c r="CJ315" s="2"/>
      <c r="CK315" s="2"/>
      <c r="CL315" s="2"/>
      <c r="CM315" s="2">
        <v>0</v>
      </c>
      <c r="CN315" s="2" t="s">
        <v>3</v>
      </c>
      <c r="CO315" s="2">
        <v>0</v>
      </c>
      <c r="CP315" s="2">
        <f t="shared" si="254"/>
        <v>0</v>
      </c>
      <c r="CQ315" s="2">
        <f t="shared" si="255"/>
        <v>92.02</v>
      </c>
      <c r="CR315" s="2">
        <f t="shared" si="277"/>
        <v>0</v>
      </c>
      <c r="CS315" s="2">
        <f t="shared" si="256"/>
        <v>0</v>
      </c>
      <c r="CT315" s="2">
        <f t="shared" si="257"/>
        <v>0</v>
      </c>
      <c r="CU315" s="2">
        <f t="shared" si="258"/>
        <v>0</v>
      </c>
      <c r="CV315" s="2">
        <f t="shared" si="259"/>
        <v>0</v>
      </c>
      <c r="CW315" s="2">
        <f t="shared" si="260"/>
        <v>0</v>
      </c>
      <c r="CX315" s="2">
        <f t="shared" si="261"/>
        <v>0</v>
      </c>
      <c r="CY315" s="2">
        <f>((S315*BZ315)/100)</f>
        <v>0</v>
      </c>
      <c r="CZ315" s="2">
        <f>((S315*CA315)/100)</f>
        <v>0</v>
      </c>
      <c r="DA315" s="2"/>
      <c r="DB315" s="2"/>
      <c r="DC315" s="2" t="s">
        <v>3</v>
      </c>
      <c r="DD315" s="2" t="s">
        <v>3</v>
      </c>
      <c r="DE315" s="2" t="s">
        <v>3</v>
      </c>
      <c r="DF315" s="2" t="s">
        <v>3</v>
      </c>
      <c r="DG315" s="2" t="s">
        <v>3</v>
      </c>
      <c r="DH315" s="2" t="s">
        <v>3</v>
      </c>
      <c r="DI315" s="2" t="s">
        <v>3</v>
      </c>
      <c r="DJ315" s="2" t="s">
        <v>3</v>
      </c>
      <c r="DK315" s="2" t="s">
        <v>3</v>
      </c>
      <c r="DL315" s="2" t="s">
        <v>3</v>
      </c>
      <c r="DM315" s="2" t="s">
        <v>3</v>
      </c>
      <c r="DN315" s="2">
        <v>0</v>
      </c>
      <c r="DO315" s="2">
        <v>0</v>
      </c>
      <c r="DP315" s="2">
        <v>1</v>
      </c>
      <c r="DQ315" s="2">
        <v>1</v>
      </c>
      <c r="DR315" s="2"/>
      <c r="DS315" s="2"/>
      <c r="DT315" s="2"/>
      <c r="DU315" s="2">
        <v>1005</v>
      </c>
      <c r="DV315" s="2" t="s">
        <v>258</v>
      </c>
      <c r="DW315" s="2" t="s">
        <v>258</v>
      </c>
      <c r="DX315" s="2">
        <v>1</v>
      </c>
      <c r="DY315" s="2"/>
      <c r="DZ315" s="2" t="s">
        <v>3</v>
      </c>
      <c r="EA315" s="2" t="s">
        <v>3</v>
      </c>
      <c r="EB315" s="2" t="s">
        <v>3</v>
      </c>
      <c r="EC315" s="2" t="s">
        <v>3</v>
      </c>
      <c r="ED315" s="2"/>
      <c r="EE315" s="2">
        <v>126051553</v>
      </c>
      <c r="EF315" s="2">
        <v>30</v>
      </c>
      <c r="EG315" s="2" t="s">
        <v>23</v>
      </c>
      <c r="EH315" s="2">
        <v>0</v>
      </c>
      <c r="EI315" s="2" t="s">
        <v>3</v>
      </c>
      <c r="EJ315" s="2">
        <v>1</v>
      </c>
      <c r="EK315" s="2">
        <v>92</v>
      </c>
      <c r="EL315" s="2" t="s">
        <v>402</v>
      </c>
      <c r="EM315" s="2" t="s">
        <v>403</v>
      </c>
      <c r="EN315" s="2"/>
      <c r="EO315" s="2" t="s">
        <v>3</v>
      </c>
      <c r="EP315" s="2"/>
      <c r="EQ315" s="2">
        <v>0</v>
      </c>
      <c r="ER315" s="2">
        <v>92.02</v>
      </c>
      <c r="ES315" s="2">
        <v>92.02</v>
      </c>
      <c r="ET315" s="2">
        <v>0</v>
      </c>
      <c r="EU315" s="2">
        <v>0</v>
      </c>
      <c r="EV315" s="2">
        <v>0</v>
      </c>
      <c r="EW315" s="2">
        <v>0</v>
      </c>
      <c r="EX315" s="2">
        <v>0</v>
      </c>
      <c r="EY315" s="2"/>
      <c r="EZ315" s="2"/>
      <c r="FA315" s="2"/>
      <c r="FB315" s="2"/>
      <c r="FC315" s="2"/>
      <c r="FD315" s="2"/>
      <c r="FE315" s="2"/>
      <c r="FF315" s="2"/>
      <c r="FG315" s="2"/>
      <c r="FH315" s="2"/>
      <c r="FI315" s="2"/>
      <c r="FJ315" s="2"/>
      <c r="FK315" s="2"/>
      <c r="FL315" s="2"/>
      <c r="FM315" s="2"/>
      <c r="FN315" s="2"/>
      <c r="FO315" s="2"/>
      <c r="FP315" s="2"/>
      <c r="FQ315" s="2">
        <v>0</v>
      </c>
      <c r="FR315" s="2">
        <f t="shared" si="262"/>
        <v>0</v>
      </c>
      <c r="FS315" s="2">
        <v>0</v>
      </c>
      <c r="FT315" s="2"/>
      <c r="FU315" s="2"/>
      <c r="FV315" s="2"/>
      <c r="FW315" s="2"/>
      <c r="FX315" s="2">
        <v>104</v>
      </c>
      <c r="FY315" s="2">
        <v>70</v>
      </c>
      <c r="FZ315" s="2"/>
      <c r="GA315" s="2" t="s">
        <v>3</v>
      </c>
      <c r="GB315" s="2"/>
      <c r="GC315" s="2"/>
      <c r="GD315" s="2">
        <v>0</v>
      </c>
      <c r="GE315" s="2"/>
      <c r="GF315" s="2">
        <v>344513916</v>
      </c>
      <c r="GG315" s="2">
        <v>2</v>
      </c>
      <c r="GH315" s="2">
        <v>1</v>
      </c>
      <c r="GI315" s="2">
        <v>-2</v>
      </c>
      <c r="GJ315" s="2">
        <v>0</v>
      </c>
      <c r="GK315" s="2">
        <f>ROUND(R315*(R12)/100,2)</f>
        <v>0</v>
      </c>
      <c r="GL315" s="2">
        <f t="shared" si="263"/>
        <v>0</v>
      </c>
      <c r="GM315" s="2">
        <f t="shared" si="264"/>
        <v>0</v>
      </c>
      <c r="GN315" s="2">
        <f t="shared" si="265"/>
        <v>0</v>
      </c>
      <c r="GO315" s="2">
        <f t="shared" si="266"/>
        <v>0</v>
      </c>
      <c r="GP315" s="2">
        <f t="shared" si="267"/>
        <v>0</v>
      </c>
      <c r="GQ315" s="2"/>
      <c r="GR315" s="2">
        <v>0</v>
      </c>
      <c r="GS315" s="2">
        <v>3</v>
      </c>
      <c r="GT315" s="2">
        <v>0</v>
      </c>
      <c r="GU315" s="2" t="s">
        <v>3</v>
      </c>
      <c r="GV315" s="2">
        <f t="shared" si="268"/>
        <v>0</v>
      </c>
      <c r="GW315" s="2">
        <v>1</v>
      </c>
      <c r="GX315" s="2">
        <f t="shared" si="269"/>
        <v>0</v>
      </c>
      <c r="GY315" s="2"/>
      <c r="GZ315" s="2"/>
      <c r="HA315" s="2">
        <v>0</v>
      </c>
      <c r="HB315" s="2">
        <v>0</v>
      </c>
      <c r="HC315" s="2">
        <f t="shared" si="270"/>
        <v>0</v>
      </c>
      <c r="HD315" s="2"/>
      <c r="HE315" s="2" t="s">
        <v>3</v>
      </c>
      <c r="HF315" s="2" t="s">
        <v>3</v>
      </c>
      <c r="HG315" s="2"/>
      <c r="HH315" s="2"/>
      <c r="HI315" s="2"/>
      <c r="HJ315" s="2"/>
      <c r="HK315" s="2"/>
      <c r="HL315" s="2"/>
      <c r="HM315" s="2" t="s">
        <v>3</v>
      </c>
      <c r="HN315" s="2" t="s">
        <v>3</v>
      </c>
      <c r="HO315" s="2" t="s">
        <v>3</v>
      </c>
      <c r="HP315" s="2" t="s">
        <v>3</v>
      </c>
      <c r="HQ315" s="2" t="s">
        <v>3</v>
      </c>
      <c r="HR315" s="2"/>
      <c r="HS315" s="2"/>
      <c r="HT315" s="2"/>
      <c r="HU315" s="2"/>
      <c r="HV315" s="2"/>
      <c r="HW315" s="2"/>
      <c r="HX315" s="2"/>
      <c r="HY315" s="2"/>
      <c r="HZ315" s="2"/>
      <c r="IA315" s="2"/>
      <c r="IB315" s="2"/>
      <c r="IC315" s="2"/>
      <c r="ID315" s="2"/>
      <c r="IE315" s="2"/>
      <c r="IF315" s="2"/>
      <c r="IG315" s="2"/>
      <c r="IH315" s="2"/>
      <c r="II315" s="2"/>
      <c r="IJ315" s="2"/>
      <c r="IK315" s="2">
        <v>0</v>
      </c>
      <c r="IL315" s="2"/>
      <c r="IM315" s="2"/>
      <c r="IN315" s="2"/>
      <c r="IO315" s="2"/>
      <c r="IP315" s="2"/>
      <c r="IQ315" s="2"/>
      <c r="IR315" s="2"/>
      <c r="IS315" s="2"/>
      <c r="IT315" s="2"/>
      <c r="IU315" s="2"/>
    </row>
    <row r="316" spans="1:255" x14ac:dyDescent="0.2">
      <c r="A316">
        <v>18</v>
      </c>
      <c r="B316">
        <v>1</v>
      </c>
      <c r="C316">
        <v>338</v>
      </c>
      <c r="E316" t="s">
        <v>415</v>
      </c>
      <c r="F316" t="s">
        <v>416</v>
      </c>
      <c r="G316" t="s">
        <v>417</v>
      </c>
      <c r="H316" t="s">
        <v>258</v>
      </c>
      <c r="I316">
        <f>I308*J316</f>
        <v>0</v>
      </c>
      <c r="J316">
        <v>0</v>
      </c>
      <c r="K316">
        <v>0</v>
      </c>
      <c r="O316">
        <f t="shared" si="240"/>
        <v>0</v>
      </c>
      <c r="P316">
        <f t="shared" si="241"/>
        <v>0</v>
      </c>
      <c r="Q316">
        <f t="shared" si="273"/>
        <v>0</v>
      </c>
      <c r="R316">
        <f t="shared" si="242"/>
        <v>0</v>
      </c>
      <c r="S316">
        <f t="shared" si="243"/>
        <v>0</v>
      </c>
      <c r="T316">
        <f t="shared" si="244"/>
        <v>0</v>
      </c>
      <c r="U316">
        <f t="shared" si="245"/>
        <v>0</v>
      </c>
      <c r="V316">
        <f t="shared" si="246"/>
        <v>0</v>
      </c>
      <c r="W316">
        <f t="shared" si="247"/>
        <v>0</v>
      </c>
      <c r="X316">
        <f t="shared" si="248"/>
        <v>0</v>
      </c>
      <c r="Y316">
        <f t="shared" si="249"/>
        <v>0</v>
      </c>
      <c r="AA316">
        <v>129761633</v>
      </c>
      <c r="AB316">
        <f t="shared" si="250"/>
        <v>92.02</v>
      </c>
      <c r="AC316">
        <f t="shared" si="251"/>
        <v>92.02</v>
      </c>
      <c r="AD316">
        <f t="shared" si="274"/>
        <v>0</v>
      </c>
      <c r="AE316">
        <f t="shared" si="275"/>
        <v>0</v>
      </c>
      <c r="AF316">
        <f t="shared" si="275"/>
        <v>0</v>
      </c>
      <c r="AG316">
        <f t="shared" si="252"/>
        <v>0</v>
      </c>
      <c r="AH316">
        <f t="shared" si="276"/>
        <v>0</v>
      </c>
      <c r="AI316">
        <f t="shared" si="276"/>
        <v>0</v>
      </c>
      <c r="AJ316">
        <f t="shared" si="253"/>
        <v>0</v>
      </c>
      <c r="AK316">
        <v>92.02</v>
      </c>
      <c r="AL316">
        <v>92.02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1</v>
      </c>
      <c r="AW316">
        <v>1</v>
      </c>
      <c r="AZ316">
        <v>1</v>
      </c>
      <c r="BA316">
        <v>1</v>
      </c>
      <c r="BB316">
        <v>1</v>
      </c>
      <c r="BC316">
        <v>7.5</v>
      </c>
      <c r="BD316" t="s">
        <v>3</v>
      </c>
      <c r="BE316" t="s">
        <v>3</v>
      </c>
      <c r="BF316" t="s">
        <v>3</v>
      </c>
      <c r="BG316" t="s">
        <v>3</v>
      </c>
      <c r="BH316">
        <v>3</v>
      </c>
      <c r="BI316">
        <v>1</v>
      </c>
      <c r="BJ316" t="s">
        <v>418</v>
      </c>
      <c r="BM316">
        <v>92</v>
      </c>
      <c r="BN316">
        <v>0</v>
      </c>
      <c r="BO316" t="s">
        <v>416</v>
      </c>
      <c r="BP316">
        <v>1</v>
      </c>
      <c r="BQ316">
        <v>30</v>
      </c>
      <c r="BR316">
        <v>0</v>
      </c>
      <c r="BS316">
        <v>1</v>
      </c>
      <c r="BT316">
        <v>1</v>
      </c>
      <c r="BU316">
        <v>1</v>
      </c>
      <c r="BV316">
        <v>1</v>
      </c>
      <c r="BW316">
        <v>1</v>
      </c>
      <c r="BX316">
        <v>1</v>
      </c>
      <c r="BY316" t="s">
        <v>3</v>
      </c>
      <c r="BZ316">
        <v>0</v>
      </c>
      <c r="CA316">
        <v>0</v>
      </c>
      <c r="CB316" t="s">
        <v>3</v>
      </c>
      <c r="CE316">
        <v>30</v>
      </c>
      <c r="CF316">
        <v>0</v>
      </c>
      <c r="CG316">
        <v>0</v>
      </c>
      <c r="CM316">
        <v>0</v>
      </c>
      <c r="CN316" t="s">
        <v>3</v>
      </c>
      <c r="CO316">
        <v>0</v>
      </c>
      <c r="CP316">
        <f t="shared" si="254"/>
        <v>0</v>
      </c>
      <c r="CQ316">
        <f t="shared" si="255"/>
        <v>690.15</v>
      </c>
      <c r="CR316">
        <f t="shared" si="277"/>
        <v>0</v>
      </c>
      <c r="CS316">
        <f t="shared" si="256"/>
        <v>0</v>
      </c>
      <c r="CT316">
        <f t="shared" si="257"/>
        <v>0</v>
      </c>
      <c r="CU316">
        <f t="shared" si="258"/>
        <v>0</v>
      </c>
      <c r="CV316">
        <f t="shared" si="259"/>
        <v>0</v>
      </c>
      <c r="CW316">
        <f t="shared" si="260"/>
        <v>0</v>
      </c>
      <c r="CX316">
        <f t="shared" si="261"/>
        <v>0</v>
      </c>
      <c r="CY316">
        <f>S316*(BZ316/100)</f>
        <v>0</v>
      </c>
      <c r="CZ316">
        <f>S316*(CA316/100)</f>
        <v>0</v>
      </c>
      <c r="DC316" t="s">
        <v>3</v>
      </c>
      <c r="DD316" t="s">
        <v>3</v>
      </c>
      <c r="DE316" t="s">
        <v>3</v>
      </c>
      <c r="DF316" t="s">
        <v>3</v>
      </c>
      <c r="DG316" t="s">
        <v>3</v>
      </c>
      <c r="DH316" t="s">
        <v>3</v>
      </c>
      <c r="DI316" t="s">
        <v>3</v>
      </c>
      <c r="DJ316" t="s">
        <v>3</v>
      </c>
      <c r="DK316" t="s">
        <v>3</v>
      </c>
      <c r="DL316" t="s">
        <v>3</v>
      </c>
      <c r="DM316" t="s">
        <v>3</v>
      </c>
      <c r="DN316">
        <v>104</v>
      </c>
      <c r="DO316">
        <v>70</v>
      </c>
      <c r="DP316">
        <v>1</v>
      </c>
      <c r="DQ316">
        <v>1</v>
      </c>
      <c r="DU316">
        <v>1005</v>
      </c>
      <c r="DV316" t="s">
        <v>258</v>
      </c>
      <c r="DW316" t="s">
        <v>258</v>
      </c>
      <c r="DX316">
        <v>1</v>
      </c>
      <c r="DZ316" t="s">
        <v>3</v>
      </c>
      <c r="EA316" t="s">
        <v>3</v>
      </c>
      <c r="EB316" t="s">
        <v>3</v>
      </c>
      <c r="EC316" t="s">
        <v>3</v>
      </c>
      <c r="EE316">
        <v>126051553</v>
      </c>
      <c r="EF316">
        <v>30</v>
      </c>
      <c r="EG316" t="s">
        <v>23</v>
      </c>
      <c r="EH316">
        <v>0</v>
      </c>
      <c r="EI316" t="s">
        <v>3</v>
      </c>
      <c r="EJ316">
        <v>1</v>
      </c>
      <c r="EK316">
        <v>92</v>
      </c>
      <c r="EL316" t="s">
        <v>402</v>
      </c>
      <c r="EM316" t="s">
        <v>403</v>
      </c>
      <c r="EO316" t="s">
        <v>3</v>
      </c>
      <c r="EQ316">
        <v>0</v>
      </c>
      <c r="ER316">
        <v>92.02</v>
      </c>
      <c r="ES316">
        <v>92.02</v>
      </c>
      <c r="ET316">
        <v>0</v>
      </c>
      <c r="EU316">
        <v>0</v>
      </c>
      <c r="EV316">
        <v>0</v>
      </c>
      <c r="EW316">
        <v>0</v>
      </c>
      <c r="EX316">
        <v>0</v>
      </c>
      <c r="FQ316">
        <v>0</v>
      </c>
      <c r="FR316">
        <f t="shared" si="262"/>
        <v>0</v>
      </c>
      <c r="FS316">
        <v>0</v>
      </c>
      <c r="FX316">
        <v>104</v>
      </c>
      <c r="FY316">
        <v>70</v>
      </c>
      <c r="GA316" t="s">
        <v>3</v>
      </c>
      <c r="GD316">
        <v>0</v>
      </c>
      <c r="GF316">
        <v>344513916</v>
      </c>
      <c r="GG316">
        <v>2</v>
      </c>
      <c r="GH316">
        <v>1</v>
      </c>
      <c r="GI316">
        <v>2</v>
      </c>
      <c r="GJ316">
        <v>0</v>
      </c>
      <c r="GK316">
        <f>ROUND(R316*(S12)/100,2)</f>
        <v>0</v>
      </c>
      <c r="GL316">
        <f t="shared" si="263"/>
        <v>0</v>
      </c>
      <c r="GM316">
        <f t="shared" si="264"/>
        <v>0</v>
      </c>
      <c r="GN316">
        <f t="shared" si="265"/>
        <v>0</v>
      </c>
      <c r="GO316">
        <f t="shared" si="266"/>
        <v>0</v>
      </c>
      <c r="GP316">
        <f t="shared" si="267"/>
        <v>0</v>
      </c>
      <c r="GR316">
        <v>0</v>
      </c>
      <c r="GS316">
        <v>3</v>
      </c>
      <c r="GT316">
        <v>0</v>
      </c>
      <c r="GU316" t="s">
        <v>3</v>
      </c>
      <c r="GV316">
        <f t="shared" si="268"/>
        <v>0</v>
      </c>
      <c r="GW316">
        <v>1</v>
      </c>
      <c r="GX316">
        <f t="shared" si="269"/>
        <v>0</v>
      </c>
      <c r="HA316">
        <v>0</v>
      </c>
      <c r="HB316">
        <v>0</v>
      </c>
      <c r="HC316">
        <f t="shared" si="270"/>
        <v>0</v>
      </c>
      <c r="HE316" t="s">
        <v>3</v>
      </c>
      <c r="HF316" t="s">
        <v>3</v>
      </c>
      <c r="HM316" t="s">
        <v>3</v>
      </c>
      <c r="HN316" t="s">
        <v>3</v>
      </c>
      <c r="HO316" t="s">
        <v>3</v>
      </c>
      <c r="HP316" t="s">
        <v>3</v>
      </c>
      <c r="HQ316" t="s">
        <v>3</v>
      </c>
      <c r="IK316">
        <v>0</v>
      </c>
    </row>
    <row r="317" spans="1:255" x14ac:dyDescent="0.2">
      <c r="A317" s="2">
        <v>17</v>
      </c>
      <c r="B317" s="2">
        <v>1</v>
      </c>
      <c r="C317" s="2">
        <f>ROW(SmtRes!A348)</f>
        <v>348</v>
      </c>
      <c r="D317" s="2">
        <f>ROW(EtalonRes!A352)</f>
        <v>352</v>
      </c>
      <c r="E317" s="2" t="s">
        <v>419</v>
      </c>
      <c r="F317" s="2" t="s">
        <v>420</v>
      </c>
      <c r="G317" s="2" t="s">
        <v>421</v>
      </c>
      <c r="H317" s="2" t="s">
        <v>422</v>
      </c>
      <c r="I317" s="2">
        <v>7.0000000000000007E-2</v>
      </c>
      <c r="J317" s="2">
        <v>0</v>
      </c>
      <c r="K317" s="2">
        <v>7.0000000000000007E-2</v>
      </c>
      <c r="L317" s="2"/>
      <c r="M317" s="2"/>
      <c r="N317" s="2"/>
      <c r="O317" s="2">
        <f t="shared" si="240"/>
        <v>801.17</v>
      </c>
      <c r="P317" s="2">
        <f t="shared" si="241"/>
        <v>735.62</v>
      </c>
      <c r="Q317" s="2">
        <f>(ROUND((ROUND((((ET317*1.25))*AV317*I317),2)*BB317),2)+ROUND((ROUND(((AE317-((EU317*1.25)))*AV317*I317),2)*BS317),2))</f>
        <v>35.26</v>
      </c>
      <c r="R317" s="2">
        <f t="shared" si="242"/>
        <v>5.62</v>
      </c>
      <c r="S317" s="2">
        <f t="shared" si="243"/>
        <v>30.29</v>
      </c>
      <c r="T317" s="2">
        <f t="shared" si="244"/>
        <v>0</v>
      </c>
      <c r="U317" s="2">
        <f t="shared" si="245"/>
        <v>2.5760000000000001</v>
      </c>
      <c r="V317" s="2">
        <f t="shared" si="246"/>
        <v>0</v>
      </c>
      <c r="W317" s="2">
        <f t="shared" si="247"/>
        <v>0</v>
      </c>
      <c r="X317" s="2">
        <f t="shared" si="248"/>
        <v>31.5</v>
      </c>
      <c r="Y317" s="2">
        <f t="shared" si="249"/>
        <v>21.2</v>
      </c>
      <c r="Z317" s="2"/>
      <c r="AA317" s="2">
        <v>129761636</v>
      </c>
      <c r="AB317" s="2">
        <f t="shared" si="250"/>
        <v>11445.3905</v>
      </c>
      <c r="AC317" s="2">
        <f t="shared" si="251"/>
        <v>10508.86</v>
      </c>
      <c r="AD317" s="2">
        <f>ROUND(((((ET317*1.25))-((EU317*1.25)))+AE317),6)</f>
        <v>503.76249999999999</v>
      </c>
      <c r="AE317" s="2">
        <f>ROUND(((EU317*1.25)),6)</f>
        <v>80.224999999999994</v>
      </c>
      <c r="AF317" s="2">
        <f>ROUND(((EV317*1.15)),6)</f>
        <v>432.76799999999997</v>
      </c>
      <c r="AG317" s="2">
        <f t="shared" si="252"/>
        <v>0</v>
      </c>
      <c r="AH317" s="2">
        <f>((EW317*1.15))</f>
        <v>36.799999999999997</v>
      </c>
      <c r="AI317" s="2">
        <f>((EX317*1.25))</f>
        <v>0</v>
      </c>
      <c r="AJ317" s="2">
        <f t="shared" si="253"/>
        <v>0</v>
      </c>
      <c r="AK317" s="2">
        <v>11288.19</v>
      </c>
      <c r="AL317" s="2">
        <v>10508.86</v>
      </c>
      <c r="AM317" s="2">
        <v>403.01</v>
      </c>
      <c r="AN317" s="2">
        <v>64.180000000000007</v>
      </c>
      <c r="AO317" s="2">
        <v>376.32</v>
      </c>
      <c r="AP317" s="2">
        <v>0</v>
      </c>
      <c r="AQ317" s="2">
        <v>32</v>
      </c>
      <c r="AR317" s="2">
        <v>0</v>
      </c>
      <c r="AS317" s="2">
        <v>0</v>
      </c>
      <c r="AT317" s="2">
        <v>104</v>
      </c>
      <c r="AU317" s="2">
        <v>70</v>
      </c>
      <c r="AV317" s="2">
        <v>1</v>
      </c>
      <c r="AW317" s="2">
        <v>1</v>
      </c>
      <c r="AX317" s="2"/>
      <c r="AY317" s="2"/>
      <c r="AZ317" s="2">
        <v>1</v>
      </c>
      <c r="BA317" s="2">
        <v>1</v>
      </c>
      <c r="BB317" s="2">
        <v>1</v>
      </c>
      <c r="BC317" s="2">
        <v>1</v>
      </c>
      <c r="BD317" s="2" t="s">
        <v>3</v>
      </c>
      <c r="BE317" s="2" t="s">
        <v>3</v>
      </c>
      <c r="BF317" s="2" t="s">
        <v>3</v>
      </c>
      <c r="BG317" s="2" t="s">
        <v>3</v>
      </c>
      <c r="BH317" s="2">
        <v>0</v>
      </c>
      <c r="BI317" s="2">
        <v>1</v>
      </c>
      <c r="BJ317" s="2" t="s">
        <v>423</v>
      </c>
      <c r="BK317" s="2"/>
      <c r="BL317" s="2"/>
      <c r="BM317" s="2">
        <v>89</v>
      </c>
      <c r="BN317" s="2">
        <v>0</v>
      </c>
      <c r="BO317" s="2" t="s">
        <v>3</v>
      </c>
      <c r="BP317" s="2">
        <v>0</v>
      </c>
      <c r="BQ317" s="2">
        <v>30</v>
      </c>
      <c r="BR317" s="2">
        <v>0</v>
      </c>
      <c r="BS317" s="2">
        <v>1</v>
      </c>
      <c r="BT317" s="2">
        <v>1</v>
      </c>
      <c r="BU317" s="2">
        <v>1</v>
      </c>
      <c r="BV317" s="2">
        <v>1</v>
      </c>
      <c r="BW317" s="2">
        <v>1</v>
      </c>
      <c r="BX317" s="2">
        <v>1</v>
      </c>
      <c r="BY317" s="2" t="s">
        <v>3</v>
      </c>
      <c r="BZ317" s="2">
        <v>104</v>
      </c>
      <c r="CA317" s="2">
        <v>70</v>
      </c>
      <c r="CB317" s="2" t="s">
        <v>3</v>
      </c>
      <c r="CC317" s="2"/>
      <c r="CD317" s="2"/>
      <c r="CE317" s="2">
        <v>30</v>
      </c>
      <c r="CF317" s="2">
        <v>0</v>
      </c>
      <c r="CG317" s="2">
        <v>0</v>
      </c>
      <c r="CH317" s="2"/>
      <c r="CI317" s="2"/>
      <c r="CJ317" s="2"/>
      <c r="CK317" s="2"/>
      <c r="CL317" s="2"/>
      <c r="CM317" s="2">
        <v>0</v>
      </c>
      <c r="CN317" s="2" t="s">
        <v>1559</v>
      </c>
      <c r="CO317" s="2">
        <v>0</v>
      </c>
      <c r="CP317" s="2">
        <f t="shared" si="254"/>
        <v>801.17</v>
      </c>
      <c r="CQ317" s="2">
        <f t="shared" si="255"/>
        <v>10508.86</v>
      </c>
      <c r="CR317" s="2">
        <f>(ROUND((ROUND((((ET317*1.25))*AV317*1),2)*BB317),2)+ROUND((ROUND(((AE317-((EU317*1.25)))*AV317*1),2)*BS317),2))</f>
        <v>503.76</v>
      </c>
      <c r="CS317" s="2">
        <f t="shared" si="256"/>
        <v>80.23</v>
      </c>
      <c r="CT317" s="2">
        <f t="shared" si="257"/>
        <v>432.77</v>
      </c>
      <c r="CU317" s="2">
        <f t="shared" si="258"/>
        <v>0</v>
      </c>
      <c r="CV317" s="2">
        <f t="shared" si="259"/>
        <v>36.799999999999997</v>
      </c>
      <c r="CW317" s="2">
        <f t="shared" si="260"/>
        <v>0</v>
      </c>
      <c r="CX317" s="2">
        <f t="shared" si="261"/>
        <v>0</v>
      </c>
      <c r="CY317" s="2">
        <f>((S317*BZ317)/100)</f>
        <v>31.5016</v>
      </c>
      <c r="CZ317" s="2">
        <f>((S317*CA317)/100)</f>
        <v>21.202999999999996</v>
      </c>
      <c r="DA317" s="2"/>
      <c r="DB317" s="2"/>
      <c r="DC317" s="2" t="s">
        <v>3</v>
      </c>
      <c r="DD317" s="2" t="s">
        <v>3</v>
      </c>
      <c r="DE317" s="2" t="s">
        <v>86</v>
      </c>
      <c r="DF317" s="2" t="s">
        <v>86</v>
      </c>
      <c r="DG317" s="2" t="s">
        <v>87</v>
      </c>
      <c r="DH317" s="2" t="s">
        <v>3</v>
      </c>
      <c r="DI317" s="2" t="s">
        <v>87</v>
      </c>
      <c r="DJ317" s="2" t="s">
        <v>86</v>
      </c>
      <c r="DK317" s="2" t="s">
        <v>3</v>
      </c>
      <c r="DL317" s="2" t="s">
        <v>3</v>
      </c>
      <c r="DM317" s="2" t="s">
        <v>3</v>
      </c>
      <c r="DN317" s="2">
        <v>0</v>
      </c>
      <c r="DO317" s="2">
        <v>0</v>
      </c>
      <c r="DP317" s="2">
        <v>1</v>
      </c>
      <c r="DQ317" s="2">
        <v>1</v>
      </c>
      <c r="DR317" s="2"/>
      <c r="DS317" s="2"/>
      <c r="DT317" s="2"/>
      <c r="DU317" s="2">
        <v>1005</v>
      </c>
      <c r="DV317" s="2" t="s">
        <v>422</v>
      </c>
      <c r="DW317" s="2" t="s">
        <v>422</v>
      </c>
      <c r="DX317" s="2">
        <v>100</v>
      </c>
      <c r="DY317" s="2"/>
      <c r="DZ317" s="2" t="s">
        <v>3</v>
      </c>
      <c r="EA317" s="2" t="s">
        <v>3</v>
      </c>
      <c r="EB317" s="2" t="s">
        <v>3</v>
      </c>
      <c r="EC317" s="2" t="s">
        <v>3</v>
      </c>
      <c r="ED317" s="2"/>
      <c r="EE317" s="2">
        <v>126051550</v>
      </c>
      <c r="EF317" s="2">
        <v>30</v>
      </c>
      <c r="EG317" s="2" t="s">
        <v>23</v>
      </c>
      <c r="EH317" s="2">
        <v>0</v>
      </c>
      <c r="EI317" s="2" t="s">
        <v>3</v>
      </c>
      <c r="EJ317" s="2">
        <v>1</v>
      </c>
      <c r="EK317" s="2">
        <v>89</v>
      </c>
      <c r="EL317" s="2" t="s">
        <v>424</v>
      </c>
      <c r="EM317" s="2" t="s">
        <v>425</v>
      </c>
      <c r="EN317" s="2"/>
      <c r="EO317" s="2" t="s">
        <v>90</v>
      </c>
      <c r="EP317" s="2"/>
      <c r="EQ317" s="2">
        <v>131072</v>
      </c>
      <c r="ER317" s="2">
        <v>11288.19</v>
      </c>
      <c r="ES317" s="2">
        <v>10508.86</v>
      </c>
      <c r="ET317" s="2">
        <v>403.01</v>
      </c>
      <c r="EU317" s="2">
        <v>64.180000000000007</v>
      </c>
      <c r="EV317" s="2">
        <v>376.32</v>
      </c>
      <c r="EW317" s="2">
        <v>32</v>
      </c>
      <c r="EX317" s="2">
        <v>0</v>
      </c>
      <c r="EY317" s="2">
        <v>0</v>
      </c>
      <c r="EZ317" s="2"/>
      <c r="FA317" s="2"/>
      <c r="FB317" s="2"/>
      <c r="FC317" s="2"/>
      <c r="FD317" s="2"/>
      <c r="FE317" s="2"/>
      <c r="FF317" s="2"/>
      <c r="FG317" s="2"/>
      <c r="FH317" s="2"/>
      <c r="FI317" s="2"/>
      <c r="FJ317" s="2"/>
      <c r="FK317" s="2"/>
      <c r="FL317" s="2"/>
      <c r="FM317" s="2"/>
      <c r="FN317" s="2"/>
      <c r="FO317" s="2"/>
      <c r="FP317" s="2"/>
      <c r="FQ317" s="2">
        <v>0</v>
      </c>
      <c r="FR317" s="2">
        <f t="shared" si="262"/>
        <v>0</v>
      </c>
      <c r="FS317" s="2">
        <v>0</v>
      </c>
      <c r="FT317" s="2"/>
      <c r="FU317" s="2"/>
      <c r="FV317" s="2"/>
      <c r="FW317" s="2"/>
      <c r="FX317" s="2">
        <v>104</v>
      </c>
      <c r="FY317" s="2">
        <v>70</v>
      </c>
      <c r="FZ317" s="2"/>
      <c r="GA317" s="2" t="s">
        <v>3</v>
      </c>
      <c r="GB317" s="2"/>
      <c r="GC317" s="2"/>
      <c r="GD317" s="2">
        <v>0</v>
      </c>
      <c r="GE317" s="2"/>
      <c r="GF317" s="2">
        <v>1072515979</v>
      </c>
      <c r="GG317" s="2">
        <v>2</v>
      </c>
      <c r="GH317" s="2">
        <v>1</v>
      </c>
      <c r="GI317" s="2">
        <v>-2</v>
      </c>
      <c r="GJ317" s="2">
        <v>0</v>
      </c>
      <c r="GK317" s="2">
        <f>ROUND(R317*(R12)/100,2)</f>
        <v>9.84</v>
      </c>
      <c r="GL317" s="2">
        <f t="shared" si="263"/>
        <v>0</v>
      </c>
      <c r="GM317" s="2">
        <f t="shared" si="264"/>
        <v>863.71</v>
      </c>
      <c r="GN317" s="2">
        <f t="shared" si="265"/>
        <v>863.71</v>
      </c>
      <c r="GO317" s="2">
        <f t="shared" si="266"/>
        <v>0</v>
      </c>
      <c r="GP317" s="2">
        <f t="shared" si="267"/>
        <v>0</v>
      </c>
      <c r="GQ317" s="2"/>
      <c r="GR317" s="2">
        <v>0</v>
      </c>
      <c r="GS317" s="2">
        <v>0</v>
      </c>
      <c r="GT317" s="2">
        <v>0</v>
      </c>
      <c r="GU317" s="2" t="s">
        <v>3</v>
      </c>
      <c r="GV317" s="2">
        <f t="shared" si="268"/>
        <v>0</v>
      </c>
      <c r="GW317" s="2">
        <v>1</v>
      </c>
      <c r="GX317" s="2">
        <f t="shared" si="269"/>
        <v>0</v>
      </c>
      <c r="GY317" s="2"/>
      <c r="GZ317" s="2"/>
      <c r="HA317" s="2">
        <v>0</v>
      </c>
      <c r="HB317" s="2">
        <v>0</v>
      </c>
      <c r="HC317" s="2">
        <f t="shared" si="270"/>
        <v>0</v>
      </c>
      <c r="HD317" s="2"/>
      <c r="HE317" s="2" t="s">
        <v>3</v>
      </c>
      <c r="HF317" s="2" t="s">
        <v>3</v>
      </c>
      <c r="HG317" s="2"/>
      <c r="HH317" s="2"/>
      <c r="HI317" s="2"/>
      <c r="HJ317" s="2"/>
      <c r="HK317" s="2"/>
      <c r="HL317" s="2"/>
      <c r="HM317" s="2" t="s">
        <v>3</v>
      </c>
      <c r="HN317" s="2" t="s">
        <v>3</v>
      </c>
      <c r="HO317" s="2" t="s">
        <v>3</v>
      </c>
      <c r="HP317" s="2" t="s">
        <v>3</v>
      </c>
      <c r="HQ317" s="2" t="s">
        <v>3</v>
      </c>
      <c r="HR317" s="2"/>
      <c r="HS317" s="2"/>
      <c r="HT317" s="2"/>
      <c r="HU317" s="2"/>
      <c r="HV317" s="2"/>
      <c r="HW317" s="2"/>
      <c r="HX317" s="2"/>
      <c r="HY317" s="2"/>
      <c r="HZ317" s="2"/>
      <c r="IA317" s="2"/>
      <c r="IB317" s="2"/>
      <c r="IC317" s="2"/>
      <c r="ID317" s="2"/>
      <c r="IE317" s="2"/>
      <c r="IF317" s="2"/>
      <c r="IG317" s="2"/>
      <c r="IH317" s="2"/>
      <c r="II317" s="2"/>
      <c r="IJ317" s="2"/>
      <c r="IK317" s="2">
        <v>0</v>
      </c>
      <c r="IL317" s="2"/>
      <c r="IM317" s="2"/>
      <c r="IN317" s="2"/>
      <c r="IO317" s="2"/>
      <c r="IP317" s="2"/>
      <c r="IQ317" s="2"/>
      <c r="IR317" s="2"/>
      <c r="IS317" s="2"/>
      <c r="IT317" s="2"/>
      <c r="IU317" s="2"/>
    </row>
    <row r="318" spans="1:255" x14ac:dyDescent="0.2">
      <c r="A318">
        <v>17</v>
      </c>
      <c r="B318">
        <v>1</v>
      </c>
      <c r="C318">
        <f>ROW(SmtRes!A354)</f>
        <v>354</v>
      </c>
      <c r="D318">
        <f>ROW(EtalonRes!A358)</f>
        <v>358</v>
      </c>
      <c r="E318" t="s">
        <v>419</v>
      </c>
      <c r="F318" t="s">
        <v>420</v>
      </c>
      <c r="G318" t="s">
        <v>421</v>
      </c>
      <c r="H318" t="s">
        <v>422</v>
      </c>
      <c r="I318">
        <v>7.0000000000000007E-2</v>
      </c>
      <c r="J318">
        <v>0</v>
      </c>
      <c r="K318">
        <v>7.0000000000000007E-2</v>
      </c>
      <c r="O318">
        <f t="shared" si="240"/>
        <v>4203.5600000000004</v>
      </c>
      <c r="P318">
        <f t="shared" si="241"/>
        <v>2905.7</v>
      </c>
      <c r="Q318">
        <f>(ROUND((ROUND((((ET318*1.25))*AV318*I318),2)*BB318),2)+ROUND((ROUND(((AE318-((EU318*1.25)))*AV318*I318),2)*BS318),2))</f>
        <v>418.54</v>
      </c>
      <c r="R318">
        <f t="shared" si="242"/>
        <v>163.15</v>
      </c>
      <c r="S318">
        <f t="shared" si="243"/>
        <v>879.32</v>
      </c>
      <c r="T318">
        <f t="shared" si="244"/>
        <v>0</v>
      </c>
      <c r="U318">
        <f t="shared" si="245"/>
        <v>2.5760000000000001</v>
      </c>
      <c r="V318">
        <f t="shared" si="246"/>
        <v>0</v>
      </c>
      <c r="W318">
        <f t="shared" si="247"/>
        <v>0</v>
      </c>
      <c r="X318">
        <f t="shared" si="248"/>
        <v>765.01</v>
      </c>
      <c r="Y318">
        <f t="shared" si="249"/>
        <v>360.52</v>
      </c>
      <c r="AA318">
        <v>129761633</v>
      </c>
      <c r="AB318">
        <f t="shared" si="250"/>
        <v>11445.3905</v>
      </c>
      <c r="AC318">
        <f t="shared" si="251"/>
        <v>10508.86</v>
      </c>
      <c r="AD318">
        <f>ROUND(((((ET318*1.25))-((EU318*1.25)))+AE318),6)</f>
        <v>503.76249999999999</v>
      </c>
      <c r="AE318">
        <f>ROUND(((EU318*1.25)),6)</f>
        <v>80.224999999999994</v>
      </c>
      <c r="AF318">
        <f>ROUND(((EV318*1.15)),6)</f>
        <v>432.76799999999997</v>
      </c>
      <c r="AG318">
        <f t="shared" si="252"/>
        <v>0</v>
      </c>
      <c r="AH318">
        <f>((EW318*1.15))</f>
        <v>36.799999999999997</v>
      </c>
      <c r="AI318">
        <f>((EX318*1.25))</f>
        <v>0</v>
      </c>
      <c r="AJ318">
        <f t="shared" si="253"/>
        <v>0</v>
      </c>
      <c r="AK318">
        <v>11288.19</v>
      </c>
      <c r="AL318">
        <v>10508.86</v>
      </c>
      <c r="AM318">
        <v>403.01</v>
      </c>
      <c r="AN318">
        <v>64.180000000000007</v>
      </c>
      <c r="AO318">
        <v>376.32</v>
      </c>
      <c r="AP318">
        <v>0</v>
      </c>
      <c r="AQ318">
        <v>32</v>
      </c>
      <c r="AR318">
        <v>0</v>
      </c>
      <c r="AS318">
        <v>0</v>
      </c>
      <c r="AT318">
        <v>87</v>
      </c>
      <c r="AU318">
        <v>41</v>
      </c>
      <c r="AV318">
        <v>1</v>
      </c>
      <c r="AW318">
        <v>1</v>
      </c>
      <c r="AZ318">
        <v>1</v>
      </c>
      <c r="BA318">
        <v>29.03</v>
      </c>
      <c r="BB318">
        <v>11.87</v>
      </c>
      <c r="BC318">
        <v>3.95</v>
      </c>
      <c r="BD318" t="s">
        <v>3</v>
      </c>
      <c r="BE318" t="s">
        <v>3</v>
      </c>
      <c r="BF318" t="s">
        <v>3</v>
      </c>
      <c r="BG318" t="s">
        <v>3</v>
      </c>
      <c r="BH318">
        <v>0</v>
      </c>
      <c r="BI318">
        <v>1</v>
      </c>
      <c r="BJ318" t="s">
        <v>423</v>
      </c>
      <c r="BM318">
        <v>89</v>
      </c>
      <c r="BN318">
        <v>0</v>
      </c>
      <c r="BO318" t="s">
        <v>420</v>
      </c>
      <c r="BP318">
        <v>1</v>
      </c>
      <c r="BQ318">
        <v>30</v>
      </c>
      <c r="BR318">
        <v>0</v>
      </c>
      <c r="BS318">
        <v>29.03</v>
      </c>
      <c r="BT318">
        <v>1</v>
      </c>
      <c r="BU318">
        <v>1</v>
      </c>
      <c r="BV318">
        <v>1</v>
      </c>
      <c r="BW318">
        <v>1</v>
      </c>
      <c r="BX318">
        <v>1</v>
      </c>
      <c r="BY318" t="s">
        <v>3</v>
      </c>
      <c r="BZ318">
        <v>87</v>
      </c>
      <c r="CA318">
        <v>41</v>
      </c>
      <c r="CB318" t="s">
        <v>3</v>
      </c>
      <c r="CE318">
        <v>30</v>
      </c>
      <c r="CF318">
        <v>0</v>
      </c>
      <c r="CG318">
        <v>0</v>
      </c>
      <c r="CM318">
        <v>0</v>
      </c>
      <c r="CN318" t="s">
        <v>1559</v>
      </c>
      <c r="CO318">
        <v>0</v>
      </c>
      <c r="CP318">
        <f t="shared" si="254"/>
        <v>4203.5599999999995</v>
      </c>
      <c r="CQ318">
        <f t="shared" si="255"/>
        <v>41510</v>
      </c>
      <c r="CR318">
        <f>(ROUND((ROUND((((ET318*1.25))*AV318*1),2)*BB318),2)+ROUND((ROUND(((AE318-((EU318*1.25)))*AV318*1),2)*BS318),2))</f>
        <v>5979.63</v>
      </c>
      <c r="CS318">
        <f t="shared" si="256"/>
        <v>2329.08</v>
      </c>
      <c r="CT318">
        <f t="shared" si="257"/>
        <v>12563.31</v>
      </c>
      <c r="CU318">
        <f t="shared" si="258"/>
        <v>0</v>
      </c>
      <c r="CV318">
        <f t="shared" si="259"/>
        <v>36.799999999999997</v>
      </c>
      <c r="CW318">
        <f t="shared" si="260"/>
        <v>0</v>
      </c>
      <c r="CX318">
        <f t="shared" si="261"/>
        <v>0</v>
      </c>
      <c r="CY318">
        <f>S318*(BZ318/100)</f>
        <v>765.00840000000005</v>
      </c>
      <c r="CZ318">
        <f>S318*(CA318/100)</f>
        <v>360.52120000000002</v>
      </c>
      <c r="DC318" t="s">
        <v>3</v>
      </c>
      <c r="DD318" t="s">
        <v>3</v>
      </c>
      <c r="DE318" t="s">
        <v>86</v>
      </c>
      <c r="DF318" t="s">
        <v>86</v>
      </c>
      <c r="DG318" t="s">
        <v>87</v>
      </c>
      <c r="DH318" t="s">
        <v>3</v>
      </c>
      <c r="DI318" t="s">
        <v>87</v>
      </c>
      <c r="DJ318" t="s">
        <v>86</v>
      </c>
      <c r="DK318" t="s">
        <v>3</v>
      </c>
      <c r="DL318" t="s">
        <v>3</v>
      </c>
      <c r="DM318" t="s">
        <v>3</v>
      </c>
      <c r="DN318">
        <v>104</v>
      </c>
      <c r="DO318">
        <v>70</v>
      </c>
      <c r="DP318">
        <v>1</v>
      </c>
      <c r="DQ318">
        <v>1</v>
      </c>
      <c r="DU318">
        <v>1005</v>
      </c>
      <c r="DV318" t="s">
        <v>422</v>
      </c>
      <c r="DW318" t="s">
        <v>422</v>
      </c>
      <c r="DX318">
        <v>100</v>
      </c>
      <c r="DZ318" t="s">
        <v>3</v>
      </c>
      <c r="EA318" t="s">
        <v>3</v>
      </c>
      <c r="EB318" t="s">
        <v>3</v>
      </c>
      <c r="EC318" t="s">
        <v>3</v>
      </c>
      <c r="EE318">
        <v>126051550</v>
      </c>
      <c r="EF318">
        <v>30</v>
      </c>
      <c r="EG318" t="s">
        <v>23</v>
      </c>
      <c r="EH318">
        <v>0</v>
      </c>
      <c r="EI318" t="s">
        <v>3</v>
      </c>
      <c r="EJ318">
        <v>1</v>
      </c>
      <c r="EK318">
        <v>89</v>
      </c>
      <c r="EL318" t="s">
        <v>424</v>
      </c>
      <c r="EM318" t="s">
        <v>425</v>
      </c>
      <c r="EO318" t="s">
        <v>90</v>
      </c>
      <c r="EQ318">
        <v>131072</v>
      </c>
      <c r="ER318">
        <v>11288.19</v>
      </c>
      <c r="ES318">
        <v>10508.86</v>
      </c>
      <c r="ET318">
        <v>403.01</v>
      </c>
      <c r="EU318">
        <v>64.180000000000007</v>
      </c>
      <c r="EV318">
        <v>376.32</v>
      </c>
      <c r="EW318">
        <v>32</v>
      </c>
      <c r="EX318">
        <v>0</v>
      </c>
      <c r="EY318">
        <v>0</v>
      </c>
      <c r="FQ318">
        <v>0</v>
      </c>
      <c r="FR318">
        <f t="shared" si="262"/>
        <v>0</v>
      </c>
      <c r="FS318">
        <v>0</v>
      </c>
      <c r="FX318">
        <v>104</v>
      </c>
      <c r="FY318">
        <v>70</v>
      </c>
      <c r="GA318" t="s">
        <v>3</v>
      </c>
      <c r="GD318">
        <v>0</v>
      </c>
      <c r="GF318">
        <v>1072515979</v>
      </c>
      <c r="GG318">
        <v>2</v>
      </c>
      <c r="GH318">
        <v>1</v>
      </c>
      <c r="GI318">
        <v>2</v>
      </c>
      <c r="GJ318">
        <v>0</v>
      </c>
      <c r="GK318">
        <f>ROUND(R318*(S12)/100,2)</f>
        <v>261.04000000000002</v>
      </c>
      <c r="GL318">
        <f t="shared" si="263"/>
        <v>0</v>
      </c>
      <c r="GM318">
        <f t="shared" si="264"/>
        <v>5590.13</v>
      </c>
      <c r="GN318">
        <f t="shared" si="265"/>
        <v>5590.13</v>
      </c>
      <c r="GO318">
        <f t="shared" si="266"/>
        <v>0</v>
      </c>
      <c r="GP318">
        <f t="shared" si="267"/>
        <v>0</v>
      </c>
      <c r="GR318">
        <v>0</v>
      </c>
      <c r="GS318">
        <v>3</v>
      </c>
      <c r="GT318">
        <v>0</v>
      </c>
      <c r="GU318" t="s">
        <v>3</v>
      </c>
      <c r="GV318">
        <f t="shared" si="268"/>
        <v>0</v>
      </c>
      <c r="GW318">
        <v>1</v>
      </c>
      <c r="GX318">
        <f t="shared" si="269"/>
        <v>0</v>
      </c>
      <c r="HA318">
        <v>0</v>
      </c>
      <c r="HB318">
        <v>0</v>
      </c>
      <c r="HC318">
        <f t="shared" si="270"/>
        <v>0</v>
      </c>
      <c r="HE318" t="s">
        <v>3</v>
      </c>
      <c r="HF318" t="s">
        <v>3</v>
      </c>
      <c r="HM318" t="s">
        <v>3</v>
      </c>
      <c r="HN318" t="s">
        <v>3</v>
      </c>
      <c r="HO318" t="s">
        <v>3</v>
      </c>
      <c r="HP318" t="s">
        <v>3</v>
      </c>
      <c r="HQ318" t="s">
        <v>3</v>
      </c>
      <c r="IK318">
        <v>0</v>
      </c>
    </row>
    <row r="319" spans="1:255" x14ac:dyDescent="0.2">
      <c r="A319" s="2">
        <v>18</v>
      </c>
      <c r="B319" s="2">
        <v>1</v>
      </c>
      <c r="C319" s="2">
        <v>345</v>
      </c>
      <c r="D319" s="2"/>
      <c r="E319" s="2" t="s">
        <v>426</v>
      </c>
      <c r="F319" s="2" t="s">
        <v>427</v>
      </c>
      <c r="G319" s="2" t="s">
        <v>428</v>
      </c>
      <c r="H319" s="2" t="s">
        <v>258</v>
      </c>
      <c r="I319" s="2">
        <f>I317*J319</f>
        <v>7.84</v>
      </c>
      <c r="J319" s="2">
        <v>111.99999999999999</v>
      </c>
      <c r="K319" s="2">
        <v>112</v>
      </c>
      <c r="L319" s="2"/>
      <c r="M319" s="2"/>
      <c r="N319" s="2"/>
      <c r="O319" s="2">
        <f t="shared" si="240"/>
        <v>54.88</v>
      </c>
      <c r="P319" s="2">
        <f t="shared" si="241"/>
        <v>54.88</v>
      </c>
      <c r="Q319" s="2">
        <f>(ROUND((ROUND(((ET319)*AV319*I319),2)*BB319),2)+ROUND((ROUND(((AE319-(EU319))*AV319*I319),2)*BS319),2))</f>
        <v>0</v>
      </c>
      <c r="R319" s="2">
        <f t="shared" si="242"/>
        <v>0</v>
      </c>
      <c r="S319" s="2">
        <f t="shared" si="243"/>
        <v>0</v>
      </c>
      <c r="T319" s="2">
        <f t="shared" si="244"/>
        <v>0</v>
      </c>
      <c r="U319" s="2">
        <f t="shared" si="245"/>
        <v>0</v>
      </c>
      <c r="V319" s="2">
        <f t="shared" si="246"/>
        <v>0</v>
      </c>
      <c r="W319" s="2">
        <f t="shared" si="247"/>
        <v>0</v>
      </c>
      <c r="X319" s="2">
        <f t="shared" si="248"/>
        <v>0</v>
      </c>
      <c r="Y319" s="2">
        <f t="shared" si="249"/>
        <v>0</v>
      </c>
      <c r="Z319" s="2"/>
      <c r="AA319" s="2">
        <v>129761636</v>
      </c>
      <c r="AB319" s="2">
        <f t="shared" si="250"/>
        <v>7</v>
      </c>
      <c r="AC319" s="2">
        <f t="shared" si="251"/>
        <v>7</v>
      </c>
      <c r="AD319" s="2">
        <f>ROUND((((ET319)-(EU319))+AE319),6)</f>
        <v>0</v>
      </c>
      <c r="AE319" s="2">
        <f>ROUND((EU319),6)</f>
        <v>0</v>
      </c>
      <c r="AF319" s="2">
        <f>ROUND((EV319),6)</f>
        <v>0</v>
      </c>
      <c r="AG319" s="2">
        <f t="shared" si="252"/>
        <v>0</v>
      </c>
      <c r="AH319" s="2">
        <f>(EW319)</f>
        <v>0</v>
      </c>
      <c r="AI319" s="2">
        <f>(EX319)</f>
        <v>0</v>
      </c>
      <c r="AJ319" s="2">
        <f t="shared" si="253"/>
        <v>0</v>
      </c>
      <c r="AK319" s="2">
        <v>7</v>
      </c>
      <c r="AL319" s="2">
        <v>7</v>
      </c>
      <c r="AM319" s="2">
        <v>0</v>
      </c>
      <c r="AN319" s="2">
        <v>0</v>
      </c>
      <c r="AO319" s="2">
        <v>0</v>
      </c>
      <c r="AP319" s="2">
        <v>0</v>
      </c>
      <c r="AQ319" s="2">
        <v>0</v>
      </c>
      <c r="AR319" s="2">
        <v>0</v>
      </c>
      <c r="AS319" s="2">
        <v>0</v>
      </c>
      <c r="AT319" s="2">
        <v>104</v>
      </c>
      <c r="AU319" s="2">
        <v>70</v>
      </c>
      <c r="AV319" s="2">
        <v>1</v>
      </c>
      <c r="AW319" s="2">
        <v>1</v>
      </c>
      <c r="AX319" s="2"/>
      <c r="AY319" s="2"/>
      <c r="AZ319" s="2">
        <v>1</v>
      </c>
      <c r="BA319" s="2">
        <v>1</v>
      </c>
      <c r="BB319" s="2">
        <v>1</v>
      </c>
      <c r="BC319" s="2">
        <v>1</v>
      </c>
      <c r="BD319" s="2" t="s">
        <v>3</v>
      </c>
      <c r="BE319" s="2" t="s">
        <v>3</v>
      </c>
      <c r="BF319" s="2" t="s">
        <v>3</v>
      </c>
      <c r="BG319" s="2" t="s">
        <v>3</v>
      </c>
      <c r="BH319" s="2">
        <v>3</v>
      </c>
      <c r="BI319" s="2">
        <v>1</v>
      </c>
      <c r="BJ319" s="2" t="s">
        <v>429</v>
      </c>
      <c r="BK319" s="2"/>
      <c r="BL319" s="2"/>
      <c r="BM319" s="2">
        <v>89</v>
      </c>
      <c r="BN319" s="2">
        <v>0</v>
      </c>
      <c r="BO319" s="2" t="s">
        <v>3</v>
      </c>
      <c r="BP319" s="2">
        <v>0</v>
      </c>
      <c r="BQ319" s="2">
        <v>30</v>
      </c>
      <c r="BR319" s="2">
        <v>0</v>
      </c>
      <c r="BS319" s="2">
        <v>1</v>
      </c>
      <c r="BT319" s="2">
        <v>1</v>
      </c>
      <c r="BU319" s="2">
        <v>1</v>
      </c>
      <c r="BV319" s="2">
        <v>1</v>
      </c>
      <c r="BW319" s="2">
        <v>1</v>
      </c>
      <c r="BX319" s="2">
        <v>1</v>
      </c>
      <c r="BY319" s="2" t="s">
        <v>3</v>
      </c>
      <c r="BZ319" s="2">
        <v>104</v>
      </c>
      <c r="CA319" s="2">
        <v>70</v>
      </c>
      <c r="CB319" s="2" t="s">
        <v>3</v>
      </c>
      <c r="CC319" s="2"/>
      <c r="CD319" s="2"/>
      <c r="CE319" s="2">
        <v>30</v>
      </c>
      <c r="CF319" s="2">
        <v>0</v>
      </c>
      <c r="CG319" s="2">
        <v>0</v>
      </c>
      <c r="CH319" s="2"/>
      <c r="CI319" s="2"/>
      <c r="CJ319" s="2"/>
      <c r="CK319" s="2"/>
      <c r="CL319" s="2"/>
      <c r="CM319" s="2">
        <v>0</v>
      </c>
      <c r="CN319" s="2" t="s">
        <v>3</v>
      </c>
      <c r="CO319" s="2">
        <v>0</v>
      </c>
      <c r="CP319" s="2">
        <f t="shared" si="254"/>
        <v>54.88</v>
      </c>
      <c r="CQ319" s="2">
        <f t="shared" si="255"/>
        <v>7</v>
      </c>
      <c r="CR319" s="2">
        <f>(ROUND((ROUND(((ET319)*AV319*1),2)*BB319),2)+ROUND((ROUND(((AE319-(EU319))*AV319*1),2)*BS319),2))</f>
        <v>0</v>
      </c>
      <c r="CS319" s="2">
        <f t="shared" si="256"/>
        <v>0</v>
      </c>
      <c r="CT319" s="2">
        <f t="shared" si="257"/>
        <v>0</v>
      </c>
      <c r="CU319" s="2">
        <f t="shared" si="258"/>
        <v>0</v>
      </c>
      <c r="CV319" s="2">
        <f t="shared" si="259"/>
        <v>0</v>
      </c>
      <c r="CW319" s="2">
        <f t="shared" si="260"/>
        <v>0</v>
      </c>
      <c r="CX319" s="2">
        <f t="shared" si="261"/>
        <v>0</v>
      </c>
      <c r="CY319" s="2">
        <f>((S319*BZ319)/100)</f>
        <v>0</v>
      </c>
      <c r="CZ319" s="2">
        <f>((S319*CA319)/100)</f>
        <v>0</v>
      </c>
      <c r="DA319" s="2"/>
      <c r="DB319" s="2"/>
      <c r="DC319" s="2" t="s">
        <v>3</v>
      </c>
      <c r="DD319" s="2" t="s">
        <v>3</v>
      </c>
      <c r="DE319" s="2" t="s">
        <v>3</v>
      </c>
      <c r="DF319" s="2" t="s">
        <v>3</v>
      </c>
      <c r="DG319" s="2" t="s">
        <v>3</v>
      </c>
      <c r="DH319" s="2" t="s">
        <v>3</v>
      </c>
      <c r="DI319" s="2" t="s">
        <v>3</v>
      </c>
      <c r="DJ319" s="2" t="s">
        <v>3</v>
      </c>
      <c r="DK319" s="2" t="s">
        <v>3</v>
      </c>
      <c r="DL319" s="2" t="s">
        <v>3</v>
      </c>
      <c r="DM319" s="2" t="s">
        <v>3</v>
      </c>
      <c r="DN319" s="2">
        <v>0</v>
      </c>
      <c r="DO319" s="2">
        <v>0</v>
      </c>
      <c r="DP319" s="2">
        <v>1</v>
      </c>
      <c r="DQ319" s="2">
        <v>1</v>
      </c>
      <c r="DR319" s="2"/>
      <c r="DS319" s="2"/>
      <c r="DT319" s="2"/>
      <c r="DU319" s="2">
        <v>1005</v>
      </c>
      <c r="DV319" s="2" t="s">
        <v>258</v>
      </c>
      <c r="DW319" s="2" t="s">
        <v>258</v>
      </c>
      <c r="DX319" s="2">
        <v>1</v>
      </c>
      <c r="DY319" s="2"/>
      <c r="DZ319" s="2" t="s">
        <v>3</v>
      </c>
      <c r="EA319" s="2" t="s">
        <v>3</v>
      </c>
      <c r="EB319" s="2" t="s">
        <v>3</v>
      </c>
      <c r="EC319" s="2" t="s">
        <v>3</v>
      </c>
      <c r="ED319" s="2"/>
      <c r="EE319" s="2">
        <v>126051550</v>
      </c>
      <c r="EF319" s="2">
        <v>30</v>
      </c>
      <c r="EG319" s="2" t="s">
        <v>23</v>
      </c>
      <c r="EH319" s="2">
        <v>0</v>
      </c>
      <c r="EI319" s="2" t="s">
        <v>3</v>
      </c>
      <c r="EJ319" s="2">
        <v>1</v>
      </c>
      <c r="EK319" s="2">
        <v>89</v>
      </c>
      <c r="EL319" s="2" t="s">
        <v>424</v>
      </c>
      <c r="EM319" s="2" t="s">
        <v>425</v>
      </c>
      <c r="EN319" s="2"/>
      <c r="EO319" s="2" t="s">
        <v>3</v>
      </c>
      <c r="EP319" s="2"/>
      <c r="EQ319" s="2">
        <v>0</v>
      </c>
      <c r="ER319" s="2">
        <v>7</v>
      </c>
      <c r="ES319" s="2">
        <v>7</v>
      </c>
      <c r="ET319" s="2">
        <v>0</v>
      </c>
      <c r="EU319" s="2">
        <v>0</v>
      </c>
      <c r="EV319" s="2">
        <v>0</v>
      </c>
      <c r="EW319" s="2">
        <v>0</v>
      </c>
      <c r="EX319" s="2">
        <v>0</v>
      </c>
      <c r="EY319" s="2"/>
      <c r="EZ319" s="2"/>
      <c r="FA319" s="2"/>
      <c r="FB319" s="2"/>
      <c r="FC319" s="2"/>
      <c r="FD319" s="2"/>
      <c r="FE319" s="2"/>
      <c r="FF319" s="2"/>
      <c r="FG319" s="2"/>
      <c r="FH319" s="2"/>
      <c r="FI319" s="2"/>
      <c r="FJ319" s="2"/>
      <c r="FK319" s="2"/>
      <c r="FL319" s="2"/>
      <c r="FM319" s="2"/>
      <c r="FN319" s="2"/>
      <c r="FO319" s="2"/>
      <c r="FP319" s="2"/>
      <c r="FQ319" s="2">
        <v>0</v>
      </c>
      <c r="FR319" s="2">
        <f t="shared" si="262"/>
        <v>0</v>
      </c>
      <c r="FS319" s="2">
        <v>0</v>
      </c>
      <c r="FT319" s="2"/>
      <c r="FU319" s="2"/>
      <c r="FV319" s="2"/>
      <c r="FW319" s="2"/>
      <c r="FX319" s="2">
        <v>104</v>
      </c>
      <c r="FY319" s="2">
        <v>70</v>
      </c>
      <c r="FZ319" s="2"/>
      <c r="GA319" s="2" t="s">
        <v>3</v>
      </c>
      <c r="GB319" s="2"/>
      <c r="GC319" s="2"/>
      <c r="GD319" s="2">
        <v>0</v>
      </c>
      <c r="GE319" s="2"/>
      <c r="GF319" s="2">
        <v>-684642042</v>
      </c>
      <c r="GG319" s="2">
        <v>2</v>
      </c>
      <c r="GH319" s="2">
        <v>1</v>
      </c>
      <c r="GI319" s="2">
        <v>-2</v>
      </c>
      <c r="GJ319" s="2">
        <v>0</v>
      </c>
      <c r="GK319" s="2">
        <f>ROUND(R319*(R12)/100,2)</f>
        <v>0</v>
      </c>
      <c r="GL319" s="2">
        <f t="shared" si="263"/>
        <v>0</v>
      </c>
      <c r="GM319" s="2">
        <f t="shared" si="264"/>
        <v>54.88</v>
      </c>
      <c r="GN319" s="2">
        <f t="shared" si="265"/>
        <v>54.88</v>
      </c>
      <c r="GO319" s="2">
        <f t="shared" si="266"/>
        <v>0</v>
      </c>
      <c r="GP319" s="2">
        <f t="shared" si="267"/>
        <v>0</v>
      </c>
      <c r="GQ319" s="2"/>
      <c r="GR319" s="2">
        <v>0</v>
      </c>
      <c r="GS319" s="2">
        <v>0</v>
      </c>
      <c r="GT319" s="2">
        <v>0</v>
      </c>
      <c r="GU319" s="2" t="s">
        <v>3</v>
      </c>
      <c r="GV319" s="2">
        <f t="shared" si="268"/>
        <v>0</v>
      </c>
      <c r="GW319" s="2">
        <v>1</v>
      </c>
      <c r="GX319" s="2">
        <f t="shared" si="269"/>
        <v>0</v>
      </c>
      <c r="GY319" s="2"/>
      <c r="GZ319" s="2"/>
      <c r="HA319" s="2">
        <v>0</v>
      </c>
      <c r="HB319" s="2">
        <v>0</v>
      </c>
      <c r="HC319" s="2">
        <f t="shared" si="270"/>
        <v>0</v>
      </c>
      <c r="HD319" s="2"/>
      <c r="HE319" s="2" t="s">
        <v>3</v>
      </c>
      <c r="HF319" s="2" t="s">
        <v>3</v>
      </c>
      <c r="HG319" s="2"/>
      <c r="HH319" s="2"/>
      <c r="HI319" s="2"/>
      <c r="HJ319" s="2"/>
      <c r="HK319" s="2"/>
      <c r="HL319" s="2"/>
      <c r="HM319" s="2" t="s">
        <v>3</v>
      </c>
      <c r="HN319" s="2" t="s">
        <v>3</v>
      </c>
      <c r="HO319" s="2" t="s">
        <v>3</v>
      </c>
      <c r="HP319" s="2" t="s">
        <v>3</v>
      </c>
      <c r="HQ319" s="2" t="s">
        <v>3</v>
      </c>
      <c r="HR319" s="2"/>
      <c r="HS319" s="2"/>
      <c r="HT319" s="2"/>
      <c r="HU319" s="2"/>
      <c r="HV319" s="2"/>
      <c r="HW319" s="2"/>
      <c r="HX319" s="2"/>
      <c r="HY319" s="2"/>
      <c r="HZ319" s="2"/>
      <c r="IA319" s="2"/>
      <c r="IB319" s="2"/>
      <c r="IC319" s="2"/>
      <c r="ID319" s="2"/>
      <c r="IE319" s="2"/>
      <c r="IF319" s="2"/>
      <c r="IG319" s="2"/>
      <c r="IH319" s="2"/>
      <c r="II319" s="2"/>
      <c r="IJ319" s="2"/>
      <c r="IK319" s="2">
        <v>0</v>
      </c>
      <c r="IL319" s="2"/>
      <c r="IM319" s="2"/>
      <c r="IN319" s="2"/>
      <c r="IO319" s="2"/>
      <c r="IP319" s="2"/>
      <c r="IQ319" s="2"/>
      <c r="IR319" s="2"/>
      <c r="IS319" s="2"/>
      <c r="IT319" s="2"/>
      <c r="IU319" s="2"/>
    </row>
    <row r="320" spans="1:255" x14ac:dyDescent="0.2">
      <c r="A320">
        <v>18</v>
      </c>
      <c r="B320">
        <v>1</v>
      </c>
      <c r="C320">
        <v>351</v>
      </c>
      <c r="E320" t="s">
        <v>426</v>
      </c>
      <c r="F320" t="s">
        <v>427</v>
      </c>
      <c r="G320" t="s">
        <v>428</v>
      </c>
      <c r="H320" t="s">
        <v>258</v>
      </c>
      <c r="I320">
        <f>I318*J320</f>
        <v>7.84</v>
      </c>
      <c r="J320">
        <v>111.99999999999999</v>
      </c>
      <c r="K320">
        <v>112</v>
      </c>
      <c r="O320">
        <f t="shared" si="240"/>
        <v>474.71</v>
      </c>
      <c r="P320">
        <f t="shared" si="241"/>
        <v>474.71</v>
      </c>
      <c r="Q320">
        <f>(ROUND((ROUND(((ET320)*AV320*I320),2)*BB320),2)+ROUND((ROUND(((AE320-(EU320))*AV320*I320),2)*BS320),2))</f>
        <v>0</v>
      </c>
      <c r="R320">
        <f t="shared" si="242"/>
        <v>0</v>
      </c>
      <c r="S320">
        <f t="shared" si="243"/>
        <v>0</v>
      </c>
      <c r="T320">
        <f t="shared" si="244"/>
        <v>0</v>
      </c>
      <c r="U320">
        <f t="shared" si="245"/>
        <v>0</v>
      </c>
      <c r="V320">
        <f t="shared" si="246"/>
        <v>0</v>
      </c>
      <c r="W320">
        <f t="shared" si="247"/>
        <v>0</v>
      </c>
      <c r="X320">
        <f t="shared" si="248"/>
        <v>0</v>
      </c>
      <c r="Y320">
        <f t="shared" si="249"/>
        <v>0</v>
      </c>
      <c r="AA320">
        <v>129761633</v>
      </c>
      <c r="AB320">
        <f t="shared" si="250"/>
        <v>7</v>
      </c>
      <c r="AC320">
        <f t="shared" si="251"/>
        <v>7</v>
      </c>
      <c r="AD320">
        <f>ROUND((((ET320)-(EU320))+AE320),6)</f>
        <v>0</v>
      </c>
      <c r="AE320">
        <f>ROUND((EU320),6)</f>
        <v>0</v>
      </c>
      <c r="AF320">
        <f>ROUND((EV320),6)</f>
        <v>0</v>
      </c>
      <c r="AG320">
        <f t="shared" si="252"/>
        <v>0</v>
      </c>
      <c r="AH320">
        <f>(EW320)</f>
        <v>0</v>
      </c>
      <c r="AI320">
        <f>(EX320)</f>
        <v>0</v>
      </c>
      <c r="AJ320">
        <f t="shared" si="253"/>
        <v>0</v>
      </c>
      <c r="AK320">
        <v>7</v>
      </c>
      <c r="AL320">
        <v>7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1</v>
      </c>
      <c r="AW320">
        <v>1</v>
      </c>
      <c r="AZ320">
        <v>1</v>
      </c>
      <c r="BA320">
        <v>1</v>
      </c>
      <c r="BB320">
        <v>1</v>
      </c>
      <c r="BC320">
        <v>8.65</v>
      </c>
      <c r="BD320" t="s">
        <v>3</v>
      </c>
      <c r="BE320" t="s">
        <v>3</v>
      </c>
      <c r="BF320" t="s">
        <v>3</v>
      </c>
      <c r="BG320" t="s">
        <v>3</v>
      </c>
      <c r="BH320">
        <v>3</v>
      </c>
      <c r="BI320">
        <v>1</v>
      </c>
      <c r="BJ320" t="s">
        <v>429</v>
      </c>
      <c r="BM320">
        <v>89</v>
      </c>
      <c r="BN320">
        <v>0</v>
      </c>
      <c r="BO320" t="s">
        <v>3</v>
      </c>
      <c r="BP320">
        <v>0</v>
      </c>
      <c r="BQ320">
        <v>30</v>
      </c>
      <c r="BR320">
        <v>0</v>
      </c>
      <c r="BS320">
        <v>1</v>
      </c>
      <c r="BT320">
        <v>1</v>
      </c>
      <c r="BU320">
        <v>1</v>
      </c>
      <c r="BV320">
        <v>1</v>
      </c>
      <c r="BW320">
        <v>1</v>
      </c>
      <c r="BX320">
        <v>1</v>
      </c>
      <c r="BY320" t="s">
        <v>3</v>
      </c>
      <c r="BZ320">
        <v>0</v>
      </c>
      <c r="CA320">
        <v>0</v>
      </c>
      <c r="CB320" t="s">
        <v>3</v>
      </c>
      <c r="CE320">
        <v>30</v>
      </c>
      <c r="CF320">
        <v>0</v>
      </c>
      <c r="CG320">
        <v>0</v>
      </c>
      <c r="CM320">
        <v>0</v>
      </c>
      <c r="CN320" t="s">
        <v>3</v>
      </c>
      <c r="CO320">
        <v>0</v>
      </c>
      <c r="CP320">
        <f t="shared" si="254"/>
        <v>474.71</v>
      </c>
      <c r="CQ320">
        <f t="shared" si="255"/>
        <v>60.55</v>
      </c>
      <c r="CR320">
        <f>(ROUND((ROUND(((ET320)*AV320*1),2)*BB320),2)+ROUND((ROUND(((AE320-(EU320))*AV320*1),2)*BS320),2))</f>
        <v>0</v>
      </c>
      <c r="CS320">
        <f t="shared" si="256"/>
        <v>0</v>
      </c>
      <c r="CT320">
        <f t="shared" si="257"/>
        <v>0</v>
      </c>
      <c r="CU320">
        <f t="shared" si="258"/>
        <v>0</v>
      </c>
      <c r="CV320">
        <f t="shared" si="259"/>
        <v>0</v>
      </c>
      <c r="CW320">
        <f t="shared" si="260"/>
        <v>0</v>
      </c>
      <c r="CX320">
        <f t="shared" si="261"/>
        <v>0</v>
      </c>
      <c r="CY320">
        <f>S320*(BZ320/100)</f>
        <v>0</v>
      </c>
      <c r="CZ320">
        <f>S320*(CA320/100)</f>
        <v>0</v>
      </c>
      <c r="DC320" t="s">
        <v>3</v>
      </c>
      <c r="DD320" t="s">
        <v>3</v>
      </c>
      <c r="DE320" t="s">
        <v>3</v>
      </c>
      <c r="DF320" t="s">
        <v>3</v>
      </c>
      <c r="DG320" t="s">
        <v>3</v>
      </c>
      <c r="DH320" t="s">
        <v>3</v>
      </c>
      <c r="DI320" t="s">
        <v>3</v>
      </c>
      <c r="DJ320" t="s">
        <v>3</v>
      </c>
      <c r="DK320" t="s">
        <v>3</v>
      </c>
      <c r="DL320" t="s">
        <v>3</v>
      </c>
      <c r="DM320" t="s">
        <v>3</v>
      </c>
      <c r="DN320">
        <v>104</v>
      </c>
      <c r="DO320">
        <v>70</v>
      </c>
      <c r="DP320">
        <v>1</v>
      </c>
      <c r="DQ320">
        <v>1</v>
      </c>
      <c r="DU320">
        <v>1005</v>
      </c>
      <c r="DV320" t="s">
        <v>258</v>
      </c>
      <c r="DW320" t="s">
        <v>258</v>
      </c>
      <c r="DX320">
        <v>1</v>
      </c>
      <c r="DZ320" t="s">
        <v>3</v>
      </c>
      <c r="EA320" t="s">
        <v>3</v>
      </c>
      <c r="EB320" t="s">
        <v>3</v>
      </c>
      <c r="EC320" t="s">
        <v>3</v>
      </c>
      <c r="EE320">
        <v>126051550</v>
      </c>
      <c r="EF320">
        <v>30</v>
      </c>
      <c r="EG320" t="s">
        <v>23</v>
      </c>
      <c r="EH320">
        <v>0</v>
      </c>
      <c r="EI320" t="s">
        <v>3</v>
      </c>
      <c r="EJ320">
        <v>1</v>
      </c>
      <c r="EK320">
        <v>89</v>
      </c>
      <c r="EL320" t="s">
        <v>424</v>
      </c>
      <c r="EM320" t="s">
        <v>425</v>
      </c>
      <c r="EO320" t="s">
        <v>3</v>
      </c>
      <c r="EQ320">
        <v>0</v>
      </c>
      <c r="ER320">
        <v>7</v>
      </c>
      <c r="ES320">
        <v>7</v>
      </c>
      <c r="ET320">
        <v>0</v>
      </c>
      <c r="EU320">
        <v>0</v>
      </c>
      <c r="EV320">
        <v>0</v>
      </c>
      <c r="EW320">
        <v>0</v>
      </c>
      <c r="EX320">
        <v>0</v>
      </c>
      <c r="FQ320">
        <v>0</v>
      </c>
      <c r="FR320">
        <f t="shared" si="262"/>
        <v>0</v>
      </c>
      <c r="FS320">
        <v>0</v>
      </c>
      <c r="FX320">
        <v>104</v>
      </c>
      <c r="FY320">
        <v>70</v>
      </c>
      <c r="GA320" t="s">
        <v>3</v>
      </c>
      <c r="GD320">
        <v>0</v>
      </c>
      <c r="GF320">
        <v>-684642042</v>
      </c>
      <c r="GG320">
        <v>2</v>
      </c>
      <c r="GH320">
        <v>1</v>
      </c>
      <c r="GI320">
        <v>5</v>
      </c>
      <c r="GJ320">
        <v>0</v>
      </c>
      <c r="GK320">
        <f>ROUND(R320*(S12)/100,2)</f>
        <v>0</v>
      </c>
      <c r="GL320">
        <f t="shared" si="263"/>
        <v>0</v>
      </c>
      <c r="GM320">
        <f t="shared" si="264"/>
        <v>474.71</v>
      </c>
      <c r="GN320">
        <f t="shared" si="265"/>
        <v>474.71</v>
      </c>
      <c r="GO320">
        <f t="shared" si="266"/>
        <v>0</v>
      </c>
      <c r="GP320">
        <f t="shared" si="267"/>
        <v>0</v>
      </c>
      <c r="GR320">
        <v>0</v>
      </c>
      <c r="GS320">
        <v>3</v>
      </c>
      <c r="GT320">
        <v>0</v>
      </c>
      <c r="GU320" t="s">
        <v>3</v>
      </c>
      <c r="GV320">
        <f t="shared" si="268"/>
        <v>0</v>
      </c>
      <c r="GW320">
        <v>1</v>
      </c>
      <c r="GX320">
        <f t="shared" si="269"/>
        <v>0</v>
      </c>
      <c r="HA320">
        <v>0</v>
      </c>
      <c r="HB320">
        <v>0</v>
      </c>
      <c r="HC320">
        <f t="shared" si="270"/>
        <v>0</v>
      </c>
      <c r="HE320" t="s">
        <v>3</v>
      </c>
      <c r="HF320" t="s">
        <v>3</v>
      </c>
      <c r="HM320" t="s">
        <v>3</v>
      </c>
      <c r="HN320" t="s">
        <v>3</v>
      </c>
      <c r="HO320" t="s">
        <v>3</v>
      </c>
      <c r="HP320" t="s">
        <v>3</v>
      </c>
      <c r="HQ320" t="s">
        <v>3</v>
      </c>
      <c r="IK320">
        <v>0</v>
      </c>
    </row>
    <row r="321" spans="1:255" x14ac:dyDescent="0.2">
      <c r="A321" s="2">
        <v>17</v>
      </c>
      <c r="B321" s="2">
        <v>1</v>
      </c>
      <c r="C321" s="2">
        <f>ROW(SmtRes!A363)</f>
        <v>363</v>
      </c>
      <c r="D321" s="2">
        <f>ROW(EtalonRes!A367)</f>
        <v>367</v>
      </c>
      <c r="E321" s="2" t="s">
        <v>430</v>
      </c>
      <c r="F321" s="2" t="s">
        <v>431</v>
      </c>
      <c r="G321" s="2" t="s">
        <v>432</v>
      </c>
      <c r="H321" s="2" t="s">
        <v>433</v>
      </c>
      <c r="I321" s="2">
        <v>7.0000000000000007E-2</v>
      </c>
      <c r="J321" s="2">
        <v>0</v>
      </c>
      <c r="K321" s="2">
        <v>7.0000000000000007E-2</v>
      </c>
      <c r="L321" s="2"/>
      <c r="M321" s="2"/>
      <c r="N321" s="2"/>
      <c r="O321" s="2">
        <f t="shared" si="240"/>
        <v>39.04</v>
      </c>
      <c r="P321" s="2">
        <f t="shared" si="241"/>
        <v>1.77</v>
      </c>
      <c r="Q321" s="2">
        <f>(ROUND((ROUND((((ET321*1.25))*AV321*I321),2)*BB321),2)+ROUND((ROUND(((AE321-((EU321*1.25)))*AV321*I321),2)*BS321),2))</f>
        <v>5.76</v>
      </c>
      <c r="R321" s="2">
        <f t="shared" si="242"/>
        <v>0.8</v>
      </c>
      <c r="S321" s="2">
        <f t="shared" si="243"/>
        <v>31.51</v>
      </c>
      <c r="T321" s="2">
        <f t="shared" si="244"/>
        <v>0</v>
      </c>
      <c r="U321" s="2">
        <f t="shared" si="245"/>
        <v>2.6581100000000002</v>
      </c>
      <c r="V321" s="2">
        <f t="shared" si="246"/>
        <v>0</v>
      </c>
      <c r="W321" s="2">
        <f t="shared" si="247"/>
        <v>0</v>
      </c>
      <c r="X321" s="2">
        <f t="shared" si="248"/>
        <v>32.770000000000003</v>
      </c>
      <c r="Y321" s="2">
        <f t="shared" si="249"/>
        <v>22.06</v>
      </c>
      <c r="Z321" s="2"/>
      <c r="AA321" s="2">
        <v>129761636</v>
      </c>
      <c r="AB321" s="2">
        <f t="shared" si="250"/>
        <v>557.76800000000003</v>
      </c>
      <c r="AC321" s="2">
        <f t="shared" si="251"/>
        <v>25.24</v>
      </c>
      <c r="AD321" s="2">
        <f>ROUND(((((ET321*1.25))-((EU321*1.25)))+AE321),6)</f>
        <v>82.337500000000006</v>
      </c>
      <c r="AE321" s="2">
        <f>ROUND(((EU321*1.25)),6)</f>
        <v>11.487500000000001</v>
      </c>
      <c r="AF321" s="2">
        <f>ROUND(((EV321*1.15)),6)</f>
        <v>450.19049999999999</v>
      </c>
      <c r="AG321" s="2">
        <f t="shared" si="252"/>
        <v>0</v>
      </c>
      <c r="AH321" s="2">
        <f>((EW321*1.15))</f>
        <v>37.972999999999999</v>
      </c>
      <c r="AI321" s="2">
        <f>((EX321*1.25))</f>
        <v>0</v>
      </c>
      <c r="AJ321" s="2">
        <f t="shared" si="253"/>
        <v>0</v>
      </c>
      <c r="AK321" s="2">
        <v>482.58</v>
      </c>
      <c r="AL321" s="2">
        <v>25.24</v>
      </c>
      <c r="AM321" s="2">
        <v>65.87</v>
      </c>
      <c r="AN321" s="2">
        <v>9.19</v>
      </c>
      <c r="AO321" s="2">
        <v>391.47</v>
      </c>
      <c r="AP321" s="2">
        <v>0</v>
      </c>
      <c r="AQ321" s="2">
        <v>33.020000000000003</v>
      </c>
      <c r="AR321" s="2">
        <v>0</v>
      </c>
      <c r="AS321" s="2">
        <v>0</v>
      </c>
      <c r="AT321" s="2">
        <v>104</v>
      </c>
      <c r="AU321" s="2">
        <v>70</v>
      </c>
      <c r="AV321" s="2">
        <v>1</v>
      </c>
      <c r="AW321" s="2">
        <v>1</v>
      </c>
      <c r="AX321" s="2"/>
      <c r="AY321" s="2"/>
      <c r="AZ321" s="2">
        <v>1</v>
      </c>
      <c r="BA321" s="2">
        <v>1</v>
      </c>
      <c r="BB321" s="2">
        <v>1</v>
      </c>
      <c r="BC321" s="2">
        <v>1</v>
      </c>
      <c r="BD321" s="2" t="s">
        <v>3</v>
      </c>
      <c r="BE321" s="2" t="s">
        <v>3</v>
      </c>
      <c r="BF321" s="2" t="s">
        <v>3</v>
      </c>
      <c r="BG321" s="2" t="s">
        <v>3</v>
      </c>
      <c r="BH321" s="2">
        <v>0</v>
      </c>
      <c r="BI321" s="2">
        <v>1</v>
      </c>
      <c r="BJ321" s="2" t="s">
        <v>434</v>
      </c>
      <c r="BK321" s="2"/>
      <c r="BL321" s="2"/>
      <c r="BM321" s="2">
        <v>1365</v>
      </c>
      <c r="BN321" s="2">
        <v>0</v>
      </c>
      <c r="BO321" s="2" t="s">
        <v>3</v>
      </c>
      <c r="BP321" s="2">
        <v>0</v>
      </c>
      <c r="BQ321" s="2">
        <v>30</v>
      </c>
      <c r="BR321" s="2">
        <v>0</v>
      </c>
      <c r="BS321" s="2">
        <v>1</v>
      </c>
      <c r="BT321" s="2">
        <v>1</v>
      </c>
      <c r="BU321" s="2">
        <v>1</v>
      </c>
      <c r="BV321" s="2">
        <v>1</v>
      </c>
      <c r="BW321" s="2">
        <v>1</v>
      </c>
      <c r="BX321" s="2">
        <v>1</v>
      </c>
      <c r="BY321" s="2" t="s">
        <v>3</v>
      </c>
      <c r="BZ321" s="2">
        <v>104</v>
      </c>
      <c r="CA321" s="2">
        <v>70</v>
      </c>
      <c r="CB321" s="2" t="s">
        <v>3</v>
      </c>
      <c r="CC321" s="2"/>
      <c r="CD321" s="2"/>
      <c r="CE321" s="2">
        <v>30</v>
      </c>
      <c r="CF321" s="2">
        <v>0</v>
      </c>
      <c r="CG321" s="2">
        <v>0</v>
      </c>
      <c r="CH321" s="2"/>
      <c r="CI321" s="2"/>
      <c r="CJ321" s="2"/>
      <c r="CK321" s="2"/>
      <c r="CL321" s="2"/>
      <c r="CM321" s="2">
        <v>0</v>
      </c>
      <c r="CN321" s="2" t="s">
        <v>1559</v>
      </c>
      <c r="CO321" s="2">
        <v>0</v>
      </c>
      <c r="CP321" s="2">
        <f t="shared" si="254"/>
        <v>39.04</v>
      </c>
      <c r="CQ321" s="2">
        <f t="shared" si="255"/>
        <v>25.24</v>
      </c>
      <c r="CR321" s="2">
        <f>(ROUND((ROUND((((ET321*1.25))*AV321*1),2)*BB321),2)+ROUND((ROUND(((AE321-((EU321*1.25)))*AV321*1),2)*BS321),2))</f>
        <v>82.34</v>
      </c>
      <c r="CS321" s="2">
        <f t="shared" si="256"/>
        <v>11.49</v>
      </c>
      <c r="CT321" s="2">
        <f t="shared" si="257"/>
        <v>450.19</v>
      </c>
      <c r="CU321" s="2">
        <f t="shared" si="258"/>
        <v>0</v>
      </c>
      <c r="CV321" s="2">
        <f t="shared" si="259"/>
        <v>37.972999999999999</v>
      </c>
      <c r="CW321" s="2">
        <f t="shared" si="260"/>
        <v>0</v>
      </c>
      <c r="CX321" s="2">
        <f t="shared" si="261"/>
        <v>0</v>
      </c>
      <c r="CY321" s="2">
        <f>((S321*BZ321)/100)</f>
        <v>32.770400000000002</v>
      </c>
      <c r="CZ321" s="2">
        <f>((S321*CA321)/100)</f>
        <v>22.057000000000002</v>
      </c>
      <c r="DA321" s="2"/>
      <c r="DB321" s="2"/>
      <c r="DC321" s="2" t="s">
        <v>3</v>
      </c>
      <c r="DD321" s="2" t="s">
        <v>3</v>
      </c>
      <c r="DE321" s="2" t="s">
        <v>86</v>
      </c>
      <c r="DF321" s="2" t="s">
        <v>86</v>
      </c>
      <c r="DG321" s="2" t="s">
        <v>87</v>
      </c>
      <c r="DH321" s="2" t="s">
        <v>3</v>
      </c>
      <c r="DI321" s="2" t="s">
        <v>87</v>
      </c>
      <c r="DJ321" s="2" t="s">
        <v>86</v>
      </c>
      <c r="DK321" s="2" t="s">
        <v>3</v>
      </c>
      <c r="DL321" s="2" t="s">
        <v>3</v>
      </c>
      <c r="DM321" s="2" t="s">
        <v>3</v>
      </c>
      <c r="DN321" s="2">
        <v>0</v>
      </c>
      <c r="DO321" s="2">
        <v>0</v>
      </c>
      <c r="DP321" s="2">
        <v>1</v>
      </c>
      <c r="DQ321" s="2">
        <v>1</v>
      </c>
      <c r="DR321" s="2"/>
      <c r="DS321" s="2"/>
      <c r="DT321" s="2"/>
      <c r="DU321" s="2">
        <v>1013</v>
      </c>
      <c r="DV321" s="2" t="s">
        <v>433</v>
      </c>
      <c r="DW321" s="2" t="s">
        <v>433</v>
      </c>
      <c r="DX321" s="2">
        <v>1</v>
      </c>
      <c r="DY321" s="2"/>
      <c r="DZ321" s="2" t="s">
        <v>3</v>
      </c>
      <c r="EA321" s="2" t="s">
        <v>3</v>
      </c>
      <c r="EB321" s="2" t="s">
        <v>3</v>
      </c>
      <c r="EC321" s="2" t="s">
        <v>3</v>
      </c>
      <c r="ED321" s="2"/>
      <c r="EE321" s="2">
        <v>126052826</v>
      </c>
      <c r="EF321" s="2">
        <v>30</v>
      </c>
      <c r="EG321" s="2" t="s">
        <v>23</v>
      </c>
      <c r="EH321" s="2">
        <v>0</v>
      </c>
      <c r="EI321" s="2" t="s">
        <v>3</v>
      </c>
      <c r="EJ321" s="2">
        <v>1</v>
      </c>
      <c r="EK321" s="2">
        <v>1365</v>
      </c>
      <c r="EL321" s="2" t="s">
        <v>435</v>
      </c>
      <c r="EM321" s="2" t="s">
        <v>436</v>
      </c>
      <c r="EN321" s="2"/>
      <c r="EO321" s="2" t="s">
        <v>90</v>
      </c>
      <c r="EP321" s="2"/>
      <c r="EQ321" s="2">
        <v>131072</v>
      </c>
      <c r="ER321" s="2">
        <v>482.58</v>
      </c>
      <c r="ES321" s="2">
        <v>25.24</v>
      </c>
      <c r="ET321" s="2">
        <v>65.87</v>
      </c>
      <c r="EU321" s="2">
        <v>9.19</v>
      </c>
      <c r="EV321" s="2">
        <v>391.47</v>
      </c>
      <c r="EW321" s="2">
        <v>33.020000000000003</v>
      </c>
      <c r="EX321" s="2">
        <v>0</v>
      </c>
      <c r="EY321" s="2">
        <v>0</v>
      </c>
      <c r="EZ321" s="2"/>
      <c r="FA321" s="2"/>
      <c r="FB321" s="2"/>
      <c r="FC321" s="2"/>
      <c r="FD321" s="2"/>
      <c r="FE321" s="2"/>
      <c r="FF321" s="2"/>
      <c r="FG321" s="2"/>
      <c r="FH321" s="2"/>
      <c r="FI321" s="2"/>
      <c r="FJ321" s="2"/>
      <c r="FK321" s="2"/>
      <c r="FL321" s="2"/>
      <c r="FM321" s="2"/>
      <c r="FN321" s="2"/>
      <c r="FO321" s="2"/>
      <c r="FP321" s="2"/>
      <c r="FQ321" s="2">
        <v>0</v>
      </c>
      <c r="FR321" s="2">
        <f t="shared" si="262"/>
        <v>0</v>
      </c>
      <c r="FS321" s="2">
        <v>0</v>
      </c>
      <c r="FT321" s="2"/>
      <c r="FU321" s="2"/>
      <c r="FV321" s="2"/>
      <c r="FW321" s="2"/>
      <c r="FX321" s="2">
        <v>104</v>
      </c>
      <c r="FY321" s="2">
        <v>70</v>
      </c>
      <c r="FZ321" s="2"/>
      <c r="GA321" s="2" t="s">
        <v>3</v>
      </c>
      <c r="GB321" s="2"/>
      <c r="GC321" s="2"/>
      <c r="GD321" s="2">
        <v>0</v>
      </c>
      <c r="GE321" s="2"/>
      <c r="GF321" s="2">
        <v>1934236824</v>
      </c>
      <c r="GG321" s="2">
        <v>2</v>
      </c>
      <c r="GH321" s="2">
        <v>1</v>
      </c>
      <c r="GI321" s="2">
        <v>-2</v>
      </c>
      <c r="GJ321" s="2">
        <v>0</v>
      </c>
      <c r="GK321" s="2">
        <f>ROUND(R321*(R12)/100,2)</f>
        <v>1.4</v>
      </c>
      <c r="GL321" s="2">
        <f t="shared" si="263"/>
        <v>0</v>
      </c>
      <c r="GM321" s="2">
        <f t="shared" si="264"/>
        <v>95.27</v>
      </c>
      <c r="GN321" s="2">
        <f t="shared" si="265"/>
        <v>95.27</v>
      </c>
      <c r="GO321" s="2">
        <f t="shared" si="266"/>
        <v>0</v>
      </c>
      <c r="GP321" s="2">
        <f t="shared" si="267"/>
        <v>0</v>
      </c>
      <c r="GQ321" s="2"/>
      <c r="GR321" s="2">
        <v>0</v>
      </c>
      <c r="GS321" s="2">
        <v>0</v>
      </c>
      <c r="GT321" s="2">
        <v>0</v>
      </c>
      <c r="GU321" s="2" t="s">
        <v>3</v>
      </c>
      <c r="GV321" s="2">
        <f t="shared" si="268"/>
        <v>0</v>
      </c>
      <c r="GW321" s="2">
        <v>1</v>
      </c>
      <c r="GX321" s="2">
        <f t="shared" si="269"/>
        <v>0</v>
      </c>
      <c r="GY321" s="2"/>
      <c r="GZ321" s="2"/>
      <c r="HA321" s="2">
        <v>0</v>
      </c>
      <c r="HB321" s="2">
        <v>0</v>
      </c>
      <c r="HC321" s="2">
        <f t="shared" si="270"/>
        <v>0</v>
      </c>
      <c r="HD321" s="2"/>
      <c r="HE321" s="2" t="s">
        <v>3</v>
      </c>
      <c r="HF321" s="2" t="s">
        <v>3</v>
      </c>
      <c r="HG321" s="2"/>
      <c r="HH321" s="2"/>
      <c r="HI321" s="2"/>
      <c r="HJ321" s="2"/>
      <c r="HK321" s="2"/>
      <c r="HL321" s="2"/>
      <c r="HM321" s="2" t="s">
        <v>3</v>
      </c>
      <c r="HN321" s="2" t="s">
        <v>3</v>
      </c>
      <c r="HO321" s="2" t="s">
        <v>3</v>
      </c>
      <c r="HP321" s="2" t="s">
        <v>3</v>
      </c>
      <c r="HQ321" s="2" t="s">
        <v>3</v>
      </c>
      <c r="HR321" s="2"/>
      <c r="HS321" s="2"/>
      <c r="HT321" s="2"/>
      <c r="HU321" s="2"/>
      <c r="HV321" s="2"/>
      <c r="HW321" s="2"/>
      <c r="HX321" s="2"/>
      <c r="HY321" s="2"/>
      <c r="HZ321" s="2"/>
      <c r="IA321" s="2"/>
      <c r="IB321" s="2"/>
      <c r="IC321" s="2"/>
      <c r="ID321" s="2"/>
      <c r="IE321" s="2"/>
      <c r="IF321" s="2"/>
      <c r="IG321" s="2"/>
      <c r="IH321" s="2"/>
      <c r="II321" s="2"/>
      <c r="IJ321" s="2"/>
      <c r="IK321" s="2">
        <v>0</v>
      </c>
      <c r="IL321" s="2"/>
      <c r="IM321" s="2"/>
      <c r="IN321" s="2"/>
      <c r="IO321" s="2"/>
      <c r="IP321" s="2"/>
      <c r="IQ321" s="2"/>
      <c r="IR321" s="2"/>
      <c r="IS321" s="2"/>
      <c r="IT321" s="2"/>
      <c r="IU321" s="2"/>
    </row>
    <row r="322" spans="1:255" x14ac:dyDescent="0.2">
      <c r="A322">
        <v>17</v>
      </c>
      <c r="B322">
        <v>1</v>
      </c>
      <c r="C322">
        <f>ROW(SmtRes!A372)</f>
        <v>372</v>
      </c>
      <c r="D322">
        <f>ROW(EtalonRes!A376)</f>
        <v>376</v>
      </c>
      <c r="E322" t="s">
        <v>430</v>
      </c>
      <c r="F322" t="s">
        <v>431</v>
      </c>
      <c r="G322" t="s">
        <v>432</v>
      </c>
      <c r="H322" t="s">
        <v>433</v>
      </c>
      <c r="I322">
        <v>7.0000000000000007E-2</v>
      </c>
      <c r="J322">
        <v>0</v>
      </c>
      <c r="K322">
        <v>7.0000000000000007E-2</v>
      </c>
      <c r="O322">
        <f t="shared" si="240"/>
        <v>982.24</v>
      </c>
      <c r="P322">
        <f t="shared" si="241"/>
        <v>6.39</v>
      </c>
      <c r="Q322">
        <f>(ROUND((ROUND((((ET322*1.25))*AV322*I322),2)*BB322),2)+ROUND((ROUND(((AE322-((EU322*1.25)))*AV322*I322),2)*BS322),2))</f>
        <v>61.11</v>
      </c>
      <c r="R322">
        <f t="shared" si="242"/>
        <v>23.22</v>
      </c>
      <c r="S322">
        <f t="shared" si="243"/>
        <v>914.74</v>
      </c>
      <c r="T322">
        <f t="shared" si="244"/>
        <v>0</v>
      </c>
      <c r="U322">
        <f t="shared" si="245"/>
        <v>2.6581100000000002</v>
      </c>
      <c r="V322">
        <f t="shared" si="246"/>
        <v>0</v>
      </c>
      <c r="W322">
        <f t="shared" si="247"/>
        <v>0</v>
      </c>
      <c r="X322">
        <f t="shared" si="248"/>
        <v>795.82</v>
      </c>
      <c r="Y322">
        <f t="shared" si="249"/>
        <v>375.04</v>
      </c>
      <c r="AA322">
        <v>129761633</v>
      </c>
      <c r="AB322">
        <f t="shared" si="250"/>
        <v>557.76800000000003</v>
      </c>
      <c r="AC322">
        <f t="shared" si="251"/>
        <v>25.24</v>
      </c>
      <c r="AD322">
        <f>ROUND(((((ET322*1.25))-((EU322*1.25)))+AE322),6)</f>
        <v>82.337500000000006</v>
      </c>
      <c r="AE322">
        <f>ROUND(((EU322*1.25)),6)</f>
        <v>11.487500000000001</v>
      </c>
      <c r="AF322">
        <f>ROUND(((EV322*1.15)),6)</f>
        <v>450.19049999999999</v>
      </c>
      <c r="AG322">
        <f t="shared" si="252"/>
        <v>0</v>
      </c>
      <c r="AH322">
        <f>((EW322*1.15))</f>
        <v>37.972999999999999</v>
      </c>
      <c r="AI322">
        <f>((EX322*1.25))</f>
        <v>0</v>
      </c>
      <c r="AJ322">
        <f t="shared" si="253"/>
        <v>0</v>
      </c>
      <c r="AK322">
        <v>482.58</v>
      </c>
      <c r="AL322">
        <v>25.24</v>
      </c>
      <c r="AM322">
        <v>65.87</v>
      </c>
      <c r="AN322">
        <v>9.19</v>
      </c>
      <c r="AO322">
        <v>391.47</v>
      </c>
      <c r="AP322">
        <v>0</v>
      </c>
      <c r="AQ322">
        <v>33.020000000000003</v>
      </c>
      <c r="AR322">
        <v>0</v>
      </c>
      <c r="AS322">
        <v>0</v>
      </c>
      <c r="AT322">
        <v>87</v>
      </c>
      <c r="AU322">
        <v>41</v>
      </c>
      <c r="AV322">
        <v>1</v>
      </c>
      <c r="AW322">
        <v>1</v>
      </c>
      <c r="AZ322">
        <v>1</v>
      </c>
      <c r="BA322">
        <v>29.03</v>
      </c>
      <c r="BB322">
        <v>10.61</v>
      </c>
      <c r="BC322">
        <v>3.61</v>
      </c>
      <c r="BD322" t="s">
        <v>3</v>
      </c>
      <c r="BE322" t="s">
        <v>3</v>
      </c>
      <c r="BF322" t="s">
        <v>3</v>
      </c>
      <c r="BG322" t="s">
        <v>3</v>
      </c>
      <c r="BH322">
        <v>0</v>
      </c>
      <c r="BI322">
        <v>1</v>
      </c>
      <c r="BJ322" t="s">
        <v>434</v>
      </c>
      <c r="BM322">
        <v>1365</v>
      </c>
      <c r="BN322">
        <v>0</v>
      </c>
      <c r="BO322" t="s">
        <v>431</v>
      </c>
      <c r="BP322">
        <v>1</v>
      </c>
      <c r="BQ322">
        <v>30</v>
      </c>
      <c r="BR322">
        <v>0</v>
      </c>
      <c r="BS322">
        <v>29.03</v>
      </c>
      <c r="BT322">
        <v>1</v>
      </c>
      <c r="BU322">
        <v>1</v>
      </c>
      <c r="BV322">
        <v>1</v>
      </c>
      <c r="BW322">
        <v>1</v>
      </c>
      <c r="BX322">
        <v>1</v>
      </c>
      <c r="BY322" t="s">
        <v>3</v>
      </c>
      <c r="BZ322">
        <v>87</v>
      </c>
      <c r="CA322">
        <v>41</v>
      </c>
      <c r="CB322" t="s">
        <v>3</v>
      </c>
      <c r="CE322">
        <v>30</v>
      </c>
      <c r="CF322">
        <v>0</v>
      </c>
      <c r="CG322">
        <v>0</v>
      </c>
      <c r="CM322">
        <v>0</v>
      </c>
      <c r="CN322" t="s">
        <v>1559</v>
      </c>
      <c r="CO322">
        <v>0</v>
      </c>
      <c r="CP322">
        <f t="shared" si="254"/>
        <v>982.24</v>
      </c>
      <c r="CQ322">
        <f t="shared" si="255"/>
        <v>91.12</v>
      </c>
      <c r="CR322">
        <f>(ROUND((ROUND((((ET322*1.25))*AV322*1),2)*BB322),2)+ROUND((ROUND(((AE322-((EU322*1.25)))*AV322*1),2)*BS322),2))</f>
        <v>873.63</v>
      </c>
      <c r="CS322">
        <f t="shared" si="256"/>
        <v>333.55</v>
      </c>
      <c r="CT322">
        <f t="shared" si="257"/>
        <v>13069.02</v>
      </c>
      <c r="CU322">
        <f t="shared" si="258"/>
        <v>0</v>
      </c>
      <c r="CV322">
        <f t="shared" si="259"/>
        <v>37.972999999999999</v>
      </c>
      <c r="CW322">
        <f t="shared" si="260"/>
        <v>0</v>
      </c>
      <c r="CX322">
        <f t="shared" si="261"/>
        <v>0</v>
      </c>
      <c r="CY322">
        <f>S322*(BZ322/100)</f>
        <v>795.82380000000001</v>
      </c>
      <c r="CZ322">
        <f>S322*(CA322/100)</f>
        <v>375.04339999999996</v>
      </c>
      <c r="DC322" t="s">
        <v>3</v>
      </c>
      <c r="DD322" t="s">
        <v>3</v>
      </c>
      <c r="DE322" t="s">
        <v>86</v>
      </c>
      <c r="DF322" t="s">
        <v>86</v>
      </c>
      <c r="DG322" t="s">
        <v>87</v>
      </c>
      <c r="DH322" t="s">
        <v>3</v>
      </c>
      <c r="DI322" t="s">
        <v>87</v>
      </c>
      <c r="DJ322" t="s">
        <v>86</v>
      </c>
      <c r="DK322" t="s">
        <v>3</v>
      </c>
      <c r="DL322" t="s">
        <v>3</v>
      </c>
      <c r="DM322" t="s">
        <v>3</v>
      </c>
      <c r="DN322">
        <v>104</v>
      </c>
      <c r="DO322">
        <v>70</v>
      </c>
      <c r="DP322">
        <v>1</v>
      </c>
      <c r="DQ322">
        <v>1</v>
      </c>
      <c r="DU322">
        <v>1013</v>
      </c>
      <c r="DV322" t="s">
        <v>433</v>
      </c>
      <c r="DW322" t="s">
        <v>433</v>
      </c>
      <c r="DX322">
        <v>1</v>
      </c>
      <c r="DZ322" t="s">
        <v>3</v>
      </c>
      <c r="EA322" t="s">
        <v>3</v>
      </c>
      <c r="EB322" t="s">
        <v>3</v>
      </c>
      <c r="EC322" t="s">
        <v>3</v>
      </c>
      <c r="EE322">
        <v>126052826</v>
      </c>
      <c r="EF322">
        <v>30</v>
      </c>
      <c r="EG322" t="s">
        <v>23</v>
      </c>
      <c r="EH322">
        <v>0</v>
      </c>
      <c r="EI322" t="s">
        <v>3</v>
      </c>
      <c r="EJ322">
        <v>1</v>
      </c>
      <c r="EK322">
        <v>1365</v>
      </c>
      <c r="EL322" t="s">
        <v>435</v>
      </c>
      <c r="EM322" t="s">
        <v>436</v>
      </c>
      <c r="EO322" t="s">
        <v>90</v>
      </c>
      <c r="EQ322">
        <v>131072</v>
      </c>
      <c r="ER322">
        <v>482.58</v>
      </c>
      <c r="ES322">
        <v>25.24</v>
      </c>
      <c r="ET322">
        <v>65.87</v>
      </c>
      <c r="EU322">
        <v>9.19</v>
      </c>
      <c r="EV322">
        <v>391.47</v>
      </c>
      <c r="EW322">
        <v>33.020000000000003</v>
      </c>
      <c r="EX322">
        <v>0</v>
      </c>
      <c r="EY322">
        <v>0</v>
      </c>
      <c r="FQ322">
        <v>0</v>
      </c>
      <c r="FR322">
        <f t="shared" si="262"/>
        <v>0</v>
      </c>
      <c r="FS322">
        <v>0</v>
      </c>
      <c r="FX322">
        <v>104</v>
      </c>
      <c r="FY322">
        <v>70</v>
      </c>
      <c r="GA322" t="s">
        <v>3</v>
      </c>
      <c r="GD322">
        <v>0</v>
      </c>
      <c r="GF322">
        <v>1934236824</v>
      </c>
      <c r="GG322">
        <v>2</v>
      </c>
      <c r="GH322">
        <v>1</v>
      </c>
      <c r="GI322">
        <v>2</v>
      </c>
      <c r="GJ322">
        <v>0</v>
      </c>
      <c r="GK322">
        <f>ROUND(R322*(S12)/100,2)</f>
        <v>37.15</v>
      </c>
      <c r="GL322">
        <f t="shared" si="263"/>
        <v>0</v>
      </c>
      <c r="GM322">
        <f t="shared" si="264"/>
        <v>2190.25</v>
      </c>
      <c r="GN322">
        <f t="shared" si="265"/>
        <v>2190.25</v>
      </c>
      <c r="GO322">
        <f t="shared" si="266"/>
        <v>0</v>
      </c>
      <c r="GP322">
        <f t="shared" si="267"/>
        <v>0</v>
      </c>
      <c r="GR322">
        <v>0</v>
      </c>
      <c r="GS322">
        <v>3</v>
      </c>
      <c r="GT322">
        <v>0</v>
      </c>
      <c r="GU322" t="s">
        <v>3</v>
      </c>
      <c r="GV322">
        <f t="shared" si="268"/>
        <v>0</v>
      </c>
      <c r="GW322">
        <v>1</v>
      </c>
      <c r="GX322">
        <f t="shared" si="269"/>
        <v>0</v>
      </c>
      <c r="HA322">
        <v>0</v>
      </c>
      <c r="HB322">
        <v>0</v>
      </c>
      <c r="HC322">
        <f t="shared" si="270"/>
        <v>0</v>
      </c>
      <c r="HE322" t="s">
        <v>3</v>
      </c>
      <c r="HF322" t="s">
        <v>3</v>
      </c>
      <c r="HM322" t="s">
        <v>3</v>
      </c>
      <c r="HN322" t="s">
        <v>3</v>
      </c>
      <c r="HO322" t="s">
        <v>3</v>
      </c>
      <c r="HP322" t="s">
        <v>3</v>
      </c>
      <c r="HQ322" t="s">
        <v>3</v>
      </c>
      <c r="IK322">
        <v>0</v>
      </c>
    </row>
    <row r="323" spans="1:255" x14ac:dyDescent="0.2">
      <c r="A323" s="2">
        <v>18</v>
      </c>
      <c r="B323" s="2">
        <v>1</v>
      </c>
      <c r="C323" s="2">
        <v>362</v>
      </c>
      <c r="D323" s="2"/>
      <c r="E323" s="2" t="s">
        <v>437</v>
      </c>
      <c r="F323" s="2" t="s">
        <v>438</v>
      </c>
      <c r="G323" s="2" t="s">
        <v>439</v>
      </c>
      <c r="H323" s="2" t="s">
        <v>369</v>
      </c>
      <c r="I323" s="2">
        <f>I321*J323</f>
        <v>1.4</v>
      </c>
      <c r="J323" s="2">
        <v>19.999999999999996</v>
      </c>
      <c r="K323" s="2">
        <v>20</v>
      </c>
      <c r="L323" s="2"/>
      <c r="M323" s="2"/>
      <c r="N323" s="2"/>
      <c r="O323" s="2">
        <f t="shared" ref="O323:O346" si="278">ROUND(CP323,2)</f>
        <v>75.260000000000005</v>
      </c>
      <c r="P323" s="2">
        <f t="shared" ref="P323:P346" si="279">ROUND((ROUND((AC323*AW323*I323),2)*BC323),2)</f>
        <v>75.260000000000005</v>
      </c>
      <c r="Q323" s="2">
        <f>(ROUND((ROUND(((ET323)*AV323*I323),2)*BB323),2)+ROUND((ROUND(((AE323-(EU323))*AV323*I323),2)*BS323),2))</f>
        <v>0</v>
      </c>
      <c r="R323" s="2">
        <f t="shared" ref="R323:R346" si="280">ROUND((ROUND((AE323*AV323*I323),2)*BS323),2)</f>
        <v>0</v>
      </c>
      <c r="S323" s="2">
        <f t="shared" ref="S323:S346" si="281">ROUND((ROUND((AF323*AV323*I323),2)*BA323),2)</f>
        <v>0</v>
      </c>
      <c r="T323" s="2">
        <f t="shared" ref="T323:T346" si="282">ROUND(CU323*I323,2)</f>
        <v>0</v>
      </c>
      <c r="U323" s="2">
        <f t="shared" ref="U323:U346" si="283">CV323*I323</f>
        <v>0</v>
      </c>
      <c r="V323" s="2">
        <f t="shared" ref="V323:V346" si="284">CW323*I323</f>
        <v>0</v>
      </c>
      <c r="W323" s="2">
        <f t="shared" ref="W323:W346" si="285">ROUND(CX323*I323,2)</f>
        <v>0</v>
      </c>
      <c r="X323" s="2">
        <f t="shared" ref="X323:X346" si="286">ROUND(CY323,2)</f>
        <v>0</v>
      </c>
      <c r="Y323" s="2">
        <f t="shared" ref="Y323:Y346" si="287">ROUND(CZ323,2)</f>
        <v>0</v>
      </c>
      <c r="Z323" s="2"/>
      <c r="AA323" s="2">
        <v>129761636</v>
      </c>
      <c r="AB323" s="2">
        <f t="shared" ref="AB323:AB346" si="288">ROUND((AC323+AD323+AF323),6)</f>
        <v>53.76</v>
      </c>
      <c r="AC323" s="2">
        <f t="shared" ref="AC323:AC346" si="289">ROUND((ES323),6)</f>
        <v>53.76</v>
      </c>
      <c r="AD323" s="2">
        <f>ROUND((((ET323)-(EU323))+AE323),6)</f>
        <v>0</v>
      </c>
      <c r="AE323" s="2">
        <f t="shared" ref="AE323:AF326" si="290">ROUND((EU323),6)</f>
        <v>0</v>
      </c>
      <c r="AF323" s="2">
        <f t="shared" si="290"/>
        <v>0</v>
      </c>
      <c r="AG323" s="2">
        <f t="shared" ref="AG323:AG346" si="291">ROUND((AP323),6)</f>
        <v>0</v>
      </c>
      <c r="AH323" s="2">
        <f t="shared" ref="AH323:AI326" si="292">(EW323)</f>
        <v>0</v>
      </c>
      <c r="AI323" s="2">
        <f t="shared" si="292"/>
        <v>0</v>
      </c>
      <c r="AJ323" s="2">
        <f t="shared" ref="AJ323:AJ346" si="293">(AS323)</f>
        <v>0</v>
      </c>
      <c r="AK323" s="2">
        <v>53.76</v>
      </c>
      <c r="AL323" s="2">
        <v>53.76</v>
      </c>
      <c r="AM323" s="2">
        <v>0</v>
      </c>
      <c r="AN323" s="2">
        <v>0</v>
      </c>
      <c r="AO323" s="2">
        <v>0</v>
      </c>
      <c r="AP323" s="2">
        <v>0</v>
      </c>
      <c r="AQ323" s="2">
        <v>0</v>
      </c>
      <c r="AR323" s="2">
        <v>0</v>
      </c>
      <c r="AS323" s="2">
        <v>0</v>
      </c>
      <c r="AT323" s="2">
        <v>104</v>
      </c>
      <c r="AU323" s="2">
        <v>70</v>
      </c>
      <c r="AV323" s="2">
        <v>1</v>
      </c>
      <c r="AW323" s="2">
        <v>1</v>
      </c>
      <c r="AX323" s="2"/>
      <c r="AY323" s="2"/>
      <c r="AZ323" s="2">
        <v>1</v>
      </c>
      <c r="BA323" s="2">
        <v>1</v>
      </c>
      <c r="BB323" s="2">
        <v>1</v>
      </c>
      <c r="BC323" s="2">
        <v>1</v>
      </c>
      <c r="BD323" s="2" t="s">
        <v>3</v>
      </c>
      <c r="BE323" s="2" t="s">
        <v>3</v>
      </c>
      <c r="BF323" s="2" t="s">
        <v>3</v>
      </c>
      <c r="BG323" s="2" t="s">
        <v>3</v>
      </c>
      <c r="BH323" s="2">
        <v>3</v>
      </c>
      <c r="BI323" s="2">
        <v>1</v>
      </c>
      <c r="BJ323" s="2" t="s">
        <v>440</v>
      </c>
      <c r="BK323" s="2"/>
      <c r="BL323" s="2"/>
      <c r="BM323" s="2">
        <v>1365</v>
      </c>
      <c r="BN323" s="2">
        <v>0</v>
      </c>
      <c r="BO323" s="2" t="s">
        <v>3</v>
      </c>
      <c r="BP323" s="2">
        <v>0</v>
      </c>
      <c r="BQ323" s="2">
        <v>30</v>
      </c>
      <c r="BR323" s="2">
        <v>0</v>
      </c>
      <c r="BS323" s="2">
        <v>1</v>
      </c>
      <c r="BT323" s="2">
        <v>1</v>
      </c>
      <c r="BU323" s="2">
        <v>1</v>
      </c>
      <c r="BV323" s="2">
        <v>1</v>
      </c>
      <c r="BW323" s="2">
        <v>1</v>
      </c>
      <c r="BX323" s="2">
        <v>1</v>
      </c>
      <c r="BY323" s="2" t="s">
        <v>3</v>
      </c>
      <c r="BZ323" s="2">
        <v>104</v>
      </c>
      <c r="CA323" s="2">
        <v>70</v>
      </c>
      <c r="CB323" s="2" t="s">
        <v>3</v>
      </c>
      <c r="CC323" s="2"/>
      <c r="CD323" s="2"/>
      <c r="CE323" s="2">
        <v>30</v>
      </c>
      <c r="CF323" s="2">
        <v>0</v>
      </c>
      <c r="CG323" s="2">
        <v>0</v>
      </c>
      <c r="CH323" s="2"/>
      <c r="CI323" s="2"/>
      <c r="CJ323" s="2"/>
      <c r="CK323" s="2"/>
      <c r="CL323" s="2"/>
      <c r="CM323" s="2">
        <v>0</v>
      </c>
      <c r="CN323" s="2" t="s">
        <v>3</v>
      </c>
      <c r="CO323" s="2">
        <v>0</v>
      </c>
      <c r="CP323" s="2">
        <f t="shared" ref="CP323:CP346" si="294">(P323+Q323+S323)</f>
        <v>75.260000000000005</v>
      </c>
      <c r="CQ323" s="2">
        <f t="shared" ref="CQ323:CQ346" si="295">ROUND((ROUND((AC323*AW323*1),2)*BC323),2)</f>
        <v>53.76</v>
      </c>
      <c r="CR323" s="2">
        <f>(ROUND((ROUND(((ET323)*AV323*1),2)*BB323),2)+ROUND((ROUND(((AE323-(EU323))*AV323*1),2)*BS323),2))</f>
        <v>0</v>
      </c>
      <c r="CS323" s="2">
        <f t="shared" ref="CS323:CS346" si="296">ROUND((ROUND((AE323*AV323*1),2)*BS323),2)</f>
        <v>0</v>
      </c>
      <c r="CT323" s="2">
        <f t="shared" ref="CT323:CT346" si="297">ROUND((ROUND((AF323*AV323*1),2)*BA323),2)</f>
        <v>0</v>
      </c>
      <c r="CU323" s="2">
        <f t="shared" ref="CU323:CU346" si="298">AG323</f>
        <v>0</v>
      </c>
      <c r="CV323" s="2">
        <f t="shared" ref="CV323:CV346" si="299">(AH323*AV323)</f>
        <v>0</v>
      </c>
      <c r="CW323" s="2">
        <f t="shared" ref="CW323:CW346" si="300">AI323</f>
        <v>0</v>
      </c>
      <c r="CX323" s="2">
        <f t="shared" ref="CX323:CX346" si="301">AJ323</f>
        <v>0</v>
      </c>
      <c r="CY323" s="2">
        <f>((S323*BZ323)/100)</f>
        <v>0</v>
      </c>
      <c r="CZ323" s="2">
        <f>((S323*CA323)/100)</f>
        <v>0</v>
      </c>
      <c r="DA323" s="2"/>
      <c r="DB323" s="2"/>
      <c r="DC323" s="2" t="s">
        <v>3</v>
      </c>
      <c r="DD323" s="2" t="s">
        <v>3</v>
      </c>
      <c r="DE323" s="2" t="s">
        <v>3</v>
      </c>
      <c r="DF323" s="2" t="s">
        <v>3</v>
      </c>
      <c r="DG323" s="2" t="s">
        <v>3</v>
      </c>
      <c r="DH323" s="2" t="s">
        <v>3</v>
      </c>
      <c r="DI323" s="2" t="s">
        <v>3</v>
      </c>
      <c r="DJ323" s="2" t="s">
        <v>3</v>
      </c>
      <c r="DK323" s="2" t="s">
        <v>3</v>
      </c>
      <c r="DL323" s="2" t="s">
        <v>3</v>
      </c>
      <c r="DM323" s="2" t="s">
        <v>3</v>
      </c>
      <c r="DN323" s="2">
        <v>0</v>
      </c>
      <c r="DO323" s="2">
        <v>0</v>
      </c>
      <c r="DP323" s="2">
        <v>1</v>
      </c>
      <c r="DQ323" s="2">
        <v>1</v>
      </c>
      <c r="DR323" s="2"/>
      <c r="DS323" s="2"/>
      <c r="DT323" s="2"/>
      <c r="DU323" s="2">
        <v>1009</v>
      </c>
      <c r="DV323" s="2" t="s">
        <v>369</v>
      </c>
      <c r="DW323" s="2" t="s">
        <v>369</v>
      </c>
      <c r="DX323" s="2">
        <v>1</v>
      </c>
      <c r="DY323" s="2"/>
      <c r="DZ323" s="2" t="s">
        <v>3</v>
      </c>
      <c r="EA323" s="2" t="s">
        <v>3</v>
      </c>
      <c r="EB323" s="2" t="s">
        <v>3</v>
      </c>
      <c r="EC323" s="2" t="s">
        <v>3</v>
      </c>
      <c r="ED323" s="2"/>
      <c r="EE323" s="2">
        <v>126052826</v>
      </c>
      <c r="EF323" s="2">
        <v>30</v>
      </c>
      <c r="EG323" s="2" t="s">
        <v>23</v>
      </c>
      <c r="EH323" s="2">
        <v>0</v>
      </c>
      <c r="EI323" s="2" t="s">
        <v>3</v>
      </c>
      <c r="EJ323" s="2">
        <v>1</v>
      </c>
      <c r="EK323" s="2">
        <v>1365</v>
      </c>
      <c r="EL323" s="2" t="s">
        <v>435</v>
      </c>
      <c r="EM323" s="2" t="s">
        <v>436</v>
      </c>
      <c r="EN323" s="2"/>
      <c r="EO323" s="2" t="s">
        <v>3</v>
      </c>
      <c r="EP323" s="2"/>
      <c r="EQ323" s="2">
        <v>0</v>
      </c>
      <c r="ER323" s="2">
        <v>53.76</v>
      </c>
      <c r="ES323" s="2">
        <v>53.76</v>
      </c>
      <c r="ET323" s="2">
        <v>0</v>
      </c>
      <c r="EU323" s="2">
        <v>0</v>
      </c>
      <c r="EV323" s="2">
        <v>0</v>
      </c>
      <c r="EW323" s="2">
        <v>0</v>
      </c>
      <c r="EX323" s="2">
        <v>0</v>
      </c>
      <c r="EY323" s="2"/>
      <c r="EZ323" s="2"/>
      <c r="FA323" s="2"/>
      <c r="FB323" s="2"/>
      <c r="FC323" s="2"/>
      <c r="FD323" s="2"/>
      <c r="FE323" s="2"/>
      <c r="FF323" s="2"/>
      <c r="FG323" s="2"/>
      <c r="FH323" s="2"/>
      <c r="FI323" s="2"/>
      <c r="FJ323" s="2"/>
      <c r="FK323" s="2"/>
      <c r="FL323" s="2"/>
      <c r="FM323" s="2"/>
      <c r="FN323" s="2"/>
      <c r="FO323" s="2"/>
      <c r="FP323" s="2"/>
      <c r="FQ323" s="2">
        <v>0</v>
      </c>
      <c r="FR323" s="2">
        <f t="shared" ref="FR323:FR346" si="302">ROUND(IF(AND(BH323=3,BI323=3),P323,0),2)</f>
        <v>0</v>
      </c>
      <c r="FS323" s="2">
        <v>0</v>
      </c>
      <c r="FT323" s="2"/>
      <c r="FU323" s="2"/>
      <c r="FV323" s="2"/>
      <c r="FW323" s="2"/>
      <c r="FX323" s="2">
        <v>104</v>
      </c>
      <c r="FY323" s="2">
        <v>70</v>
      </c>
      <c r="FZ323" s="2"/>
      <c r="GA323" s="2" t="s">
        <v>3</v>
      </c>
      <c r="GB323" s="2"/>
      <c r="GC323" s="2"/>
      <c r="GD323" s="2">
        <v>0</v>
      </c>
      <c r="GE323" s="2"/>
      <c r="GF323" s="2">
        <v>-219381173</v>
      </c>
      <c r="GG323" s="2">
        <v>2</v>
      </c>
      <c r="GH323" s="2">
        <v>1</v>
      </c>
      <c r="GI323" s="2">
        <v>-2</v>
      </c>
      <c r="GJ323" s="2">
        <v>0</v>
      </c>
      <c r="GK323" s="2">
        <f>ROUND(R323*(R12)/100,2)</f>
        <v>0</v>
      </c>
      <c r="GL323" s="2">
        <f t="shared" ref="GL323:GL346" si="303">ROUND(IF(AND(BH323=3,BI323=3,FS323&lt;&gt;0),P323,0),2)</f>
        <v>0</v>
      </c>
      <c r="GM323" s="2">
        <f t="shared" ref="GM323:GM346" si="304">ROUND(O323+X323+Y323+GK323,2)+GX323</f>
        <v>75.260000000000005</v>
      </c>
      <c r="GN323" s="2">
        <f t="shared" ref="GN323:GN346" si="305">IF(OR(BI323=0,BI323=1),ROUND(O323+X323+Y323+GK323,2),0)</f>
        <v>75.260000000000005</v>
      </c>
      <c r="GO323" s="2">
        <f t="shared" ref="GO323:GO346" si="306">IF(BI323=2,ROUND(O323+X323+Y323+GK323,2),0)</f>
        <v>0</v>
      </c>
      <c r="GP323" s="2">
        <f t="shared" ref="GP323:GP346" si="307">IF(BI323=4,ROUND(O323+X323+Y323+GK323,2)+GX323,0)</f>
        <v>0</v>
      </c>
      <c r="GQ323" s="2"/>
      <c r="GR323" s="2">
        <v>0</v>
      </c>
      <c r="GS323" s="2">
        <v>0</v>
      </c>
      <c r="GT323" s="2">
        <v>0</v>
      </c>
      <c r="GU323" s="2" t="s">
        <v>3</v>
      </c>
      <c r="GV323" s="2">
        <f t="shared" ref="GV323:GV346" si="308">ROUND((GT323),6)</f>
        <v>0</v>
      </c>
      <c r="GW323" s="2">
        <v>1</v>
      </c>
      <c r="GX323" s="2">
        <f t="shared" ref="GX323:GX346" si="309">ROUND(HC323*I323,2)</f>
        <v>0</v>
      </c>
      <c r="GY323" s="2"/>
      <c r="GZ323" s="2"/>
      <c r="HA323" s="2">
        <v>0</v>
      </c>
      <c r="HB323" s="2">
        <v>0</v>
      </c>
      <c r="HC323" s="2">
        <f t="shared" ref="HC323:HC346" si="310">GV323*GW323</f>
        <v>0</v>
      </c>
      <c r="HD323" s="2"/>
      <c r="HE323" s="2" t="s">
        <v>3</v>
      </c>
      <c r="HF323" s="2" t="s">
        <v>3</v>
      </c>
      <c r="HG323" s="2"/>
      <c r="HH323" s="2"/>
      <c r="HI323" s="2"/>
      <c r="HJ323" s="2"/>
      <c r="HK323" s="2"/>
      <c r="HL323" s="2"/>
      <c r="HM323" s="2" t="s">
        <v>3</v>
      </c>
      <c r="HN323" s="2" t="s">
        <v>3</v>
      </c>
      <c r="HO323" s="2" t="s">
        <v>3</v>
      </c>
      <c r="HP323" s="2" t="s">
        <v>3</v>
      </c>
      <c r="HQ323" s="2" t="s">
        <v>3</v>
      </c>
      <c r="HR323" s="2"/>
      <c r="HS323" s="2"/>
      <c r="HT323" s="2"/>
      <c r="HU323" s="2"/>
      <c r="HV323" s="2"/>
      <c r="HW323" s="2"/>
      <c r="HX323" s="2"/>
      <c r="HY323" s="2"/>
      <c r="HZ323" s="2"/>
      <c r="IA323" s="2"/>
      <c r="IB323" s="2"/>
      <c r="IC323" s="2"/>
      <c r="ID323" s="2"/>
      <c r="IE323" s="2"/>
      <c r="IF323" s="2"/>
      <c r="IG323" s="2"/>
      <c r="IH323" s="2"/>
      <c r="II323" s="2"/>
      <c r="IJ323" s="2"/>
      <c r="IK323" s="2">
        <v>0</v>
      </c>
      <c r="IL323" s="2"/>
      <c r="IM323" s="2"/>
      <c r="IN323" s="2"/>
      <c r="IO323" s="2"/>
      <c r="IP323" s="2"/>
      <c r="IQ323" s="2"/>
      <c r="IR323" s="2"/>
      <c r="IS323" s="2"/>
      <c r="IT323" s="2"/>
      <c r="IU323" s="2"/>
    </row>
    <row r="324" spans="1:255" x14ac:dyDescent="0.2">
      <c r="A324">
        <v>18</v>
      </c>
      <c r="B324">
        <v>1</v>
      </c>
      <c r="C324">
        <v>371</v>
      </c>
      <c r="E324" t="s">
        <v>437</v>
      </c>
      <c r="F324" t="s">
        <v>438</v>
      </c>
      <c r="G324" t="s">
        <v>439</v>
      </c>
      <c r="H324" t="s">
        <v>369</v>
      </c>
      <c r="I324">
        <f>I322*J324</f>
        <v>1.4</v>
      </c>
      <c r="J324">
        <v>19.999999999999996</v>
      </c>
      <c r="K324">
        <v>20</v>
      </c>
      <c r="O324">
        <f t="shared" si="278"/>
        <v>1042.3499999999999</v>
      </c>
      <c r="P324">
        <f t="shared" si="279"/>
        <v>1042.3499999999999</v>
      </c>
      <c r="Q324">
        <f>(ROUND((ROUND(((ET324)*AV324*I324),2)*BB324),2)+ROUND((ROUND(((AE324-(EU324))*AV324*I324),2)*BS324),2))</f>
        <v>0</v>
      </c>
      <c r="R324">
        <f t="shared" si="280"/>
        <v>0</v>
      </c>
      <c r="S324">
        <f t="shared" si="281"/>
        <v>0</v>
      </c>
      <c r="T324">
        <f t="shared" si="282"/>
        <v>0</v>
      </c>
      <c r="U324">
        <f t="shared" si="283"/>
        <v>0</v>
      </c>
      <c r="V324">
        <f t="shared" si="284"/>
        <v>0</v>
      </c>
      <c r="W324">
        <f t="shared" si="285"/>
        <v>0</v>
      </c>
      <c r="X324">
        <f t="shared" si="286"/>
        <v>0</v>
      </c>
      <c r="Y324">
        <f t="shared" si="287"/>
        <v>0</v>
      </c>
      <c r="AA324">
        <v>129761633</v>
      </c>
      <c r="AB324">
        <f t="shared" si="288"/>
        <v>53.76</v>
      </c>
      <c r="AC324">
        <f t="shared" si="289"/>
        <v>53.76</v>
      </c>
      <c r="AD324">
        <f>ROUND((((ET324)-(EU324))+AE324),6)</f>
        <v>0</v>
      </c>
      <c r="AE324">
        <f t="shared" si="290"/>
        <v>0</v>
      </c>
      <c r="AF324">
        <f t="shared" si="290"/>
        <v>0</v>
      </c>
      <c r="AG324">
        <f t="shared" si="291"/>
        <v>0</v>
      </c>
      <c r="AH324">
        <f t="shared" si="292"/>
        <v>0</v>
      </c>
      <c r="AI324">
        <f t="shared" si="292"/>
        <v>0</v>
      </c>
      <c r="AJ324">
        <f t="shared" si="293"/>
        <v>0</v>
      </c>
      <c r="AK324">
        <v>53.76</v>
      </c>
      <c r="AL324">
        <v>53.76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1</v>
      </c>
      <c r="AW324">
        <v>1</v>
      </c>
      <c r="AZ324">
        <v>1</v>
      </c>
      <c r="BA324">
        <v>1</v>
      </c>
      <c r="BB324">
        <v>1</v>
      </c>
      <c r="BC324">
        <v>13.85</v>
      </c>
      <c r="BD324" t="s">
        <v>3</v>
      </c>
      <c r="BE324" t="s">
        <v>3</v>
      </c>
      <c r="BF324" t="s">
        <v>3</v>
      </c>
      <c r="BG324" t="s">
        <v>3</v>
      </c>
      <c r="BH324">
        <v>3</v>
      </c>
      <c r="BI324">
        <v>1</v>
      </c>
      <c r="BJ324" t="s">
        <v>440</v>
      </c>
      <c r="BM324">
        <v>1365</v>
      </c>
      <c r="BN324">
        <v>0</v>
      </c>
      <c r="BO324" t="s">
        <v>438</v>
      </c>
      <c r="BP324">
        <v>1</v>
      </c>
      <c r="BQ324">
        <v>30</v>
      </c>
      <c r="BR324">
        <v>0</v>
      </c>
      <c r="BS324">
        <v>1</v>
      </c>
      <c r="BT324">
        <v>1</v>
      </c>
      <c r="BU324">
        <v>1</v>
      </c>
      <c r="BV324">
        <v>1</v>
      </c>
      <c r="BW324">
        <v>1</v>
      </c>
      <c r="BX324">
        <v>1</v>
      </c>
      <c r="BY324" t="s">
        <v>3</v>
      </c>
      <c r="BZ324">
        <v>0</v>
      </c>
      <c r="CA324">
        <v>0</v>
      </c>
      <c r="CB324" t="s">
        <v>3</v>
      </c>
      <c r="CE324">
        <v>30</v>
      </c>
      <c r="CF324">
        <v>0</v>
      </c>
      <c r="CG324">
        <v>0</v>
      </c>
      <c r="CM324">
        <v>0</v>
      </c>
      <c r="CN324" t="s">
        <v>3</v>
      </c>
      <c r="CO324">
        <v>0</v>
      </c>
      <c r="CP324">
        <f t="shared" si="294"/>
        <v>1042.3499999999999</v>
      </c>
      <c r="CQ324">
        <f t="shared" si="295"/>
        <v>744.58</v>
      </c>
      <c r="CR324">
        <f>(ROUND((ROUND(((ET324)*AV324*1),2)*BB324),2)+ROUND((ROUND(((AE324-(EU324))*AV324*1),2)*BS324),2))</f>
        <v>0</v>
      </c>
      <c r="CS324">
        <f t="shared" si="296"/>
        <v>0</v>
      </c>
      <c r="CT324">
        <f t="shared" si="297"/>
        <v>0</v>
      </c>
      <c r="CU324">
        <f t="shared" si="298"/>
        <v>0</v>
      </c>
      <c r="CV324">
        <f t="shared" si="299"/>
        <v>0</v>
      </c>
      <c r="CW324">
        <f t="shared" si="300"/>
        <v>0</v>
      </c>
      <c r="CX324">
        <f t="shared" si="301"/>
        <v>0</v>
      </c>
      <c r="CY324">
        <f>S324*(BZ324/100)</f>
        <v>0</v>
      </c>
      <c r="CZ324">
        <f>S324*(CA324/100)</f>
        <v>0</v>
      </c>
      <c r="DC324" t="s">
        <v>3</v>
      </c>
      <c r="DD324" t="s">
        <v>3</v>
      </c>
      <c r="DE324" t="s">
        <v>3</v>
      </c>
      <c r="DF324" t="s">
        <v>3</v>
      </c>
      <c r="DG324" t="s">
        <v>3</v>
      </c>
      <c r="DH324" t="s">
        <v>3</v>
      </c>
      <c r="DI324" t="s">
        <v>3</v>
      </c>
      <c r="DJ324" t="s">
        <v>3</v>
      </c>
      <c r="DK324" t="s">
        <v>3</v>
      </c>
      <c r="DL324" t="s">
        <v>3</v>
      </c>
      <c r="DM324" t="s">
        <v>3</v>
      </c>
      <c r="DN324">
        <v>104</v>
      </c>
      <c r="DO324">
        <v>70</v>
      </c>
      <c r="DP324">
        <v>1</v>
      </c>
      <c r="DQ324">
        <v>1</v>
      </c>
      <c r="DU324">
        <v>1009</v>
      </c>
      <c r="DV324" t="s">
        <v>369</v>
      </c>
      <c r="DW324" t="s">
        <v>369</v>
      </c>
      <c r="DX324">
        <v>1</v>
      </c>
      <c r="DZ324" t="s">
        <v>3</v>
      </c>
      <c r="EA324" t="s">
        <v>3</v>
      </c>
      <c r="EB324" t="s">
        <v>3</v>
      </c>
      <c r="EC324" t="s">
        <v>3</v>
      </c>
      <c r="EE324">
        <v>126052826</v>
      </c>
      <c r="EF324">
        <v>30</v>
      </c>
      <c r="EG324" t="s">
        <v>23</v>
      </c>
      <c r="EH324">
        <v>0</v>
      </c>
      <c r="EI324" t="s">
        <v>3</v>
      </c>
      <c r="EJ324">
        <v>1</v>
      </c>
      <c r="EK324">
        <v>1365</v>
      </c>
      <c r="EL324" t="s">
        <v>435</v>
      </c>
      <c r="EM324" t="s">
        <v>436</v>
      </c>
      <c r="EO324" t="s">
        <v>3</v>
      </c>
      <c r="EQ324">
        <v>0</v>
      </c>
      <c r="ER324">
        <v>53.76</v>
      </c>
      <c r="ES324">
        <v>53.76</v>
      </c>
      <c r="ET324">
        <v>0</v>
      </c>
      <c r="EU324">
        <v>0</v>
      </c>
      <c r="EV324">
        <v>0</v>
      </c>
      <c r="EW324">
        <v>0</v>
      </c>
      <c r="EX324">
        <v>0</v>
      </c>
      <c r="FQ324">
        <v>0</v>
      </c>
      <c r="FR324">
        <f t="shared" si="302"/>
        <v>0</v>
      </c>
      <c r="FS324">
        <v>0</v>
      </c>
      <c r="FX324">
        <v>104</v>
      </c>
      <c r="FY324">
        <v>70</v>
      </c>
      <c r="GA324" t="s">
        <v>3</v>
      </c>
      <c r="GD324">
        <v>0</v>
      </c>
      <c r="GF324">
        <v>-219381173</v>
      </c>
      <c r="GG324">
        <v>2</v>
      </c>
      <c r="GH324">
        <v>1</v>
      </c>
      <c r="GI324">
        <v>2</v>
      </c>
      <c r="GJ324">
        <v>0</v>
      </c>
      <c r="GK324">
        <f>ROUND(R324*(S12)/100,2)</f>
        <v>0</v>
      </c>
      <c r="GL324">
        <f t="shared" si="303"/>
        <v>0</v>
      </c>
      <c r="GM324">
        <f t="shared" si="304"/>
        <v>1042.3499999999999</v>
      </c>
      <c r="GN324">
        <f t="shared" si="305"/>
        <v>1042.3499999999999</v>
      </c>
      <c r="GO324">
        <f t="shared" si="306"/>
        <v>0</v>
      </c>
      <c r="GP324">
        <f t="shared" si="307"/>
        <v>0</v>
      </c>
      <c r="GR324">
        <v>0</v>
      </c>
      <c r="GS324">
        <v>3</v>
      </c>
      <c r="GT324">
        <v>0</v>
      </c>
      <c r="GU324" t="s">
        <v>3</v>
      </c>
      <c r="GV324">
        <f t="shared" si="308"/>
        <v>0</v>
      </c>
      <c r="GW324">
        <v>1</v>
      </c>
      <c r="GX324">
        <f t="shared" si="309"/>
        <v>0</v>
      </c>
      <c r="HA324">
        <v>0</v>
      </c>
      <c r="HB324">
        <v>0</v>
      </c>
      <c r="HC324">
        <f t="shared" si="310"/>
        <v>0</v>
      </c>
      <c r="HE324" t="s">
        <v>3</v>
      </c>
      <c r="HF324" t="s">
        <v>3</v>
      </c>
      <c r="HM324" t="s">
        <v>3</v>
      </c>
      <c r="HN324" t="s">
        <v>3</v>
      </c>
      <c r="HO324" t="s">
        <v>3</v>
      </c>
      <c r="HP324" t="s">
        <v>3</v>
      </c>
      <c r="HQ324" t="s">
        <v>3</v>
      </c>
      <c r="IK324">
        <v>0</v>
      </c>
    </row>
    <row r="325" spans="1:255" x14ac:dyDescent="0.2">
      <c r="A325" s="2">
        <v>18</v>
      </c>
      <c r="B325" s="2">
        <v>1</v>
      </c>
      <c r="C325" s="2">
        <v>363</v>
      </c>
      <c r="D325" s="2"/>
      <c r="E325" s="2" t="s">
        <v>441</v>
      </c>
      <c r="F325" s="2" t="s">
        <v>442</v>
      </c>
      <c r="G325" s="2" t="s">
        <v>443</v>
      </c>
      <c r="H325" s="2" t="s">
        <v>114</v>
      </c>
      <c r="I325" s="2">
        <f>I321*J325</f>
        <v>5.8939999999999992E-2</v>
      </c>
      <c r="J325" s="2">
        <v>0.84199999999999986</v>
      </c>
      <c r="K325" s="2">
        <v>0.84199999999999997</v>
      </c>
      <c r="L325" s="2"/>
      <c r="M325" s="2"/>
      <c r="N325" s="2"/>
      <c r="O325" s="2">
        <f t="shared" si="278"/>
        <v>608.42999999999995</v>
      </c>
      <c r="P325" s="2">
        <f t="shared" si="279"/>
        <v>608.42999999999995</v>
      </c>
      <c r="Q325" s="2">
        <f>(ROUND((ROUND(((ET325)*AV325*I325),2)*BB325),2)+ROUND((ROUND(((AE325-(EU325))*AV325*I325),2)*BS325),2))</f>
        <v>0</v>
      </c>
      <c r="R325" s="2">
        <f t="shared" si="280"/>
        <v>0</v>
      </c>
      <c r="S325" s="2">
        <f t="shared" si="281"/>
        <v>0</v>
      </c>
      <c r="T325" s="2">
        <f t="shared" si="282"/>
        <v>0</v>
      </c>
      <c r="U325" s="2">
        <f t="shared" si="283"/>
        <v>0</v>
      </c>
      <c r="V325" s="2">
        <f t="shared" si="284"/>
        <v>0</v>
      </c>
      <c r="W325" s="2">
        <f t="shared" si="285"/>
        <v>0</v>
      </c>
      <c r="X325" s="2">
        <f t="shared" si="286"/>
        <v>0</v>
      </c>
      <c r="Y325" s="2">
        <f t="shared" si="287"/>
        <v>0</v>
      </c>
      <c r="Z325" s="2"/>
      <c r="AA325" s="2">
        <v>129761636</v>
      </c>
      <c r="AB325" s="2">
        <f t="shared" si="288"/>
        <v>10322.83</v>
      </c>
      <c r="AC325" s="2">
        <f t="shared" si="289"/>
        <v>10322.83</v>
      </c>
      <c r="AD325" s="2">
        <f>ROUND((((ET325)-(EU325))+AE325),6)</f>
        <v>0</v>
      </c>
      <c r="AE325" s="2">
        <f t="shared" si="290"/>
        <v>0</v>
      </c>
      <c r="AF325" s="2">
        <f t="shared" si="290"/>
        <v>0</v>
      </c>
      <c r="AG325" s="2">
        <f t="shared" si="291"/>
        <v>0</v>
      </c>
      <c r="AH325" s="2">
        <f t="shared" si="292"/>
        <v>0</v>
      </c>
      <c r="AI325" s="2">
        <f t="shared" si="292"/>
        <v>0</v>
      </c>
      <c r="AJ325" s="2">
        <f t="shared" si="293"/>
        <v>0</v>
      </c>
      <c r="AK325" s="2">
        <v>10322.83</v>
      </c>
      <c r="AL325" s="2">
        <v>10322.83</v>
      </c>
      <c r="AM325" s="2">
        <v>0</v>
      </c>
      <c r="AN325" s="2">
        <v>0</v>
      </c>
      <c r="AO325" s="2">
        <v>0</v>
      </c>
      <c r="AP325" s="2">
        <v>0</v>
      </c>
      <c r="AQ325" s="2">
        <v>0</v>
      </c>
      <c r="AR325" s="2">
        <v>0</v>
      </c>
      <c r="AS325" s="2">
        <v>0</v>
      </c>
      <c r="AT325" s="2">
        <v>104</v>
      </c>
      <c r="AU325" s="2">
        <v>70</v>
      </c>
      <c r="AV325" s="2">
        <v>1</v>
      </c>
      <c r="AW325" s="2">
        <v>1</v>
      </c>
      <c r="AX325" s="2"/>
      <c r="AY325" s="2"/>
      <c r="AZ325" s="2">
        <v>1</v>
      </c>
      <c r="BA325" s="2">
        <v>1</v>
      </c>
      <c r="BB325" s="2">
        <v>1</v>
      </c>
      <c r="BC325" s="2">
        <v>1</v>
      </c>
      <c r="BD325" s="2" t="s">
        <v>3</v>
      </c>
      <c r="BE325" s="2" t="s">
        <v>3</v>
      </c>
      <c r="BF325" s="2" t="s">
        <v>3</v>
      </c>
      <c r="BG325" s="2" t="s">
        <v>3</v>
      </c>
      <c r="BH325" s="2">
        <v>3</v>
      </c>
      <c r="BI325" s="2">
        <v>1</v>
      </c>
      <c r="BJ325" s="2" t="s">
        <v>444</v>
      </c>
      <c r="BK325" s="2"/>
      <c r="BL325" s="2"/>
      <c r="BM325" s="2">
        <v>1365</v>
      </c>
      <c r="BN325" s="2">
        <v>0</v>
      </c>
      <c r="BO325" s="2" t="s">
        <v>3</v>
      </c>
      <c r="BP325" s="2">
        <v>0</v>
      </c>
      <c r="BQ325" s="2">
        <v>30</v>
      </c>
      <c r="BR325" s="2">
        <v>0</v>
      </c>
      <c r="BS325" s="2">
        <v>1</v>
      </c>
      <c r="BT325" s="2">
        <v>1</v>
      </c>
      <c r="BU325" s="2">
        <v>1</v>
      </c>
      <c r="BV325" s="2">
        <v>1</v>
      </c>
      <c r="BW325" s="2">
        <v>1</v>
      </c>
      <c r="BX325" s="2">
        <v>1</v>
      </c>
      <c r="BY325" s="2" t="s">
        <v>3</v>
      </c>
      <c r="BZ325" s="2">
        <v>104</v>
      </c>
      <c r="CA325" s="2">
        <v>70</v>
      </c>
      <c r="CB325" s="2" t="s">
        <v>3</v>
      </c>
      <c r="CC325" s="2"/>
      <c r="CD325" s="2"/>
      <c r="CE325" s="2">
        <v>30</v>
      </c>
      <c r="CF325" s="2">
        <v>0</v>
      </c>
      <c r="CG325" s="2">
        <v>0</v>
      </c>
      <c r="CH325" s="2"/>
      <c r="CI325" s="2"/>
      <c r="CJ325" s="2"/>
      <c r="CK325" s="2"/>
      <c r="CL325" s="2"/>
      <c r="CM325" s="2">
        <v>0</v>
      </c>
      <c r="CN325" s="2" t="s">
        <v>3</v>
      </c>
      <c r="CO325" s="2">
        <v>0</v>
      </c>
      <c r="CP325" s="2">
        <f t="shared" si="294"/>
        <v>608.42999999999995</v>
      </c>
      <c r="CQ325" s="2">
        <f t="shared" si="295"/>
        <v>10322.83</v>
      </c>
      <c r="CR325" s="2">
        <f>(ROUND((ROUND(((ET325)*AV325*1),2)*BB325),2)+ROUND((ROUND(((AE325-(EU325))*AV325*1),2)*BS325),2))</f>
        <v>0</v>
      </c>
      <c r="CS325" s="2">
        <f t="shared" si="296"/>
        <v>0</v>
      </c>
      <c r="CT325" s="2">
        <f t="shared" si="297"/>
        <v>0</v>
      </c>
      <c r="CU325" s="2">
        <f t="shared" si="298"/>
        <v>0</v>
      </c>
      <c r="CV325" s="2">
        <f t="shared" si="299"/>
        <v>0</v>
      </c>
      <c r="CW325" s="2">
        <f t="shared" si="300"/>
        <v>0</v>
      </c>
      <c r="CX325" s="2">
        <f t="shared" si="301"/>
        <v>0</v>
      </c>
      <c r="CY325" s="2">
        <f>((S325*BZ325)/100)</f>
        <v>0</v>
      </c>
      <c r="CZ325" s="2">
        <f>((S325*CA325)/100)</f>
        <v>0</v>
      </c>
      <c r="DA325" s="2"/>
      <c r="DB325" s="2"/>
      <c r="DC325" s="2" t="s">
        <v>3</v>
      </c>
      <c r="DD325" s="2" t="s">
        <v>3</v>
      </c>
      <c r="DE325" s="2" t="s">
        <v>3</v>
      </c>
      <c r="DF325" s="2" t="s">
        <v>3</v>
      </c>
      <c r="DG325" s="2" t="s">
        <v>3</v>
      </c>
      <c r="DH325" s="2" t="s">
        <v>3</v>
      </c>
      <c r="DI325" s="2" t="s">
        <v>3</v>
      </c>
      <c r="DJ325" s="2" t="s">
        <v>3</v>
      </c>
      <c r="DK325" s="2" t="s">
        <v>3</v>
      </c>
      <c r="DL325" s="2" t="s">
        <v>3</v>
      </c>
      <c r="DM325" s="2" t="s">
        <v>3</v>
      </c>
      <c r="DN325" s="2">
        <v>0</v>
      </c>
      <c r="DO325" s="2">
        <v>0</v>
      </c>
      <c r="DP325" s="2">
        <v>1</v>
      </c>
      <c r="DQ325" s="2">
        <v>1</v>
      </c>
      <c r="DR325" s="2"/>
      <c r="DS325" s="2"/>
      <c r="DT325" s="2"/>
      <c r="DU325" s="2">
        <v>1009</v>
      </c>
      <c r="DV325" s="2" t="s">
        <v>114</v>
      </c>
      <c r="DW325" s="2" t="s">
        <v>114</v>
      </c>
      <c r="DX325" s="2">
        <v>1000</v>
      </c>
      <c r="DY325" s="2"/>
      <c r="DZ325" s="2" t="s">
        <v>3</v>
      </c>
      <c r="EA325" s="2" t="s">
        <v>3</v>
      </c>
      <c r="EB325" s="2" t="s">
        <v>3</v>
      </c>
      <c r="EC325" s="2" t="s">
        <v>3</v>
      </c>
      <c r="ED325" s="2"/>
      <c r="EE325" s="2">
        <v>126052826</v>
      </c>
      <c r="EF325" s="2">
        <v>30</v>
      </c>
      <c r="EG325" s="2" t="s">
        <v>23</v>
      </c>
      <c r="EH325" s="2">
        <v>0</v>
      </c>
      <c r="EI325" s="2" t="s">
        <v>3</v>
      </c>
      <c r="EJ325" s="2">
        <v>1</v>
      </c>
      <c r="EK325" s="2">
        <v>1365</v>
      </c>
      <c r="EL325" s="2" t="s">
        <v>435</v>
      </c>
      <c r="EM325" s="2" t="s">
        <v>436</v>
      </c>
      <c r="EN325" s="2"/>
      <c r="EO325" s="2" t="s">
        <v>3</v>
      </c>
      <c r="EP325" s="2"/>
      <c r="EQ325" s="2">
        <v>0</v>
      </c>
      <c r="ER325" s="2">
        <v>10322.83</v>
      </c>
      <c r="ES325" s="2">
        <v>10322.83</v>
      </c>
      <c r="ET325" s="2">
        <v>0</v>
      </c>
      <c r="EU325" s="2">
        <v>0</v>
      </c>
      <c r="EV325" s="2">
        <v>0</v>
      </c>
      <c r="EW325" s="2">
        <v>0</v>
      </c>
      <c r="EX325" s="2">
        <v>0</v>
      </c>
      <c r="EY325" s="2"/>
      <c r="EZ325" s="2"/>
      <c r="FA325" s="2"/>
      <c r="FB325" s="2"/>
      <c r="FC325" s="2"/>
      <c r="FD325" s="2"/>
      <c r="FE325" s="2"/>
      <c r="FF325" s="2"/>
      <c r="FG325" s="2"/>
      <c r="FH325" s="2"/>
      <c r="FI325" s="2"/>
      <c r="FJ325" s="2"/>
      <c r="FK325" s="2"/>
      <c r="FL325" s="2"/>
      <c r="FM325" s="2"/>
      <c r="FN325" s="2"/>
      <c r="FO325" s="2"/>
      <c r="FP325" s="2"/>
      <c r="FQ325" s="2">
        <v>0</v>
      </c>
      <c r="FR325" s="2">
        <f t="shared" si="302"/>
        <v>0</v>
      </c>
      <c r="FS325" s="2">
        <v>0</v>
      </c>
      <c r="FT325" s="2"/>
      <c r="FU325" s="2"/>
      <c r="FV325" s="2"/>
      <c r="FW325" s="2"/>
      <c r="FX325" s="2">
        <v>104</v>
      </c>
      <c r="FY325" s="2">
        <v>70</v>
      </c>
      <c r="FZ325" s="2"/>
      <c r="GA325" s="2" t="s">
        <v>3</v>
      </c>
      <c r="GB325" s="2"/>
      <c r="GC325" s="2"/>
      <c r="GD325" s="2">
        <v>0</v>
      </c>
      <c r="GE325" s="2"/>
      <c r="GF325" s="2">
        <v>1287606245</v>
      </c>
      <c r="GG325" s="2">
        <v>2</v>
      </c>
      <c r="GH325" s="2">
        <v>1</v>
      </c>
      <c r="GI325" s="2">
        <v>-2</v>
      </c>
      <c r="GJ325" s="2">
        <v>0</v>
      </c>
      <c r="GK325" s="2">
        <f>ROUND(R325*(R12)/100,2)</f>
        <v>0</v>
      </c>
      <c r="GL325" s="2">
        <f t="shared" si="303"/>
        <v>0</v>
      </c>
      <c r="GM325" s="2">
        <f t="shared" si="304"/>
        <v>608.42999999999995</v>
      </c>
      <c r="GN325" s="2">
        <f t="shared" si="305"/>
        <v>608.42999999999995</v>
      </c>
      <c r="GO325" s="2">
        <f t="shared" si="306"/>
        <v>0</v>
      </c>
      <c r="GP325" s="2">
        <f t="shared" si="307"/>
        <v>0</v>
      </c>
      <c r="GQ325" s="2"/>
      <c r="GR325" s="2">
        <v>0</v>
      </c>
      <c r="GS325" s="2">
        <v>0</v>
      </c>
      <c r="GT325" s="2">
        <v>0</v>
      </c>
      <c r="GU325" s="2" t="s">
        <v>3</v>
      </c>
      <c r="GV325" s="2">
        <f t="shared" si="308"/>
        <v>0</v>
      </c>
      <c r="GW325" s="2">
        <v>1</v>
      </c>
      <c r="GX325" s="2">
        <f t="shared" si="309"/>
        <v>0</v>
      </c>
      <c r="GY325" s="2"/>
      <c r="GZ325" s="2"/>
      <c r="HA325" s="2">
        <v>0</v>
      </c>
      <c r="HB325" s="2">
        <v>0</v>
      </c>
      <c r="HC325" s="2">
        <f t="shared" si="310"/>
        <v>0</v>
      </c>
      <c r="HD325" s="2"/>
      <c r="HE325" s="2" t="s">
        <v>3</v>
      </c>
      <c r="HF325" s="2" t="s">
        <v>3</v>
      </c>
      <c r="HG325" s="2"/>
      <c r="HH325" s="2"/>
      <c r="HI325" s="2"/>
      <c r="HJ325" s="2"/>
      <c r="HK325" s="2"/>
      <c r="HL325" s="2"/>
      <c r="HM325" s="2" t="s">
        <v>3</v>
      </c>
      <c r="HN325" s="2" t="s">
        <v>3</v>
      </c>
      <c r="HO325" s="2" t="s">
        <v>3</v>
      </c>
      <c r="HP325" s="2" t="s">
        <v>3</v>
      </c>
      <c r="HQ325" s="2" t="s">
        <v>3</v>
      </c>
      <c r="HR325" s="2"/>
      <c r="HS325" s="2"/>
      <c r="HT325" s="2"/>
      <c r="HU325" s="2"/>
      <c r="HV325" s="2"/>
      <c r="HW325" s="2"/>
      <c r="HX325" s="2"/>
      <c r="HY325" s="2"/>
      <c r="HZ325" s="2"/>
      <c r="IA325" s="2"/>
      <c r="IB325" s="2"/>
      <c r="IC325" s="2"/>
      <c r="ID325" s="2"/>
      <c r="IE325" s="2"/>
      <c r="IF325" s="2"/>
      <c r="IG325" s="2"/>
      <c r="IH325" s="2"/>
      <c r="II325" s="2"/>
      <c r="IJ325" s="2"/>
      <c r="IK325" s="2">
        <v>0</v>
      </c>
      <c r="IL325" s="2"/>
      <c r="IM325" s="2"/>
      <c r="IN325" s="2"/>
      <c r="IO325" s="2"/>
      <c r="IP325" s="2"/>
      <c r="IQ325" s="2"/>
      <c r="IR325" s="2"/>
      <c r="IS325" s="2"/>
      <c r="IT325" s="2"/>
      <c r="IU325" s="2"/>
    </row>
    <row r="326" spans="1:255" x14ac:dyDescent="0.2">
      <c r="A326">
        <v>18</v>
      </c>
      <c r="B326">
        <v>1</v>
      </c>
      <c r="C326">
        <v>372</v>
      </c>
      <c r="E326" t="s">
        <v>441</v>
      </c>
      <c r="F326" t="s">
        <v>442</v>
      </c>
      <c r="G326" t="s">
        <v>443</v>
      </c>
      <c r="H326" t="s">
        <v>114</v>
      </c>
      <c r="I326">
        <f>I322*J326</f>
        <v>5.8939999999999992E-2</v>
      </c>
      <c r="J326">
        <v>0.84199999999999986</v>
      </c>
      <c r="K326">
        <v>0.84199999999999997</v>
      </c>
      <c r="O326">
        <f t="shared" si="278"/>
        <v>2251.19</v>
      </c>
      <c r="P326">
        <f t="shared" si="279"/>
        <v>2251.19</v>
      </c>
      <c r="Q326">
        <f>(ROUND((ROUND(((ET326)*AV326*I326),2)*BB326),2)+ROUND((ROUND(((AE326-(EU326))*AV326*I326),2)*BS326),2))</f>
        <v>0</v>
      </c>
      <c r="R326">
        <f t="shared" si="280"/>
        <v>0</v>
      </c>
      <c r="S326">
        <f t="shared" si="281"/>
        <v>0</v>
      </c>
      <c r="T326">
        <f t="shared" si="282"/>
        <v>0</v>
      </c>
      <c r="U326">
        <f t="shared" si="283"/>
        <v>0</v>
      </c>
      <c r="V326">
        <f t="shared" si="284"/>
        <v>0</v>
      </c>
      <c r="W326">
        <f t="shared" si="285"/>
        <v>0</v>
      </c>
      <c r="X326">
        <f t="shared" si="286"/>
        <v>0</v>
      </c>
      <c r="Y326">
        <f t="shared" si="287"/>
        <v>0</v>
      </c>
      <c r="AA326">
        <v>129761633</v>
      </c>
      <c r="AB326">
        <f t="shared" si="288"/>
        <v>10322.83</v>
      </c>
      <c r="AC326">
        <f t="shared" si="289"/>
        <v>10322.83</v>
      </c>
      <c r="AD326">
        <f>ROUND((((ET326)-(EU326))+AE326),6)</f>
        <v>0</v>
      </c>
      <c r="AE326">
        <f t="shared" si="290"/>
        <v>0</v>
      </c>
      <c r="AF326">
        <f t="shared" si="290"/>
        <v>0</v>
      </c>
      <c r="AG326">
        <f t="shared" si="291"/>
        <v>0</v>
      </c>
      <c r="AH326">
        <f t="shared" si="292"/>
        <v>0</v>
      </c>
      <c r="AI326">
        <f t="shared" si="292"/>
        <v>0</v>
      </c>
      <c r="AJ326">
        <f t="shared" si="293"/>
        <v>0</v>
      </c>
      <c r="AK326">
        <v>10322.83</v>
      </c>
      <c r="AL326">
        <v>10322.83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1</v>
      </c>
      <c r="AW326">
        <v>1</v>
      </c>
      <c r="AZ326">
        <v>1</v>
      </c>
      <c r="BA326">
        <v>1</v>
      </c>
      <c r="BB326">
        <v>1</v>
      </c>
      <c r="BC326">
        <v>3.7</v>
      </c>
      <c r="BD326" t="s">
        <v>3</v>
      </c>
      <c r="BE326" t="s">
        <v>3</v>
      </c>
      <c r="BF326" t="s">
        <v>3</v>
      </c>
      <c r="BG326" t="s">
        <v>3</v>
      </c>
      <c r="BH326">
        <v>3</v>
      </c>
      <c r="BI326">
        <v>1</v>
      </c>
      <c r="BJ326" t="s">
        <v>444</v>
      </c>
      <c r="BM326">
        <v>1365</v>
      </c>
      <c r="BN326">
        <v>0</v>
      </c>
      <c r="BO326" t="s">
        <v>442</v>
      </c>
      <c r="BP326">
        <v>1</v>
      </c>
      <c r="BQ326">
        <v>30</v>
      </c>
      <c r="BR326">
        <v>0</v>
      </c>
      <c r="BS326">
        <v>1</v>
      </c>
      <c r="BT326">
        <v>1</v>
      </c>
      <c r="BU326">
        <v>1</v>
      </c>
      <c r="BV326">
        <v>1</v>
      </c>
      <c r="BW326">
        <v>1</v>
      </c>
      <c r="BX326">
        <v>1</v>
      </c>
      <c r="BY326" t="s">
        <v>3</v>
      </c>
      <c r="BZ326">
        <v>0</v>
      </c>
      <c r="CA326">
        <v>0</v>
      </c>
      <c r="CB326" t="s">
        <v>3</v>
      </c>
      <c r="CE326">
        <v>30</v>
      </c>
      <c r="CF326">
        <v>0</v>
      </c>
      <c r="CG326">
        <v>0</v>
      </c>
      <c r="CM326">
        <v>0</v>
      </c>
      <c r="CN326" t="s">
        <v>3</v>
      </c>
      <c r="CO326">
        <v>0</v>
      </c>
      <c r="CP326">
        <f t="shared" si="294"/>
        <v>2251.19</v>
      </c>
      <c r="CQ326">
        <f t="shared" si="295"/>
        <v>38194.47</v>
      </c>
      <c r="CR326">
        <f>(ROUND((ROUND(((ET326)*AV326*1),2)*BB326),2)+ROUND((ROUND(((AE326-(EU326))*AV326*1),2)*BS326),2))</f>
        <v>0</v>
      </c>
      <c r="CS326">
        <f t="shared" si="296"/>
        <v>0</v>
      </c>
      <c r="CT326">
        <f t="shared" si="297"/>
        <v>0</v>
      </c>
      <c r="CU326">
        <f t="shared" si="298"/>
        <v>0</v>
      </c>
      <c r="CV326">
        <f t="shared" si="299"/>
        <v>0</v>
      </c>
      <c r="CW326">
        <f t="shared" si="300"/>
        <v>0</v>
      </c>
      <c r="CX326">
        <f t="shared" si="301"/>
        <v>0</v>
      </c>
      <c r="CY326">
        <f>S326*(BZ326/100)</f>
        <v>0</v>
      </c>
      <c r="CZ326">
        <f>S326*(CA326/100)</f>
        <v>0</v>
      </c>
      <c r="DC326" t="s">
        <v>3</v>
      </c>
      <c r="DD326" t="s">
        <v>3</v>
      </c>
      <c r="DE326" t="s">
        <v>3</v>
      </c>
      <c r="DF326" t="s">
        <v>3</v>
      </c>
      <c r="DG326" t="s">
        <v>3</v>
      </c>
      <c r="DH326" t="s">
        <v>3</v>
      </c>
      <c r="DI326" t="s">
        <v>3</v>
      </c>
      <c r="DJ326" t="s">
        <v>3</v>
      </c>
      <c r="DK326" t="s">
        <v>3</v>
      </c>
      <c r="DL326" t="s">
        <v>3</v>
      </c>
      <c r="DM326" t="s">
        <v>3</v>
      </c>
      <c r="DN326">
        <v>104</v>
      </c>
      <c r="DO326">
        <v>70</v>
      </c>
      <c r="DP326">
        <v>1</v>
      </c>
      <c r="DQ326">
        <v>1</v>
      </c>
      <c r="DU326">
        <v>1009</v>
      </c>
      <c r="DV326" t="s">
        <v>114</v>
      </c>
      <c r="DW326" t="s">
        <v>114</v>
      </c>
      <c r="DX326">
        <v>1000</v>
      </c>
      <c r="DZ326" t="s">
        <v>3</v>
      </c>
      <c r="EA326" t="s">
        <v>3</v>
      </c>
      <c r="EB326" t="s">
        <v>3</v>
      </c>
      <c r="EC326" t="s">
        <v>3</v>
      </c>
      <c r="EE326">
        <v>126052826</v>
      </c>
      <c r="EF326">
        <v>30</v>
      </c>
      <c r="EG326" t="s">
        <v>23</v>
      </c>
      <c r="EH326">
        <v>0</v>
      </c>
      <c r="EI326" t="s">
        <v>3</v>
      </c>
      <c r="EJ326">
        <v>1</v>
      </c>
      <c r="EK326">
        <v>1365</v>
      </c>
      <c r="EL326" t="s">
        <v>435</v>
      </c>
      <c r="EM326" t="s">
        <v>436</v>
      </c>
      <c r="EO326" t="s">
        <v>3</v>
      </c>
      <c r="EQ326">
        <v>0</v>
      </c>
      <c r="ER326">
        <v>10322.83</v>
      </c>
      <c r="ES326">
        <v>10322.83</v>
      </c>
      <c r="ET326">
        <v>0</v>
      </c>
      <c r="EU326">
        <v>0</v>
      </c>
      <c r="EV326">
        <v>0</v>
      </c>
      <c r="EW326">
        <v>0</v>
      </c>
      <c r="EX326">
        <v>0</v>
      </c>
      <c r="FQ326">
        <v>0</v>
      </c>
      <c r="FR326">
        <f t="shared" si="302"/>
        <v>0</v>
      </c>
      <c r="FS326">
        <v>0</v>
      </c>
      <c r="FX326">
        <v>104</v>
      </c>
      <c r="FY326">
        <v>70</v>
      </c>
      <c r="GA326" t="s">
        <v>3</v>
      </c>
      <c r="GD326">
        <v>0</v>
      </c>
      <c r="GF326">
        <v>1287606245</v>
      </c>
      <c r="GG326">
        <v>2</v>
      </c>
      <c r="GH326">
        <v>1</v>
      </c>
      <c r="GI326">
        <v>2</v>
      </c>
      <c r="GJ326">
        <v>0</v>
      </c>
      <c r="GK326">
        <f>ROUND(R326*(S12)/100,2)</f>
        <v>0</v>
      </c>
      <c r="GL326">
        <f t="shared" si="303"/>
        <v>0</v>
      </c>
      <c r="GM326">
        <f t="shared" si="304"/>
        <v>2251.19</v>
      </c>
      <c r="GN326">
        <f t="shared" si="305"/>
        <v>2251.19</v>
      </c>
      <c r="GO326">
        <f t="shared" si="306"/>
        <v>0</v>
      </c>
      <c r="GP326">
        <f t="shared" si="307"/>
        <v>0</v>
      </c>
      <c r="GR326">
        <v>0</v>
      </c>
      <c r="GS326">
        <v>3</v>
      </c>
      <c r="GT326">
        <v>0</v>
      </c>
      <c r="GU326" t="s">
        <v>3</v>
      </c>
      <c r="GV326">
        <f t="shared" si="308"/>
        <v>0</v>
      </c>
      <c r="GW326">
        <v>1</v>
      </c>
      <c r="GX326">
        <f t="shared" si="309"/>
        <v>0</v>
      </c>
      <c r="HA326">
        <v>0</v>
      </c>
      <c r="HB326">
        <v>0</v>
      </c>
      <c r="HC326">
        <f t="shared" si="310"/>
        <v>0</v>
      </c>
      <c r="HE326" t="s">
        <v>3</v>
      </c>
      <c r="HF326" t="s">
        <v>3</v>
      </c>
      <c r="HM326" t="s">
        <v>3</v>
      </c>
      <c r="HN326" t="s">
        <v>3</v>
      </c>
      <c r="HO326" t="s">
        <v>3</v>
      </c>
      <c r="HP326" t="s">
        <v>3</v>
      </c>
      <c r="HQ326" t="s">
        <v>3</v>
      </c>
      <c r="IK326">
        <v>0</v>
      </c>
    </row>
    <row r="327" spans="1:255" x14ac:dyDescent="0.2">
      <c r="A327" s="2">
        <v>17</v>
      </c>
      <c r="B327" s="2">
        <v>1</v>
      </c>
      <c r="C327" s="2">
        <f>ROW(SmtRes!A382)</f>
        <v>382</v>
      </c>
      <c r="D327" s="2">
        <f>ROW(EtalonRes!A385)</f>
        <v>385</v>
      </c>
      <c r="E327" s="2" t="s">
        <v>445</v>
      </c>
      <c r="F327" s="2" t="s">
        <v>398</v>
      </c>
      <c r="G327" s="2" t="s">
        <v>399</v>
      </c>
      <c r="H327" s="2" t="s">
        <v>400</v>
      </c>
      <c r="I327" s="2">
        <v>7.0000000000000007E-2</v>
      </c>
      <c r="J327" s="2">
        <v>0</v>
      </c>
      <c r="K327" s="2">
        <v>7.0000000000000007E-2</v>
      </c>
      <c r="L327" s="2"/>
      <c r="M327" s="2"/>
      <c r="N327" s="2"/>
      <c r="O327" s="2">
        <f t="shared" si="278"/>
        <v>137.16</v>
      </c>
      <c r="P327" s="2">
        <f t="shared" si="279"/>
        <v>48.98</v>
      </c>
      <c r="Q327" s="2">
        <f>(ROUND((ROUND((((ET327*1.25))*AV327*I327),2)*BB327),2)+ROUND((ROUND(((AE327-((EU327*1.25)))*AV327*I327),2)*BS327),2))</f>
        <v>8.73</v>
      </c>
      <c r="R327" s="2">
        <f t="shared" si="280"/>
        <v>1.0900000000000001</v>
      </c>
      <c r="S327" s="2">
        <f t="shared" si="281"/>
        <v>79.45</v>
      </c>
      <c r="T327" s="2">
        <f t="shared" si="282"/>
        <v>0</v>
      </c>
      <c r="U327" s="2">
        <f t="shared" si="283"/>
        <v>6.76844</v>
      </c>
      <c r="V327" s="2">
        <f t="shared" si="284"/>
        <v>0</v>
      </c>
      <c r="W327" s="2">
        <f t="shared" si="285"/>
        <v>0</v>
      </c>
      <c r="X327" s="2">
        <f t="shared" si="286"/>
        <v>82.63</v>
      </c>
      <c r="Y327" s="2">
        <f t="shared" si="287"/>
        <v>55.62</v>
      </c>
      <c r="Z327" s="2"/>
      <c r="AA327" s="2">
        <v>129761636</v>
      </c>
      <c r="AB327" s="2">
        <f t="shared" si="288"/>
        <v>1959.5195000000001</v>
      </c>
      <c r="AC327" s="2">
        <f t="shared" si="289"/>
        <v>699.78</v>
      </c>
      <c r="AD327" s="2">
        <f>ROUND(((((ET327*1.25))-((EU327*1.25)))+AE327),6)</f>
        <v>124.71250000000001</v>
      </c>
      <c r="AE327" s="2">
        <f>ROUND(((EU327*1.25)),6)</f>
        <v>15.637499999999999</v>
      </c>
      <c r="AF327" s="2">
        <f>ROUND(((EV327*1.15)),6)</f>
        <v>1135.027</v>
      </c>
      <c r="AG327" s="2">
        <f t="shared" si="291"/>
        <v>0</v>
      </c>
      <c r="AH327" s="2">
        <f>((EW327*1.15))</f>
        <v>96.691999999999993</v>
      </c>
      <c r="AI327" s="2">
        <f>((EX327*1.25))</f>
        <v>0</v>
      </c>
      <c r="AJ327" s="2">
        <f t="shared" si="293"/>
        <v>0</v>
      </c>
      <c r="AK327" s="2">
        <v>1786.53</v>
      </c>
      <c r="AL327" s="2">
        <v>699.78</v>
      </c>
      <c r="AM327" s="2">
        <v>99.77</v>
      </c>
      <c r="AN327" s="2">
        <v>12.51</v>
      </c>
      <c r="AO327" s="2">
        <v>986.98</v>
      </c>
      <c r="AP327" s="2">
        <v>0</v>
      </c>
      <c r="AQ327" s="2">
        <v>84.08</v>
      </c>
      <c r="AR327" s="2">
        <v>0</v>
      </c>
      <c r="AS327" s="2">
        <v>0</v>
      </c>
      <c r="AT327" s="2">
        <v>104</v>
      </c>
      <c r="AU327" s="2">
        <v>70</v>
      </c>
      <c r="AV327" s="2">
        <v>1</v>
      </c>
      <c r="AW327" s="2">
        <v>1</v>
      </c>
      <c r="AX327" s="2"/>
      <c r="AY327" s="2"/>
      <c r="AZ327" s="2">
        <v>1</v>
      </c>
      <c r="BA327" s="2">
        <v>1</v>
      </c>
      <c r="BB327" s="2">
        <v>1</v>
      </c>
      <c r="BC327" s="2">
        <v>1</v>
      </c>
      <c r="BD327" s="2" t="s">
        <v>3</v>
      </c>
      <c r="BE327" s="2" t="s">
        <v>3</v>
      </c>
      <c r="BF327" s="2" t="s">
        <v>3</v>
      </c>
      <c r="BG327" s="2" t="s">
        <v>3</v>
      </c>
      <c r="BH327" s="2">
        <v>0</v>
      </c>
      <c r="BI327" s="2">
        <v>1</v>
      </c>
      <c r="BJ327" s="2" t="s">
        <v>401</v>
      </c>
      <c r="BK327" s="2"/>
      <c r="BL327" s="2"/>
      <c r="BM327" s="2">
        <v>92</v>
      </c>
      <c r="BN327" s="2">
        <v>0</v>
      </c>
      <c r="BO327" s="2" t="s">
        <v>3</v>
      </c>
      <c r="BP327" s="2">
        <v>0</v>
      </c>
      <c r="BQ327" s="2">
        <v>30</v>
      </c>
      <c r="BR327" s="2">
        <v>0</v>
      </c>
      <c r="BS327" s="2">
        <v>1</v>
      </c>
      <c r="BT327" s="2">
        <v>1</v>
      </c>
      <c r="BU327" s="2">
        <v>1</v>
      </c>
      <c r="BV327" s="2">
        <v>1</v>
      </c>
      <c r="BW327" s="2">
        <v>1</v>
      </c>
      <c r="BX327" s="2">
        <v>1</v>
      </c>
      <c r="BY327" s="2" t="s">
        <v>3</v>
      </c>
      <c r="BZ327" s="2">
        <v>104</v>
      </c>
      <c r="CA327" s="2">
        <v>70</v>
      </c>
      <c r="CB327" s="2" t="s">
        <v>3</v>
      </c>
      <c r="CC327" s="2"/>
      <c r="CD327" s="2"/>
      <c r="CE327" s="2">
        <v>30</v>
      </c>
      <c r="CF327" s="2">
        <v>0</v>
      </c>
      <c r="CG327" s="2">
        <v>0</v>
      </c>
      <c r="CH327" s="2"/>
      <c r="CI327" s="2"/>
      <c r="CJ327" s="2"/>
      <c r="CK327" s="2"/>
      <c r="CL327" s="2"/>
      <c r="CM327" s="2">
        <v>0</v>
      </c>
      <c r="CN327" s="2" t="s">
        <v>1559</v>
      </c>
      <c r="CO327" s="2">
        <v>0</v>
      </c>
      <c r="CP327" s="2">
        <f t="shared" si="294"/>
        <v>137.16</v>
      </c>
      <c r="CQ327" s="2">
        <f t="shared" si="295"/>
        <v>699.78</v>
      </c>
      <c r="CR327" s="2">
        <f>(ROUND((ROUND((((ET327*1.25))*AV327*1),2)*BB327),2)+ROUND((ROUND(((AE327-((EU327*1.25)))*AV327*1),2)*BS327),2))</f>
        <v>124.71</v>
      </c>
      <c r="CS327" s="2">
        <f t="shared" si="296"/>
        <v>15.64</v>
      </c>
      <c r="CT327" s="2">
        <f t="shared" si="297"/>
        <v>1135.03</v>
      </c>
      <c r="CU327" s="2">
        <f t="shared" si="298"/>
        <v>0</v>
      </c>
      <c r="CV327" s="2">
        <f t="shared" si="299"/>
        <v>96.691999999999993</v>
      </c>
      <c r="CW327" s="2">
        <f t="shared" si="300"/>
        <v>0</v>
      </c>
      <c r="CX327" s="2">
        <f t="shared" si="301"/>
        <v>0</v>
      </c>
      <c r="CY327" s="2">
        <f>((S327*BZ327)/100)</f>
        <v>82.628000000000014</v>
      </c>
      <c r="CZ327" s="2">
        <f>((S327*CA327)/100)</f>
        <v>55.615000000000002</v>
      </c>
      <c r="DA327" s="2"/>
      <c r="DB327" s="2"/>
      <c r="DC327" s="2" t="s">
        <v>3</v>
      </c>
      <c r="DD327" s="2" t="s">
        <v>3</v>
      </c>
      <c r="DE327" s="2" t="s">
        <v>86</v>
      </c>
      <c r="DF327" s="2" t="s">
        <v>86</v>
      </c>
      <c r="DG327" s="2" t="s">
        <v>87</v>
      </c>
      <c r="DH327" s="2" t="s">
        <v>3</v>
      </c>
      <c r="DI327" s="2" t="s">
        <v>87</v>
      </c>
      <c r="DJ327" s="2" t="s">
        <v>86</v>
      </c>
      <c r="DK327" s="2" t="s">
        <v>3</v>
      </c>
      <c r="DL327" s="2" t="s">
        <v>3</v>
      </c>
      <c r="DM327" s="2" t="s">
        <v>3</v>
      </c>
      <c r="DN327" s="2">
        <v>0</v>
      </c>
      <c r="DO327" s="2">
        <v>0</v>
      </c>
      <c r="DP327" s="2">
        <v>1</v>
      </c>
      <c r="DQ327" s="2">
        <v>1</v>
      </c>
      <c r="DR327" s="2"/>
      <c r="DS327" s="2"/>
      <c r="DT327" s="2"/>
      <c r="DU327" s="2">
        <v>1013</v>
      </c>
      <c r="DV327" s="2" t="s">
        <v>400</v>
      </c>
      <c r="DW327" s="2" t="s">
        <v>400</v>
      </c>
      <c r="DX327" s="2">
        <v>1</v>
      </c>
      <c r="DY327" s="2"/>
      <c r="DZ327" s="2" t="s">
        <v>3</v>
      </c>
      <c r="EA327" s="2" t="s">
        <v>3</v>
      </c>
      <c r="EB327" s="2" t="s">
        <v>3</v>
      </c>
      <c r="EC327" s="2" t="s">
        <v>3</v>
      </c>
      <c r="ED327" s="2"/>
      <c r="EE327" s="2">
        <v>126051553</v>
      </c>
      <c r="EF327" s="2">
        <v>30</v>
      </c>
      <c r="EG327" s="2" t="s">
        <v>23</v>
      </c>
      <c r="EH327" s="2">
        <v>0</v>
      </c>
      <c r="EI327" s="2" t="s">
        <v>3</v>
      </c>
      <c r="EJ327" s="2">
        <v>1</v>
      </c>
      <c r="EK327" s="2">
        <v>92</v>
      </c>
      <c r="EL327" s="2" t="s">
        <v>402</v>
      </c>
      <c r="EM327" s="2" t="s">
        <v>403</v>
      </c>
      <c r="EN327" s="2"/>
      <c r="EO327" s="2" t="s">
        <v>90</v>
      </c>
      <c r="EP327" s="2"/>
      <c r="EQ327" s="2">
        <v>131072</v>
      </c>
      <c r="ER327" s="2">
        <v>1786.53</v>
      </c>
      <c r="ES327" s="2">
        <v>699.78</v>
      </c>
      <c r="ET327" s="2">
        <v>99.77</v>
      </c>
      <c r="EU327" s="2">
        <v>12.51</v>
      </c>
      <c r="EV327" s="2">
        <v>986.98</v>
      </c>
      <c r="EW327" s="2">
        <v>84.08</v>
      </c>
      <c r="EX327" s="2">
        <v>0</v>
      </c>
      <c r="EY327" s="2">
        <v>0</v>
      </c>
      <c r="EZ327" s="2"/>
      <c r="FA327" s="2"/>
      <c r="FB327" s="2"/>
      <c r="FC327" s="2"/>
      <c r="FD327" s="2"/>
      <c r="FE327" s="2"/>
      <c r="FF327" s="2"/>
      <c r="FG327" s="2"/>
      <c r="FH327" s="2"/>
      <c r="FI327" s="2"/>
      <c r="FJ327" s="2"/>
      <c r="FK327" s="2"/>
      <c r="FL327" s="2"/>
      <c r="FM327" s="2"/>
      <c r="FN327" s="2"/>
      <c r="FO327" s="2"/>
      <c r="FP327" s="2"/>
      <c r="FQ327" s="2">
        <v>0</v>
      </c>
      <c r="FR327" s="2">
        <f t="shared" si="302"/>
        <v>0</v>
      </c>
      <c r="FS327" s="2">
        <v>0</v>
      </c>
      <c r="FT327" s="2"/>
      <c r="FU327" s="2"/>
      <c r="FV327" s="2"/>
      <c r="FW327" s="2"/>
      <c r="FX327" s="2">
        <v>104</v>
      </c>
      <c r="FY327" s="2">
        <v>70</v>
      </c>
      <c r="FZ327" s="2"/>
      <c r="GA327" s="2" t="s">
        <v>3</v>
      </c>
      <c r="GB327" s="2"/>
      <c r="GC327" s="2"/>
      <c r="GD327" s="2">
        <v>0</v>
      </c>
      <c r="GE327" s="2"/>
      <c r="GF327" s="2">
        <v>1813605207</v>
      </c>
      <c r="GG327" s="2">
        <v>2</v>
      </c>
      <c r="GH327" s="2">
        <v>1</v>
      </c>
      <c r="GI327" s="2">
        <v>-2</v>
      </c>
      <c r="GJ327" s="2">
        <v>0</v>
      </c>
      <c r="GK327" s="2">
        <f>ROUND(R327*(R12)/100,2)</f>
        <v>1.91</v>
      </c>
      <c r="GL327" s="2">
        <f t="shared" si="303"/>
        <v>0</v>
      </c>
      <c r="GM327" s="2">
        <f t="shared" si="304"/>
        <v>277.32</v>
      </c>
      <c r="GN327" s="2">
        <f t="shared" si="305"/>
        <v>277.32</v>
      </c>
      <c r="GO327" s="2">
        <f t="shared" si="306"/>
        <v>0</v>
      </c>
      <c r="GP327" s="2">
        <f t="shared" si="307"/>
        <v>0</v>
      </c>
      <c r="GQ327" s="2"/>
      <c r="GR327" s="2">
        <v>0</v>
      </c>
      <c r="GS327" s="2">
        <v>0</v>
      </c>
      <c r="GT327" s="2">
        <v>0</v>
      </c>
      <c r="GU327" s="2" t="s">
        <v>3</v>
      </c>
      <c r="GV327" s="2">
        <f t="shared" si="308"/>
        <v>0</v>
      </c>
      <c r="GW327" s="2">
        <v>1</v>
      </c>
      <c r="GX327" s="2">
        <f t="shared" si="309"/>
        <v>0</v>
      </c>
      <c r="GY327" s="2"/>
      <c r="GZ327" s="2"/>
      <c r="HA327" s="2">
        <v>0</v>
      </c>
      <c r="HB327" s="2">
        <v>0</v>
      </c>
      <c r="HC327" s="2">
        <f t="shared" si="310"/>
        <v>0</v>
      </c>
      <c r="HD327" s="2"/>
      <c r="HE327" s="2" t="s">
        <v>3</v>
      </c>
      <c r="HF327" s="2" t="s">
        <v>3</v>
      </c>
      <c r="HG327" s="2"/>
      <c r="HH327" s="2"/>
      <c r="HI327" s="2"/>
      <c r="HJ327" s="2"/>
      <c r="HK327" s="2"/>
      <c r="HL327" s="2"/>
      <c r="HM327" s="2" t="s">
        <v>3</v>
      </c>
      <c r="HN327" s="2" t="s">
        <v>3</v>
      </c>
      <c r="HO327" s="2" t="s">
        <v>3</v>
      </c>
      <c r="HP327" s="2" t="s">
        <v>3</v>
      </c>
      <c r="HQ327" s="2" t="s">
        <v>3</v>
      </c>
      <c r="HR327" s="2"/>
      <c r="HS327" s="2"/>
      <c r="HT327" s="2"/>
      <c r="HU327" s="2"/>
      <c r="HV327" s="2"/>
      <c r="HW327" s="2"/>
      <c r="HX327" s="2"/>
      <c r="HY327" s="2"/>
      <c r="HZ327" s="2"/>
      <c r="IA327" s="2"/>
      <c r="IB327" s="2"/>
      <c r="IC327" s="2"/>
      <c r="ID327" s="2"/>
      <c r="IE327" s="2"/>
      <c r="IF327" s="2"/>
      <c r="IG327" s="2"/>
      <c r="IH327" s="2"/>
      <c r="II327" s="2"/>
      <c r="IJ327" s="2"/>
      <c r="IK327" s="2">
        <v>0</v>
      </c>
      <c r="IL327" s="2"/>
      <c r="IM327" s="2"/>
      <c r="IN327" s="2"/>
      <c r="IO327" s="2"/>
      <c r="IP327" s="2"/>
      <c r="IQ327" s="2"/>
      <c r="IR327" s="2"/>
      <c r="IS327" s="2"/>
      <c r="IT327" s="2"/>
      <c r="IU327" s="2"/>
    </row>
    <row r="328" spans="1:255" x14ac:dyDescent="0.2">
      <c r="A328">
        <v>17</v>
      </c>
      <c r="B328">
        <v>1</v>
      </c>
      <c r="C328">
        <f>ROW(SmtRes!A392)</f>
        <v>392</v>
      </c>
      <c r="D328">
        <f>ROW(EtalonRes!A394)</f>
        <v>394</v>
      </c>
      <c r="E328" t="s">
        <v>445</v>
      </c>
      <c r="F328" t="s">
        <v>398</v>
      </c>
      <c r="G328" t="s">
        <v>399</v>
      </c>
      <c r="H328" t="s">
        <v>400</v>
      </c>
      <c r="I328">
        <v>7.0000000000000007E-2</v>
      </c>
      <c r="J328">
        <v>0</v>
      </c>
      <c r="K328">
        <v>7.0000000000000007E-2</v>
      </c>
      <c r="O328">
        <f t="shared" si="278"/>
        <v>2568.6799999999998</v>
      </c>
      <c r="P328">
        <f t="shared" si="279"/>
        <v>157.22999999999999</v>
      </c>
      <c r="Q328">
        <f>(ROUND((ROUND((((ET328*1.25))*AV328*I328),2)*BB328),2)+ROUND((ROUND(((AE328-((EU328*1.25)))*AV328*I328),2)*BS328),2))</f>
        <v>105.02</v>
      </c>
      <c r="R328">
        <f t="shared" si="280"/>
        <v>31.64</v>
      </c>
      <c r="S328">
        <f t="shared" si="281"/>
        <v>2306.4299999999998</v>
      </c>
      <c r="T328">
        <f t="shared" si="282"/>
        <v>0</v>
      </c>
      <c r="U328">
        <f t="shared" si="283"/>
        <v>6.76844</v>
      </c>
      <c r="V328">
        <f t="shared" si="284"/>
        <v>0</v>
      </c>
      <c r="W328">
        <f t="shared" si="285"/>
        <v>0</v>
      </c>
      <c r="X328">
        <f t="shared" si="286"/>
        <v>2006.59</v>
      </c>
      <c r="Y328">
        <f t="shared" si="287"/>
        <v>945.64</v>
      </c>
      <c r="AA328">
        <v>129761633</v>
      </c>
      <c r="AB328">
        <f t="shared" si="288"/>
        <v>1959.5195000000001</v>
      </c>
      <c r="AC328">
        <f t="shared" si="289"/>
        <v>699.78</v>
      </c>
      <c r="AD328">
        <f>ROUND(((((ET328*1.25))-((EU328*1.25)))+AE328),6)</f>
        <v>124.71250000000001</v>
      </c>
      <c r="AE328">
        <f>ROUND(((EU328*1.25)),6)</f>
        <v>15.637499999999999</v>
      </c>
      <c r="AF328">
        <f>ROUND(((EV328*1.15)),6)</f>
        <v>1135.027</v>
      </c>
      <c r="AG328">
        <f t="shared" si="291"/>
        <v>0</v>
      </c>
      <c r="AH328">
        <f>((EW328*1.15))</f>
        <v>96.691999999999993</v>
      </c>
      <c r="AI328">
        <f>((EX328*1.25))</f>
        <v>0</v>
      </c>
      <c r="AJ328">
        <f t="shared" si="293"/>
        <v>0</v>
      </c>
      <c r="AK328">
        <v>1786.53</v>
      </c>
      <c r="AL328">
        <v>699.78</v>
      </c>
      <c r="AM328">
        <v>99.77</v>
      </c>
      <c r="AN328">
        <v>12.51</v>
      </c>
      <c r="AO328">
        <v>986.98</v>
      </c>
      <c r="AP328">
        <v>0</v>
      </c>
      <c r="AQ328">
        <v>84.08</v>
      </c>
      <c r="AR328">
        <v>0</v>
      </c>
      <c r="AS328">
        <v>0</v>
      </c>
      <c r="AT328">
        <v>87</v>
      </c>
      <c r="AU328">
        <v>41</v>
      </c>
      <c r="AV328">
        <v>1</v>
      </c>
      <c r="AW328">
        <v>1</v>
      </c>
      <c r="AZ328">
        <v>1</v>
      </c>
      <c r="BA328">
        <v>29.03</v>
      </c>
      <c r="BB328">
        <v>12.03</v>
      </c>
      <c r="BC328">
        <v>3.21</v>
      </c>
      <c r="BD328" t="s">
        <v>3</v>
      </c>
      <c r="BE328" t="s">
        <v>3</v>
      </c>
      <c r="BF328" t="s">
        <v>3</v>
      </c>
      <c r="BG328" t="s">
        <v>3</v>
      </c>
      <c r="BH328">
        <v>0</v>
      </c>
      <c r="BI328">
        <v>1</v>
      </c>
      <c r="BJ328" t="s">
        <v>401</v>
      </c>
      <c r="BM328">
        <v>92</v>
      </c>
      <c r="BN328">
        <v>0</v>
      </c>
      <c r="BO328" t="s">
        <v>398</v>
      </c>
      <c r="BP328">
        <v>1</v>
      </c>
      <c r="BQ328">
        <v>30</v>
      </c>
      <c r="BR328">
        <v>0</v>
      </c>
      <c r="BS328">
        <v>29.03</v>
      </c>
      <c r="BT328">
        <v>1</v>
      </c>
      <c r="BU328">
        <v>1</v>
      </c>
      <c r="BV328">
        <v>1</v>
      </c>
      <c r="BW328">
        <v>1</v>
      </c>
      <c r="BX328">
        <v>1</v>
      </c>
      <c r="BY328" t="s">
        <v>3</v>
      </c>
      <c r="BZ328">
        <v>87</v>
      </c>
      <c r="CA328">
        <v>41</v>
      </c>
      <c r="CB328" t="s">
        <v>3</v>
      </c>
      <c r="CE328">
        <v>30</v>
      </c>
      <c r="CF328">
        <v>0</v>
      </c>
      <c r="CG328">
        <v>0</v>
      </c>
      <c r="CM328">
        <v>0</v>
      </c>
      <c r="CN328" t="s">
        <v>1559</v>
      </c>
      <c r="CO328">
        <v>0</v>
      </c>
      <c r="CP328">
        <f t="shared" si="294"/>
        <v>2568.6799999999998</v>
      </c>
      <c r="CQ328">
        <f t="shared" si="295"/>
        <v>2246.29</v>
      </c>
      <c r="CR328">
        <f>(ROUND((ROUND((((ET328*1.25))*AV328*1),2)*BB328),2)+ROUND((ROUND(((AE328-((EU328*1.25)))*AV328*1),2)*BS328),2))</f>
        <v>1500.26</v>
      </c>
      <c r="CS328">
        <f t="shared" si="296"/>
        <v>454.03</v>
      </c>
      <c r="CT328">
        <f t="shared" si="297"/>
        <v>32949.919999999998</v>
      </c>
      <c r="CU328">
        <f t="shared" si="298"/>
        <v>0</v>
      </c>
      <c r="CV328">
        <f t="shared" si="299"/>
        <v>96.691999999999993</v>
      </c>
      <c r="CW328">
        <f t="shared" si="300"/>
        <v>0</v>
      </c>
      <c r="CX328">
        <f t="shared" si="301"/>
        <v>0</v>
      </c>
      <c r="CY328">
        <f>S328*(BZ328/100)</f>
        <v>2006.5940999999998</v>
      </c>
      <c r="CZ328">
        <f>S328*(CA328/100)</f>
        <v>945.63629999999989</v>
      </c>
      <c r="DC328" t="s">
        <v>3</v>
      </c>
      <c r="DD328" t="s">
        <v>3</v>
      </c>
      <c r="DE328" t="s">
        <v>86</v>
      </c>
      <c r="DF328" t="s">
        <v>86</v>
      </c>
      <c r="DG328" t="s">
        <v>87</v>
      </c>
      <c r="DH328" t="s">
        <v>3</v>
      </c>
      <c r="DI328" t="s">
        <v>87</v>
      </c>
      <c r="DJ328" t="s">
        <v>86</v>
      </c>
      <c r="DK328" t="s">
        <v>3</v>
      </c>
      <c r="DL328" t="s">
        <v>3</v>
      </c>
      <c r="DM328" t="s">
        <v>3</v>
      </c>
      <c r="DN328">
        <v>104</v>
      </c>
      <c r="DO328">
        <v>70</v>
      </c>
      <c r="DP328">
        <v>1</v>
      </c>
      <c r="DQ328">
        <v>1</v>
      </c>
      <c r="DU328">
        <v>1013</v>
      </c>
      <c r="DV328" t="s">
        <v>400</v>
      </c>
      <c r="DW328" t="s">
        <v>400</v>
      </c>
      <c r="DX328">
        <v>1</v>
      </c>
      <c r="DZ328" t="s">
        <v>3</v>
      </c>
      <c r="EA328" t="s">
        <v>3</v>
      </c>
      <c r="EB328" t="s">
        <v>3</v>
      </c>
      <c r="EC328" t="s">
        <v>3</v>
      </c>
      <c r="EE328">
        <v>126051553</v>
      </c>
      <c r="EF328">
        <v>30</v>
      </c>
      <c r="EG328" t="s">
        <v>23</v>
      </c>
      <c r="EH328">
        <v>0</v>
      </c>
      <c r="EI328" t="s">
        <v>3</v>
      </c>
      <c r="EJ328">
        <v>1</v>
      </c>
      <c r="EK328">
        <v>92</v>
      </c>
      <c r="EL328" t="s">
        <v>402</v>
      </c>
      <c r="EM328" t="s">
        <v>403</v>
      </c>
      <c r="EO328" t="s">
        <v>90</v>
      </c>
      <c r="EQ328">
        <v>131072</v>
      </c>
      <c r="ER328">
        <v>1786.53</v>
      </c>
      <c r="ES328">
        <v>699.78</v>
      </c>
      <c r="ET328">
        <v>99.77</v>
      </c>
      <c r="EU328">
        <v>12.51</v>
      </c>
      <c r="EV328">
        <v>986.98</v>
      </c>
      <c r="EW328">
        <v>84.08</v>
      </c>
      <c r="EX328">
        <v>0</v>
      </c>
      <c r="EY328">
        <v>0</v>
      </c>
      <c r="FQ328">
        <v>0</v>
      </c>
      <c r="FR328">
        <f t="shared" si="302"/>
        <v>0</v>
      </c>
      <c r="FS328">
        <v>0</v>
      </c>
      <c r="FX328">
        <v>104</v>
      </c>
      <c r="FY328">
        <v>70</v>
      </c>
      <c r="GA328" t="s">
        <v>3</v>
      </c>
      <c r="GD328">
        <v>0</v>
      </c>
      <c r="GF328">
        <v>1813605207</v>
      </c>
      <c r="GG328">
        <v>2</v>
      </c>
      <c r="GH328">
        <v>1</v>
      </c>
      <c r="GI328">
        <v>2</v>
      </c>
      <c r="GJ328">
        <v>0</v>
      </c>
      <c r="GK328">
        <f>ROUND(R328*(S12)/100,2)</f>
        <v>50.62</v>
      </c>
      <c r="GL328">
        <f t="shared" si="303"/>
        <v>0</v>
      </c>
      <c r="GM328">
        <f t="shared" si="304"/>
        <v>5571.53</v>
      </c>
      <c r="GN328">
        <f t="shared" si="305"/>
        <v>5571.53</v>
      </c>
      <c r="GO328">
        <f t="shared" si="306"/>
        <v>0</v>
      </c>
      <c r="GP328">
        <f t="shared" si="307"/>
        <v>0</v>
      </c>
      <c r="GR328">
        <v>0</v>
      </c>
      <c r="GS328">
        <v>3</v>
      </c>
      <c r="GT328">
        <v>0</v>
      </c>
      <c r="GU328" t="s">
        <v>3</v>
      </c>
      <c r="GV328">
        <f t="shared" si="308"/>
        <v>0</v>
      </c>
      <c r="GW328">
        <v>1</v>
      </c>
      <c r="GX328">
        <f t="shared" si="309"/>
        <v>0</v>
      </c>
      <c r="HA328">
        <v>0</v>
      </c>
      <c r="HB328">
        <v>0</v>
      </c>
      <c r="HC328">
        <f t="shared" si="310"/>
        <v>0</v>
      </c>
      <c r="HE328" t="s">
        <v>3</v>
      </c>
      <c r="HF328" t="s">
        <v>3</v>
      </c>
      <c r="HM328" t="s">
        <v>3</v>
      </c>
      <c r="HN328" t="s">
        <v>3</v>
      </c>
      <c r="HO328" t="s">
        <v>3</v>
      </c>
      <c r="HP328" t="s">
        <v>3</v>
      </c>
      <c r="HQ328" t="s">
        <v>3</v>
      </c>
      <c r="IK328">
        <v>0</v>
      </c>
    </row>
    <row r="329" spans="1:255" x14ac:dyDescent="0.2">
      <c r="A329" s="2">
        <v>18</v>
      </c>
      <c r="B329" s="2">
        <v>1</v>
      </c>
      <c r="C329" s="2">
        <v>381</v>
      </c>
      <c r="D329" s="2"/>
      <c r="E329" s="2" t="s">
        <v>446</v>
      </c>
      <c r="F329" s="2" t="s">
        <v>405</v>
      </c>
      <c r="G329" s="2" t="s">
        <v>406</v>
      </c>
      <c r="H329" s="2" t="s">
        <v>114</v>
      </c>
      <c r="I329" s="2">
        <f>I327*J329</f>
        <v>7.0000000000000001E-3</v>
      </c>
      <c r="J329" s="2">
        <v>9.9999999999999992E-2</v>
      </c>
      <c r="K329" s="2">
        <v>0.1</v>
      </c>
      <c r="L329" s="2"/>
      <c r="M329" s="2"/>
      <c r="N329" s="2"/>
      <c r="O329" s="2">
        <f t="shared" si="278"/>
        <v>191.54</v>
      </c>
      <c r="P329" s="2">
        <f t="shared" si="279"/>
        <v>191.54</v>
      </c>
      <c r="Q329" s="2">
        <f t="shared" ref="Q329:Q346" si="311">(ROUND((ROUND(((ET329)*AV329*I329),2)*BB329),2)+ROUND((ROUND(((AE329-(EU329))*AV329*I329),2)*BS329),2))</f>
        <v>0</v>
      </c>
      <c r="R329" s="2">
        <f t="shared" si="280"/>
        <v>0</v>
      </c>
      <c r="S329" s="2">
        <f t="shared" si="281"/>
        <v>0</v>
      </c>
      <c r="T329" s="2">
        <f t="shared" si="282"/>
        <v>0</v>
      </c>
      <c r="U329" s="2">
        <f t="shared" si="283"/>
        <v>0</v>
      </c>
      <c r="V329" s="2">
        <f t="shared" si="284"/>
        <v>0</v>
      </c>
      <c r="W329" s="2">
        <f t="shared" si="285"/>
        <v>0</v>
      </c>
      <c r="X329" s="2">
        <f t="shared" si="286"/>
        <v>0</v>
      </c>
      <c r="Y329" s="2">
        <f t="shared" si="287"/>
        <v>0</v>
      </c>
      <c r="Z329" s="2"/>
      <c r="AA329" s="2">
        <v>129761636</v>
      </c>
      <c r="AB329" s="2">
        <f t="shared" si="288"/>
        <v>27362.67</v>
      </c>
      <c r="AC329" s="2">
        <f t="shared" si="289"/>
        <v>27362.67</v>
      </c>
      <c r="AD329" s="2">
        <f t="shared" ref="AD329:AD346" si="312">ROUND((((ET329)-(EU329))+AE329),6)</f>
        <v>0</v>
      </c>
      <c r="AE329" s="2">
        <f t="shared" ref="AE329:AE346" si="313">ROUND((EU329),6)</f>
        <v>0</v>
      </c>
      <c r="AF329" s="2">
        <f t="shared" ref="AF329:AF346" si="314">ROUND((EV329),6)</f>
        <v>0</v>
      </c>
      <c r="AG329" s="2">
        <f t="shared" si="291"/>
        <v>0</v>
      </c>
      <c r="AH329" s="2">
        <f t="shared" ref="AH329:AH346" si="315">(EW329)</f>
        <v>0</v>
      </c>
      <c r="AI329" s="2">
        <f t="shared" ref="AI329:AI346" si="316">(EX329)</f>
        <v>0</v>
      </c>
      <c r="AJ329" s="2">
        <f t="shared" si="293"/>
        <v>0</v>
      </c>
      <c r="AK329" s="2">
        <v>27362.67</v>
      </c>
      <c r="AL329" s="2">
        <v>27362.67</v>
      </c>
      <c r="AM329" s="2">
        <v>0</v>
      </c>
      <c r="AN329" s="2">
        <v>0</v>
      </c>
      <c r="AO329" s="2">
        <v>0</v>
      </c>
      <c r="AP329" s="2">
        <v>0</v>
      </c>
      <c r="AQ329" s="2">
        <v>0</v>
      </c>
      <c r="AR329" s="2">
        <v>0</v>
      </c>
      <c r="AS329" s="2">
        <v>0</v>
      </c>
      <c r="AT329" s="2">
        <v>104</v>
      </c>
      <c r="AU329" s="2">
        <v>70</v>
      </c>
      <c r="AV329" s="2">
        <v>1</v>
      </c>
      <c r="AW329" s="2">
        <v>1</v>
      </c>
      <c r="AX329" s="2"/>
      <c r="AY329" s="2"/>
      <c r="AZ329" s="2">
        <v>1</v>
      </c>
      <c r="BA329" s="2">
        <v>1</v>
      </c>
      <c r="BB329" s="2">
        <v>1</v>
      </c>
      <c r="BC329" s="2">
        <v>1</v>
      </c>
      <c r="BD329" s="2" t="s">
        <v>3</v>
      </c>
      <c r="BE329" s="2" t="s">
        <v>3</v>
      </c>
      <c r="BF329" s="2" t="s">
        <v>3</v>
      </c>
      <c r="BG329" s="2" t="s">
        <v>3</v>
      </c>
      <c r="BH329" s="2">
        <v>3</v>
      </c>
      <c r="BI329" s="2">
        <v>1</v>
      </c>
      <c r="BJ329" s="2" t="s">
        <v>407</v>
      </c>
      <c r="BK329" s="2"/>
      <c r="BL329" s="2"/>
      <c r="BM329" s="2">
        <v>92</v>
      </c>
      <c r="BN329" s="2">
        <v>0</v>
      </c>
      <c r="BO329" s="2" t="s">
        <v>3</v>
      </c>
      <c r="BP329" s="2">
        <v>0</v>
      </c>
      <c r="BQ329" s="2">
        <v>30</v>
      </c>
      <c r="BR329" s="2">
        <v>0</v>
      </c>
      <c r="BS329" s="2">
        <v>1</v>
      </c>
      <c r="BT329" s="2">
        <v>1</v>
      </c>
      <c r="BU329" s="2">
        <v>1</v>
      </c>
      <c r="BV329" s="2">
        <v>1</v>
      </c>
      <c r="BW329" s="2">
        <v>1</v>
      </c>
      <c r="BX329" s="2">
        <v>1</v>
      </c>
      <c r="BY329" s="2" t="s">
        <v>3</v>
      </c>
      <c r="BZ329" s="2">
        <v>104</v>
      </c>
      <c r="CA329" s="2">
        <v>70</v>
      </c>
      <c r="CB329" s="2" t="s">
        <v>3</v>
      </c>
      <c r="CC329" s="2"/>
      <c r="CD329" s="2"/>
      <c r="CE329" s="2">
        <v>30</v>
      </c>
      <c r="CF329" s="2">
        <v>0</v>
      </c>
      <c r="CG329" s="2">
        <v>0</v>
      </c>
      <c r="CH329" s="2"/>
      <c r="CI329" s="2"/>
      <c r="CJ329" s="2"/>
      <c r="CK329" s="2"/>
      <c r="CL329" s="2"/>
      <c r="CM329" s="2">
        <v>0</v>
      </c>
      <c r="CN329" s="2" t="s">
        <v>3</v>
      </c>
      <c r="CO329" s="2">
        <v>0</v>
      </c>
      <c r="CP329" s="2">
        <f t="shared" si="294"/>
        <v>191.54</v>
      </c>
      <c r="CQ329" s="2">
        <f t="shared" si="295"/>
        <v>27362.67</v>
      </c>
      <c r="CR329" s="2">
        <f t="shared" ref="CR329:CR346" si="317">(ROUND((ROUND(((ET329)*AV329*1),2)*BB329),2)+ROUND((ROUND(((AE329-(EU329))*AV329*1),2)*BS329),2))</f>
        <v>0</v>
      </c>
      <c r="CS329" s="2">
        <f t="shared" si="296"/>
        <v>0</v>
      </c>
      <c r="CT329" s="2">
        <f t="shared" si="297"/>
        <v>0</v>
      </c>
      <c r="CU329" s="2">
        <f t="shared" si="298"/>
        <v>0</v>
      </c>
      <c r="CV329" s="2">
        <f t="shared" si="299"/>
        <v>0</v>
      </c>
      <c r="CW329" s="2">
        <f t="shared" si="300"/>
        <v>0</v>
      </c>
      <c r="CX329" s="2">
        <f t="shared" si="301"/>
        <v>0</v>
      </c>
      <c r="CY329" s="2">
        <f>((S329*BZ329)/100)</f>
        <v>0</v>
      </c>
      <c r="CZ329" s="2">
        <f>((S329*CA329)/100)</f>
        <v>0</v>
      </c>
      <c r="DA329" s="2"/>
      <c r="DB329" s="2"/>
      <c r="DC329" s="2" t="s">
        <v>3</v>
      </c>
      <c r="DD329" s="2" t="s">
        <v>3</v>
      </c>
      <c r="DE329" s="2" t="s">
        <v>3</v>
      </c>
      <c r="DF329" s="2" t="s">
        <v>3</v>
      </c>
      <c r="DG329" s="2" t="s">
        <v>3</v>
      </c>
      <c r="DH329" s="2" t="s">
        <v>3</v>
      </c>
      <c r="DI329" s="2" t="s">
        <v>3</v>
      </c>
      <c r="DJ329" s="2" t="s">
        <v>3</v>
      </c>
      <c r="DK329" s="2" t="s">
        <v>3</v>
      </c>
      <c r="DL329" s="2" t="s">
        <v>3</v>
      </c>
      <c r="DM329" s="2" t="s">
        <v>3</v>
      </c>
      <c r="DN329" s="2">
        <v>0</v>
      </c>
      <c r="DO329" s="2">
        <v>0</v>
      </c>
      <c r="DP329" s="2">
        <v>1</v>
      </c>
      <c r="DQ329" s="2">
        <v>1</v>
      </c>
      <c r="DR329" s="2"/>
      <c r="DS329" s="2"/>
      <c r="DT329" s="2"/>
      <c r="DU329" s="2">
        <v>1009</v>
      </c>
      <c r="DV329" s="2" t="s">
        <v>114</v>
      </c>
      <c r="DW329" s="2" t="s">
        <v>114</v>
      </c>
      <c r="DX329" s="2">
        <v>1000</v>
      </c>
      <c r="DY329" s="2"/>
      <c r="DZ329" s="2" t="s">
        <v>3</v>
      </c>
      <c r="EA329" s="2" t="s">
        <v>3</v>
      </c>
      <c r="EB329" s="2" t="s">
        <v>3</v>
      </c>
      <c r="EC329" s="2" t="s">
        <v>3</v>
      </c>
      <c r="ED329" s="2"/>
      <c r="EE329" s="2">
        <v>126051553</v>
      </c>
      <c r="EF329" s="2">
        <v>30</v>
      </c>
      <c r="EG329" s="2" t="s">
        <v>23</v>
      </c>
      <c r="EH329" s="2">
        <v>0</v>
      </c>
      <c r="EI329" s="2" t="s">
        <v>3</v>
      </c>
      <c r="EJ329" s="2">
        <v>1</v>
      </c>
      <c r="EK329" s="2">
        <v>92</v>
      </c>
      <c r="EL329" s="2" t="s">
        <v>402</v>
      </c>
      <c r="EM329" s="2" t="s">
        <v>403</v>
      </c>
      <c r="EN329" s="2"/>
      <c r="EO329" s="2" t="s">
        <v>3</v>
      </c>
      <c r="EP329" s="2"/>
      <c r="EQ329" s="2">
        <v>0</v>
      </c>
      <c r="ER329" s="2">
        <v>27362.67</v>
      </c>
      <c r="ES329" s="2">
        <v>27362.67</v>
      </c>
      <c r="ET329" s="2">
        <v>0</v>
      </c>
      <c r="EU329" s="2">
        <v>0</v>
      </c>
      <c r="EV329" s="2">
        <v>0</v>
      </c>
      <c r="EW329" s="2">
        <v>0</v>
      </c>
      <c r="EX329" s="2">
        <v>0</v>
      </c>
      <c r="EY329" s="2"/>
      <c r="EZ329" s="2"/>
      <c r="FA329" s="2"/>
      <c r="FB329" s="2"/>
      <c r="FC329" s="2"/>
      <c r="FD329" s="2"/>
      <c r="FE329" s="2"/>
      <c r="FF329" s="2"/>
      <c r="FG329" s="2"/>
      <c r="FH329" s="2"/>
      <c r="FI329" s="2"/>
      <c r="FJ329" s="2"/>
      <c r="FK329" s="2"/>
      <c r="FL329" s="2"/>
      <c r="FM329" s="2"/>
      <c r="FN329" s="2"/>
      <c r="FO329" s="2"/>
      <c r="FP329" s="2"/>
      <c r="FQ329" s="2">
        <v>0</v>
      </c>
      <c r="FR329" s="2">
        <f t="shared" si="302"/>
        <v>0</v>
      </c>
      <c r="FS329" s="2">
        <v>0</v>
      </c>
      <c r="FT329" s="2"/>
      <c r="FU329" s="2"/>
      <c r="FV329" s="2"/>
      <c r="FW329" s="2"/>
      <c r="FX329" s="2">
        <v>104</v>
      </c>
      <c r="FY329" s="2">
        <v>70</v>
      </c>
      <c r="FZ329" s="2"/>
      <c r="GA329" s="2" t="s">
        <v>3</v>
      </c>
      <c r="GB329" s="2"/>
      <c r="GC329" s="2"/>
      <c r="GD329" s="2">
        <v>0</v>
      </c>
      <c r="GE329" s="2"/>
      <c r="GF329" s="2">
        <v>1389983172</v>
      </c>
      <c r="GG329" s="2">
        <v>2</v>
      </c>
      <c r="GH329" s="2">
        <v>1</v>
      </c>
      <c r="GI329" s="2">
        <v>-2</v>
      </c>
      <c r="GJ329" s="2">
        <v>0</v>
      </c>
      <c r="GK329" s="2">
        <f>ROUND(R329*(R12)/100,2)</f>
        <v>0</v>
      </c>
      <c r="GL329" s="2">
        <f t="shared" si="303"/>
        <v>0</v>
      </c>
      <c r="GM329" s="2">
        <f t="shared" si="304"/>
        <v>191.54</v>
      </c>
      <c r="GN329" s="2">
        <f t="shared" si="305"/>
        <v>191.54</v>
      </c>
      <c r="GO329" s="2">
        <f t="shared" si="306"/>
        <v>0</v>
      </c>
      <c r="GP329" s="2">
        <f t="shared" si="307"/>
        <v>0</v>
      </c>
      <c r="GQ329" s="2"/>
      <c r="GR329" s="2">
        <v>0</v>
      </c>
      <c r="GS329" s="2">
        <v>0</v>
      </c>
      <c r="GT329" s="2">
        <v>0</v>
      </c>
      <c r="GU329" s="2" t="s">
        <v>3</v>
      </c>
      <c r="GV329" s="2">
        <f t="shared" si="308"/>
        <v>0</v>
      </c>
      <c r="GW329" s="2">
        <v>1</v>
      </c>
      <c r="GX329" s="2">
        <f t="shared" si="309"/>
        <v>0</v>
      </c>
      <c r="GY329" s="2"/>
      <c r="GZ329" s="2"/>
      <c r="HA329" s="2">
        <v>0</v>
      </c>
      <c r="HB329" s="2">
        <v>0</v>
      </c>
      <c r="HC329" s="2">
        <f t="shared" si="310"/>
        <v>0</v>
      </c>
      <c r="HD329" s="2"/>
      <c r="HE329" s="2" t="s">
        <v>3</v>
      </c>
      <c r="HF329" s="2" t="s">
        <v>3</v>
      </c>
      <c r="HG329" s="2"/>
      <c r="HH329" s="2"/>
      <c r="HI329" s="2"/>
      <c r="HJ329" s="2"/>
      <c r="HK329" s="2"/>
      <c r="HL329" s="2"/>
      <c r="HM329" s="2" t="s">
        <v>3</v>
      </c>
      <c r="HN329" s="2" t="s">
        <v>3</v>
      </c>
      <c r="HO329" s="2" t="s">
        <v>3</v>
      </c>
      <c r="HP329" s="2" t="s">
        <v>3</v>
      </c>
      <c r="HQ329" s="2" t="s">
        <v>3</v>
      </c>
      <c r="HR329" s="2"/>
      <c r="HS329" s="2"/>
      <c r="HT329" s="2"/>
      <c r="HU329" s="2"/>
      <c r="HV329" s="2"/>
      <c r="HW329" s="2"/>
      <c r="HX329" s="2"/>
      <c r="HY329" s="2"/>
      <c r="HZ329" s="2"/>
      <c r="IA329" s="2"/>
      <c r="IB329" s="2"/>
      <c r="IC329" s="2"/>
      <c r="ID329" s="2"/>
      <c r="IE329" s="2"/>
      <c r="IF329" s="2"/>
      <c r="IG329" s="2"/>
      <c r="IH329" s="2"/>
      <c r="II329" s="2"/>
      <c r="IJ329" s="2"/>
      <c r="IK329" s="2">
        <v>0</v>
      </c>
      <c r="IL329" s="2"/>
      <c r="IM329" s="2"/>
      <c r="IN329" s="2"/>
      <c r="IO329" s="2"/>
      <c r="IP329" s="2"/>
      <c r="IQ329" s="2"/>
      <c r="IR329" s="2"/>
      <c r="IS329" s="2"/>
      <c r="IT329" s="2"/>
      <c r="IU329" s="2"/>
    </row>
    <row r="330" spans="1:255" x14ac:dyDescent="0.2">
      <c r="A330">
        <v>18</v>
      </c>
      <c r="B330">
        <v>1</v>
      </c>
      <c r="C330">
        <v>391</v>
      </c>
      <c r="E330" t="s">
        <v>446</v>
      </c>
      <c r="F330" t="s">
        <v>405</v>
      </c>
      <c r="G330" t="s">
        <v>406</v>
      </c>
      <c r="H330" t="s">
        <v>114</v>
      </c>
      <c r="I330">
        <f>I328*J330</f>
        <v>7.0000000000000001E-3</v>
      </c>
      <c r="J330">
        <v>9.9999999999999992E-2</v>
      </c>
      <c r="K330">
        <v>0.1</v>
      </c>
      <c r="O330">
        <f t="shared" si="278"/>
        <v>444.37</v>
      </c>
      <c r="P330">
        <f t="shared" si="279"/>
        <v>444.37</v>
      </c>
      <c r="Q330">
        <f t="shared" si="311"/>
        <v>0</v>
      </c>
      <c r="R330">
        <f t="shared" si="280"/>
        <v>0</v>
      </c>
      <c r="S330">
        <f t="shared" si="281"/>
        <v>0</v>
      </c>
      <c r="T330">
        <f t="shared" si="282"/>
        <v>0</v>
      </c>
      <c r="U330">
        <f t="shared" si="283"/>
        <v>0</v>
      </c>
      <c r="V330">
        <f t="shared" si="284"/>
        <v>0</v>
      </c>
      <c r="W330">
        <f t="shared" si="285"/>
        <v>0</v>
      </c>
      <c r="X330">
        <f t="shared" si="286"/>
        <v>0</v>
      </c>
      <c r="Y330">
        <f t="shared" si="287"/>
        <v>0</v>
      </c>
      <c r="AA330">
        <v>129761633</v>
      </c>
      <c r="AB330">
        <f t="shared" si="288"/>
        <v>27362.67</v>
      </c>
      <c r="AC330">
        <f t="shared" si="289"/>
        <v>27362.67</v>
      </c>
      <c r="AD330">
        <f t="shared" si="312"/>
        <v>0</v>
      </c>
      <c r="AE330">
        <f t="shared" si="313"/>
        <v>0</v>
      </c>
      <c r="AF330">
        <f t="shared" si="314"/>
        <v>0</v>
      </c>
      <c r="AG330">
        <f t="shared" si="291"/>
        <v>0</v>
      </c>
      <c r="AH330">
        <f t="shared" si="315"/>
        <v>0</v>
      </c>
      <c r="AI330">
        <f t="shared" si="316"/>
        <v>0</v>
      </c>
      <c r="AJ330">
        <f t="shared" si="293"/>
        <v>0</v>
      </c>
      <c r="AK330">
        <v>27362.67</v>
      </c>
      <c r="AL330">
        <v>27362.67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1</v>
      </c>
      <c r="AW330">
        <v>1</v>
      </c>
      <c r="AZ330">
        <v>1</v>
      </c>
      <c r="BA330">
        <v>1</v>
      </c>
      <c r="BB330">
        <v>1</v>
      </c>
      <c r="BC330">
        <v>2.3199999999999998</v>
      </c>
      <c r="BD330" t="s">
        <v>3</v>
      </c>
      <c r="BE330" t="s">
        <v>3</v>
      </c>
      <c r="BF330" t="s">
        <v>3</v>
      </c>
      <c r="BG330" t="s">
        <v>3</v>
      </c>
      <c r="BH330">
        <v>3</v>
      </c>
      <c r="BI330">
        <v>1</v>
      </c>
      <c r="BJ330" t="s">
        <v>407</v>
      </c>
      <c r="BM330">
        <v>92</v>
      </c>
      <c r="BN330">
        <v>0</v>
      </c>
      <c r="BO330" t="s">
        <v>405</v>
      </c>
      <c r="BP330">
        <v>1</v>
      </c>
      <c r="BQ330">
        <v>30</v>
      </c>
      <c r="BR330">
        <v>0</v>
      </c>
      <c r="BS330">
        <v>1</v>
      </c>
      <c r="BT330">
        <v>1</v>
      </c>
      <c r="BU330">
        <v>1</v>
      </c>
      <c r="BV330">
        <v>1</v>
      </c>
      <c r="BW330">
        <v>1</v>
      </c>
      <c r="BX330">
        <v>1</v>
      </c>
      <c r="BY330" t="s">
        <v>3</v>
      </c>
      <c r="BZ330">
        <v>0</v>
      </c>
      <c r="CA330">
        <v>0</v>
      </c>
      <c r="CB330" t="s">
        <v>3</v>
      </c>
      <c r="CE330">
        <v>30</v>
      </c>
      <c r="CF330">
        <v>0</v>
      </c>
      <c r="CG330">
        <v>0</v>
      </c>
      <c r="CM330">
        <v>0</v>
      </c>
      <c r="CN330" t="s">
        <v>3</v>
      </c>
      <c r="CO330">
        <v>0</v>
      </c>
      <c r="CP330">
        <f t="shared" si="294"/>
        <v>444.37</v>
      </c>
      <c r="CQ330">
        <f t="shared" si="295"/>
        <v>63481.39</v>
      </c>
      <c r="CR330">
        <f t="shared" si="317"/>
        <v>0</v>
      </c>
      <c r="CS330">
        <f t="shared" si="296"/>
        <v>0</v>
      </c>
      <c r="CT330">
        <f t="shared" si="297"/>
        <v>0</v>
      </c>
      <c r="CU330">
        <f t="shared" si="298"/>
        <v>0</v>
      </c>
      <c r="CV330">
        <f t="shared" si="299"/>
        <v>0</v>
      </c>
      <c r="CW330">
        <f t="shared" si="300"/>
        <v>0</v>
      </c>
      <c r="CX330">
        <f t="shared" si="301"/>
        <v>0</v>
      </c>
      <c r="CY330">
        <f>S330*(BZ330/100)</f>
        <v>0</v>
      </c>
      <c r="CZ330">
        <f>S330*(CA330/100)</f>
        <v>0</v>
      </c>
      <c r="DC330" t="s">
        <v>3</v>
      </c>
      <c r="DD330" t="s">
        <v>3</v>
      </c>
      <c r="DE330" t="s">
        <v>3</v>
      </c>
      <c r="DF330" t="s">
        <v>3</v>
      </c>
      <c r="DG330" t="s">
        <v>3</v>
      </c>
      <c r="DH330" t="s">
        <v>3</v>
      </c>
      <c r="DI330" t="s">
        <v>3</v>
      </c>
      <c r="DJ330" t="s">
        <v>3</v>
      </c>
      <c r="DK330" t="s">
        <v>3</v>
      </c>
      <c r="DL330" t="s">
        <v>3</v>
      </c>
      <c r="DM330" t="s">
        <v>3</v>
      </c>
      <c r="DN330">
        <v>104</v>
      </c>
      <c r="DO330">
        <v>70</v>
      </c>
      <c r="DP330">
        <v>1</v>
      </c>
      <c r="DQ330">
        <v>1</v>
      </c>
      <c r="DU330">
        <v>1009</v>
      </c>
      <c r="DV330" t="s">
        <v>114</v>
      </c>
      <c r="DW330" t="s">
        <v>114</v>
      </c>
      <c r="DX330">
        <v>1000</v>
      </c>
      <c r="DZ330" t="s">
        <v>3</v>
      </c>
      <c r="EA330" t="s">
        <v>3</v>
      </c>
      <c r="EB330" t="s">
        <v>3</v>
      </c>
      <c r="EC330" t="s">
        <v>3</v>
      </c>
      <c r="EE330">
        <v>126051553</v>
      </c>
      <c r="EF330">
        <v>30</v>
      </c>
      <c r="EG330" t="s">
        <v>23</v>
      </c>
      <c r="EH330">
        <v>0</v>
      </c>
      <c r="EI330" t="s">
        <v>3</v>
      </c>
      <c r="EJ330">
        <v>1</v>
      </c>
      <c r="EK330">
        <v>92</v>
      </c>
      <c r="EL330" t="s">
        <v>402</v>
      </c>
      <c r="EM330" t="s">
        <v>403</v>
      </c>
      <c r="EO330" t="s">
        <v>3</v>
      </c>
      <c r="EQ330">
        <v>0</v>
      </c>
      <c r="ER330">
        <v>27362.67</v>
      </c>
      <c r="ES330">
        <v>27362.67</v>
      </c>
      <c r="ET330">
        <v>0</v>
      </c>
      <c r="EU330">
        <v>0</v>
      </c>
      <c r="EV330">
        <v>0</v>
      </c>
      <c r="EW330">
        <v>0</v>
      </c>
      <c r="EX330">
        <v>0</v>
      </c>
      <c r="FQ330">
        <v>0</v>
      </c>
      <c r="FR330">
        <f t="shared" si="302"/>
        <v>0</v>
      </c>
      <c r="FS330">
        <v>0</v>
      </c>
      <c r="FX330">
        <v>104</v>
      </c>
      <c r="FY330">
        <v>70</v>
      </c>
      <c r="GA330" t="s">
        <v>3</v>
      </c>
      <c r="GD330">
        <v>0</v>
      </c>
      <c r="GF330">
        <v>1389983172</v>
      </c>
      <c r="GG330">
        <v>2</v>
      </c>
      <c r="GH330">
        <v>1</v>
      </c>
      <c r="GI330">
        <v>2</v>
      </c>
      <c r="GJ330">
        <v>0</v>
      </c>
      <c r="GK330">
        <f>ROUND(R330*(S12)/100,2)</f>
        <v>0</v>
      </c>
      <c r="GL330">
        <f t="shared" si="303"/>
        <v>0</v>
      </c>
      <c r="GM330">
        <f t="shared" si="304"/>
        <v>444.37</v>
      </c>
      <c r="GN330">
        <f t="shared" si="305"/>
        <v>444.37</v>
      </c>
      <c r="GO330">
        <f t="shared" si="306"/>
        <v>0</v>
      </c>
      <c r="GP330">
        <f t="shared" si="307"/>
        <v>0</v>
      </c>
      <c r="GR330">
        <v>0</v>
      </c>
      <c r="GS330">
        <v>3</v>
      </c>
      <c r="GT330">
        <v>0</v>
      </c>
      <c r="GU330" t="s">
        <v>3</v>
      </c>
      <c r="GV330">
        <f t="shared" si="308"/>
        <v>0</v>
      </c>
      <c r="GW330">
        <v>1</v>
      </c>
      <c r="GX330">
        <f t="shared" si="309"/>
        <v>0</v>
      </c>
      <c r="HA330">
        <v>0</v>
      </c>
      <c r="HB330">
        <v>0</v>
      </c>
      <c r="HC330">
        <f t="shared" si="310"/>
        <v>0</v>
      </c>
      <c r="HE330" t="s">
        <v>3</v>
      </c>
      <c r="HF330" t="s">
        <v>3</v>
      </c>
      <c r="HM330" t="s">
        <v>3</v>
      </c>
      <c r="HN330" t="s">
        <v>3</v>
      </c>
      <c r="HO330" t="s">
        <v>3</v>
      </c>
      <c r="HP330" t="s">
        <v>3</v>
      </c>
      <c r="HQ330" t="s">
        <v>3</v>
      </c>
      <c r="IK330">
        <v>0</v>
      </c>
    </row>
    <row r="331" spans="1:255" x14ac:dyDescent="0.2">
      <c r="A331" s="2">
        <v>18</v>
      </c>
      <c r="B331" s="2">
        <v>1</v>
      </c>
      <c r="C331" s="2">
        <v>380</v>
      </c>
      <c r="D331" s="2"/>
      <c r="E331" s="2" t="s">
        <v>447</v>
      </c>
      <c r="F331" s="2" t="s">
        <v>409</v>
      </c>
      <c r="G331" s="2" t="s">
        <v>410</v>
      </c>
      <c r="H331" s="2" t="s">
        <v>114</v>
      </c>
      <c r="I331" s="2">
        <f>I327*J331</f>
        <v>3.2899999999999999E-2</v>
      </c>
      <c r="J331" s="2">
        <v>0.46999999999999992</v>
      </c>
      <c r="K331" s="2">
        <v>0.47</v>
      </c>
      <c r="L331" s="2"/>
      <c r="M331" s="2"/>
      <c r="N331" s="2"/>
      <c r="O331" s="2">
        <f t="shared" si="278"/>
        <v>46.87</v>
      </c>
      <c r="P331" s="2">
        <f t="shared" si="279"/>
        <v>46.87</v>
      </c>
      <c r="Q331" s="2">
        <f t="shared" si="311"/>
        <v>0</v>
      </c>
      <c r="R331" s="2">
        <f t="shared" si="280"/>
        <v>0</v>
      </c>
      <c r="S331" s="2">
        <f t="shared" si="281"/>
        <v>0</v>
      </c>
      <c r="T331" s="2">
        <f t="shared" si="282"/>
        <v>0</v>
      </c>
      <c r="U331" s="2">
        <f t="shared" si="283"/>
        <v>0</v>
      </c>
      <c r="V331" s="2">
        <f t="shared" si="284"/>
        <v>0</v>
      </c>
      <c r="W331" s="2">
        <f t="shared" si="285"/>
        <v>0</v>
      </c>
      <c r="X331" s="2">
        <f t="shared" si="286"/>
        <v>0</v>
      </c>
      <c r="Y331" s="2">
        <f t="shared" si="287"/>
        <v>0</v>
      </c>
      <c r="Z331" s="2"/>
      <c r="AA331" s="2">
        <v>129761636</v>
      </c>
      <c r="AB331" s="2">
        <f t="shared" si="288"/>
        <v>1424.67</v>
      </c>
      <c r="AC331" s="2">
        <f t="shared" si="289"/>
        <v>1424.67</v>
      </c>
      <c r="AD331" s="2">
        <f t="shared" si="312"/>
        <v>0</v>
      </c>
      <c r="AE331" s="2">
        <f t="shared" si="313"/>
        <v>0</v>
      </c>
      <c r="AF331" s="2">
        <f t="shared" si="314"/>
        <v>0</v>
      </c>
      <c r="AG331" s="2">
        <f t="shared" si="291"/>
        <v>0</v>
      </c>
      <c r="AH331" s="2">
        <f t="shared" si="315"/>
        <v>0</v>
      </c>
      <c r="AI331" s="2">
        <f t="shared" si="316"/>
        <v>0</v>
      </c>
      <c r="AJ331" s="2">
        <f t="shared" si="293"/>
        <v>0</v>
      </c>
      <c r="AK331" s="2">
        <v>1424.67</v>
      </c>
      <c r="AL331" s="2">
        <v>1424.67</v>
      </c>
      <c r="AM331" s="2">
        <v>0</v>
      </c>
      <c r="AN331" s="2">
        <v>0</v>
      </c>
      <c r="AO331" s="2">
        <v>0</v>
      </c>
      <c r="AP331" s="2">
        <v>0</v>
      </c>
      <c r="AQ331" s="2">
        <v>0</v>
      </c>
      <c r="AR331" s="2">
        <v>0</v>
      </c>
      <c r="AS331" s="2">
        <v>0</v>
      </c>
      <c r="AT331" s="2">
        <v>104</v>
      </c>
      <c r="AU331" s="2">
        <v>70</v>
      </c>
      <c r="AV331" s="2">
        <v>1</v>
      </c>
      <c r="AW331" s="2">
        <v>1</v>
      </c>
      <c r="AX331" s="2"/>
      <c r="AY331" s="2"/>
      <c r="AZ331" s="2">
        <v>1</v>
      </c>
      <c r="BA331" s="2">
        <v>1</v>
      </c>
      <c r="BB331" s="2">
        <v>1</v>
      </c>
      <c r="BC331" s="2">
        <v>1</v>
      </c>
      <c r="BD331" s="2" t="s">
        <v>3</v>
      </c>
      <c r="BE331" s="2" t="s">
        <v>3</v>
      </c>
      <c r="BF331" s="2" t="s">
        <v>3</v>
      </c>
      <c r="BG331" s="2" t="s">
        <v>3</v>
      </c>
      <c r="BH331" s="2">
        <v>3</v>
      </c>
      <c r="BI331" s="2">
        <v>1</v>
      </c>
      <c r="BJ331" s="2" t="s">
        <v>411</v>
      </c>
      <c r="BK331" s="2"/>
      <c r="BL331" s="2"/>
      <c r="BM331" s="2">
        <v>92</v>
      </c>
      <c r="BN331" s="2">
        <v>0</v>
      </c>
      <c r="BO331" s="2" t="s">
        <v>3</v>
      </c>
      <c r="BP331" s="2">
        <v>0</v>
      </c>
      <c r="BQ331" s="2">
        <v>30</v>
      </c>
      <c r="BR331" s="2">
        <v>0</v>
      </c>
      <c r="BS331" s="2">
        <v>1</v>
      </c>
      <c r="BT331" s="2">
        <v>1</v>
      </c>
      <c r="BU331" s="2">
        <v>1</v>
      </c>
      <c r="BV331" s="2">
        <v>1</v>
      </c>
      <c r="BW331" s="2">
        <v>1</v>
      </c>
      <c r="BX331" s="2">
        <v>1</v>
      </c>
      <c r="BY331" s="2" t="s">
        <v>3</v>
      </c>
      <c r="BZ331" s="2">
        <v>104</v>
      </c>
      <c r="CA331" s="2">
        <v>70</v>
      </c>
      <c r="CB331" s="2" t="s">
        <v>3</v>
      </c>
      <c r="CC331" s="2"/>
      <c r="CD331" s="2"/>
      <c r="CE331" s="2">
        <v>30</v>
      </c>
      <c r="CF331" s="2">
        <v>0</v>
      </c>
      <c r="CG331" s="2">
        <v>0</v>
      </c>
      <c r="CH331" s="2"/>
      <c r="CI331" s="2"/>
      <c r="CJ331" s="2"/>
      <c r="CK331" s="2"/>
      <c r="CL331" s="2"/>
      <c r="CM331" s="2">
        <v>0</v>
      </c>
      <c r="CN331" s="2" t="s">
        <v>3</v>
      </c>
      <c r="CO331" s="2">
        <v>0</v>
      </c>
      <c r="CP331" s="2">
        <f t="shared" si="294"/>
        <v>46.87</v>
      </c>
      <c r="CQ331" s="2">
        <f t="shared" si="295"/>
        <v>1424.67</v>
      </c>
      <c r="CR331" s="2">
        <f t="shared" si="317"/>
        <v>0</v>
      </c>
      <c r="CS331" s="2">
        <f t="shared" si="296"/>
        <v>0</v>
      </c>
      <c r="CT331" s="2">
        <f t="shared" si="297"/>
        <v>0</v>
      </c>
      <c r="CU331" s="2">
        <f t="shared" si="298"/>
        <v>0</v>
      </c>
      <c r="CV331" s="2">
        <f t="shared" si="299"/>
        <v>0</v>
      </c>
      <c r="CW331" s="2">
        <f t="shared" si="300"/>
        <v>0</v>
      </c>
      <c r="CX331" s="2">
        <f t="shared" si="301"/>
        <v>0</v>
      </c>
      <c r="CY331" s="2">
        <f>((S331*BZ331)/100)</f>
        <v>0</v>
      </c>
      <c r="CZ331" s="2">
        <f>((S331*CA331)/100)</f>
        <v>0</v>
      </c>
      <c r="DA331" s="2"/>
      <c r="DB331" s="2"/>
      <c r="DC331" s="2" t="s">
        <v>3</v>
      </c>
      <c r="DD331" s="2" t="s">
        <v>3</v>
      </c>
      <c r="DE331" s="2" t="s">
        <v>3</v>
      </c>
      <c r="DF331" s="2" t="s">
        <v>3</v>
      </c>
      <c r="DG331" s="2" t="s">
        <v>3</v>
      </c>
      <c r="DH331" s="2" t="s">
        <v>3</v>
      </c>
      <c r="DI331" s="2" t="s">
        <v>3</v>
      </c>
      <c r="DJ331" s="2" t="s">
        <v>3</v>
      </c>
      <c r="DK331" s="2" t="s">
        <v>3</v>
      </c>
      <c r="DL331" s="2" t="s">
        <v>3</v>
      </c>
      <c r="DM331" s="2" t="s">
        <v>3</v>
      </c>
      <c r="DN331" s="2">
        <v>0</v>
      </c>
      <c r="DO331" s="2">
        <v>0</v>
      </c>
      <c r="DP331" s="2">
        <v>1</v>
      </c>
      <c r="DQ331" s="2">
        <v>1</v>
      </c>
      <c r="DR331" s="2"/>
      <c r="DS331" s="2"/>
      <c r="DT331" s="2"/>
      <c r="DU331" s="2">
        <v>1009</v>
      </c>
      <c r="DV331" s="2" t="s">
        <v>114</v>
      </c>
      <c r="DW331" s="2" t="s">
        <v>114</v>
      </c>
      <c r="DX331" s="2">
        <v>1000</v>
      </c>
      <c r="DY331" s="2"/>
      <c r="DZ331" s="2" t="s">
        <v>3</v>
      </c>
      <c r="EA331" s="2" t="s">
        <v>3</v>
      </c>
      <c r="EB331" s="2" t="s">
        <v>3</v>
      </c>
      <c r="EC331" s="2" t="s">
        <v>3</v>
      </c>
      <c r="ED331" s="2"/>
      <c r="EE331" s="2">
        <v>126051553</v>
      </c>
      <c r="EF331" s="2">
        <v>30</v>
      </c>
      <c r="EG331" s="2" t="s">
        <v>23</v>
      </c>
      <c r="EH331" s="2">
        <v>0</v>
      </c>
      <c r="EI331" s="2" t="s">
        <v>3</v>
      </c>
      <c r="EJ331" s="2">
        <v>1</v>
      </c>
      <c r="EK331" s="2">
        <v>92</v>
      </c>
      <c r="EL331" s="2" t="s">
        <v>402</v>
      </c>
      <c r="EM331" s="2" t="s">
        <v>403</v>
      </c>
      <c r="EN331" s="2"/>
      <c r="EO331" s="2" t="s">
        <v>3</v>
      </c>
      <c r="EP331" s="2"/>
      <c r="EQ331" s="2">
        <v>0</v>
      </c>
      <c r="ER331" s="2">
        <v>1424.67</v>
      </c>
      <c r="ES331" s="2">
        <v>1424.67</v>
      </c>
      <c r="ET331" s="2">
        <v>0</v>
      </c>
      <c r="EU331" s="2">
        <v>0</v>
      </c>
      <c r="EV331" s="2">
        <v>0</v>
      </c>
      <c r="EW331" s="2">
        <v>0</v>
      </c>
      <c r="EX331" s="2">
        <v>0</v>
      </c>
      <c r="EY331" s="2"/>
      <c r="EZ331" s="2"/>
      <c r="FA331" s="2"/>
      <c r="FB331" s="2"/>
      <c r="FC331" s="2"/>
      <c r="FD331" s="2"/>
      <c r="FE331" s="2"/>
      <c r="FF331" s="2"/>
      <c r="FG331" s="2"/>
      <c r="FH331" s="2"/>
      <c r="FI331" s="2"/>
      <c r="FJ331" s="2"/>
      <c r="FK331" s="2"/>
      <c r="FL331" s="2"/>
      <c r="FM331" s="2"/>
      <c r="FN331" s="2"/>
      <c r="FO331" s="2"/>
      <c r="FP331" s="2"/>
      <c r="FQ331" s="2">
        <v>0</v>
      </c>
      <c r="FR331" s="2">
        <f t="shared" si="302"/>
        <v>0</v>
      </c>
      <c r="FS331" s="2">
        <v>0</v>
      </c>
      <c r="FT331" s="2"/>
      <c r="FU331" s="2"/>
      <c r="FV331" s="2"/>
      <c r="FW331" s="2"/>
      <c r="FX331" s="2">
        <v>104</v>
      </c>
      <c r="FY331" s="2">
        <v>70</v>
      </c>
      <c r="FZ331" s="2"/>
      <c r="GA331" s="2" t="s">
        <v>3</v>
      </c>
      <c r="GB331" s="2"/>
      <c r="GC331" s="2"/>
      <c r="GD331" s="2">
        <v>0</v>
      </c>
      <c r="GE331" s="2"/>
      <c r="GF331" s="2">
        <v>1192135998</v>
      </c>
      <c r="GG331" s="2">
        <v>2</v>
      </c>
      <c r="GH331" s="2">
        <v>1</v>
      </c>
      <c r="GI331" s="2">
        <v>-2</v>
      </c>
      <c r="GJ331" s="2">
        <v>0</v>
      </c>
      <c r="GK331" s="2">
        <f>ROUND(R331*(R12)/100,2)</f>
        <v>0</v>
      </c>
      <c r="GL331" s="2">
        <f t="shared" si="303"/>
        <v>0</v>
      </c>
      <c r="GM331" s="2">
        <f t="shared" si="304"/>
        <v>46.87</v>
      </c>
      <c r="GN331" s="2">
        <f t="shared" si="305"/>
        <v>46.87</v>
      </c>
      <c r="GO331" s="2">
        <f t="shared" si="306"/>
        <v>0</v>
      </c>
      <c r="GP331" s="2">
        <f t="shared" si="307"/>
        <v>0</v>
      </c>
      <c r="GQ331" s="2"/>
      <c r="GR331" s="2">
        <v>0</v>
      </c>
      <c r="GS331" s="2">
        <v>0</v>
      </c>
      <c r="GT331" s="2">
        <v>0</v>
      </c>
      <c r="GU331" s="2" t="s">
        <v>3</v>
      </c>
      <c r="GV331" s="2">
        <f t="shared" si="308"/>
        <v>0</v>
      </c>
      <c r="GW331" s="2">
        <v>1</v>
      </c>
      <c r="GX331" s="2">
        <f t="shared" si="309"/>
        <v>0</v>
      </c>
      <c r="GY331" s="2"/>
      <c r="GZ331" s="2"/>
      <c r="HA331" s="2">
        <v>0</v>
      </c>
      <c r="HB331" s="2">
        <v>0</v>
      </c>
      <c r="HC331" s="2">
        <f t="shared" si="310"/>
        <v>0</v>
      </c>
      <c r="HD331" s="2"/>
      <c r="HE331" s="2" t="s">
        <v>3</v>
      </c>
      <c r="HF331" s="2" t="s">
        <v>3</v>
      </c>
      <c r="HG331" s="2"/>
      <c r="HH331" s="2"/>
      <c r="HI331" s="2"/>
      <c r="HJ331" s="2"/>
      <c r="HK331" s="2"/>
      <c r="HL331" s="2"/>
      <c r="HM331" s="2" t="s">
        <v>3</v>
      </c>
      <c r="HN331" s="2" t="s">
        <v>3</v>
      </c>
      <c r="HO331" s="2" t="s">
        <v>3</v>
      </c>
      <c r="HP331" s="2" t="s">
        <v>3</v>
      </c>
      <c r="HQ331" s="2" t="s">
        <v>3</v>
      </c>
      <c r="HR331" s="2"/>
      <c r="HS331" s="2"/>
      <c r="HT331" s="2"/>
      <c r="HU331" s="2"/>
      <c r="HV331" s="2"/>
      <c r="HW331" s="2"/>
      <c r="HX331" s="2"/>
      <c r="HY331" s="2"/>
      <c r="HZ331" s="2"/>
      <c r="IA331" s="2"/>
      <c r="IB331" s="2"/>
      <c r="IC331" s="2"/>
      <c r="ID331" s="2"/>
      <c r="IE331" s="2"/>
      <c r="IF331" s="2"/>
      <c r="IG331" s="2"/>
      <c r="IH331" s="2"/>
      <c r="II331" s="2"/>
      <c r="IJ331" s="2"/>
      <c r="IK331" s="2">
        <v>0</v>
      </c>
      <c r="IL331" s="2"/>
      <c r="IM331" s="2"/>
      <c r="IN331" s="2"/>
      <c r="IO331" s="2"/>
      <c r="IP331" s="2"/>
      <c r="IQ331" s="2"/>
      <c r="IR331" s="2"/>
      <c r="IS331" s="2"/>
      <c r="IT331" s="2"/>
      <c r="IU331" s="2"/>
    </row>
    <row r="332" spans="1:255" x14ac:dyDescent="0.2">
      <c r="A332">
        <v>18</v>
      </c>
      <c r="B332">
        <v>1</v>
      </c>
      <c r="C332">
        <v>390</v>
      </c>
      <c r="E332" t="s">
        <v>447</v>
      </c>
      <c r="F332" t="s">
        <v>409</v>
      </c>
      <c r="G332" t="s">
        <v>410</v>
      </c>
      <c r="H332" t="s">
        <v>114</v>
      </c>
      <c r="I332">
        <f>I328*J332</f>
        <v>3.2899999999999999E-2</v>
      </c>
      <c r="J332">
        <v>0.46999999999999992</v>
      </c>
      <c r="K332">
        <v>0.47</v>
      </c>
      <c r="O332">
        <f t="shared" si="278"/>
        <v>890.06</v>
      </c>
      <c r="P332">
        <f t="shared" si="279"/>
        <v>890.06</v>
      </c>
      <c r="Q332">
        <f t="shared" si="311"/>
        <v>0</v>
      </c>
      <c r="R332">
        <f t="shared" si="280"/>
        <v>0</v>
      </c>
      <c r="S332">
        <f t="shared" si="281"/>
        <v>0</v>
      </c>
      <c r="T332">
        <f t="shared" si="282"/>
        <v>0</v>
      </c>
      <c r="U332">
        <f t="shared" si="283"/>
        <v>0</v>
      </c>
      <c r="V332">
        <f t="shared" si="284"/>
        <v>0</v>
      </c>
      <c r="W332">
        <f t="shared" si="285"/>
        <v>0</v>
      </c>
      <c r="X332">
        <f t="shared" si="286"/>
        <v>0</v>
      </c>
      <c r="Y332">
        <f t="shared" si="287"/>
        <v>0</v>
      </c>
      <c r="AA332">
        <v>129761633</v>
      </c>
      <c r="AB332">
        <f t="shared" si="288"/>
        <v>1424.67</v>
      </c>
      <c r="AC332">
        <f t="shared" si="289"/>
        <v>1424.67</v>
      </c>
      <c r="AD332">
        <f t="shared" si="312"/>
        <v>0</v>
      </c>
      <c r="AE332">
        <f t="shared" si="313"/>
        <v>0</v>
      </c>
      <c r="AF332">
        <f t="shared" si="314"/>
        <v>0</v>
      </c>
      <c r="AG332">
        <f t="shared" si="291"/>
        <v>0</v>
      </c>
      <c r="AH332">
        <f t="shared" si="315"/>
        <v>0</v>
      </c>
      <c r="AI332">
        <f t="shared" si="316"/>
        <v>0</v>
      </c>
      <c r="AJ332">
        <f t="shared" si="293"/>
        <v>0</v>
      </c>
      <c r="AK332">
        <v>1424.67</v>
      </c>
      <c r="AL332">
        <v>1424.67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1</v>
      </c>
      <c r="AW332">
        <v>1</v>
      </c>
      <c r="AZ332">
        <v>1</v>
      </c>
      <c r="BA332">
        <v>1</v>
      </c>
      <c r="BB332">
        <v>1</v>
      </c>
      <c r="BC332">
        <v>18.989999999999998</v>
      </c>
      <c r="BD332" t="s">
        <v>3</v>
      </c>
      <c r="BE332" t="s">
        <v>3</v>
      </c>
      <c r="BF332" t="s">
        <v>3</v>
      </c>
      <c r="BG332" t="s">
        <v>3</v>
      </c>
      <c r="BH332">
        <v>3</v>
      </c>
      <c r="BI332">
        <v>1</v>
      </c>
      <c r="BJ332" t="s">
        <v>411</v>
      </c>
      <c r="BM332">
        <v>92</v>
      </c>
      <c r="BN332">
        <v>0</v>
      </c>
      <c r="BO332" t="s">
        <v>409</v>
      </c>
      <c r="BP332">
        <v>1</v>
      </c>
      <c r="BQ332">
        <v>30</v>
      </c>
      <c r="BR332">
        <v>0</v>
      </c>
      <c r="BS332">
        <v>1</v>
      </c>
      <c r="BT332">
        <v>1</v>
      </c>
      <c r="BU332">
        <v>1</v>
      </c>
      <c r="BV332">
        <v>1</v>
      </c>
      <c r="BW332">
        <v>1</v>
      </c>
      <c r="BX332">
        <v>1</v>
      </c>
      <c r="BY332" t="s">
        <v>3</v>
      </c>
      <c r="BZ332">
        <v>0</v>
      </c>
      <c r="CA332">
        <v>0</v>
      </c>
      <c r="CB332" t="s">
        <v>3</v>
      </c>
      <c r="CE332">
        <v>30</v>
      </c>
      <c r="CF332">
        <v>0</v>
      </c>
      <c r="CG332">
        <v>0</v>
      </c>
      <c r="CM332">
        <v>0</v>
      </c>
      <c r="CN332" t="s">
        <v>3</v>
      </c>
      <c r="CO332">
        <v>0</v>
      </c>
      <c r="CP332">
        <f t="shared" si="294"/>
        <v>890.06</v>
      </c>
      <c r="CQ332">
        <f t="shared" si="295"/>
        <v>27054.48</v>
      </c>
      <c r="CR332">
        <f t="shared" si="317"/>
        <v>0</v>
      </c>
      <c r="CS332">
        <f t="shared" si="296"/>
        <v>0</v>
      </c>
      <c r="CT332">
        <f t="shared" si="297"/>
        <v>0</v>
      </c>
      <c r="CU332">
        <f t="shared" si="298"/>
        <v>0</v>
      </c>
      <c r="CV332">
        <f t="shared" si="299"/>
        <v>0</v>
      </c>
      <c r="CW332">
        <f t="shared" si="300"/>
        <v>0</v>
      </c>
      <c r="CX332">
        <f t="shared" si="301"/>
        <v>0</v>
      </c>
      <c r="CY332">
        <f>S332*(BZ332/100)</f>
        <v>0</v>
      </c>
      <c r="CZ332">
        <f>S332*(CA332/100)</f>
        <v>0</v>
      </c>
      <c r="DC332" t="s">
        <v>3</v>
      </c>
      <c r="DD332" t="s">
        <v>3</v>
      </c>
      <c r="DE332" t="s">
        <v>3</v>
      </c>
      <c r="DF332" t="s">
        <v>3</v>
      </c>
      <c r="DG332" t="s">
        <v>3</v>
      </c>
      <c r="DH332" t="s">
        <v>3</v>
      </c>
      <c r="DI332" t="s">
        <v>3</v>
      </c>
      <c r="DJ332" t="s">
        <v>3</v>
      </c>
      <c r="DK332" t="s">
        <v>3</v>
      </c>
      <c r="DL332" t="s">
        <v>3</v>
      </c>
      <c r="DM332" t="s">
        <v>3</v>
      </c>
      <c r="DN332">
        <v>104</v>
      </c>
      <c r="DO332">
        <v>70</v>
      </c>
      <c r="DP332">
        <v>1</v>
      </c>
      <c r="DQ332">
        <v>1</v>
      </c>
      <c r="DU332">
        <v>1009</v>
      </c>
      <c r="DV332" t="s">
        <v>114</v>
      </c>
      <c r="DW332" t="s">
        <v>114</v>
      </c>
      <c r="DX332">
        <v>1000</v>
      </c>
      <c r="DZ332" t="s">
        <v>3</v>
      </c>
      <c r="EA332" t="s">
        <v>3</v>
      </c>
      <c r="EB332" t="s">
        <v>3</v>
      </c>
      <c r="EC332" t="s">
        <v>3</v>
      </c>
      <c r="EE332">
        <v>126051553</v>
      </c>
      <c r="EF332">
        <v>30</v>
      </c>
      <c r="EG332" t="s">
        <v>23</v>
      </c>
      <c r="EH332">
        <v>0</v>
      </c>
      <c r="EI332" t="s">
        <v>3</v>
      </c>
      <c r="EJ332">
        <v>1</v>
      </c>
      <c r="EK332">
        <v>92</v>
      </c>
      <c r="EL332" t="s">
        <v>402</v>
      </c>
      <c r="EM332" t="s">
        <v>403</v>
      </c>
      <c r="EO332" t="s">
        <v>3</v>
      </c>
      <c r="EQ332">
        <v>0</v>
      </c>
      <c r="ER332">
        <v>1424.67</v>
      </c>
      <c r="ES332">
        <v>1424.67</v>
      </c>
      <c r="ET332">
        <v>0</v>
      </c>
      <c r="EU332">
        <v>0</v>
      </c>
      <c r="EV332">
        <v>0</v>
      </c>
      <c r="EW332">
        <v>0</v>
      </c>
      <c r="EX332">
        <v>0</v>
      </c>
      <c r="FQ332">
        <v>0</v>
      </c>
      <c r="FR332">
        <f t="shared" si="302"/>
        <v>0</v>
      </c>
      <c r="FS332">
        <v>0</v>
      </c>
      <c r="FX332">
        <v>104</v>
      </c>
      <c r="FY332">
        <v>70</v>
      </c>
      <c r="GA332" t="s">
        <v>3</v>
      </c>
      <c r="GD332">
        <v>0</v>
      </c>
      <c r="GF332">
        <v>1192135998</v>
      </c>
      <c r="GG332">
        <v>2</v>
      </c>
      <c r="GH332">
        <v>1</v>
      </c>
      <c r="GI332">
        <v>2</v>
      </c>
      <c r="GJ332">
        <v>0</v>
      </c>
      <c r="GK332">
        <f>ROUND(R332*(S12)/100,2)</f>
        <v>0</v>
      </c>
      <c r="GL332">
        <f t="shared" si="303"/>
        <v>0</v>
      </c>
      <c r="GM332">
        <f t="shared" si="304"/>
        <v>890.06</v>
      </c>
      <c r="GN332">
        <f t="shared" si="305"/>
        <v>890.06</v>
      </c>
      <c r="GO332">
        <f t="shared" si="306"/>
        <v>0</v>
      </c>
      <c r="GP332">
        <f t="shared" si="307"/>
        <v>0</v>
      </c>
      <c r="GR332">
        <v>0</v>
      </c>
      <c r="GS332">
        <v>3</v>
      </c>
      <c r="GT332">
        <v>0</v>
      </c>
      <c r="GU332" t="s">
        <v>3</v>
      </c>
      <c r="GV332">
        <f t="shared" si="308"/>
        <v>0</v>
      </c>
      <c r="GW332">
        <v>1</v>
      </c>
      <c r="GX332">
        <f t="shared" si="309"/>
        <v>0</v>
      </c>
      <c r="HA332">
        <v>0</v>
      </c>
      <c r="HB332">
        <v>0</v>
      </c>
      <c r="HC332">
        <f t="shared" si="310"/>
        <v>0</v>
      </c>
      <c r="HE332" t="s">
        <v>3</v>
      </c>
      <c r="HF332" t="s">
        <v>3</v>
      </c>
      <c r="HM332" t="s">
        <v>3</v>
      </c>
      <c r="HN332" t="s">
        <v>3</v>
      </c>
      <c r="HO332" t="s">
        <v>3</v>
      </c>
      <c r="HP332" t="s">
        <v>3</v>
      </c>
      <c r="HQ332" t="s">
        <v>3</v>
      </c>
      <c r="IK332">
        <v>0</v>
      </c>
    </row>
    <row r="333" spans="1:255" x14ac:dyDescent="0.2">
      <c r="A333" s="2">
        <v>18</v>
      </c>
      <c r="B333" s="2">
        <v>1</v>
      </c>
      <c r="C333" s="2">
        <v>382</v>
      </c>
      <c r="D333" s="2"/>
      <c r="E333" s="2" t="s">
        <v>448</v>
      </c>
      <c r="F333" s="2" t="s">
        <v>248</v>
      </c>
      <c r="G333" s="2" t="s">
        <v>413</v>
      </c>
      <c r="H333" s="2" t="s">
        <v>258</v>
      </c>
      <c r="I333" s="2">
        <f>I327*J333</f>
        <v>7.14</v>
      </c>
      <c r="J333" s="2">
        <v>101.99999999999999</v>
      </c>
      <c r="K333" s="2">
        <v>102</v>
      </c>
      <c r="L333" s="2"/>
      <c r="M333" s="2"/>
      <c r="N333" s="2"/>
      <c r="O333" s="2">
        <f t="shared" si="278"/>
        <v>0</v>
      </c>
      <c r="P333" s="2">
        <f t="shared" si="279"/>
        <v>0</v>
      </c>
      <c r="Q333" s="2">
        <f t="shared" si="311"/>
        <v>0</v>
      </c>
      <c r="R333" s="2">
        <f t="shared" si="280"/>
        <v>0</v>
      </c>
      <c r="S333" s="2">
        <f t="shared" si="281"/>
        <v>0</v>
      </c>
      <c r="T333" s="2">
        <f t="shared" si="282"/>
        <v>0</v>
      </c>
      <c r="U333" s="2">
        <f t="shared" si="283"/>
        <v>0</v>
      </c>
      <c r="V333" s="2">
        <f t="shared" si="284"/>
        <v>0</v>
      </c>
      <c r="W333" s="2">
        <f t="shared" si="285"/>
        <v>0</v>
      </c>
      <c r="X333" s="2">
        <f t="shared" si="286"/>
        <v>0</v>
      </c>
      <c r="Y333" s="2">
        <f t="shared" si="287"/>
        <v>0</v>
      </c>
      <c r="Z333" s="2"/>
      <c r="AA333" s="2">
        <v>129761636</v>
      </c>
      <c r="AB333" s="2">
        <f t="shared" si="288"/>
        <v>0</v>
      </c>
      <c r="AC333" s="2">
        <f t="shared" si="289"/>
        <v>0</v>
      </c>
      <c r="AD333" s="2">
        <f t="shared" si="312"/>
        <v>0</v>
      </c>
      <c r="AE333" s="2">
        <f t="shared" si="313"/>
        <v>0</v>
      </c>
      <c r="AF333" s="2">
        <f t="shared" si="314"/>
        <v>0</v>
      </c>
      <c r="AG333" s="2">
        <f t="shared" si="291"/>
        <v>0</v>
      </c>
      <c r="AH333" s="2">
        <f t="shared" si="315"/>
        <v>0</v>
      </c>
      <c r="AI333" s="2">
        <f t="shared" si="316"/>
        <v>0</v>
      </c>
      <c r="AJ333" s="2">
        <f t="shared" si="293"/>
        <v>0</v>
      </c>
      <c r="AK333" s="2">
        <v>0</v>
      </c>
      <c r="AL333" s="2">
        <v>0</v>
      </c>
      <c r="AM333" s="2">
        <v>0</v>
      </c>
      <c r="AN333" s="2">
        <v>0</v>
      </c>
      <c r="AO333" s="2">
        <v>0</v>
      </c>
      <c r="AP333" s="2">
        <v>0</v>
      </c>
      <c r="AQ333" s="2">
        <v>0</v>
      </c>
      <c r="AR333" s="2">
        <v>0</v>
      </c>
      <c r="AS333" s="2">
        <v>0</v>
      </c>
      <c r="AT333" s="2">
        <v>104</v>
      </c>
      <c r="AU333" s="2">
        <v>70</v>
      </c>
      <c r="AV333" s="2">
        <v>1</v>
      </c>
      <c r="AW333" s="2">
        <v>1</v>
      </c>
      <c r="AX333" s="2"/>
      <c r="AY333" s="2"/>
      <c r="AZ333" s="2">
        <v>1</v>
      </c>
      <c r="BA333" s="2">
        <v>1</v>
      </c>
      <c r="BB333" s="2">
        <v>1</v>
      </c>
      <c r="BC333" s="2">
        <v>1</v>
      </c>
      <c r="BD333" s="2" t="s">
        <v>3</v>
      </c>
      <c r="BE333" s="2" t="s">
        <v>3</v>
      </c>
      <c r="BF333" s="2" t="s">
        <v>3</v>
      </c>
      <c r="BG333" s="2" t="s">
        <v>3</v>
      </c>
      <c r="BH333" s="2">
        <v>3</v>
      </c>
      <c r="BI333" s="2">
        <v>1</v>
      </c>
      <c r="BJ333" s="2" t="s">
        <v>3</v>
      </c>
      <c r="BK333" s="2"/>
      <c r="BL333" s="2"/>
      <c r="BM333" s="2">
        <v>92</v>
      </c>
      <c r="BN333" s="2">
        <v>0</v>
      </c>
      <c r="BO333" s="2" t="s">
        <v>3</v>
      </c>
      <c r="BP333" s="2">
        <v>0</v>
      </c>
      <c r="BQ333" s="2">
        <v>30</v>
      </c>
      <c r="BR333" s="2">
        <v>0</v>
      </c>
      <c r="BS333" s="2">
        <v>1</v>
      </c>
      <c r="BT333" s="2">
        <v>1</v>
      </c>
      <c r="BU333" s="2">
        <v>1</v>
      </c>
      <c r="BV333" s="2">
        <v>1</v>
      </c>
      <c r="BW333" s="2">
        <v>1</v>
      </c>
      <c r="BX333" s="2">
        <v>1</v>
      </c>
      <c r="BY333" s="2" t="s">
        <v>3</v>
      </c>
      <c r="BZ333" s="2">
        <v>104</v>
      </c>
      <c r="CA333" s="2">
        <v>70</v>
      </c>
      <c r="CB333" s="2" t="s">
        <v>3</v>
      </c>
      <c r="CC333" s="2"/>
      <c r="CD333" s="2"/>
      <c r="CE333" s="2">
        <v>30</v>
      </c>
      <c r="CF333" s="2">
        <v>0</v>
      </c>
      <c r="CG333" s="2">
        <v>0</v>
      </c>
      <c r="CH333" s="2"/>
      <c r="CI333" s="2"/>
      <c r="CJ333" s="2"/>
      <c r="CK333" s="2"/>
      <c r="CL333" s="2"/>
      <c r="CM333" s="2">
        <v>0</v>
      </c>
      <c r="CN333" s="2" t="s">
        <v>3</v>
      </c>
      <c r="CO333" s="2">
        <v>0</v>
      </c>
      <c r="CP333" s="2">
        <f t="shared" si="294"/>
        <v>0</v>
      </c>
      <c r="CQ333" s="2">
        <f t="shared" si="295"/>
        <v>0</v>
      </c>
      <c r="CR333" s="2">
        <f t="shared" si="317"/>
        <v>0</v>
      </c>
      <c r="CS333" s="2">
        <f t="shared" si="296"/>
        <v>0</v>
      </c>
      <c r="CT333" s="2">
        <f t="shared" si="297"/>
        <v>0</v>
      </c>
      <c r="CU333" s="2">
        <f t="shared" si="298"/>
        <v>0</v>
      </c>
      <c r="CV333" s="2">
        <f t="shared" si="299"/>
        <v>0</v>
      </c>
      <c r="CW333" s="2">
        <f t="shared" si="300"/>
        <v>0</v>
      </c>
      <c r="CX333" s="2">
        <f t="shared" si="301"/>
        <v>0</v>
      </c>
      <c r="CY333" s="2">
        <f>((S333*BZ333)/100)</f>
        <v>0</v>
      </c>
      <c r="CZ333" s="2">
        <f>((S333*CA333)/100)</f>
        <v>0</v>
      </c>
      <c r="DA333" s="2"/>
      <c r="DB333" s="2"/>
      <c r="DC333" s="2" t="s">
        <v>3</v>
      </c>
      <c r="DD333" s="2" t="s">
        <v>3</v>
      </c>
      <c r="DE333" s="2" t="s">
        <v>3</v>
      </c>
      <c r="DF333" s="2" t="s">
        <v>3</v>
      </c>
      <c r="DG333" s="2" t="s">
        <v>3</v>
      </c>
      <c r="DH333" s="2" t="s">
        <v>3</v>
      </c>
      <c r="DI333" s="2" t="s">
        <v>3</v>
      </c>
      <c r="DJ333" s="2" t="s">
        <v>3</v>
      </c>
      <c r="DK333" s="2" t="s">
        <v>3</v>
      </c>
      <c r="DL333" s="2" t="s">
        <v>3</v>
      </c>
      <c r="DM333" s="2" t="s">
        <v>3</v>
      </c>
      <c r="DN333" s="2">
        <v>0</v>
      </c>
      <c r="DO333" s="2">
        <v>0</v>
      </c>
      <c r="DP333" s="2">
        <v>1</v>
      </c>
      <c r="DQ333" s="2">
        <v>1</v>
      </c>
      <c r="DR333" s="2"/>
      <c r="DS333" s="2"/>
      <c r="DT333" s="2"/>
      <c r="DU333" s="2">
        <v>1005</v>
      </c>
      <c r="DV333" s="2" t="s">
        <v>258</v>
      </c>
      <c r="DW333" s="2" t="s">
        <v>258</v>
      </c>
      <c r="DX333" s="2">
        <v>1</v>
      </c>
      <c r="DY333" s="2"/>
      <c r="DZ333" s="2" t="s">
        <v>3</v>
      </c>
      <c r="EA333" s="2" t="s">
        <v>3</v>
      </c>
      <c r="EB333" s="2" t="s">
        <v>3</v>
      </c>
      <c r="EC333" s="2" t="s">
        <v>3</v>
      </c>
      <c r="ED333" s="2"/>
      <c r="EE333" s="2">
        <v>126051553</v>
      </c>
      <c r="EF333" s="2">
        <v>30</v>
      </c>
      <c r="EG333" s="2" t="s">
        <v>23</v>
      </c>
      <c r="EH333" s="2">
        <v>0</v>
      </c>
      <c r="EI333" s="2" t="s">
        <v>3</v>
      </c>
      <c r="EJ333" s="2">
        <v>1</v>
      </c>
      <c r="EK333" s="2">
        <v>92</v>
      </c>
      <c r="EL333" s="2" t="s">
        <v>402</v>
      </c>
      <c r="EM333" s="2" t="s">
        <v>403</v>
      </c>
      <c r="EN333" s="2"/>
      <c r="EO333" s="2" t="s">
        <v>3</v>
      </c>
      <c r="EP333" s="2"/>
      <c r="EQ333" s="2">
        <v>0</v>
      </c>
      <c r="ER333" s="2">
        <v>0</v>
      </c>
      <c r="ES333" s="2">
        <v>0</v>
      </c>
      <c r="ET333" s="2">
        <v>0</v>
      </c>
      <c r="EU333" s="2">
        <v>0</v>
      </c>
      <c r="EV333" s="2">
        <v>0</v>
      </c>
      <c r="EW333" s="2">
        <v>0</v>
      </c>
      <c r="EX333" s="2">
        <v>0</v>
      </c>
      <c r="EY333" s="2"/>
      <c r="EZ333" s="2"/>
      <c r="FA333" s="2"/>
      <c r="FB333" s="2"/>
      <c r="FC333" s="2"/>
      <c r="FD333" s="2"/>
      <c r="FE333" s="2"/>
      <c r="FF333" s="2"/>
      <c r="FG333" s="2"/>
      <c r="FH333" s="2"/>
      <c r="FI333" s="2"/>
      <c r="FJ333" s="2"/>
      <c r="FK333" s="2"/>
      <c r="FL333" s="2"/>
      <c r="FM333" s="2"/>
      <c r="FN333" s="2"/>
      <c r="FO333" s="2"/>
      <c r="FP333" s="2"/>
      <c r="FQ333" s="2">
        <v>0</v>
      </c>
      <c r="FR333" s="2">
        <f t="shared" si="302"/>
        <v>0</v>
      </c>
      <c r="FS333" s="2">
        <v>0</v>
      </c>
      <c r="FT333" s="2"/>
      <c r="FU333" s="2"/>
      <c r="FV333" s="2"/>
      <c r="FW333" s="2"/>
      <c r="FX333" s="2">
        <v>104</v>
      </c>
      <c r="FY333" s="2">
        <v>70</v>
      </c>
      <c r="FZ333" s="2"/>
      <c r="GA333" s="2" t="s">
        <v>3</v>
      </c>
      <c r="GB333" s="2"/>
      <c r="GC333" s="2"/>
      <c r="GD333" s="2">
        <v>0</v>
      </c>
      <c r="GE333" s="2"/>
      <c r="GF333" s="2">
        <v>1228675506</v>
      </c>
      <c r="GG333" s="2">
        <v>2</v>
      </c>
      <c r="GH333" s="2">
        <v>0</v>
      </c>
      <c r="GI333" s="2">
        <v>-2</v>
      </c>
      <c r="GJ333" s="2">
        <v>0</v>
      </c>
      <c r="GK333" s="2">
        <f>ROUND(R333*(R12)/100,2)</f>
        <v>0</v>
      </c>
      <c r="GL333" s="2">
        <f t="shared" si="303"/>
        <v>0</v>
      </c>
      <c r="GM333" s="2">
        <f t="shared" si="304"/>
        <v>0</v>
      </c>
      <c r="GN333" s="2">
        <f t="shared" si="305"/>
        <v>0</v>
      </c>
      <c r="GO333" s="2">
        <f t="shared" si="306"/>
        <v>0</v>
      </c>
      <c r="GP333" s="2">
        <f t="shared" si="307"/>
        <v>0</v>
      </c>
      <c r="GQ333" s="2"/>
      <c r="GR333" s="2">
        <v>0</v>
      </c>
      <c r="GS333" s="2">
        <v>3</v>
      </c>
      <c r="GT333" s="2">
        <v>0</v>
      </c>
      <c r="GU333" s="2" t="s">
        <v>3</v>
      </c>
      <c r="GV333" s="2">
        <f t="shared" si="308"/>
        <v>0</v>
      </c>
      <c r="GW333" s="2">
        <v>1</v>
      </c>
      <c r="GX333" s="2">
        <f t="shared" si="309"/>
        <v>0</v>
      </c>
      <c r="GY333" s="2"/>
      <c r="GZ333" s="2"/>
      <c r="HA333" s="2">
        <v>0</v>
      </c>
      <c r="HB333" s="2">
        <v>0</v>
      </c>
      <c r="HC333" s="2">
        <f t="shared" si="310"/>
        <v>0</v>
      </c>
      <c r="HD333" s="2"/>
      <c r="HE333" s="2" t="s">
        <v>3</v>
      </c>
      <c r="HF333" s="2" t="s">
        <v>3</v>
      </c>
      <c r="HG333" s="2"/>
      <c r="HH333" s="2"/>
      <c r="HI333" s="2"/>
      <c r="HJ333" s="2"/>
      <c r="HK333" s="2"/>
      <c r="HL333" s="2"/>
      <c r="HM333" s="2" t="s">
        <v>3</v>
      </c>
      <c r="HN333" s="2" t="s">
        <v>3</v>
      </c>
      <c r="HO333" s="2" t="s">
        <v>3</v>
      </c>
      <c r="HP333" s="2" t="s">
        <v>3</v>
      </c>
      <c r="HQ333" s="2" t="s">
        <v>3</v>
      </c>
      <c r="HR333" s="2"/>
      <c r="HS333" s="2"/>
      <c r="HT333" s="2"/>
      <c r="HU333" s="2"/>
      <c r="HV333" s="2"/>
      <c r="HW333" s="2"/>
      <c r="HX333" s="2"/>
      <c r="HY333" s="2"/>
      <c r="HZ333" s="2"/>
      <c r="IA333" s="2"/>
      <c r="IB333" s="2"/>
      <c r="IC333" s="2"/>
      <c r="ID333" s="2"/>
      <c r="IE333" s="2"/>
      <c r="IF333" s="2"/>
      <c r="IG333" s="2"/>
      <c r="IH333" s="2"/>
      <c r="II333" s="2"/>
      <c r="IJ333" s="2"/>
      <c r="IK333" s="2">
        <v>0</v>
      </c>
      <c r="IL333" s="2"/>
      <c r="IM333" s="2"/>
      <c r="IN333" s="2"/>
      <c r="IO333" s="2"/>
      <c r="IP333" s="2"/>
      <c r="IQ333" s="2"/>
      <c r="IR333" s="2"/>
      <c r="IS333" s="2"/>
      <c r="IT333" s="2"/>
      <c r="IU333" s="2"/>
    </row>
    <row r="334" spans="1:255" x14ac:dyDescent="0.2">
      <c r="A334">
        <v>18</v>
      </c>
      <c r="B334">
        <v>1</v>
      </c>
      <c r="C334">
        <v>392</v>
      </c>
      <c r="E334" t="s">
        <v>448</v>
      </c>
      <c r="F334" t="s">
        <v>248</v>
      </c>
      <c r="G334" t="s">
        <v>413</v>
      </c>
      <c r="H334" t="s">
        <v>258</v>
      </c>
      <c r="I334">
        <f>I328*J334</f>
        <v>7.14</v>
      </c>
      <c r="J334">
        <v>101.99999999999999</v>
      </c>
      <c r="K334">
        <v>102</v>
      </c>
      <c r="O334">
        <f t="shared" si="278"/>
        <v>8860.89</v>
      </c>
      <c r="P334">
        <f t="shared" si="279"/>
        <v>8860.89</v>
      </c>
      <c r="Q334">
        <f t="shared" si="311"/>
        <v>0</v>
      </c>
      <c r="R334">
        <f t="shared" si="280"/>
        <v>0</v>
      </c>
      <c r="S334">
        <f t="shared" si="281"/>
        <v>0</v>
      </c>
      <c r="T334">
        <f t="shared" si="282"/>
        <v>0</v>
      </c>
      <c r="U334">
        <f t="shared" si="283"/>
        <v>0</v>
      </c>
      <c r="V334">
        <f t="shared" si="284"/>
        <v>0</v>
      </c>
      <c r="W334">
        <f t="shared" si="285"/>
        <v>0</v>
      </c>
      <c r="X334">
        <f t="shared" si="286"/>
        <v>0</v>
      </c>
      <c r="Y334">
        <f t="shared" si="287"/>
        <v>0</v>
      </c>
      <c r="AA334">
        <v>129761633</v>
      </c>
      <c r="AB334">
        <f t="shared" si="288"/>
        <v>143.47</v>
      </c>
      <c r="AC334">
        <f t="shared" si="289"/>
        <v>143.47</v>
      </c>
      <c r="AD334">
        <f t="shared" si="312"/>
        <v>0</v>
      </c>
      <c r="AE334">
        <f t="shared" si="313"/>
        <v>0</v>
      </c>
      <c r="AF334">
        <f t="shared" si="314"/>
        <v>0</v>
      </c>
      <c r="AG334">
        <f t="shared" si="291"/>
        <v>0</v>
      </c>
      <c r="AH334">
        <f t="shared" si="315"/>
        <v>0</v>
      </c>
      <c r="AI334">
        <f t="shared" si="316"/>
        <v>0</v>
      </c>
      <c r="AJ334">
        <f t="shared" si="293"/>
        <v>0</v>
      </c>
      <c r="AK334">
        <v>143.47</v>
      </c>
      <c r="AL334">
        <v>143.47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1</v>
      </c>
      <c r="AW334">
        <v>1</v>
      </c>
      <c r="AZ334">
        <v>1</v>
      </c>
      <c r="BA334">
        <v>1</v>
      </c>
      <c r="BB334">
        <v>1</v>
      </c>
      <c r="BC334">
        <v>8.65</v>
      </c>
      <c r="BD334" t="s">
        <v>3</v>
      </c>
      <c r="BE334" t="s">
        <v>3</v>
      </c>
      <c r="BF334" t="s">
        <v>3</v>
      </c>
      <c r="BG334" t="s">
        <v>3</v>
      </c>
      <c r="BH334">
        <v>3</v>
      </c>
      <c r="BI334">
        <v>1</v>
      </c>
      <c r="BJ334" t="s">
        <v>3</v>
      </c>
      <c r="BM334">
        <v>92</v>
      </c>
      <c r="BN334">
        <v>0</v>
      </c>
      <c r="BO334" t="s">
        <v>3</v>
      </c>
      <c r="BP334">
        <v>0</v>
      </c>
      <c r="BQ334">
        <v>30</v>
      </c>
      <c r="BR334">
        <v>0</v>
      </c>
      <c r="BS334">
        <v>1</v>
      </c>
      <c r="BT334">
        <v>1</v>
      </c>
      <c r="BU334">
        <v>1</v>
      </c>
      <c r="BV334">
        <v>1</v>
      </c>
      <c r="BW334">
        <v>1</v>
      </c>
      <c r="BX334">
        <v>1</v>
      </c>
      <c r="BY334" t="s">
        <v>3</v>
      </c>
      <c r="BZ334">
        <v>0</v>
      </c>
      <c r="CA334">
        <v>0</v>
      </c>
      <c r="CB334" t="s">
        <v>3</v>
      </c>
      <c r="CE334">
        <v>30</v>
      </c>
      <c r="CF334">
        <v>0</v>
      </c>
      <c r="CG334">
        <v>0</v>
      </c>
      <c r="CM334">
        <v>0</v>
      </c>
      <c r="CN334" t="s">
        <v>3</v>
      </c>
      <c r="CO334">
        <v>0</v>
      </c>
      <c r="CP334">
        <f t="shared" si="294"/>
        <v>8860.89</v>
      </c>
      <c r="CQ334">
        <f t="shared" si="295"/>
        <v>1241.02</v>
      </c>
      <c r="CR334">
        <f t="shared" si="317"/>
        <v>0</v>
      </c>
      <c r="CS334">
        <f t="shared" si="296"/>
        <v>0</v>
      </c>
      <c r="CT334">
        <f t="shared" si="297"/>
        <v>0</v>
      </c>
      <c r="CU334">
        <f t="shared" si="298"/>
        <v>0</v>
      </c>
      <c r="CV334">
        <f t="shared" si="299"/>
        <v>0</v>
      </c>
      <c r="CW334">
        <f t="shared" si="300"/>
        <v>0</v>
      </c>
      <c r="CX334">
        <f t="shared" si="301"/>
        <v>0</v>
      </c>
      <c r="CY334">
        <f>S334*(BZ334/100)</f>
        <v>0</v>
      </c>
      <c r="CZ334">
        <f>S334*(CA334/100)</f>
        <v>0</v>
      </c>
      <c r="DC334" t="s">
        <v>3</v>
      </c>
      <c r="DD334" t="s">
        <v>3</v>
      </c>
      <c r="DE334" t="s">
        <v>3</v>
      </c>
      <c r="DF334" t="s">
        <v>3</v>
      </c>
      <c r="DG334" t="s">
        <v>3</v>
      </c>
      <c r="DH334" t="s">
        <v>3</v>
      </c>
      <c r="DI334" t="s">
        <v>3</v>
      </c>
      <c r="DJ334" t="s">
        <v>3</v>
      </c>
      <c r="DK334" t="s">
        <v>3</v>
      </c>
      <c r="DL334" t="s">
        <v>3</v>
      </c>
      <c r="DM334" t="s">
        <v>3</v>
      </c>
      <c r="DN334">
        <v>104</v>
      </c>
      <c r="DO334">
        <v>70</v>
      </c>
      <c r="DP334">
        <v>1</v>
      </c>
      <c r="DQ334">
        <v>1</v>
      </c>
      <c r="DU334">
        <v>1005</v>
      </c>
      <c r="DV334" t="s">
        <v>258</v>
      </c>
      <c r="DW334" t="s">
        <v>258</v>
      </c>
      <c r="DX334">
        <v>1</v>
      </c>
      <c r="DZ334" t="s">
        <v>3</v>
      </c>
      <c r="EA334" t="s">
        <v>3</v>
      </c>
      <c r="EB334" t="s">
        <v>3</v>
      </c>
      <c r="EC334" t="s">
        <v>3</v>
      </c>
      <c r="EE334">
        <v>126051553</v>
      </c>
      <c r="EF334">
        <v>30</v>
      </c>
      <c r="EG334" t="s">
        <v>23</v>
      </c>
      <c r="EH334">
        <v>0</v>
      </c>
      <c r="EI334" t="s">
        <v>3</v>
      </c>
      <c r="EJ334">
        <v>1</v>
      </c>
      <c r="EK334">
        <v>92</v>
      </c>
      <c r="EL334" t="s">
        <v>402</v>
      </c>
      <c r="EM334" t="s">
        <v>403</v>
      </c>
      <c r="EO334" t="s">
        <v>3</v>
      </c>
      <c r="EQ334">
        <v>0</v>
      </c>
      <c r="ER334">
        <v>143.47</v>
      </c>
      <c r="ES334">
        <v>143.47</v>
      </c>
      <c r="ET334">
        <v>0</v>
      </c>
      <c r="EU334">
        <v>0</v>
      </c>
      <c r="EV334">
        <v>0</v>
      </c>
      <c r="EW334">
        <v>0</v>
      </c>
      <c r="EX334">
        <v>0</v>
      </c>
      <c r="EZ334">
        <v>5</v>
      </c>
      <c r="FC334">
        <v>1</v>
      </c>
      <c r="FD334">
        <v>18</v>
      </c>
      <c r="FF334">
        <v>1460</v>
      </c>
      <c r="FQ334">
        <v>0</v>
      </c>
      <c r="FR334">
        <f t="shared" si="302"/>
        <v>0</v>
      </c>
      <c r="FS334">
        <v>0</v>
      </c>
      <c r="FX334">
        <v>104</v>
      </c>
      <c r="FY334">
        <v>70</v>
      </c>
      <c r="GA334" t="s">
        <v>414</v>
      </c>
      <c r="GD334">
        <v>0</v>
      </c>
      <c r="GF334">
        <v>1228675506</v>
      </c>
      <c r="GG334">
        <v>2</v>
      </c>
      <c r="GH334">
        <v>3</v>
      </c>
      <c r="GI334">
        <v>5</v>
      </c>
      <c r="GJ334">
        <v>0</v>
      </c>
      <c r="GK334">
        <f>ROUND(R334*(S12)/100,2)</f>
        <v>0</v>
      </c>
      <c r="GL334">
        <f t="shared" si="303"/>
        <v>0</v>
      </c>
      <c r="GM334">
        <f t="shared" si="304"/>
        <v>8860.89</v>
      </c>
      <c r="GN334">
        <f t="shared" si="305"/>
        <v>8860.89</v>
      </c>
      <c r="GO334">
        <f t="shared" si="306"/>
        <v>0</v>
      </c>
      <c r="GP334">
        <f t="shared" si="307"/>
        <v>0</v>
      </c>
      <c r="GR334">
        <v>1</v>
      </c>
      <c r="GS334">
        <v>1</v>
      </c>
      <c r="GT334">
        <v>0</v>
      </c>
      <c r="GU334" t="s">
        <v>3</v>
      </c>
      <c r="GV334">
        <f t="shared" si="308"/>
        <v>0</v>
      </c>
      <c r="GW334">
        <v>1</v>
      </c>
      <c r="GX334">
        <f t="shared" si="309"/>
        <v>0</v>
      </c>
      <c r="HA334">
        <v>0</v>
      </c>
      <c r="HB334">
        <v>0</v>
      </c>
      <c r="HC334">
        <f t="shared" si="310"/>
        <v>0</v>
      </c>
      <c r="HE334" t="s">
        <v>81</v>
      </c>
      <c r="HF334" t="s">
        <v>252</v>
      </c>
      <c r="HM334" t="s">
        <v>3</v>
      </c>
      <c r="HN334" t="s">
        <v>3</v>
      </c>
      <c r="HO334" t="s">
        <v>3</v>
      </c>
      <c r="HP334" t="s">
        <v>3</v>
      </c>
      <c r="HQ334" t="s">
        <v>3</v>
      </c>
      <c r="IK334">
        <v>0</v>
      </c>
    </row>
    <row r="335" spans="1:255" x14ac:dyDescent="0.2">
      <c r="A335" s="2">
        <v>18</v>
      </c>
      <c r="B335" s="2">
        <v>1</v>
      </c>
      <c r="C335" s="2">
        <v>378</v>
      </c>
      <c r="D335" s="2"/>
      <c r="E335" s="2" t="s">
        <v>449</v>
      </c>
      <c r="F335" s="2" t="s">
        <v>416</v>
      </c>
      <c r="G335" s="2" t="s">
        <v>450</v>
      </c>
      <c r="H335" s="2" t="s">
        <v>258</v>
      </c>
      <c r="I335" s="2">
        <f>I327*J335</f>
        <v>0</v>
      </c>
      <c r="J335" s="2">
        <v>0</v>
      </c>
      <c r="K335" s="2">
        <v>0</v>
      </c>
      <c r="L335" s="2"/>
      <c r="M335" s="2"/>
      <c r="N335" s="2"/>
      <c r="O335" s="2">
        <f t="shared" si="278"/>
        <v>0</v>
      </c>
      <c r="P335" s="2">
        <f t="shared" si="279"/>
        <v>0</v>
      </c>
      <c r="Q335" s="2">
        <f t="shared" si="311"/>
        <v>0</v>
      </c>
      <c r="R335" s="2">
        <f t="shared" si="280"/>
        <v>0</v>
      </c>
      <c r="S335" s="2">
        <f t="shared" si="281"/>
        <v>0</v>
      </c>
      <c r="T335" s="2">
        <f t="shared" si="282"/>
        <v>0</v>
      </c>
      <c r="U335" s="2">
        <f t="shared" si="283"/>
        <v>0</v>
      </c>
      <c r="V335" s="2">
        <f t="shared" si="284"/>
        <v>0</v>
      </c>
      <c r="W335" s="2">
        <f t="shared" si="285"/>
        <v>0</v>
      </c>
      <c r="X335" s="2">
        <f t="shared" si="286"/>
        <v>0</v>
      </c>
      <c r="Y335" s="2">
        <f t="shared" si="287"/>
        <v>0</v>
      </c>
      <c r="Z335" s="2"/>
      <c r="AA335" s="2">
        <v>129761636</v>
      </c>
      <c r="AB335" s="2">
        <f t="shared" si="288"/>
        <v>92.02</v>
      </c>
      <c r="AC335" s="2">
        <f t="shared" si="289"/>
        <v>92.02</v>
      </c>
      <c r="AD335" s="2">
        <f t="shared" si="312"/>
        <v>0</v>
      </c>
      <c r="AE335" s="2">
        <f t="shared" si="313"/>
        <v>0</v>
      </c>
      <c r="AF335" s="2">
        <f t="shared" si="314"/>
        <v>0</v>
      </c>
      <c r="AG335" s="2">
        <f t="shared" si="291"/>
        <v>0</v>
      </c>
      <c r="AH335" s="2">
        <f t="shared" si="315"/>
        <v>0</v>
      </c>
      <c r="AI335" s="2">
        <f t="shared" si="316"/>
        <v>0</v>
      </c>
      <c r="AJ335" s="2">
        <f t="shared" si="293"/>
        <v>0</v>
      </c>
      <c r="AK335" s="2">
        <v>92.02</v>
      </c>
      <c r="AL335" s="2">
        <v>92.02</v>
      </c>
      <c r="AM335" s="2">
        <v>0</v>
      </c>
      <c r="AN335" s="2">
        <v>0</v>
      </c>
      <c r="AO335" s="2">
        <v>0</v>
      </c>
      <c r="AP335" s="2">
        <v>0</v>
      </c>
      <c r="AQ335" s="2">
        <v>0</v>
      </c>
      <c r="AR335" s="2">
        <v>0</v>
      </c>
      <c r="AS335" s="2">
        <v>0</v>
      </c>
      <c r="AT335" s="2">
        <v>104</v>
      </c>
      <c r="AU335" s="2">
        <v>70</v>
      </c>
      <c r="AV335" s="2">
        <v>1</v>
      </c>
      <c r="AW335" s="2">
        <v>1</v>
      </c>
      <c r="AX335" s="2"/>
      <c r="AY335" s="2"/>
      <c r="AZ335" s="2">
        <v>1</v>
      </c>
      <c r="BA335" s="2">
        <v>1</v>
      </c>
      <c r="BB335" s="2">
        <v>1</v>
      </c>
      <c r="BC335" s="2">
        <v>1</v>
      </c>
      <c r="BD335" s="2" t="s">
        <v>3</v>
      </c>
      <c r="BE335" s="2" t="s">
        <v>3</v>
      </c>
      <c r="BF335" s="2" t="s">
        <v>3</v>
      </c>
      <c r="BG335" s="2" t="s">
        <v>3</v>
      </c>
      <c r="BH335" s="2">
        <v>3</v>
      </c>
      <c r="BI335" s="2">
        <v>1</v>
      </c>
      <c r="BJ335" s="2" t="s">
        <v>451</v>
      </c>
      <c r="BK335" s="2"/>
      <c r="BL335" s="2"/>
      <c r="BM335" s="2">
        <v>92</v>
      </c>
      <c r="BN335" s="2">
        <v>0</v>
      </c>
      <c r="BO335" s="2" t="s">
        <v>3</v>
      </c>
      <c r="BP335" s="2">
        <v>0</v>
      </c>
      <c r="BQ335" s="2">
        <v>30</v>
      </c>
      <c r="BR335" s="2">
        <v>0</v>
      </c>
      <c r="BS335" s="2">
        <v>1</v>
      </c>
      <c r="BT335" s="2">
        <v>1</v>
      </c>
      <c r="BU335" s="2">
        <v>1</v>
      </c>
      <c r="BV335" s="2">
        <v>1</v>
      </c>
      <c r="BW335" s="2">
        <v>1</v>
      </c>
      <c r="BX335" s="2">
        <v>1</v>
      </c>
      <c r="BY335" s="2" t="s">
        <v>3</v>
      </c>
      <c r="BZ335" s="2">
        <v>104</v>
      </c>
      <c r="CA335" s="2">
        <v>70</v>
      </c>
      <c r="CB335" s="2" t="s">
        <v>3</v>
      </c>
      <c r="CC335" s="2"/>
      <c r="CD335" s="2"/>
      <c r="CE335" s="2">
        <v>30</v>
      </c>
      <c r="CF335" s="2">
        <v>0</v>
      </c>
      <c r="CG335" s="2">
        <v>0</v>
      </c>
      <c r="CH335" s="2"/>
      <c r="CI335" s="2"/>
      <c r="CJ335" s="2"/>
      <c r="CK335" s="2"/>
      <c r="CL335" s="2"/>
      <c r="CM335" s="2">
        <v>0</v>
      </c>
      <c r="CN335" s="2" t="s">
        <v>3</v>
      </c>
      <c r="CO335" s="2">
        <v>0</v>
      </c>
      <c r="CP335" s="2">
        <f t="shared" si="294"/>
        <v>0</v>
      </c>
      <c r="CQ335" s="2">
        <f t="shared" si="295"/>
        <v>92.02</v>
      </c>
      <c r="CR335" s="2">
        <f t="shared" si="317"/>
        <v>0</v>
      </c>
      <c r="CS335" s="2">
        <f t="shared" si="296"/>
        <v>0</v>
      </c>
      <c r="CT335" s="2">
        <f t="shared" si="297"/>
        <v>0</v>
      </c>
      <c r="CU335" s="2">
        <f t="shared" si="298"/>
        <v>0</v>
      </c>
      <c r="CV335" s="2">
        <f t="shared" si="299"/>
        <v>0</v>
      </c>
      <c r="CW335" s="2">
        <f t="shared" si="300"/>
        <v>0</v>
      </c>
      <c r="CX335" s="2">
        <f t="shared" si="301"/>
        <v>0</v>
      </c>
      <c r="CY335" s="2">
        <f>((S335*BZ335)/100)</f>
        <v>0</v>
      </c>
      <c r="CZ335" s="2">
        <f>((S335*CA335)/100)</f>
        <v>0</v>
      </c>
      <c r="DA335" s="2"/>
      <c r="DB335" s="2"/>
      <c r="DC335" s="2" t="s">
        <v>3</v>
      </c>
      <c r="DD335" s="2" t="s">
        <v>3</v>
      </c>
      <c r="DE335" s="2" t="s">
        <v>3</v>
      </c>
      <c r="DF335" s="2" t="s">
        <v>3</v>
      </c>
      <c r="DG335" s="2" t="s">
        <v>3</v>
      </c>
      <c r="DH335" s="2" t="s">
        <v>3</v>
      </c>
      <c r="DI335" s="2" t="s">
        <v>3</v>
      </c>
      <c r="DJ335" s="2" t="s">
        <v>3</v>
      </c>
      <c r="DK335" s="2" t="s">
        <v>3</v>
      </c>
      <c r="DL335" s="2" t="s">
        <v>3</v>
      </c>
      <c r="DM335" s="2" t="s">
        <v>3</v>
      </c>
      <c r="DN335" s="2">
        <v>0</v>
      </c>
      <c r="DO335" s="2">
        <v>0</v>
      </c>
      <c r="DP335" s="2">
        <v>1</v>
      </c>
      <c r="DQ335" s="2">
        <v>1</v>
      </c>
      <c r="DR335" s="2"/>
      <c r="DS335" s="2"/>
      <c r="DT335" s="2"/>
      <c r="DU335" s="2">
        <v>1005</v>
      </c>
      <c r="DV335" s="2" t="s">
        <v>258</v>
      </c>
      <c r="DW335" s="2" t="s">
        <v>258</v>
      </c>
      <c r="DX335" s="2">
        <v>1</v>
      </c>
      <c r="DY335" s="2"/>
      <c r="DZ335" s="2" t="s">
        <v>3</v>
      </c>
      <c r="EA335" s="2" t="s">
        <v>3</v>
      </c>
      <c r="EB335" s="2" t="s">
        <v>3</v>
      </c>
      <c r="EC335" s="2" t="s">
        <v>3</v>
      </c>
      <c r="ED335" s="2"/>
      <c r="EE335" s="2">
        <v>126051553</v>
      </c>
      <c r="EF335" s="2">
        <v>30</v>
      </c>
      <c r="EG335" s="2" t="s">
        <v>23</v>
      </c>
      <c r="EH335" s="2">
        <v>0</v>
      </c>
      <c r="EI335" s="2" t="s">
        <v>3</v>
      </c>
      <c r="EJ335" s="2">
        <v>1</v>
      </c>
      <c r="EK335" s="2">
        <v>92</v>
      </c>
      <c r="EL335" s="2" t="s">
        <v>402</v>
      </c>
      <c r="EM335" s="2" t="s">
        <v>403</v>
      </c>
      <c r="EN335" s="2"/>
      <c r="EO335" s="2" t="s">
        <v>3</v>
      </c>
      <c r="EP335" s="2"/>
      <c r="EQ335" s="2">
        <v>0</v>
      </c>
      <c r="ER335" s="2">
        <v>92.02</v>
      </c>
      <c r="ES335" s="2">
        <v>92.02</v>
      </c>
      <c r="ET335" s="2">
        <v>0</v>
      </c>
      <c r="EU335" s="2">
        <v>0</v>
      </c>
      <c r="EV335" s="2">
        <v>0</v>
      </c>
      <c r="EW335" s="2">
        <v>0</v>
      </c>
      <c r="EX335" s="2">
        <v>0</v>
      </c>
      <c r="EY335" s="2"/>
      <c r="EZ335" s="2"/>
      <c r="FA335" s="2"/>
      <c r="FB335" s="2"/>
      <c r="FC335" s="2"/>
      <c r="FD335" s="2"/>
      <c r="FE335" s="2"/>
      <c r="FF335" s="2"/>
      <c r="FG335" s="2"/>
      <c r="FH335" s="2"/>
      <c r="FI335" s="2"/>
      <c r="FJ335" s="2"/>
      <c r="FK335" s="2"/>
      <c r="FL335" s="2"/>
      <c r="FM335" s="2"/>
      <c r="FN335" s="2"/>
      <c r="FO335" s="2"/>
      <c r="FP335" s="2"/>
      <c r="FQ335" s="2">
        <v>0</v>
      </c>
      <c r="FR335" s="2">
        <f t="shared" si="302"/>
        <v>0</v>
      </c>
      <c r="FS335" s="2">
        <v>0</v>
      </c>
      <c r="FT335" s="2"/>
      <c r="FU335" s="2"/>
      <c r="FV335" s="2"/>
      <c r="FW335" s="2"/>
      <c r="FX335" s="2">
        <v>104</v>
      </c>
      <c r="FY335" s="2">
        <v>70</v>
      </c>
      <c r="FZ335" s="2"/>
      <c r="GA335" s="2" t="s">
        <v>3</v>
      </c>
      <c r="GB335" s="2"/>
      <c r="GC335" s="2"/>
      <c r="GD335" s="2">
        <v>0</v>
      </c>
      <c r="GE335" s="2"/>
      <c r="GF335" s="2">
        <v>1213652254</v>
      </c>
      <c r="GG335" s="2">
        <v>2</v>
      </c>
      <c r="GH335" s="2">
        <v>1</v>
      </c>
      <c r="GI335" s="2">
        <v>-2</v>
      </c>
      <c r="GJ335" s="2">
        <v>0</v>
      </c>
      <c r="GK335" s="2">
        <f>ROUND(R335*(R12)/100,2)</f>
        <v>0</v>
      </c>
      <c r="GL335" s="2">
        <f t="shared" si="303"/>
        <v>0</v>
      </c>
      <c r="GM335" s="2">
        <f t="shared" si="304"/>
        <v>0</v>
      </c>
      <c r="GN335" s="2">
        <f t="shared" si="305"/>
        <v>0</v>
      </c>
      <c r="GO335" s="2">
        <f t="shared" si="306"/>
        <v>0</v>
      </c>
      <c r="GP335" s="2">
        <f t="shared" si="307"/>
        <v>0</v>
      </c>
      <c r="GQ335" s="2"/>
      <c r="GR335" s="2">
        <v>0</v>
      </c>
      <c r="GS335" s="2">
        <v>0</v>
      </c>
      <c r="GT335" s="2">
        <v>0</v>
      </c>
      <c r="GU335" s="2" t="s">
        <v>3</v>
      </c>
      <c r="GV335" s="2">
        <f t="shared" si="308"/>
        <v>0</v>
      </c>
      <c r="GW335" s="2">
        <v>1</v>
      </c>
      <c r="GX335" s="2">
        <f t="shared" si="309"/>
        <v>0</v>
      </c>
      <c r="GY335" s="2"/>
      <c r="GZ335" s="2"/>
      <c r="HA335" s="2">
        <v>0</v>
      </c>
      <c r="HB335" s="2">
        <v>0</v>
      </c>
      <c r="HC335" s="2">
        <f t="shared" si="310"/>
        <v>0</v>
      </c>
      <c r="HD335" s="2"/>
      <c r="HE335" s="2" t="s">
        <v>3</v>
      </c>
      <c r="HF335" s="2" t="s">
        <v>3</v>
      </c>
      <c r="HG335" s="2"/>
      <c r="HH335" s="2"/>
      <c r="HI335" s="2"/>
      <c r="HJ335" s="2"/>
      <c r="HK335" s="2"/>
      <c r="HL335" s="2"/>
      <c r="HM335" s="2" t="s">
        <v>3</v>
      </c>
      <c r="HN335" s="2" t="s">
        <v>3</v>
      </c>
      <c r="HO335" s="2" t="s">
        <v>3</v>
      </c>
      <c r="HP335" s="2" t="s">
        <v>3</v>
      </c>
      <c r="HQ335" s="2" t="s">
        <v>3</v>
      </c>
      <c r="HR335" s="2"/>
      <c r="HS335" s="2"/>
      <c r="HT335" s="2"/>
      <c r="HU335" s="2"/>
      <c r="HV335" s="2"/>
      <c r="HW335" s="2"/>
      <c r="HX335" s="2"/>
      <c r="HY335" s="2"/>
      <c r="HZ335" s="2"/>
      <c r="IA335" s="2"/>
      <c r="IB335" s="2"/>
      <c r="IC335" s="2"/>
      <c r="ID335" s="2"/>
      <c r="IE335" s="2"/>
      <c r="IF335" s="2"/>
      <c r="IG335" s="2"/>
      <c r="IH335" s="2"/>
      <c r="II335" s="2"/>
      <c r="IJ335" s="2"/>
      <c r="IK335" s="2">
        <v>0</v>
      </c>
      <c r="IL335" s="2"/>
      <c r="IM335" s="2"/>
      <c r="IN335" s="2"/>
      <c r="IO335" s="2"/>
      <c r="IP335" s="2"/>
      <c r="IQ335" s="2"/>
      <c r="IR335" s="2"/>
      <c r="IS335" s="2"/>
      <c r="IT335" s="2"/>
      <c r="IU335" s="2"/>
    </row>
    <row r="336" spans="1:255" x14ac:dyDescent="0.2">
      <c r="A336">
        <v>18</v>
      </c>
      <c r="B336">
        <v>1</v>
      </c>
      <c r="C336">
        <v>388</v>
      </c>
      <c r="E336" t="s">
        <v>449</v>
      </c>
      <c r="F336" t="s">
        <v>416</v>
      </c>
      <c r="G336" t="s">
        <v>450</v>
      </c>
      <c r="H336" t="s">
        <v>258</v>
      </c>
      <c r="I336">
        <f>I328*J336</f>
        <v>0</v>
      </c>
      <c r="J336">
        <v>0</v>
      </c>
      <c r="K336">
        <v>0</v>
      </c>
      <c r="O336">
        <f t="shared" si="278"/>
        <v>0</v>
      </c>
      <c r="P336">
        <f t="shared" si="279"/>
        <v>0</v>
      </c>
      <c r="Q336">
        <f t="shared" si="311"/>
        <v>0</v>
      </c>
      <c r="R336">
        <f t="shared" si="280"/>
        <v>0</v>
      </c>
      <c r="S336">
        <f t="shared" si="281"/>
        <v>0</v>
      </c>
      <c r="T336">
        <f t="shared" si="282"/>
        <v>0</v>
      </c>
      <c r="U336">
        <f t="shared" si="283"/>
        <v>0</v>
      </c>
      <c r="V336">
        <f t="shared" si="284"/>
        <v>0</v>
      </c>
      <c r="W336">
        <f t="shared" si="285"/>
        <v>0</v>
      </c>
      <c r="X336">
        <f t="shared" si="286"/>
        <v>0</v>
      </c>
      <c r="Y336">
        <f t="shared" si="287"/>
        <v>0</v>
      </c>
      <c r="AA336">
        <v>129761633</v>
      </c>
      <c r="AB336">
        <f t="shared" si="288"/>
        <v>92.02</v>
      </c>
      <c r="AC336">
        <f t="shared" si="289"/>
        <v>92.02</v>
      </c>
      <c r="AD336">
        <f t="shared" si="312"/>
        <v>0</v>
      </c>
      <c r="AE336">
        <f t="shared" si="313"/>
        <v>0</v>
      </c>
      <c r="AF336">
        <f t="shared" si="314"/>
        <v>0</v>
      </c>
      <c r="AG336">
        <f t="shared" si="291"/>
        <v>0</v>
      </c>
      <c r="AH336">
        <f t="shared" si="315"/>
        <v>0</v>
      </c>
      <c r="AI336">
        <f t="shared" si="316"/>
        <v>0</v>
      </c>
      <c r="AJ336">
        <f t="shared" si="293"/>
        <v>0</v>
      </c>
      <c r="AK336">
        <v>92.02</v>
      </c>
      <c r="AL336">
        <v>92.02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1</v>
      </c>
      <c r="AW336">
        <v>1</v>
      </c>
      <c r="AZ336">
        <v>1</v>
      </c>
      <c r="BA336">
        <v>1</v>
      </c>
      <c r="BB336">
        <v>1</v>
      </c>
      <c r="BC336">
        <v>7.5</v>
      </c>
      <c r="BD336" t="s">
        <v>3</v>
      </c>
      <c r="BE336" t="s">
        <v>3</v>
      </c>
      <c r="BF336" t="s">
        <v>3</v>
      </c>
      <c r="BG336" t="s">
        <v>3</v>
      </c>
      <c r="BH336">
        <v>3</v>
      </c>
      <c r="BI336">
        <v>1</v>
      </c>
      <c r="BJ336" t="s">
        <v>451</v>
      </c>
      <c r="BM336">
        <v>92</v>
      </c>
      <c r="BN336">
        <v>0</v>
      </c>
      <c r="BO336" t="s">
        <v>416</v>
      </c>
      <c r="BP336">
        <v>1</v>
      </c>
      <c r="BQ336">
        <v>30</v>
      </c>
      <c r="BR336">
        <v>0</v>
      </c>
      <c r="BS336">
        <v>1</v>
      </c>
      <c r="BT336">
        <v>1</v>
      </c>
      <c r="BU336">
        <v>1</v>
      </c>
      <c r="BV336">
        <v>1</v>
      </c>
      <c r="BW336">
        <v>1</v>
      </c>
      <c r="BX336">
        <v>1</v>
      </c>
      <c r="BY336" t="s">
        <v>3</v>
      </c>
      <c r="BZ336">
        <v>0</v>
      </c>
      <c r="CA336">
        <v>0</v>
      </c>
      <c r="CB336" t="s">
        <v>3</v>
      </c>
      <c r="CE336">
        <v>30</v>
      </c>
      <c r="CF336">
        <v>0</v>
      </c>
      <c r="CG336">
        <v>0</v>
      </c>
      <c r="CM336">
        <v>0</v>
      </c>
      <c r="CN336" t="s">
        <v>3</v>
      </c>
      <c r="CO336">
        <v>0</v>
      </c>
      <c r="CP336">
        <f t="shared" si="294"/>
        <v>0</v>
      </c>
      <c r="CQ336">
        <f t="shared" si="295"/>
        <v>690.15</v>
      </c>
      <c r="CR336">
        <f t="shared" si="317"/>
        <v>0</v>
      </c>
      <c r="CS336">
        <f t="shared" si="296"/>
        <v>0</v>
      </c>
      <c r="CT336">
        <f t="shared" si="297"/>
        <v>0</v>
      </c>
      <c r="CU336">
        <f t="shared" si="298"/>
        <v>0</v>
      </c>
      <c r="CV336">
        <f t="shared" si="299"/>
        <v>0</v>
      </c>
      <c r="CW336">
        <f t="shared" si="300"/>
        <v>0</v>
      </c>
      <c r="CX336">
        <f t="shared" si="301"/>
        <v>0</v>
      </c>
      <c r="CY336">
        <f>S336*(BZ336/100)</f>
        <v>0</v>
      </c>
      <c r="CZ336">
        <f>S336*(CA336/100)</f>
        <v>0</v>
      </c>
      <c r="DC336" t="s">
        <v>3</v>
      </c>
      <c r="DD336" t="s">
        <v>3</v>
      </c>
      <c r="DE336" t="s">
        <v>3</v>
      </c>
      <c r="DF336" t="s">
        <v>3</v>
      </c>
      <c r="DG336" t="s">
        <v>3</v>
      </c>
      <c r="DH336" t="s">
        <v>3</v>
      </c>
      <c r="DI336" t="s">
        <v>3</v>
      </c>
      <c r="DJ336" t="s">
        <v>3</v>
      </c>
      <c r="DK336" t="s">
        <v>3</v>
      </c>
      <c r="DL336" t="s">
        <v>3</v>
      </c>
      <c r="DM336" t="s">
        <v>3</v>
      </c>
      <c r="DN336">
        <v>104</v>
      </c>
      <c r="DO336">
        <v>70</v>
      </c>
      <c r="DP336">
        <v>1</v>
      </c>
      <c r="DQ336">
        <v>1</v>
      </c>
      <c r="DU336">
        <v>1005</v>
      </c>
      <c r="DV336" t="s">
        <v>258</v>
      </c>
      <c r="DW336" t="s">
        <v>258</v>
      </c>
      <c r="DX336">
        <v>1</v>
      </c>
      <c r="DZ336" t="s">
        <v>3</v>
      </c>
      <c r="EA336" t="s">
        <v>3</v>
      </c>
      <c r="EB336" t="s">
        <v>3</v>
      </c>
      <c r="EC336" t="s">
        <v>3</v>
      </c>
      <c r="EE336">
        <v>126051553</v>
      </c>
      <c r="EF336">
        <v>30</v>
      </c>
      <c r="EG336" t="s">
        <v>23</v>
      </c>
      <c r="EH336">
        <v>0</v>
      </c>
      <c r="EI336" t="s">
        <v>3</v>
      </c>
      <c r="EJ336">
        <v>1</v>
      </c>
      <c r="EK336">
        <v>92</v>
      </c>
      <c r="EL336" t="s">
        <v>402</v>
      </c>
      <c r="EM336" t="s">
        <v>403</v>
      </c>
      <c r="EO336" t="s">
        <v>3</v>
      </c>
      <c r="EQ336">
        <v>0</v>
      </c>
      <c r="ER336">
        <v>92.02</v>
      </c>
      <c r="ES336">
        <v>92.02</v>
      </c>
      <c r="ET336">
        <v>0</v>
      </c>
      <c r="EU336">
        <v>0</v>
      </c>
      <c r="EV336">
        <v>0</v>
      </c>
      <c r="EW336">
        <v>0</v>
      </c>
      <c r="EX336">
        <v>0</v>
      </c>
      <c r="FQ336">
        <v>0</v>
      </c>
      <c r="FR336">
        <f t="shared" si="302"/>
        <v>0</v>
      </c>
      <c r="FS336">
        <v>0</v>
      </c>
      <c r="FX336">
        <v>104</v>
      </c>
      <c r="FY336">
        <v>70</v>
      </c>
      <c r="GA336" t="s">
        <v>3</v>
      </c>
      <c r="GD336">
        <v>0</v>
      </c>
      <c r="GF336">
        <v>1213652254</v>
      </c>
      <c r="GG336">
        <v>2</v>
      </c>
      <c r="GH336">
        <v>1</v>
      </c>
      <c r="GI336">
        <v>2</v>
      </c>
      <c r="GJ336">
        <v>0</v>
      </c>
      <c r="GK336">
        <f>ROUND(R336*(S12)/100,2)</f>
        <v>0</v>
      </c>
      <c r="GL336">
        <f t="shared" si="303"/>
        <v>0</v>
      </c>
      <c r="GM336">
        <f t="shared" si="304"/>
        <v>0</v>
      </c>
      <c r="GN336">
        <f t="shared" si="305"/>
        <v>0</v>
      </c>
      <c r="GO336">
        <f t="shared" si="306"/>
        <v>0</v>
      </c>
      <c r="GP336">
        <f t="shared" si="307"/>
        <v>0</v>
      </c>
      <c r="GR336">
        <v>0</v>
      </c>
      <c r="GS336">
        <v>3</v>
      </c>
      <c r="GT336">
        <v>0</v>
      </c>
      <c r="GU336" t="s">
        <v>3</v>
      </c>
      <c r="GV336">
        <f t="shared" si="308"/>
        <v>0</v>
      </c>
      <c r="GW336">
        <v>1</v>
      </c>
      <c r="GX336">
        <f t="shared" si="309"/>
        <v>0</v>
      </c>
      <c r="HA336">
        <v>0</v>
      </c>
      <c r="HB336">
        <v>0</v>
      </c>
      <c r="HC336">
        <f t="shared" si="310"/>
        <v>0</v>
      </c>
      <c r="HE336" t="s">
        <v>3</v>
      </c>
      <c r="HF336" t="s">
        <v>3</v>
      </c>
      <c r="HM336" t="s">
        <v>3</v>
      </c>
      <c r="HN336" t="s">
        <v>3</v>
      </c>
      <c r="HO336" t="s">
        <v>3</v>
      </c>
      <c r="HP336" t="s">
        <v>3</v>
      </c>
      <c r="HQ336" t="s">
        <v>3</v>
      </c>
      <c r="IK336">
        <v>0</v>
      </c>
    </row>
    <row r="337" spans="1:255" x14ac:dyDescent="0.2">
      <c r="A337" s="2">
        <v>17</v>
      </c>
      <c r="B337" s="2">
        <v>1</v>
      </c>
      <c r="C337" s="2">
        <f>ROW(SmtRes!A397)</f>
        <v>397</v>
      </c>
      <c r="D337" s="2">
        <f>ROW(EtalonRes!A399)</f>
        <v>399</v>
      </c>
      <c r="E337" s="2" t="s">
        <v>452</v>
      </c>
      <c r="F337" s="2" t="s">
        <v>453</v>
      </c>
      <c r="G337" s="2" t="s">
        <v>454</v>
      </c>
      <c r="H337" s="2" t="s">
        <v>455</v>
      </c>
      <c r="I337" s="2">
        <v>5.2999999999999999E-2</v>
      </c>
      <c r="J337" s="2">
        <v>0</v>
      </c>
      <c r="K337" s="2">
        <v>5.2999999999999999E-2</v>
      </c>
      <c r="L337" s="2"/>
      <c r="M337" s="2"/>
      <c r="N337" s="2"/>
      <c r="O337" s="2">
        <f t="shared" si="278"/>
        <v>39.94</v>
      </c>
      <c r="P337" s="2">
        <f t="shared" si="279"/>
        <v>27.41</v>
      </c>
      <c r="Q337" s="2">
        <f t="shared" si="311"/>
        <v>0</v>
      </c>
      <c r="R337" s="2">
        <f t="shared" si="280"/>
        <v>0</v>
      </c>
      <c r="S337" s="2">
        <f t="shared" si="281"/>
        <v>12.53</v>
      </c>
      <c r="T337" s="2">
        <f t="shared" si="282"/>
        <v>0</v>
      </c>
      <c r="U337" s="2">
        <f t="shared" si="283"/>
        <v>1.1400300000000001</v>
      </c>
      <c r="V337" s="2">
        <f t="shared" si="284"/>
        <v>0</v>
      </c>
      <c r="W337" s="2">
        <f t="shared" si="285"/>
        <v>0</v>
      </c>
      <c r="X337" s="2">
        <f t="shared" si="286"/>
        <v>13.03</v>
      </c>
      <c r="Y337" s="2">
        <f t="shared" si="287"/>
        <v>9.9</v>
      </c>
      <c r="Z337" s="2"/>
      <c r="AA337" s="2">
        <v>129761636</v>
      </c>
      <c r="AB337" s="2">
        <f t="shared" si="288"/>
        <v>753.58</v>
      </c>
      <c r="AC337" s="2">
        <f t="shared" si="289"/>
        <v>517.19000000000005</v>
      </c>
      <c r="AD337" s="2">
        <f t="shared" si="312"/>
        <v>0</v>
      </c>
      <c r="AE337" s="2">
        <f t="shared" si="313"/>
        <v>0</v>
      </c>
      <c r="AF337" s="2">
        <f t="shared" si="314"/>
        <v>236.39</v>
      </c>
      <c r="AG337" s="2">
        <f t="shared" si="291"/>
        <v>0</v>
      </c>
      <c r="AH337" s="2">
        <f t="shared" si="315"/>
        <v>21.51</v>
      </c>
      <c r="AI337" s="2">
        <f t="shared" si="316"/>
        <v>0</v>
      </c>
      <c r="AJ337" s="2">
        <f t="shared" si="293"/>
        <v>0</v>
      </c>
      <c r="AK337" s="2">
        <v>753.58</v>
      </c>
      <c r="AL337" s="2">
        <v>517.19000000000005</v>
      </c>
      <c r="AM337" s="2">
        <v>0</v>
      </c>
      <c r="AN337" s="2">
        <v>0</v>
      </c>
      <c r="AO337" s="2">
        <v>236.39</v>
      </c>
      <c r="AP337" s="2">
        <v>0</v>
      </c>
      <c r="AQ337" s="2">
        <v>21.51</v>
      </c>
      <c r="AR337" s="2">
        <v>0</v>
      </c>
      <c r="AS337" s="2">
        <v>0</v>
      </c>
      <c r="AT337" s="2">
        <v>104</v>
      </c>
      <c r="AU337" s="2">
        <v>79</v>
      </c>
      <c r="AV337" s="2">
        <v>1</v>
      </c>
      <c r="AW337" s="2">
        <v>1</v>
      </c>
      <c r="AX337" s="2"/>
      <c r="AY337" s="2"/>
      <c r="AZ337" s="2">
        <v>1</v>
      </c>
      <c r="BA337" s="2">
        <v>1</v>
      </c>
      <c r="BB337" s="2">
        <v>1</v>
      </c>
      <c r="BC337" s="2">
        <v>1</v>
      </c>
      <c r="BD337" s="2" t="s">
        <v>3</v>
      </c>
      <c r="BE337" s="2" t="s">
        <v>3</v>
      </c>
      <c r="BF337" s="2" t="s">
        <v>3</v>
      </c>
      <c r="BG337" s="2" t="s">
        <v>3</v>
      </c>
      <c r="BH337" s="2">
        <v>0</v>
      </c>
      <c r="BI337" s="2">
        <v>1</v>
      </c>
      <c r="BJ337" s="2" t="s">
        <v>456</v>
      </c>
      <c r="BK337" s="2"/>
      <c r="BL337" s="2"/>
      <c r="BM337" s="2">
        <v>442</v>
      </c>
      <c r="BN337" s="2">
        <v>0</v>
      </c>
      <c r="BO337" s="2" t="s">
        <v>3</v>
      </c>
      <c r="BP337" s="2">
        <v>0</v>
      </c>
      <c r="BQ337" s="2">
        <v>60</v>
      </c>
      <c r="BR337" s="2">
        <v>0</v>
      </c>
      <c r="BS337" s="2">
        <v>1</v>
      </c>
      <c r="BT337" s="2">
        <v>1</v>
      </c>
      <c r="BU337" s="2">
        <v>1</v>
      </c>
      <c r="BV337" s="2">
        <v>1</v>
      </c>
      <c r="BW337" s="2">
        <v>1</v>
      </c>
      <c r="BX337" s="2">
        <v>1</v>
      </c>
      <c r="BY337" s="2" t="s">
        <v>3</v>
      </c>
      <c r="BZ337" s="2">
        <v>104</v>
      </c>
      <c r="CA337" s="2">
        <v>79</v>
      </c>
      <c r="CB337" s="2" t="s">
        <v>3</v>
      </c>
      <c r="CC337" s="2"/>
      <c r="CD337" s="2"/>
      <c r="CE337" s="2">
        <v>30</v>
      </c>
      <c r="CF337" s="2">
        <v>0</v>
      </c>
      <c r="CG337" s="2">
        <v>0</v>
      </c>
      <c r="CH337" s="2"/>
      <c r="CI337" s="2"/>
      <c r="CJ337" s="2"/>
      <c r="CK337" s="2"/>
      <c r="CL337" s="2"/>
      <c r="CM337" s="2">
        <v>0</v>
      </c>
      <c r="CN337" s="2" t="s">
        <v>3</v>
      </c>
      <c r="CO337" s="2">
        <v>0</v>
      </c>
      <c r="CP337" s="2">
        <f t="shared" si="294"/>
        <v>39.94</v>
      </c>
      <c r="CQ337" s="2">
        <f t="shared" si="295"/>
        <v>517.19000000000005</v>
      </c>
      <c r="CR337" s="2">
        <f t="shared" si="317"/>
        <v>0</v>
      </c>
      <c r="CS337" s="2">
        <f t="shared" si="296"/>
        <v>0</v>
      </c>
      <c r="CT337" s="2">
        <f t="shared" si="297"/>
        <v>236.39</v>
      </c>
      <c r="CU337" s="2">
        <f t="shared" si="298"/>
        <v>0</v>
      </c>
      <c r="CV337" s="2">
        <f t="shared" si="299"/>
        <v>21.51</v>
      </c>
      <c r="CW337" s="2">
        <f t="shared" si="300"/>
        <v>0</v>
      </c>
      <c r="CX337" s="2">
        <f t="shared" si="301"/>
        <v>0</v>
      </c>
      <c r="CY337" s="2">
        <f>((S337*BZ337)/100)</f>
        <v>13.031199999999998</v>
      </c>
      <c r="CZ337" s="2">
        <f>((S337*CA337)/100)</f>
        <v>9.8986999999999998</v>
      </c>
      <c r="DA337" s="2"/>
      <c r="DB337" s="2"/>
      <c r="DC337" s="2" t="s">
        <v>3</v>
      </c>
      <c r="DD337" s="2" t="s">
        <v>3</v>
      </c>
      <c r="DE337" s="2" t="s">
        <v>3</v>
      </c>
      <c r="DF337" s="2" t="s">
        <v>3</v>
      </c>
      <c r="DG337" s="2" t="s">
        <v>3</v>
      </c>
      <c r="DH337" s="2" t="s">
        <v>3</v>
      </c>
      <c r="DI337" s="2" t="s">
        <v>3</v>
      </c>
      <c r="DJ337" s="2" t="s">
        <v>3</v>
      </c>
      <c r="DK337" s="2" t="s">
        <v>3</v>
      </c>
      <c r="DL337" s="2" t="s">
        <v>3</v>
      </c>
      <c r="DM337" s="2" t="s">
        <v>3</v>
      </c>
      <c r="DN337" s="2">
        <v>0</v>
      </c>
      <c r="DO337" s="2">
        <v>0</v>
      </c>
      <c r="DP337" s="2">
        <v>1</v>
      </c>
      <c r="DQ337" s="2">
        <v>1</v>
      </c>
      <c r="DR337" s="2"/>
      <c r="DS337" s="2"/>
      <c r="DT337" s="2"/>
      <c r="DU337" s="2">
        <v>1003</v>
      </c>
      <c r="DV337" s="2" t="s">
        <v>455</v>
      </c>
      <c r="DW337" s="2" t="s">
        <v>455</v>
      </c>
      <c r="DX337" s="2">
        <v>100</v>
      </c>
      <c r="DY337" s="2"/>
      <c r="DZ337" s="2" t="s">
        <v>3</v>
      </c>
      <c r="EA337" s="2" t="s">
        <v>3</v>
      </c>
      <c r="EB337" s="2" t="s">
        <v>3</v>
      </c>
      <c r="EC337" s="2" t="s">
        <v>3</v>
      </c>
      <c r="ED337" s="2"/>
      <c r="EE337" s="2">
        <v>126051903</v>
      </c>
      <c r="EF337" s="2">
        <v>60</v>
      </c>
      <c r="EG337" s="2" t="s">
        <v>150</v>
      </c>
      <c r="EH337" s="2">
        <v>0</v>
      </c>
      <c r="EI337" s="2" t="s">
        <v>3</v>
      </c>
      <c r="EJ337" s="2">
        <v>1</v>
      </c>
      <c r="EK337" s="2">
        <v>442</v>
      </c>
      <c r="EL337" s="2" t="s">
        <v>457</v>
      </c>
      <c r="EM337" s="2" t="s">
        <v>458</v>
      </c>
      <c r="EN337" s="2"/>
      <c r="EO337" s="2" t="s">
        <v>3</v>
      </c>
      <c r="EP337" s="2"/>
      <c r="EQ337" s="2">
        <v>131072</v>
      </c>
      <c r="ER337" s="2">
        <v>753.58</v>
      </c>
      <c r="ES337" s="2">
        <v>517.19000000000005</v>
      </c>
      <c r="ET337" s="2">
        <v>0</v>
      </c>
      <c r="EU337" s="2">
        <v>0</v>
      </c>
      <c r="EV337" s="2">
        <v>236.39</v>
      </c>
      <c r="EW337" s="2">
        <v>21.51</v>
      </c>
      <c r="EX337" s="2">
        <v>0</v>
      </c>
      <c r="EY337" s="2">
        <v>0</v>
      </c>
      <c r="EZ337" s="2"/>
      <c r="FA337" s="2"/>
      <c r="FB337" s="2"/>
      <c r="FC337" s="2"/>
      <c r="FD337" s="2"/>
      <c r="FE337" s="2"/>
      <c r="FF337" s="2"/>
      <c r="FG337" s="2"/>
      <c r="FH337" s="2"/>
      <c r="FI337" s="2"/>
      <c r="FJ337" s="2"/>
      <c r="FK337" s="2"/>
      <c r="FL337" s="2"/>
      <c r="FM337" s="2"/>
      <c r="FN337" s="2"/>
      <c r="FO337" s="2"/>
      <c r="FP337" s="2"/>
      <c r="FQ337" s="2">
        <v>0</v>
      </c>
      <c r="FR337" s="2">
        <f t="shared" si="302"/>
        <v>0</v>
      </c>
      <c r="FS337" s="2">
        <v>0</v>
      </c>
      <c r="FT337" s="2"/>
      <c r="FU337" s="2"/>
      <c r="FV337" s="2"/>
      <c r="FW337" s="2"/>
      <c r="FX337" s="2">
        <v>104</v>
      </c>
      <c r="FY337" s="2">
        <v>79</v>
      </c>
      <c r="FZ337" s="2"/>
      <c r="GA337" s="2" t="s">
        <v>3</v>
      </c>
      <c r="GB337" s="2"/>
      <c r="GC337" s="2"/>
      <c r="GD337" s="2">
        <v>0</v>
      </c>
      <c r="GE337" s="2"/>
      <c r="GF337" s="2">
        <v>1764211140</v>
      </c>
      <c r="GG337" s="2">
        <v>2</v>
      </c>
      <c r="GH337" s="2">
        <v>1</v>
      </c>
      <c r="GI337" s="2">
        <v>-2</v>
      </c>
      <c r="GJ337" s="2">
        <v>0</v>
      </c>
      <c r="GK337" s="2">
        <f>ROUND(R337*(R12)/100,2)</f>
        <v>0</v>
      </c>
      <c r="GL337" s="2">
        <f t="shared" si="303"/>
        <v>0</v>
      </c>
      <c r="GM337" s="2">
        <f t="shared" si="304"/>
        <v>62.87</v>
      </c>
      <c r="GN337" s="2">
        <f t="shared" si="305"/>
        <v>62.87</v>
      </c>
      <c r="GO337" s="2">
        <f t="shared" si="306"/>
        <v>0</v>
      </c>
      <c r="GP337" s="2">
        <f t="shared" si="307"/>
        <v>0</v>
      </c>
      <c r="GQ337" s="2"/>
      <c r="GR337" s="2">
        <v>0</v>
      </c>
      <c r="GS337" s="2">
        <v>0</v>
      </c>
      <c r="GT337" s="2">
        <v>0</v>
      </c>
      <c r="GU337" s="2" t="s">
        <v>3</v>
      </c>
      <c r="GV337" s="2">
        <f t="shared" si="308"/>
        <v>0</v>
      </c>
      <c r="GW337" s="2">
        <v>1</v>
      </c>
      <c r="GX337" s="2">
        <f t="shared" si="309"/>
        <v>0</v>
      </c>
      <c r="GY337" s="2"/>
      <c r="GZ337" s="2"/>
      <c r="HA337" s="2">
        <v>0</v>
      </c>
      <c r="HB337" s="2">
        <v>0</v>
      </c>
      <c r="HC337" s="2">
        <f t="shared" si="310"/>
        <v>0</v>
      </c>
      <c r="HD337" s="2"/>
      <c r="HE337" s="2" t="s">
        <v>3</v>
      </c>
      <c r="HF337" s="2" t="s">
        <v>3</v>
      </c>
      <c r="HG337" s="2"/>
      <c r="HH337" s="2"/>
      <c r="HI337" s="2"/>
      <c r="HJ337" s="2"/>
      <c r="HK337" s="2"/>
      <c r="HL337" s="2"/>
      <c r="HM337" s="2" t="s">
        <v>3</v>
      </c>
      <c r="HN337" s="2" t="s">
        <v>3</v>
      </c>
      <c r="HO337" s="2" t="s">
        <v>3</v>
      </c>
      <c r="HP337" s="2" t="s">
        <v>3</v>
      </c>
      <c r="HQ337" s="2" t="s">
        <v>3</v>
      </c>
      <c r="HR337" s="2"/>
      <c r="HS337" s="2"/>
      <c r="HT337" s="2"/>
      <c r="HU337" s="2"/>
      <c r="HV337" s="2"/>
      <c r="HW337" s="2"/>
      <c r="HX337" s="2"/>
      <c r="HY337" s="2"/>
      <c r="HZ337" s="2"/>
      <c r="IA337" s="2"/>
      <c r="IB337" s="2"/>
      <c r="IC337" s="2"/>
      <c r="ID337" s="2"/>
      <c r="IE337" s="2"/>
      <c r="IF337" s="2"/>
      <c r="IG337" s="2"/>
      <c r="IH337" s="2"/>
      <c r="II337" s="2"/>
      <c r="IJ337" s="2"/>
      <c r="IK337" s="2">
        <v>0</v>
      </c>
      <c r="IL337" s="2"/>
      <c r="IM337" s="2"/>
      <c r="IN337" s="2"/>
      <c r="IO337" s="2"/>
      <c r="IP337" s="2"/>
      <c r="IQ337" s="2"/>
      <c r="IR337" s="2"/>
      <c r="IS337" s="2"/>
      <c r="IT337" s="2"/>
      <c r="IU337" s="2"/>
    </row>
    <row r="338" spans="1:255" x14ac:dyDescent="0.2">
      <c r="A338">
        <v>17</v>
      </c>
      <c r="B338">
        <v>1</v>
      </c>
      <c r="C338">
        <f>ROW(SmtRes!A402)</f>
        <v>402</v>
      </c>
      <c r="D338">
        <f>ROW(EtalonRes!A404)</f>
        <v>404</v>
      </c>
      <c r="E338" t="s">
        <v>452</v>
      </c>
      <c r="F338" t="s">
        <v>453</v>
      </c>
      <c r="G338" t="s">
        <v>454</v>
      </c>
      <c r="H338" t="s">
        <v>455</v>
      </c>
      <c r="I338">
        <v>5.2999999999999999E-2</v>
      </c>
      <c r="J338">
        <v>0</v>
      </c>
      <c r="K338">
        <v>5.2999999999999999E-2</v>
      </c>
      <c r="O338">
        <f t="shared" si="278"/>
        <v>2788.44</v>
      </c>
      <c r="P338">
        <f t="shared" si="279"/>
        <v>2424.69</v>
      </c>
      <c r="Q338">
        <f t="shared" si="311"/>
        <v>0</v>
      </c>
      <c r="R338">
        <f t="shared" si="280"/>
        <v>0</v>
      </c>
      <c r="S338">
        <f t="shared" si="281"/>
        <v>363.75</v>
      </c>
      <c r="T338">
        <f t="shared" si="282"/>
        <v>0</v>
      </c>
      <c r="U338">
        <f t="shared" si="283"/>
        <v>1.1400300000000001</v>
      </c>
      <c r="V338">
        <f t="shared" si="284"/>
        <v>0</v>
      </c>
      <c r="W338">
        <f t="shared" si="285"/>
        <v>0</v>
      </c>
      <c r="X338">
        <f t="shared" si="286"/>
        <v>316.45999999999998</v>
      </c>
      <c r="Y338">
        <f t="shared" si="287"/>
        <v>149.13999999999999</v>
      </c>
      <c r="AA338">
        <v>129761633</v>
      </c>
      <c r="AB338">
        <f t="shared" si="288"/>
        <v>753.58</v>
      </c>
      <c r="AC338">
        <f t="shared" si="289"/>
        <v>517.19000000000005</v>
      </c>
      <c r="AD338">
        <f t="shared" si="312"/>
        <v>0</v>
      </c>
      <c r="AE338">
        <f t="shared" si="313"/>
        <v>0</v>
      </c>
      <c r="AF338">
        <f t="shared" si="314"/>
        <v>236.39</v>
      </c>
      <c r="AG338">
        <f t="shared" si="291"/>
        <v>0</v>
      </c>
      <c r="AH338">
        <f t="shared" si="315"/>
        <v>21.51</v>
      </c>
      <c r="AI338">
        <f t="shared" si="316"/>
        <v>0</v>
      </c>
      <c r="AJ338">
        <f t="shared" si="293"/>
        <v>0</v>
      </c>
      <c r="AK338">
        <v>753.58</v>
      </c>
      <c r="AL338">
        <v>517.19000000000005</v>
      </c>
      <c r="AM338">
        <v>0</v>
      </c>
      <c r="AN338">
        <v>0</v>
      </c>
      <c r="AO338">
        <v>236.39</v>
      </c>
      <c r="AP338">
        <v>0</v>
      </c>
      <c r="AQ338">
        <v>21.51</v>
      </c>
      <c r="AR338">
        <v>0</v>
      </c>
      <c r="AS338">
        <v>0</v>
      </c>
      <c r="AT338">
        <v>87</v>
      </c>
      <c r="AU338">
        <v>41</v>
      </c>
      <c r="AV338">
        <v>1</v>
      </c>
      <c r="AW338">
        <v>1</v>
      </c>
      <c r="AZ338">
        <v>1</v>
      </c>
      <c r="BA338">
        <v>29.03</v>
      </c>
      <c r="BB338">
        <v>1</v>
      </c>
      <c r="BC338">
        <v>88.46</v>
      </c>
      <c r="BD338" t="s">
        <v>3</v>
      </c>
      <c r="BE338" t="s">
        <v>3</v>
      </c>
      <c r="BF338" t="s">
        <v>3</v>
      </c>
      <c r="BG338" t="s">
        <v>3</v>
      </c>
      <c r="BH338">
        <v>0</v>
      </c>
      <c r="BI338">
        <v>1</v>
      </c>
      <c r="BJ338" t="s">
        <v>456</v>
      </c>
      <c r="BM338">
        <v>442</v>
      </c>
      <c r="BN338">
        <v>0</v>
      </c>
      <c r="BO338" t="s">
        <v>453</v>
      </c>
      <c r="BP338">
        <v>1</v>
      </c>
      <c r="BQ338">
        <v>60</v>
      </c>
      <c r="BR338">
        <v>0</v>
      </c>
      <c r="BS338">
        <v>29.03</v>
      </c>
      <c r="BT338">
        <v>1</v>
      </c>
      <c r="BU338">
        <v>1</v>
      </c>
      <c r="BV338">
        <v>1</v>
      </c>
      <c r="BW338">
        <v>1</v>
      </c>
      <c r="BX338">
        <v>1</v>
      </c>
      <c r="BY338" t="s">
        <v>3</v>
      </c>
      <c r="BZ338">
        <v>87</v>
      </c>
      <c r="CA338">
        <v>41</v>
      </c>
      <c r="CB338" t="s">
        <v>3</v>
      </c>
      <c r="CE338">
        <v>30</v>
      </c>
      <c r="CF338">
        <v>0</v>
      </c>
      <c r="CG338">
        <v>0</v>
      </c>
      <c r="CM338">
        <v>0</v>
      </c>
      <c r="CN338" t="s">
        <v>3</v>
      </c>
      <c r="CO338">
        <v>0</v>
      </c>
      <c r="CP338">
        <f t="shared" si="294"/>
        <v>2788.44</v>
      </c>
      <c r="CQ338">
        <f t="shared" si="295"/>
        <v>45750.63</v>
      </c>
      <c r="CR338">
        <f t="shared" si="317"/>
        <v>0</v>
      </c>
      <c r="CS338">
        <f t="shared" si="296"/>
        <v>0</v>
      </c>
      <c r="CT338">
        <f t="shared" si="297"/>
        <v>6862.4</v>
      </c>
      <c r="CU338">
        <f t="shared" si="298"/>
        <v>0</v>
      </c>
      <c r="CV338">
        <f t="shared" si="299"/>
        <v>21.51</v>
      </c>
      <c r="CW338">
        <f t="shared" si="300"/>
        <v>0</v>
      </c>
      <c r="CX338">
        <f t="shared" si="301"/>
        <v>0</v>
      </c>
      <c r="CY338">
        <f>S338*(BZ338/100)</f>
        <v>316.46249999999998</v>
      </c>
      <c r="CZ338">
        <f>S338*(CA338/100)</f>
        <v>149.13749999999999</v>
      </c>
      <c r="DC338" t="s">
        <v>3</v>
      </c>
      <c r="DD338" t="s">
        <v>3</v>
      </c>
      <c r="DE338" t="s">
        <v>3</v>
      </c>
      <c r="DF338" t="s">
        <v>3</v>
      </c>
      <c r="DG338" t="s">
        <v>3</v>
      </c>
      <c r="DH338" t="s">
        <v>3</v>
      </c>
      <c r="DI338" t="s">
        <v>3</v>
      </c>
      <c r="DJ338" t="s">
        <v>3</v>
      </c>
      <c r="DK338" t="s">
        <v>3</v>
      </c>
      <c r="DL338" t="s">
        <v>3</v>
      </c>
      <c r="DM338" t="s">
        <v>3</v>
      </c>
      <c r="DN338">
        <v>104</v>
      </c>
      <c r="DO338">
        <v>79</v>
      </c>
      <c r="DP338">
        <v>1</v>
      </c>
      <c r="DQ338">
        <v>1</v>
      </c>
      <c r="DU338">
        <v>1003</v>
      </c>
      <c r="DV338" t="s">
        <v>455</v>
      </c>
      <c r="DW338" t="s">
        <v>455</v>
      </c>
      <c r="DX338">
        <v>100</v>
      </c>
      <c r="DZ338" t="s">
        <v>3</v>
      </c>
      <c r="EA338" t="s">
        <v>3</v>
      </c>
      <c r="EB338" t="s">
        <v>3</v>
      </c>
      <c r="EC338" t="s">
        <v>3</v>
      </c>
      <c r="EE338">
        <v>126051903</v>
      </c>
      <c r="EF338">
        <v>60</v>
      </c>
      <c r="EG338" t="s">
        <v>150</v>
      </c>
      <c r="EH338">
        <v>0</v>
      </c>
      <c r="EI338" t="s">
        <v>3</v>
      </c>
      <c r="EJ338">
        <v>1</v>
      </c>
      <c r="EK338">
        <v>442</v>
      </c>
      <c r="EL338" t="s">
        <v>457</v>
      </c>
      <c r="EM338" t="s">
        <v>458</v>
      </c>
      <c r="EO338" t="s">
        <v>3</v>
      </c>
      <c r="EQ338">
        <v>131072</v>
      </c>
      <c r="ER338">
        <v>753.58</v>
      </c>
      <c r="ES338">
        <v>517.19000000000005</v>
      </c>
      <c r="ET338">
        <v>0</v>
      </c>
      <c r="EU338">
        <v>0</v>
      </c>
      <c r="EV338">
        <v>236.39</v>
      </c>
      <c r="EW338">
        <v>21.51</v>
      </c>
      <c r="EX338">
        <v>0</v>
      </c>
      <c r="EY338">
        <v>0</v>
      </c>
      <c r="FQ338">
        <v>0</v>
      </c>
      <c r="FR338">
        <f t="shared" si="302"/>
        <v>0</v>
      </c>
      <c r="FS338">
        <v>0</v>
      </c>
      <c r="FX338">
        <v>104</v>
      </c>
      <c r="FY338">
        <v>79</v>
      </c>
      <c r="GA338" t="s">
        <v>3</v>
      </c>
      <c r="GD338">
        <v>0</v>
      </c>
      <c r="GF338">
        <v>1764211140</v>
      </c>
      <c r="GG338">
        <v>2</v>
      </c>
      <c r="GH338">
        <v>1</v>
      </c>
      <c r="GI338">
        <v>2</v>
      </c>
      <c r="GJ338">
        <v>0</v>
      </c>
      <c r="GK338">
        <f>ROUND(R338*(S12)/100,2)</f>
        <v>0</v>
      </c>
      <c r="GL338">
        <f t="shared" si="303"/>
        <v>0</v>
      </c>
      <c r="GM338">
        <f t="shared" si="304"/>
        <v>3254.04</v>
      </c>
      <c r="GN338">
        <f t="shared" si="305"/>
        <v>3254.04</v>
      </c>
      <c r="GO338">
        <f t="shared" si="306"/>
        <v>0</v>
      </c>
      <c r="GP338">
        <f t="shared" si="307"/>
        <v>0</v>
      </c>
      <c r="GR338">
        <v>0</v>
      </c>
      <c r="GS338">
        <v>3</v>
      </c>
      <c r="GT338">
        <v>0</v>
      </c>
      <c r="GU338" t="s">
        <v>3</v>
      </c>
      <c r="GV338">
        <f t="shared" si="308"/>
        <v>0</v>
      </c>
      <c r="GW338">
        <v>1</v>
      </c>
      <c r="GX338">
        <f t="shared" si="309"/>
        <v>0</v>
      </c>
      <c r="HA338">
        <v>0</v>
      </c>
      <c r="HB338">
        <v>0</v>
      </c>
      <c r="HC338">
        <f t="shared" si="310"/>
        <v>0</v>
      </c>
      <c r="HE338" t="s">
        <v>3</v>
      </c>
      <c r="HF338" t="s">
        <v>3</v>
      </c>
      <c r="HM338" t="s">
        <v>3</v>
      </c>
      <c r="HN338" t="s">
        <v>3</v>
      </c>
      <c r="HO338" t="s">
        <v>3</v>
      </c>
      <c r="HP338" t="s">
        <v>3</v>
      </c>
      <c r="HQ338" t="s">
        <v>3</v>
      </c>
      <c r="IK338">
        <v>0</v>
      </c>
    </row>
    <row r="339" spans="1:255" x14ac:dyDescent="0.2">
      <c r="A339" s="2">
        <v>18</v>
      </c>
      <c r="B339" s="2">
        <v>1</v>
      </c>
      <c r="C339" s="2">
        <v>397</v>
      </c>
      <c r="D339" s="2"/>
      <c r="E339" s="2" t="s">
        <v>459</v>
      </c>
      <c r="F339" s="2" t="s">
        <v>460</v>
      </c>
      <c r="G339" s="2" t="s">
        <v>461</v>
      </c>
      <c r="H339" s="2" t="s">
        <v>114</v>
      </c>
      <c r="I339" s="2">
        <f>I337*J339</f>
        <v>3.4980000000000002E-3</v>
      </c>
      <c r="J339" s="2">
        <v>6.6000000000000003E-2</v>
      </c>
      <c r="K339" s="2">
        <v>6.6000000000000003E-2</v>
      </c>
      <c r="L339" s="2"/>
      <c r="M339" s="2"/>
      <c r="N339" s="2"/>
      <c r="O339" s="2">
        <f t="shared" si="278"/>
        <v>24.03</v>
      </c>
      <c r="P339" s="2">
        <f t="shared" si="279"/>
        <v>24.03</v>
      </c>
      <c r="Q339" s="2">
        <f t="shared" si="311"/>
        <v>0</v>
      </c>
      <c r="R339" s="2">
        <f t="shared" si="280"/>
        <v>0</v>
      </c>
      <c r="S339" s="2">
        <f t="shared" si="281"/>
        <v>0</v>
      </c>
      <c r="T339" s="2">
        <f t="shared" si="282"/>
        <v>0</v>
      </c>
      <c r="U339" s="2">
        <f t="shared" si="283"/>
        <v>0</v>
      </c>
      <c r="V339" s="2">
        <f t="shared" si="284"/>
        <v>0</v>
      </c>
      <c r="W339" s="2">
        <f t="shared" si="285"/>
        <v>0</v>
      </c>
      <c r="X339" s="2">
        <f t="shared" si="286"/>
        <v>0</v>
      </c>
      <c r="Y339" s="2">
        <f t="shared" si="287"/>
        <v>0</v>
      </c>
      <c r="Z339" s="2"/>
      <c r="AA339" s="2">
        <v>129761636</v>
      </c>
      <c r="AB339" s="2">
        <f t="shared" si="288"/>
        <v>6870.66</v>
      </c>
      <c r="AC339" s="2">
        <f t="shared" si="289"/>
        <v>6870.66</v>
      </c>
      <c r="AD339" s="2">
        <f t="shared" si="312"/>
        <v>0</v>
      </c>
      <c r="AE339" s="2">
        <f t="shared" si="313"/>
        <v>0</v>
      </c>
      <c r="AF339" s="2">
        <f t="shared" si="314"/>
        <v>0</v>
      </c>
      <c r="AG339" s="2">
        <f t="shared" si="291"/>
        <v>0</v>
      </c>
      <c r="AH339" s="2">
        <f t="shared" si="315"/>
        <v>0</v>
      </c>
      <c r="AI339" s="2">
        <f t="shared" si="316"/>
        <v>0</v>
      </c>
      <c r="AJ339" s="2">
        <f t="shared" si="293"/>
        <v>0</v>
      </c>
      <c r="AK339" s="2">
        <v>6870.66</v>
      </c>
      <c r="AL339" s="2">
        <v>6870.66</v>
      </c>
      <c r="AM339" s="2">
        <v>0</v>
      </c>
      <c r="AN339" s="2">
        <v>0</v>
      </c>
      <c r="AO339" s="2">
        <v>0</v>
      </c>
      <c r="AP339" s="2">
        <v>0</v>
      </c>
      <c r="AQ339" s="2">
        <v>0</v>
      </c>
      <c r="AR339" s="2">
        <v>0</v>
      </c>
      <c r="AS339" s="2">
        <v>0</v>
      </c>
      <c r="AT339" s="2">
        <v>104</v>
      </c>
      <c r="AU339" s="2">
        <v>79</v>
      </c>
      <c r="AV339" s="2">
        <v>1</v>
      </c>
      <c r="AW339" s="2">
        <v>1</v>
      </c>
      <c r="AX339" s="2"/>
      <c r="AY339" s="2"/>
      <c r="AZ339" s="2">
        <v>1</v>
      </c>
      <c r="BA339" s="2">
        <v>1</v>
      </c>
      <c r="BB339" s="2">
        <v>1</v>
      </c>
      <c r="BC339" s="2">
        <v>1</v>
      </c>
      <c r="BD339" s="2" t="s">
        <v>3</v>
      </c>
      <c r="BE339" s="2" t="s">
        <v>3</v>
      </c>
      <c r="BF339" s="2" t="s">
        <v>3</v>
      </c>
      <c r="BG339" s="2" t="s">
        <v>3</v>
      </c>
      <c r="BH339" s="2">
        <v>3</v>
      </c>
      <c r="BI339" s="2">
        <v>1</v>
      </c>
      <c r="BJ339" s="2" t="s">
        <v>462</v>
      </c>
      <c r="BK339" s="2"/>
      <c r="BL339" s="2"/>
      <c r="BM339" s="2">
        <v>442</v>
      </c>
      <c r="BN339" s="2">
        <v>0</v>
      </c>
      <c r="BO339" s="2" t="s">
        <v>3</v>
      </c>
      <c r="BP339" s="2">
        <v>0</v>
      </c>
      <c r="BQ339" s="2">
        <v>60</v>
      </c>
      <c r="BR339" s="2">
        <v>0</v>
      </c>
      <c r="BS339" s="2">
        <v>1</v>
      </c>
      <c r="BT339" s="2">
        <v>1</v>
      </c>
      <c r="BU339" s="2">
        <v>1</v>
      </c>
      <c r="BV339" s="2">
        <v>1</v>
      </c>
      <c r="BW339" s="2">
        <v>1</v>
      </c>
      <c r="BX339" s="2">
        <v>1</v>
      </c>
      <c r="BY339" s="2" t="s">
        <v>3</v>
      </c>
      <c r="BZ339" s="2">
        <v>104</v>
      </c>
      <c r="CA339" s="2">
        <v>79</v>
      </c>
      <c r="CB339" s="2" t="s">
        <v>3</v>
      </c>
      <c r="CC339" s="2"/>
      <c r="CD339" s="2"/>
      <c r="CE339" s="2">
        <v>30</v>
      </c>
      <c r="CF339" s="2">
        <v>0</v>
      </c>
      <c r="CG339" s="2">
        <v>0</v>
      </c>
      <c r="CH339" s="2"/>
      <c r="CI339" s="2"/>
      <c r="CJ339" s="2"/>
      <c r="CK339" s="2"/>
      <c r="CL339" s="2"/>
      <c r="CM339" s="2">
        <v>0</v>
      </c>
      <c r="CN339" s="2" t="s">
        <v>3</v>
      </c>
      <c r="CO339" s="2">
        <v>0</v>
      </c>
      <c r="CP339" s="2">
        <f t="shared" si="294"/>
        <v>24.03</v>
      </c>
      <c r="CQ339" s="2">
        <f t="shared" si="295"/>
        <v>6870.66</v>
      </c>
      <c r="CR339" s="2">
        <f t="shared" si="317"/>
        <v>0</v>
      </c>
      <c r="CS339" s="2">
        <f t="shared" si="296"/>
        <v>0</v>
      </c>
      <c r="CT339" s="2">
        <f t="shared" si="297"/>
        <v>0</v>
      </c>
      <c r="CU339" s="2">
        <f t="shared" si="298"/>
        <v>0</v>
      </c>
      <c r="CV339" s="2">
        <f t="shared" si="299"/>
        <v>0</v>
      </c>
      <c r="CW339" s="2">
        <f t="shared" si="300"/>
        <v>0</v>
      </c>
      <c r="CX339" s="2">
        <f t="shared" si="301"/>
        <v>0</v>
      </c>
      <c r="CY339" s="2">
        <f>((S339*BZ339)/100)</f>
        <v>0</v>
      </c>
      <c r="CZ339" s="2">
        <f>((S339*CA339)/100)</f>
        <v>0</v>
      </c>
      <c r="DA339" s="2"/>
      <c r="DB339" s="2"/>
      <c r="DC339" s="2" t="s">
        <v>3</v>
      </c>
      <c r="DD339" s="2" t="s">
        <v>3</v>
      </c>
      <c r="DE339" s="2" t="s">
        <v>3</v>
      </c>
      <c r="DF339" s="2" t="s">
        <v>3</v>
      </c>
      <c r="DG339" s="2" t="s">
        <v>3</v>
      </c>
      <c r="DH339" s="2" t="s">
        <v>3</v>
      </c>
      <c r="DI339" s="2" t="s">
        <v>3</v>
      </c>
      <c r="DJ339" s="2" t="s">
        <v>3</v>
      </c>
      <c r="DK339" s="2" t="s">
        <v>3</v>
      </c>
      <c r="DL339" s="2" t="s">
        <v>3</v>
      </c>
      <c r="DM339" s="2" t="s">
        <v>3</v>
      </c>
      <c r="DN339" s="2">
        <v>0</v>
      </c>
      <c r="DO339" s="2">
        <v>0</v>
      </c>
      <c r="DP339" s="2">
        <v>1</v>
      </c>
      <c r="DQ339" s="2">
        <v>1</v>
      </c>
      <c r="DR339" s="2"/>
      <c r="DS339" s="2"/>
      <c r="DT339" s="2"/>
      <c r="DU339" s="2">
        <v>1009</v>
      </c>
      <c r="DV339" s="2" t="s">
        <v>114</v>
      </c>
      <c r="DW339" s="2" t="s">
        <v>114</v>
      </c>
      <c r="DX339" s="2">
        <v>1000</v>
      </c>
      <c r="DY339" s="2"/>
      <c r="DZ339" s="2" t="s">
        <v>3</v>
      </c>
      <c r="EA339" s="2" t="s">
        <v>3</v>
      </c>
      <c r="EB339" s="2" t="s">
        <v>3</v>
      </c>
      <c r="EC339" s="2" t="s">
        <v>3</v>
      </c>
      <c r="ED339" s="2"/>
      <c r="EE339" s="2">
        <v>126051903</v>
      </c>
      <c r="EF339" s="2">
        <v>60</v>
      </c>
      <c r="EG339" s="2" t="s">
        <v>150</v>
      </c>
      <c r="EH339" s="2">
        <v>0</v>
      </c>
      <c r="EI339" s="2" t="s">
        <v>3</v>
      </c>
      <c r="EJ339" s="2">
        <v>1</v>
      </c>
      <c r="EK339" s="2">
        <v>442</v>
      </c>
      <c r="EL339" s="2" t="s">
        <v>457</v>
      </c>
      <c r="EM339" s="2" t="s">
        <v>458</v>
      </c>
      <c r="EN339" s="2"/>
      <c r="EO339" s="2" t="s">
        <v>3</v>
      </c>
      <c r="EP339" s="2"/>
      <c r="EQ339" s="2">
        <v>0</v>
      </c>
      <c r="ER339" s="2">
        <v>6870.66</v>
      </c>
      <c r="ES339" s="2">
        <v>6870.66</v>
      </c>
      <c r="ET339" s="2">
        <v>0</v>
      </c>
      <c r="EU339" s="2">
        <v>0</v>
      </c>
      <c r="EV339" s="2">
        <v>0</v>
      </c>
      <c r="EW339" s="2">
        <v>0</v>
      </c>
      <c r="EX339" s="2">
        <v>0</v>
      </c>
      <c r="EY339" s="2"/>
      <c r="EZ339" s="2"/>
      <c r="FA339" s="2"/>
      <c r="FB339" s="2"/>
      <c r="FC339" s="2"/>
      <c r="FD339" s="2"/>
      <c r="FE339" s="2"/>
      <c r="FF339" s="2"/>
      <c r="FG339" s="2"/>
      <c r="FH339" s="2"/>
      <c r="FI339" s="2"/>
      <c r="FJ339" s="2"/>
      <c r="FK339" s="2"/>
      <c r="FL339" s="2"/>
      <c r="FM339" s="2"/>
      <c r="FN339" s="2"/>
      <c r="FO339" s="2"/>
      <c r="FP339" s="2"/>
      <c r="FQ339" s="2">
        <v>0</v>
      </c>
      <c r="FR339" s="2">
        <f t="shared" si="302"/>
        <v>0</v>
      </c>
      <c r="FS339" s="2">
        <v>0</v>
      </c>
      <c r="FT339" s="2"/>
      <c r="FU339" s="2"/>
      <c r="FV339" s="2"/>
      <c r="FW339" s="2"/>
      <c r="FX339" s="2">
        <v>104</v>
      </c>
      <c r="FY339" s="2">
        <v>79</v>
      </c>
      <c r="FZ339" s="2"/>
      <c r="GA339" s="2" t="s">
        <v>3</v>
      </c>
      <c r="GB339" s="2"/>
      <c r="GC339" s="2"/>
      <c r="GD339" s="2">
        <v>0</v>
      </c>
      <c r="GE339" s="2"/>
      <c r="GF339" s="2">
        <v>1257892944</v>
      </c>
      <c r="GG339" s="2">
        <v>2</v>
      </c>
      <c r="GH339" s="2">
        <v>1</v>
      </c>
      <c r="GI339" s="2">
        <v>-2</v>
      </c>
      <c r="GJ339" s="2">
        <v>0</v>
      </c>
      <c r="GK339" s="2">
        <f>ROUND(R339*(R12)/100,2)</f>
        <v>0</v>
      </c>
      <c r="GL339" s="2">
        <f t="shared" si="303"/>
        <v>0</v>
      </c>
      <c r="GM339" s="2">
        <f t="shared" si="304"/>
        <v>24.03</v>
      </c>
      <c r="GN339" s="2">
        <f t="shared" si="305"/>
        <v>24.03</v>
      </c>
      <c r="GO339" s="2">
        <f t="shared" si="306"/>
        <v>0</v>
      </c>
      <c r="GP339" s="2">
        <f t="shared" si="307"/>
        <v>0</v>
      </c>
      <c r="GQ339" s="2"/>
      <c r="GR339" s="2">
        <v>0</v>
      </c>
      <c r="GS339" s="2">
        <v>0</v>
      </c>
      <c r="GT339" s="2">
        <v>0</v>
      </c>
      <c r="GU339" s="2" t="s">
        <v>3</v>
      </c>
      <c r="GV339" s="2">
        <f t="shared" si="308"/>
        <v>0</v>
      </c>
      <c r="GW339" s="2">
        <v>1</v>
      </c>
      <c r="GX339" s="2">
        <f t="shared" si="309"/>
        <v>0</v>
      </c>
      <c r="GY339" s="2"/>
      <c r="GZ339" s="2"/>
      <c r="HA339" s="2">
        <v>0</v>
      </c>
      <c r="HB339" s="2">
        <v>0</v>
      </c>
      <c r="HC339" s="2">
        <f t="shared" si="310"/>
        <v>0</v>
      </c>
      <c r="HD339" s="2"/>
      <c r="HE339" s="2" t="s">
        <v>3</v>
      </c>
      <c r="HF339" s="2" t="s">
        <v>3</v>
      </c>
      <c r="HG339" s="2"/>
      <c r="HH339" s="2"/>
      <c r="HI339" s="2"/>
      <c r="HJ339" s="2"/>
      <c r="HK339" s="2"/>
      <c r="HL339" s="2"/>
      <c r="HM339" s="2" t="s">
        <v>3</v>
      </c>
      <c r="HN339" s="2" t="s">
        <v>3</v>
      </c>
      <c r="HO339" s="2" t="s">
        <v>3</v>
      </c>
      <c r="HP339" s="2" t="s">
        <v>3</v>
      </c>
      <c r="HQ339" s="2" t="s">
        <v>3</v>
      </c>
      <c r="HR339" s="2"/>
      <c r="HS339" s="2"/>
      <c r="HT339" s="2"/>
      <c r="HU339" s="2"/>
      <c r="HV339" s="2"/>
      <c r="HW339" s="2"/>
      <c r="HX339" s="2"/>
      <c r="HY339" s="2"/>
      <c r="HZ339" s="2"/>
      <c r="IA339" s="2"/>
      <c r="IB339" s="2"/>
      <c r="IC339" s="2"/>
      <c r="ID339" s="2"/>
      <c r="IE339" s="2"/>
      <c r="IF339" s="2"/>
      <c r="IG339" s="2"/>
      <c r="IH339" s="2"/>
      <c r="II339" s="2"/>
      <c r="IJ339" s="2"/>
      <c r="IK339" s="2">
        <v>0</v>
      </c>
      <c r="IL339" s="2"/>
      <c r="IM339" s="2"/>
      <c r="IN339" s="2"/>
      <c r="IO339" s="2"/>
      <c r="IP339" s="2"/>
      <c r="IQ339" s="2"/>
      <c r="IR339" s="2"/>
      <c r="IS339" s="2"/>
      <c r="IT339" s="2"/>
      <c r="IU339" s="2"/>
    </row>
    <row r="340" spans="1:255" x14ac:dyDescent="0.2">
      <c r="A340">
        <v>18</v>
      </c>
      <c r="B340">
        <v>1</v>
      </c>
      <c r="C340">
        <v>402</v>
      </c>
      <c r="E340" t="s">
        <v>459</v>
      </c>
      <c r="F340" t="s">
        <v>460</v>
      </c>
      <c r="G340" t="s">
        <v>461</v>
      </c>
      <c r="H340" t="s">
        <v>114</v>
      </c>
      <c r="I340">
        <f>I338*J340</f>
        <v>3.4980000000000002E-3</v>
      </c>
      <c r="J340">
        <v>6.6000000000000003E-2</v>
      </c>
      <c r="K340">
        <v>6.6000000000000003E-2</v>
      </c>
      <c r="O340">
        <f t="shared" si="278"/>
        <v>190.8</v>
      </c>
      <c r="P340">
        <f t="shared" si="279"/>
        <v>190.8</v>
      </c>
      <c r="Q340">
        <f t="shared" si="311"/>
        <v>0</v>
      </c>
      <c r="R340">
        <f t="shared" si="280"/>
        <v>0</v>
      </c>
      <c r="S340">
        <f t="shared" si="281"/>
        <v>0</v>
      </c>
      <c r="T340">
        <f t="shared" si="282"/>
        <v>0</v>
      </c>
      <c r="U340">
        <f t="shared" si="283"/>
        <v>0</v>
      </c>
      <c r="V340">
        <f t="shared" si="284"/>
        <v>0</v>
      </c>
      <c r="W340">
        <f t="shared" si="285"/>
        <v>0</v>
      </c>
      <c r="X340">
        <f t="shared" si="286"/>
        <v>0</v>
      </c>
      <c r="Y340">
        <f t="shared" si="287"/>
        <v>0</v>
      </c>
      <c r="AA340">
        <v>129761633</v>
      </c>
      <c r="AB340">
        <f t="shared" si="288"/>
        <v>6870.66</v>
      </c>
      <c r="AC340">
        <f t="shared" si="289"/>
        <v>6870.66</v>
      </c>
      <c r="AD340">
        <f t="shared" si="312"/>
        <v>0</v>
      </c>
      <c r="AE340">
        <f t="shared" si="313"/>
        <v>0</v>
      </c>
      <c r="AF340">
        <f t="shared" si="314"/>
        <v>0</v>
      </c>
      <c r="AG340">
        <f t="shared" si="291"/>
        <v>0</v>
      </c>
      <c r="AH340">
        <f t="shared" si="315"/>
        <v>0</v>
      </c>
      <c r="AI340">
        <f t="shared" si="316"/>
        <v>0</v>
      </c>
      <c r="AJ340">
        <f t="shared" si="293"/>
        <v>0</v>
      </c>
      <c r="AK340">
        <v>6870.66</v>
      </c>
      <c r="AL340">
        <v>6870.66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1</v>
      </c>
      <c r="AW340">
        <v>1</v>
      </c>
      <c r="AZ340">
        <v>1</v>
      </c>
      <c r="BA340">
        <v>1</v>
      </c>
      <c r="BB340">
        <v>1</v>
      </c>
      <c r="BC340">
        <v>7.94</v>
      </c>
      <c r="BD340" t="s">
        <v>3</v>
      </c>
      <c r="BE340" t="s">
        <v>3</v>
      </c>
      <c r="BF340" t="s">
        <v>3</v>
      </c>
      <c r="BG340" t="s">
        <v>3</v>
      </c>
      <c r="BH340">
        <v>3</v>
      </c>
      <c r="BI340">
        <v>1</v>
      </c>
      <c r="BJ340" t="s">
        <v>462</v>
      </c>
      <c r="BM340">
        <v>442</v>
      </c>
      <c r="BN340">
        <v>0</v>
      </c>
      <c r="BO340" t="s">
        <v>460</v>
      </c>
      <c r="BP340">
        <v>1</v>
      </c>
      <c r="BQ340">
        <v>60</v>
      </c>
      <c r="BR340">
        <v>0</v>
      </c>
      <c r="BS340">
        <v>1</v>
      </c>
      <c r="BT340">
        <v>1</v>
      </c>
      <c r="BU340">
        <v>1</v>
      </c>
      <c r="BV340">
        <v>1</v>
      </c>
      <c r="BW340">
        <v>1</v>
      </c>
      <c r="BX340">
        <v>1</v>
      </c>
      <c r="BY340" t="s">
        <v>3</v>
      </c>
      <c r="BZ340">
        <v>0</v>
      </c>
      <c r="CA340">
        <v>0</v>
      </c>
      <c r="CB340" t="s">
        <v>3</v>
      </c>
      <c r="CE340">
        <v>30</v>
      </c>
      <c r="CF340">
        <v>0</v>
      </c>
      <c r="CG340">
        <v>0</v>
      </c>
      <c r="CM340">
        <v>0</v>
      </c>
      <c r="CN340" t="s">
        <v>3</v>
      </c>
      <c r="CO340">
        <v>0</v>
      </c>
      <c r="CP340">
        <f t="shared" si="294"/>
        <v>190.8</v>
      </c>
      <c r="CQ340">
        <f t="shared" si="295"/>
        <v>54553.04</v>
      </c>
      <c r="CR340">
        <f t="shared" si="317"/>
        <v>0</v>
      </c>
      <c r="CS340">
        <f t="shared" si="296"/>
        <v>0</v>
      </c>
      <c r="CT340">
        <f t="shared" si="297"/>
        <v>0</v>
      </c>
      <c r="CU340">
        <f t="shared" si="298"/>
        <v>0</v>
      </c>
      <c r="CV340">
        <f t="shared" si="299"/>
        <v>0</v>
      </c>
      <c r="CW340">
        <f t="shared" si="300"/>
        <v>0</v>
      </c>
      <c r="CX340">
        <f t="shared" si="301"/>
        <v>0</v>
      </c>
      <c r="CY340">
        <f>S340*(BZ340/100)</f>
        <v>0</v>
      </c>
      <c r="CZ340">
        <f>S340*(CA340/100)</f>
        <v>0</v>
      </c>
      <c r="DC340" t="s">
        <v>3</v>
      </c>
      <c r="DD340" t="s">
        <v>3</v>
      </c>
      <c r="DE340" t="s">
        <v>3</v>
      </c>
      <c r="DF340" t="s">
        <v>3</v>
      </c>
      <c r="DG340" t="s">
        <v>3</v>
      </c>
      <c r="DH340" t="s">
        <v>3</v>
      </c>
      <c r="DI340" t="s">
        <v>3</v>
      </c>
      <c r="DJ340" t="s">
        <v>3</v>
      </c>
      <c r="DK340" t="s">
        <v>3</v>
      </c>
      <c r="DL340" t="s">
        <v>3</v>
      </c>
      <c r="DM340" t="s">
        <v>3</v>
      </c>
      <c r="DN340">
        <v>104</v>
      </c>
      <c r="DO340">
        <v>79</v>
      </c>
      <c r="DP340">
        <v>1</v>
      </c>
      <c r="DQ340">
        <v>1</v>
      </c>
      <c r="DU340">
        <v>1009</v>
      </c>
      <c r="DV340" t="s">
        <v>114</v>
      </c>
      <c r="DW340" t="s">
        <v>114</v>
      </c>
      <c r="DX340">
        <v>1000</v>
      </c>
      <c r="DZ340" t="s">
        <v>3</v>
      </c>
      <c r="EA340" t="s">
        <v>3</v>
      </c>
      <c r="EB340" t="s">
        <v>3</v>
      </c>
      <c r="EC340" t="s">
        <v>3</v>
      </c>
      <c r="EE340">
        <v>126051903</v>
      </c>
      <c r="EF340">
        <v>60</v>
      </c>
      <c r="EG340" t="s">
        <v>150</v>
      </c>
      <c r="EH340">
        <v>0</v>
      </c>
      <c r="EI340" t="s">
        <v>3</v>
      </c>
      <c r="EJ340">
        <v>1</v>
      </c>
      <c r="EK340">
        <v>442</v>
      </c>
      <c r="EL340" t="s">
        <v>457</v>
      </c>
      <c r="EM340" t="s">
        <v>458</v>
      </c>
      <c r="EO340" t="s">
        <v>3</v>
      </c>
      <c r="EQ340">
        <v>0</v>
      </c>
      <c r="ER340">
        <v>6870.66</v>
      </c>
      <c r="ES340">
        <v>6870.66</v>
      </c>
      <c r="ET340">
        <v>0</v>
      </c>
      <c r="EU340">
        <v>0</v>
      </c>
      <c r="EV340">
        <v>0</v>
      </c>
      <c r="EW340">
        <v>0</v>
      </c>
      <c r="EX340">
        <v>0</v>
      </c>
      <c r="FQ340">
        <v>0</v>
      </c>
      <c r="FR340">
        <f t="shared" si="302"/>
        <v>0</v>
      </c>
      <c r="FS340">
        <v>0</v>
      </c>
      <c r="FX340">
        <v>104</v>
      </c>
      <c r="FY340">
        <v>79</v>
      </c>
      <c r="GA340" t="s">
        <v>3</v>
      </c>
      <c r="GD340">
        <v>0</v>
      </c>
      <c r="GF340">
        <v>1257892944</v>
      </c>
      <c r="GG340">
        <v>2</v>
      </c>
      <c r="GH340">
        <v>1</v>
      </c>
      <c r="GI340">
        <v>2</v>
      </c>
      <c r="GJ340">
        <v>0</v>
      </c>
      <c r="GK340">
        <f>ROUND(R340*(S12)/100,2)</f>
        <v>0</v>
      </c>
      <c r="GL340">
        <f t="shared" si="303"/>
        <v>0</v>
      </c>
      <c r="GM340">
        <f t="shared" si="304"/>
        <v>190.8</v>
      </c>
      <c r="GN340">
        <f t="shared" si="305"/>
        <v>190.8</v>
      </c>
      <c r="GO340">
        <f t="shared" si="306"/>
        <v>0</v>
      </c>
      <c r="GP340">
        <f t="shared" si="307"/>
        <v>0</v>
      </c>
      <c r="GR340">
        <v>0</v>
      </c>
      <c r="GS340">
        <v>3</v>
      </c>
      <c r="GT340">
        <v>0</v>
      </c>
      <c r="GU340" t="s">
        <v>3</v>
      </c>
      <c r="GV340">
        <f t="shared" si="308"/>
        <v>0</v>
      </c>
      <c r="GW340">
        <v>1</v>
      </c>
      <c r="GX340">
        <f t="shared" si="309"/>
        <v>0</v>
      </c>
      <c r="HA340">
        <v>0</v>
      </c>
      <c r="HB340">
        <v>0</v>
      </c>
      <c r="HC340">
        <f t="shared" si="310"/>
        <v>0</v>
      </c>
      <c r="HE340" t="s">
        <v>3</v>
      </c>
      <c r="HF340" t="s">
        <v>3</v>
      </c>
      <c r="HM340" t="s">
        <v>3</v>
      </c>
      <c r="HN340" t="s">
        <v>3</v>
      </c>
      <c r="HO340" t="s">
        <v>3</v>
      </c>
      <c r="HP340" t="s">
        <v>3</v>
      </c>
      <c r="HQ340" t="s">
        <v>3</v>
      </c>
      <c r="IK340">
        <v>0</v>
      </c>
    </row>
    <row r="341" spans="1:255" x14ac:dyDescent="0.2">
      <c r="A341" s="2">
        <v>18</v>
      </c>
      <c r="B341" s="2">
        <v>1</v>
      </c>
      <c r="C341" s="2">
        <v>394</v>
      </c>
      <c r="D341" s="2"/>
      <c r="E341" s="2" t="s">
        <v>463</v>
      </c>
      <c r="F341" s="2" t="s">
        <v>464</v>
      </c>
      <c r="G341" s="2" t="s">
        <v>465</v>
      </c>
      <c r="H341" s="2" t="s">
        <v>114</v>
      </c>
      <c r="I341" s="2">
        <f>I337*J341</f>
        <v>1.6218E-2</v>
      </c>
      <c r="J341" s="2">
        <v>0.30599999999999999</v>
      </c>
      <c r="K341" s="2">
        <v>0.30599999999999999</v>
      </c>
      <c r="L341" s="2"/>
      <c r="M341" s="2"/>
      <c r="N341" s="2"/>
      <c r="O341" s="2">
        <f t="shared" si="278"/>
        <v>248.6</v>
      </c>
      <c r="P341" s="2">
        <f t="shared" si="279"/>
        <v>248.6</v>
      </c>
      <c r="Q341" s="2">
        <f t="shared" si="311"/>
        <v>0</v>
      </c>
      <c r="R341" s="2">
        <f t="shared" si="280"/>
        <v>0</v>
      </c>
      <c r="S341" s="2">
        <f t="shared" si="281"/>
        <v>0</v>
      </c>
      <c r="T341" s="2">
        <f t="shared" si="282"/>
        <v>0</v>
      </c>
      <c r="U341" s="2">
        <f t="shared" si="283"/>
        <v>0</v>
      </c>
      <c r="V341" s="2">
        <f t="shared" si="284"/>
        <v>0</v>
      </c>
      <c r="W341" s="2">
        <f t="shared" si="285"/>
        <v>0</v>
      </c>
      <c r="X341" s="2">
        <f t="shared" si="286"/>
        <v>0</v>
      </c>
      <c r="Y341" s="2">
        <f t="shared" si="287"/>
        <v>0</v>
      </c>
      <c r="Z341" s="2"/>
      <c r="AA341" s="2">
        <v>129761636</v>
      </c>
      <c r="AB341" s="2">
        <f t="shared" si="288"/>
        <v>15328.48</v>
      </c>
      <c r="AC341" s="2">
        <f t="shared" si="289"/>
        <v>15328.48</v>
      </c>
      <c r="AD341" s="2">
        <f t="shared" si="312"/>
        <v>0</v>
      </c>
      <c r="AE341" s="2">
        <f t="shared" si="313"/>
        <v>0</v>
      </c>
      <c r="AF341" s="2">
        <f t="shared" si="314"/>
        <v>0</v>
      </c>
      <c r="AG341" s="2">
        <f t="shared" si="291"/>
        <v>0</v>
      </c>
      <c r="AH341" s="2">
        <f t="shared" si="315"/>
        <v>0</v>
      </c>
      <c r="AI341" s="2">
        <f t="shared" si="316"/>
        <v>0</v>
      </c>
      <c r="AJ341" s="2">
        <f t="shared" si="293"/>
        <v>0</v>
      </c>
      <c r="AK341" s="2">
        <v>15328.48</v>
      </c>
      <c r="AL341" s="2">
        <v>15328.48</v>
      </c>
      <c r="AM341" s="2">
        <v>0</v>
      </c>
      <c r="AN341" s="2">
        <v>0</v>
      </c>
      <c r="AO341" s="2">
        <v>0</v>
      </c>
      <c r="AP341" s="2">
        <v>0</v>
      </c>
      <c r="AQ341" s="2">
        <v>0</v>
      </c>
      <c r="AR341" s="2">
        <v>0</v>
      </c>
      <c r="AS341" s="2">
        <v>0</v>
      </c>
      <c r="AT341" s="2">
        <v>104</v>
      </c>
      <c r="AU341" s="2">
        <v>79</v>
      </c>
      <c r="AV341" s="2">
        <v>1</v>
      </c>
      <c r="AW341" s="2">
        <v>1</v>
      </c>
      <c r="AX341" s="2"/>
      <c r="AY341" s="2"/>
      <c r="AZ341" s="2">
        <v>1</v>
      </c>
      <c r="BA341" s="2">
        <v>1</v>
      </c>
      <c r="BB341" s="2">
        <v>1</v>
      </c>
      <c r="BC341" s="2">
        <v>1</v>
      </c>
      <c r="BD341" s="2" t="s">
        <v>3</v>
      </c>
      <c r="BE341" s="2" t="s">
        <v>3</v>
      </c>
      <c r="BF341" s="2" t="s">
        <v>3</v>
      </c>
      <c r="BG341" s="2" t="s">
        <v>3</v>
      </c>
      <c r="BH341" s="2">
        <v>3</v>
      </c>
      <c r="BI341" s="2">
        <v>1</v>
      </c>
      <c r="BJ341" s="2" t="s">
        <v>466</v>
      </c>
      <c r="BK341" s="2"/>
      <c r="BL341" s="2"/>
      <c r="BM341" s="2">
        <v>442</v>
      </c>
      <c r="BN341" s="2">
        <v>0</v>
      </c>
      <c r="BO341" s="2" t="s">
        <v>3</v>
      </c>
      <c r="BP341" s="2">
        <v>0</v>
      </c>
      <c r="BQ341" s="2">
        <v>60</v>
      </c>
      <c r="BR341" s="2">
        <v>0</v>
      </c>
      <c r="BS341" s="2">
        <v>1</v>
      </c>
      <c r="BT341" s="2">
        <v>1</v>
      </c>
      <c r="BU341" s="2">
        <v>1</v>
      </c>
      <c r="BV341" s="2">
        <v>1</v>
      </c>
      <c r="BW341" s="2">
        <v>1</v>
      </c>
      <c r="BX341" s="2">
        <v>1</v>
      </c>
      <c r="BY341" s="2" t="s">
        <v>3</v>
      </c>
      <c r="BZ341" s="2">
        <v>104</v>
      </c>
      <c r="CA341" s="2">
        <v>79</v>
      </c>
      <c r="CB341" s="2" t="s">
        <v>3</v>
      </c>
      <c r="CC341" s="2"/>
      <c r="CD341" s="2"/>
      <c r="CE341" s="2">
        <v>30</v>
      </c>
      <c r="CF341" s="2">
        <v>0</v>
      </c>
      <c r="CG341" s="2">
        <v>0</v>
      </c>
      <c r="CH341" s="2"/>
      <c r="CI341" s="2"/>
      <c r="CJ341" s="2"/>
      <c r="CK341" s="2"/>
      <c r="CL341" s="2"/>
      <c r="CM341" s="2">
        <v>0</v>
      </c>
      <c r="CN341" s="2" t="s">
        <v>3</v>
      </c>
      <c r="CO341" s="2">
        <v>0</v>
      </c>
      <c r="CP341" s="2">
        <f t="shared" si="294"/>
        <v>248.6</v>
      </c>
      <c r="CQ341" s="2">
        <f t="shared" si="295"/>
        <v>15328.48</v>
      </c>
      <c r="CR341" s="2">
        <f t="shared" si="317"/>
        <v>0</v>
      </c>
      <c r="CS341" s="2">
        <f t="shared" si="296"/>
        <v>0</v>
      </c>
      <c r="CT341" s="2">
        <f t="shared" si="297"/>
        <v>0</v>
      </c>
      <c r="CU341" s="2">
        <f t="shared" si="298"/>
        <v>0</v>
      </c>
      <c r="CV341" s="2">
        <f t="shared" si="299"/>
        <v>0</v>
      </c>
      <c r="CW341" s="2">
        <f t="shared" si="300"/>
        <v>0</v>
      </c>
      <c r="CX341" s="2">
        <f t="shared" si="301"/>
        <v>0</v>
      </c>
      <c r="CY341" s="2">
        <f>((S341*BZ341)/100)</f>
        <v>0</v>
      </c>
      <c r="CZ341" s="2">
        <f>((S341*CA341)/100)</f>
        <v>0</v>
      </c>
      <c r="DA341" s="2"/>
      <c r="DB341" s="2"/>
      <c r="DC341" s="2" t="s">
        <v>3</v>
      </c>
      <c r="DD341" s="2" t="s">
        <v>3</v>
      </c>
      <c r="DE341" s="2" t="s">
        <v>3</v>
      </c>
      <c r="DF341" s="2" t="s">
        <v>3</v>
      </c>
      <c r="DG341" s="2" t="s">
        <v>3</v>
      </c>
      <c r="DH341" s="2" t="s">
        <v>3</v>
      </c>
      <c r="DI341" s="2" t="s">
        <v>3</v>
      </c>
      <c r="DJ341" s="2" t="s">
        <v>3</v>
      </c>
      <c r="DK341" s="2" t="s">
        <v>3</v>
      </c>
      <c r="DL341" s="2" t="s">
        <v>3</v>
      </c>
      <c r="DM341" s="2" t="s">
        <v>3</v>
      </c>
      <c r="DN341" s="2">
        <v>0</v>
      </c>
      <c r="DO341" s="2">
        <v>0</v>
      </c>
      <c r="DP341" s="2">
        <v>1</v>
      </c>
      <c r="DQ341" s="2">
        <v>1</v>
      </c>
      <c r="DR341" s="2"/>
      <c r="DS341" s="2"/>
      <c r="DT341" s="2"/>
      <c r="DU341" s="2">
        <v>1009</v>
      </c>
      <c r="DV341" s="2" t="s">
        <v>114</v>
      </c>
      <c r="DW341" s="2" t="s">
        <v>114</v>
      </c>
      <c r="DX341" s="2">
        <v>1000</v>
      </c>
      <c r="DY341" s="2"/>
      <c r="DZ341" s="2" t="s">
        <v>3</v>
      </c>
      <c r="EA341" s="2" t="s">
        <v>3</v>
      </c>
      <c r="EB341" s="2" t="s">
        <v>3</v>
      </c>
      <c r="EC341" s="2" t="s">
        <v>3</v>
      </c>
      <c r="ED341" s="2"/>
      <c r="EE341" s="2">
        <v>126051903</v>
      </c>
      <c r="EF341" s="2">
        <v>60</v>
      </c>
      <c r="EG341" s="2" t="s">
        <v>150</v>
      </c>
      <c r="EH341" s="2">
        <v>0</v>
      </c>
      <c r="EI341" s="2" t="s">
        <v>3</v>
      </c>
      <c r="EJ341" s="2">
        <v>1</v>
      </c>
      <c r="EK341" s="2">
        <v>442</v>
      </c>
      <c r="EL341" s="2" t="s">
        <v>457</v>
      </c>
      <c r="EM341" s="2" t="s">
        <v>458</v>
      </c>
      <c r="EN341" s="2"/>
      <c r="EO341" s="2" t="s">
        <v>3</v>
      </c>
      <c r="EP341" s="2"/>
      <c r="EQ341" s="2">
        <v>0</v>
      </c>
      <c r="ER341" s="2">
        <v>15328.48</v>
      </c>
      <c r="ES341" s="2">
        <v>15328.48</v>
      </c>
      <c r="ET341" s="2">
        <v>0</v>
      </c>
      <c r="EU341" s="2">
        <v>0</v>
      </c>
      <c r="EV341" s="2">
        <v>0</v>
      </c>
      <c r="EW341" s="2">
        <v>0</v>
      </c>
      <c r="EX341" s="2">
        <v>0</v>
      </c>
      <c r="EY341" s="2"/>
      <c r="EZ341" s="2"/>
      <c r="FA341" s="2"/>
      <c r="FB341" s="2"/>
      <c r="FC341" s="2"/>
      <c r="FD341" s="2"/>
      <c r="FE341" s="2"/>
      <c r="FF341" s="2"/>
      <c r="FG341" s="2"/>
      <c r="FH341" s="2"/>
      <c r="FI341" s="2"/>
      <c r="FJ341" s="2"/>
      <c r="FK341" s="2"/>
      <c r="FL341" s="2"/>
      <c r="FM341" s="2"/>
      <c r="FN341" s="2"/>
      <c r="FO341" s="2"/>
      <c r="FP341" s="2"/>
      <c r="FQ341" s="2">
        <v>0</v>
      </c>
      <c r="FR341" s="2">
        <f t="shared" si="302"/>
        <v>0</v>
      </c>
      <c r="FS341" s="2">
        <v>0</v>
      </c>
      <c r="FT341" s="2"/>
      <c r="FU341" s="2"/>
      <c r="FV341" s="2"/>
      <c r="FW341" s="2"/>
      <c r="FX341" s="2">
        <v>104</v>
      </c>
      <c r="FY341" s="2">
        <v>79</v>
      </c>
      <c r="FZ341" s="2"/>
      <c r="GA341" s="2" t="s">
        <v>3</v>
      </c>
      <c r="GB341" s="2"/>
      <c r="GC341" s="2"/>
      <c r="GD341" s="2">
        <v>0</v>
      </c>
      <c r="GE341" s="2"/>
      <c r="GF341" s="2">
        <v>497599956</v>
      </c>
      <c r="GG341" s="2">
        <v>2</v>
      </c>
      <c r="GH341" s="2">
        <v>1</v>
      </c>
      <c r="GI341" s="2">
        <v>-2</v>
      </c>
      <c r="GJ341" s="2">
        <v>0</v>
      </c>
      <c r="GK341" s="2">
        <f>ROUND(R341*(R12)/100,2)</f>
        <v>0</v>
      </c>
      <c r="GL341" s="2">
        <f t="shared" si="303"/>
        <v>0</v>
      </c>
      <c r="GM341" s="2">
        <f t="shared" si="304"/>
        <v>248.6</v>
      </c>
      <c r="GN341" s="2">
        <f t="shared" si="305"/>
        <v>248.6</v>
      </c>
      <c r="GO341" s="2">
        <f t="shared" si="306"/>
        <v>0</v>
      </c>
      <c r="GP341" s="2">
        <f t="shared" si="307"/>
        <v>0</v>
      </c>
      <c r="GQ341" s="2"/>
      <c r="GR341" s="2">
        <v>0</v>
      </c>
      <c r="GS341" s="2">
        <v>0</v>
      </c>
      <c r="GT341" s="2">
        <v>0</v>
      </c>
      <c r="GU341" s="2" t="s">
        <v>3</v>
      </c>
      <c r="GV341" s="2">
        <f t="shared" si="308"/>
        <v>0</v>
      </c>
      <c r="GW341" s="2">
        <v>1</v>
      </c>
      <c r="GX341" s="2">
        <f t="shared" si="309"/>
        <v>0</v>
      </c>
      <c r="GY341" s="2"/>
      <c r="GZ341" s="2"/>
      <c r="HA341" s="2">
        <v>0</v>
      </c>
      <c r="HB341" s="2">
        <v>0</v>
      </c>
      <c r="HC341" s="2">
        <f t="shared" si="310"/>
        <v>0</v>
      </c>
      <c r="HD341" s="2"/>
      <c r="HE341" s="2" t="s">
        <v>3</v>
      </c>
      <c r="HF341" s="2" t="s">
        <v>3</v>
      </c>
      <c r="HG341" s="2"/>
      <c r="HH341" s="2"/>
      <c r="HI341" s="2"/>
      <c r="HJ341" s="2"/>
      <c r="HK341" s="2"/>
      <c r="HL341" s="2"/>
      <c r="HM341" s="2" t="s">
        <v>3</v>
      </c>
      <c r="HN341" s="2" t="s">
        <v>3</v>
      </c>
      <c r="HO341" s="2" t="s">
        <v>3</v>
      </c>
      <c r="HP341" s="2" t="s">
        <v>3</v>
      </c>
      <c r="HQ341" s="2" t="s">
        <v>3</v>
      </c>
      <c r="HR341" s="2"/>
      <c r="HS341" s="2"/>
      <c r="HT341" s="2"/>
      <c r="HU341" s="2"/>
      <c r="HV341" s="2"/>
      <c r="HW341" s="2"/>
      <c r="HX341" s="2"/>
      <c r="HY341" s="2"/>
      <c r="HZ341" s="2"/>
      <c r="IA341" s="2"/>
      <c r="IB341" s="2"/>
      <c r="IC341" s="2"/>
      <c r="ID341" s="2"/>
      <c r="IE341" s="2"/>
      <c r="IF341" s="2"/>
      <c r="IG341" s="2"/>
      <c r="IH341" s="2"/>
      <c r="II341" s="2"/>
      <c r="IJ341" s="2"/>
      <c r="IK341" s="2">
        <v>0</v>
      </c>
      <c r="IL341" s="2"/>
      <c r="IM341" s="2"/>
      <c r="IN341" s="2"/>
      <c r="IO341" s="2"/>
      <c r="IP341" s="2"/>
      <c r="IQ341" s="2"/>
      <c r="IR341" s="2"/>
      <c r="IS341" s="2"/>
      <c r="IT341" s="2"/>
      <c r="IU341" s="2"/>
    </row>
    <row r="342" spans="1:255" x14ac:dyDescent="0.2">
      <c r="A342">
        <v>18</v>
      </c>
      <c r="B342">
        <v>1</v>
      </c>
      <c r="C342">
        <v>399</v>
      </c>
      <c r="E342" t="s">
        <v>463</v>
      </c>
      <c r="F342" t="s">
        <v>464</v>
      </c>
      <c r="G342" t="s">
        <v>465</v>
      </c>
      <c r="H342" t="s">
        <v>114</v>
      </c>
      <c r="I342">
        <f>I338*J342</f>
        <v>1.6218E-2</v>
      </c>
      <c r="J342">
        <v>0.30599999999999999</v>
      </c>
      <c r="K342">
        <v>0.30599999999999999</v>
      </c>
      <c r="O342">
        <f t="shared" si="278"/>
        <v>1133.6199999999999</v>
      </c>
      <c r="P342">
        <f t="shared" si="279"/>
        <v>1133.6199999999999</v>
      </c>
      <c r="Q342">
        <f t="shared" si="311"/>
        <v>0</v>
      </c>
      <c r="R342">
        <f t="shared" si="280"/>
        <v>0</v>
      </c>
      <c r="S342">
        <f t="shared" si="281"/>
        <v>0</v>
      </c>
      <c r="T342">
        <f t="shared" si="282"/>
        <v>0</v>
      </c>
      <c r="U342">
        <f t="shared" si="283"/>
        <v>0</v>
      </c>
      <c r="V342">
        <f t="shared" si="284"/>
        <v>0</v>
      </c>
      <c r="W342">
        <f t="shared" si="285"/>
        <v>0</v>
      </c>
      <c r="X342">
        <f t="shared" si="286"/>
        <v>0</v>
      </c>
      <c r="Y342">
        <f t="shared" si="287"/>
        <v>0</v>
      </c>
      <c r="AA342">
        <v>129761633</v>
      </c>
      <c r="AB342">
        <f t="shared" si="288"/>
        <v>15328.48</v>
      </c>
      <c r="AC342">
        <f t="shared" si="289"/>
        <v>15328.48</v>
      </c>
      <c r="AD342">
        <f t="shared" si="312"/>
        <v>0</v>
      </c>
      <c r="AE342">
        <f t="shared" si="313"/>
        <v>0</v>
      </c>
      <c r="AF342">
        <f t="shared" si="314"/>
        <v>0</v>
      </c>
      <c r="AG342">
        <f t="shared" si="291"/>
        <v>0</v>
      </c>
      <c r="AH342">
        <f t="shared" si="315"/>
        <v>0</v>
      </c>
      <c r="AI342">
        <f t="shared" si="316"/>
        <v>0</v>
      </c>
      <c r="AJ342">
        <f t="shared" si="293"/>
        <v>0</v>
      </c>
      <c r="AK342">
        <v>15328.48</v>
      </c>
      <c r="AL342">
        <v>15328.48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1</v>
      </c>
      <c r="AW342">
        <v>1</v>
      </c>
      <c r="AZ342">
        <v>1</v>
      </c>
      <c r="BA342">
        <v>1</v>
      </c>
      <c r="BB342">
        <v>1</v>
      </c>
      <c r="BC342">
        <v>4.5599999999999996</v>
      </c>
      <c r="BD342" t="s">
        <v>3</v>
      </c>
      <c r="BE342" t="s">
        <v>3</v>
      </c>
      <c r="BF342" t="s">
        <v>3</v>
      </c>
      <c r="BG342" t="s">
        <v>3</v>
      </c>
      <c r="BH342">
        <v>3</v>
      </c>
      <c r="BI342">
        <v>1</v>
      </c>
      <c r="BJ342" t="s">
        <v>466</v>
      </c>
      <c r="BM342">
        <v>442</v>
      </c>
      <c r="BN342">
        <v>0</v>
      </c>
      <c r="BO342" t="s">
        <v>464</v>
      </c>
      <c r="BP342">
        <v>1</v>
      </c>
      <c r="BQ342">
        <v>60</v>
      </c>
      <c r="BR342">
        <v>0</v>
      </c>
      <c r="BS342">
        <v>1</v>
      </c>
      <c r="BT342">
        <v>1</v>
      </c>
      <c r="BU342">
        <v>1</v>
      </c>
      <c r="BV342">
        <v>1</v>
      </c>
      <c r="BW342">
        <v>1</v>
      </c>
      <c r="BX342">
        <v>1</v>
      </c>
      <c r="BY342" t="s">
        <v>3</v>
      </c>
      <c r="BZ342">
        <v>0</v>
      </c>
      <c r="CA342">
        <v>0</v>
      </c>
      <c r="CB342" t="s">
        <v>3</v>
      </c>
      <c r="CE342">
        <v>30</v>
      </c>
      <c r="CF342">
        <v>0</v>
      </c>
      <c r="CG342">
        <v>0</v>
      </c>
      <c r="CM342">
        <v>0</v>
      </c>
      <c r="CN342" t="s">
        <v>3</v>
      </c>
      <c r="CO342">
        <v>0</v>
      </c>
      <c r="CP342">
        <f t="shared" si="294"/>
        <v>1133.6199999999999</v>
      </c>
      <c r="CQ342">
        <f t="shared" si="295"/>
        <v>69897.87</v>
      </c>
      <c r="CR342">
        <f t="shared" si="317"/>
        <v>0</v>
      </c>
      <c r="CS342">
        <f t="shared" si="296"/>
        <v>0</v>
      </c>
      <c r="CT342">
        <f t="shared" si="297"/>
        <v>0</v>
      </c>
      <c r="CU342">
        <f t="shared" si="298"/>
        <v>0</v>
      </c>
      <c r="CV342">
        <f t="shared" si="299"/>
        <v>0</v>
      </c>
      <c r="CW342">
        <f t="shared" si="300"/>
        <v>0</v>
      </c>
      <c r="CX342">
        <f t="shared" si="301"/>
        <v>0</v>
      </c>
      <c r="CY342">
        <f>S342*(BZ342/100)</f>
        <v>0</v>
      </c>
      <c r="CZ342">
        <f>S342*(CA342/100)</f>
        <v>0</v>
      </c>
      <c r="DC342" t="s">
        <v>3</v>
      </c>
      <c r="DD342" t="s">
        <v>3</v>
      </c>
      <c r="DE342" t="s">
        <v>3</v>
      </c>
      <c r="DF342" t="s">
        <v>3</v>
      </c>
      <c r="DG342" t="s">
        <v>3</v>
      </c>
      <c r="DH342" t="s">
        <v>3</v>
      </c>
      <c r="DI342" t="s">
        <v>3</v>
      </c>
      <c r="DJ342" t="s">
        <v>3</v>
      </c>
      <c r="DK342" t="s">
        <v>3</v>
      </c>
      <c r="DL342" t="s">
        <v>3</v>
      </c>
      <c r="DM342" t="s">
        <v>3</v>
      </c>
      <c r="DN342">
        <v>104</v>
      </c>
      <c r="DO342">
        <v>79</v>
      </c>
      <c r="DP342">
        <v>1</v>
      </c>
      <c r="DQ342">
        <v>1</v>
      </c>
      <c r="DU342">
        <v>1009</v>
      </c>
      <c r="DV342" t="s">
        <v>114</v>
      </c>
      <c r="DW342" t="s">
        <v>114</v>
      </c>
      <c r="DX342">
        <v>1000</v>
      </c>
      <c r="DZ342" t="s">
        <v>3</v>
      </c>
      <c r="EA342" t="s">
        <v>3</v>
      </c>
      <c r="EB342" t="s">
        <v>3</v>
      </c>
      <c r="EC342" t="s">
        <v>3</v>
      </c>
      <c r="EE342">
        <v>126051903</v>
      </c>
      <c r="EF342">
        <v>60</v>
      </c>
      <c r="EG342" t="s">
        <v>150</v>
      </c>
      <c r="EH342">
        <v>0</v>
      </c>
      <c r="EI342" t="s">
        <v>3</v>
      </c>
      <c r="EJ342">
        <v>1</v>
      </c>
      <c r="EK342">
        <v>442</v>
      </c>
      <c r="EL342" t="s">
        <v>457</v>
      </c>
      <c r="EM342" t="s">
        <v>458</v>
      </c>
      <c r="EO342" t="s">
        <v>3</v>
      </c>
      <c r="EQ342">
        <v>0</v>
      </c>
      <c r="ER342">
        <v>15328.48</v>
      </c>
      <c r="ES342">
        <v>15328.48</v>
      </c>
      <c r="ET342">
        <v>0</v>
      </c>
      <c r="EU342">
        <v>0</v>
      </c>
      <c r="EV342">
        <v>0</v>
      </c>
      <c r="EW342">
        <v>0</v>
      </c>
      <c r="EX342">
        <v>0</v>
      </c>
      <c r="FQ342">
        <v>0</v>
      </c>
      <c r="FR342">
        <f t="shared" si="302"/>
        <v>0</v>
      </c>
      <c r="FS342">
        <v>0</v>
      </c>
      <c r="FX342">
        <v>104</v>
      </c>
      <c r="FY342">
        <v>79</v>
      </c>
      <c r="GA342" t="s">
        <v>3</v>
      </c>
      <c r="GD342">
        <v>0</v>
      </c>
      <c r="GF342">
        <v>497599956</v>
      </c>
      <c r="GG342">
        <v>2</v>
      </c>
      <c r="GH342">
        <v>1</v>
      </c>
      <c r="GI342">
        <v>2</v>
      </c>
      <c r="GJ342">
        <v>0</v>
      </c>
      <c r="GK342">
        <f>ROUND(R342*(S12)/100,2)</f>
        <v>0</v>
      </c>
      <c r="GL342">
        <f t="shared" si="303"/>
        <v>0</v>
      </c>
      <c r="GM342">
        <f t="shared" si="304"/>
        <v>1133.6199999999999</v>
      </c>
      <c r="GN342">
        <f t="shared" si="305"/>
        <v>1133.6199999999999</v>
      </c>
      <c r="GO342">
        <f t="shared" si="306"/>
        <v>0</v>
      </c>
      <c r="GP342">
        <f t="shared" si="307"/>
        <v>0</v>
      </c>
      <c r="GR342">
        <v>0</v>
      </c>
      <c r="GS342">
        <v>3</v>
      </c>
      <c r="GT342">
        <v>0</v>
      </c>
      <c r="GU342" t="s">
        <v>3</v>
      </c>
      <c r="GV342">
        <f t="shared" si="308"/>
        <v>0</v>
      </c>
      <c r="GW342">
        <v>1</v>
      </c>
      <c r="GX342">
        <f t="shared" si="309"/>
        <v>0</v>
      </c>
      <c r="HA342">
        <v>0</v>
      </c>
      <c r="HB342">
        <v>0</v>
      </c>
      <c r="HC342">
        <f t="shared" si="310"/>
        <v>0</v>
      </c>
      <c r="HE342" t="s">
        <v>3</v>
      </c>
      <c r="HF342" t="s">
        <v>3</v>
      </c>
      <c r="HM342" t="s">
        <v>3</v>
      </c>
      <c r="HN342" t="s">
        <v>3</v>
      </c>
      <c r="HO342" t="s">
        <v>3</v>
      </c>
      <c r="HP342" t="s">
        <v>3</v>
      </c>
      <c r="HQ342" t="s">
        <v>3</v>
      </c>
      <c r="IK342">
        <v>0</v>
      </c>
    </row>
    <row r="343" spans="1:255" x14ac:dyDescent="0.2">
      <c r="A343" s="2">
        <v>17</v>
      </c>
      <c r="B343" s="2">
        <v>1</v>
      </c>
      <c r="C343" s="2">
        <f>ROW(SmtRes!A406)</f>
        <v>406</v>
      </c>
      <c r="D343" s="2">
        <f>ROW(EtalonRes!A408)</f>
        <v>408</v>
      </c>
      <c r="E343" s="2" t="s">
        <v>467</v>
      </c>
      <c r="F343" s="2" t="s">
        <v>468</v>
      </c>
      <c r="G343" s="2" t="s">
        <v>469</v>
      </c>
      <c r="H343" s="2" t="s">
        <v>470</v>
      </c>
      <c r="I343" s="2">
        <v>6.2E-2</v>
      </c>
      <c r="J343" s="2">
        <v>0</v>
      </c>
      <c r="K343" s="2">
        <v>6.2E-2</v>
      </c>
      <c r="L343" s="2"/>
      <c r="M343" s="2"/>
      <c r="N343" s="2"/>
      <c r="O343" s="2">
        <f t="shared" si="278"/>
        <v>68.02</v>
      </c>
      <c r="P343" s="2">
        <f t="shared" si="279"/>
        <v>40.47</v>
      </c>
      <c r="Q343" s="2">
        <f t="shared" si="311"/>
        <v>0.13</v>
      </c>
      <c r="R343" s="2">
        <f t="shared" si="280"/>
        <v>0.01</v>
      </c>
      <c r="S343" s="2">
        <f t="shared" si="281"/>
        <v>27.42</v>
      </c>
      <c r="T343" s="2">
        <f t="shared" si="282"/>
        <v>0</v>
      </c>
      <c r="U343" s="2">
        <f t="shared" si="283"/>
        <v>2.1724799999999997</v>
      </c>
      <c r="V343" s="2">
        <f t="shared" si="284"/>
        <v>0</v>
      </c>
      <c r="W343" s="2">
        <f t="shared" si="285"/>
        <v>0</v>
      </c>
      <c r="X343" s="2">
        <f t="shared" si="286"/>
        <v>28.52</v>
      </c>
      <c r="Y343" s="2">
        <f t="shared" si="287"/>
        <v>21.66</v>
      </c>
      <c r="Z343" s="2"/>
      <c r="AA343" s="2">
        <v>129761636</v>
      </c>
      <c r="AB343" s="2">
        <f t="shared" si="288"/>
        <v>1097.06</v>
      </c>
      <c r="AC343" s="2">
        <f t="shared" si="289"/>
        <v>652.71</v>
      </c>
      <c r="AD343" s="2">
        <f t="shared" si="312"/>
        <v>2.15</v>
      </c>
      <c r="AE343" s="2">
        <f t="shared" si="313"/>
        <v>0.09</v>
      </c>
      <c r="AF343" s="2">
        <f t="shared" si="314"/>
        <v>442.2</v>
      </c>
      <c r="AG343" s="2">
        <f t="shared" si="291"/>
        <v>0</v>
      </c>
      <c r="AH343" s="2">
        <f t="shared" si="315"/>
        <v>35.04</v>
      </c>
      <c r="AI343" s="2">
        <f t="shared" si="316"/>
        <v>0</v>
      </c>
      <c r="AJ343" s="2">
        <f t="shared" si="293"/>
        <v>0</v>
      </c>
      <c r="AK343" s="2">
        <v>1097.06</v>
      </c>
      <c r="AL343" s="2">
        <v>652.71</v>
      </c>
      <c r="AM343" s="2">
        <v>2.15</v>
      </c>
      <c r="AN343" s="2">
        <v>0.09</v>
      </c>
      <c r="AO343" s="2">
        <v>442.2</v>
      </c>
      <c r="AP343" s="2">
        <v>0</v>
      </c>
      <c r="AQ343" s="2">
        <v>35.04</v>
      </c>
      <c r="AR343" s="2">
        <v>0</v>
      </c>
      <c r="AS343" s="2">
        <v>0</v>
      </c>
      <c r="AT343" s="2">
        <v>104</v>
      </c>
      <c r="AU343" s="2">
        <v>79</v>
      </c>
      <c r="AV343" s="2">
        <v>1</v>
      </c>
      <c r="AW343" s="2">
        <v>1</v>
      </c>
      <c r="AX343" s="2"/>
      <c r="AY343" s="2"/>
      <c r="AZ343" s="2">
        <v>1</v>
      </c>
      <c r="BA343" s="2">
        <v>1</v>
      </c>
      <c r="BB343" s="2">
        <v>1</v>
      </c>
      <c r="BC343" s="2">
        <v>1</v>
      </c>
      <c r="BD343" s="2" t="s">
        <v>3</v>
      </c>
      <c r="BE343" s="2" t="s">
        <v>3</v>
      </c>
      <c r="BF343" s="2" t="s">
        <v>3</v>
      </c>
      <c r="BG343" s="2" t="s">
        <v>3</v>
      </c>
      <c r="BH343" s="2">
        <v>0</v>
      </c>
      <c r="BI343" s="2">
        <v>1</v>
      </c>
      <c r="BJ343" s="2" t="s">
        <v>471</v>
      </c>
      <c r="BK343" s="2"/>
      <c r="BL343" s="2"/>
      <c r="BM343" s="2">
        <v>442</v>
      </c>
      <c r="BN343" s="2">
        <v>0</v>
      </c>
      <c r="BO343" s="2" t="s">
        <v>3</v>
      </c>
      <c r="BP343" s="2">
        <v>0</v>
      </c>
      <c r="BQ343" s="2">
        <v>60</v>
      </c>
      <c r="BR343" s="2">
        <v>0</v>
      </c>
      <c r="BS343" s="2">
        <v>1</v>
      </c>
      <c r="BT343" s="2">
        <v>1</v>
      </c>
      <c r="BU343" s="2">
        <v>1</v>
      </c>
      <c r="BV343" s="2">
        <v>1</v>
      </c>
      <c r="BW343" s="2">
        <v>1</v>
      </c>
      <c r="BX343" s="2">
        <v>1</v>
      </c>
      <c r="BY343" s="2" t="s">
        <v>3</v>
      </c>
      <c r="BZ343" s="2">
        <v>104</v>
      </c>
      <c r="CA343" s="2">
        <v>79</v>
      </c>
      <c r="CB343" s="2" t="s">
        <v>3</v>
      </c>
      <c r="CC343" s="2"/>
      <c r="CD343" s="2"/>
      <c r="CE343" s="2">
        <v>30</v>
      </c>
      <c r="CF343" s="2">
        <v>0</v>
      </c>
      <c r="CG343" s="2">
        <v>0</v>
      </c>
      <c r="CH343" s="2"/>
      <c r="CI343" s="2"/>
      <c r="CJ343" s="2"/>
      <c r="CK343" s="2"/>
      <c r="CL343" s="2"/>
      <c r="CM343" s="2">
        <v>0</v>
      </c>
      <c r="CN343" s="2" t="s">
        <v>3</v>
      </c>
      <c r="CO343" s="2">
        <v>0</v>
      </c>
      <c r="CP343" s="2">
        <f t="shared" si="294"/>
        <v>68.02000000000001</v>
      </c>
      <c r="CQ343" s="2">
        <f t="shared" si="295"/>
        <v>652.71</v>
      </c>
      <c r="CR343" s="2">
        <f t="shared" si="317"/>
        <v>2.15</v>
      </c>
      <c r="CS343" s="2">
        <f t="shared" si="296"/>
        <v>0.09</v>
      </c>
      <c r="CT343" s="2">
        <f t="shared" si="297"/>
        <v>442.2</v>
      </c>
      <c r="CU343" s="2">
        <f t="shared" si="298"/>
        <v>0</v>
      </c>
      <c r="CV343" s="2">
        <f t="shared" si="299"/>
        <v>35.04</v>
      </c>
      <c r="CW343" s="2">
        <f t="shared" si="300"/>
        <v>0</v>
      </c>
      <c r="CX343" s="2">
        <f t="shared" si="301"/>
        <v>0</v>
      </c>
      <c r="CY343" s="2">
        <f>((S343*BZ343)/100)</f>
        <v>28.516800000000003</v>
      </c>
      <c r="CZ343" s="2">
        <f>((S343*CA343)/100)</f>
        <v>21.661800000000003</v>
      </c>
      <c r="DA343" s="2"/>
      <c r="DB343" s="2"/>
      <c r="DC343" s="2" t="s">
        <v>3</v>
      </c>
      <c r="DD343" s="2" t="s">
        <v>3</v>
      </c>
      <c r="DE343" s="2" t="s">
        <v>3</v>
      </c>
      <c r="DF343" s="2" t="s">
        <v>3</v>
      </c>
      <c r="DG343" s="2" t="s">
        <v>3</v>
      </c>
      <c r="DH343" s="2" t="s">
        <v>3</v>
      </c>
      <c r="DI343" s="2" t="s">
        <v>3</v>
      </c>
      <c r="DJ343" s="2" t="s">
        <v>3</v>
      </c>
      <c r="DK343" s="2" t="s">
        <v>3</v>
      </c>
      <c r="DL343" s="2" t="s">
        <v>3</v>
      </c>
      <c r="DM343" s="2" t="s">
        <v>3</v>
      </c>
      <c r="DN343" s="2">
        <v>0</v>
      </c>
      <c r="DO343" s="2">
        <v>0</v>
      </c>
      <c r="DP343" s="2">
        <v>1</v>
      </c>
      <c r="DQ343" s="2">
        <v>1</v>
      </c>
      <c r="DR343" s="2"/>
      <c r="DS343" s="2"/>
      <c r="DT343" s="2"/>
      <c r="DU343" s="2">
        <v>1013</v>
      </c>
      <c r="DV343" s="2" t="s">
        <v>470</v>
      </c>
      <c r="DW343" s="2" t="s">
        <v>470</v>
      </c>
      <c r="DX343" s="2">
        <v>1</v>
      </c>
      <c r="DY343" s="2"/>
      <c r="DZ343" s="2" t="s">
        <v>3</v>
      </c>
      <c r="EA343" s="2" t="s">
        <v>3</v>
      </c>
      <c r="EB343" s="2" t="s">
        <v>3</v>
      </c>
      <c r="EC343" s="2" t="s">
        <v>3</v>
      </c>
      <c r="ED343" s="2"/>
      <c r="EE343" s="2">
        <v>126051903</v>
      </c>
      <c r="EF343" s="2">
        <v>60</v>
      </c>
      <c r="EG343" s="2" t="s">
        <v>150</v>
      </c>
      <c r="EH343" s="2">
        <v>0</v>
      </c>
      <c r="EI343" s="2" t="s">
        <v>3</v>
      </c>
      <c r="EJ343" s="2">
        <v>1</v>
      </c>
      <c r="EK343" s="2">
        <v>442</v>
      </c>
      <c r="EL343" s="2" t="s">
        <v>457</v>
      </c>
      <c r="EM343" s="2" t="s">
        <v>458</v>
      </c>
      <c r="EN343" s="2"/>
      <c r="EO343" s="2" t="s">
        <v>3</v>
      </c>
      <c r="EP343" s="2"/>
      <c r="EQ343" s="2">
        <v>131072</v>
      </c>
      <c r="ER343" s="2">
        <v>1097.06</v>
      </c>
      <c r="ES343" s="2">
        <v>652.71</v>
      </c>
      <c r="ET343" s="2">
        <v>2.15</v>
      </c>
      <c r="EU343" s="2">
        <v>0.09</v>
      </c>
      <c r="EV343" s="2">
        <v>442.2</v>
      </c>
      <c r="EW343" s="2">
        <v>35.04</v>
      </c>
      <c r="EX343" s="2">
        <v>0</v>
      </c>
      <c r="EY343" s="2">
        <v>0</v>
      </c>
      <c r="EZ343" s="2"/>
      <c r="FA343" s="2"/>
      <c r="FB343" s="2"/>
      <c r="FC343" s="2"/>
      <c r="FD343" s="2"/>
      <c r="FE343" s="2"/>
      <c r="FF343" s="2"/>
      <c r="FG343" s="2"/>
      <c r="FH343" s="2"/>
      <c r="FI343" s="2"/>
      <c r="FJ343" s="2"/>
      <c r="FK343" s="2"/>
      <c r="FL343" s="2"/>
      <c r="FM343" s="2"/>
      <c r="FN343" s="2"/>
      <c r="FO343" s="2"/>
      <c r="FP343" s="2"/>
      <c r="FQ343" s="2">
        <v>0</v>
      </c>
      <c r="FR343" s="2">
        <f t="shared" si="302"/>
        <v>0</v>
      </c>
      <c r="FS343" s="2">
        <v>0</v>
      </c>
      <c r="FT343" s="2"/>
      <c r="FU343" s="2"/>
      <c r="FV343" s="2"/>
      <c r="FW343" s="2"/>
      <c r="FX343" s="2">
        <v>104</v>
      </c>
      <c r="FY343" s="2">
        <v>79</v>
      </c>
      <c r="FZ343" s="2"/>
      <c r="GA343" s="2" t="s">
        <v>3</v>
      </c>
      <c r="GB343" s="2"/>
      <c r="GC343" s="2"/>
      <c r="GD343" s="2">
        <v>0</v>
      </c>
      <c r="GE343" s="2"/>
      <c r="GF343" s="2">
        <v>630020018</v>
      </c>
      <c r="GG343" s="2">
        <v>2</v>
      </c>
      <c r="GH343" s="2">
        <v>1</v>
      </c>
      <c r="GI343" s="2">
        <v>-2</v>
      </c>
      <c r="GJ343" s="2">
        <v>0</v>
      </c>
      <c r="GK343" s="2">
        <f>ROUND(R343*(R12)/100,2)</f>
        <v>0.02</v>
      </c>
      <c r="GL343" s="2">
        <f t="shared" si="303"/>
        <v>0</v>
      </c>
      <c r="GM343" s="2">
        <f t="shared" si="304"/>
        <v>118.22</v>
      </c>
      <c r="GN343" s="2">
        <f t="shared" si="305"/>
        <v>118.22</v>
      </c>
      <c r="GO343" s="2">
        <f t="shared" si="306"/>
        <v>0</v>
      </c>
      <c r="GP343" s="2">
        <f t="shared" si="307"/>
        <v>0</v>
      </c>
      <c r="GQ343" s="2"/>
      <c r="GR343" s="2">
        <v>0</v>
      </c>
      <c r="GS343" s="2">
        <v>0</v>
      </c>
      <c r="GT343" s="2">
        <v>0</v>
      </c>
      <c r="GU343" s="2" t="s">
        <v>3</v>
      </c>
      <c r="GV343" s="2">
        <f t="shared" si="308"/>
        <v>0</v>
      </c>
      <c r="GW343" s="2">
        <v>1</v>
      </c>
      <c r="GX343" s="2">
        <f t="shared" si="309"/>
        <v>0</v>
      </c>
      <c r="GY343" s="2"/>
      <c r="GZ343" s="2"/>
      <c r="HA343" s="2">
        <v>0</v>
      </c>
      <c r="HB343" s="2">
        <v>0</v>
      </c>
      <c r="HC343" s="2">
        <f t="shared" si="310"/>
        <v>0</v>
      </c>
      <c r="HD343" s="2"/>
      <c r="HE343" s="2" t="s">
        <v>3</v>
      </c>
      <c r="HF343" s="2" t="s">
        <v>3</v>
      </c>
      <c r="HG343" s="2"/>
      <c r="HH343" s="2"/>
      <c r="HI343" s="2"/>
      <c r="HJ343" s="2"/>
      <c r="HK343" s="2"/>
      <c r="HL343" s="2"/>
      <c r="HM343" s="2" t="s">
        <v>3</v>
      </c>
      <c r="HN343" s="2" t="s">
        <v>3</v>
      </c>
      <c r="HO343" s="2" t="s">
        <v>3</v>
      </c>
      <c r="HP343" s="2" t="s">
        <v>3</v>
      </c>
      <c r="HQ343" s="2" t="s">
        <v>3</v>
      </c>
      <c r="HR343" s="2"/>
      <c r="HS343" s="2"/>
      <c r="HT343" s="2"/>
      <c r="HU343" s="2"/>
      <c r="HV343" s="2"/>
      <c r="HW343" s="2"/>
      <c r="HX343" s="2"/>
      <c r="HY343" s="2"/>
      <c r="HZ343" s="2"/>
      <c r="IA343" s="2"/>
      <c r="IB343" s="2"/>
      <c r="IC343" s="2"/>
      <c r="ID343" s="2"/>
      <c r="IE343" s="2"/>
      <c r="IF343" s="2"/>
      <c r="IG343" s="2"/>
      <c r="IH343" s="2"/>
      <c r="II343" s="2"/>
      <c r="IJ343" s="2"/>
      <c r="IK343" s="2">
        <v>0</v>
      </c>
      <c r="IL343" s="2"/>
      <c r="IM343" s="2"/>
      <c r="IN343" s="2"/>
      <c r="IO343" s="2"/>
      <c r="IP343" s="2"/>
      <c r="IQ343" s="2"/>
      <c r="IR343" s="2"/>
      <c r="IS343" s="2"/>
      <c r="IT343" s="2"/>
      <c r="IU343" s="2"/>
    </row>
    <row r="344" spans="1:255" x14ac:dyDescent="0.2">
      <c r="A344">
        <v>17</v>
      </c>
      <c r="B344">
        <v>1</v>
      </c>
      <c r="C344">
        <f>ROW(SmtRes!A410)</f>
        <v>410</v>
      </c>
      <c r="D344">
        <f>ROW(EtalonRes!A412)</f>
        <v>412</v>
      </c>
      <c r="E344" t="s">
        <v>467</v>
      </c>
      <c r="F344" t="s">
        <v>468</v>
      </c>
      <c r="G344" t="s">
        <v>469</v>
      </c>
      <c r="H344" t="s">
        <v>470</v>
      </c>
      <c r="I344">
        <v>6.2E-2</v>
      </c>
      <c r="J344">
        <v>0</v>
      </c>
      <c r="K344">
        <v>6.2E-2</v>
      </c>
      <c r="O344">
        <f t="shared" si="278"/>
        <v>1118.56</v>
      </c>
      <c r="P344">
        <f t="shared" si="279"/>
        <v>321.33</v>
      </c>
      <c r="Q344">
        <f t="shared" si="311"/>
        <v>1.23</v>
      </c>
      <c r="R344">
        <f t="shared" si="280"/>
        <v>0.28999999999999998</v>
      </c>
      <c r="S344">
        <f t="shared" si="281"/>
        <v>796</v>
      </c>
      <c r="T344">
        <f t="shared" si="282"/>
        <v>0</v>
      </c>
      <c r="U344">
        <f t="shared" si="283"/>
        <v>2.1724799999999997</v>
      </c>
      <c r="V344">
        <f t="shared" si="284"/>
        <v>0</v>
      </c>
      <c r="W344">
        <f t="shared" si="285"/>
        <v>0</v>
      </c>
      <c r="X344">
        <f t="shared" si="286"/>
        <v>692.52</v>
      </c>
      <c r="Y344">
        <f t="shared" si="287"/>
        <v>326.36</v>
      </c>
      <c r="AA344">
        <v>129761633</v>
      </c>
      <c r="AB344">
        <f t="shared" si="288"/>
        <v>1097.06</v>
      </c>
      <c r="AC344">
        <f t="shared" si="289"/>
        <v>652.71</v>
      </c>
      <c r="AD344">
        <f t="shared" si="312"/>
        <v>2.15</v>
      </c>
      <c r="AE344">
        <f t="shared" si="313"/>
        <v>0.09</v>
      </c>
      <c r="AF344">
        <f t="shared" si="314"/>
        <v>442.2</v>
      </c>
      <c r="AG344">
        <f t="shared" si="291"/>
        <v>0</v>
      </c>
      <c r="AH344">
        <f t="shared" si="315"/>
        <v>35.04</v>
      </c>
      <c r="AI344">
        <f t="shared" si="316"/>
        <v>0</v>
      </c>
      <c r="AJ344">
        <f t="shared" si="293"/>
        <v>0</v>
      </c>
      <c r="AK344">
        <v>1097.06</v>
      </c>
      <c r="AL344">
        <v>652.71</v>
      </c>
      <c r="AM344">
        <v>2.15</v>
      </c>
      <c r="AN344">
        <v>0.09</v>
      </c>
      <c r="AO344">
        <v>442.2</v>
      </c>
      <c r="AP344">
        <v>0</v>
      </c>
      <c r="AQ344">
        <v>35.04</v>
      </c>
      <c r="AR344">
        <v>0</v>
      </c>
      <c r="AS344">
        <v>0</v>
      </c>
      <c r="AT344">
        <v>87</v>
      </c>
      <c r="AU344">
        <v>41</v>
      </c>
      <c r="AV344">
        <v>1</v>
      </c>
      <c r="AW344">
        <v>1</v>
      </c>
      <c r="AZ344">
        <v>1</v>
      </c>
      <c r="BA344">
        <v>29.03</v>
      </c>
      <c r="BB344">
        <v>9.4700000000000006</v>
      </c>
      <c r="BC344">
        <v>7.94</v>
      </c>
      <c r="BD344" t="s">
        <v>3</v>
      </c>
      <c r="BE344" t="s">
        <v>3</v>
      </c>
      <c r="BF344" t="s">
        <v>3</v>
      </c>
      <c r="BG344" t="s">
        <v>3</v>
      </c>
      <c r="BH344">
        <v>0</v>
      </c>
      <c r="BI344">
        <v>1</v>
      </c>
      <c r="BJ344" t="s">
        <v>471</v>
      </c>
      <c r="BM344">
        <v>442</v>
      </c>
      <c r="BN344">
        <v>0</v>
      </c>
      <c r="BO344" t="s">
        <v>468</v>
      </c>
      <c r="BP344">
        <v>1</v>
      </c>
      <c r="BQ344">
        <v>60</v>
      </c>
      <c r="BR344">
        <v>0</v>
      </c>
      <c r="BS344">
        <v>29.03</v>
      </c>
      <c r="BT344">
        <v>1</v>
      </c>
      <c r="BU344">
        <v>1</v>
      </c>
      <c r="BV344">
        <v>1</v>
      </c>
      <c r="BW344">
        <v>1</v>
      </c>
      <c r="BX344">
        <v>1</v>
      </c>
      <c r="BY344" t="s">
        <v>3</v>
      </c>
      <c r="BZ344">
        <v>87</v>
      </c>
      <c r="CA344">
        <v>41</v>
      </c>
      <c r="CB344" t="s">
        <v>3</v>
      </c>
      <c r="CE344">
        <v>30</v>
      </c>
      <c r="CF344">
        <v>0</v>
      </c>
      <c r="CG344">
        <v>0</v>
      </c>
      <c r="CM344">
        <v>0</v>
      </c>
      <c r="CN344" t="s">
        <v>3</v>
      </c>
      <c r="CO344">
        <v>0</v>
      </c>
      <c r="CP344">
        <f t="shared" si="294"/>
        <v>1118.56</v>
      </c>
      <c r="CQ344">
        <f t="shared" si="295"/>
        <v>5182.5200000000004</v>
      </c>
      <c r="CR344">
        <f t="shared" si="317"/>
        <v>20.36</v>
      </c>
      <c r="CS344">
        <f t="shared" si="296"/>
        <v>2.61</v>
      </c>
      <c r="CT344">
        <f t="shared" si="297"/>
        <v>12837.07</v>
      </c>
      <c r="CU344">
        <f t="shared" si="298"/>
        <v>0</v>
      </c>
      <c r="CV344">
        <f t="shared" si="299"/>
        <v>35.04</v>
      </c>
      <c r="CW344">
        <f t="shared" si="300"/>
        <v>0</v>
      </c>
      <c r="CX344">
        <f t="shared" si="301"/>
        <v>0</v>
      </c>
      <c r="CY344">
        <f>S344*(BZ344/100)</f>
        <v>692.52</v>
      </c>
      <c r="CZ344">
        <f>S344*(CA344/100)</f>
        <v>326.35999999999996</v>
      </c>
      <c r="DC344" t="s">
        <v>3</v>
      </c>
      <c r="DD344" t="s">
        <v>3</v>
      </c>
      <c r="DE344" t="s">
        <v>3</v>
      </c>
      <c r="DF344" t="s">
        <v>3</v>
      </c>
      <c r="DG344" t="s">
        <v>3</v>
      </c>
      <c r="DH344" t="s">
        <v>3</v>
      </c>
      <c r="DI344" t="s">
        <v>3</v>
      </c>
      <c r="DJ344" t="s">
        <v>3</v>
      </c>
      <c r="DK344" t="s">
        <v>3</v>
      </c>
      <c r="DL344" t="s">
        <v>3</v>
      </c>
      <c r="DM344" t="s">
        <v>3</v>
      </c>
      <c r="DN344">
        <v>104</v>
      </c>
      <c r="DO344">
        <v>79</v>
      </c>
      <c r="DP344">
        <v>1</v>
      </c>
      <c r="DQ344">
        <v>1</v>
      </c>
      <c r="DU344">
        <v>1013</v>
      </c>
      <c r="DV344" t="s">
        <v>470</v>
      </c>
      <c r="DW344" t="s">
        <v>470</v>
      </c>
      <c r="DX344">
        <v>1</v>
      </c>
      <c r="DZ344" t="s">
        <v>3</v>
      </c>
      <c r="EA344" t="s">
        <v>3</v>
      </c>
      <c r="EB344" t="s">
        <v>3</v>
      </c>
      <c r="EC344" t="s">
        <v>3</v>
      </c>
      <c r="EE344">
        <v>126051903</v>
      </c>
      <c r="EF344">
        <v>60</v>
      </c>
      <c r="EG344" t="s">
        <v>150</v>
      </c>
      <c r="EH344">
        <v>0</v>
      </c>
      <c r="EI344" t="s">
        <v>3</v>
      </c>
      <c r="EJ344">
        <v>1</v>
      </c>
      <c r="EK344">
        <v>442</v>
      </c>
      <c r="EL344" t="s">
        <v>457</v>
      </c>
      <c r="EM344" t="s">
        <v>458</v>
      </c>
      <c r="EO344" t="s">
        <v>3</v>
      </c>
      <c r="EQ344">
        <v>131072</v>
      </c>
      <c r="ER344">
        <v>1097.06</v>
      </c>
      <c r="ES344">
        <v>652.71</v>
      </c>
      <c r="ET344">
        <v>2.15</v>
      </c>
      <c r="EU344">
        <v>0.09</v>
      </c>
      <c r="EV344">
        <v>442.2</v>
      </c>
      <c r="EW344">
        <v>35.04</v>
      </c>
      <c r="EX344">
        <v>0</v>
      </c>
      <c r="EY344">
        <v>0</v>
      </c>
      <c r="FQ344">
        <v>0</v>
      </c>
      <c r="FR344">
        <f t="shared" si="302"/>
        <v>0</v>
      </c>
      <c r="FS344">
        <v>0</v>
      </c>
      <c r="FX344">
        <v>104</v>
      </c>
      <c r="FY344">
        <v>79</v>
      </c>
      <c r="GA344" t="s">
        <v>3</v>
      </c>
      <c r="GD344">
        <v>0</v>
      </c>
      <c r="GF344">
        <v>630020018</v>
      </c>
      <c r="GG344">
        <v>2</v>
      </c>
      <c r="GH344">
        <v>1</v>
      </c>
      <c r="GI344">
        <v>2</v>
      </c>
      <c r="GJ344">
        <v>0</v>
      </c>
      <c r="GK344">
        <f>ROUND(R344*(S12)/100,2)</f>
        <v>0.46</v>
      </c>
      <c r="GL344">
        <f t="shared" si="303"/>
        <v>0</v>
      </c>
      <c r="GM344">
        <f t="shared" si="304"/>
        <v>2137.9</v>
      </c>
      <c r="GN344">
        <f t="shared" si="305"/>
        <v>2137.9</v>
      </c>
      <c r="GO344">
        <f t="shared" si="306"/>
        <v>0</v>
      </c>
      <c r="GP344">
        <f t="shared" si="307"/>
        <v>0</v>
      </c>
      <c r="GR344">
        <v>0</v>
      </c>
      <c r="GS344">
        <v>3</v>
      </c>
      <c r="GT344">
        <v>0</v>
      </c>
      <c r="GU344" t="s">
        <v>3</v>
      </c>
      <c r="GV344">
        <f t="shared" si="308"/>
        <v>0</v>
      </c>
      <c r="GW344">
        <v>1</v>
      </c>
      <c r="GX344">
        <f t="shared" si="309"/>
        <v>0</v>
      </c>
      <c r="HA344">
        <v>0</v>
      </c>
      <c r="HB344">
        <v>0</v>
      </c>
      <c r="HC344">
        <f t="shared" si="310"/>
        <v>0</v>
      </c>
      <c r="HE344" t="s">
        <v>3</v>
      </c>
      <c r="HF344" t="s">
        <v>3</v>
      </c>
      <c r="HM344" t="s">
        <v>3</v>
      </c>
      <c r="HN344" t="s">
        <v>3</v>
      </c>
      <c r="HO344" t="s">
        <v>3</v>
      </c>
      <c r="HP344" t="s">
        <v>3</v>
      </c>
      <c r="HQ344" t="s">
        <v>3</v>
      </c>
      <c r="IK344">
        <v>0</v>
      </c>
    </row>
    <row r="345" spans="1:255" x14ac:dyDescent="0.2">
      <c r="A345" s="2">
        <v>18</v>
      </c>
      <c r="B345" s="2">
        <v>1</v>
      </c>
      <c r="C345" s="2">
        <v>406</v>
      </c>
      <c r="D345" s="2"/>
      <c r="E345" s="2" t="s">
        <v>472</v>
      </c>
      <c r="F345" s="2" t="s">
        <v>473</v>
      </c>
      <c r="G345" s="2" t="s">
        <v>474</v>
      </c>
      <c r="H345" s="2" t="s">
        <v>270</v>
      </c>
      <c r="I345" s="2">
        <f>I343*J345</f>
        <v>6.2</v>
      </c>
      <c r="J345" s="2">
        <v>100</v>
      </c>
      <c r="K345" s="2">
        <v>100</v>
      </c>
      <c r="L345" s="2"/>
      <c r="M345" s="2"/>
      <c r="N345" s="2"/>
      <c r="O345" s="2">
        <f t="shared" si="278"/>
        <v>849.4</v>
      </c>
      <c r="P345" s="2">
        <f t="shared" si="279"/>
        <v>849.4</v>
      </c>
      <c r="Q345" s="2">
        <f t="shared" si="311"/>
        <v>0</v>
      </c>
      <c r="R345" s="2">
        <f t="shared" si="280"/>
        <v>0</v>
      </c>
      <c r="S345" s="2">
        <f t="shared" si="281"/>
        <v>0</v>
      </c>
      <c r="T345" s="2">
        <f t="shared" si="282"/>
        <v>0</v>
      </c>
      <c r="U345" s="2">
        <f t="shared" si="283"/>
        <v>0</v>
      </c>
      <c r="V345" s="2">
        <f t="shared" si="284"/>
        <v>0</v>
      </c>
      <c r="W345" s="2">
        <f t="shared" si="285"/>
        <v>0</v>
      </c>
      <c r="X345" s="2">
        <f t="shared" si="286"/>
        <v>0</v>
      </c>
      <c r="Y345" s="2">
        <f t="shared" si="287"/>
        <v>0</v>
      </c>
      <c r="Z345" s="2"/>
      <c r="AA345" s="2">
        <v>129761636</v>
      </c>
      <c r="AB345" s="2">
        <f t="shared" si="288"/>
        <v>137</v>
      </c>
      <c r="AC345" s="2">
        <f t="shared" si="289"/>
        <v>137</v>
      </c>
      <c r="AD345" s="2">
        <f t="shared" si="312"/>
        <v>0</v>
      </c>
      <c r="AE345" s="2">
        <f t="shared" si="313"/>
        <v>0</v>
      </c>
      <c r="AF345" s="2">
        <f t="shared" si="314"/>
        <v>0</v>
      </c>
      <c r="AG345" s="2">
        <f t="shared" si="291"/>
        <v>0</v>
      </c>
      <c r="AH345" s="2">
        <f t="shared" si="315"/>
        <v>0</v>
      </c>
      <c r="AI345" s="2">
        <f t="shared" si="316"/>
        <v>0</v>
      </c>
      <c r="AJ345" s="2">
        <f t="shared" si="293"/>
        <v>0</v>
      </c>
      <c r="AK345" s="2">
        <v>137</v>
      </c>
      <c r="AL345" s="2">
        <v>137</v>
      </c>
      <c r="AM345" s="2">
        <v>0</v>
      </c>
      <c r="AN345" s="2">
        <v>0</v>
      </c>
      <c r="AO345" s="2">
        <v>0</v>
      </c>
      <c r="AP345" s="2">
        <v>0</v>
      </c>
      <c r="AQ345" s="2">
        <v>0</v>
      </c>
      <c r="AR345" s="2">
        <v>0</v>
      </c>
      <c r="AS345" s="2">
        <v>0</v>
      </c>
      <c r="AT345" s="2">
        <v>104</v>
      </c>
      <c r="AU345" s="2">
        <v>79</v>
      </c>
      <c r="AV345" s="2">
        <v>1</v>
      </c>
      <c r="AW345" s="2">
        <v>1</v>
      </c>
      <c r="AX345" s="2"/>
      <c r="AY345" s="2"/>
      <c r="AZ345" s="2">
        <v>1</v>
      </c>
      <c r="BA345" s="2">
        <v>1</v>
      </c>
      <c r="BB345" s="2">
        <v>1</v>
      </c>
      <c r="BC345" s="2">
        <v>1</v>
      </c>
      <c r="BD345" s="2" t="s">
        <v>3</v>
      </c>
      <c r="BE345" s="2" t="s">
        <v>3</v>
      </c>
      <c r="BF345" s="2" t="s">
        <v>3</v>
      </c>
      <c r="BG345" s="2" t="s">
        <v>3</v>
      </c>
      <c r="BH345" s="2">
        <v>3</v>
      </c>
      <c r="BI345" s="2">
        <v>1</v>
      </c>
      <c r="BJ345" s="2" t="s">
        <v>475</v>
      </c>
      <c r="BK345" s="2"/>
      <c r="BL345" s="2"/>
      <c r="BM345" s="2">
        <v>442</v>
      </c>
      <c r="BN345" s="2">
        <v>0</v>
      </c>
      <c r="BO345" s="2" t="s">
        <v>3</v>
      </c>
      <c r="BP345" s="2">
        <v>0</v>
      </c>
      <c r="BQ345" s="2">
        <v>60</v>
      </c>
      <c r="BR345" s="2">
        <v>0</v>
      </c>
      <c r="BS345" s="2">
        <v>1</v>
      </c>
      <c r="BT345" s="2">
        <v>1</v>
      </c>
      <c r="BU345" s="2">
        <v>1</v>
      </c>
      <c r="BV345" s="2">
        <v>1</v>
      </c>
      <c r="BW345" s="2">
        <v>1</v>
      </c>
      <c r="BX345" s="2">
        <v>1</v>
      </c>
      <c r="BY345" s="2" t="s">
        <v>3</v>
      </c>
      <c r="BZ345" s="2">
        <v>104</v>
      </c>
      <c r="CA345" s="2">
        <v>79</v>
      </c>
      <c r="CB345" s="2" t="s">
        <v>3</v>
      </c>
      <c r="CC345" s="2"/>
      <c r="CD345" s="2"/>
      <c r="CE345" s="2">
        <v>30</v>
      </c>
      <c r="CF345" s="2">
        <v>0</v>
      </c>
      <c r="CG345" s="2">
        <v>0</v>
      </c>
      <c r="CH345" s="2"/>
      <c r="CI345" s="2"/>
      <c r="CJ345" s="2"/>
      <c r="CK345" s="2"/>
      <c r="CL345" s="2"/>
      <c r="CM345" s="2">
        <v>0</v>
      </c>
      <c r="CN345" s="2" t="s">
        <v>3</v>
      </c>
      <c r="CO345" s="2">
        <v>0</v>
      </c>
      <c r="CP345" s="2">
        <f t="shared" si="294"/>
        <v>849.4</v>
      </c>
      <c r="CQ345" s="2">
        <f t="shared" si="295"/>
        <v>137</v>
      </c>
      <c r="CR345" s="2">
        <f t="shared" si="317"/>
        <v>0</v>
      </c>
      <c r="CS345" s="2">
        <f t="shared" si="296"/>
        <v>0</v>
      </c>
      <c r="CT345" s="2">
        <f t="shared" si="297"/>
        <v>0</v>
      </c>
      <c r="CU345" s="2">
        <f t="shared" si="298"/>
        <v>0</v>
      </c>
      <c r="CV345" s="2">
        <f t="shared" si="299"/>
        <v>0</v>
      </c>
      <c r="CW345" s="2">
        <f t="shared" si="300"/>
        <v>0</v>
      </c>
      <c r="CX345" s="2">
        <f t="shared" si="301"/>
        <v>0</v>
      </c>
      <c r="CY345" s="2">
        <f>((S345*BZ345)/100)</f>
        <v>0</v>
      </c>
      <c r="CZ345" s="2">
        <f>((S345*CA345)/100)</f>
        <v>0</v>
      </c>
      <c r="DA345" s="2"/>
      <c r="DB345" s="2"/>
      <c r="DC345" s="2" t="s">
        <v>3</v>
      </c>
      <c r="DD345" s="2" t="s">
        <v>3</v>
      </c>
      <c r="DE345" s="2" t="s">
        <v>3</v>
      </c>
      <c r="DF345" s="2" t="s">
        <v>3</v>
      </c>
      <c r="DG345" s="2" t="s">
        <v>3</v>
      </c>
      <c r="DH345" s="2" t="s">
        <v>3</v>
      </c>
      <c r="DI345" s="2" t="s">
        <v>3</v>
      </c>
      <c r="DJ345" s="2" t="s">
        <v>3</v>
      </c>
      <c r="DK345" s="2" t="s">
        <v>3</v>
      </c>
      <c r="DL345" s="2" t="s">
        <v>3</v>
      </c>
      <c r="DM345" s="2" t="s">
        <v>3</v>
      </c>
      <c r="DN345" s="2">
        <v>0</v>
      </c>
      <c r="DO345" s="2">
        <v>0</v>
      </c>
      <c r="DP345" s="2">
        <v>1</v>
      </c>
      <c r="DQ345" s="2">
        <v>1</v>
      </c>
      <c r="DR345" s="2"/>
      <c r="DS345" s="2"/>
      <c r="DT345" s="2"/>
      <c r="DU345" s="2">
        <v>1003</v>
      </c>
      <c r="DV345" s="2" t="s">
        <v>270</v>
      </c>
      <c r="DW345" s="2" t="s">
        <v>270</v>
      </c>
      <c r="DX345" s="2">
        <v>1</v>
      </c>
      <c r="DY345" s="2"/>
      <c r="DZ345" s="2" t="s">
        <v>3</v>
      </c>
      <c r="EA345" s="2" t="s">
        <v>3</v>
      </c>
      <c r="EB345" s="2" t="s">
        <v>3</v>
      </c>
      <c r="EC345" s="2" t="s">
        <v>3</v>
      </c>
      <c r="ED345" s="2"/>
      <c r="EE345" s="2">
        <v>126051903</v>
      </c>
      <c r="EF345" s="2">
        <v>60</v>
      </c>
      <c r="EG345" s="2" t="s">
        <v>150</v>
      </c>
      <c r="EH345" s="2">
        <v>0</v>
      </c>
      <c r="EI345" s="2" t="s">
        <v>3</v>
      </c>
      <c r="EJ345" s="2">
        <v>1</v>
      </c>
      <c r="EK345" s="2">
        <v>442</v>
      </c>
      <c r="EL345" s="2" t="s">
        <v>457</v>
      </c>
      <c r="EM345" s="2" t="s">
        <v>458</v>
      </c>
      <c r="EN345" s="2"/>
      <c r="EO345" s="2" t="s">
        <v>3</v>
      </c>
      <c r="EP345" s="2"/>
      <c r="EQ345" s="2">
        <v>0</v>
      </c>
      <c r="ER345" s="2">
        <v>137</v>
      </c>
      <c r="ES345" s="2">
        <v>137</v>
      </c>
      <c r="ET345" s="2">
        <v>0</v>
      </c>
      <c r="EU345" s="2">
        <v>0</v>
      </c>
      <c r="EV345" s="2">
        <v>0</v>
      </c>
      <c r="EW345" s="2">
        <v>0</v>
      </c>
      <c r="EX345" s="2">
        <v>0</v>
      </c>
      <c r="EY345" s="2"/>
      <c r="EZ345" s="2"/>
      <c r="FA345" s="2"/>
      <c r="FB345" s="2"/>
      <c r="FC345" s="2"/>
      <c r="FD345" s="2"/>
      <c r="FE345" s="2"/>
      <c r="FF345" s="2"/>
      <c r="FG345" s="2"/>
      <c r="FH345" s="2"/>
      <c r="FI345" s="2"/>
      <c r="FJ345" s="2"/>
      <c r="FK345" s="2"/>
      <c r="FL345" s="2"/>
      <c r="FM345" s="2"/>
      <c r="FN345" s="2"/>
      <c r="FO345" s="2"/>
      <c r="FP345" s="2"/>
      <c r="FQ345" s="2">
        <v>0</v>
      </c>
      <c r="FR345" s="2">
        <f t="shared" si="302"/>
        <v>0</v>
      </c>
      <c r="FS345" s="2">
        <v>0</v>
      </c>
      <c r="FT345" s="2"/>
      <c r="FU345" s="2"/>
      <c r="FV345" s="2"/>
      <c r="FW345" s="2"/>
      <c r="FX345" s="2">
        <v>104</v>
      </c>
      <c r="FY345" s="2">
        <v>79</v>
      </c>
      <c r="FZ345" s="2"/>
      <c r="GA345" s="2" t="s">
        <v>3</v>
      </c>
      <c r="GB345" s="2"/>
      <c r="GC345" s="2"/>
      <c r="GD345" s="2">
        <v>0</v>
      </c>
      <c r="GE345" s="2"/>
      <c r="GF345" s="2">
        <v>-1545163299</v>
      </c>
      <c r="GG345" s="2">
        <v>2</v>
      </c>
      <c r="GH345" s="2">
        <v>1</v>
      </c>
      <c r="GI345" s="2">
        <v>-2</v>
      </c>
      <c r="GJ345" s="2">
        <v>0</v>
      </c>
      <c r="GK345" s="2">
        <f>ROUND(R345*(R12)/100,2)</f>
        <v>0</v>
      </c>
      <c r="GL345" s="2">
        <f t="shared" si="303"/>
        <v>0</v>
      </c>
      <c r="GM345" s="2">
        <f t="shared" si="304"/>
        <v>849.4</v>
      </c>
      <c r="GN345" s="2">
        <f t="shared" si="305"/>
        <v>849.4</v>
      </c>
      <c r="GO345" s="2">
        <f t="shared" si="306"/>
        <v>0</v>
      </c>
      <c r="GP345" s="2">
        <f t="shared" si="307"/>
        <v>0</v>
      </c>
      <c r="GQ345" s="2"/>
      <c r="GR345" s="2">
        <v>0</v>
      </c>
      <c r="GS345" s="2">
        <v>0</v>
      </c>
      <c r="GT345" s="2">
        <v>0</v>
      </c>
      <c r="GU345" s="2" t="s">
        <v>3</v>
      </c>
      <c r="GV345" s="2">
        <f t="shared" si="308"/>
        <v>0</v>
      </c>
      <c r="GW345" s="2">
        <v>1</v>
      </c>
      <c r="GX345" s="2">
        <f t="shared" si="309"/>
        <v>0</v>
      </c>
      <c r="GY345" s="2"/>
      <c r="GZ345" s="2"/>
      <c r="HA345" s="2">
        <v>0</v>
      </c>
      <c r="HB345" s="2">
        <v>0</v>
      </c>
      <c r="HC345" s="2">
        <f t="shared" si="310"/>
        <v>0</v>
      </c>
      <c r="HD345" s="2"/>
      <c r="HE345" s="2" t="s">
        <v>3</v>
      </c>
      <c r="HF345" s="2" t="s">
        <v>3</v>
      </c>
      <c r="HG345" s="2"/>
      <c r="HH345" s="2"/>
      <c r="HI345" s="2"/>
      <c r="HJ345" s="2"/>
      <c r="HK345" s="2"/>
      <c r="HL345" s="2"/>
      <c r="HM345" s="2" t="s">
        <v>3</v>
      </c>
      <c r="HN345" s="2" t="s">
        <v>3</v>
      </c>
      <c r="HO345" s="2" t="s">
        <v>3</v>
      </c>
      <c r="HP345" s="2" t="s">
        <v>3</v>
      </c>
      <c r="HQ345" s="2" t="s">
        <v>3</v>
      </c>
      <c r="HR345" s="2"/>
      <c r="HS345" s="2"/>
      <c r="HT345" s="2"/>
      <c r="HU345" s="2"/>
      <c r="HV345" s="2"/>
      <c r="HW345" s="2"/>
      <c r="HX345" s="2"/>
      <c r="HY345" s="2"/>
      <c r="HZ345" s="2"/>
      <c r="IA345" s="2"/>
      <c r="IB345" s="2"/>
      <c r="IC345" s="2"/>
      <c r="ID345" s="2"/>
      <c r="IE345" s="2"/>
      <c r="IF345" s="2"/>
      <c r="IG345" s="2"/>
      <c r="IH345" s="2"/>
      <c r="II345" s="2"/>
      <c r="IJ345" s="2"/>
      <c r="IK345" s="2">
        <v>0</v>
      </c>
      <c r="IL345" s="2"/>
      <c r="IM345" s="2"/>
      <c r="IN345" s="2"/>
      <c r="IO345" s="2"/>
      <c r="IP345" s="2"/>
      <c r="IQ345" s="2"/>
      <c r="IR345" s="2"/>
      <c r="IS345" s="2"/>
      <c r="IT345" s="2"/>
      <c r="IU345" s="2"/>
    </row>
    <row r="346" spans="1:255" x14ac:dyDescent="0.2">
      <c r="A346">
        <v>18</v>
      </c>
      <c r="B346">
        <v>1</v>
      </c>
      <c r="C346">
        <v>410</v>
      </c>
      <c r="E346" t="s">
        <v>472</v>
      </c>
      <c r="F346" t="s">
        <v>473</v>
      </c>
      <c r="G346" t="s">
        <v>474</v>
      </c>
      <c r="H346" t="s">
        <v>270</v>
      </c>
      <c r="I346">
        <f>I344*J346</f>
        <v>6.2</v>
      </c>
      <c r="J346">
        <v>100</v>
      </c>
      <c r="K346">
        <v>100</v>
      </c>
      <c r="O346">
        <f t="shared" si="278"/>
        <v>3057.84</v>
      </c>
      <c r="P346">
        <f t="shared" si="279"/>
        <v>3057.84</v>
      </c>
      <c r="Q346">
        <f t="shared" si="311"/>
        <v>0</v>
      </c>
      <c r="R346">
        <f t="shared" si="280"/>
        <v>0</v>
      </c>
      <c r="S346">
        <f t="shared" si="281"/>
        <v>0</v>
      </c>
      <c r="T346">
        <f t="shared" si="282"/>
        <v>0</v>
      </c>
      <c r="U346">
        <f t="shared" si="283"/>
        <v>0</v>
      </c>
      <c r="V346">
        <f t="shared" si="284"/>
        <v>0</v>
      </c>
      <c r="W346">
        <f t="shared" si="285"/>
        <v>0</v>
      </c>
      <c r="X346">
        <f t="shared" si="286"/>
        <v>0</v>
      </c>
      <c r="Y346">
        <f t="shared" si="287"/>
        <v>0</v>
      </c>
      <c r="AA346">
        <v>129761633</v>
      </c>
      <c r="AB346">
        <f t="shared" si="288"/>
        <v>137</v>
      </c>
      <c r="AC346">
        <f t="shared" si="289"/>
        <v>137</v>
      </c>
      <c r="AD346">
        <f t="shared" si="312"/>
        <v>0</v>
      </c>
      <c r="AE346">
        <f t="shared" si="313"/>
        <v>0</v>
      </c>
      <c r="AF346">
        <f t="shared" si="314"/>
        <v>0</v>
      </c>
      <c r="AG346">
        <f t="shared" si="291"/>
        <v>0</v>
      </c>
      <c r="AH346">
        <f t="shared" si="315"/>
        <v>0</v>
      </c>
      <c r="AI346">
        <f t="shared" si="316"/>
        <v>0</v>
      </c>
      <c r="AJ346">
        <f t="shared" si="293"/>
        <v>0</v>
      </c>
      <c r="AK346">
        <v>137</v>
      </c>
      <c r="AL346">
        <v>137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1</v>
      </c>
      <c r="AW346">
        <v>1</v>
      </c>
      <c r="AZ346">
        <v>1</v>
      </c>
      <c r="BA346">
        <v>1</v>
      </c>
      <c r="BB346">
        <v>1</v>
      </c>
      <c r="BC346">
        <v>3.6</v>
      </c>
      <c r="BD346" t="s">
        <v>3</v>
      </c>
      <c r="BE346" t="s">
        <v>3</v>
      </c>
      <c r="BF346" t="s">
        <v>3</v>
      </c>
      <c r="BG346" t="s">
        <v>3</v>
      </c>
      <c r="BH346">
        <v>3</v>
      </c>
      <c r="BI346">
        <v>1</v>
      </c>
      <c r="BJ346" t="s">
        <v>475</v>
      </c>
      <c r="BM346">
        <v>442</v>
      </c>
      <c r="BN346">
        <v>0</v>
      </c>
      <c r="BO346" t="s">
        <v>473</v>
      </c>
      <c r="BP346">
        <v>1</v>
      </c>
      <c r="BQ346">
        <v>60</v>
      </c>
      <c r="BR346">
        <v>0</v>
      </c>
      <c r="BS346">
        <v>1</v>
      </c>
      <c r="BT346">
        <v>1</v>
      </c>
      <c r="BU346">
        <v>1</v>
      </c>
      <c r="BV346">
        <v>1</v>
      </c>
      <c r="BW346">
        <v>1</v>
      </c>
      <c r="BX346">
        <v>1</v>
      </c>
      <c r="BY346" t="s">
        <v>3</v>
      </c>
      <c r="BZ346">
        <v>0</v>
      </c>
      <c r="CA346">
        <v>0</v>
      </c>
      <c r="CB346" t="s">
        <v>3</v>
      </c>
      <c r="CE346">
        <v>30</v>
      </c>
      <c r="CF346">
        <v>0</v>
      </c>
      <c r="CG346">
        <v>0</v>
      </c>
      <c r="CM346">
        <v>0</v>
      </c>
      <c r="CN346" t="s">
        <v>3</v>
      </c>
      <c r="CO346">
        <v>0</v>
      </c>
      <c r="CP346">
        <f t="shared" si="294"/>
        <v>3057.84</v>
      </c>
      <c r="CQ346">
        <f t="shared" si="295"/>
        <v>493.2</v>
      </c>
      <c r="CR346">
        <f t="shared" si="317"/>
        <v>0</v>
      </c>
      <c r="CS346">
        <f t="shared" si="296"/>
        <v>0</v>
      </c>
      <c r="CT346">
        <f t="shared" si="297"/>
        <v>0</v>
      </c>
      <c r="CU346">
        <f t="shared" si="298"/>
        <v>0</v>
      </c>
      <c r="CV346">
        <f t="shared" si="299"/>
        <v>0</v>
      </c>
      <c r="CW346">
        <f t="shared" si="300"/>
        <v>0</v>
      </c>
      <c r="CX346">
        <f t="shared" si="301"/>
        <v>0</v>
      </c>
      <c r="CY346">
        <f>S346*(BZ346/100)</f>
        <v>0</v>
      </c>
      <c r="CZ346">
        <f>S346*(CA346/100)</f>
        <v>0</v>
      </c>
      <c r="DC346" t="s">
        <v>3</v>
      </c>
      <c r="DD346" t="s">
        <v>3</v>
      </c>
      <c r="DE346" t="s">
        <v>3</v>
      </c>
      <c r="DF346" t="s">
        <v>3</v>
      </c>
      <c r="DG346" t="s">
        <v>3</v>
      </c>
      <c r="DH346" t="s">
        <v>3</v>
      </c>
      <c r="DI346" t="s">
        <v>3</v>
      </c>
      <c r="DJ346" t="s">
        <v>3</v>
      </c>
      <c r="DK346" t="s">
        <v>3</v>
      </c>
      <c r="DL346" t="s">
        <v>3</v>
      </c>
      <c r="DM346" t="s">
        <v>3</v>
      </c>
      <c r="DN346">
        <v>104</v>
      </c>
      <c r="DO346">
        <v>79</v>
      </c>
      <c r="DP346">
        <v>1</v>
      </c>
      <c r="DQ346">
        <v>1</v>
      </c>
      <c r="DU346">
        <v>1003</v>
      </c>
      <c r="DV346" t="s">
        <v>270</v>
      </c>
      <c r="DW346" t="s">
        <v>270</v>
      </c>
      <c r="DX346">
        <v>1</v>
      </c>
      <c r="DZ346" t="s">
        <v>3</v>
      </c>
      <c r="EA346" t="s">
        <v>3</v>
      </c>
      <c r="EB346" t="s">
        <v>3</v>
      </c>
      <c r="EC346" t="s">
        <v>3</v>
      </c>
      <c r="EE346">
        <v>126051903</v>
      </c>
      <c r="EF346">
        <v>60</v>
      </c>
      <c r="EG346" t="s">
        <v>150</v>
      </c>
      <c r="EH346">
        <v>0</v>
      </c>
      <c r="EI346" t="s">
        <v>3</v>
      </c>
      <c r="EJ346">
        <v>1</v>
      </c>
      <c r="EK346">
        <v>442</v>
      </c>
      <c r="EL346" t="s">
        <v>457</v>
      </c>
      <c r="EM346" t="s">
        <v>458</v>
      </c>
      <c r="EO346" t="s">
        <v>3</v>
      </c>
      <c r="EQ346">
        <v>0</v>
      </c>
      <c r="ER346">
        <v>137</v>
      </c>
      <c r="ES346">
        <v>137</v>
      </c>
      <c r="ET346">
        <v>0</v>
      </c>
      <c r="EU346">
        <v>0</v>
      </c>
      <c r="EV346">
        <v>0</v>
      </c>
      <c r="EW346">
        <v>0</v>
      </c>
      <c r="EX346">
        <v>0</v>
      </c>
      <c r="FQ346">
        <v>0</v>
      </c>
      <c r="FR346">
        <f t="shared" si="302"/>
        <v>0</v>
      </c>
      <c r="FS346">
        <v>0</v>
      </c>
      <c r="FX346">
        <v>104</v>
      </c>
      <c r="FY346">
        <v>79</v>
      </c>
      <c r="GA346" t="s">
        <v>3</v>
      </c>
      <c r="GD346">
        <v>0</v>
      </c>
      <c r="GF346">
        <v>-1545163299</v>
      </c>
      <c r="GG346">
        <v>2</v>
      </c>
      <c r="GH346">
        <v>1</v>
      </c>
      <c r="GI346">
        <v>2</v>
      </c>
      <c r="GJ346">
        <v>0</v>
      </c>
      <c r="GK346">
        <f>ROUND(R346*(S12)/100,2)</f>
        <v>0</v>
      </c>
      <c r="GL346">
        <f t="shared" si="303"/>
        <v>0</v>
      </c>
      <c r="GM346">
        <f t="shared" si="304"/>
        <v>3057.84</v>
      </c>
      <c r="GN346">
        <f t="shared" si="305"/>
        <v>3057.84</v>
      </c>
      <c r="GO346">
        <f t="shared" si="306"/>
        <v>0</v>
      </c>
      <c r="GP346">
        <f t="shared" si="307"/>
        <v>0</v>
      </c>
      <c r="GR346">
        <v>0</v>
      </c>
      <c r="GS346">
        <v>3</v>
      </c>
      <c r="GT346">
        <v>0</v>
      </c>
      <c r="GU346" t="s">
        <v>3</v>
      </c>
      <c r="GV346">
        <f t="shared" si="308"/>
        <v>0</v>
      </c>
      <c r="GW346">
        <v>1</v>
      </c>
      <c r="GX346">
        <f t="shared" si="309"/>
        <v>0</v>
      </c>
      <c r="HA346">
        <v>0</v>
      </c>
      <c r="HB346">
        <v>0</v>
      </c>
      <c r="HC346">
        <f t="shared" si="310"/>
        <v>0</v>
      </c>
      <c r="HE346" t="s">
        <v>3</v>
      </c>
      <c r="HF346" t="s">
        <v>3</v>
      </c>
      <c r="HM346" t="s">
        <v>3</v>
      </c>
      <c r="HN346" t="s">
        <v>3</v>
      </c>
      <c r="HO346" t="s">
        <v>3</v>
      </c>
      <c r="HP346" t="s">
        <v>3</v>
      </c>
      <c r="HQ346" t="s">
        <v>3</v>
      </c>
      <c r="IK346">
        <v>0</v>
      </c>
    </row>
    <row r="348" spans="1:255" x14ac:dyDescent="0.2">
      <c r="A348" s="3">
        <v>51</v>
      </c>
      <c r="B348" s="3">
        <f>B223</f>
        <v>1</v>
      </c>
      <c r="C348" s="3">
        <f>A223</f>
        <v>4</v>
      </c>
      <c r="D348" s="3">
        <f>ROW(A223)</f>
        <v>223</v>
      </c>
      <c r="E348" s="3"/>
      <c r="F348" s="3" t="str">
        <f>IF(F223&lt;&gt;"",F223,"")</f>
        <v>Новый раздел</v>
      </c>
      <c r="G348" s="3" t="str">
        <f>IF(G223&lt;&gt;"",G223,"")</f>
        <v>Монтажные работы</v>
      </c>
      <c r="H348" s="3">
        <v>0</v>
      </c>
      <c r="I348" s="3"/>
      <c r="J348" s="3"/>
      <c r="K348" s="3"/>
      <c r="L348" s="3"/>
      <c r="M348" s="3"/>
      <c r="N348" s="3"/>
      <c r="O348" s="3">
        <f t="shared" ref="O348:T348" si="318">ROUND(AB348,2)</f>
        <v>35083.370000000003</v>
      </c>
      <c r="P348" s="3">
        <f t="shared" si="318"/>
        <v>30793.14</v>
      </c>
      <c r="Q348" s="3">
        <f t="shared" si="318"/>
        <v>223.47</v>
      </c>
      <c r="R348" s="3">
        <f t="shared" si="318"/>
        <v>36.44</v>
      </c>
      <c r="S348" s="3">
        <f t="shared" si="318"/>
        <v>4066.76</v>
      </c>
      <c r="T348" s="3">
        <f t="shared" si="318"/>
        <v>0</v>
      </c>
      <c r="U348" s="3">
        <f>AH348</f>
        <v>341.94448945000005</v>
      </c>
      <c r="V348" s="3">
        <f>AI348</f>
        <v>0</v>
      </c>
      <c r="W348" s="3">
        <f>ROUND(AJ348,2)</f>
        <v>0</v>
      </c>
      <c r="X348" s="3">
        <f>ROUND(AK348,2)</f>
        <v>4058.46</v>
      </c>
      <c r="Y348" s="3">
        <f>ROUND(AL348,2)</f>
        <v>2645.6</v>
      </c>
      <c r="Z348" s="3"/>
      <c r="AA348" s="3"/>
      <c r="AB348" s="3">
        <f>ROUND(SUMIF(AA227:AA346,"=129761636",O227:O346),2)</f>
        <v>35083.370000000003</v>
      </c>
      <c r="AC348" s="3">
        <f>ROUND(SUMIF(AA227:AA346,"=129761636",P227:P346),2)</f>
        <v>30793.14</v>
      </c>
      <c r="AD348" s="3">
        <f>ROUND(SUMIF(AA227:AA346,"=129761636",Q227:Q346),2)</f>
        <v>223.47</v>
      </c>
      <c r="AE348" s="3">
        <f>ROUND(SUMIF(AA227:AA346,"=129761636",R227:R346),2)</f>
        <v>36.44</v>
      </c>
      <c r="AF348" s="3">
        <f>ROUND(SUMIF(AA227:AA346,"=129761636",S227:S346),2)</f>
        <v>4066.76</v>
      </c>
      <c r="AG348" s="3">
        <f>ROUND(SUMIF(AA227:AA346,"=129761636",T227:T346),2)</f>
        <v>0</v>
      </c>
      <c r="AH348" s="3">
        <f>SUMIF(AA227:AA346,"=129761636",U227:U346)</f>
        <v>341.94448945000005</v>
      </c>
      <c r="AI348" s="3">
        <f>SUMIF(AA227:AA346,"=129761636",V227:V346)</f>
        <v>0</v>
      </c>
      <c r="AJ348" s="3">
        <f>ROUND(SUMIF(AA227:AA346,"=129761636",W227:W346),2)</f>
        <v>0</v>
      </c>
      <c r="AK348" s="3">
        <f>ROUND(SUMIF(AA227:AA346,"=129761636",X227:X346),2)</f>
        <v>4058.46</v>
      </c>
      <c r="AL348" s="3">
        <f>ROUND(SUMIF(AA227:AA346,"=129761636",Y227:Y346),2)</f>
        <v>2645.6</v>
      </c>
      <c r="AM348" s="3"/>
      <c r="AN348" s="3"/>
      <c r="AO348" s="3">
        <f t="shared" ref="AO348:BD348" si="319">ROUND(BX348,2)</f>
        <v>0</v>
      </c>
      <c r="AP348" s="3">
        <f t="shared" si="319"/>
        <v>0</v>
      </c>
      <c r="AQ348" s="3">
        <f t="shared" si="319"/>
        <v>0</v>
      </c>
      <c r="AR348" s="3">
        <f t="shared" si="319"/>
        <v>41851.22</v>
      </c>
      <c r="AS348" s="3">
        <f t="shared" si="319"/>
        <v>41851.22</v>
      </c>
      <c r="AT348" s="3">
        <f t="shared" si="319"/>
        <v>0</v>
      </c>
      <c r="AU348" s="3">
        <f t="shared" si="319"/>
        <v>0</v>
      </c>
      <c r="AV348" s="3">
        <f t="shared" si="319"/>
        <v>30793.14</v>
      </c>
      <c r="AW348" s="3">
        <f t="shared" si="319"/>
        <v>30793.14</v>
      </c>
      <c r="AX348" s="3">
        <f t="shared" si="319"/>
        <v>0</v>
      </c>
      <c r="AY348" s="3">
        <f t="shared" si="319"/>
        <v>30793.14</v>
      </c>
      <c r="AZ348" s="3">
        <f t="shared" si="319"/>
        <v>0</v>
      </c>
      <c r="BA348" s="3">
        <f t="shared" si="319"/>
        <v>0</v>
      </c>
      <c r="BB348" s="3">
        <f t="shared" si="319"/>
        <v>0</v>
      </c>
      <c r="BC348" s="3">
        <f t="shared" si="319"/>
        <v>0</v>
      </c>
      <c r="BD348" s="3">
        <f t="shared" si="319"/>
        <v>0</v>
      </c>
      <c r="BE348" s="3"/>
      <c r="BF348" s="3"/>
      <c r="BG348" s="3"/>
      <c r="BH348" s="3"/>
      <c r="BI348" s="3"/>
      <c r="BJ348" s="3"/>
      <c r="BK348" s="3"/>
      <c r="BL348" s="3"/>
      <c r="BM348" s="3"/>
      <c r="BN348" s="3"/>
      <c r="BO348" s="3"/>
      <c r="BP348" s="3"/>
      <c r="BQ348" s="3"/>
      <c r="BR348" s="3"/>
      <c r="BS348" s="3"/>
      <c r="BT348" s="3"/>
      <c r="BU348" s="3"/>
      <c r="BV348" s="3"/>
      <c r="BW348" s="3"/>
      <c r="BX348" s="3">
        <f>ROUND(SUMIF(AA227:AA346,"=129761636",FQ227:FQ346),2)</f>
        <v>0</v>
      </c>
      <c r="BY348" s="3">
        <f>ROUND(SUMIF(AA227:AA346,"=129761636",FR227:FR346),2)</f>
        <v>0</v>
      </c>
      <c r="BZ348" s="3">
        <f>ROUND(SUMIF(AA227:AA346,"=129761636",GL227:GL346),2)</f>
        <v>0</v>
      </c>
      <c r="CA348" s="3">
        <f>ROUND(SUMIF(AA227:AA346,"=129761636",GM227:GM346),2)</f>
        <v>41851.22</v>
      </c>
      <c r="CB348" s="3">
        <f>ROUND(SUMIF(AA227:AA346,"=129761636",GN227:GN346),2)</f>
        <v>41851.22</v>
      </c>
      <c r="CC348" s="3">
        <f>ROUND(SUMIF(AA227:AA346,"=129761636",GO227:GO346),2)</f>
        <v>0</v>
      </c>
      <c r="CD348" s="3">
        <f>ROUND(SUMIF(AA227:AA346,"=129761636",GP227:GP346),2)</f>
        <v>0</v>
      </c>
      <c r="CE348" s="3">
        <f>AC348-BX348</f>
        <v>30793.14</v>
      </c>
      <c r="CF348" s="3">
        <f>AC348-BY348</f>
        <v>30793.14</v>
      </c>
      <c r="CG348" s="3">
        <f>BX348-BZ348</f>
        <v>0</v>
      </c>
      <c r="CH348" s="3">
        <f>AC348-BX348-BY348+BZ348</f>
        <v>30793.14</v>
      </c>
      <c r="CI348" s="3">
        <f>BY348-BZ348</f>
        <v>0</v>
      </c>
      <c r="CJ348" s="3">
        <f>ROUND(SUMIF(AA227:AA346,"=129761636",GX227:GX346),2)</f>
        <v>0</v>
      </c>
      <c r="CK348" s="3">
        <f>ROUND(SUMIF(AA227:AA346,"=129761636",GY227:GY346),2)</f>
        <v>0</v>
      </c>
      <c r="CL348" s="3">
        <f>ROUND(SUMIF(AA227:AA346,"=129761636",GZ227:GZ346),2)</f>
        <v>0</v>
      </c>
      <c r="CM348" s="3">
        <f>ROUND(SUMIF(AA227:AA346,"=129761636",HD227:HD346),2)</f>
        <v>0</v>
      </c>
      <c r="CN348" s="3"/>
      <c r="CO348" s="3"/>
      <c r="CP348" s="3"/>
      <c r="CQ348" s="3"/>
      <c r="CR348" s="3"/>
      <c r="CS348" s="3"/>
      <c r="CT348" s="3"/>
      <c r="CU348" s="3"/>
      <c r="CV348" s="3"/>
      <c r="CW348" s="3"/>
      <c r="CX348" s="3"/>
      <c r="CY348" s="3"/>
      <c r="CZ348" s="3"/>
      <c r="DA348" s="3"/>
      <c r="DB348" s="3"/>
      <c r="DC348" s="3"/>
      <c r="DD348" s="3"/>
      <c r="DE348" s="3"/>
      <c r="DF348" s="3"/>
      <c r="DG348" s="4">
        <f t="shared" ref="DG348:DL348" si="320">ROUND(DT348,2)</f>
        <v>641330.06999999995</v>
      </c>
      <c r="DH348" s="4">
        <f t="shared" si="320"/>
        <v>520613.4</v>
      </c>
      <c r="DI348" s="4">
        <f t="shared" si="320"/>
        <v>2658.62</v>
      </c>
      <c r="DJ348" s="4">
        <f t="shared" si="320"/>
        <v>1057.8399999999999</v>
      </c>
      <c r="DK348" s="4">
        <f t="shared" si="320"/>
        <v>118058.05</v>
      </c>
      <c r="DL348" s="4">
        <f t="shared" si="320"/>
        <v>0</v>
      </c>
      <c r="DM348" s="4">
        <f>DZ348</f>
        <v>341.94448945000005</v>
      </c>
      <c r="DN348" s="4">
        <f>EA348</f>
        <v>0</v>
      </c>
      <c r="DO348" s="4">
        <f>ROUND(EB348,2)</f>
        <v>0</v>
      </c>
      <c r="DP348" s="4">
        <f>ROUND(EC348,2)</f>
        <v>97786.18</v>
      </c>
      <c r="DQ348" s="4">
        <f>ROUND(ED348,2)</f>
        <v>48403.8</v>
      </c>
      <c r="DR348" s="4"/>
      <c r="DS348" s="4"/>
      <c r="DT348" s="4">
        <f>ROUND(SUMIF(AA227:AA346,"=129761633",O227:O346),2)</f>
        <v>641330.06999999995</v>
      </c>
      <c r="DU348" s="4">
        <f>ROUND(SUMIF(AA227:AA346,"=129761633",P227:P346),2)</f>
        <v>520613.4</v>
      </c>
      <c r="DV348" s="4">
        <f>ROUND(SUMIF(AA227:AA346,"=129761633",Q227:Q346),2)</f>
        <v>2658.62</v>
      </c>
      <c r="DW348" s="4">
        <f>ROUND(SUMIF(AA227:AA346,"=129761633",R227:R346),2)</f>
        <v>1057.8399999999999</v>
      </c>
      <c r="DX348" s="4">
        <f>ROUND(SUMIF(AA227:AA346,"=129761633",S227:S346),2)</f>
        <v>118058.05</v>
      </c>
      <c r="DY348" s="4">
        <f>ROUND(SUMIF(AA227:AA346,"=129761633",T227:T346),2)</f>
        <v>0</v>
      </c>
      <c r="DZ348" s="4">
        <f>SUMIF(AA227:AA346,"=129761633",U227:U346)</f>
        <v>341.94448945000005</v>
      </c>
      <c r="EA348" s="4">
        <f>SUMIF(AA227:AA346,"=129761633",V227:V346)</f>
        <v>0</v>
      </c>
      <c r="EB348" s="4">
        <f>ROUND(SUMIF(AA227:AA346,"=129761633",W227:W346),2)</f>
        <v>0</v>
      </c>
      <c r="EC348" s="4">
        <f>ROUND(SUMIF(AA227:AA346,"=129761633",X227:X346),2)</f>
        <v>97786.18</v>
      </c>
      <c r="ED348" s="4">
        <f>ROUND(SUMIF(AA227:AA346,"=129761633",Y227:Y346),2)</f>
        <v>48403.8</v>
      </c>
      <c r="EE348" s="4"/>
      <c r="EF348" s="4"/>
      <c r="EG348" s="4">
        <f t="shared" ref="EG348:EV348" si="321">ROUND(FP348,2)</f>
        <v>0</v>
      </c>
      <c r="EH348" s="4">
        <f t="shared" si="321"/>
        <v>0</v>
      </c>
      <c r="EI348" s="4">
        <f t="shared" si="321"/>
        <v>0</v>
      </c>
      <c r="EJ348" s="4">
        <f t="shared" si="321"/>
        <v>789212.58</v>
      </c>
      <c r="EK348" s="4">
        <f t="shared" si="321"/>
        <v>789212.58</v>
      </c>
      <c r="EL348" s="4">
        <f t="shared" si="321"/>
        <v>0</v>
      </c>
      <c r="EM348" s="4">
        <f t="shared" si="321"/>
        <v>0</v>
      </c>
      <c r="EN348" s="4">
        <f t="shared" si="321"/>
        <v>520613.4</v>
      </c>
      <c r="EO348" s="4">
        <f t="shared" si="321"/>
        <v>520613.4</v>
      </c>
      <c r="EP348" s="4">
        <f t="shared" si="321"/>
        <v>0</v>
      </c>
      <c r="EQ348" s="4">
        <f t="shared" si="321"/>
        <v>520613.4</v>
      </c>
      <c r="ER348" s="4">
        <f t="shared" si="321"/>
        <v>0</v>
      </c>
      <c r="ES348" s="4">
        <f t="shared" si="321"/>
        <v>0</v>
      </c>
      <c r="ET348" s="4">
        <f t="shared" si="321"/>
        <v>0</v>
      </c>
      <c r="EU348" s="4">
        <f t="shared" si="321"/>
        <v>0</v>
      </c>
      <c r="EV348" s="4">
        <f t="shared" si="321"/>
        <v>0</v>
      </c>
      <c r="EW348" s="4"/>
      <c r="EX348" s="4"/>
      <c r="EY348" s="4"/>
      <c r="EZ348" s="4"/>
      <c r="FA348" s="4"/>
      <c r="FB348" s="4"/>
      <c r="FC348" s="4"/>
      <c r="FD348" s="4"/>
      <c r="FE348" s="4"/>
      <c r="FF348" s="4"/>
      <c r="FG348" s="4"/>
      <c r="FH348" s="4"/>
      <c r="FI348" s="4"/>
      <c r="FJ348" s="4"/>
      <c r="FK348" s="4"/>
      <c r="FL348" s="4"/>
      <c r="FM348" s="4"/>
      <c r="FN348" s="4"/>
      <c r="FO348" s="4"/>
      <c r="FP348" s="4">
        <f>ROUND(SUMIF(AA227:AA346,"=129761633",FQ227:FQ346),2)</f>
        <v>0</v>
      </c>
      <c r="FQ348" s="4">
        <f>ROUND(SUMIF(AA227:AA346,"=129761633",FR227:FR346),2)</f>
        <v>0</v>
      </c>
      <c r="FR348" s="4">
        <f>ROUND(SUMIF(AA227:AA346,"=129761633",GL227:GL346),2)</f>
        <v>0</v>
      </c>
      <c r="FS348" s="4">
        <f>ROUND(SUMIF(AA227:AA346,"=129761633",GM227:GM346),2)</f>
        <v>789212.58</v>
      </c>
      <c r="FT348" s="4">
        <f>ROUND(SUMIF(AA227:AA346,"=129761633",GN227:GN346),2)</f>
        <v>789212.58</v>
      </c>
      <c r="FU348" s="4">
        <f>ROUND(SUMIF(AA227:AA346,"=129761633",GO227:GO346),2)</f>
        <v>0</v>
      </c>
      <c r="FV348" s="4">
        <f>ROUND(SUMIF(AA227:AA346,"=129761633",GP227:GP346),2)</f>
        <v>0</v>
      </c>
      <c r="FW348" s="4">
        <f>DU348-FP348</f>
        <v>520613.4</v>
      </c>
      <c r="FX348" s="4">
        <f>DU348-FQ348</f>
        <v>520613.4</v>
      </c>
      <c r="FY348" s="4">
        <f>FP348-FR348</f>
        <v>0</v>
      </c>
      <c r="FZ348" s="4">
        <f>DU348-FP348-FQ348+FR348</f>
        <v>520613.4</v>
      </c>
      <c r="GA348" s="4">
        <f>FQ348-FR348</f>
        <v>0</v>
      </c>
      <c r="GB348" s="4">
        <f>ROUND(SUMIF(AA227:AA346,"=129761633",GX227:GX346),2)</f>
        <v>0</v>
      </c>
      <c r="GC348" s="4">
        <f>ROUND(SUMIF(AA227:AA346,"=129761633",GY227:GY346),2)</f>
        <v>0</v>
      </c>
      <c r="GD348" s="4">
        <f>ROUND(SUMIF(AA227:AA346,"=129761633",GZ227:GZ346),2)</f>
        <v>0</v>
      </c>
      <c r="GE348" s="4">
        <f>ROUND(SUMIF(AA227:AA346,"=129761633",HD227:HD346),2)</f>
        <v>0</v>
      </c>
      <c r="GF348" s="4"/>
      <c r="GG348" s="4"/>
      <c r="GH348" s="4"/>
      <c r="GI348" s="4"/>
      <c r="GJ348" s="4"/>
      <c r="GK348" s="4"/>
      <c r="GL348" s="4"/>
      <c r="GM348" s="4"/>
      <c r="GN348" s="4"/>
      <c r="GO348" s="4"/>
      <c r="GP348" s="4"/>
      <c r="GQ348" s="4"/>
      <c r="GR348" s="4"/>
      <c r="GS348" s="4"/>
      <c r="GT348" s="4"/>
      <c r="GU348" s="4"/>
      <c r="GV348" s="4"/>
      <c r="GW348" s="4"/>
      <c r="GX348" s="4">
        <v>0</v>
      </c>
    </row>
    <row r="350" spans="1:255" x14ac:dyDescent="0.2">
      <c r="A350" s="5">
        <v>50</v>
      </c>
      <c r="B350" s="5">
        <v>0</v>
      </c>
      <c r="C350" s="5">
        <v>0</v>
      </c>
      <c r="D350" s="5">
        <v>1</v>
      </c>
      <c r="E350" s="5">
        <v>201</v>
      </c>
      <c r="F350" s="5">
        <f>ROUND(Source!O348,O350)</f>
        <v>35083.370000000003</v>
      </c>
      <c r="G350" s="5" t="s">
        <v>26</v>
      </c>
      <c r="H350" s="5" t="s">
        <v>27</v>
      </c>
      <c r="I350" s="5"/>
      <c r="J350" s="5"/>
      <c r="K350" s="5">
        <v>201</v>
      </c>
      <c r="L350" s="5">
        <v>1</v>
      </c>
      <c r="M350" s="5">
        <v>3</v>
      </c>
      <c r="N350" s="5" t="s">
        <v>3</v>
      </c>
      <c r="O350" s="5">
        <v>2</v>
      </c>
      <c r="P350" s="5">
        <f>ROUND(Source!DG348,O350)</f>
        <v>641330.06999999995</v>
      </c>
      <c r="Q350" s="5"/>
      <c r="R350" s="5"/>
      <c r="S350" s="5"/>
      <c r="T350" s="5"/>
      <c r="U350" s="5"/>
      <c r="V350" s="5"/>
      <c r="W350" s="5">
        <v>35083.370000000003</v>
      </c>
      <c r="X350" s="5">
        <v>1</v>
      </c>
      <c r="Y350" s="5">
        <v>35083.370000000003</v>
      </c>
      <c r="Z350" s="5">
        <v>641330.06999999995</v>
      </c>
      <c r="AA350" s="5">
        <v>1</v>
      </c>
      <c r="AB350" s="5">
        <v>641330.06999999995</v>
      </c>
    </row>
    <row r="351" spans="1:255" x14ac:dyDescent="0.2">
      <c r="A351" s="5">
        <v>50</v>
      </c>
      <c r="B351" s="5">
        <v>0</v>
      </c>
      <c r="C351" s="5">
        <v>0</v>
      </c>
      <c r="D351" s="5">
        <v>1</v>
      </c>
      <c r="E351" s="5">
        <v>202</v>
      </c>
      <c r="F351" s="5">
        <f>ROUND(Source!P348,O351)</f>
        <v>30793.14</v>
      </c>
      <c r="G351" s="5" t="s">
        <v>28</v>
      </c>
      <c r="H351" s="5" t="s">
        <v>29</v>
      </c>
      <c r="I351" s="5"/>
      <c r="J351" s="5"/>
      <c r="K351" s="5">
        <v>202</v>
      </c>
      <c r="L351" s="5">
        <v>2</v>
      </c>
      <c r="M351" s="5">
        <v>3</v>
      </c>
      <c r="N351" s="5" t="s">
        <v>3</v>
      </c>
      <c r="O351" s="5">
        <v>2</v>
      </c>
      <c r="P351" s="5">
        <f>ROUND(Source!DH348,O351)</f>
        <v>520613.4</v>
      </c>
      <c r="Q351" s="5"/>
      <c r="R351" s="5"/>
      <c r="S351" s="5"/>
      <c r="T351" s="5"/>
      <c r="U351" s="5"/>
      <c r="V351" s="5"/>
      <c r="W351" s="5">
        <v>30793.14</v>
      </c>
      <c r="X351" s="5">
        <v>1</v>
      </c>
      <c r="Y351" s="5">
        <v>30793.14</v>
      </c>
      <c r="Z351" s="5">
        <v>520613.4</v>
      </c>
      <c r="AA351" s="5">
        <v>1</v>
      </c>
      <c r="AB351" s="5">
        <v>520613.4</v>
      </c>
    </row>
    <row r="352" spans="1:255" x14ac:dyDescent="0.2">
      <c r="A352" s="5">
        <v>50</v>
      </c>
      <c r="B352" s="5">
        <v>0</v>
      </c>
      <c r="C352" s="5">
        <v>0</v>
      </c>
      <c r="D352" s="5">
        <v>1</v>
      </c>
      <c r="E352" s="5">
        <v>222</v>
      </c>
      <c r="F352" s="5">
        <f>ROUND(Source!AO348,O352)</f>
        <v>0</v>
      </c>
      <c r="G352" s="5" t="s">
        <v>30</v>
      </c>
      <c r="H352" s="5" t="s">
        <v>31</v>
      </c>
      <c r="I352" s="5"/>
      <c r="J352" s="5"/>
      <c r="K352" s="5">
        <v>222</v>
      </c>
      <c r="L352" s="5">
        <v>3</v>
      </c>
      <c r="M352" s="5">
        <v>3</v>
      </c>
      <c r="N352" s="5" t="s">
        <v>3</v>
      </c>
      <c r="O352" s="5">
        <v>2</v>
      </c>
      <c r="P352" s="5">
        <f>ROUND(Source!EG348,O352)</f>
        <v>0</v>
      </c>
      <c r="Q352" s="5"/>
      <c r="R352" s="5"/>
      <c r="S352" s="5"/>
      <c r="T352" s="5"/>
      <c r="U352" s="5"/>
      <c r="V352" s="5"/>
      <c r="W352" s="5">
        <v>0</v>
      </c>
      <c r="X352" s="5">
        <v>1</v>
      </c>
      <c r="Y352" s="5">
        <v>0</v>
      </c>
      <c r="Z352" s="5">
        <v>0</v>
      </c>
      <c r="AA352" s="5">
        <v>1</v>
      </c>
      <c r="AB352" s="5">
        <v>0</v>
      </c>
    </row>
    <row r="353" spans="1:28" x14ac:dyDescent="0.2">
      <c r="A353" s="5">
        <v>50</v>
      </c>
      <c r="B353" s="5">
        <v>0</v>
      </c>
      <c r="C353" s="5">
        <v>0</v>
      </c>
      <c r="D353" s="5">
        <v>1</v>
      </c>
      <c r="E353" s="5">
        <v>225</v>
      </c>
      <c r="F353" s="5">
        <f>ROUND(Source!AV348,O353)</f>
        <v>30793.14</v>
      </c>
      <c r="G353" s="5" t="s">
        <v>32</v>
      </c>
      <c r="H353" s="5" t="s">
        <v>33</v>
      </c>
      <c r="I353" s="5"/>
      <c r="J353" s="5"/>
      <c r="K353" s="5">
        <v>225</v>
      </c>
      <c r="L353" s="5">
        <v>4</v>
      </c>
      <c r="M353" s="5">
        <v>3</v>
      </c>
      <c r="N353" s="5" t="s">
        <v>3</v>
      </c>
      <c r="O353" s="5">
        <v>2</v>
      </c>
      <c r="P353" s="5">
        <f>ROUND(Source!EN348,O353)</f>
        <v>520613.4</v>
      </c>
      <c r="Q353" s="5"/>
      <c r="R353" s="5"/>
      <c r="S353" s="5"/>
      <c r="T353" s="5"/>
      <c r="U353" s="5"/>
      <c r="V353" s="5"/>
      <c r="W353" s="5">
        <v>30793.14</v>
      </c>
      <c r="X353" s="5">
        <v>1</v>
      </c>
      <c r="Y353" s="5">
        <v>30793.14</v>
      </c>
      <c r="Z353" s="5">
        <v>520613.4</v>
      </c>
      <c r="AA353" s="5">
        <v>1</v>
      </c>
      <c r="AB353" s="5">
        <v>520613.4</v>
      </c>
    </row>
    <row r="354" spans="1:28" x14ac:dyDescent="0.2">
      <c r="A354" s="5">
        <v>50</v>
      </c>
      <c r="B354" s="5">
        <v>0</v>
      </c>
      <c r="C354" s="5">
        <v>0</v>
      </c>
      <c r="D354" s="5">
        <v>1</v>
      </c>
      <c r="E354" s="5">
        <v>226</v>
      </c>
      <c r="F354" s="5">
        <f>ROUND(Source!AW348,O354)</f>
        <v>30793.14</v>
      </c>
      <c r="G354" s="5" t="s">
        <v>34</v>
      </c>
      <c r="H354" s="5" t="s">
        <v>35</v>
      </c>
      <c r="I354" s="5"/>
      <c r="J354" s="5"/>
      <c r="K354" s="5">
        <v>226</v>
      </c>
      <c r="L354" s="5">
        <v>5</v>
      </c>
      <c r="M354" s="5">
        <v>3</v>
      </c>
      <c r="N354" s="5" t="s">
        <v>3</v>
      </c>
      <c r="O354" s="5">
        <v>2</v>
      </c>
      <c r="P354" s="5">
        <f>ROUND(Source!EO348,O354)</f>
        <v>520613.4</v>
      </c>
      <c r="Q354" s="5"/>
      <c r="R354" s="5"/>
      <c r="S354" s="5"/>
      <c r="T354" s="5"/>
      <c r="U354" s="5"/>
      <c r="V354" s="5"/>
      <c r="W354" s="5">
        <v>30793.14</v>
      </c>
      <c r="X354" s="5">
        <v>1</v>
      </c>
      <c r="Y354" s="5">
        <v>30793.14</v>
      </c>
      <c r="Z354" s="5">
        <v>520613.4</v>
      </c>
      <c r="AA354" s="5">
        <v>1</v>
      </c>
      <c r="AB354" s="5">
        <v>520613.4</v>
      </c>
    </row>
    <row r="355" spans="1:28" x14ac:dyDescent="0.2">
      <c r="A355" s="5">
        <v>50</v>
      </c>
      <c r="B355" s="5">
        <v>0</v>
      </c>
      <c r="C355" s="5">
        <v>0</v>
      </c>
      <c r="D355" s="5">
        <v>1</v>
      </c>
      <c r="E355" s="5">
        <v>227</v>
      </c>
      <c r="F355" s="5">
        <f>ROUND(Source!AX348,O355)</f>
        <v>0</v>
      </c>
      <c r="G355" s="5" t="s">
        <v>36</v>
      </c>
      <c r="H355" s="5" t="s">
        <v>37</v>
      </c>
      <c r="I355" s="5"/>
      <c r="J355" s="5"/>
      <c r="K355" s="5">
        <v>227</v>
      </c>
      <c r="L355" s="5">
        <v>6</v>
      </c>
      <c r="M355" s="5">
        <v>3</v>
      </c>
      <c r="N355" s="5" t="s">
        <v>3</v>
      </c>
      <c r="O355" s="5">
        <v>2</v>
      </c>
      <c r="P355" s="5">
        <f>ROUND(Source!EP348,O355)</f>
        <v>0</v>
      </c>
      <c r="Q355" s="5"/>
      <c r="R355" s="5"/>
      <c r="S355" s="5"/>
      <c r="T355" s="5"/>
      <c r="U355" s="5"/>
      <c r="V355" s="5"/>
      <c r="W355" s="5">
        <v>0</v>
      </c>
      <c r="X355" s="5">
        <v>1</v>
      </c>
      <c r="Y355" s="5">
        <v>0</v>
      </c>
      <c r="Z355" s="5">
        <v>0</v>
      </c>
      <c r="AA355" s="5">
        <v>1</v>
      </c>
      <c r="AB355" s="5">
        <v>0</v>
      </c>
    </row>
    <row r="356" spans="1:28" x14ac:dyDescent="0.2">
      <c r="A356" s="5">
        <v>50</v>
      </c>
      <c r="B356" s="5">
        <v>0</v>
      </c>
      <c r="C356" s="5">
        <v>0</v>
      </c>
      <c r="D356" s="5">
        <v>1</v>
      </c>
      <c r="E356" s="5">
        <v>228</v>
      </c>
      <c r="F356" s="5">
        <f>ROUND(Source!AY348,O356)</f>
        <v>30793.14</v>
      </c>
      <c r="G356" s="5" t="s">
        <v>38</v>
      </c>
      <c r="H356" s="5" t="s">
        <v>39</v>
      </c>
      <c r="I356" s="5"/>
      <c r="J356" s="5"/>
      <c r="K356" s="5">
        <v>228</v>
      </c>
      <c r="L356" s="5">
        <v>7</v>
      </c>
      <c r="M356" s="5">
        <v>3</v>
      </c>
      <c r="N356" s="5" t="s">
        <v>3</v>
      </c>
      <c r="O356" s="5">
        <v>2</v>
      </c>
      <c r="P356" s="5">
        <f>ROUND(Source!EQ348,O356)</f>
        <v>520613.4</v>
      </c>
      <c r="Q356" s="5"/>
      <c r="R356" s="5"/>
      <c r="S356" s="5"/>
      <c r="T356" s="5"/>
      <c r="U356" s="5"/>
      <c r="V356" s="5"/>
      <c r="W356" s="5">
        <v>30793.14</v>
      </c>
      <c r="X356" s="5">
        <v>1</v>
      </c>
      <c r="Y356" s="5">
        <v>30793.14</v>
      </c>
      <c r="Z356" s="5">
        <v>520613.4</v>
      </c>
      <c r="AA356" s="5">
        <v>1</v>
      </c>
      <c r="AB356" s="5">
        <v>520613.4</v>
      </c>
    </row>
    <row r="357" spans="1:28" x14ac:dyDescent="0.2">
      <c r="A357" s="5">
        <v>50</v>
      </c>
      <c r="B357" s="5">
        <v>0</v>
      </c>
      <c r="C357" s="5">
        <v>0</v>
      </c>
      <c r="D357" s="5">
        <v>1</v>
      </c>
      <c r="E357" s="5">
        <v>216</v>
      </c>
      <c r="F357" s="5">
        <f>ROUND(Source!AP348,O357)</f>
        <v>0</v>
      </c>
      <c r="G357" s="5" t="s">
        <v>40</v>
      </c>
      <c r="H357" s="5" t="s">
        <v>41</v>
      </c>
      <c r="I357" s="5"/>
      <c r="J357" s="5"/>
      <c r="K357" s="5">
        <v>216</v>
      </c>
      <c r="L357" s="5">
        <v>8</v>
      </c>
      <c r="M357" s="5">
        <v>3</v>
      </c>
      <c r="N357" s="5" t="s">
        <v>3</v>
      </c>
      <c r="O357" s="5">
        <v>2</v>
      </c>
      <c r="P357" s="5">
        <f>ROUND(Source!EH348,O357)</f>
        <v>0</v>
      </c>
      <c r="Q357" s="5"/>
      <c r="R357" s="5"/>
      <c r="S357" s="5"/>
      <c r="T357" s="5"/>
      <c r="U357" s="5"/>
      <c r="V357" s="5"/>
      <c r="W357" s="5">
        <v>0</v>
      </c>
      <c r="X357" s="5">
        <v>1</v>
      </c>
      <c r="Y357" s="5">
        <v>0</v>
      </c>
      <c r="Z357" s="5">
        <v>0</v>
      </c>
      <c r="AA357" s="5">
        <v>1</v>
      </c>
      <c r="AB357" s="5">
        <v>0</v>
      </c>
    </row>
    <row r="358" spans="1:28" x14ac:dyDescent="0.2">
      <c r="A358" s="5">
        <v>50</v>
      </c>
      <c r="B358" s="5">
        <v>0</v>
      </c>
      <c r="C358" s="5">
        <v>0</v>
      </c>
      <c r="D358" s="5">
        <v>1</v>
      </c>
      <c r="E358" s="5">
        <v>223</v>
      </c>
      <c r="F358" s="5">
        <f>ROUND(Source!AQ348,O358)</f>
        <v>0</v>
      </c>
      <c r="G358" s="5" t="s">
        <v>42</v>
      </c>
      <c r="H358" s="5" t="s">
        <v>43</v>
      </c>
      <c r="I358" s="5"/>
      <c r="J358" s="5"/>
      <c r="K358" s="5">
        <v>223</v>
      </c>
      <c r="L358" s="5">
        <v>9</v>
      </c>
      <c r="M358" s="5">
        <v>3</v>
      </c>
      <c r="N358" s="5" t="s">
        <v>3</v>
      </c>
      <c r="O358" s="5">
        <v>2</v>
      </c>
      <c r="P358" s="5">
        <f>ROUND(Source!EI348,O358)</f>
        <v>0</v>
      </c>
      <c r="Q358" s="5"/>
      <c r="R358" s="5"/>
      <c r="S358" s="5"/>
      <c r="T358" s="5"/>
      <c r="U358" s="5"/>
      <c r="V358" s="5"/>
      <c r="W358" s="5">
        <v>0</v>
      </c>
      <c r="X358" s="5">
        <v>1</v>
      </c>
      <c r="Y358" s="5">
        <v>0</v>
      </c>
      <c r="Z358" s="5">
        <v>0</v>
      </c>
      <c r="AA358" s="5">
        <v>1</v>
      </c>
      <c r="AB358" s="5">
        <v>0</v>
      </c>
    </row>
    <row r="359" spans="1:28" x14ac:dyDescent="0.2">
      <c r="A359" s="5">
        <v>50</v>
      </c>
      <c r="B359" s="5">
        <v>0</v>
      </c>
      <c r="C359" s="5">
        <v>0</v>
      </c>
      <c r="D359" s="5">
        <v>1</v>
      </c>
      <c r="E359" s="5">
        <v>229</v>
      </c>
      <c r="F359" s="5">
        <f>ROUND(Source!AZ348,O359)</f>
        <v>0</v>
      </c>
      <c r="G359" s="5" t="s">
        <v>44</v>
      </c>
      <c r="H359" s="5" t="s">
        <v>45</v>
      </c>
      <c r="I359" s="5"/>
      <c r="J359" s="5"/>
      <c r="K359" s="5">
        <v>229</v>
      </c>
      <c r="L359" s="5">
        <v>10</v>
      </c>
      <c r="M359" s="5">
        <v>3</v>
      </c>
      <c r="N359" s="5" t="s">
        <v>3</v>
      </c>
      <c r="O359" s="5">
        <v>2</v>
      </c>
      <c r="P359" s="5">
        <f>ROUND(Source!ER348,O359)</f>
        <v>0</v>
      </c>
      <c r="Q359" s="5"/>
      <c r="R359" s="5"/>
      <c r="S359" s="5"/>
      <c r="T359" s="5"/>
      <c r="U359" s="5"/>
      <c r="V359" s="5"/>
      <c r="W359" s="5">
        <v>0</v>
      </c>
      <c r="X359" s="5">
        <v>1</v>
      </c>
      <c r="Y359" s="5">
        <v>0</v>
      </c>
      <c r="Z359" s="5">
        <v>0</v>
      </c>
      <c r="AA359" s="5">
        <v>1</v>
      </c>
      <c r="AB359" s="5">
        <v>0</v>
      </c>
    </row>
    <row r="360" spans="1:28" x14ac:dyDescent="0.2">
      <c r="A360" s="5">
        <v>50</v>
      </c>
      <c r="B360" s="5">
        <v>0</v>
      </c>
      <c r="C360" s="5">
        <v>0</v>
      </c>
      <c r="D360" s="5">
        <v>1</v>
      </c>
      <c r="E360" s="5">
        <v>203</v>
      </c>
      <c r="F360" s="5">
        <f>ROUND(Source!Q348,O360)</f>
        <v>223.47</v>
      </c>
      <c r="G360" s="5" t="s">
        <v>46</v>
      </c>
      <c r="H360" s="5" t="s">
        <v>47</v>
      </c>
      <c r="I360" s="5"/>
      <c r="J360" s="5"/>
      <c r="K360" s="5">
        <v>203</v>
      </c>
      <c r="L360" s="5">
        <v>11</v>
      </c>
      <c r="M360" s="5">
        <v>3</v>
      </c>
      <c r="N360" s="5" t="s">
        <v>3</v>
      </c>
      <c r="O360" s="5">
        <v>2</v>
      </c>
      <c r="P360" s="5">
        <f>ROUND(Source!DI348,O360)</f>
        <v>2658.62</v>
      </c>
      <c r="Q360" s="5"/>
      <c r="R360" s="5"/>
      <c r="S360" s="5"/>
      <c r="T360" s="5"/>
      <c r="U360" s="5"/>
      <c r="V360" s="5"/>
      <c r="W360" s="5">
        <v>223.47</v>
      </c>
      <c r="X360" s="5">
        <v>1</v>
      </c>
      <c r="Y360" s="5">
        <v>223.47</v>
      </c>
      <c r="Z360" s="5">
        <v>2658.62</v>
      </c>
      <c r="AA360" s="5">
        <v>1</v>
      </c>
      <c r="AB360" s="5">
        <v>2658.62</v>
      </c>
    </row>
    <row r="361" spans="1:28" x14ac:dyDescent="0.2">
      <c r="A361" s="5">
        <v>50</v>
      </c>
      <c r="B361" s="5">
        <v>0</v>
      </c>
      <c r="C361" s="5">
        <v>0</v>
      </c>
      <c r="D361" s="5">
        <v>1</v>
      </c>
      <c r="E361" s="5">
        <v>231</v>
      </c>
      <c r="F361" s="5">
        <f>ROUND(Source!BB348,O361)</f>
        <v>0</v>
      </c>
      <c r="G361" s="5" t="s">
        <v>48</v>
      </c>
      <c r="H361" s="5" t="s">
        <v>49</v>
      </c>
      <c r="I361" s="5"/>
      <c r="J361" s="5"/>
      <c r="K361" s="5">
        <v>231</v>
      </c>
      <c r="L361" s="5">
        <v>12</v>
      </c>
      <c r="M361" s="5">
        <v>3</v>
      </c>
      <c r="N361" s="5" t="s">
        <v>3</v>
      </c>
      <c r="O361" s="5">
        <v>2</v>
      </c>
      <c r="P361" s="5">
        <f>ROUND(Source!ET348,O361)</f>
        <v>0</v>
      </c>
      <c r="Q361" s="5"/>
      <c r="R361" s="5"/>
      <c r="S361" s="5"/>
      <c r="T361" s="5"/>
      <c r="U361" s="5"/>
      <c r="V361" s="5"/>
      <c r="W361" s="5">
        <v>0</v>
      </c>
      <c r="X361" s="5">
        <v>1</v>
      </c>
      <c r="Y361" s="5">
        <v>0</v>
      </c>
      <c r="Z361" s="5">
        <v>0</v>
      </c>
      <c r="AA361" s="5">
        <v>1</v>
      </c>
      <c r="AB361" s="5">
        <v>0</v>
      </c>
    </row>
    <row r="362" spans="1:28" x14ac:dyDescent="0.2">
      <c r="A362" s="5">
        <v>50</v>
      </c>
      <c r="B362" s="5">
        <v>0</v>
      </c>
      <c r="C362" s="5">
        <v>0</v>
      </c>
      <c r="D362" s="5">
        <v>1</v>
      </c>
      <c r="E362" s="5">
        <v>204</v>
      </c>
      <c r="F362" s="5">
        <f>ROUND(Source!R348,O362)</f>
        <v>36.44</v>
      </c>
      <c r="G362" s="5" t="s">
        <v>50</v>
      </c>
      <c r="H362" s="5" t="s">
        <v>51</v>
      </c>
      <c r="I362" s="5"/>
      <c r="J362" s="5"/>
      <c r="K362" s="5">
        <v>204</v>
      </c>
      <c r="L362" s="5">
        <v>13</v>
      </c>
      <c r="M362" s="5">
        <v>3</v>
      </c>
      <c r="N362" s="5" t="s">
        <v>3</v>
      </c>
      <c r="O362" s="5">
        <v>2</v>
      </c>
      <c r="P362" s="5">
        <f>ROUND(Source!DJ348,O362)</f>
        <v>1057.8399999999999</v>
      </c>
      <c r="Q362" s="5"/>
      <c r="R362" s="5"/>
      <c r="S362" s="5"/>
      <c r="T362" s="5"/>
      <c r="U362" s="5"/>
      <c r="V362" s="5"/>
      <c r="W362" s="5">
        <v>36.44</v>
      </c>
      <c r="X362" s="5">
        <v>1</v>
      </c>
      <c r="Y362" s="5">
        <v>36.44</v>
      </c>
      <c r="Z362" s="5">
        <v>1057.8399999999999</v>
      </c>
      <c r="AA362" s="5">
        <v>1</v>
      </c>
      <c r="AB362" s="5">
        <v>1057.8399999999999</v>
      </c>
    </row>
    <row r="363" spans="1:28" x14ac:dyDescent="0.2">
      <c r="A363" s="5">
        <v>50</v>
      </c>
      <c r="B363" s="5">
        <v>0</v>
      </c>
      <c r="C363" s="5">
        <v>0</v>
      </c>
      <c r="D363" s="5">
        <v>1</v>
      </c>
      <c r="E363" s="5">
        <v>205</v>
      </c>
      <c r="F363" s="5">
        <f>ROUND(Source!S348,O363)</f>
        <v>4066.76</v>
      </c>
      <c r="G363" s="5" t="s">
        <v>52</v>
      </c>
      <c r="H363" s="5" t="s">
        <v>53</v>
      </c>
      <c r="I363" s="5"/>
      <c r="J363" s="5"/>
      <c r="K363" s="5">
        <v>205</v>
      </c>
      <c r="L363" s="5">
        <v>14</v>
      </c>
      <c r="M363" s="5">
        <v>3</v>
      </c>
      <c r="N363" s="5" t="s">
        <v>3</v>
      </c>
      <c r="O363" s="5">
        <v>2</v>
      </c>
      <c r="P363" s="5">
        <f>ROUND(Source!DK348,O363)</f>
        <v>118058.05</v>
      </c>
      <c r="Q363" s="5"/>
      <c r="R363" s="5"/>
      <c r="S363" s="5"/>
      <c r="T363" s="5"/>
      <c r="U363" s="5"/>
      <c r="V363" s="5"/>
      <c r="W363" s="5">
        <v>4066.76</v>
      </c>
      <c r="X363" s="5">
        <v>1</v>
      </c>
      <c r="Y363" s="5">
        <v>4066.76</v>
      </c>
      <c r="Z363" s="5">
        <v>118058.05</v>
      </c>
      <c r="AA363" s="5">
        <v>1</v>
      </c>
      <c r="AB363" s="5">
        <v>118058.05</v>
      </c>
    </row>
    <row r="364" spans="1:28" x14ac:dyDescent="0.2">
      <c r="A364" s="5">
        <v>50</v>
      </c>
      <c r="B364" s="5">
        <v>0</v>
      </c>
      <c r="C364" s="5">
        <v>0</v>
      </c>
      <c r="D364" s="5">
        <v>1</v>
      </c>
      <c r="E364" s="5">
        <v>232</v>
      </c>
      <c r="F364" s="5">
        <f>ROUND(Source!BC348,O364)</f>
        <v>0</v>
      </c>
      <c r="G364" s="5" t="s">
        <v>54</v>
      </c>
      <c r="H364" s="5" t="s">
        <v>55</v>
      </c>
      <c r="I364" s="5"/>
      <c r="J364" s="5"/>
      <c r="K364" s="5">
        <v>232</v>
      </c>
      <c r="L364" s="5">
        <v>15</v>
      </c>
      <c r="M364" s="5">
        <v>3</v>
      </c>
      <c r="N364" s="5" t="s">
        <v>3</v>
      </c>
      <c r="O364" s="5">
        <v>2</v>
      </c>
      <c r="P364" s="5">
        <f>ROUND(Source!EU348,O364)</f>
        <v>0</v>
      </c>
      <c r="Q364" s="5"/>
      <c r="R364" s="5"/>
      <c r="S364" s="5"/>
      <c r="T364" s="5"/>
      <c r="U364" s="5"/>
      <c r="V364" s="5"/>
      <c r="W364" s="5">
        <v>0</v>
      </c>
      <c r="X364" s="5">
        <v>1</v>
      </c>
      <c r="Y364" s="5">
        <v>0</v>
      </c>
      <c r="Z364" s="5">
        <v>0</v>
      </c>
      <c r="AA364" s="5">
        <v>1</v>
      </c>
      <c r="AB364" s="5">
        <v>0</v>
      </c>
    </row>
    <row r="365" spans="1:28" x14ac:dyDescent="0.2">
      <c r="A365" s="5">
        <v>50</v>
      </c>
      <c r="B365" s="5">
        <v>0</v>
      </c>
      <c r="C365" s="5">
        <v>0</v>
      </c>
      <c r="D365" s="5">
        <v>1</v>
      </c>
      <c r="E365" s="5">
        <v>214</v>
      </c>
      <c r="F365" s="5">
        <f>ROUND(Source!AS348,O365)</f>
        <v>41851.22</v>
      </c>
      <c r="G365" s="5" t="s">
        <v>56</v>
      </c>
      <c r="H365" s="5" t="s">
        <v>57</v>
      </c>
      <c r="I365" s="5"/>
      <c r="J365" s="5"/>
      <c r="K365" s="5">
        <v>214</v>
      </c>
      <c r="L365" s="5">
        <v>16</v>
      </c>
      <c r="M365" s="5">
        <v>3</v>
      </c>
      <c r="N365" s="5" t="s">
        <v>3</v>
      </c>
      <c r="O365" s="5">
        <v>2</v>
      </c>
      <c r="P365" s="5">
        <f>ROUND(Source!EK348,O365)</f>
        <v>789212.58</v>
      </c>
      <c r="Q365" s="5"/>
      <c r="R365" s="5"/>
      <c r="S365" s="5"/>
      <c r="T365" s="5"/>
      <c r="U365" s="5"/>
      <c r="V365" s="5"/>
      <c r="W365" s="5">
        <v>41851.22</v>
      </c>
      <c r="X365" s="5">
        <v>1</v>
      </c>
      <c r="Y365" s="5">
        <v>41851.22</v>
      </c>
      <c r="Z365" s="5">
        <v>789212.58</v>
      </c>
      <c r="AA365" s="5">
        <v>1</v>
      </c>
      <c r="AB365" s="5">
        <v>789212.58</v>
      </c>
    </row>
    <row r="366" spans="1:28" x14ac:dyDescent="0.2">
      <c r="A366" s="5">
        <v>50</v>
      </c>
      <c r="B366" s="5">
        <v>0</v>
      </c>
      <c r="C366" s="5">
        <v>0</v>
      </c>
      <c r="D366" s="5">
        <v>1</v>
      </c>
      <c r="E366" s="5">
        <v>215</v>
      </c>
      <c r="F366" s="5">
        <f>ROUND(Source!AT348,O366)</f>
        <v>0</v>
      </c>
      <c r="G366" s="5" t="s">
        <v>58</v>
      </c>
      <c r="H366" s="5" t="s">
        <v>59</v>
      </c>
      <c r="I366" s="5"/>
      <c r="J366" s="5"/>
      <c r="K366" s="5">
        <v>215</v>
      </c>
      <c r="L366" s="5">
        <v>17</v>
      </c>
      <c r="M366" s="5">
        <v>3</v>
      </c>
      <c r="N366" s="5" t="s">
        <v>3</v>
      </c>
      <c r="O366" s="5">
        <v>2</v>
      </c>
      <c r="P366" s="5">
        <f>ROUND(Source!EL348,O366)</f>
        <v>0</v>
      </c>
      <c r="Q366" s="5"/>
      <c r="R366" s="5"/>
      <c r="S366" s="5"/>
      <c r="T366" s="5"/>
      <c r="U366" s="5"/>
      <c r="V366" s="5"/>
      <c r="W366" s="5">
        <v>0</v>
      </c>
      <c r="X366" s="5">
        <v>1</v>
      </c>
      <c r="Y366" s="5">
        <v>0</v>
      </c>
      <c r="Z366" s="5">
        <v>0</v>
      </c>
      <c r="AA366" s="5">
        <v>1</v>
      </c>
      <c r="AB366" s="5">
        <v>0</v>
      </c>
    </row>
    <row r="367" spans="1:28" x14ac:dyDescent="0.2">
      <c r="A367" s="5">
        <v>50</v>
      </c>
      <c r="B367" s="5">
        <v>0</v>
      </c>
      <c r="C367" s="5">
        <v>0</v>
      </c>
      <c r="D367" s="5">
        <v>1</v>
      </c>
      <c r="E367" s="5">
        <v>217</v>
      </c>
      <c r="F367" s="5">
        <f>ROUND(Source!AU348,O367)</f>
        <v>0</v>
      </c>
      <c r="G367" s="5" t="s">
        <v>60</v>
      </c>
      <c r="H367" s="5" t="s">
        <v>61</v>
      </c>
      <c r="I367" s="5"/>
      <c r="J367" s="5"/>
      <c r="K367" s="5">
        <v>217</v>
      </c>
      <c r="L367" s="5">
        <v>18</v>
      </c>
      <c r="M367" s="5">
        <v>3</v>
      </c>
      <c r="N367" s="5" t="s">
        <v>3</v>
      </c>
      <c r="O367" s="5">
        <v>2</v>
      </c>
      <c r="P367" s="5">
        <f>ROUND(Source!EM348,O367)</f>
        <v>0</v>
      </c>
      <c r="Q367" s="5"/>
      <c r="R367" s="5"/>
      <c r="S367" s="5"/>
      <c r="T367" s="5"/>
      <c r="U367" s="5"/>
      <c r="V367" s="5"/>
      <c r="W367" s="5">
        <v>0</v>
      </c>
      <c r="X367" s="5">
        <v>1</v>
      </c>
      <c r="Y367" s="5">
        <v>0</v>
      </c>
      <c r="Z367" s="5">
        <v>0</v>
      </c>
      <c r="AA367" s="5">
        <v>1</v>
      </c>
      <c r="AB367" s="5">
        <v>0</v>
      </c>
    </row>
    <row r="368" spans="1:28" x14ac:dyDescent="0.2">
      <c r="A368" s="5">
        <v>50</v>
      </c>
      <c r="B368" s="5">
        <v>0</v>
      </c>
      <c r="C368" s="5">
        <v>0</v>
      </c>
      <c r="D368" s="5">
        <v>1</v>
      </c>
      <c r="E368" s="5">
        <v>230</v>
      </c>
      <c r="F368" s="5">
        <f>ROUND(Source!BA348,O368)</f>
        <v>0</v>
      </c>
      <c r="G368" s="5" t="s">
        <v>62</v>
      </c>
      <c r="H368" s="5" t="s">
        <v>63</v>
      </c>
      <c r="I368" s="5"/>
      <c r="J368" s="5"/>
      <c r="K368" s="5">
        <v>230</v>
      </c>
      <c r="L368" s="5">
        <v>19</v>
      </c>
      <c r="M368" s="5">
        <v>3</v>
      </c>
      <c r="N368" s="5" t="s">
        <v>3</v>
      </c>
      <c r="O368" s="5">
        <v>2</v>
      </c>
      <c r="P368" s="5">
        <f>ROUND(Source!ES348,O368)</f>
        <v>0</v>
      </c>
      <c r="Q368" s="5"/>
      <c r="R368" s="5"/>
      <c r="S368" s="5"/>
      <c r="T368" s="5"/>
      <c r="U368" s="5"/>
      <c r="V368" s="5"/>
      <c r="W368" s="5">
        <v>0</v>
      </c>
      <c r="X368" s="5">
        <v>1</v>
      </c>
      <c r="Y368" s="5">
        <v>0</v>
      </c>
      <c r="Z368" s="5">
        <v>0</v>
      </c>
      <c r="AA368" s="5">
        <v>1</v>
      </c>
      <c r="AB368" s="5">
        <v>0</v>
      </c>
    </row>
    <row r="369" spans="1:255" x14ac:dyDescent="0.2">
      <c r="A369" s="5">
        <v>50</v>
      </c>
      <c r="B369" s="5">
        <v>0</v>
      </c>
      <c r="C369" s="5">
        <v>0</v>
      </c>
      <c r="D369" s="5">
        <v>1</v>
      </c>
      <c r="E369" s="5">
        <v>206</v>
      </c>
      <c r="F369" s="5">
        <f>ROUND(Source!T348,O369)</f>
        <v>0</v>
      </c>
      <c r="G369" s="5" t="s">
        <v>64</v>
      </c>
      <c r="H369" s="5" t="s">
        <v>65</v>
      </c>
      <c r="I369" s="5"/>
      <c r="J369" s="5"/>
      <c r="K369" s="5">
        <v>206</v>
      </c>
      <c r="L369" s="5">
        <v>20</v>
      </c>
      <c r="M369" s="5">
        <v>3</v>
      </c>
      <c r="N369" s="5" t="s">
        <v>3</v>
      </c>
      <c r="O369" s="5">
        <v>2</v>
      </c>
      <c r="P369" s="5">
        <f>ROUND(Source!DL348,O369)</f>
        <v>0</v>
      </c>
      <c r="Q369" s="5"/>
      <c r="R369" s="5"/>
      <c r="S369" s="5"/>
      <c r="T369" s="5"/>
      <c r="U369" s="5"/>
      <c r="V369" s="5"/>
      <c r="W369" s="5">
        <v>0</v>
      </c>
      <c r="X369" s="5">
        <v>1</v>
      </c>
      <c r="Y369" s="5">
        <v>0</v>
      </c>
      <c r="Z369" s="5">
        <v>0</v>
      </c>
      <c r="AA369" s="5">
        <v>1</v>
      </c>
      <c r="AB369" s="5">
        <v>0</v>
      </c>
    </row>
    <row r="370" spans="1:255" x14ac:dyDescent="0.2">
      <c r="A370" s="5">
        <v>50</v>
      </c>
      <c r="B370" s="5">
        <v>0</v>
      </c>
      <c r="C370" s="5">
        <v>0</v>
      </c>
      <c r="D370" s="5">
        <v>1</v>
      </c>
      <c r="E370" s="5">
        <v>207</v>
      </c>
      <c r="F370" s="5">
        <f>Source!U348</f>
        <v>341.94448945000005</v>
      </c>
      <c r="G370" s="5" t="s">
        <v>66</v>
      </c>
      <c r="H370" s="5" t="s">
        <v>67</v>
      </c>
      <c r="I370" s="5"/>
      <c r="J370" s="5"/>
      <c r="K370" s="5">
        <v>207</v>
      </c>
      <c r="L370" s="5">
        <v>21</v>
      </c>
      <c r="M370" s="5">
        <v>3</v>
      </c>
      <c r="N370" s="5" t="s">
        <v>3</v>
      </c>
      <c r="O370" s="5">
        <v>-1</v>
      </c>
      <c r="P370" s="5">
        <f>Source!DM348</f>
        <v>341.94448945000005</v>
      </c>
      <c r="Q370" s="5"/>
      <c r="R370" s="5"/>
      <c r="S370" s="5"/>
      <c r="T370" s="5"/>
      <c r="U370" s="5"/>
      <c r="V370" s="5"/>
      <c r="W370" s="5">
        <v>341.94448945000011</v>
      </c>
      <c r="X370" s="5">
        <v>1</v>
      </c>
      <c r="Y370" s="5">
        <v>341.94448945000011</v>
      </c>
      <c r="Z370" s="5">
        <v>341.94448945000011</v>
      </c>
      <c r="AA370" s="5">
        <v>1</v>
      </c>
      <c r="AB370" s="5">
        <v>341.94448945000011</v>
      </c>
    </row>
    <row r="371" spans="1:255" x14ac:dyDescent="0.2">
      <c r="A371" s="5">
        <v>50</v>
      </c>
      <c r="B371" s="5">
        <v>0</v>
      </c>
      <c r="C371" s="5">
        <v>0</v>
      </c>
      <c r="D371" s="5">
        <v>1</v>
      </c>
      <c r="E371" s="5">
        <v>208</v>
      </c>
      <c r="F371" s="5">
        <f>Source!V348</f>
        <v>0</v>
      </c>
      <c r="G371" s="5" t="s">
        <v>68</v>
      </c>
      <c r="H371" s="5" t="s">
        <v>69</v>
      </c>
      <c r="I371" s="5"/>
      <c r="J371" s="5"/>
      <c r="K371" s="5">
        <v>208</v>
      </c>
      <c r="L371" s="5">
        <v>22</v>
      </c>
      <c r="M371" s="5">
        <v>3</v>
      </c>
      <c r="N371" s="5" t="s">
        <v>3</v>
      </c>
      <c r="O371" s="5">
        <v>-1</v>
      </c>
      <c r="P371" s="5">
        <f>Source!DN348</f>
        <v>0</v>
      </c>
      <c r="Q371" s="5"/>
      <c r="R371" s="5"/>
      <c r="S371" s="5"/>
      <c r="T371" s="5"/>
      <c r="U371" s="5"/>
      <c r="V371" s="5"/>
      <c r="W371" s="5">
        <v>0</v>
      </c>
      <c r="X371" s="5">
        <v>1</v>
      </c>
      <c r="Y371" s="5">
        <v>0</v>
      </c>
      <c r="Z371" s="5">
        <v>0</v>
      </c>
      <c r="AA371" s="5">
        <v>1</v>
      </c>
      <c r="AB371" s="5">
        <v>0</v>
      </c>
    </row>
    <row r="372" spans="1:255" x14ac:dyDescent="0.2">
      <c r="A372" s="5">
        <v>50</v>
      </c>
      <c r="B372" s="5">
        <v>0</v>
      </c>
      <c r="C372" s="5">
        <v>0</v>
      </c>
      <c r="D372" s="5">
        <v>1</v>
      </c>
      <c r="E372" s="5">
        <v>209</v>
      </c>
      <c r="F372" s="5">
        <f>ROUND(Source!W348,O372)</f>
        <v>0</v>
      </c>
      <c r="G372" s="5" t="s">
        <v>70</v>
      </c>
      <c r="H372" s="5" t="s">
        <v>71</v>
      </c>
      <c r="I372" s="5"/>
      <c r="J372" s="5"/>
      <c r="K372" s="5">
        <v>209</v>
      </c>
      <c r="L372" s="5">
        <v>23</v>
      </c>
      <c r="M372" s="5">
        <v>3</v>
      </c>
      <c r="N372" s="5" t="s">
        <v>3</v>
      </c>
      <c r="O372" s="5">
        <v>2</v>
      </c>
      <c r="P372" s="5">
        <f>ROUND(Source!DO348,O372)</f>
        <v>0</v>
      </c>
      <c r="Q372" s="5"/>
      <c r="R372" s="5"/>
      <c r="S372" s="5"/>
      <c r="T372" s="5"/>
      <c r="U372" s="5"/>
      <c r="V372" s="5"/>
      <c r="W372" s="5">
        <v>0</v>
      </c>
      <c r="X372" s="5">
        <v>1</v>
      </c>
      <c r="Y372" s="5">
        <v>0</v>
      </c>
      <c r="Z372" s="5">
        <v>0</v>
      </c>
      <c r="AA372" s="5">
        <v>1</v>
      </c>
      <c r="AB372" s="5">
        <v>0</v>
      </c>
    </row>
    <row r="373" spans="1:255" x14ac:dyDescent="0.2">
      <c r="A373" s="5">
        <v>50</v>
      </c>
      <c r="B373" s="5">
        <v>0</v>
      </c>
      <c r="C373" s="5">
        <v>0</v>
      </c>
      <c r="D373" s="5">
        <v>1</v>
      </c>
      <c r="E373" s="5">
        <v>233</v>
      </c>
      <c r="F373" s="5">
        <f>ROUND(Source!BD348,O373)</f>
        <v>0</v>
      </c>
      <c r="G373" s="5" t="s">
        <v>72</v>
      </c>
      <c r="H373" s="5" t="s">
        <v>73</v>
      </c>
      <c r="I373" s="5"/>
      <c r="J373" s="5"/>
      <c r="K373" s="5">
        <v>233</v>
      </c>
      <c r="L373" s="5">
        <v>24</v>
      </c>
      <c r="M373" s="5">
        <v>3</v>
      </c>
      <c r="N373" s="5" t="s">
        <v>3</v>
      </c>
      <c r="O373" s="5">
        <v>2</v>
      </c>
      <c r="P373" s="5">
        <f>ROUND(Source!EV348,O373)</f>
        <v>0</v>
      </c>
      <c r="Q373" s="5"/>
      <c r="R373" s="5"/>
      <c r="S373" s="5"/>
      <c r="T373" s="5"/>
      <c r="U373" s="5"/>
      <c r="V373" s="5"/>
      <c r="W373" s="5">
        <v>0</v>
      </c>
      <c r="X373" s="5">
        <v>1</v>
      </c>
      <c r="Y373" s="5">
        <v>0</v>
      </c>
      <c r="Z373" s="5">
        <v>0</v>
      </c>
      <c r="AA373" s="5">
        <v>1</v>
      </c>
      <c r="AB373" s="5">
        <v>0</v>
      </c>
    </row>
    <row r="374" spans="1:255" x14ac:dyDescent="0.2">
      <c r="A374" s="5">
        <v>50</v>
      </c>
      <c r="B374" s="5">
        <v>0</v>
      </c>
      <c r="C374" s="5">
        <v>0</v>
      </c>
      <c r="D374" s="5">
        <v>1</v>
      </c>
      <c r="E374" s="5">
        <v>210</v>
      </c>
      <c r="F374" s="5">
        <f>ROUND(Source!X348,O374)</f>
        <v>4058.46</v>
      </c>
      <c r="G374" s="5" t="s">
        <v>74</v>
      </c>
      <c r="H374" s="5" t="s">
        <v>75</v>
      </c>
      <c r="I374" s="5"/>
      <c r="J374" s="5"/>
      <c r="K374" s="5">
        <v>210</v>
      </c>
      <c r="L374" s="5">
        <v>25</v>
      </c>
      <c r="M374" s="5">
        <v>3</v>
      </c>
      <c r="N374" s="5" t="s">
        <v>3</v>
      </c>
      <c r="O374" s="5">
        <v>2</v>
      </c>
      <c r="P374" s="5">
        <f>ROUND(Source!DP348,O374)</f>
        <v>97786.18</v>
      </c>
      <c r="Q374" s="5"/>
      <c r="R374" s="5"/>
      <c r="S374" s="5"/>
      <c r="T374" s="5"/>
      <c r="U374" s="5"/>
      <c r="V374" s="5"/>
      <c r="W374" s="5">
        <v>4058.46</v>
      </c>
      <c r="X374" s="5">
        <v>1</v>
      </c>
      <c r="Y374" s="5">
        <v>4058.46</v>
      </c>
      <c r="Z374" s="5">
        <v>97786.18</v>
      </c>
      <c r="AA374" s="5">
        <v>1</v>
      </c>
      <c r="AB374" s="5">
        <v>97786.18</v>
      </c>
    </row>
    <row r="375" spans="1:255" x14ac:dyDescent="0.2">
      <c r="A375" s="5">
        <v>50</v>
      </c>
      <c r="B375" s="5">
        <v>0</v>
      </c>
      <c r="C375" s="5">
        <v>0</v>
      </c>
      <c r="D375" s="5">
        <v>1</v>
      </c>
      <c r="E375" s="5">
        <v>211</v>
      </c>
      <c r="F375" s="5">
        <f>ROUND(Source!Y348,O375)</f>
        <v>2645.6</v>
      </c>
      <c r="G375" s="5" t="s">
        <v>76</v>
      </c>
      <c r="H375" s="5" t="s">
        <v>77</v>
      </c>
      <c r="I375" s="5"/>
      <c r="J375" s="5"/>
      <c r="K375" s="5">
        <v>211</v>
      </c>
      <c r="L375" s="5">
        <v>26</v>
      </c>
      <c r="M375" s="5">
        <v>3</v>
      </c>
      <c r="N375" s="5" t="s">
        <v>3</v>
      </c>
      <c r="O375" s="5">
        <v>2</v>
      </c>
      <c r="P375" s="5">
        <f>ROUND(Source!DQ348,O375)</f>
        <v>48403.8</v>
      </c>
      <c r="Q375" s="5"/>
      <c r="R375" s="5"/>
      <c r="S375" s="5"/>
      <c r="T375" s="5"/>
      <c r="U375" s="5"/>
      <c r="V375" s="5"/>
      <c r="W375" s="5">
        <v>2645.6</v>
      </c>
      <c r="X375" s="5">
        <v>1</v>
      </c>
      <c r="Y375" s="5">
        <v>2645.6</v>
      </c>
      <c r="Z375" s="5">
        <v>48403.8</v>
      </c>
      <c r="AA375" s="5">
        <v>1</v>
      </c>
      <c r="AB375" s="5">
        <v>48403.8</v>
      </c>
    </row>
    <row r="376" spans="1:255" x14ac:dyDescent="0.2">
      <c r="A376" s="5">
        <v>50</v>
      </c>
      <c r="B376" s="5">
        <v>0</v>
      </c>
      <c r="C376" s="5">
        <v>0</v>
      </c>
      <c r="D376" s="5">
        <v>1</v>
      </c>
      <c r="E376" s="5">
        <v>224</v>
      </c>
      <c r="F376" s="5">
        <f>ROUND(Source!AR348,O376)</f>
        <v>41851.22</v>
      </c>
      <c r="G376" s="5" t="s">
        <v>78</v>
      </c>
      <c r="H376" s="5" t="s">
        <v>79</v>
      </c>
      <c r="I376" s="5"/>
      <c r="J376" s="5"/>
      <c r="K376" s="5">
        <v>224</v>
      </c>
      <c r="L376" s="5">
        <v>27</v>
      </c>
      <c r="M376" s="5">
        <v>3</v>
      </c>
      <c r="N376" s="5" t="s">
        <v>3</v>
      </c>
      <c r="O376" s="5">
        <v>2</v>
      </c>
      <c r="P376" s="5">
        <f>ROUND(Source!EJ348,O376)</f>
        <v>789212.58</v>
      </c>
      <c r="Q376" s="5"/>
      <c r="R376" s="5"/>
      <c r="S376" s="5"/>
      <c r="T376" s="5"/>
      <c r="U376" s="5"/>
      <c r="V376" s="5"/>
      <c r="W376" s="5">
        <v>41851.22</v>
      </c>
      <c r="X376" s="5">
        <v>1</v>
      </c>
      <c r="Y376" s="5">
        <v>41851.22</v>
      </c>
      <c r="Z376" s="5">
        <v>789212.58</v>
      </c>
      <c r="AA376" s="5">
        <v>1</v>
      </c>
      <c r="AB376" s="5">
        <v>789212.58</v>
      </c>
    </row>
    <row r="378" spans="1:255" x14ac:dyDescent="0.2">
      <c r="A378" s="1">
        <v>4</v>
      </c>
      <c r="B378" s="1">
        <v>1</v>
      </c>
      <c r="C378" s="1"/>
      <c r="D378" s="1">
        <f>ROW(A391)</f>
        <v>391</v>
      </c>
      <c r="E378" s="1"/>
      <c r="F378" s="1" t="s">
        <v>16</v>
      </c>
      <c r="G378" s="1" t="s">
        <v>476</v>
      </c>
      <c r="H378" s="1" t="s">
        <v>3</v>
      </c>
      <c r="I378" s="1">
        <v>0</v>
      </c>
      <c r="J378" s="1"/>
      <c r="K378" s="1">
        <v>0</v>
      </c>
      <c r="L378" s="1"/>
      <c r="M378" s="1" t="s">
        <v>3</v>
      </c>
      <c r="N378" s="1"/>
      <c r="O378" s="1"/>
      <c r="P378" s="1"/>
      <c r="Q378" s="1"/>
      <c r="R378" s="1"/>
      <c r="S378" s="1">
        <v>0</v>
      </c>
      <c r="T378" s="1">
        <v>0</v>
      </c>
      <c r="U378" s="1" t="s">
        <v>3</v>
      </c>
      <c r="V378" s="1">
        <v>0</v>
      </c>
      <c r="W378" s="1"/>
      <c r="X378" s="1"/>
      <c r="Y378" s="1"/>
      <c r="Z378" s="1"/>
      <c r="AA378" s="1"/>
      <c r="AB378" s="1" t="s">
        <v>3</v>
      </c>
      <c r="AC378" s="1" t="s">
        <v>3</v>
      </c>
      <c r="AD378" s="1" t="s">
        <v>3</v>
      </c>
      <c r="AE378" s="1" t="s">
        <v>3</v>
      </c>
      <c r="AF378" s="1" t="s">
        <v>3</v>
      </c>
      <c r="AG378" s="1" t="s">
        <v>3</v>
      </c>
      <c r="AH378" s="1"/>
      <c r="AI378" s="1"/>
      <c r="AJ378" s="1"/>
      <c r="AK378" s="1"/>
      <c r="AL378" s="1"/>
      <c r="AM378" s="1"/>
      <c r="AN378" s="1"/>
      <c r="AO378" s="1"/>
      <c r="AP378" s="1" t="s">
        <v>3</v>
      </c>
      <c r="AQ378" s="1" t="s">
        <v>3</v>
      </c>
      <c r="AR378" s="1" t="s">
        <v>3</v>
      </c>
      <c r="AS378" s="1"/>
      <c r="AT378" s="1"/>
      <c r="AU378" s="1"/>
      <c r="AV378" s="1"/>
      <c r="AW378" s="1"/>
      <c r="AX378" s="1"/>
      <c r="AY378" s="1"/>
      <c r="AZ378" s="1" t="s">
        <v>3</v>
      </c>
      <c r="BA378" s="1"/>
      <c r="BB378" s="1" t="s">
        <v>3</v>
      </c>
      <c r="BC378" s="1" t="s">
        <v>3</v>
      </c>
      <c r="BD378" s="1" t="s">
        <v>3</v>
      </c>
      <c r="BE378" s="1" t="s">
        <v>3</v>
      </c>
      <c r="BF378" s="1" t="s">
        <v>3</v>
      </c>
      <c r="BG378" s="1" t="s">
        <v>3</v>
      </c>
      <c r="BH378" s="1" t="s">
        <v>3</v>
      </c>
      <c r="BI378" s="1" t="s">
        <v>3</v>
      </c>
      <c r="BJ378" s="1" t="s">
        <v>3</v>
      </c>
      <c r="BK378" s="1" t="s">
        <v>3</v>
      </c>
      <c r="BL378" s="1" t="s">
        <v>3</v>
      </c>
      <c r="BM378" s="1" t="s">
        <v>3</v>
      </c>
      <c r="BN378" s="1" t="s">
        <v>3</v>
      </c>
      <c r="BO378" s="1" t="s">
        <v>3</v>
      </c>
      <c r="BP378" s="1" t="s">
        <v>3</v>
      </c>
      <c r="BQ378" s="1"/>
      <c r="BR378" s="1"/>
      <c r="BS378" s="1"/>
      <c r="BT378" s="1"/>
      <c r="BU378" s="1"/>
      <c r="BV378" s="1"/>
      <c r="BW378" s="1"/>
      <c r="BX378" s="1">
        <v>0</v>
      </c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>
        <v>0</v>
      </c>
    </row>
    <row r="380" spans="1:255" x14ac:dyDescent="0.2">
      <c r="A380" s="3">
        <v>52</v>
      </c>
      <c r="B380" s="3">
        <f t="shared" ref="B380:G380" si="322">B391</f>
        <v>1</v>
      </c>
      <c r="C380" s="3">
        <f t="shared" si="322"/>
        <v>4</v>
      </c>
      <c r="D380" s="3">
        <f t="shared" si="322"/>
        <v>378</v>
      </c>
      <c r="E380" s="3">
        <f t="shared" si="322"/>
        <v>0</v>
      </c>
      <c r="F380" s="3" t="str">
        <f t="shared" si="322"/>
        <v>Новый раздел</v>
      </c>
      <c r="G380" s="3" t="str">
        <f t="shared" si="322"/>
        <v>Прочие работы</v>
      </c>
      <c r="H380" s="3"/>
      <c r="I380" s="3"/>
      <c r="J380" s="3"/>
      <c r="K380" s="3"/>
      <c r="L380" s="3"/>
      <c r="M380" s="3"/>
      <c r="N380" s="3"/>
      <c r="O380" s="3">
        <f t="shared" ref="O380:AT380" si="323">O391</f>
        <v>2778.85</v>
      </c>
      <c r="P380" s="3">
        <f t="shared" si="323"/>
        <v>0</v>
      </c>
      <c r="Q380" s="3">
        <f t="shared" si="323"/>
        <v>2778.85</v>
      </c>
      <c r="R380" s="3">
        <f t="shared" si="323"/>
        <v>58.86</v>
      </c>
      <c r="S380" s="3">
        <f t="shared" si="323"/>
        <v>0</v>
      </c>
      <c r="T380" s="3">
        <f t="shared" si="323"/>
        <v>0</v>
      </c>
      <c r="U380" s="3">
        <f t="shared" si="323"/>
        <v>0</v>
      </c>
      <c r="V380" s="3">
        <f t="shared" si="323"/>
        <v>0</v>
      </c>
      <c r="W380" s="3">
        <f t="shared" si="323"/>
        <v>0</v>
      </c>
      <c r="X380" s="3">
        <f t="shared" si="323"/>
        <v>0</v>
      </c>
      <c r="Y380" s="3">
        <f t="shared" si="323"/>
        <v>0</v>
      </c>
      <c r="Z380" s="3">
        <f t="shared" si="323"/>
        <v>0</v>
      </c>
      <c r="AA380" s="3">
        <f t="shared" si="323"/>
        <v>0</v>
      </c>
      <c r="AB380" s="3">
        <f t="shared" si="323"/>
        <v>2778.85</v>
      </c>
      <c r="AC380" s="3">
        <f t="shared" si="323"/>
        <v>0</v>
      </c>
      <c r="AD380" s="3">
        <f t="shared" si="323"/>
        <v>2778.85</v>
      </c>
      <c r="AE380" s="3">
        <f t="shared" si="323"/>
        <v>58.86</v>
      </c>
      <c r="AF380" s="3">
        <f t="shared" si="323"/>
        <v>0</v>
      </c>
      <c r="AG380" s="3">
        <f t="shared" si="323"/>
        <v>0</v>
      </c>
      <c r="AH380" s="3">
        <f t="shared" si="323"/>
        <v>0</v>
      </c>
      <c r="AI380" s="3">
        <f t="shared" si="323"/>
        <v>0</v>
      </c>
      <c r="AJ380" s="3">
        <f t="shared" si="323"/>
        <v>0</v>
      </c>
      <c r="AK380" s="3">
        <f t="shared" si="323"/>
        <v>0</v>
      </c>
      <c r="AL380" s="3">
        <f t="shared" si="323"/>
        <v>0</v>
      </c>
      <c r="AM380" s="3">
        <f t="shared" si="323"/>
        <v>0</v>
      </c>
      <c r="AN380" s="3">
        <f t="shared" si="323"/>
        <v>0</v>
      </c>
      <c r="AO380" s="3">
        <f t="shared" si="323"/>
        <v>0</v>
      </c>
      <c r="AP380" s="3">
        <f t="shared" si="323"/>
        <v>0</v>
      </c>
      <c r="AQ380" s="3">
        <f t="shared" si="323"/>
        <v>0</v>
      </c>
      <c r="AR380" s="3">
        <f t="shared" si="323"/>
        <v>2881.86</v>
      </c>
      <c r="AS380" s="3">
        <f t="shared" si="323"/>
        <v>455.39</v>
      </c>
      <c r="AT380" s="3">
        <f t="shared" si="323"/>
        <v>0</v>
      </c>
      <c r="AU380" s="3">
        <f t="shared" ref="AU380:BZ380" si="324">AU391</f>
        <v>2426.4699999999998</v>
      </c>
      <c r="AV380" s="3">
        <f t="shared" si="324"/>
        <v>0</v>
      </c>
      <c r="AW380" s="3">
        <f t="shared" si="324"/>
        <v>0</v>
      </c>
      <c r="AX380" s="3">
        <f t="shared" si="324"/>
        <v>0</v>
      </c>
      <c r="AY380" s="3">
        <f t="shared" si="324"/>
        <v>0</v>
      </c>
      <c r="AZ380" s="3">
        <f t="shared" si="324"/>
        <v>0</v>
      </c>
      <c r="BA380" s="3">
        <f t="shared" si="324"/>
        <v>0</v>
      </c>
      <c r="BB380" s="3">
        <f t="shared" si="324"/>
        <v>0</v>
      </c>
      <c r="BC380" s="3">
        <f t="shared" si="324"/>
        <v>0</v>
      </c>
      <c r="BD380" s="3">
        <f t="shared" si="324"/>
        <v>0</v>
      </c>
      <c r="BE380" s="3">
        <f t="shared" si="324"/>
        <v>0</v>
      </c>
      <c r="BF380" s="3">
        <f t="shared" si="324"/>
        <v>0</v>
      </c>
      <c r="BG380" s="3">
        <f t="shared" si="324"/>
        <v>0</v>
      </c>
      <c r="BH380" s="3">
        <f t="shared" si="324"/>
        <v>0</v>
      </c>
      <c r="BI380" s="3">
        <f t="shared" si="324"/>
        <v>0</v>
      </c>
      <c r="BJ380" s="3">
        <f t="shared" si="324"/>
        <v>0</v>
      </c>
      <c r="BK380" s="3">
        <f t="shared" si="324"/>
        <v>0</v>
      </c>
      <c r="BL380" s="3">
        <f t="shared" si="324"/>
        <v>0</v>
      </c>
      <c r="BM380" s="3">
        <f t="shared" si="324"/>
        <v>0</v>
      </c>
      <c r="BN380" s="3">
        <f t="shared" si="324"/>
        <v>0</v>
      </c>
      <c r="BO380" s="3">
        <f t="shared" si="324"/>
        <v>0</v>
      </c>
      <c r="BP380" s="3">
        <f t="shared" si="324"/>
        <v>0</v>
      </c>
      <c r="BQ380" s="3">
        <f t="shared" si="324"/>
        <v>0</v>
      </c>
      <c r="BR380" s="3">
        <f t="shared" si="324"/>
        <v>0</v>
      </c>
      <c r="BS380" s="3">
        <f t="shared" si="324"/>
        <v>0</v>
      </c>
      <c r="BT380" s="3">
        <f t="shared" si="324"/>
        <v>0</v>
      </c>
      <c r="BU380" s="3">
        <f t="shared" si="324"/>
        <v>0</v>
      </c>
      <c r="BV380" s="3">
        <f t="shared" si="324"/>
        <v>0</v>
      </c>
      <c r="BW380" s="3">
        <f t="shared" si="324"/>
        <v>0</v>
      </c>
      <c r="BX380" s="3">
        <f t="shared" si="324"/>
        <v>0</v>
      </c>
      <c r="BY380" s="3">
        <f t="shared" si="324"/>
        <v>0</v>
      </c>
      <c r="BZ380" s="3">
        <f t="shared" si="324"/>
        <v>0</v>
      </c>
      <c r="CA380" s="3">
        <f t="shared" ref="CA380:DF380" si="325">CA391</f>
        <v>2881.86</v>
      </c>
      <c r="CB380" s="3">
        <f t="shared" si="325"/>
        <v>455.39</v>
      </c>
      <c r="CC380" s="3">
        <f t="shared" si="325"/>
        <v>0</v>
      </c>
      <c r="CD380" s="3">
        <f t="shared" si="325"/>
        <v>2426.4699999999998</v>
      </c>
      <c r="CE380" s="3">
        <f t="shared" si="325"/>
        <v>0</v>
      </c>
      <c r="CF380" s="3">
        <f t="shared" si="325"/>
        <v>0</v>
      </c>
      <c r="CG380" s="3">
        <f t="shared" si="325"/>
        <v>0</v>
      </c>
      <c r="CH380" s="3">
        <f t="shared" si="325"/>
        <v>0</v>
      </c>
      <c r="CI380" s="3">
        <f t="shared" si="325"/>
        <v>0</v>
      </c>
      <c r="CJ380" s="3">
        <f t="shared" si="325"/>
        <v>0</v>
      </c>
      <c r="CK380" s="3">
        <f t="shared" si="325"/>
        <v>0</v>
      </c>
      <c r="CL380" s="3">
        <f t="shared" si="325"/>
        <v>0</v>
      </c>
      <c r="CM380" s="3">
        <f t="shared" si="325"/>
        <v>0</v>
      </c>
      <c r="CN380" s="3">
        <f t="shared" si="325"/>
        <v>0</v>
      </c>
      <c r="CO380" s="3">
        <f t="shared" si="325"/>
        <v>0</v>
      </c>
      <c r="CP380" s="3">
        <f t="shared" si="325"/>
        <v>0</v>
      </c>
      <c r="CQ380" s="3">
        <f t="shared" si="325"/>
        <v>0</v>
      </c>
      <c r="CR380" s="3">
        <f t="shared" si="325"/>
        <v>0</v>
      </c>
      <c r="CS380" s="3">
        <f t="shared" si="325"/>
        <v>0</v>
      </c>
      <c r="CT380" s="3">
        <f t="shared" si="325"/>
        <v>0</v>
      </c>
      <c r="CU380" s="3">
        <f t="shared" si="325"/>
        <v>0</v>
      </c>
      <c r="CV380" s="3">
        <f t="shared" si="325"/>
        <v>0</v>
      </c>
      <c r="CW380" s="3">
        <f t="shared" si="325"/>
        <v>0</v>
      </c>
      <c r="CX380" s="3">
        <f t="shared" si="325"/>
        <v>0</v>
      </c>
      <c r="CY380" s="3">
        <f t="shared" si="325"/>
        <v>0</v>
      </c>
      <c r="CZ380" s="3">
        <f t="shared" si="325"/>
        <v>0</v>
      </c>
      <c r="DA380" s="3">
        <f t="shared" si="325"/>
        <v>0</v>
      </c>
      <c r="DB380" s="3">
        <f t="shared" si="325"/>
        <v>0</v>
      </c>
      <c r="DC380" s="3">
        <f t="shared" si="325"/>
        <v>0</v>
      </c>
      <c r="DD380" s="3">
        <f t="shared" si="325"/>
        <v>0</v>
      </c>
      <c r="DE380" s="3">
        <f t="shared" si="325"/>
        <v>0</v>
      </c>
      <c r="DF380" s="3">
        <f t="shared" si="325"/>
        <v>0</v>
      </c>
      <c r="DG380" s="4">
        <f t="shared" ref="DG380:EL380" si="326">DG391</f>
        <v>32394.33</v>
      </c>
      <c r="DH380" s="4">
        <f t="shared" si="326"/>
        <v>0</v>
      </c>
      <c r="DI380" s="4">
        <f t="shared" si="326"/>
        <v>32394.33</v>
      </c>
      <c r="DJ380" s="4">
        <f t="shared" si="326"/>
        <v>1708.71</v>
      </c>
      <c r="DK380" s="4">
        <f t="shared" si="326"/>
        <v>0</v>
      </c>
      <c r="DL380" s="4">
        <f t="shared" si="326"/>
        <v>0</v>
      </c>
      <c r="DM380" s="4">
        <f t="shared" si="326"/>
        <v>0</v>
      </c>
      <c r="DN380" s="4">
        <f t="shared" si="326"/>
        <v>0</v>
      </c>
      <c r="DO380" s="4">
        <f t="shared" si="326"/>
        <v>0</v>
      </c>
      <c r="DP380" s="4">
        <f t="shared" si="326"/>
        <v>0</v>
      </c>
      <c r="DQ380" s="4">
        <f t="shared" si="326"/>
        <v>0</v>
      </c>
      <c r="DR380" s="4">
        <f t="shared" si="326"/>
        <v>0</v>
      </c>
      <c r="DS380" s="4">
        <f t="shared" si="326"/>
        <v>0</v>
      </c>
      <c r="DT380" s="4">
        <f t="shared" si="326"/>
        <v>32394.33</v>
      </c>
      <c r="DU380" s="4">
        <f t="shared" si="326"/>
        <v>0</v>
      </c>
      <c r="DV380" s="4">
        <f t="shared" si="326"/>
        <v>32394.33</v>
      </c>
      <c r="DW380" s="4">
        <f t="shared" si="326"/>
        <v>1708.71</v>
      </c>
      <c r="DX380" s="4">
        <f t="shared" si="326"/>
        <v>0</v>
      </c>
      <c r="DY380" s="4">
        <f t="shared" si="326"/>
        <v>0</v>
      </c>
      <c r="DZ380" s="4">
        <f t="shared" si="326"/>
        <v>0</v>
      </c>
      <c r="EA380" s="4">
        <f t="shared" si="326"/>
        <v>0</v>
      </c>
      <c r="EB380" s="4">
        <f t="shared" si="326"/>
        <v>0</v>
      </c>
      <c r="EC380" s="4">
        <f t="shared" si="326"/>
        <v>0</v>
      </c>
      <c r="ED380" s="4">
        <f t="shared" si="326"/>
        <v>0</v>
      </c>
      <c r="EE380" s="4">
        <f t="shared" si="326"/>
        <v>0</v>
      </c>
      <c r="EF380" s="4">
        <f t="shared" si="326"/>
        <v>0</v>
      </c>
      <c r="EG380" s="4">
        <f t="shared" si="326"/>
        <v>0</v>
      </c>
      <c r="EH380" s="4">
        <f t="shared" si="326"/>
        <v>0</v>
      </c>
      <c r="EI380" s="4">
        <f t="shared" si="326"/>
        <v>0</v>
      </c>
      <c r="EJ380" s="4">
        <f t="shared" si="326"/>
        <v>35128.269999999997</v>
      </c>
      <c r="EK380" s="4">
        <f t="shared" si="326"/>
        <v>6973.07</v>
      </c>
      <c r="EL380" s="4">
        <f t="shared" si="326"/>
        <v>0</v>
      </c>
      <c r="EM380" s="4">
        <f t="shared" ref="EM380:FR380" si="327">EM391</f>
        <v>28155.200000000001</v>
      </c>
      <c r="EN380" s="4">
        <f t="shared" si="327"/>
        <v>0</v>
      </c>
      <c r="EO380" s="4">
        <f t="shared" si="327"/>
        <v>0</v>
      </c>
      <c r="EP380" s="4">
        <f t="shared" si="327"/>
        <v>0</v>
      </c>
      <c r="EQ380" s="4">
        <f t="shared" si="327"/>
        <v>0</v>
      </c>
      <c r="ER380" s="4">
        <f t="shared" si="327"/>
        <v>0</v>
      </c>
      <c r="ES380" s="4">
        <f t="shared" si="327"/>
        <v>0</v>
      </c>
      <c r="ET380" s="4">
        <f t="shared" si="327"/>
        <v>0</v>
      </c>
      <c r="EU380" s="4">
        <f t="shared" si="327"/>
        <v>0</v>
      </c>
      <c r="EV380" s="4">
        <f t="shared" si="327"/>
        <v>0</v>
      </c>
      <c r="EW380" s="4">
        <f t="shared" si="327"/>
        <v>0</v>
      </c>
      <c r="EX380" s="4">
        <f t="shared" si="327"/>
        <v>0</v>
      </c>
      <c r="EY380" s="4">
        <f t="shared" si="327"/>
        <v>0</v>
      </c>
      <c r="EZ380" s="4">
        <f t="shared" si="327"/>
        <v>0</v>
      </c>
      <c r="FA380" s="4">
        <f t="shared" si="327"/>
        <v>0</v>
      </c>
      <c r="FB380" s="4">
        <f t="shared" si="327"/>
        <v>0</v>
      </c>
      <c r="FC380" s="4">
        <f t="shared" si="327"/>
        <v>0</v>
      </c>
      <c r="FD380" s="4">
        <f t="shared" si="327"/>
        <v>0</v>
      </c>
      <c r="FE380" s="4">
        <f t="shared" si="327"/>
        <v>0</v>
      </c>
      <c r="FF380" s="4">
        <f t="shared" si="327"/>
        <v>0</v>
      </c>
      <c r="FG380" s="4">
        <f t="shared" si="327"/>
        <v>0</v>
      </c>
      <c r="FH380" s="4">
        <f t="shared" si="327"/>
        <v>0</v>
      </c>
      <c r="FI380" s="4">
        <f t="shared" si="327"/>
        <v>0</v>
      </c>
      <c r="FJ380" s="4">
        <f t="shared" si="327"/>
        <v>0</v>
      </c>
      <c r="FK380" s="4">
        <f t="shared" si="327"/>
        <v>0</v>
      </c>
      <c r="FL380" s="4">
        <f t="shared" si="327"/>
        <v>0</v>
      </c>
      <c r="FM380" s="4">
        <f t="shared" si="327"/>
        <v>0</v>
      </c>
      <c r="FN380" s="4">
        <f t="shared" si="327"/>
        <v>0</v>
      </c>
      <c r="FO380" s="4">
        <f t="shared" si="327"/>
        <v>0</v>
      </c>
      <c r="FP380" s="4">
        <f t="shared" si="327"/>
        <v>0</v>
      </c>
      <c r="FQ380" s="4">
        <f t="shared" si="327"/>
        <v>0</v>
      </c>
      <c r="FR380" s="4">
        <f t="shared" si="327"/>
        <v>0</v>
      </c>
      <c r="FS380" s="4">
        <f t="shared" ref="FS380:GX380" si="328">FS391</f>
        <v>35128.269999999997</v>
      </c>
      <c r="FT380" s="4">
        <f t="shared" si="328"/>
        <v>6973.07</v>
      </c>
      <c r="FU380" s="4">
        <f t="shared" si="328"/>
        <v>0</v>
      </c>
      <c r="FV380" s="4">
        <f t="shared" si="328"/>
        <v>28155.200000000001</v>
      </c>
      <c r="FW380" s="4">
        <f t="shared" si="328"/>
        <v>0</v>
      </c>
      <c r="FX380" s="4">
        <f t="shared" si="328"/>
        <v>0</v>
      </c>
      <c r="FY380" s="4">
        <f t="shared" si="328"/>
        <v>0</v>
      </c>
      <c r="FZ380" s="4">
        <f t="shared" si="328"/>
        <v>0</v>
      </c>
      <c r="GA380" s="4">
        <f t="shared" si="328"/>
        <v>0</v>
      </c>
      <c r="GB380" s="4">
        <f t="shared" si="328"/>
        <v>0</v>
      </c>
      <c r="GC380" s="4">
        <f t="shared" si="328"/>
        <v>0</v>
      </c>
      <c r="GD380" s="4">
        <f t="shared" si="328"/>
        <v>0</v>
      </c>
      <c r="GE380" s="4">
        <f t="shared" si="328"/>
        <v>0</v>
      </c>
      <c r="GF380" s="4">
        <f t="shared" si="328"/>
        <v>0</v>
      </c>
      <c r="GG380" s="4">
        <f t="shared" si="328"/>
        <v>0</v>
      </c>
      <c r="GH380" s="4">
        <f t="shared" si="328"/>
        <v>0</v>
      </c>
      <c r="GI380" s="4">
        <f t="shared" si="328"/>
        <v>0</v>
      </c>
      <c r="GJ380" s="4">
        <f t="shared" si="328"/>
        <v>0</v>
      </c>
      <c r="GK380" s="4">
        <f t="shared" si="328"/>
        <v>0</v>
      </c>
      <c r="GL380" s="4">
        <f t="shared" si="328"/>
        <v>0</v>
      </c>
      <c r="GM380" s="4">
        <f t="shared" si="328"/>
        <v>0</v>
      </c>
      <c r="GN380" s="4">
        <f t="shared" si="328"/>
        <v>0</v>
      </c>
      <c r="GO380" s="4">
        <f t="shared" si="328"/>
        <v>0</v>
      </c>
      <c r="GP380" s="4">
        <f t="shared" si="328"/>
        <v>0</v>
      </c>
      <c r="GQ380" s="4">
        <f t="shared" si="328"/>
        <v>0</v>
      </c>
      <c r="GR380" s="4">
        <f t="shared" si="328"/>
        <v>0</v>
      </c>
      <c r="GS380" s="4">
        <f t="shared" si="328"/>
        <v>0</v>
      </c>
      <c r="GT380" s="4">
        <f t="shared" si="328"/>
        <v>0</v>
      </c>
      <c r="GU380" s="4">
        <f t="shared" si="328"/>
        <v>0</v>
      </c>
      <c r="GV380" s="4">
        <f t="shared" si="328"/>
        <v>0</v>
      </c>
      <c r="GW380" s="4">
        <f t="shared" si="328"/>
        <v>0</v>
      </c>
      <c r="GX380" s="4">
        <f t="shared" si="328"/>
        <v>0</v>
      </c>
    </row>
    <row r="382" spans="1:255" x14ac:dyDescent="0.2">
      <c r="A382" s="2">
        <v>17</v>
      </c>
      <c r="B382" s="2">
        <v>1</v>
      </c>
      <c r="C382" s="2">
        <f>ROW(SmtRes!A411)</f>
        <v>411</v>
      </c>
      <c r="D382" s="2">
        <f>ROW(EtalonRes!A413)</f>
        <v>413</v>
      </c>
      <c r="E382" s="2" t="s">
        <v>477</v>
      </c>
      <c r="F382" s="2" t="s">
        <v>478</v>
      </c>
      <c r="G382" s="2" t="s">
        <v>479</v>
      </c>
      <c r="H382" s="2" t="s">
        <v>179</v>
      </c>
      <c r="I382" s="2">
        <v>39.771500000000003</v>
      </c>
      <c r="J382" s="2">
        <v>0</v>
      </c>
      <c r="K382" s="2">
        <v>39.771500000000003</v>
      </c>
      <c r="L382" s="2"/>
      <c r="M382" s="2"/>
      <c r="N382" s="2"/>
      <c r="O382" s="2">
        <f t="shared" ref="O382:O389" si="329">ROUND(CP382,2)</f>
        <v>352.38</v>
      </c>
      <c r="P382" s="2">
        <f t="shared" ref="P382:P389" si="330">ROUND((ROUND((AC382*AW382*I382),2)*BC382),2)</f>
        <v>0</v>
      </c>
      <c r="Q382" s="2">
        <f t="shared" ref="Q382:Q389" si="331">(ROUND((ROUND(((ET382)*AV382*I382),2)*BB382),2)+ROUND((ROUND(((AE382-(EU382))*AV382*I382),2)*BS382),2))</f>
        <v>352.38</v>
      </c>
      <c r="R382" s="2">
        <f t="shared" ref="R382:R389" si="332">ROUND((ROUND((AE382*AV382*I382),2)*BS382),2)</f>
        <v>58.86</v>
      </c>
      <c r="S382" s="2">
        <f t="shared" ref="S382:S389" si="333">ROUND((ROUND((AF382*AV382*I382),2)*BA382),2)</f>
        <v>0</v>
      </c>
      <c r="T382" s="2">
        <f t="shared" ref="T382:T389" si="334">ROUND(CU382*I382,2)</f>
        <v>0</v>
      </c>
      <c r="U382" s="2">
        <f t="shared" ref="U382:U389" si="335">CV382*I382</f>
        <v>0</v>
      </c>
      <c r="V382" s="2">
        <f t="shared" ref="V382:V389" si="336">CW382*I382</f>
        <v>0</v>
      </c>
      <c r="W382" s="2">
        <f t="shared" ref="W382:W389" si="337">ROUND(CX382*I382,2)</f>
        <v>0</v>
      </c>
      <c r="X382" s="2">
        <f t="shared" ref="X382:Y389" si="338">ROUND(CY382,2)</f>
        <v>0</v>
      </c>
      <c r="Y382" s="2">
        <f t="shared" si="338"/>
        <v>0</v>
      </c>
      <c r="Z382" s="2"/>
      <c r="AA382" s="2">
        <v>129761636</v>
      </c>
      <c r="AB382" s="2">
        <f t="shared" ref="AB382:AB389" si="339">ROUND((AC382+AD382+AF382),6)</f>
        <v>8.86</v>
      </c>
      <c r="AC382" s="2">
        <f t="shared" ref="AC382:AC389" si="340">ROUND((ES382),6)</f>
        <v>0</v>
      </c>
      <c r="AD382" s="2">
        <f t="shared" ref="AD382:AD389" si="341">ROUND((((ET382)-(EU382))+AE382),6)</f>
        <v>8.86</v>
      </c>
      <c r="AE382" s="2">
        <f t="shared" ref="AE382:AF389" si="342">ROUND((EU382),6)</f>
        <v>1.48</v>
      </c>
      <c r="AF382" s="2">
        <f t="shared" si="342"/>
        <v>0</v>
      </c>
      <c r="AG382" s="2">
        <f t="shared" ref="AG382:AG389" si="343">ROUND((AP382),6)</f>
        <v>0</v>
      </c>
      <c r="AH382" s="2">
        <f t="shared" ref="AH382:AI389" si="344">(EW382)</f>
        <v>0</v>
      </c>
      <c r="AI382" s="2">
        <f t="shared" si="344"/>
        <v>0</v>
      </c>
      <c r="AJ382" s="2">
        <f t="shared" ref="AJ382:AJ389" si="345">(AS382)</f>
        <v>0</v>
      </c>
      <c r="AK382" s="2">
        <v>8.86</v>
      </c>
      <c r="AL382" s="2">
        <v>0</v>
      </c>
      <c r="AM382" s="2">
        <v>8.86</v>
      </c>
      <c r="AN382" s="2">
        <v>1.48</v>
      </c>
      <c r="AO382" s="2">
        <v>0</v>
      </c>
      <c r="AP382" s="2">
        <v>0</v>
      </c>
      <c r="AQ382" s="2">
        <v>0</v>
      </c>
      <c r="AR382" s="2">
        <v>0</v>
      </c>
      <c r="AS382" s="2">
        <v>0</v>
      </c>
      <c r="AT382" s="2">
        <v>91</v>
      </c>
      <c r="AU382" s="2">
        <v>70</v>
      </c>
      <c r="AV382" s="2">
        <v>1</v>
      </c>
      <c r="AW382" s="2">
        <v>1</v>
      </c>
      <c r="AX382" s="2"/>
      <c r="AY382" s="2"/>
      <c r="AZ382" s="2">
        <v>1</v>
      </c>
      <c r="BA382" s="2">
        <v>1</v>
      </c>
      <c r="BB382" s="2">
        <v>1</v>
      </c>
      <c r="BC382" s="2">
        <v>1</v>
      </c>
      <c r="BD382" s="2" t="s">
        <v>3</v>
      </c>
      <c r="BE382" s="2" t="s">
        <v>3</v>
      </c>
      <c r="BF382" s="2" t="s">
        <v>3</v>
      </c>
      <c r="BG382" s="2" t="s">
        <v>3</v>
      </c>
      <c r="BH382" s="2">
        <v>0</v>
      </c>
      <c r="BI382" s="2">
        <v>1</v>
      </c>
      <c r="BJ382" s="2" t="s">
        <v>480</v>
      </c>
      <c r="BK382" s="2"/>
      <c r="BL382" s="2"/>
      <c r="BM382" s="2">
        <v>658</v>
      </c>
      <c r="BN382" s="2">
        <v>0</v>
      </c>
      <c r="BO382" s="2" t="s">
        <v>3</v>
      </c>
      <c r="BP382" s="2">
        <v>0</v>
      </c>
      <c r="BQ382" s="2">
        <v>60</v>
      </c>
      <c r="BR382" s="2">
        <v>0</v>
      </c>
      <c r="BS382" s="2">
        <v>1</v>
      </c>
      <c r="BT382" s="2">
        <v>1</v>
      </c>
      <c r="BU382" s="2">
        <v>1</v>
      </c>
      <c r="BV382" s="2">
        <v>1</v>
      </c>
      <c r="BW382" s="2">
        <v>1</v>
      </c>
      <c r="BX382" s="2">
        <v>1</v>
      </c>
      <c r="BY382" s="2" t="s">
        <v>3</v>
      </c>
      <c r="BZ382" s="2">
        <v>91</v>
      </c>
      <c r="CA382" s="2">
        <v>70</v>
      </c>
      <c r="CB382" s="2" t="s">
        <v>3</v>
      </c>
      <c r="CC382" s="2"/>
      <c r="CD382" s="2"/>
      <c r="CE382" s="2">
        <v>30</v>
      </c>
      <c r="CF382" s="2">
        <v>0</v>
      </c>
      <c r="CG382" s="2">
        <v>0</v>
      </c>
      <c r="CH382" s="2"/>
      <c r="CI382" s="2"/>
      <c r="CJ382" s="2"/>
      <c r="CK382" s="2"/>
      <c r="CL382" s="2"/>
      <c r="CM382" s="2">
        <v>0</v>
      </c>
      <c r="CN382" s="2" t="s">
        <v>3</v>
      </c>
      <c r="CO382" s="2">
        <v>0</v>
      </c>
      <c r="CP382" s="2">
        <f t="shared" ref="CP382:CP389" si="346">(P382+Q382+S382)</f>
        <v>352.38</v>
      </c>
      <c r="CQ382" s="2">
        <f t="shared" ref="CQ382:CQ389" si="347">ROUND((ROUND((AC382*AW382*1),2)*BC382),2)</f>
        <v>0</v>
      </c>
      <c r="CR382" s="2">
        <f t="shared" ref="CR382:CR389" si="348">(ROUND((ROUND(((ET382)*AV382*1),2)*BB382),2)+ROUND((ROUND(((AE382-(EU382))*AV382*1),2)*BS382),2))</f>
        <v>8.86</v>
      </c>
      <c r="CS382" s="2">
        <f t="shared" ref="CS382:CS389" si="349">ROUND((ROUND((AE382*AV382*1),2)*BS382),2)</f>
        <v>1.48</v>
      </c>
      <c r="CT382" s="2">
        <f t="shared" ref="CT382:CT389" si="350">ROUND((ROUND((AF382*AV382*1),2)*BA382),2)</f>
        <v>0</v>
      </c>
      <c r="CU382" s="2">
        <f t="shared" ref="CU382:CU389" si="351">AG382</f>
        <v>0</v>
      </c>
      <c r="CV382" s="2">
        <f t="shared" ref="CV382:CV389" si="352">(AH382*AV382)</f>
        <v>0</v>
      </c>
      <c r="CW382" s="2">
        <f t="shared" ref="CW382:CX389" si="353">AI382</f>
        <v>0</v>
      </c>
      <c r="CX382" s="2">
        <f t="shared" si="353"/>
        <v>0</v>
      </c>
      <c r="CY382" s="2">
        <f>((S382*BZ382)/100)</f>
        <v>0</v>
      </c>
      <c r="CZ382" s="2">
        <f>((S382*CA382)/100)</f>
        <v>0</v>
      </c>
      <c r="DA382" s="2"/>
      <c r="DB382" s="2"/>
      <c r="DC382" s="2" t="s">
        <v>3</v>
      </c>
      <c r="DD382" s="2" t="s">
        <v>3</v>
      </c>
      <c r="DE382" s="2" t="s">
        <v>3</v>
      </c>
      <c r="DF382" s="2" t="s">
        <v>3</v>
      </c>
      <c r="DG382" s="2" t="s">
        <v>3</v>
      </c>
      <c r="DH382" s="2" t="s">
        <v>3</v>
      </c>
      <c r="DI382" s="2" t="s">
        <v>3</v>
      </c>
      <c r="DJ382" s="2" t="s">
        <v>3</v>
      </c>
      <c r="DK382" s="2" t="s">
        <v>3</v>
      </c>
      <c r="DL382" s="2" t="s">
        <v>3</v>
      </c>
      <c r="DM382" s="2" t="s">
        <v>3</v>
      </c>
      <c r="DN382" s="2">
        <v>0</v>
      </c>
      <c r="DO382" s="2">
        <v>0</v>
      </c>
      <c r="DP382" s="2">
        <v>1</v>
      </c>
      <c r="DQ382" s="2">
        <v>1</v>
      </c>
      <c r="DR382" s="2"/>
      <c r="DS382" s="2"/>
      <c r="DT382" s="2"/>
      <c r="DU382" s="2">
        <v>1013</v>
      </c>
      <c r="DV382" s="2" t="s">
        <v>179</v>
      </c>
      <c r="DW382" s="2" t="s">
        <v>179</v>
      </c>
      <c r="DX382" s="2">
        <v>1</v>
      </c>
      <c r="DY382" s="2"/>
      <c r="DZ382" s="2" t="s">
        <v>3</v>
      </c>
      <c r="EA382" s="2" t="s">
        <v>3</v>
      </c>
      <c r="EB382" s="2" t="s">
        <v>3</v>
      </c>
      <c r="EC382" s="2" t="s">
        <v>3</v>
      </c>
      <c r="ED382" s="2"/>
      <c r="EE382" s="2">
        <v>126052119</v>
      </c>
      <c r="EF382" s="2">
        <v>60</v>
      </c>
      <c r="EG382" s="2" t="s">
        <v>150</v>
      </c>
      <c r="EH382" s="2">
        <v>0</v>
      </c>
      <c r="EI382" s="2" t="s">
        <v>3</v>
      </c>
      <c r="EJ382" s="2">
        <v>1</v>
      </c>
      <c r="EK382" s="2">
        <v>658</v>
      </c>
      <c r="EL382" s="2" t="s">
        <v>481</v>
      </c>
      <c r="EM382" s="2" t="s">
        <v>482</v>
      </c>
      <c r="EN382" s="2"/>
      <c r="EO382" s="2" t="s">
        <v>3</v>
      </c>
      <c r="EP382" s="2"/>
      <c r="EQ382" s="2">
        <v>131072</v>
      </c>
      <c r="ER382" s="2">
        <v>8.86</v>
      </c>
      <c r="ES382" s="2">
        <v>0</v>
      </c>
      <c r="ET382" s="2">
        <v>8.86</v>
      </c>
      <c r="EU382" s="2">
        <v>1.48</v>
      </c>
      <c r="EV382" s="2">
        <v>0</v>
      </c>
      <c r="EW382" s="2">
        <v>0</v>
      </c>
      <c r="EX382" s="2">
        <v>0</v>
      </c>
      <c r="EY382" s="2">
        <v>0</v>
      </c>
      <c r="EZ382" s="2"/>
      <c r="FA382" s="2"/>
      <c r="FB382" s="2"/>
      <c r="FC382" s="2"/>
      <c r="FD382" s="2"/>
      <c r="FE382" s="2"/>
      <c r="FF382" s="2"/>
      <c r="FG382" s="2"/>
      <c r="FH382" s="2"/>
      <c r="FI382" s="2"/>
      <c r="FJ382" s="2"/>
      <c r="FK382" s="2"/>
      <c r="FL382" s="2"/>
      <c r="FM382" s="2"/>
      <c r="FN382" s="2"/>
      <c r="FO382" s="2"/>
      <c r="FP382" s="2"/>
      <c r="FQ382" s="2">
        <v>0</v>
      </c>
      <c r="FR382" s="2">
        <f t="shared" ref="FR382:FR389" si="354">ROUND(IF(AND(BH382=3,BI382=3),P382,0),2)</f>
        <v>0</v>
      </c>
      <c r="FS382" s="2">
        <v>0</v>
      </c>
      <c r="FT382" s="2"/>
      <c r="FU382" s="2"/>
      <c r="FV382" s="2"/>
      <c r="FW382" s="2"/>
      <c r="FX382" s="2">
        <v>91</v>
      </c>
      <c r="FY382" s="2">
        <v>70</v>
      </c>
      <c r="FZ382" s="2"/>
      <c r="GA382" s="2" t="s">
        <v>3</v>
      </c>
      <c r="GB382" s="2"/>
      <c r="GC382" s="2"/>
      <c r="GD382" s="2">
        <v>0</v>
      </c>
      <c r="GE382" s="2"/>
      <c r="GF382" s="2">
        <v>-1983005167</v>
      </c>
      <c r="GG382" s="2">
        <v>2</v>
      </c>
      <c r="GH382" s="2">
        <v>1</v>
      </c>
      <c r="GI382" s="2">
        <v>-2</v>
      </c>
      <c r="GJ382" s="2">
        <v>0</v>
      </c>
      <c r="GK382" s="2">
        <f>ROUND(R382*(R12)/100,2)</f>
        <v>103.01</v>
      </c>
      <c r="GL382" s="2">
        <f t="shared" ref="GL382:GL389" si="355">ROUND(IF(AND(BH382=3,BI382=3,FS382&lt;&gt;0),P382,0),2)</f>
        <v>0</v>
      </c>
      <c r="GM382" s="2">
        <f>ROUND(O382+X382+Y382+GK382,2)+GX382</f>
        <v>455.39</v>
      </c>
      <c r="GN382" s="2">
        <f>IF(OR(BI382=0,BI382=1),ROUND(O382+X382+Y382+GK382,2),0)</f>
        <v>455.39</v>
      </c>
      <c r="GO382" s="2">
        <f>IF(BI382=2,ROUND(O382+X382+Y382+GK382,2),0)</f>
        <v>0</v>
      </c>
      <c r="GP382" s="2">
        <f>IF(BI382=4,ROUND(O382+X382+Y382+GK382,2)+GX382,0)</f>
        <v>0</v>
      </c>
      <c r="GQ382" s="2"/>
      <c r="GR382" s="2">
        <v>0</v>
      </c>
      <c r="GS382" s="2">
        <v>0</v>
      </c>
      <c r="GT382" s="2">
        <v>0</v>
      </c>
      <c r="GU382" s="2" t="s">
        <v>3</v>
      </c>
      <c r="GV382" s="2">
        <f t="shared" ref="GV382:GV389" si="356">ROUND((GT382),6)</f>
        <v>0</v>
      </c>
      <c r="GW382" s="2">
        <v>1</v>
      </c>
      <c r="GX382" s="2">
        <f t="shared" ref="GX382:GX389" si="357">ROUND(HC382*I382,2)</f>
        <v>0</v>
      </c>
      <c r="GY382" s="2"/>
      <c r="GZ382" s="2"/>
      <c r="HA382" s="2">
        <v>0</v>
      </c>
      <c r="HB382" s="2">
        <v>0</v>
      </c>
      <c r="HC382" s="2">
        <f t="shared" ref="HC382:HC389" si="358">GV382*GW382</f>
        <v>0</v>
      </c>
      <c r="HD382" s="2"/>
      <c r="HE382" s="2" t="s">
        <v>3</v>
      </c>
      <c r="HF382" s="2" t="s">
        <v>3</v>
      </c>
      <c r="HG382" s="2"/>
      <c r="HH382" s="2"/>
      <c r="HI382" s="2"/>
      <c r="HJ382" s="2"/>
      <c r="HK382" s="2"/>
      <c r="HL382" s="2"/>
      <c r="HM382" s="2" t="s">
        <v>3</v>
      </c>
      <c r="HN382" s="2" t="s">
        <v>3</v>
      </c>
      <c r="HO382" s="2" t="s">
        <v>3</v>
      </c>
      <c r="HP382" s="2" t="s">
        <v>3</v>
      </c>
      <c r="HQ382" s="2" t="s">
        <v>3</v>
      </c>
      <c r="HR382" s="2"/>
      <c r="HS382" s="2"/>
      <c r="HT382" s="2"/>
      <c r="HU382" s="2"/>
      <c r="HV382" s="2"/>
      <c r="HW382" s="2"/>
      <c r="HX382" s="2"/>
      <c r="HY382" s="2"/>
      <c r="HZ382" s="2"/>
      <c r="IA382" s="2"/>
      <c r="IB382" s="2"/>
      <c r="IC382" s="2"/>
      <c r="ID382" s="2"/>
      <c r="IE382" s="2"/>
      <c r="IF382" s="2"/>
      <c r="IG382" s="2"/>
      <c r="IH382" s="2"/>
      <c r="II382" s="2"/>
      <c r="IJ382" s="2"/>
      <c r="IK382" s="2">
        <v>0</v>
      </c>
      <c r="IL382" s="2"/>
      <c r="IM382" s="2"/>
      <c r="IN382" s="2"/>
      <c r="IO382" s="2"/>
      <c r="IP382" s="2"/>
      <c r="IQ382" s="2"/>
      <c r="IR382" s="2"/>
      <c r="IS382" s="2"/>
      <c r="IT382" s="2"/>
      <c r="IU382" s="2"/>
    </row>
    <row r="383" spans="1:255" x14ac:dyDescent="0.2">
      <c r="A383">
        <v>17</v>
      </c>
      <c r="B383">
        <v>1</v>
      </c>
      <c r="C383">
        <f>ROW(SmtRes!A412)</f>
        <v>412</v>
      </c>
      <c r="D383">
        <f>ROW(EtalonRes!A414)</f>
        <v>414</v>
      </c>
      <c r="E383" t="s">
        <v>477</v>
      </c>
      <c r="F383" t="s">
        <v>478</v>
      </c>
      <c r="G383" t="s">
        <v>479</v>
      </c>
      <c r="H383" t="s">
        <v>179</v>
      </c>
      <c r="I383">
        <v>39.771500000000003</v>
      </c>
      <c r="J383">
        <v>0</v>
      </c>
      <c r="K383">
        <v>39.771500000000003</v>
      </c>
      <c r="O383">
        <f t="shared" si="329"/>
        <v>4239.13</v>
      </c>
      <c r="P383">
        <f t="shared" si="330"/>
        <v>0</v>
      </c>
      <c r="Q383">
        <f t="shared" si="331"/>
        <v>4239.13</v>
      </c>
      <c r="R383">
        <f t="shared" si="332"/>
        <v>1708.71</v>
      </c>
      <c r="S383">
        <f t="shared" si="333"/>
        <v>0</v>
      </c>
      <c r="T383">
        <f t="shared" si="334"/>
        <v>0</v>
      </c>
      <c r="U383">
        <f t="shared" si="335"/>
        <v>0</v>
      </c>
      <c r="V383">
        <f t="shared" si="336"/>
        <v>0</v>
      </c>
      <c r="W383">
        <f t="shared" si="337"/>
        <v>0</v>
      </c>
      <c r="X383">
        <f t="shared" si="338"/>
        <v>0</v>
      </c>
      <c r="Y383">
        <f t="shared" si="338"/>
        <v>0</v>
      </c>
      <c r="AA383">
        <v>129761633</v>
      </c>
      <c r="AB383">
        <f t="shared" si="339"/>
        <v>8.86</v>
      </c>
      <c r="AC383">
        <f t="shared" si="340"/>
        <v>0</v>
      </c>
      <c r="AD383">
        <f t="shared" si="341"/>
        <v>8.86</v>
      </c>
      <c r="AE383">
        <f t="shared" si="342"/>
        <v>1.48</v>
      </c>
      <c r="AF383">
        <f t="shared" si="342"/>
        <v>0</v>
      </c>
      <c r="AG383">
        <f t="shared" si="343"/>
        <v>0</v>
      </c>
      <c r="AH383">
        <f t="shared" si="344"/>
        <v>0</v>
      </c>
      <c r="AI383">
        <f t="shared" si="344"/>
        <v>0</v>
      </c>
      <c r="AJ383">
        <f t="shared" si="345"/>
        <v>0</v>
      </c>
      <c r="AK383">
        <v>8.86</v>
      </c>
      <c r="AL383">
        <v>0</v>
      </c>
      <c r="AM383">
        <v>8.86</v>
      </c>
      <c r="AN383">
        <v>1.48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75</v>
      </c>
      <c r="AU383">
        <v>41</v>
      </c>
      <c r="AV383">
        <v>1</v>
      </c>
      <c r="AW383">
        <v>1</v>
      </c>
      <c r="AZ383">
        <v>1</v>
      </c>
      <c r="BA383">
        <v>29.03</v>
      </c>
      <c r="BB383">
        <v>12.03</v>
      </c>
      <c r="BC383">
        <v>1</v>
      </c>
      <c r="BD383" t="s">
        <v>3</v>
      </c>
      <c r="BE383" t="s">
        <v>3</v>
      </c>
      <c r="BF383" t="s">
        <v>3</v>
      </c>
      <c r="BG383" t="s">
        <v>3</v>
      </c>
      <c r="BH383">
        <v>0</v>
      </c>
      <c r="BI383">
        <v>1</v>
      </c>
      <c r="BJ383" t="s">
        <v>480</v>
      </c>
      <c r="BM383">
        <v>658</v>
      </c>
      <c r="BN383">
        <v>0</v>
      </c>
      <c r="BO383" t="s">
        <v>478</v>
      </c>
      <c r="BP383">
        <v>1</v>
      </c>
      <c r="BQ383">
        <v>60</v>
      </c>
      <c r="BR383">
        <v>0</v>
      </c>
      <c r="BS383">
        <v>29.03</v>
      </c>
      <c r="BT383">
        <v>1</v>
      </c>
      <c r="BU383">
        <v>1</v>
      </c>
      <c r="BV383">
        <v>1</v>
      </c>
      <c r="BW383">
        <v>1</v>
      </c>
      <c r="BX383">
        <v>1</v>
      </c>
      <c r="BY383" t="s">
        <v>3</v>
      </c>
      <c r="BZ383">
        <v>75</v>
      </c>
      <c r="CA383">
        <v>41</v>
      </c>
      <c r="CB383" t="s">
        <v>3</v>
      </c>
      <c r="CE383">
        <v>30</v>
      </c>
      <c r="CF383">
        <v>0</v>
      </c>
      <c r="CG383">
        <v>0</v>
      </c>
      <c r="CM383">
        <v>0</v>
      </c>
      <c r="CN383" t="s">
        <v>3</v>
      </c>
      <c r="CO383">
        <v>0</v>
      </c>
      <c r="CP383">
        <f t="shared" si="346"/>
        <v>4239.13</v>
      </c>
      <c r="CQ383">
        <f t="shared" si="347"/>
        <v>0</v>
      </c>
      <c r="CR383">
        <f t="shared" si="348"/>
        <v>106.59</v>
      </c>
      <c r="CS383">
        <f t="shared" si="349"/>
        <v>42.96</v>
      </c>
      <c r="CT383">
        <f t="shared" si="350"/>
        <v>0</v>
      </c>
      <c r="CU383">
        <f t="shared" si="351"/>
        <v>0</v>
      </c>
      <c r="CV383">
        <f t="shared" si="352"/>
        <v>0</v>
      </c>
      <c r="CW383">
        <f t="shared" si="353"/>
        <v>0</v>
      </c>
      <c r="CX383">
        <f t="shared" si="353"/>
        <v>0</v>
      </c>
      <c r="CY383">
        <f>S383*(BZ383/100)</f>
        <v>0</v>
      </c>
      <c r="CZ383">
        <f>S383*(CA383/100)</f>
        <v>0</v>
      </c>
      <c r="DC383" t="s">
        <v>3</v>
      </c>
      <c r="DD383" t="s">
        <v>3</v>
      </c>
      <c r="DE383" t="s">
        <v>3</v>
      </c>
      <c r="DF383" t="s">
        <v>3</v>
      </c>
      <c r="DG383" t="s">
        <v>3</v>
      </c>
      <c r="DH383" t="s">
        <v>3</v>
      </c>
      <c r="DI383" t="s">
        <v>3</v>
      </c>
      <c r="DJ383" t="s">
        <v>3</v>
      </c>
      <c r="DK383" t="s">
        <v>3</v>
      </c>
      <c r="DL383" t="s">
        <v>3</v>
      </c>
      <c r="DM383" t="s">
        <v>3</v>
      </c>
      <c r="DN383">
        <v>91</v>
      </c>
      <c r="DO383">
        <v>70</v>
      </c>
      <c r="DP383">
        <v>1</v>
      </c>
      <c r="DQ383">
        <v>1</v>
      </c>
      <c r="DU383">
        <v>1013</v>
      </c>
      <c r="DV383" t="s">
        <v>179</v>
      </c>
      <c r="DW383" t="s">
        <v>179</v>
      </c>
      <c r="DX383">
        <v>1</v>
      </c>
      <c r="DZ383" t="s">
        <v>3</v>
      </c>
      <c r="EA383" t="s">
        <v>3</v>
      </c>
      <c r="EB383" t="s">
        <v>3</v>
      </c>
      <c r="EC383" t="s">
        <v>3</v>
      </c>
      <c r="EE383">
        <v>126052119</v>
      </c>
      <c r="EF383">
        <v>60</v>
      </c>
      <c r="EG383" t="s">
        <v>150</v>
      </c>
      <c r="EH383">
        <v>0</v>
      </c>
      <c r="EI383" t="s">
        <v>3</v>
      </c>
      <c r="EJ383">
        <v>1</v>
      </c>
      <c r="EK383">
        <v>658</v>
      </c>
      <c r="EL383" t="s">
        <v>481</v>
      </c>
      <c r="EM383" t="s">
        <v>482</v>
      </c>
      <c r="EO383" t="s">
        <v>3</v>
      </c>
      <c r="EQ383">
        <v>131072</v>
      </c>
      <c r="ER383">
        <v>8.86</v>
      </c>
      <c r="ES383">
        <v>0</v>
      </c>
      <c r="ET383">
        <v>8.86</v>
      </c>
      <c r="EU383">
        <v>1.48</v>
      </c>
      <c r="EV383">
        <v>0</v>
      </c>
      <c r="EW383">
        <v>0</v>
      </c>
      <c r="EX383">
        <v>0</v>
      </c>
      <c r="EY383">
        <v>0</v>
      </c>
      <c r="FQ383">
        <v>0</v>
      </c>
      <c r="FR383">
        <f t="shared" si="354"/>
        <v>0</v>
      </c>
      <c r="FS383">
        <v>0</v>
      </c>
      <c r="FX383">
        <v>91</v>
      </c>
      <c r="FY383">
        <v>70</v>
      </c>
      <c r="GA383" t="s">
        <v>3</v>
      </c>
      <c r="GD383">
        <v>0</v>
      </c>
      <c r="GF383">
        <v>-1983005167</v>
      </c>
      <c r="GG383">
        <v>2</v>
      </c>
      <c r="GH383">
        <v>1</v>
      </c>
      <c r="GI383">
        <v>2</v>
      </c>
      <c r="GJ383">
        <v>0</v>
      </c>
      <c r="GK383">
        <f>ROUND(R383*(S12)/100,2)</f>
        <v>2733.94</v>
      </c>
      <c r="GL383">
        <f t="shared" si="355"/>
        <v>0</v>
      </c>
      <c r="GM383">
        <f>ROUND(O383+X383+Y383+GK383,2)+GX383</f>
        <v>6973.07</v>
      </c>
      <c r="GN383">
        <f>IF(OR(BI383=0,BI383=1),ROUND(O383+X383+Y383+GK383,2),0)</f>
        <v>6973.07</v>
      </c>
      <c r="GO383">
        <f>IF(BI383=2,ROUND(O383+X383+Y383+GK383,2),0)</f>
        <v>0</v>
      </c>
      <c r="GP383">
        <f>IF(BI383=4,ROUND(O383+X383+Y383+GK383,2)+GX383,0)</f>
        <v>0</v>
      </c>
      <c r="GR383">
        <v>0</v>
      </c>
      <c r="GS383">
        <v>3</v>
      </c>
      <c r="GT383">
        <v>0</v>
      </c>
      <c r="GU383" t="s">
        <v>3</v>
      </c>
      <c r="GV383">
        <f t="shared" si="356"/>
        <v>0</v>
      </c>
      <c r="GW383">
        <v>1</v>
      </c>
      <c r="GX383">
        <f t="shared" si="357"/>
        <v>0</v>
      </c>
      <c r="HA383">
        <v>0</v>
      </c>
      <c r="HB383">
        <v>0</v>
      </c>
      <c r="HC383">
        <f t="shared" si="358"/>
        <v>0</v>
      </c>
      <c r="HE383" t="s">
        <v>3</v>
      </c>
      <c r="HF383" t="s">
        <v>3</v>
      </c>
      <c r="HM383" t="s">
        <v>3</v>
      </c>
      <c r="HN383" t="s">
        <v>3</v>
      </c>
      <c r="HO383" t="s">
        <v>3</v>
      </c>
      <c r="HP383" t="s">
        <v>3</v>
      </c>
      <c r="HQ383" t="s">
        <v>3</v>
      </c>
      <c r="IK383">
        <v>0</v>
      </c>
    </row>
    <row r="384" spans="1:255" x14ac:dyDescent="0.2">
      <c r="A384" s="2">
        <v>17</v>
      </c>
      <c r="B384" s="2">
        <v>1</v>
      </c>
      <c r="C384" s="2">
        <f>ROW(SmtRes!A413)</f>
        <v>413</v>
      </c>
      <c r="D384" s="2">
        <f>ROW(EtalonRes!A415)</f>
        <v>415</v>
      </c>
      <c r="E384" s="2" t="s">
        <v>483</v>
      </c>
      <c r="F384" s="2" t="s">
        <v>484</v>
      </c>
      <c r="G384" s="2" t="s">
        <v>485</v>
      </c>
      <c r="H384" s="2" t="s">
        <v>114</v>
      </c>
      <c r="I384" s="2">
        <v>39.771500000000003</v>
      </c>
      <c r="J384" s="2">
        <v>0</v>
      </c>
      <c r="K384" s="2">
        <v>39.771500000000003</v>
      </c>
      <c r="L384" s="2"/>
      <c r="M384" s="2"/>
      <c r="N384" s="2"/>
      <c r="O384" s="2">
        <f t="shared" si="329"/>
        <v>1518.08</v>
      </c>
      <c r="P384" s="2">
        <f t="shared" si="330"/>
        <v>0</v>
      </c>
      <c r="Q384" s="2">
        <f t="shared" si="331"/>
        <v>1518.08</v>
      </c>
      <c r="R384" s="2">
        <f t="shared" si="332"/>
        <v>0</v>
      </c>
      <c r="S384" s="2">
        <f t="shared" si="333"/>
        <v>0</v>
      </c>
      <c r="T384" s="2">
        <f t="shared" si="334"/>
        <v>0</v>
      </c>
      <c r="U384" s="2">
        <f t="shared" si="335"/>
        <v>0</v>
      </c>
      <c r="V384" s="2">
        <f t="shared" si="336"/>
        <v>0</v>
      </c>
      <c r="W384" s="2">
        <f t="shared" si="337"/>
        <v>0</v>
      </c>
      <c r="X384" s="2">
        <f t="shared" si="338"/>
        <v>0</v>
      </c>
      <c r="Y384" s="2">
        <f t="shared" si="338"/>
        <v>0</v>
      </c>
      <c r="Z384" s="2"/>
      <c r="AA384" s="2">
        <v>129761636</v>
      </c>
      <c r="AB384" s="2">
        <f t="shared" si="339"/>
        <v>38.17</v>
      </c>
      <c r="AC384" s="2">
        <f t="shared" si="340"/>
        <v>0</v>
      </c>
      <c r="AD384" s="2">
        <f t="shared" si="341"/>
        <v>38.17</v>
      </c>
      <c r="AE384" s="2">
        <f t="shared" si="342"/>
        <v>0</v>
      </c>
      <c r="AF384" s="2">
        <f t="shared" si="342"/>
        <v>0</v>
      </c>
      <c r="AG384" s="2">
        <f t="shared" si="343"/>
        <v>0</v>
      </c>
      <c r="AH384" s="2">
        <f t="shared" si="344"/>
        <v>0</v>
      </c>
      <c r="AI384" s="2">
        <f t="shared" si="344"/>
        <v>0</v>
      </c>
      <c r="AJ384" s="2">
        <f t="shared" si="345"/>
        <v>0</v>
      </c>
      <c r="AK384" s="2">
        <v>38.17</v>
      </c>
      <c r="AL384" s="2">
        <v>0</v>
      </c>
      <c r="AM384" s="2">
        <v>38.17</v>
      </c>
      <c r="AN384" s="2">
        <v>0</v>
      </c>
      <c r="AO384" s="2">
        <v>0</v>
      </c>
      <c r="AP384" s="2">
        <v>0</v>
      </c>
      <c r="AQ384" s="2">
        <v>0</v>
      </c>
      <c r="AR384" s="2">
        <v>0</v>
      </c>
      <c r="AS384" s="2">
        <v>0</v>
      </c>
      <c r="AT384" s="2">
        <v>0</v>
      </c>
      <c r="AU384" s="2">
        <v>0</v>
      </c>
      <c r="AV384" s="2">
        <v>1</v>
      </c>
      <c r="AW384" s="2">
        <v>1</v>
      </c>
      <c r="AX384" s="2"/>
      <c r="AY384" s="2"/>
      <c r="AZ384" s="2">
        <v>1</v>
      </c>
      <c r="BA384" s="2">
        <v>1</v>
      </c>
      <c r="BB384" s="2">
        <v>1</v>
      </c>
      <c r="BC384" s="2">
        <v>1</v>
      </c>
      <c r="BD384" s="2" t="s">
        <v>3</v>
      </c>
      <c r="BE384" s="2" t="s">
        <v>3</v>
      </c>
      <c r="BF384" s="2" t="s">
        <v>3</v>
      </c>
      <c r="BG384" s="2" t="s">
        <v>3</v>
      </c>
      <c r="BH384" s="2">
        <v>0</v>
      </c>
      <c r="BI384" s="2">
        <v>4</v>
      </c>
      <c r="BJ384" s="2" t="s">
        <v>486</v>
      </c>
      <c r="BK384" s="2"/>
      <c r="BL384" s="2"/>
      <c r="BM384" s="2">
        <v>1113</v>
      </c>
      <c r="BN384" s="2">
        <v>0</v>
      </c>
      <c r="BO384" s="2" t="s">
        <v>3</v>
      </c>
      <c r="BP384" s="2">
        <v>0</v>
      </c>
      <c r="BQ384" s="2">
        <v>150</v>
      </c>
      <c r="BR384" s="2">
        <v>0</v>
      </c>
      <c r="BS384" s="2">
        <v>1</v>
      </c>
      <c r="BT384" s="2">
        <v>1</v>
      </c>
      <c r="BU384" s="2">
        <v>1</v>
      </c>
      <c r="BV384" s="2">
        <v>1</v>
      </c>
      <c r="BW384" s="2">
        <v>1</v>
      </c>
      <c r="BX384" s="2">
        <v>1</v>
      </c>
      <c r="BY384" s="2" t="s">
        <v>3</v>
      </c>
      <c r="BZ384" s="2">
        <v>0</v>
      </c>
      <c r="CA384" s="2">
        <v>0</v>
      </c>
      <c r="CB384" s="2" t="s">
        <v>3</v>
      </c>
      <c r="CC384" s="2"/>
      <c r="CD384" s="2"/>
      <c r="CE384" s="2">
        <v>30</v>
      </c>
      <c r="CF384" s="2">
        <v>0</v>
      </c>
      <c r="CG384" s="2">
        <v>0</v>
      </c>
      <c r="CH384" s="2"/>
      <c r="CI384" s="2"/>
      <c r="CJ384" s="2"/>
      <c r="CK384" s="2"/>
      <c r="CL384" s="2"/>
      <c r="CM384" s="2">
        <v>0</v>
      </c>
      <c r="CN384" s="2" t="s">
        <v>3</v>
      </c>
      <c r="CO384" s="2">
        <v>0</v>
      </c>
      <c r="CP384" s="2">
        <f t="shared" si="346"/>
        <v>1518.08</v>
      </c>
      <c r="CQ384" s="2">
        <f t="shared" si="347"/>
        <v>0</v>
      </c>
      <c r="CR384" s="2">
        <f t="shared" si="348"/>
        <v>38.17</v>
      </c>
      <c r="CS384" s="2">
        <f t="shared" si="349"/>
        <v>0</v>
      </c>
      <c r="CT384" s="2">
        <f t="shared" si="350"/>
        <v>0</v>
      </c>
      <c r="CU384" s="2">
        <f t="shared" si="351"/>
        <v>0</v>
      </c>
      <c r="CV384" s="2">
        <f t="shared" si="352"/>
        <v>0</v>
      </c>
      <c r="CW384" s="2">
        <f t="shared" si="353"/>
        <v>0</v>
      </c>
      <c r="CX384" s="2">
        <f t="shared" si="353"/>
        <v>0</v>
      </c>
      <c r="CY384" s="2">
        <f>((S384*BZ384)/100)</f>
        <v>0</v>
      </c>
      <c r="CZ384" s="2">
        <f>((S384*CA384)/100)</f>
        <v>0</v>
      </c>
      <c r="DA384" s="2"/>
      <c r="DB384" s="2"/>
      <c r="DC384" s="2" t="s">
        <v>3</v>
      </c>
      <c r="DD384" s="2" t="s">
        <v>3</v>
      </c>
      <c r="DE384" s="2" t="s">
        <v>3</v>
      </c>
      <c r="DF384" s="2" t="s">
        <v>3</v>
      </c>
      <c r="DG384" s="2" t="s">
        <v>3</v>
      </c>
      <c r="DH384" s="2" t="s">
        <v>3</v>
      </c>
      <c r="DI384" s="2" t="s">
        <v>3</v>
      </c>
      <c r="DJ384" s="2" t="s">
        <v>3</v>
      </c>
      <c r="DK384" s="2" t="s">
        <v>3</v>
      </c>
      <c r="DL384" s="2" t="s">
        <v>3</v>
      </c>
      <c r="DM384" s="2" t="s">
        <v>3</v>
      </c>
      <c r="DN384" s="2">
        <v>0</v>
      </c>
      <c r="DO384" s="2">
        <v>0</v>
      </c>
      <c r="DP384" s="2">
        <v>1</v>
      </c>
      <c r="DQ384" s="2">
        <v>1</v>
      </c>
      <c r="DR384" s="2"/>
      <c r="DS384" s="2"/>
      <c r="DT384" s="2"/>
      <c r="DU384" s="2">
        <v>1009</v>
      </c>
      <c r="DV384" s="2" t="s">
        <v>114</v>
      </c>
      <c r="DW384" s="2" t="s">
        <v>114</v>
      </c>
      <c r="DX384" s="2">
        <v>1000</v>
      </c>
      <c r="DY384" s="2"/>
      <c r="DZ384" s="2" t="s">
        <v>3</v>
      </c>
      <c r="EA384" s="2" t="s">
        <v>3</v>
      </c>
      <c r="EB384" s="2" t="s">
        <v>3</v>
      </c>
      <c r="EC384" s="2" t="s">
        <v>3</v>
      </c>
      <c r="ED384" s="2"/>
      <c r="EE384" s="2">
        <v>126052574</v>
      </c>
      <c r="EF384" s="2">
        <v>150</v>
      </c>
      <c r="EG384" s="2" t="s">
        <v>487</v>
      </c>
      <c r="EH384" s="2">
        <v>0</v>
      </c>
      <c r="EI384" s="2" t="s">
        <v>3</v>
      </c>
      <c r="EJ384" s="2">
        <v>4</v>
      </c>
      <c r="EK384" s="2">
        <v>1113</v>
      </c>
      <c r="EL384" s="2" t="s">
        <v>488</v>
      </c>
      <c r="EM384" s="2" t="s">
        <v>489</v>
      </c>
      <c r="EN384" s="2"/>
      <c r="EO384" s="2" t="s">
        <v>3</v>
      </c>
      <c r="EP384" s="2"/>
      <c r="EQ384" s="2">
        <v>131072</v>
      </c>
      <c r="ER384" s="2">
        <v>38.17</v>
      </c>
      <c r="ES384" s="2">
        <v>0</v>
      </c>
      <c r="ET384" s="2">
        <v>38.17</v>
      </c>
      <c r="EU384" s="2">
        <v>0</v>
      </c>
      <c r="EV384" s="2">
        <v>0</v>
      </c>
      <c r="EW384" s="2">
        <v>0</v>
      </c>
      <c r="EX384" s="2">
        <v>0</v>
      </c>
      <c r="EY384" s="2">
        <v>0</v>
      </c>
      <c r="EZ384" s="2"/>
      <c r="FA384" s="2"/>
      <c r="FB384" s="2"/>
      <c r="FC384" s="2"/>
      <c r="FD384" s="2"/>
      <c r="FE384" s="2"/>
      <c r="FF384" s="2"/>
      <c r="FG384" s="2"/>
      <c r="FH384" s="2"/>
      <c r="FI384" s="2"/>
      <c r="FJ384" s="2"/>
      <c r="FK384" s="2"/>
      <c r="FL384" s="2"/>
      <c r="FM384" s="2"/>
      <c r="FN384" s="2"/>
      <c r="FO384" s="2"/>
      <c r="FP384" s="2"/>
      <c r="FQ384" s="2">
        <v>0</v>
      </c>
      <c r="FR384" s="2">
        <f t="shared" si="354"/>
        <v>0</v>
      </c>
      <c r="FS384" s="2">
        <v>0</v>
      </c>
      <c r="FT384" s="2"/>
      <c r="FU384" s="2"/>
      <c r="FV384" s="2"/>
      <c r="FW384" s="2"/>
      <c r="FX384" s="2">
        <v>0</v>
      </c>
      <c r="FY384" s="2">
        <v>0</v>
      </c>
      <c r="FZ384" s="2"/>
      <c r="GA384" s="2" t="s">
        <v>3</v>
      </c>
      <c r="GB384" s="2"/>
      <c r="GC384" s="2"/>
      <c r="GD384" s="2">
        <v>1</v>
      </c>
      <c r="GE384" s="2"/>
      <c r="GF384" s="2">
        <v>1906874950</v>
      </c>
      <c r="GG384" s="2">
        <v>2</v>
      </c>
      <c r="GH384" s="2">
        <v>1</v>
      </c>
      <c r="GI384" s="2">
        <v>-2</v>
      </c>
      <c r="GJ384" s="2">
        <v>0</v>
      </c>
      <c r="GK384" s="2">
        <v>0</v>
      </c>
      <c r="GL384" s="2">
        <f t="shared" si="355"/>
        <v>0</v>
      </c>
      <c r="GM384" s="2">
        <f>ROUND(O384+X384+Y384,2)+GX384</f>
        <v>1518.08</v>
      </c>
      <c r="GN384" s="2">
        <f>IF(OR(BI384=0,BI384=1),ROUND(O384+X384+Y384,2),0)</f>
        <v>0</v>
      </c>
      <c r="GO384" s="2">
        <f>IF(BI384=2,ROUND(O384+X384+Y384,2),0)</f>
        <v>0</v>
      </c>
      <c r="GP384" s="2">
        <f>IF(BI384=4,ROUND(O384+X384+Y384,2)+GX384,0)</f>
        <v>1518.08</v>
      </c>
      <c r="GQ384" s="2"/>
      <c r="GR384" s="2">
        <v>0</v>
      </c>
      <c r="GS384" s="2">
        <v>3</v>
      </c>
      <c r="GT384" s="2">
        <v>0</v>
      </c>
      <c r="GU384" s="2" t="s">
        <v>3</v>
      </c>
      <c r="GV384" s="2">
        <f t="shared" si="356"/>
        <v>0</v>
      </c>
      <c r="GW384" s="2">
        <v>1</v>
      </c>
      <c r="GX384" s="2">
        <f t="shared" si="357"/>
        <v>0</v>
      </c>
      <c r="GY384" s="2"/>
      <c r="GZ384" s="2"/>
      <c r="HA384" s="2">
        <v>0</v>
      </c>
      <c r="HB384" s="2">
        <v>0</v>
      </c>
      <c r="HC384" s="2">
        <f t="shared" si="358"/>
        <v>0</v>
      </c>
      <c r="HD384" s="2"/>
      <c r="HE384" s="2" t="s">
        <v>3</v>
      </c>
      <c r="HF384" s="2" t="s">
        <v>3</v>
      </c>
      <c r="HG384" s="2"/>
      <c r="HH384" s="2"/>
      <c r="HI384" s="2"/>
      <c r="HJ384" s="2"/>
      <c r="HK384" s="2"/>
      <c r="HL384" s="2"/>
      <c r="HM384" s="2" t="s">
        <v>3</v>
      </c>
      <c r="HN384" s="2" t="s">
        <v>3</v>
      </c>
      <c r="HO384" s="2" t="s">
        <v>3</v>
      </c>
      <c r="HP384" s="2" t="s">
        <v>3</v>
      </c>
      <c r="HQ384" s="2" t="s">
        <v>3</v>
      </c>
      <c r="HR384" s="2"/>
      <c r="HS384" s="2"/>
      <c r="HT384" s="2"/>
      <c r="HU384" s="2"/>
      <c r="HV384" s="2"/>
      <c r="HW384" s="2"/>
      <c r="HX384" s="2"/>
      <c r="HY384" s="2"/>
      <c r="HZ384" s="2"/>
      <c r="IA384" s="2"/>
      <c r="IB384" s="2"/>
      <c r="IC384" s="2"/>
      <c r="ID384" s="2"/>
      <c r="IE384" s="2"/>
      <c r="IF384" s="2"/>
      <c r="IG384" s="2"/>
      <c r="IH384" s="2"/>
      <c r="II384" s="2"/>
      <c r="IJ384" s="2"/>
      <c r="IK384" s="2">
        <v>0</v>
      </c>
      <c r="IL384" s="2"/>
      <c r="IM384" s="2"/>
      <c r="IN384" s="2"/>
      <c r="IO384" s="2"/>
      <c r="IP384" s="2"/>
      <c r="IQ384" s="2"/>
      <c r="IR384" s="2"/>
      <c r="IS384" s="2"/>
      <c r="IT384" s="2"/>
      <c r="IU384" s="2"/>
    </row>
    <row r="385" spans="1:255" x14ac:dyDescent="0.2">
      <c r="A385">
        <v>17</v>
      </c>
      <c r="B385">
        <v>1</v>
      </c>
      <c r="C385">
        <f>ROW(SmtRes!A414)</f>
        <v>414</v>
      </c>
      <c r="D385">
        <f>ROW(EtalonRes!A416)</f>
        <v>416</v>
      </c>
      <c r="E385" t="s">
        <v>483</v>
      </c>
      <c r="F385" t="s">
        <v>484</v>
      </c>
      <c r="G385" t="s">
        <v>485</v>
      </c>
      <c r="H385" t="s">
        <v>114</v>
      </c>
      <c r="I385">
        <v>39.771500000000003</v>
      </c>
      <c r="J385">
        <v>0</v>
      </c>
      <c r="K385">
        <v>39.771500000000003</v>
      </c>
      <c r="O385">
        <f t="shared" si="329"/>
        <v>20888.78</v>
      </c>
      <c r="P385">
        <f t="shared" si="330"/>
        <v>0</v>
      </c>
      <c r="Q385">
        <f t="shared" si="331"/>
        <v>20888.78</v>
      </c>
      <c r="R385">
        <f t="shared" si="332"/>
        <v>0</v>
      </c>
      <c r="S385">
        <f t="shared" si="333"/>
        <v>0</v>
      </c>
      <c r="T385">
        <f t="shared" si="334"/>
        <v>0</v>
      </c>
      <c r="U385">
        <f t="shared" si="335"/>
        <v>0</v>
      </c>
      <c r="V385">
        <f t="shared" si="336"/>
        <v>0</v>
      </c>
      <c r="W385">
        <f t="shared" si="337"/>
        <v>0</v>
      </c>
      <c r="X385">
        <f t="shared" si="338"/>
        <v>0</v>
      </c>
      <c r="Y385">
        <f t="shared" si="338"/>
        <v>0</v>
      </c>
      <c r="AA385">
        <v>129761633</v>
      </c>
      <c r="AB385">
        <f t="shared" si="339"/>
        <v>38.17</v>
      </c>
      <c r="AC385">
        <f t="shared" si="340"/>
        <v>0</v>
      </c>
      <c r="AD385">
        <f t="shared" si="341"/>
        <v>38.17</v>
      </c>
      <c r="AE385">
        <f t="shared" si="342"/>
        <v>0</v>
      </c>
      <c r="AF385">
        <f t="shared" si="342"/>
        <v>0</v>
      </c>
      <c r="AG385">
        <f t="shared" si="343"/>
        <v>0</v>
      </c>
      <c r="AH385">
        <f t="shared" si="344"/>
        <v>0</v>
      </c>
      <c r="AI385">
        <f t="shared" si="344"/>
        <v>0</v>
      </c>
      <c r="AJ385">
        <f t="shared" si="345"/>
        <v>0</v>
      </c>
      <c r="AK385">
        <v>38.17</v>
      </c>
      <c r="AL385">
        <v>0</v>
      </c>
      <c r="AM385">
        <v>38.17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95</v>
      </c>
      <c r="AU385">
        <v>65</v>
      </c>
      <c r="AV385">
        <v>1</v>
      </c>
      <c r="AW385">
        <v>1</v>
      </c>
      <c r="AZ385">
        <v>1</v>
      </c>
      <c r="BA385">
        <v>1</v>
      </c>
      <c r="BB385">
        <v>13.76</v>
      </c>
      <c r="BC385">
        <v>1</v>
      </c>
      <c r="BD385" t="s">
        <v>3</v>
      </c>
      <c r="BE385" t="s">
        <v>3</v>
      </c>
      <c r="BF385" t="s">
        <v>3</v>
      </c>
      <c r="BG385" t="s">
        <v>3</v>
      </c>
      <c r="BH385">
        <v>0</v>
      </c>
      <c r="BI385">
        <v>4</v>
      </c>
      <c r="BJ385" t="s">
        <v>486</v>
      </c>
      <c r="BM385">
        <v>1113</v>
      </c>
      <c r="BN385">
        <v>0</v>
      </c>
      <c r="BO385" t="s">
        <v>484</v>
      </c>
      <c r="BP385">
        <v>1</v>
      </c>
      <c r="BQ385">
        <v>150</v>
      </c>
      <c r="BR385">
        <v>0</v>
      </c>
      <c r="BS385">
        <v>1</v>
      </c>
      <c r="BT385">
        <v>1</v>
      </c>
      <c r="BU385">
        <v>1</v>
      </c>
      <c r="BV385">
        <v>1</v>
      </c>
      <c r="BW385">
        <v>1</v>
      </c>
      <c r="BX385">
        <v>1</v>
      </c>
      <c r="BY385" t="s">
        <v>3</v>
      </c>
      <c r="BZ385">
        <v>95</v>
      </c>
      <c r="CA385">
        <v>65</v>
      </c>
      <c r="CB385" t="s">
        <v>3</v>
      </c>
      <c r="CE385">
        <v>30</v>
      </c>
      <c r="CF385">
        <v>0</v>
      </c>
      <c r="CG385">
        <v>0</v>
      </c>
      <c r="CM385">
        <v>0</v>
      </c>
      <c r="CN385" t="s">
        <v>3</v>
      </c>
      <c r="CO385">
        <v>0</v>
      </c>
      <c r="CP385">
        <f t="shared" si="346"/>
        <v>20888.78</v>
      </c>
      <c r="CQ385">
        <f t="shared" si="347"/>
        <v>0</v>
      </c>
      <c r="CR385">
        <f t="shared" si="348"/>
        <v>525.22</v>
      </c>
      <c r="CS385">
        <f t="shared" si="349"/>
        <v>0</v>
      </c>
      <c r="CT385">
        <f t="shared" si="350"/>
        <v>0</v>
      </c>
      <c r="CU385">
        <f t="shared" si="351"/>
        <v>0</v>
      </c>
      <c r="CV385">
        <f t="shared" si="352"/>
        <v>0</v>
      </c>
      <c r="CW385">
        <f t="shared" si="353"/>
        <v>0</v>
      </c>
      <c r="CX385">
        <f t="shared" si="353"/>
        <v>0</v>
      </c>
      <c r="CY385">
        <f>S385*(BZ385/100)</f>
        <v>0</v>
      </c>
      <c r="CZ385">
        <f>S385*(CA385/100)</f>
        <v>0</v>
      </c>
      <c r="DC385" t="s">
        <v>3</v>
      </c>
      <c r="DD385" t="s">
        <v>3</v>
      </c>
      <c r="DE385" t="s">
        <v>3</v>
      </c>
      <c r="DF385" t="s">
        <v>3</v>
      </c>
      <c r="DG385" t="s">
        <v>3</v>
      </c>
      <c r="DH385" t="s">
        <v>3</v>
      </c>
      <c r="DI385" t="s">
        <v>3</v>
      </c>
      <c r="DJ385" t="s">
        <v>3</v>
      </c>
      <c r="DK385" t="s">
        <v>3</v>
      </c>
      <c r="DL385" t="s">
        <v>3</v>
      </c>
      <c r="DM385" t="s">
        <v>3</v>
      </c>
      <c r="DN385">
        <v>0</v>
      </c>
      <c r="DO385">
        <v>0</v>
      </c>
      <c r="DP385">
        <v>1</v>
      </c>
      <c r="DQ385">
        <v>1</v>
      </c>
      <c r="DU385">
        <v>1009</v>
      </c>
      <c r="DV385" t="s">
        <v>114</v>
      </c>
      <c r="DW385" t="s">
        <v>114</v>
      </c>
      <c r="DX385">
        <v>1000</v>
      </c>
      <c r="DZ385" t="s">
        <v>3</v>
      </c>
      <c r="EA385" t="s">
        <v>3</v>
      </c>
      <c r="EB385" t="s">
        <v>3</v>
      </c>
      <c r="EC385" t="s">
        <v>3</v>
      </c>
      <c r="EE385">
        <v>126052574</v>
      </c>
      <c r="EF385">
        <v>150</v>
      </c>
      <c r="EG385" t="s">
        <v>487</v>
      </c>
      <c r="EH385">
        <v>0</v>
      </c>
      <c r="EI385" t="s">
        <v>3</v>
      </c>
      <c r="EJ385">
        <v>4</v>
      </c>
      <c r="EK385">
        <v>1113</v>
      </c>
      <c r="EL385" t="s">
        <v>488</v>
      </c>
      <c r="EM385" t="s">
        <v>489</v>
      </c>
      <c r="EO385" t="s">
        <v>3</v>
      </c>
      <c r="EQ385">
        <v>131072</v>
      </c>
      <c r="ER385">
        <v>38.17</v>
      </c>
      <c r="ES385">
        <v>0</v>
      </c>
      <c r="ET385">
        <v>38.17</v>
      </c>
      <c r="EU385">
        <v>0</v>
      </c>
      <c r="EV385">
        <v>0</v>
      </c>
      <c r="EW385">
        <v>0</v>
      </c>
      <c r="EX385">
        <v>0</v>
      </c>
      <c r="EY385">
        <v>0</v>
      </c>
      <c r="FQ385">
        <v>0</v>
      </c>
      <c r="FR385">
        <f t="shared" si="354"/>
        <v>0</v>
      </c>
      <c r="FS385">
        <v>0</v>
      </c>
      <c r="FX385">
        <v>0</v>
      </c>
      <c r="FY385">
        <v>0</v>
      </c>
      <c r="GA385" t="s">
        <v>3</v>
      </c>
      <c r="GD385">
        <v>0</v>
      </c>
      <c r="GF385">
        <v>1906874950</v>
      </c>
      <c r="GG385">
        <v>2</v>
      </c>
      <c r="GH385">
        <v>1</v>
      </c>
      <c r="GI385">
        <v>2</v>
      </c>
      <c r="GJ385">
        <v>0</v>
      </c>
      <c r="GK385">
        <f>ROUND(R385*(S12)/100,2)</f>
        <v>0</v>
      </c>
      <c r="GL385">
        <f t="shared" si="355"/>
        <v>0</v>
      </c>
      <c r="GM385">
        <f>ROUND(O385+X385+Y385+GK385,2)+GX385</f>
        <v>20888.78</v>
      </c>
      <c r="GN385">
        <f>IF(OR(BI385=0,BI385=1),ROUND(O385+X385+Y385+GK385,2),0)</f>
        <v>0</v>
      </c>
      <c r="GO385">
        <f>IF(BI385=2,ROUND(O385+X385+Y385+GK385,2),0)</f>
        <v>0</v>
      </c>
      <c r="GP385">
        <f>IF(BI385=4,ROUND(O385+X385+Y385+GK385,2)+GX385,0)</f>
        <v>20888.78</v>
      </c>
      <c r="GR385">
        <v>0</v>
      </c>
      <c r="GS385">
        <v>3</v>
      </c>
      <c r="GT385">
        <v>0</v>
      </c>
      <c r="GU385" t="s">
        <v>3</v>
      </c>
      <c r="GV385">
        <f t="shared" si="356"/>
        <v>0</v>
      </c>
      <c r="GW385">
        <v>1</v>
      </c>
      <c r="GX385">
        <f t="shared" si="357"/>
        <v>0</v>
      </c>
      <c r="HA385">
        <v>0</v>
      </c>
      <c r="HB385">
        <v>0</v>
      </c>
      <c r="HC385">
        <f t="shared" si="358"/>
        <v>0</v>
      </c>
      <c r="HE385" t="s">
        <v>3</v>
      </c>
      <c r="HF385" t="s">
        <v>3</v>
      </c>
      <c r="HM385" t="s">
        <v>3</v>
      </c>
      <c r="HN385" t="s">
        <v>3</v>
      </c>
      <c r="HO385" t="s">
        <v>3</v>
      </c>
      <c r="HP385" t="s">
        <v>3</v>
      </c>
      <c r="HQ385" t="s">
        <v>3</v>
      </c>
      <c r="IK385">
        <v>0</v>
      </c>
    </row>
    <row r="386" spans="1:255" x14ac:dyDescent="0.2">
      <c r="A386" s="2">
        <v>17</v>
      </c>
      <c r="B386" s="2">
        <v>1</v>
      </c>
      <c r="C386" s="2">
        <f>ROW(SmtRes!A415)</f>
        <v>415</v>
      </c>
      <c r="D386" s="2">
        <f>ROW(EtalonRes!A417)</f>
        <v>417</v>
      </c>
      <c r="E386" s="2" t="s">
        <v>490</v>
      </c>
      <c r="F386" s="2" t="s">
        <v>491</v>
      </c>
      <c r="G386" s="2" t="s">
        <v>492</v>
      </c>
      <c r="H386" s="2" t="s">
        <v>179</v>
      </c>
      <c r="I386" s="2">
        <v>1.1813</v>
      </c>
      <c r="J386" s="2">
        <v>0</v>
      </c>
      <c r="K386" s="2">
        <v>1.1813</v>
      </c>
      <c r="L386" s="2"/>
      <c r="M386" s="2"/>
      <c r="N386" s="2"/>
      <c r="O386" s="2">
        <f t="shared" si="329"/>
        <v>37.409999999999997</v>
      </c>
      <c r="P386" s="2">
        <f t="shared" si="330"/>
        <v>0</v>
      </c>
      <c r="Q386" s="2">
        <f t="shared" si="331"/>
        <v>37.409999999999997</v>
      </c>
      <c r="R386" s="2">
        <f t="shared" si="332"/>
        <v>0</v>
      </c>
      <c r="S386" s="2">
        <f t="shared" si="333"/>
        <v>0</v>
      </c>
      <c r="T386" s="2">
        <f t="shared" si="334"/>
        <v>0</v>
      </c>
      <c r="U386" s="2">
        <f t="shared" si="335"/>
        <v>0</v>
      </c>
      <c r="V386" s="2">
        <f t="shared" si="336"/>
        <v>0</v>
      </c>
      <c r="W386" s="2">
        <f t="shared" si="337"/>
        <v>0</v>
      </c>
      <c r="X386" s="2">
        <f t="shared" si="338"/>
        <v>0</v>
      </c>
      <c r="Y386" s="2">
        <f t="shared" si="338"/>
        <v>0</v>
      </c>
      <c r="Z386" s="2"/>
      <c r="AA386" s="2">
        <v>129761636</v>
      </c>
      <c r="AB386" s="2">
        <f t="shared" si="339"/>
        <v>31.67</v>
      </c>
      <c r="AC386" s="2">
        <f t="shared" si="340"/>
        <v>0</v>
      </c>
      <c r="AD386" s="2">
        <f t="shared" si="341"/>
        <v>31.67</v>
      </c>
      <c r="AE386" s="2">
        <f t="shared" si="342"/>
        <v>0</v>
      </c>
      <c r="AF386" s="2">
        <f t="shared" si="342"/>
        <v>0</v>
      </c>
      <c r="AG386" s="2">
        <f t="shared" si="343"/>
        <v>0</v>
      </c>
      <c r="AH386" s="2">
        <f t="shared" si="344"/>
        <v>0</v>
      </c>
      <c r="AI386" s="2">
        <f t="shared" si="344"/>
        <v>0</v>
      </c>
      <c r="AJ386" s="2">
        <f t="shared" si="345"/>
        <v>0</v>
      </c>
      <c r="AK386" s="2">
        <v>31.67</v>
      </c>
      <c r="AL386" s="2">
        <v>0</v>
      </c>
      <c r="AM386" s="2">
        <v>31.67</v>
      </c>
      <c r="AN386" s="2">
        <v>0</v>
      </c>
      <c r="AO386" s="2">
        <v>0</v>
      </c>
      <c r="AP386" s="2">
        <v>0</v>
      </c>
      <c r="AQ386" s="2">
        <v>0</v>
      </c>
      <c r="AR386" s="2">
        <v>0</v>
      </c>
      <c r="AS386" s="2">
        <v>0</v>
      </c>
      <c r="AT386" s="2">
        <v>0</v>
      </c>
      <c r="AU386" s="2">
        <v>0</v>
      </c>
      <c r="AV386" s="2">
        <v>1</v>
      </c>
      <c r="AW386" s="2">
        <v>1</v>
      </c>
      <c r="AX386" s="2"/>
      <c r="AY386" s="2"/>
      <c r="AZ386" s="2">
        <v>1</v>
      </c>
      <c r="BA386" s="2">
        <v>1</v>
      </c>
      <c r="BB386" s="2">
        <v>1</v>
      </c>
      <c r="BC386" s="2">
        <v>1</v>
      </c>
      <c r="BD386" s="2" t="s">
        <v>3</v>
      </c>
      <c r="BE386" s="2" t="s">
        <v>3</v>
      </c>
      <c r="BF386" s="2" t="s">
        <v>3</v>
      </c>
      <c r="BG386" s="2" t="s">
        <v>3</v>
      </c>
      <c r="BH386" s="2">
        <v>0</v>
      </c>
      <c r="BI386" s="2">
        <v>4</v>
      </c>
      <c r="BJ386" s="2" t="s">
        <v>493</v>
      </c>
      <c r="BK386" s="2"/>
      <c r="BL386" s="2"/>
      <c r="BM386" s="2">
        <v>1113</v>
      </c>
      <c r="BN386" s="2">
        <v>0</v>
      </c>
      <c r="BO386" s="2" t="s">
        <v>3</v>
      </c>
      <c r="BP386" s="2">
        <v>0</v>
      </c>
      <c r="BQ386" s="2">
        <v>150</v>
      </c>
      <c r="BR386" s="2">
        <v>0</v>
      </c>
      <c r="BS386" s="2">
        <v>1</v>
      </c>
      <c r="BT386" s="2">
        <v>1</v>
      </c>
      <c r="BU386" s="2">
        <v>1</v>
      </c>
      <c r="BV386" s="2">
        <v>1</v>
      </c>
      <c r="BW386" s="2">
        <v>1</v>
      </c>
      <c r="BX386" s="2">
        <v>1</v>
      </c>
      <c r="BY386" s="2" t="s">
        <v>3</v>
      </c>
      <c r="BZ386" s="2">
        <v>0</v>
      </c>
      <c r="CA386" s="2">
        <v>0</v>
      </c>
      <c r="CB386" s="2" t="s">
        <v>3</v>
      </c>
      <c r="CC386" s="2"/>
      <c r="CD386" s="2"/>
      <c r="CE386" s="2">
        <v>30</v>
      </c>
      <c r="CF386" s="2">
        <v>0</v>
      </c>
      <c r="CG386" s="2">
        <v>0</v>
      </c>
      <c r="CH386" s="2"/>
      <c r="CI386" s="2"/>
      <c r="CJ386" s="2"/>
      <c r="CK386" s="2"/>
      <c r="CL386" s="2"/>
      <c r="CM386" s="2">
        <v>0</v>
      </c>
      <c r="CN386" s="2" t="s">
        <v>3</v>
      </c>
      <c r="CO386" s="2">
        <v>0</v>
      </c>
      <c r="CP386" s="2">
        <f t="shared" si="346"/>
        <v>37.409999999999997</v>
      </c>
      <c r="CQ386" s="2">
        <f t="shared" si="347"/>
        <v>0</v>
      </c>
      <c r="CR386" s="2">
        <f t="shared" si="348"/>
        <v>31.67</v>
      </c>
      <c r="CS386" s="2">
        <f t="shared" si="349"/>
        <v>0</v>
      </c>
      <c r="CT386" s="2">
        <f t="shared" si="350"/>
        <v>0</v>
      </c>
      <c r="CU386" s="2">
        <f t="shared" si="351"/>
        <v>0</v>
      </c>
      <c r="CV386" s="2">
        <f t="shared" si="352"/>
        <v>0</v>
      </c>
      <c r="CW386" s="2">
        <f t="shared" si="353"/>
        <v>0</v>
      </c>
      <c r="CX386" s="2">
        <f t="shared" si="353"/>
        <v>0</v>
      </c>
      <c r="CY386" s="2">
        <f>((S386*BZ386)/100)</f>
        <v>0</v>
      </c>
      <c r="CZ386" s="2">
        <f>((S386*CA386)/100)</f>
        <v>0</v>
      </c>
      <c r="DA386" s="2"/>
      <c r="DB386" s="2"/>
      <c r="DC386" s="2" t="s">
        <v>3</v>
      </c>
      <c r="DD386" s="2" t="s">
        <v>3</v>
      </c>
      <c r="DE386" s="2" t="s">
        <v>3</v>
      </c>
      <c r="DF386" s="2" t="s">
        <v>3</v>
      </c>
      <c r="DG386" s="2" t="s">
        <v>3</v>
      </c>
      <c r="DH386" s="2" t="s">
        <v>3</v>
      </c>
      <c r="DI386" s="2" t="s">
        <v>3</v>
      </c>
      <c r="DJ386" s="2" t="s">
        <v>3</v>
      </c>
      <c r="DK386" s="2" t="s">
        <v>3</v>
      </c>
      <c r="DL386" s="2" t="s">
        <v>3</v>
      </c>
      <c r="DM386" s="2" t="s">
        <v>3</v>
      </c>
      <c r="DN386" s="2">
        <v>0</v>
      </c>
      <c r="DO386" s="2">
        <v>0</v>
      </c>
      <c r="DP386" s="2">
        <v>1</v>
      </c>
      <c r="DQ386" s="2">
        <v>1</v>
      </c>
      <c r="DR386" s="2"/>
      <c r="DS386" s="2"/>
      <c r="DT386" s="2"/>
      <c r="DU386" s="2">
        <v>1013</v>
      </c>
      <c r="DV386" s="2" t="s">
        <v>179</v>
      </c>
      <c r="DW386" s="2" t="s">
        <v>179</v>
      </c>
      <c r="DX386" s="2">
        <v>1</v>
      </c>
      <c r="DY386" s="2"/>
      <c r="DZ386" s="2" t="s">
        <v>3</v>
      </c>
      <c r="EA386" s="2" t="s">
        <v>3</v>
      </c>
      <c r="EB386" s="2" t="s">
        <v>3</v>
      </c>
      <c r="EC386" s="2" t="s">
        <v>3</v>
      </c>
      <c r="ED386" s="2"/>
      <c r="EE386" s="2">
        <v>126052574</v>
      </c>
      <c r="EF386" s="2">
        <v>150</v>
      </c>
      <c r="EG386" s="2" t="s">
        <v>487</v>
      </c>
      <c r="EH386" s="2">
        <v>0</v>
      </c>
      <c r="EI386" s="2" t="s">
        <v>3</v>
      </c>
      <c r="EJ386" s="2">
        <v>4</v>
      </c>
      <c r="EK386" s="2">
        <v>1113</v>
      </c>
      <c r="EL386" s="2" t="s">
        <v>488</v>
      </c>
      <c r="EM386" s="2" t="s">
        <v>489</v>
      </c>
      <c r="EN386" s="2"/>
      <c r="EO386" s="2" t="s">
        <v>3</v>
      </c>
      <c r="EP386" s="2"/>
      <c r="EQ386" s="2">
        <v>131072</v>
      </c>
      <c r="ER386" s="2">
        <v>31.67</v>
      </c>
      <c r="ES386" s="2">
        <v>0</v>
      </c>
      <c r="ET386" s="2">
        <v>31.67</v>
      </c>
      <c r="EU386" s="2">
        <v>0</v>
      </c>
      <c r="EV386" s="2">
        <v>0</v>
      </c>
      <c r="EW386" s="2">
        <v>0</v>
      </c>
      <c r="EX386" s="2">
        <v>0</v>
      </c>
      <c r="EY386" s="2">
        <v>0</v>
      </c>
      <c r="EZ386" s="2"/>
      <c r="FA386" s="2"/>
      <c r="FB386" s="2"/>
      <c r="FC386" s="2"/>
      <c r="FD386" s="2"/>
      <c r="FE386" s="2"/>
      <c r="FF386" s="2"/>
      <c r="FG386" s="2"/>
      <c r="FH386" s="2"/>
      <c r="FI386" s="2"/>
      <c r="FJ386" s="2"/>
      <c r="FK386" s="2"/>
      <c r="FL386" s="2"/>
      <c r="FM386" s="2"/>
      <c r="FN386" s="2"/>
      <c r="FO386" s="2"/>
      <c r="FP386" s="2"/>
      <c r="FQ386" s="2">
        <v>0</v>
      </c>
      <c r="FR386" s="2">
        <f t="shared" si="354"/>
        <v>0</v>
      </c>
      <c r="FS386" s="2">
        <v>0</v>
      </c>
      <c r="FT386" s="2"/>
      <c r="FU386" s="2"/>
      <c r="FV386" s="2"/>
      <c r="FW386" s="2"/>
      <c r="FX386" s="2">
        <v>0</v>
      </c>
      <c r="FY386" s="2">
        <v>0</v>
      </c>
      <c r="FZ386" s="2"/>
      <c r="GA386" s="2" t="s">
        <v>3</v>
      </c>
      <c r="GB386" s="2"/>
      <c r="GC386" s="2"/>
      <c r="GD386" s="2">
        <v>1</v>
      </c>
      <c r="GE386" s="2"/>
      <c r="GF386" s="2">
        <v>-228259164</v>
      </c>
      <c r="GG386" s="2">
        <v>2</v>
      </c>
      <c r="GH386" s="2">
        <v>1</v>
      </c>
      <c r="GI386" s="2">
        <v>-2</v>
      </c>
      <c r="GJ386" s="2">
        <v>0</v>
      </c>
      <c r="GK386" s="2">
        <v>0</v>
      </c>
      <c r="GL386" s="2">
        <f t="shared" si="355"/>
        <v>0</v>
      </c>
      <c r="GM386" s="2">
        <f>ROUND(O386+X386+Y386,2)+GX386</f>
        <v>37.409999999999997</v>
      </c>
      <c r="GN386" s="2">
        <f>IF(OR(BI386=0,BI386=1),ROUND(O386+X386+Y386,2),0)</f>
        <v>0</v>
      </c>
      <c r="GO386" s="2">
        <f>IF(BI386=2,ROUND(O386+X386+Y386,2),0)</f>
        <v>0</v>
      </c>
      <c r="GP386" s="2">
        <f>IF(BI386=4,ROUND(O386+X386+Y386,2)+GX386,0)</f>
        <v>37.409999999999997</v>
      </c>
      <c r="GQ386" s="2"/>
      <c r="GR386" s="2">
        <v>0</v>
      </c>
      <c r="GS386" s="2">
        <v>0</v>
      </c>
      <c r="GT386" s="2">
        <v>0</v>
      </c>
      <c r="GU386" s="2" t="s">
        <v>3</v>
      </c>
      <c r="GV386" s="2">
        <f t="shared" si="356"/>
        <v>0</v>
      </c>
      <c r="GW386" s="2">
        <v>1</v>
      </c>
      <c r="GX386" s="2">
        <f t="shared" si="357"/>
        <v>0</v>
      </c>
      <c r="GY386" s="2"/>
      <c r="GZ386" s="2"/>
      <c r="HA386" s="2">
        <v>0</v>
      </c>
      <c r="HB386" s="2">
        <v>0</v>
      </c>
      <c r="HC386" s="2">
        <f t="shared" si="358"/>
        <v>0</v>
      </c>
      <c r="HD386" s="2"/>
      <c r="HE386" s="2" t="s">
        <v>3</v>
      </c>
      <c r="HF386" s="2" t="s">
        <v>3</v>
      </c>
      <c r="HG386" s="2"/>
      <c r="HH386" s="2"/>
      <c r="HI386" s="2"/>
      <c r="HJ386" s="2"/>
      <c r="HK386" s="2"/>
      <c r="HL386" s="2"/>
      <c r="HM386" s="2" t="s">
        <v>3</v>
      </c>
      <c r="HN386" s="2" t="s">
        <v>3</v>
      </c>
      <c r="HO386" s="2" t="s">
        <v>3</v>
      </c>
      <c r="HP386" s="2" t="s">
        <v>3</v>
      </c>
      <c r="HQ386" s="2" t="s">
        <v>3</v>
      </c>
      <c r="HR386" s="2"/>
      <c r="HS386" s="2"/>
      <c r="HT386" s="2"/>
      <c r="HU386" s="2"/>
      <c r="HV386" s="2"/>
      <c r="HW386" s="2"/>
      <c r="HX386" s="2"/>
      <c r="HY386" s="2"/>
      <c r="HZ386" s="2"/>
      <c r="IA386" s="2"/>
      <c r="IB386" s="2"/>
      <c r="IC386" s="2"/>
      <c r="ID386" s="2"/>
      <c r="IE386" s="2"/>
      <c r="IF386" s="2"/>
      <c r="IG386" s="2"/>
      <c r="IH386" s="2"/>
      <c r="II386" s="2"/>
      <c r="IJ386" s="2"/>
      <c r="IK386" s="2">
        <v>0</v>
      </c>
      <c r="IL386" s="2"/>
      <c r="IM386" s="2"/>
      <c r="IN386" s="2"/>
      <c r="IO386" s="2"/>
      <c r="IP386" s="2"/>
      <c r="IQ386" s="2"/>
      <c r="IR386" s="2"/>
      <c r="IS386" s="2"/>
      <c r="IT386" s="2"/>
      <c r="IU386" s="2"/>
    </row>
    <row r="387" spans="1:255" x14ac:dyDescent="0.2">
      <c r="A387">
        <v>17</v>
      </c>
      <c r="B387">
        <v>1</v>
      </c>
      <c r="C387">
        <f>ROW(SmtRes!A416)</f>
        <v>416</v>
      </c>
      <c r="D387">
        <f>ROW(EtalonRes!A418)</f>
        <v>418</v>
      </c>
      <c r="E387" t="s">
        <v>490</v>
      </c>
      <c r="F387" t="s">
        <v>491</v>
      </c>
      <c r="G387" t="s">
        <v>492</v>
      </c>
      <c r="H387" t="s">
        <v>179</v>
      </c>
      <c r="I387">
        <v>1.1813</v>
      </c>
      <c r="J387">
        <v>0</v>
      </c>
      <c r="K387">
        <v>1.1813</v>
      </c>
      <c r="O387">
        <f t="shared" si="329"/>
        <v>1622.47</v>
      </c>
      <c r="P387">
        <f t="shared" si="330"/>
        <v>0</v>
      </c>
      <c r="Q387">
        <f t="shared" si="331"/>
        <v>1622.47</v>
      </c>
      <c r="R387">
        <f t="shared" si="332"/>
        <v>0</v>
      </c>
      <c r="S387">
        <f t="shared" si="333"/>
        <v>0</v>
      </c>
      <c r="T387">
        <f t="shared" si="334"/>
        <v>0</v>
      </c>
      <c r="U387">
        <f t="shared" si="335"/>
        <v>0</v>
      </c>
      <c r="V387">
        <f t="shared" si="336"/>
        <v>0</v>
      </c>
      <c r="W387">
        <f t="shared" si="337"/>
        <v>0</v>
      </c>
      <c r="X387">
        <f t="shared" si="338"/>
        <v>0</v>
      </c>
      <c r="Y387">
        <f t="shared" si="338"/>
        <v>0</v>
      </c>
      <c r="AA387">
        <v>129761633</v>
      </c>
      <c r="AB387">
        <f t="shared" si="339"/>
        <v>31.67</v>
      </c>
      <c r="AC387">
        <f t="shared" si="340"/>
        <v>0</v>
      </c>
      <c r="AD387">
        <f t="shared" si="341"/>
        <v>31.67</v>
      </c>
      <c r="AE387">
        <f t="shared" si="342"/>
        <v>0</v>
      </c>
      <c r="AF387">
        <f t="shared" si="342"/>
        <v>0</v>
      </c>
      <c r="AG387">
        <f t="shared" si="343"/>
        <v>0</v>
      </c>
      <c r="AH387">
        <f t="shared" si="344"/>
        <v>0</v>
      </c>
      <c r="AI387">
        <f t="shared" si="344"/>
        <v>0</v>
      </c>
      <c r="AJ387">
        <f t="shared" si="345"/>
        <v>0</v>
      </c>
      <c r="AK387">
        <v>31.67</v>
      </c>
      <c r="AL387">
        <v>0</v>
      </c>
      <c r="AM387">
        <v>31.67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95</v>
      </c>
      <c r="AU387">
        <v>65</v>
      </c>
      <c r="AV387">
        <v>1</v>
      </c>
      <c r="AW387">
        <v>1</v>
      </c>
      <c r="AZ387">
        <v>1</v>
      </c>
      <c r="BA387">
        <v>1</v>
      </c>
      <c r="BB387">
        <v>43.37</v>
      </c>
      <c r="BC387">
        <v>1</v>
      </c>
      <c r="BD387" t="s">
        <v>3</v>
      </c>
      <c r="BE387" t="s">
        <v>3</v>
      </c>
      <c r="BF387" t="s">
        <v>3</v>
      </c>
      <c r="BG387" t="s">
        <v>3</v>
      </c>
      <c r="BH387">
        <v>0</v>
      </c>
      <c r="BI387">
        <v>4</v>
      </c>
      <c r="BJ387" t="s">
        <v>493</v>
      </c>
      <c r="BM387">
        <v>1113</v>
      </c>
      <c r="BN387">
        <v>0</v>
      </c>
      <c r="BO387" t="s">
        <v>491</v>
      </c>
      <c r="BP387">
        <v>1</v>
      </c>
      <c r="BQ387">
        <v>150</v>
      </c>
      <c r="BR387">
        <v>0</v>
      </c>
      <c r="BS387">
        <v>1</v>
      </c>
      <c r="BT387">
        <v>1</v>
      </c>
      <c r="BU387">
        <v>1</v>
      </c>
      <c r="BV387">
        <v>1</v>
      </c>
      <c r="BW387">
        <v>1</v>
      </c>
      <c r="BX387">
        <v>1</v>
      </c>
      <c r="BY387" t="s">
        <v>3</v>
      </c>
      <c r="BZ387">
        <v>95</v>
      </c>
      <c r="CA387">
        <v>65</v>
      </c>
      <c r="CB387" t="s">
        <v>3</v>
      </c>
      <c r="CE387">
        <v>30</v>
      </c>
      <c r="CF387">
        <v>0</v>
      </c>
      <c r="CG387">
        <v>0</v>
      </c>
      <c r="CM387">
        <v>0</v>
      </c>
      <c r="CN387" t="s">
        <v>3</v>
      </c>
      <c r="CO387">
        <v>0</v>
      </c>
      <c r="CP387">
        <f t="shared" si="346"/>
        <v>1622.47</v>
      </c>
      <c r="CQ387">
        <f t="shared" si="347"/>
        <v>0</v>
      </c>
      <c r="CR387">
        <f t="shared" si="348"/>
        <v>1373.53</v>
      </c>
      <c r="CS387">
        <f t="shared" si="349"/>
        <v>0</v>
      </c>
      <c r="CT387">
        <f t="shared" si="350"/>
        <v>0</v>
      </c>
      <c r="CU387">
        <f t="shared" si="351"/>
        <v>0</v>
      </c>
      <c r="CV387">
        <f t="shared" si="352"/>
        <v>0</v>
      </c>
      <c r="CW387">
        <f t="shared" si="353"/>
        <v>0</v>
      </c>
      <c r="CX387">
        <f t="shared" si="353"/>
        <v>0</v>
      </c>
      <c r="CY387">
        <f>S387*(BZ387/100)</f>
        <v>0</v>
      </c>
      <c r="CZ387">
        <f>S387*(CA387/100)</f>
        <v>0</v>
      </c>
      <c r="DC387" t="s">
        <v>3</v>
      </c>
      <c r="DD387" t="s">
        <v>3</v>
      </c>
      <c r="DE387" t="s">
        <v>3</v>
      </c>
      <c r="DF387" t="s">
        <v>3</v>
      </c>
      <c r="DG387" t="s">
        <v>3</v>
      </c>
      <c r="DH387" t="s">
        <v>3</v>
      </c>
      <c r="DI387" t="s">
        <v>3</v>
      </c>
      <c r="DJ387" t="s">
        <v>3</v>
      </c>
      <c r="DK387" t="s">
        <v>3</v>
      </c>
      <c r="DL387" t="s">
        <v>3</v>
      </c>
      <c r="DM387" t="s">
        <v>3</v>
      </c>
      <c r="DN387">
        <v>0</v>
      </c>
      <c r="DO387">
        <v>0</v>
      </c>
      <c r="DP387">
        <v>1</v>
      </c>
      <c r="DQ387">
        <v>1</v>
      </c>
      <c r="DU387">
        <v>1013</v>
      </c>
      <c r="DV387" t="s">
        <v>179</v>
      </c>
      <c r="DW387" t="s">
        <v>179</v>
      </c>
      <c r="DX387">
        <v>1</v>
      </c>
      <c r="DZ387" t="s">
        <v>3</v>
      </c>
      <c r="EA387" t="s">
        <v>3</v>
      </c>
      <c r="EB387" t="s">
        <v>3</v>
      </c>
      <c r="EC387" t="s">
        <v>3</v>
      </c>
      <c r="EE387">
        <v>126052574</v>
      </c>
      <c r="EF387">
        <v>150</v>
      </c>
      <c r="EG387" t="s">
        <v>487</v>
      </c>
      <c r="EH387">
        <v>0</v>
      </c>
      <c r="EI387" t="s">
        <v>3</v>
      </c>
      <c r="EJ387">
        <v>4</v>
      </c>
      <c r="EK387">
        <v>1113</v>
      </c>
      <c r="EL387" t="s">
        <v>488</v>
      </c>
      <c r="EM387" t="s">
        <v>489</v>
      </c>
      <c r="EO387" t="s">
        <v>3</v>
      </c>
      <c r="EQ387">
        <v>131072</v>
      </c>
      <c r="ER387">
        <v>31.67</v>
      </c>
      <c r="ES387">
        <v>0</v>
      </c>
      <c r="ET387">
        <v>31.67</v>
      </c>
      <c r="EU387">
        <v>0</v>
      </c>
      <c r="EV387">
        <v>0</v>
      </c>
      <c r="EW387">
        <v>0</v>
      </c>
      <c r="EX387">
        <v>0</v>
      </c>
      <c r="EY387">
        <v>0</v>
      </c>
      <c r="FQ387">
        <v>0</v>
      </c>
      <c r="FR387">
        <f t="shared" si="354"/>
        <v>0</v>
      </c>
      <c r="FS387">
        <v>0</v>
      </c>
      <c r="FX387">
        <v>0</v>
      </c>
      <c r="FY387">
        <v>0</v>
      </c>
      <c r="GA387" t="s">
        <v>3</v>
      </c>
      <c r="GD387">
        <v>0</v>
      </c>
      <c r="GF387">
        <v>-228259164</v>
      </c>
      <c r="GG387">
        <v>2</v>
      </c>
      <c r="GH387">
        <v>1</v>
      </c>
      <c r="GI387">
        <v>2</v>
      </c>
      <c r="GJ387">
        <v>0</v>
      </c>
      <c r="GK387">
        <f>ROUND(R387*(S12)/100,2)</f>
        <v>0</v>
      </c>
      <c r="GL387">
        <f t="shared" si="355"/>
        <v>0</v>
      </c>
      <c r="GM387">
        <f>ROUND(O387+X387+Y387+GK387,2)+GX387</f>
        <v>1622.47</v>
      </c>
      <c r="GN387">
        <f>IF(OR(BI387=0,BI387=1),ROUND(O387+X387+Y387+GK387,2),0)</f>
        <v>0</v>
      </c>
      <c r="GO387">
        <f>IF(BI387=2,ROUND(O387+X387+Y387+GK387,2),0)</f>
        <v>0</v>
      </c>
      <c r="GP387">
        <f>IF(BI387=4,ROUND(O387+X387+Y387+GK387,2)+GX387,0)</f>
        <v>1622.47</v>
      </c>
      <c r="GR387">
        <v>0</v>
      </c>
      <c r="GS387">
        <v>3</v>
      </c>
      <c r="GT387">
        <v>0</v>
      </c>
      <c r="GU387" t="s">
        <v>3</v>
      </c>
      <c r="GV387">
        <f t="shared" si="356"/>
        <v>0</v>
      </c>
      <c r="GW387">
        <v>1</v>
      </c>
      <c r="GX387">
        <f t="shared" si="357"/>
        <v>0</v>
      </c>
      <c r="HA387">
        <v>0</v>
      </c>
      <c r="HB387">
        <v>0</v>
      </c>
      <c r="HC387">
        <f t="shared" si="358"/>
        <v>0</v>
      </c>
      <c r="HE387" t="s">
        <v>3</v>
      </c>
      <c r="HF387" t="s">
        <v>3</v>
      </c>
      <c r="HM387" t="s">
        <v>3</v>
      </c>
      <c r="HN387" t="s">
        <v>3</v>
      </c>
      <c r="HO387" t="s">
        <v>3</v>
      </c>
      <c r="HP387" t="s">
        <v>3</v>
      </c>
      <c r="HQ387" t="s">
        <v>3</v>
      </c>
      <c r="IK387">
        <v>0</v>
      </c>
    </row>
    <row r="388" spans="1:255" x14ac:dyDescent="0.2">
      <c r="A388" s="2">
        <v>17</v>
      </c>
      <c r="B388" s="2">
        <v>1</v>
      </c>
      <c r="C388" s="2">
        <f>ROW(SmtRes!A417)</f>
        <v>417</v>
      </c>
      <c r="D388" s="2">
        <f>ROW(EtalonRes!A419)</f>
        <v>419</v>
      </c>
      <c r="E388" s="2" t="s">
        <v>494</v>
      </c>
      <c r="F388" s="2" t="s">
        <v>495</v>
      </c>
      <c r="G388" s="2" t="s">
        <v>496</v>
      </c>
      <c r="H388" s="2" t="s">
        <v>179</v>
      </c>
      <c r="I388" s="2">
        <v>38.590200000000003</v>
      </c>
      <c r="J388" s="2">
        <v>0</v>
      </c>
      <c r="K388" s="2">
        <v>38.590200000000003</v>
      </c>
      <c r="L388" s="2"/>
      <c r="M388" s="2"/>
      <c r="N388" s="2"/>
      <c r="O388" s="2">
        <f t="shared" si="329"/>
        <v>870.98</v>
      </c>
      <c r="P388" s="2">
        <f t="shared" si="330"/>
        <v>0</v>
      </c>
      <c r="Q388" s="2">
        <f t="shared" si="331"/>
        <v>870.98</v>
      </c>
      <c r="R388" s="2">
        <f t="shared" si="332"/>
        <v>0</v>
      </c>
      <c r="S388" s="2">
        <f t="shared" si="333"/>
        <v>0</v>
      </c>
      <c r="T388" s="2">
        <f t="shared" si="334"/>
        <v>0</v>
      </c>
      <c r="U388" s="2">
        <f t="shared" si="335"/>
        <v>0</v>
      </c>
      <c r="V388" s="2">
        <f t="shared" si="336"/>
        <v>0</v>
      </c>
      <c r="W388" s="2">
        <f t="shared" si="337"/>
        <v>0</v>
      </c>
      <c r="X388" s="2">
        <f t="shared" si="338"/>
        <v>0</v>
      </c>
      <c r="Y388" s="2">
        <f t="shared" si="338"/>
        <v>0</v>
      </c>
      <c r="Z388" s="2"/>
      <c r="AA388" s="2">
        <v>129761636</v>
      </c>
      <c r="AB388" s="2">
        <f t="shared" si="339"/>
        <v>22.57</v>
      </c>
      <c r="AC388" s="2">
        <f t="shared" si="340"/>
        <v>0</v>
      </c>
      <c r="AD388" s="2">
        <f t="shared" si="341"/>
        <v>22.57</v>
      </c>
      <c r="AE388" s="2">
        <f t="shared" si="342"/>
        <v>0</v>
      </c>
      <c r="AF388" s="2">
        <f t="shared" si="342"/>
        <v>0</v>
      </c>
      <c r="AG388" s="2">
        <f t="shared" si="343"/>
        <v>0</v>
      </c>
      <c r="AH388" s="2">
        <f t="shared" si="344"/>
        <v>0</v>
      </c>
      <c r="AI388" s="2">
        <f t="shared" si="344"/>
        <v>0</v>
      </c>
      <c r="AJ388" s="2">
        <f t="shared" si="345"/>
        <v>0</v>
      </c>
      <c r="AK388" s="2">
        <v>22.57</v>
      </c>
      <c r="AL388" s="2">
        <v>0</v>
      </c>
      <c r="AM388" s="2">
        <v>22.57</v>
      </c>
      <c r="AN388" s="2">
        <v>0</v>
      </c>
      <c r="AO388" s="2">
        <v>0</v>
      </c>
      <c r="AP388" s="2">
        <v>0</v>
      </c>
      <c r="AQ388" s="2">
        <v>0</v>
      </c>
      <c r="AR388" s="2">
        <v>0</v>
      </c>
      <c r="AS388" s="2">
        <v>0</v>
      </c>
      <c r="AT388" s="2">
        <v>0</v>
      </c>
      <c r="AU388" s="2">
        <v>0</v>
      </c>
      <c r="AV388" s="2">
        <v>1</v>
      </c>
      <c r="AW388" s="2">
        <v>1</v>
      </c>
      <c r="AX388" s="2"/>
      <c r="AY388" s="2"/>
      <c r="AZ388" s="2">
        <v>1</v>
      </c>
      <c r="BA388" s="2">
        <v>1</v>
      </c>
      <c r="BB388" s="2">
        <v>1</v>
      </c>
      <c r="BC388" s="2">
        <v>1</v>
      </c>
      <c r="BD388" s="2" t="s">
        <v>3</v>
      </c>
      <c r="BE388" s="2" t="s">
        <v>3</v>
      </c>
      <c r="BF388" s="2" t="s">
        <v>3</v>
      </c>
      <c r="BG388" s="2" t="s">
        <v>3</v>
      </c>
      <c r="BH388" s="2">
        <v>0</v>
      </c>
      <c r="BI388" s="2">
        <v>4</v>
      </c>
      <c r="BJ388" s="2" t="s">
        <v>497</v>
      </c>
      <c r="BK388" s="2"/>
      <c r="BL388" s="2"/>
      <c r="BM388" s="2">
        <v>1113</v>
      </c>
      <c r="BN388" s="2">
        <v>0</v>
      </c>
      <c r="BO388" s="2" t="s">
        <v>3</v>
      </c>
      <c r="BP388" s="2">
        <v>0</v>
      </c>
      <c r="BQ388" s="2">
        <v>150</v>
      </c>
      <c r="BR388" s="2">
        <v>0</v>
      </c>
      <c r="BS388" s="2">
        <v>1</v>
      </c>
      <c r="BT388" s="2">
        <v>1</v>
      </c>
      <c r="BU388" s="2">
        <v>1</v>
      </c>
      <c r="BV388" s="2">
        <v>1</v>
      </c>
      <c r="BW388" s="2">
        <v>1</v>
      </c>
      <c r="BX388" s="2">
        <v>1</v>
      </c>
      <c r="BY388" s="2" t="s">
        <v>3</v>
      </c>
      <c r="BZ388" s="2">
        <v>0</v>
      </c>
      <c r="CA388" s="2">
        <v>0</v>
      </c>
      <c r="CB388" s="2" t="s">
        <v>3</v>
      </c>
      <c r="CC388" s="2"/>
      <c r="CD388" s="2"/>
      <c r="CE388" s="2">
        <v>30</v>
      </c>
      <c r="CF388" s="2">
        <v>0</v>
      </c>
      <c r="CG388" s="2">
        <v>0</v>
      </c>
      <c r="CH388" s="2"/>
      <c r="CI388" s="2"/>
      <c r="CJ388" s="2"/>
      <c r="CK388" s="2"/>
      <c r="CL388" s="2"/>
      <c r="CM388" s="2">
        <v>0</v>
      </c>
      <c r="CN388" s="2" t="s">
        <v>3</v>
      </c>
      <c r="CO388" s="2">
        <v>0</v>
      </c>
      <c r="CP388" s="2">
        <f t="shared" si="346"/>
        <v>870.98</v>
      </c>
      <c r="CQ388" s="2">
        <f t="shared" si="347"/>
        <v>0</v>
      </c>
      <c r="CR388" s="2">
        <f t="shared" si="348"/>
        <v>22.57</v>
      </c>
      <c r="CS388" s="2">
        <f t="shared" si="349"/>
        <v>0</v>
      </c>
      <c r="CT388" s="2">
        <f t="shared" si="350"/>
        <v>0</v>
      </c>
      <c r="CU388" s="2">
        <f t="shared" si="351"/>
        <v>0</v>
      </c>
      <c r="CV388" s="2">
        <f t="shared" si="352"/>
        <v>0</v>
      </c>
      <c r="CW388" s="2">
        <f t="shared" si="353"/>
        <v>0</v>
      </c>
      <c r="CX388" s="2">
        <f t="shared" si="353"/>
        <v>0</v>
      </c>
      <c r="CY388" s="2">
        <f>((S388*BZ388)/100)</f>
        <v>0</v>
      </c>
      <c r="CZ388" s="2">
        <f>((S388*CA388)/100)</f>
        <v>0</v>
      </c>
      <c r="DA388" s="2"/>
      <c r="DB388" s="2"/>
      <c r="DC388" s="2" t="s">
        <v>3</v>
      </c>
      <c r="DD388" s="2" t="s">
        <v>3</v>
      </c>
      <c r="DE388" s="2" t="s">
        <v>3</v>
      </c>
      <c r="DF388" s="2" t="s">
        <v>3</v>
      </c>
      <c r="DG388" s="2" t="s">
        <v>3</v>
      </c>
      <c r="DH388" s="2" t="s">
        <v>3</v>
      </c>
      <c r="DI388" s="2" t="s">
        <v>3</v>
      </c>
      <c r="DJ388" s="2" t="s">
        <v>3</v>
      </c>
      <c r="DK388" s="2" t="s">
        <v>3</v>
      </c>
      <c r="DL388" s="2" t="s">
        <v>3</v>
      </c>
      <c r="DM388" s="2" t="s">
        <v>3</v>
      </c>
      <c r="DN388" s="2">
        <v>0</v>
      </c>
      <c r="DO388" s="2">
        <v>0</v>
      </c>
      <c r="DP388" s="2">
        <v>1</v>
      </c>
      <c r="DQ388" s="2">
        <v>1</v>
      </c>
      <c r="DR388" s="2"/>
      <c r="DS388" s="2"/>
      <c r="DT388" s="2"/>
      <c r="DU388" s="2">
        <v>1013</v>
      </c>
      <c r="DV388" s="2" t="s">
        <v>179</v>
      </c>
      <c r="DW388" s="2" t="s">
        <v>179</v>
      </c>
      <c r="DX388" s="2">
        <v>1</v>
      </c>
      <c r="DY388" s="2"/>
      <c r="DZ388" s="2" t="s">
        <v>3</v>
      </c>
      <c r="EA388" s="2" t="s">
        <v>3</v>
      </c>
      <c r="EB388" s="2" t="s">
        <v>3</v>
      </c>
      <c r="EC388" s="2" t="s">
        <v>3</v>
      </c>
      <c r="ED388" s="2"/>
      <c r="EE388" s="2">
        <v>126052574</v>
      </c>
      <c r="EF388" s="2">
        <v>150</v>
      </c>
      <c r="EG388" s="2" t="s">
        <v>487</v>
      </c>
      <c r="EH388" s="2">
        <v>0</v>
      </c>
      <c r="EI388" s="2" t="s">
        <v>3</v>
      </c>
      <c r="EJ388" s="2">
        <v>4</v>
      </c>
      <c r="EK388" s="2">
        <v>1113</v>
      </c>
      <c r="EL388" s="2" t="s">
        <v>488</v>
      </c>
      <c r="EM388" s="2" t="s">
        <v>489</v>
      </c>
      <c r="EN388" s="2"/>
      <c r="EO388" s="2" t="s">
        <v>3</v>
      </c>
      <c r="EP388" s="2"/>
      <c r="EQ388" s="2">
        <v>131072</v>
      </c>
      <c r="ER388" s="2">
        <v>22.57</v>
      </c>
      <c r="ES388" s="2">
        <v>0</v>
      </c>
      <c r="ET388" s="2">
        <v>22.57</v>
      </c>
      <c r="EU388" s="2">
        <v>0</v>
      </c>
      <c r="EV388" s="2">
        <v>0</v>
      </c>
      <c r="EW388" s="2">
        <v>0</v>
      </c>
      <c r="EX388" s="2">
        <v>0</v>
      </c>
      <c r="EY388" s="2">
        <v>0</v>
      </c>
      <c r="EZ388" s="2"/>
      <c r="FA388" s="2"/>
      <c r="FB388" s="2"/>
      <c r="FC388" s="2"/>
      <c r="FD388" s="2"/>
      <c r="FE388" s="2"/>
      <c r="FF388" s="2"/>
      <c r="FG388" s="2"/>
      <c r="FH388" s="2"/>
      <c r="FI388" s="2"/>
      <c r="FJ388" s="2"/>
      <c r="FK388" s="2"/>
      <c r="FL388" s="2"/>
      <c r="FM388" s="2"/>
      <c r="FN388" s="2"/>
      <c r="FO388" s="2"/>
      <c r="FP388" s="2"/>
      <c r="FQ388" s="2">
        <v>0</v>
      </c>
      <c r="FR388" s="2">
        <f t="shared" si="354"/>
        <v>0</v>
      </c>
      <c r="FS388" s="2">
        <v>0</v>
      </c>
      <c r="FT388" s="2"/>
      <c r="FU388" s="2"/>
      <c r="FV388" s="2"/>
      <c r="FW388" s="2"/>
      <c r="FX388" s="2">
        <v>0</v>
      </c>
      <c r="FY388" s="2">
        <v>0</v>
      </c>
      <c r="FZ388" s="2"/>
      <c r="GA388" s="2" t="s">
        <v>3</v>
      </c>
      <c r="GB388" s="2"/>
      <c r="GC388" s="2"/>
      <c r="GD388" s="2">
        <v>1</v>
      </c>
      <c r="GE388" s="2"/>
      <c r="GF388" s="2">
        <v>-1145659814</v>
      </c>
      <c r="GG388" s="2">
        <v>2</v>
      </c>
      <c r="GH388" s="2">
        <v>1</v>
      </c>
      <c r="GI388" s="2">
        <v>-2</v>
      </c>
      <c r="GJ388" s="2">
        <v>0</v>
      </c>
      <c r="GK388" s="2">
        <v>0</v>
      </c>
      <c r="GL388" s="2">
        <f t="shared" si="355"/>
        <v>0</v>
      </c>
      <c r="GM388" s="2">
        <f>ROUND(O388+X388+Y388,2)+GX388</f>
        <v>870.98</v>
      </c>
      <c r="GN388" s="2">
        <f>IF(OR(BI388=0,BI388=1),ROUND(O388+X388+Y388,2),0)</f>
        <v>0</v>
      </c>
      <c r="GO388" s="2">
        <f>IF(BI388=2,ROUND(O388+X388+Y388,2),0)</f>
        <v>0</v>
      </c>
      <c r="GP388" s="2">
        <f>IF(BI388=4,ROUND(O388+X388+Y388,2)+GX388,0)</f>
        <v>870.98</v>
      </c>
      <c r="GQ388" s="2"/>
      <c r="GR388" s="2">
        <v>0</v>
      </c>
      <c r="GS388" s="2">
        <v>0</v>
      </c>
      <c r="GT388" s="2">
        <v>0</v>
      </c>
      <c r="GU388" s="2" t="s">
        <v>3</v>
      </c>
      <c r="GV388" s="2">
        <f t="shared" si="356"/>
        <v>0</v>
      </c>
      <c r="GW388" s="2">
        <v>1</v>
      </c>
      <c r="GX388" s="2">
        <f t="shared" si="357"/>
        <v>0</v>
      </c>
      <c r="GY388" s="2"/>
      <c r="GZ388" s="2"/>
      <c r="HA388" s="2">
        <v>0</v>
      </c>
      <c r="HB388" s="2">
        <v>0</v>
      </c>
      <c r="HC388" s="2">
        <f t="shared" si="358"/>
        <v>0</v>
      </c>
      <c r="HD388" s="2"/>
      <c r="HE388" s="2" t="s">
        <v>3</v>
      </c>
      <c r="HF388" s="2" t="s">
        <v>3</v>
      </c>
      <c r="HG388" s="2"/>
      <c r="HH388" s="2"/>
      <c r="HI388" s="2"/>
      <c r="HJ388" s="2"/>
      <c r="HK388" s="2"/>
      <c r="HL388" s="2"/>
      <c r="HM388" s="2" t="s">
        <v>3</v>
      </c>
      <c r="HN388" s="2" t="s">
        <v>3</v>
      </c>
      <c r="HO388" s="2" t="s">
        <v>3</v>
      </c>
      <c r="HP388" s="2" t="s">
        <v>3</v>
      </c>
      <c r="HQ388" s="2" t="s">
        <v>3</v>
      </c>
      <c r="HR388" s="2"/>
      <c r="HS388" s="2"/>
      <c r="HT388" s="2"/>
      <c r="HU388" s="2"/>
      <c r="HV388" s="2"/>
      <c r="HW388" s="2"/>
      <c r="HX388" s="2"/>
      <c r="HY388" s="2"/>
      <c r="HZ388" s="2"/>
      <c r="IA388" s="2"/>
      <c r="IB388" s="2"/>
      <c r="IC388" s="2"/>
      <c r="ID388" s="2"/>
      <c r="IE388" s="2"/>
      <c r="IF388" s="2"/>
      <c r="IG388" s="2"/>
      <c r="IH388" s="2"/>
      <c r="II388" s="2"/>
      <c r="IJ388" s="2"/>
      <c r="IK388" s="2">
        <v>0</v>
      </c>
      <c r="IL388" s="2"/>
      <c r="IM388" s="2"/>
      <c r="IN388" s="2"/>
      <c r="IO388" s="2"/>
      <c r="IP388" s="2"/>
      <c r="IQ388" s="2"/>
      <c r="IR388" s="2"/>
      <c r="IS388" s="2"/>
      <c r="IT388" s="2"/>
      <c r="IU388" s="2"/>
    </row>
    <row r="389" spans="1:255" x14ac:dyDescent="0.2">
      <c r="A389">
        <v>17</v>
      </c>
      <c r="B389">
        <v>1</v>
      </c>
      <c r="C389">
        <f>ROW(SmtRes!A418)</f>
        <v>418</v>
      </c>
      <c r="D389">
        <f>ROW(EtalonRes!A420)</f>
        <v>420</v>
      </c>
      <c r="E389" t="s">
        <v>494</v>
      </c>
      <c r="F389" t="s">
        <v>495</v>
      </c>
      <c r="G389" t="s">
        <v>496</v>
      </c>
      <c r="H389" t="s">
        <v>179</v>
      </c>
      <c r="I389">
        <v>38.590200000000003</v>
      </c>
      <c r="J389">
        <v>0</v>
      </c>
      <c r="K389">
        <v>38.590200000000003</v>
      </c>
      <c r="O389">
        <f t="shared" si="329"/>
        <v>5643.95</v>
      </c>
      <c r="P389">
        <f t="shared" si="330"/>
        <v>0</v>
      </c>
      <c r="Q389">
        <f t="shared" si="331"/>
        <v>5643.95</v>
      </c>
      <c r="R389">
        <f t="shared" si="332"/>
        <v>0</v>
      </c>
      <c r="S389">
        <f t="shared" si="333"/>
        <v>0</v>
      </c>
      <c r="T389">
        <f t="shared" si="334"/>
        <v>0</v>
      </c>
      <c r="U389">
        <f t="shared" si="335"/>
        <v>0</v>
      </c>
      <c r="V389">
        <f t="shared" si="336"/>
        <v>0</v>
      </c>
      <c r="W389">
        <f t="shared" si="337"/>
        <v>0</v>
      </c>
      <c r="X389">
        <f t="shared" si="338"/>
        <v>0</v>
      </c>
      <c r="Y389">
        <f t="shared" si="338"/>
        <v>0</v>
      </c>
      <c r="AA389">
        <v>129761633</v>
      </c>
      <c r="AB389">
        <f t="shared" si="339"/>
        <v>22.57</v>
      </c>
      <c r="AC389">
        <f t="shared" si="340"/>
        <v>0</v>
      </c>
      <c r="AD389">
        <f t="shared" si="341"/>
        <v>22.57</v>
      </c>
      <c r="AE389">
        <f t="shared" si="342"/>
        <v>0</v>
      </c>
      <c r="AF389">
        <f t="shared" si="342"/>
        <v>0</v>
      </c>
      <c r="AG389">
        <f t="shared" si="343"/>
        <v>0</v>
      </c>
      <c r="AH389">
        <f t="shared" si="344"/>
        <v>0</v>
      </c>
      <c r="AI389">
        <f t="shared" si="344"/>
        <v>0</v>
      </c>
      <c r="AJ389">
        <f t="shared" si="345"/>
        <v>0</v>
      </c>
      <c r="AK389">
        <v>22.57</v>
      </c>
      <c r="AL389">
        <v>0</v>
      </c>
      <c r="AM389">
        <v>22.57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95</v>
      </c>
      <c r="AU389">
        <v>65</v>
      </c>
      <c r="AV389">
        <v>1</v>
      </c>
      <c r="AW389">
        <v>1</v>
      </c>
      <c r="AZ389">
        <v>1</v>
      </c>
      <c r="BA389">
        <v>1</v>
      </c>
      <c r="BB389">
        <v>6.48</v>
      </c>
      <c r="BC389">
        <v>1</v>
      </c>
      <c r="BD389" t="s">
        <v>3</v>
      </c>
      <c r="BE389" t="s">
        <v>3</v>
      </c>
      <c r="BF389" t="s">
        <v>3</v>
      </c>
      <c r="BG389" t="s">
        <v>3</v>
      </c>
      <c r="BH389">
        <v>0</v>
      </c>
      <c r="BI389">
        <v>4</v>
      </c>
      <c r="BJ389" t="s">
        <v>497</v>
      </c>
      <c r="BM389">
        <v>1113</v>
      </c>
      <c r="BN389">
        <v>0</v>
      </c>
      <c r="BO389" t="s">
        <v>495</v>
      </c>
      <c r="BP389">
        <v>1</v>
      </c>
      <c r="BQ389">
        <v>150</v>
      </c>
      <c r="BR389">
        <v>0</v>
      </c>
      <c r="BS389">
        <v>1</v>
      </c>
      <c r="BT389">
        <v>1</v>
      </c>
      <c r="BU389">
        <v>1</v>
      </c>
      <c r="BV389">
        <v>1</v>
      </c>
      <c r="BW389">
        <v>1</v>
      </c>
      <c r="BX389">
        <v>1</v>
      </c>
      <c r="BY389" t="s">
        <v>3</v>
      </c>
      <c r="BZ389">
        <v>95</v>
      </c>
      <c r="CA389">
        <v>65</v>
      </c>
      <c r="CB389" t="s">
        <v>3</v>
      </c>
      <c r="CE389">
        <v>30</v>
      </c>
      <c r="CF389">
        <v>0</v>
      </c>
      <c r="CG389">
        <v>0</v>
      </c>
      <c r="CM389">
        <v>0</v>
      </c>
      <c r="CN389" t="s">
        <v>3</v>
      </c>
      <c r="CO389">
        <v>0</v>
      </c>
      <c r="CP389">
        <f t="shared" si="346"/>
        <v>5643.95</v>
      </c>
      <c r="CQ389">
        <f t="shared" si="347"/>
        <v>0</v>
      </c>
      <c r="CR389">
        <f t="shared" si="348"/>
        <v>146.25</v>
      </c>
      <c r="CS389">
        <f t="shared" si="349"/>
        <v>0</v>
      </c>
      <c r="CT389">
        <f t="shared" si="350"/>
        <v>0</v>
      </c>
      <c r="CU389">
        <f t="shared" si="351"/>
        <v>0</v>
      </c>
      <c r="CV389">
        <f t="shared" si="352"/>
        <v>0</v>
      </c>
      <c r="CW389">
        <f t="shared" si="353"/>
        <v>0</v>
      </c>
      <c r="CX389">
        <f t="shared" si="353"/>
        <v>0</v>
      </c>
      <c r="CY389">
        <f>S389*(BZ389/100)</f>
        <v>0</v>
      </c>
      <c r="CZ389">
        <f>S389*(CA389/100)</f>
        <v>0</v>
      </c>
      <c r="DC389" t="s">
        <v>3</v>
      </c>
      <c r="DD389" t="s">
        <v>3</v>
      </c>
      <c r="DE389" t="s">
        <v>3</v>
      </c>
      <c r="DF389" t="s">
        <v>3</v>
      </c>
      <c r="DG389" t="s">
        <v>3</v>
      </c>
      <c r="DH389" t="s">
        <v>3</v>
      </c>
      <c r="DI389" t="s">
        <v>3</v>
      </c>
      <c r="DJ389" t="s">
        <v>3</v>
      </c>
      <c r="DK389" t="s">
        <v>3</v>
      </c>
      <c r="DL389" t="s">
        <v>3</v>
      </c>
      <c r="DM389" t="s">
        <v>3</v>
      </c>
      <c r="DN389">
        <v>0</v>
      </c>
      <c r="DO389">
        <v>0</v>
      </c>
      <c r="DP389">
        <v>1</v>
      </c>
      <c r="DQ389">
        <v>1</v>
      </c>
      <c r="DU389">
        <v>1013</v>
      </c>
      <c r="DV389" t="s">
        <v>179</v>
      </c>
      <c r="DW389" t="s">
        <v>179</v>
      </c>
      <c r="DX389">
        <v>1</v>
      </c>
      <c r="DZ389" t="s">
        <v>3</v>
      </c>
      <c r="EA389" t="s">
        <v>3</v>
      </c>
      <c r="EB389" t="s">
        <v>3</v>
      </c>
      <c r="EC389" t="s">
        <v>3</v>
      </c>
      <c r="EE389">
        <v>126052574</v>
      </c>
      <c r="EF389">
        <v>150</v>
      </c>
      <c r="EG389" t="s">
        <v>487</v>
      </c>
      <c r="EH389">
        <v>0</v>
      </c>
      <c r="EI389" t="s">
        <v>3</v>
      </c>
      <c r="EJ389">
        <v>4</v>
      </c>
      <c r="EK389">
        <v>1113</v>
      </c>
      <c r="EL389" t="s">
        <v>488</v>
      </c>
      <c r="EM389" t="s">
        <v>489</v>
      </c>
      <c r="EO389" t="s">
        <v>3</v>
      </c>
      <c r="EQ389">
        <v>131072</v>
      </c>
      <c r="ER389">
        <v>22.57</v>
      </c>
      <c r="ES389">
        <v>0</v>
      </c>
      <c r="ET389">
        <v>22.57</v>
      </c>
      <c r="EU389">
        <v>0</v>
      </c>
      <c r="EV389">
        <v>0</v>
      </c>
      <c r="EW389">
        <v>0</v>
      </c>
      <c r="EX389">
        <v>0</v>
      </c>
      <c r="EY389">
        <v>0</v>
      </c>
      <c r="FQ389">
        <v>0</v>
      </c>
      <c r="FR389">
        <f t="shared" si="354"/>
        <v>0</v>
      </c>
      <c r="FS389">
        <v>0</v>
      </c>
      <c r="FX389">
        <v>0</v>
      </c>
      <c r="FY389">
        <v>0</v>
      </c>
      <c r="GA389" t="s">
        <v>3</v>
      </c>
      <c r="GD389">
        <v>0</v>
      </c>
      <c r="GF389">
        <v>-1145659814</v>
      </c>
      <c r="GG389">
        <v>2</v>
      </c>
      <c r="GH389">
        <v>1</v>
      </c>
      <c r="GI389">
        <v>2</v>
      </c>
      <c r="GJ389">
        <v>0</v>
      </c>
      <c r="GK389">
        <f>ROUND(R389*(S12)/100,2)</f>
        <v>0</v>
      </c>
      <c r="GL389">
        <f t="shared" si="355"/>
        <v>0</v>
      </c>
      <c r="GM389">
        <f>ROUND(O389+X389+Y389+GK389,2)+GX389</f>
        <v>5643.95</v>
      </c>
      <c r="GN389">
        <f>IF(OR(BI389=0,BI389=1),ROUND(O389+X389+Y389+GK389,2),0)</f>
        <v>0</v>
      </c>
      <c r="GO389">
        <f>IF(BI389=2,ROUND(O389+X389+Y389+GK389,2),0)</f>
        <v>0</v>
      </c>
      <c r="GP389">
        <f>IF(BI389=4,ROUND(O389+X389+Y389+GK389,2)+GX389,0)</f>
        <v>5643.95</v>
      </c>
      <c r="GR389">
        <v>0</v>
      </c>
      <c r="GS389">
        <v>3</v>
      </c>
      <c r="GT389">
        <v>0</v>
      </c>
      <c r="GU389" t="s">
        <v>3</v>
      </c>
      <c r="GV389">
        <f t="shared" si="356"/>
        <v>0</v>
      </c>
      <c r="GW389">
        <v>1</v>
      </c>
      <c r="GX389">
        <f t="shared" si="357"/>
        <v>0</v>
      </c>
      <c r="HA389">
        <v>0</v>
      </c>
      <c r="HB389">
        <v>0</v>
      </c>
      <c r="HC389">
        <f t="shared" si="358"/>
        <v>0</v>
      </c>
      <c r="HE389" t="s">
        <v>3</v>
      </c>
      <c r="HF389" t="s">
        <v>3</v>
      </c>
      <c r="HM389" t="s">
        <v>3</v>
      </c>
      <c r="HN389" t="s">
        <v>3</v>
      </c>
      <c r="HO389" t="s">
        <v>3</v>
      </c>
      <c r="HP389" t="s">
        <v>3</v>
      </c>
      <c r="HQ389" t="s">
        <v>3</v>
      </c>
      <c r="IK389">
        <v>0</v>
      </c>
    </row>
    <row r="391" spans="1:255" x14ac:dyDescent="0.2">
      <c r="A391" s="3">
        <v>51</v>
      </c>
      <c r="B391" s="3">
        <f>B378</f>
        <v>1</v>
      </c>
      <c r="C391" s="3">
        <f>A378</f>
        <v>4</v>
      </c>
      <c r="D391" s="3">
        <f>ROW(A378)</f>
        <v>378</v>
      </c>
      <c r="E391" s="3"/>
      <c r="F391" s="3" t="str">
        <f>IF(F378&lt;&gt;"",F378,"")</f>
        <v>Новый раздел</v>
      </c>
      <c r="G391" s="3" t="str">
        <f>IF(G378&lt;&gt;"",G378,"")</f>
        <v>Прочие работы</v>
      </c>
      <c r="H391" s="3">
        <v>0</v>
      </c>
      <c r="I391" s="3"/>
      <c r="J391" s="3"/>
      <c r="K391" s="3"/>
      <c r="L391" s="3"/>
      <c r="M391" s="3"/>
      <c r="N391" s="3"/>
      <c r="O391" s="3">
        <f t="shared" ref="O391:T391" si="359">ROUND(AB391,2)</f>
        <v>2778.85</v>
      </c>
      <c r="P391" s="3">
        <f t="shared" si="359"/>
        <v>0</v>
      </c>
      <c r="Q391" s="3">
        <f t="shared" si="359"/>
        <v>2778.85</v>
      </c>
      <c r="R391" s="3">
        <f t="shared" si="359"/>
        <v>58.86</v>
      </c>
      <c r="S391" s="3">
        <f t="shared" si="359"/>
        <v>0</v>
      </c>
      <c r="T391" s="3">
        <f t="shared" si="359"/>
        <v>0</v>
      </c>
      <c r="U391" s="3">
        <f>AH391</f>
        <v>0</v>
      </c>
      <c r="V391" s="3">
        <f>AI391</f>
        <v>0</v>
      </c>
      <c r="W391" s="3">
        <f>ROUND(AJ391,2)</f>
        <v>0</v>
      </c>
      <c r="X391" s="3">
        <f>ROUND(AK391,2)</f>
        <v>0</v>
      </c>
      <c r="Y391" s="3">
        <f>ROUND(AL391,2)</f>
        <v>0</v>
      </c>
      <c r="Z391" s="3"/>
      <c r="AA391" s="3"/>
      <c r="AB391" s="3">
        <f>ROUND(SUMIF(AA382:AA389,"=129761636",O382:O389),2)</f>
        <v>2778.85</v>
      </c>
      <c r="AC391" s="3">
        <f>ROUND(SUMIF(AA382:AA389,"=129761636",P382:P389),2)</f>
        <v>0</v>
      </c>
      <c r="AD391" s="3">
        <f>ROUND(SUMIF(AA382:AA389,"=129761636",Q382:Q389),2)</f>
        <v>2778.85</v>
      </c>
      <c r="AE391" s="3">
        <f>ROUND(SUMIF(AA382:AA389,"=129761636",R382:R389),2)</f>
        <v>58.86</v>
      </c>
      <c r="AF391" s="3">
        <f>ROUND(SUMIF(AA382:AA389,"=129761636",S382:S389),2)</f>
        <v>0</v>
      </c>
      <c r="AG391" s="3">
        <f>ROUND(SUMIF(AA382:AA389,"=129761636",T382:T389),2)</f>
        <v>0</v>
      </c>
      <c r="AH391" s="3">
        <f>SUMIF(AA382:AA389,"=129761636",U382:U389)</f>
        <v>0</v>
      </c>
      <c r="AI391" s="3">
        <f>SUMIF(AA382:AA389,"=129761636",V382:V389)</f>
        <v>0</v>
      </c>
      <c r="AJ391" s="3">
        <f>ROUND(SUMIF(AA382:AA389,"=129761636",W382:W389),2)</f>
        <v>0</v>
      </c>
      <c r="AK391" s="3">
        <f>ROUND(SUMIF(AA382:AA389,"=129761636",X382:X389),2)</f>
        <v>0</v>
      </c>
      <c r="AL391" s="3">
        <f>ROUND(SUMIF(AA382:AA389,"=129761636",Y382:Y389),2)</f>
        <v>0</v>
      </c>
      <c r="AM391" s="3"/>
      <c r="AN391" s="3"/>
      <c r="AO391" s="3">
        <f t="shared" ref="AO391:BD391" si="360">ROUND(BX391,2)</f>
        <v>0</v>
      </c>
      <c r="AP391" s="3">
        <f t="shared" si="360"/>
        <v>0</v>
      </c>
      <c r="AQ391" s="3">
        <f t="shared" si="360"/>
        <v>0</v>
      </c>
      <c r="AR391" s="3">
        <f t="shared" si="360"/>
        <v>2881.86</v>
      </c>
      <c r="AS391" s="3">
        <f t="shared" si="360"/>
        <v>455.39</v>
      </c>
      <c r="AT391" s="3">
        <f t="shared" si="360"/>
        <v>0</v>
      </c>
      <c r="AU391" s="3">
        <f t="shared" si="360"/>
        <v>2426.4699999999998</v>
      </c>
      <c r="AV391" s="3">
        <f t="shared" si="360"/>
        <v>0</v>
      </c>
      <c r="AW391" s="3">
        <f t="shared" si="360"/>
        <v>0</v>
      </c>
      <c r="AX391" s="3">
        <f t="shared" si="360"/>
        <v>0</v>
      </c>
      <c r="AY391" s="3">
        <f t="shared" si="360"/>
        <v>0</v>
      </c>
      <c r="AZ391" s="3">
        <f t="shared" si="360"/>
        <v>0</v>
      </c>
      <c r="BA391" s="3">
        <f t="shared" si="360"/>
        <v>0</v>
      </c>
      <c r="BB391" s="3">
        <f t="shared" si="360"/>
        <v>0</v>
      </c>
      <c r="BC391" s="3">
        <f t="shared" si="360"/>
        <v>0</v>
      </c>
      <c r="BD391" s="3">
        <f t="shared" si="360"/>
        <v>0</v>
      </c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>
        <f>ROUND(SUMIF(AA382:AA389,"=129761636",FQ382:FQ389),2)</f>
        <v>0</v>
      </c>
      <c r="BY391" s="3">
        <f>ROUND(SUMIF(AA382:AA389,"=129761636",FR382:FR389),2)</f>
        <v>0</v>
      </c>
      <c r="BZ391" s="3">
        <f>ROUND(SUMIF(AA382:AA389,"=129761636",GL382:GL389),2)</f>
        <v>0</v>
      </c>
      <c r="CA391" s="3">
        <f>ROUND(SUMIF(AA382:AA389,"=129761636",GM382:GM389),2)</f>
        <v>2881.86</v>
      </c>
      <c r="CB391" s="3">
        <f>ROUND(SUMIF(AA382:AA389,"=129761636",GN382:GN389),2)</f>
        <v>455.39</v>
      </c>
      <c r="CC391" s="3">
        <f>ROUND(SUMIF(AA382:AA389,"=129761636",GO382:GO389),2)</f>
        <v>0</v>
      </c>
      <c r="CD391" s="3">
        <f>ROUND(SUMIF(AA382:AA389,"=129761636",GP382:GP389),2)</f>
        <v>2426.4699999999998</v>
      </c>
      <c r="CE391" s="3">
        <f>AC391-BX391</f>
        <v>0</v>
      </c>
      <c r="CF391" s="3">
        <f>AC391-BY391</f>
        <v>0</v>
      </c>
      <c r="CG391" s="3">
        <f>BX391-BZ391</f>
        <v>0</v>
      </c>
      <c r="CH391" s="3">
        <f>AC391-BX391-BY391+BZ391</f>
        <v>0</v>
      </c>
      <c r="CI391" s="3">
        <f>BY391-BZ391</f>
        <v>0</v>
      </c>
      <c r="CJ391" s="3">
        <f>ROUND(SUMIF(AA382:AA389,"=129761636",GX382:GX389),2)</f>
        <v>0</v>
      </c>
      <c r="CK391" s="3">
        <f>ROUND(SUMIF(AA382:AA389,"=129761636",GY382:GY389),2)</f>
        <v>0</v>
      </c>
      <c r="CL391" s="3">
        <f>ROUND(SUMIF(AA382:AA389,"=129761636",GZ382:GZ389),2)</f>
        <v>0</v>
      </c>
      <c r="CM391" s="3">
        <f>ROUND(SUMIF(AA382:AA389,"=129761636",HD382:HD389),2)</f>
        <v>0</v>
      </c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4">
        <f t="shared" ref="DG391:DL391" si="361">ROUND(DT391,2)</f>
        <v>32394.33</v>
      </c>
      <c r="DH391" s="4">
        <f t="shared" si="361"/>
        <v>0</v>
      </c>
      <c r="DI391" s="4">
        <f t="shared" si="361"/>
        <v>32394.33</v>
      </c>
      <c r="DJ391" s="4">
        <f t="shared" si="361"/>
        <v>1708.71</v>
      </c>
      <c r="DK391" s="4">
        <f t="shared" si="361"/>
        <v>0</v>
      </c>
      <c r="DL391" s="4">
        <f t="shared" si="361"/>
        <v>0</v>
      </c>
      <c r="DM391" s="4">
        <f>DZ391</f>
        <v>0</v>
      </c>
      <c r="DN391" s="4">
        <f>EA391</f>
        <v>0</v>
      </c>
      <c r="DO391" s="4">
        <f>ROUND(EB391,2)</f>
        <v>0</v>
      </c>
      <c r="DP391" s="4">
        <f>ROUND(EC391,2)</f>
        <v>0</v>
      </c>
      <c r="DQ391" s="4">
        <f>ROUND(ED391,2)</f>
        <v>0</v>
      </c>
      <c r="DR391" s="4"/>
      <c r="DS391" s="4"/>
      <c r="DT391" s="4">
        <f>ROUND(SUMIF(AA382:AA389,"=129761633",O382:O389),2)</f>
        <v>32394.33</v>
      </c>
      <c r="DU391" s="4">
        <f>ROUND(SUMIF(AA382:AA389,"=129761633",P382:P389),2)</f>
        <v>0</v>
      </c>
      <c r="DV391" s="4">
        <f>ROUND(SUMIF(AA382:AA389,"=129761633",Q382:Q389),2)</f>
        <v>32394.33</v>
      </c>
      <c r="DW391" s="4">
        <f>ROUND(SUMIF(AA382:AA389,"=129761633",R382:R389),2)</f>
        <v>1708.71</v>
      </c>
      <c r="DX391" s="4">
        <f>ROUND(SUMIF(AA382:AA389,"=129761633",S382:S389),2)</f>
        <v>0</v>
      </c>
      <c r="DY391" s="4">
        <f>ROUND(SUMIF(AA382:AA389,"=129761633",T382:T389),2)</f>
        <v>0</v>
      </c>
      <c r="DZ391" s="4">
        <f>SUMIF(AA382:AA389,"=129761633",U382:U389)</f>
        <v>0</v>
      </c>
      <c r="EA391" s="4">
        <f>SUMIF(AA382:AA389,"=129761633",V382:V389)</f>
        <v>0</v>
      </c>
      <c r="EB391" s="4">
        <f>ROUND(SUMIF(AA382:AA389,"=129761633",W382:W389),2)</f>
        <v>0</v>
      </c>
      <c r="EC391" s="4">
        <f>ROUND(SUMIF(AA382:AA389,"=129761633",X382:X389),2)</f>
        <v>0</v>
      </c>
      <c r="ED391" s="4">
        <f>ROUND(SUMIF(AA382:AA389,"=129761633",Y382:Y389),2)</f>
        <v>0</v>
      </c>
      <c r="EE391" s="4"/>
      <c r="EF391" s="4"/>
      <c r="EG391" s="4">
        <f t="shared" ref="EG391:EV391" si="362">ROUND(FP391,2)</f>
        <v>0</v>
      </c>
      <c r="EH391" s="4">
        <f t="shared" si="362"/>
        <v>0</v>
      </c>
      <c r="EI391" s="4">
        <f t="shared" si="362"/>
        <v>0</v>
      </c>
      <c r="EJ391" s="4">
        <f t="shared" si="362"/>
        <v>35128.269999999997</v>
      </c>
      <c r="EK391" s="4">
        <f t="shared" si="362"/>
        <v>6973.07</v>
      </c>
      <c r="EL391" s="4">
        <f t="shared" si="362"/>
        <v>0</v>
      </c>
      <c r="EM391" s="4">
        <f t="shared" si="362"/>
        <v>28155.200000000001</v>
      </c>
      <c r="EN391" s="4">
        <f t="shared" si="362"/>
        <v>0</v>
      </c>
      <c r="EO391" s="4">
        <f t="shared" si="362"/>
        <v>0</v>
      </c>
      <c r="EP391" s="4">
        <f t="shared" si="362"/>
        <v>0</v>
      </c>
      <c r="EQ391" s="4">
        <f t="shared" si="362"/>
        <v>0</v>
      </c>
      <c r="ER391" s="4">
        <f t="shared" si="362"/>
        <v>0</v>
      </c>
      <c r="ES391" s="4">
        <f t="shared" si="362"/>
        <v>0</v>
      </c>
      <c r="ET391" s="4">
        <f t="shared" si="362"/>
        <v>0</v>
      </c>
      <c r="EU391" s="4">
        <f t="shared" si="362"/>
        <v>0</v>
      </c>
      <c r="EV391" s="4">
        <f t="shared" si="362"/>
        <v>0</v>
      </c>
      <c r="EW391" s="4"/>
      <c r="EX391" s="4"/>
      <c r="EY391" s="4"/>
      <c r="EZ391" s="4"/>
      <c r="FA391" s="4"/>
      <c r="FB391" s="4"/>
      <c r="FC391" s="4"/>
      <c r="FD391" s="4"/>
      <c r="FE391" s="4"/>
      <c r="FF391" s="4"/>
      <c r="FG391" s="4"/>
      <c r="FH391" s="4"/>
      <c r="FI391" s="4"/>
      <c r="FJ391" s="4"/>
      <c r="FK391" s="4"/>
      <c r="FL391" s="4"/>
      <c r="FM391" s="4"/>
      <c r="FN391" s="4"/>
      <c r="FO391" s="4"/>
      <c r="FP391" s="4">
        <f>ROUND(SUMIF(AA382:AA389,"=129761633",FQ382:FQ389),2)</f>
        <v>0</v>
      </c>
      <c r="FQ391" s="4">
        <f>ROUND(SUMIF(AA382:AA389,"=129761633",FR382:FR389),2)</f>
        <v>0</v>
      </c>
      <c r="FR391" s="4">
        <f>ROUND(SUMIF(AA382:AA389,"=129761633",GL382:GL389),2)</f>
        <v>0</v>
      </c>
      <c r="FS391" s="4">
        <f>ROUND(SUMIF(AA382:AA389,"=129761633",GM382:GM389),2)</f>
        <v>35128.269999999997</v>
      </c>
      <c r="FT391" s="4">
        <f>ROUND(SUMIF(AA382:AA389,"=129761633",GN382:GN389),2)</f>
        <v>6973.07</v>
      </c>
      <c r="FU391" s="4">
        <f>ROUND(SUMIF(AA382:AA389,"=129761633",GO382:GO389),2)</f>
        <v>0</v>
      </c>
      <c r="FV391" s="4">
        <f>ROUND(SUMIF(AA382:AA389,"=129761633",GP382:GP389),2)</f>
        <v>28155.200000000001</v>
      </c>
      <c r="FW391" s="4">
        <f>DU391-FP391</f>
        <v>0</v>
      </c>
      <c r="FX391" s="4">
        <f>DU391-FQ391</f>
        <v>0</v>
      </c>
      <c r="FY391" s="4">
        <f>FP391-FR391</f>
        <v>0</v>
      </c>
      <c r="FZ391" s="4">
        <f>DU391-FP391-FQ391+FR391</f>
        <v>0</v>
      </c>
      <c r="GA391" s="4">
        <f>FQ391-FR391</f>
        <v>0</v>
      </c>
      <c r="GB391" s="4">
        <f>ROUND(SUMIF(AA382:AA389,"=129761633",GX382:GX389),2)</f>
        <v>0</v>
      </c>
      <c r="GC391" s="4">
        <f>ROUND(SUMIF(AA382:AA389,"=129761633",GY382:GY389),2)</f>
        <v>0</v>
      </c>
      <c r="GD391" s="4">
        <f>ROUND(SUMIF(AA382:AA389,"=129761633",GZ382:GZ389),2)</f>
        <v>0</v>
      </c>
      <c r="GE391" s="4">
        <f>ROUND(SUMIF(AA382:AA389,"=129761633",HD382:HD389),2)</f>
        <v>0</v>
      </c>
      <c r="GF391" s="4"/>
      <c r="GG391" s="4"/>
      <c r="GH391" s="4"/>
      <c r="GI391" s="4"/>
      <c r="GJ391" s="4"/>
      <c r="GK391" s="4"/>
      <c r="GL391" s="4"/>
      <c r="GM391" s="4"/>
      <c r="GN391" s="4"/>
      <c r="GO391" s="4"/>
      <c r="GP391" s="4"/>
      <c r="GQ391" s="4"/>
      <c r="GR391" s="4"/>
      <c r="GS391" s="4"/>
      <c r="GT391" s="4"/>
      <c r="GU391" s="4"/>
      <c r="GV391" s="4"/>
      <c r="GW391" s="4"/>
      <c r="GX391" s="4">
        <v>0</v>
      </c>
    </row>
    <row r="393" spans="1:255" x14ac:dyDescent="0.2">
      <c r="A393" s="5">
        <v>50</v>
      </c>
      <c r="B393" s="5">
        <v>0</v>
      </c>
      <c r="C393" s="5">
        <v>0</v>
      </c>
      <c r="D393" s="5">
        <v>1</v>
      </c>
      <c r="E393" s="5">
        <v>201</v>
      </c>
      <c r="F393" s="5">
        <f>ROUND(Source!O391,O393)</f>
        <v>2778.85</v>
      </c>
      <c r="G393" s="5" t="s">
        <v>26</v>
      </c>
      <c r="H393" s="5" t="s">
        <v>27</v>
      </c>
      <c r="I393" s="5"/>
      <c r="J393" s="5"/>
      <c r="K393" s="5">
        <v>201</v>
      </c>
      <c r="L393" s="5">
        <v>1</v>
      </c>
      <c r="M393" s="5">
        <v>3</v>
      </c>
      <c r="N393" s="5" t="s">
        <v>3</v>
      </c>
      <c r="O393" s="5">
        <v>2</v>
      </c>
      <c r="P393" s="5">
        <f>ROUND(Source!DG391,O393)</f>
        <v>32394.33</v>
      </c>
      <c r="Q393" s="5"/>
      <c r="R393" s="5"/>
      <c r="S393" s="5"/>
      <c r="T393" s="5"/>
      <c r="U393" s="5"/>
      <c r="V393" s="5"/>
      <c r="W393" s="5">
        <v>2778.85</v>
      </c>
      <c r="X393" s="5">
        <v>1</v>
      </c>
      <c r="Y393" s="5">
        <v>2778.85</v>
      </c>
      <c r="Z393" s="5">
        <v>32394.33</v>
      </c>
      <c r="AA393" s="5">
        <v>1</v>
      </c>
      <c r="AB393" s="5">
        <v>32394.33</v>
      </c>
    </row>
    <row r="394" spans="1:255" x14ac:dyDescent="0.2">
      <c r="A394" s="5">
        <v>50</v>
      </c>
      <c r="B394" s="5">
        <v>0</v>
      </c>
      <c r="C394" s="5">
        <v>0</v>
      </c>
      <c r="D394" s="5">
        <v>1</v>
      </c>
      <c r="E394" s="5">
        <v>202</v>
      </c>
      <c r="F394" s="5">
        <f>ROUND(Source!P391,O394)</f>
        <v>0</v>
      </c>
      <c r="G394" s="5" t="s">
        <v>28</v>
      </c>
      <c r="H394" s="5" t="s">
        <v>29</v>
      </c>
      <c r="I394" s="5"/>
      <c r="J394" s="5"/>
      <c r="K394" s="5">
        <v>202</v>
      </c>
      <c r="L394" s="5">
        <v>2</v>
      </c>
      <c r="M394" s="5">
        <v>3</v>
      </c>
      <c r="N394" s="5" t="s">
        <v>3</v>
      </c>
      <c r="O394" s="5">
        <v>2</v>
      </c>
      <c r="P394" s="5">
        <f>ROUND(Source!DH391,O394)</f>
        <v>0</v>
      </c>
      <c r="Q394" s="5"/>
      <c r="R394" s="5"/>
      <c r="S394" s="5"/>
      <c r="T394" s="5"/>
      <c r="U394" s="5"/>
      <c r="V394" s="5"/>
      <c r="W394" s="5">
        <v>0</v>
      </c>
      <c r="X394" s="5">
        <v>1</v>
      </c>
      <c r="Y394" s="5">
        <v>0</v>
      </c>
      <c r="Z394" s="5">
        <v>0</v>
      </c>
      <c r="AA394" s="5">
        <v>1</v>
      </c>
      <c r="AB394" s="5">
        <v>0</v>
      </c>
    </row>
    <row r="395" spans="1:255" x14ac:dyDescent="0.2">
      <c r="A395" s="5">
        <v>50</v>
      </c>
      <c r="B395" s="5">
        <v>0</v>
      </c>
      <c r="C395" s="5">
        <v>0</v>
      </c>
      <c r="D395" s="5">
        <v>1</v>
      </c>
      <c r="E395" s="5">
        <v>222</v>
      </c>
      <c r="F395" s="5">
        <f>ROUND(Source!AO391,O395)</f>
        <v>0</v>
      </c>
      <c r="G395" s="5" t="s">
        <v>30</v>
      </c>
      <c r="H395" s="5" t="s">
        <v>31</v>
      </c>
      <c r="I395" s="5"/>
      <c r="J395" s="5"/>
      <c r="K395" s="5">
        <v>222</v>
      </c>
      <c r="L395" s="5">
        <v>3</v>
      </c>
      <c r="M395" s="5">
        <v>3</v>
      </c>
      <c r="N395" s="5" t="s">
        <v>3</v>
      </c>
      <c r="O395" s="5">
        <v>2</v>
      </c>
      <c r="P395" s="5">
        <f>ROUND(Source!EG391,O395)</f>
        <v>0</v>
      </c>
      <c r="Q395" s="5"/>
      <c r="R395" s="5"/>
      <c r="S395" s="5"/>
      <c r="T395" s="5"/>
      <c r="U395" s="5"/>
      <c r="V395" s="5"/>
      <c r="W395" s="5">
        <v>0</v>
      </c>
      <c r="X395" s="5">
        <v>1</v>
      </c>
      <c r="Y395" s="5">
        <v>0</v>
      </c>
      <c r="Z395" s="5">
        <v>0</v>
      </c>
      <c r="AA395" s="5">
        <v>1</v>
      </c>
      <c r="AB395" s="5">
        <v>0</v>
      </c>
    </row>
    <row r="396" spans="1:255" x14ac:dyDescent="0.2">
      <c r="A396" s="5">
        <v>50</v>
      </c>
      <c r="B396" s="5">
        <v>0</v>
      </c>
      <c r="C396" s="5">
        <v>0</v>
      </c>
      <c r="D396" s="5">
        <v>1</v>
      </c>
      <c r="E396" s="5">
        <v>225</v>
      </c>
      <c r="F396" s="5">
        <f>ROUND(Source!AV391,O396)</f>
        <v>0</v>
      </c>
      <c r="G396" s="5" t="s">
        <v>32</v>
      </c>
      <c r="H396" s="5" t="s">
        <v>33</v>
      </c>
      <c r="I396" s="5"/>
      <c r="J396" s="5"/>
      <c r="K396" s="5">
        <v>225</v>
      </c>
      <c r="L396" s="5">
        <v>4</v>
      </c>
      <c r="M396" s="5">
        <v>3</v>
      </c>
      <c r="N396" s="5" t="s">
        <v>3</v>
      </c>
      <c r="O396" s="5">
        <v>2</v>
      </c>
      <c r="P396" s="5">
        <f>ROUND(Source!EN391,O396)</f>
        <v>0</v>
      </c>
      <c r="Q396" s="5"/>
      <c r="R396" s="5"/>
      <c r="S396" s="5"/>
      <c r="T396" s="5"/>
      <c r="U396" s="5"/>
      <c r="V396" s="5"/>
      <c r="W396" s="5">
        <v>0</v>
      </c>
      <c r="X396" s="5">
        <v>1</v>
      </c>
      <c r="Y396" s="5">
        <v>0</v>
      </c>
      <c r="Z396" s="5">
        <v>0</v>
      </c>
      <c r="AA396" s="5">
        <v>1</v>
      </c>
      <c r="AB396" s="5">
        <v>0</v>
      </c>
    </row>
    <row r="397" spans="1:255" x14ac:dyDescent="0.2">
      <c r="A397" s="5">
        <v>50</v>
      </c>
      <c r="B397" s="5">
        <v>0</v>
      </c>
      <c r="C397" s="5">
        <v>0</v>
      </c>
      <c r="D397" s="5">
        <v>1</v>
      </c>
      <c r="E397" s="5">
        <v>226</v>
      </c>
      <c r="F397" s="5">
        <f>ROUND(Source!AW391,O397)</f>
        <v>0</v>
      </c>
      <c r="G397" s="5" t="s">
        <v>34</v>
      </c>
      <c r="H397" s="5" t="s">
        <v>35</v>
      </c>
      <c r="I397" s="5"/>
      <c r="J397" s="5"/>
      <c r="K397" s="5">
        <v>226</v>
      </c>
      <c r="L397" s="5">
        <v>5</v>
      </c>
      <c r="M397" s="5">
        <v>3</v>
      </c>
      <c r="N397" s="5" t="s">
        <v>3</v>
      </c>
      <c r="O397" s="5">
        <v>2</v>
      </c>
      <c r="P397" s="5">
        <f>ROUND(Source!EO391,O397)</f>
        <v>0</v>
      </c>
      <c r="Q397" s="5"/>
      <c r="R397" s="5"/>
      <c r="S397" s="5"/>
      <c r="T397" s="5"/>
      <c r="U397" s="5"/>
      <c r="V397" s="5"/>
      <c r="W397" s="5">
        <v>0</v>
      </c>
      <c r="X397" s="5">
        <v>1</v>
      </c>
      <c r="Y397" s="5">
        <v>0</v>
      </c>
      <c r="Z397" s="5">
        <v>0</v>
      </c>
      <c r="AA397" s="5">
        <v>1</v>
      </c>
      <c r="AB397" s="5">
        <v>0</v>
      </c>
    </row>
    <row r="398" spans="1:255" x14ac:dyDescent="0.2">
      <c r="A398" s="5">
        <v>50</v>
      </c>
      <c r="B398" s="5">
        <v>0</v>
      </c>
      <c r="C398" s="5">
        <v>0</v>
      </c>
      <c r="D398" s="5">
        <v>1</v>
      </c>
      <c r="E398" s="5">
        <v>227</v>
      </c>
      <c r="F398" s="5">
        <f>ROUND(Source!AX391,O398)</f>
        <v>0</v>
      </c>
      <c r="G398" s="5" t="s">
        <v>36</v>
      </c>
      <c r="H398" s="5" t="s">
        <v>37</v>
      </c>
      <c r="I398" s="5"/>
      <c r="J398" s="5"/>
      <c r="K398" s="5">
        <v>227</v>
      </c>
      <c r="L398" s="5">
        <v>6</v>
      </c>
      <c r="M398" s="5">
        <v>3</v>
      </c>
      <c r="N398" s="5" t="s">
        <v>3</v>
      </c>
      <c r="O398" s="5">
        <v>2</v>
      </c>
      <c r="P398" s="5">
        <f>ROUND(Source!EP391,O398)</f>
        <v>0</v>
      </c>
      <c r="Q398" s="5"/>
      <c r="R398" s="5"/>
      <c r="S398" s="5"/>
      <c r="T398" s="5"/>
      <c r="U398" s="5"/>
      <c r="V398" s="5"/>
      <c r="W398" s="5">
        <v>0</v>
      </c>
      <c r="X398" s="5">
        <v>1</v>
      </c>
      <c r="Y398" s="5">
        <v>0</v>
      </c>
      <c r="Z398" s="5">
        <v>0</v>
      </c>
      <c r="AA398" s="5">
        <v>1</v>
      </c>
      <c r="AB398" s="5">
        <v>0</v>
      </c>
    </row>
    <row r="399" spans="1:255" x14ac:dyDescent="0.2">
      <c r="A399" s="5">
        <v>50</v>
      </c>
      <c r="B399" s="5">
        <v>0</v>
      </c>
      <c r="C399" s="5">
        <v>0</v>
      </c>
      <c r="D399" s="5">
        <v>1</v>
      </c>
      <c r="E399" s="5">
        <v>228</v>
      </c>
      <c r="F399" s="5">
        <f>ROUND(Source!AY391,O399)</f>
        <v>0</v>
      </c>
      <c r="G399" s="5" t="s">
        <v>38</v>
      </c>
      <c r="H399" s="5" t="s">
        <v>39</v>
      </c>
      <c r="I399" s="5"/>
      <c r="J399" s="5"/>
      <c r="K399" s="5">
        <v>228</v>
      </c>
      <c r="L399" s="5">
        <v>7</v>
      </c>
      <c r="M399" s="5">
        <v>3</v>
      </c>
      <c r="N399" s="5" t="s">
        <v>3</v>
      </c>
      <c r="O399" s="5">
        <v>2</v>
      </c>
      <c r="P399" s="5">
        <f>ROUND(Source!EQ391,O399)</f>
        <v>0</v>
      </c>
      <c r="Q399" s="5"/>
      <c r="R399" s="5"/>
      <c r="S399" s="5"/>
      <c r="T399" s="5"/>
      <c r="U399" s="5"/>
      <c r="V399" s="5"/>
      <c r="W399" s="5">
        <v>0</v>
      </c>
      <c r="X399" s="5">
        <v>1</v>
      </c>
      <c r="Y399" s="5">
        <v>0</v>
      </c>
      <c r="Z399" s="5">
        <v>0</v>
      </c>
      <c r="AA399" s="5">
        <v>1</v>
      </c>
      <c r="AB399" s="5">
        <v>0</v>
      </c>
    </row>
    <row r="400" spans="1:255" x14ac:dyDescent="0.2">
      <c r="A400" s="5">
        <v>50</v>
      </c>
      <c r="B400" s="5">
        <v>0</v>
      </c>
      <c r="C400" s="5">
        <v>0</v>
      </c>
      <c r="D400" s="5">
        <v>1</v>
      </c>
      <c r="E400" s="5">
        <v>216</v>
      </c>
      <c r="F400" s="5">
        <f>ROUND(Source!AP391,O400)</f>
        <v>0</v>
      </c>
      <c r="G400" s="5" t="s">
        <v>40</v>
      </c>
      <c r="H400" s="5" t="s">
        <v>41</v>
      </c>
      <c r="I400" s="5"/>
      <c r="J400" s="5"/>
      <c r="K400" s="5">
        <v>216</v>
      </c>
      <c r="L400" s="5">
        <v>8</v>
      </c>
      <c r="M400" s="5">
        <v>3</v>
      </c>
      <c r="N400" s="5" t="s">
        <v>3</v>
      </c>
      <c r="O400" s="5">
        <v>2</v>
      </c>
      <c r="P400" s="5">
        <f>ROUND(Source!EH391,O400)</f>
        <v>0</v>
      </c>
      <c r="Q400" s="5"/>
      <c r="R400" s="5"/>
      <c r="S400" s="5"/>
      <c r="T400" s="5"/>
      <c r="U400" s="5"/>
      <c r="V400" s="5"/>
      <c r="W400" s="5">
        <v>0</v>
      </c>
      <c r="X400" s="5">
        <v>1</v>
      </c>
      <c r="Y400" s="5">
        <v>0</v>
      </c>
      <c r="Z400" s="5">
        <v>0</v>
      </c>
      <c r="AA400" s="5">
        <v>1</v>
      </c>
      <c r="AB400" s="5">
        <v>0</v>
      </c>
    </row>
    <row r="401" spans="1:28" x14ac:dyDescent="0.2">
      <c r="A401" s="5">
        <v>50</v>
      </c>
      <c r="B401" s="5">
        <v>0</v>
      </c>
      <c r="C401" s="5">
        <v>0</v>
      </c>
      <c r="D401" s="5">
        <v>1</v>
      </c>
      <c r="E401" s="5">
        <v>223</v>
      </c>
      <c r="F401" s="5">
        <f>ROUND(Source!AQ391,O401)</f>
        <v>0</v>
      </c>
      <c r="G401" s="5" t="s">
        <v>42</v>
      </c>
      <c r="H401" s="5" t="s">
        <v>43</v>
      </c>
      <c r="I401" s="5"/>
      <c r="J401" s="5"/>
      <c r="K401" s="5">
        <v>223</v>
      </c>
      <c r="L401" s="5">
        <v>9</v>
      </c>
      <c r="M401" s="5">
        <v>3</v>
      </c>
      <c r="N401" s="5" t="s">
        <v>3</v>
      </c>
      <c r="O401" s="5">
        <v>2</v>
      </c>
      <c r="P401" s="5">
        <f>ROUND(Source!EI391,O401)</f>
        <v>0</v>
      </c>
      <c r="Q401" s="5"/>
      <c r="R401" s="5"/>
      <c r="S401" s="5"/>
      <c r="T401" s="5"/>
      <c r="U401" s="5"/>
      <c r="V401" s="5"/>
      <c r="W401" s="5">
        <v>0</v>
      </c>
      <c r="X401" s="5">
        <v>1</v>
      </c>
      <c r="Y401" s="5">
        <v>0</v>
      </c>
      <c r="Z401" s="5">
        <v>0</v>
      </c>
      <c r="AA401" s="5">
        <v>1</v>
      </c>
      <c r="AB401" s="5">
        <v>0</v>
      </c>
    </row>
    <row r="402" spans="1:28" x14ac:dyDescent="0.2">
      <c r="A402" s="5">
        <v>50</v>
      </c>
      <c r="B402" s="5">
        <v>0</v>
      </c>
      <c r="C402" s="5">
        <v>0</v>
      </c>
      <c r="D402" s="5">
        <v>1</v>
      </c>
      <c r="E402" s="5">
        <v>229</v>
      </c>
      <c r="F402" s="5">
        <f>ROUND(Source!AZ391,O402)</f>
        <v>0</v>
      </c>
      <c r="G402" s="5" t="s">
        <v>44</v>
      </c>
      <c r="H402" s="5" t="s">
        <v>45</v>
      </c>
      <c r="I402" s="5"/>
      <c r="J402" s="5"/>
      <c r="K402" s="5">
        <v>229</v>
      </c>
      <c r="L402" s="5">
        <v>10</v>
      </c>
      <c r="M402" s="5">
        <v>3</v>
      </c>
      <c r="N402" s="5" t="s">
        <v>3</v>
      </c>
      <c r="O402" s="5">
        <v>2</v>
      </c>
      <c r="P402" s="5">
        <f>ROUND(Source!ER391,O402)</f>
        <v>0</v>
      </c>
      <c r="Q402" s="5"/>
      <c r="R402" s="5"/>
      <c r="S402" s="5"/>
      <c r="T402" s="5"/>
      <c r="U402" s="5"/>
      <c r="V402" s="5"/>
      <c r="W402" s="5">
        <v>0</v>
      </c>
      <c r="X402" s="5">
        <v>1</v>
      </c>
      <c r="Y402" s="5">
        <v>0</v>
      </c>
      <c r="Z402" s="5">
        <v>0</v>
      </c>
      <c r="AA402" s="5">
        <v>1</v>
      </c>
      <c r="AB402" s="5">
        <v>0</v>
      </c>
    </row>
    <row r="403" spans="1:28" x14ac:dyDescent="0.2">
      <c r="A403" s="5">
        <v>50</v>
      </c>
      <c r="B403" s="5">
        <v>0</v>
      </c>
      <c r="C403" s="5">
        <v>0</v>
      </c>
      <c r="D403" s="5">
        <v>1</v>
      </c>
      <c r="E403" s="5">
        <v>203</v>
      </c>
      <c r="F403" s="5">
        <f>ROUND(Source!Q391,O403)</f>
        <v>2778.85</v>
      </c>
      <c r="G403" s="5" t="s">
        <v>46</v>
      </c>
      <c r="H403" s="5" t="s">
        <v>47</v>
      </c>
      <c r="I403" s="5"/>
      <c r="J403" s="5"/>
      <c r="K403" s="5">
        <v>203</v>
      </c>
      <c r="L403" s="5">
        <v>11</v>
      </c>
      <c r="M403" s="5">
        <v>3</v>
      </c>
      <c r="N403" s="5" t="s">
        <v>3</v>
      </c>
      <c r="O403" s="5">
        <v>2</v>
      </c>
      <c r="P403" s="5">
        <f>ROUND(Source!DI391,O403)</f>
        <v>32394.33</v>
      </c>
      <c r="Q403" s="5"/>
      <c r="R403" s="5"/>
      <c r="S403" s="5"/>
      <c r="T403" s="5"/>
      <c r="U403" s="5"/>
      <c r="V403" s="5"/>
      <c r="W403" s="5">
        <v>2778.85</v>
      </c>
      <c r="X403" s="5">
        <v>1</v>
      </c>
      <c r="Y403" s="5">
        <v>2778.85</v>
      </c>
      <c r="Z403" s="5">
        <v>32394.33</v>
      </c>
      <c r="AA403" s="5">
        <v>1</v>
      </c>
      <c r="AB403" s="5">
        <v>32394.33</v>
      </c>
    </row>
    <row r="404" spans="1:28" x14ac:dyDescent="0.2">
      <c r="A404" s="5">
        <v>50</v>
      </c>
      <c r="B404" s="5">
        <v>0</v>
      </c>
      <c r="C404" s="5">
        <v>0</v>
      </c>
      <c r="D404" s="5">
        <v>1</v>
      </c>
      <c r="E404" s="5">
        <v>231</v>
      </c>
      <c r="F404" s="5">
        <f>ROUND(Source!BB391,O404)</f>
        <v>0</v>
      </c>
      <c r="G404" s="5" t="s">
        <v>48</v>
      </c>
      <c r="H404" s="5" t="s">
        <v>49</v>
      </c>
      <c r="I404" s="5"/>
      <c r="J404" s="5"/>
      <c r="K404" s="5">
        <v>231</v>
      </c>
      <c r="L404" s="5">
        <v>12</v>
      </c>
      <c r="M404" s="5">
        <v>3</v>
      </c>
      <c r="N404" s="5" t="s">
        <v>3</v>
      </c>
      <c r="O404" s="5">
        <v>2</v>
      </c>
      <c r="P404" s="5">
        <f>ROUND(Source!ET391,O404)</f>
        <v>0</v>
      </c>
      <c r="Q404" s="5"/>
      <c r="R404" s="5"/>
      <c r="S404" s="5"/>
      <c r="T404" s="5"/>
      <c r="U404" s="5"/>
      <c r="V404" s="5"/>
      <c r="W404" s="5">
        <v>0</v>
      </c>
      <c r="X404" s="5">
        <v>1</v>
      </c>
      <c r="Y404" s="5">
        <v>0</v>
      </c>
      <c r="Z404" s="5">
        <v>0</v>
      </c>
      <c r="AA404" s="5">
        <v>1</v>
      </c>
      <c r="AB404" s="5">
        <v>0</v>
      </c>
    </row>
    <row r="405" spans="1:28" x14ac:dyDescent="0.2">
      <c r="A405" s="5">
        <v>50</v>
      </c>
      <c r="B405" s="5">
        <v>0</v>
      </c>
      <c r="C405" s="5">
        <v>0</v>
      </c>
      <c r="D405" s="5">
        <v>1</v>
      </c>
      <c r="E405" s="5">
        <v>204</v>
      </c>
      <c r="F405" s="5">
        <f>ROUND(Source!R391,O405)</f>
        <v>58.86</v>
      </c>
      <c r="G405" s="5" t="s">
        <v>50</v>
      </c>
      <c r="H405" s="5" t="s">
        <v>51</v>
      </c>
      <c r="I405" s="5"/>
      <c r="J405" s="5"/>
      <c r="K405" s="5">
        <v>204</v>
      </c>
      <c r="L405" s="5">
        <v>13</v>
      </c>
      <c r="M405" s="5">
        <v>3</v>
      </c>
      <c r="N405" s="5" t="s">
        <v>3</v>
      </c>
      <c r="O405" s="5">
        <v>2</v>
      </c>
      <c r="P405" s="5">
        <f>ROUND(Source!DJ391,O405)</f>
        <v>1708.71</v>
      </c>
      <c r="Q405" s="5"/>
      <c r="R405" s="5"/>
      <c r="S405" s="5"/>
      <c r="T405" s="5"/>
      <c r="U405" s="5"/>
      <c r="V405" s="5"/>
      <c r="W405" s="5">
        <v>58.86</v>
      </c>
      <c r="X405" s="5">
        <v>1</v>
      </c>
      <c r="Y405" s="5">
        <v>58.86</v>
      </c>
      <c r="Z405" s="5">
        <v>1708.71</v>
      </c>
      <c r="AA405" s="5">
        <v>1</v>
      </c>
      <c r="AB405" s="5">
        <v>1708.71</v>
      </c>
    </row>
    <row r="406" spans="1:28" x14ac:dyDescent="0.2">
      <c r="A406" s="5">
        <v>50</v>
      </c>
      <c r="B406" s="5">
        <v>0</v>
      </c>
      <c r="C406" s="5">
        <v>0</v>
      </c>
      <c r="D406" s="5">
        <v>1</v>
      </c>
      <c r="E406" s="5">
        <v>205</v>
      </c>
      <c r="F406" s="5">
        <f>ROUND(Source!S391,O406)</f>
        <v>0</v>
      </c>
      <c r="G406" s="5" t="s">
        <v>52</v>
      </c>
      <c r="H406" s="5" t="s">
        <v>53</v>
      </c>
      <c r="I406" s="5"/>
      <c r="J406" s="5"/>
      <c r="K406" s="5">
        <v>205</v>
      </c>
      <c r="L406" s="5">
        <v>14</v>
      </c>
      <c r="M406" s="5">
        <v>3</v>
      </c>
      <c r="N406" s="5" t="s">
        <v>3</v>
      </c>
      <c r="O406" s="5">
        <v>2</v>
      </c>
      <c r="P406" s="5">
        <f>ROUND(Source!DK391,O406)</f>
        <v>0</v>
      </c>
      <c r="Q406" s="5"/>
      <c r="R406" s="5"/>
      <c r="S406" s="5"/>
      <c r="T406" s="5"/>
      <c r="U406" s="5"/>
      <c r="V406" s="5"/>
      <c r="W406" s="5">
        <v>0</v>
      </c>
      <c r="X406" s="5">
        <v>1</v>
      </c>
      <c r="Y406" s="5">
        <v>0</v>
      </c>
      <c r="Z406" s="5">
        <v>0</v>
      </c>
      <c r="AA406" s="5">
        <v>1</v>
      </c>
      <c r="AB406" s="5">
        <v>0</v>
      </c>
    </row>
    <row r="407" spans="1:28" x14ac:dyDescent="0.2">
      <c r="A407" s="5">
        <v>50</v>
      </c>
      <c r="B407" s="5">
        <v>0</v>
      </c>
      <c r="C407" s="5">
        <v>0</v>
      </c>
      <c r="D407" s="5">
        <v>1</v>
      </c>
      <c r="E407" s="5">
        <v>232</v>
      </c>
      <c r="F407" s="5">
        <f>ROUND(Source!BC391,O407)</f>
        <v>0</v>
      </c>
      <c r="G407" s="5" t="s">
        <v>54</v>
      </c>
      <c r="H407" s="5" t="s">
        <v>55</v>
      </c>
      <c r="I407" s="5"/>
      <c r="J407" s="5"/>
      <c r="K407" s="5">
        <v>232</v>
      </c>
      <c r="L407" s="5">
        <v>15</v>
      </c>
      <c r="M407" s="5">
        <v>3</v>
      </c>
      <c r="N407" s="5" t="s">
        <v>3</v>
      </c>
      <c r="O407" s="5">
        <v>2</v>
      </c>
      <c r="P407" s="5">
        <f>ROUND(Source!EU391,O407)</f>
        <v>0</v>
      </c>
      <c r="Q407" s="5"/>
      <c r="R407" s="5"/>
      <c r="S407" s="5"/>
      <c r="T407" s="5"/>
      <c r="U407" s="5"/>
      <c r="V407" s="5"/>
      <c r="W407" s="5">
        <v>0</v>
      </c>
      <c r="X407" s="5">
        <v>1</v>
      </c>
      <c r="Y407" s="5">
        <v>0</v>
      </c>
      <c r="Z407" s="5">
        <v>0</v>
      </c>
      <c r="AA407" s="5">
        <v>1</v>
      </c>
      <c r="AB407" s="5">
        <v>0</v>
      </c>
    </row>
    <row r="408" spans="1:28" x14ac:dyDescent="0.2">
      <c r="A408" s="5">
        <v>50</v>
      </c>
      <c r="B408" s="5">
        <v>0</v>
      </c>
      <c r="C408" s="5">
        <v>0</v>
      </c>
      <c r="D408" s="5">
        <v>1</v>
      </c>
      <c r="E408" s="5">
        <v>214</v>
      </c>
      <c r="F408" s="5">
        <f>ROUND(Source!AS391,O408)</f>
        <v>455.39</v>
      </c>
      <c r="G408" s="5" t="s">
        <v>56</v>
      </c>
      <c r="H408" s="5" t="s">
        <v>57</v>
      </c>
      <c r="I408" s="5"/>
      <c r="J408" s="5"/>
      <c r="K408" s="5">
        <v>214</v>
      </c>
      <c r="L408" s="5">
        <v>16</v>
      </c>
      <c r="M408" s="5">
        <v>3</v>
      </c>
      <c r="N408" s="5" t="s">
        <v>3</v>
      </c>
      <c r="O408" s="5">
        <v>2</v>
      </c>
      <c r="P408" s="5">
        <f>ROUND(Source!EK391,O408)</f>
        <v>6973.07</v>
      </c>
      <c r="Q408" s="5"/>
      <c r="R408" s="5"/>
      <c r="S408" s="5"/>
      <c r="T408" s="5"/>
      <c r="U408" s="5"/>
      <c r="V408" s="5"/>
      <c r="W408" s="5">
        <v>455.39</v>
      </c>
      <c r="X408" s="5">
        <v>1</v>
      </c>
      <c r="Y408" s="5">
        <v>455.39</v>
      </c>
      <c r="Z408" s="5">
        <v>6973.07</v>
      </c>
      <c r="AA408" s="5">
        <v>1</v>
      </c>
      <c r="AB408" s="5">
        <v>6973.07</v>
      </c>
    </row>
    <row r="409" spans="1:28" x14ac:dyDescent="0.2">
      <c r="A409" s="5">
        <v>50</v>
      </c>
      <c r="B409" s="5">
        <v>0</v>
      </c>
      <c r="C409" s="5">
        <v>0</v>
      </c>
      <c r="D409" s="5">
        <v>1</v>
      </c>
      <c r="E409" s="5">
        <v>215</v>
      </c>
      <c r="F409" s="5">
        <f>ROUND(Source!AT391,O409)</f>
        <v>0</v>
      </c>
      <c r="G409" s="5" t="s">
        <v>58</v>
      </c>
      <c r="H409" s="5" t="s">
        <v>59</v>
      </c>
      <c r="I409" s="5"/>
      <c r="J409" s="5"/>
      <c r="K409" s="5">
        <v>215</v>
      </c>
      <c r="L409" s="5">
        <v>17</v>
      </c>
      <c r="M409" s="5">
        <v>3</v>
      </c>
      <c r="N409" s="5" t="s">
        <v>3</v>
      </c>
      <c r="O409" s="5">
        <v>2</v>
      </c>
      <c r="P409" s="5">
        <f>ROUND(Source!EL391,O409)</f>
        <v>0</v>
      </c>
      <c r="Q409" s="5"/>
      <c r="R409" s="5"/>
      <c r="S409" s="5"/>
      <c r="T409" s="5"/>
      <c r="U409" s="5"/>
      <c r="V409" s="5"/>
      <c r="W409" s="5">
        <v>0</v>
      </c>
      <c r="X409" s="5">
        <v>1</v>
      </c>
      <c r="Y409" s="5">
        <v>0</v>
      </c>
      <c r="Z409" s="5">
        <v>0</v>
      </c>
      <c r="AA409" s="5">
        <v>1</v>
      </c>
      <c r="AB409" s="5">
        <v>0</v>
      </c>
    </row>
    <row r="410" spans="1:28" x14ac:dyDescent="0.2">
      <c r="A410" s="5">
        <v>50</v>
      </c>
      <c r="B410" s="5">
        <v>0</v>
      </c>
      <c r="C410" s="5">
        <v>0</v>
      </c>
      <c r="D410" s="5">
        <v>1</v>
      </c>
      <c r="E410" s="5">
        <v>217</v>
      </c>
      <c r="F410" s="5">
        <f>ROUND(Source!AU391,O410)</f>
        <v>2426.4699999999998</v>
      </c>
      <c r="G410" s="5" t="s">
        <v>60</v>
      </c>
      <c r="H410" s="5" t="s">
        <v>61</v>
      </c>
      <c r="I410" s="5"/>
      <c r="J410" s="5"/>
      <c r="K410" s="5">
        <v>217</v>
      </c>
      <c r="L410" s="5">
        <v>18</v>
      </c>
      <c r="M410" s="5">
        <v>3</v>
      </c>
      <c r="N410" s="5" t="s">
        <v>3</v>
      </c>
      <c r="O410" s="5">
        <v>2</v>
      </c>
      <c r="P410" s="5">
        <f>ROUND(Source!EM391,O410)</f>
        <v>28155.200000000001</v>
      </c>
      <c r="Q410" s="5"/>
      <c r="R410" s="5"/>
      <c r="S410" s="5"/>
      <c r="T410" s="5"/>
      <c r="U410" s="5"/>
      <c r="V410" s="5"/>
      <c r="W410" s="5">
        <v>2426.4699999999998</v>
      </c>
      <c r="X410" s="5">
        <v>1</v>
      </c>
      <c r="Y410" s="5">
        <v>2426.4699999999998</v>
      </c>
      <c r="Z410" s="5">
        <v>28155.200000000001</v>
      </c>
      <c r="AA410" s="5">
        <v>1</v>
      </c>
      <c r="AB410" s="5">
        <v>28155.200000000001</v>
      </c>
    </row>
    <row r="411" spans="1:28" x14ac:dyDescent="0.2">
      <c r="A411" s="5">
        <v>50</v>
      </c>
      <c r="B411" s="5">
        <v>0</v>
      </c>
      <c r="C411" s="5">
        <v>0</v>
      </c>
      <c r="D411" s="5">
        <v>1</v>
      </c>
      <c r="E411" s="5">
        <v>230</v>
      </c>
      <c r="F411" s="5">
        <f>ROUND(Source!BA391,O411)</f>
        <v>0</v>
      </c>
      <c r="G411" s="5" t="s">
        <v>62</v>
      </c>
      <c r="H411" s="5" t="s">
        <v>63</v>
      </c>
      <c r="I411" s="5"/>
      <c r="J411" s="5"/>
      <c r="K411" s="5">
        <v>230</v>
      </c>
      <c r="L411" s="5">
        <v>19</v>
      </c>
      <c r="M411" s="5">
        <v>3</v>
      </c>
      <c r="N411" s="5" t="s">
        <v>3</v>
      </c>
      <c r="O411" s="5">
        <v>2</v>
      </c>
      <c r="P411" s="5">
        <f>ROUND(Source!ES391,O411)</f>
        <v>0</v>
      </c>
      <c r="Q411" s="5"/>
      <c r="R411" s="5"/>
      <c r="S411" s="5"/>
      <c r="T411" s="5"/>
      <c r="U411" s="5"/>
      <c r="V411" s="5"/>
      <c r="W411" s="5">
        <v>0</v>
      </c>
      <c r="X411" s="5">
        <v>1</v>
      </c>
      <c r="Y411" s="5">
        <v>0</v>
      </c>
      <c r="Z411" s="5">
        <v>0</v>
      </c>
      <c r="AA411" s="5">
        <v>1</v>
      </c>
      <c r="AB411" s="5">
        <v>0</v>
      </c>
    </row>
    <row r="412" spans="1:28" x14ac:dyDescent="0.2">
      <c r="A412" s="5">
        <v>50</v>
      </c>
      <c r="B412" s="5">
        <v>0</v>
      </c>
      <c r="C412" s="5">
        <v>0</v>
      </c>
      <c r="D412" s="5">
        <v>1</v>
      </c>
      <c r="E412" s="5">
        <v>206</v>
      </c>
      <c r="F412" s="5">
        <f>ROUND(Source!T391,O412)</f>
        <v>0</v>
      </c>
      <c r="G412" s="5" t="s">
        <v>64</v>
      </c>
      <c r="H412" s="5" t="s">
        <v>65</v>
      </c>
      <c r="I412" s="5"/>
      <c r="J412" s="5"/>
      <c r="K412" s="5">
        <v>206</v>
      </c>
      <c r="L412" s="5">
        <v>20</v>
      </c>
      <c r="M412" s="5">
        <v>3</v>
      </c>
      <c r="N412" s="5" t="s">
        <v>3</v>
      </c>
      <c r="O412" s="5">
        <v>2</v>
      </c>
      <c r="P412" s="5">
        <f>ROUND(Source!DL391,O412)</f>
        <v>0</v>
      </c>
      <c r="Q412" s="5"/>
      <c r="R412" s="5"/>
      <c r="S412" s="5"/>
      <c r="T412" s="5"/>
      <c r="U412" s="5"/>
      <c r="V412" s="5"/>
      <c r="W412" s="5">
        <v>0</v>
      </c>
      <c r="X412" s="5">
        <v>1</v>
      </c>
      <c r="Y412" s="5">
        <v>0</v>
      </c>
      <c r="Z412" s="5">
        <v>0</v>
      </c>
      <c r="AA412" s="5">
        <v>1</v>
      </c>
      <c r="AB412" s="5">
        <v>0</v>
      </c>
    </row>
    <row r="413" spans="1:28" x14ac:dyDescent="0.2">
      <c r="A413" s="5">
        <v>50</v>
      </c>
      <c r="B413" s="5">
        <v>0</v>
      </c>
      <c r="C413" s="5">
        <v>0</v>
      </c>
      <c r="D413" s="5">
        <v>1</v>
      </c>
      <c r="E413" s="5">
        <v>207</v>
      </c>
      <c r="F413" s="5">
        <f>Source!U391</f>
        <v>0</v>
      </c>
      <c r="G413" s="5" t="s">
        <v>66</v>
      </c>
      <c r="H413" s="5" t="s">
        <v>67</v>
      </c>
      <c r="I413" s="5"/>
      <c r="J413" s="5"/>
      <c r="K413" s="5">
        <v>207</v>
      </c>
      <c r="L413" s="5">
        <v>21</v>
      </c>
      <c r="M413" s="5">
        <v>3</v>
      </c>
      <c r="N413" s="5" t="s">
        <v>3</v>
      </c>
      <c r="O413" s="5">
        <v>-1</v>
      </c>
      <c r="P413" s="5">
        <f>Source!DM391</f>
        <v>0</v>
      </c>
      <c r="Q413" s="5"/>
      <c r="R413" s="5"/>
      <c r="S413" s="5"/>
      <c r="T413" s="5"/>
      <c r="U413" s="5"/>
      <c r="V413" s="5"/>
      <c r="W413" s="5">
        <v>0</v>
      </c>
      <c r="X413" s="5">
        <v>1</v>
      </c>
      <c r="Y413" s="5">
        <v>0</v>
      </c>
      <c r="Z413" s="5">
        <v>0</v>
      </c>
      <c r="AA413" s="5">
        <v>1</v>
      </c>
      <c r="AB413" s="5">
        <v>0</v>
      </c>
    </row>
    <row r="414" spans="1:28" x14ac:dyDescent="0.2">
      <c r="A414" s="5">
        <v>50</v>
      </c>
      <c r="B414" s="5">
        <v>0</v>
      </c>
      <c r="C414" s="5">
        <v>0</v>
      </c>
      <c r="D414" s="5">
        <v>1</v>
      </c>
      <c r="E414" s="5">
        <v>208</v>
      </c>
      <c r="F414" s="5">
        <f>Source!V391</f>
        <v>0</v>
      </c>
      <c r="G414" s="5" t="s">
        <v>68</v>
      </c>
      <c r="H414" s="5" t="s">
        <v>69</v>
      </c>
      <c r="I414" s="5"/>
      <c r="J414" s="5"/>
      <c r="K414" s="5">
        <v>208</v>
      </c>
      <c r="L414" s="5">
        <v>22</v>
      </c>
      <c r="M414" s="5">
        <v>3</v>
      </c>
      <c r="N414" s="5" t="s">
        <v>3</v>
      </c>
      <c r="O414" s="5">
        <v>-1</v>
      </c>
      <c r="P414" s="5">
        <f>Source!DN391</f>
        <v>0</v>
      </c>
      <c r="Q414" s="5"/>
      <c r="R414" s="5"/>
      <c r="S414" s="5"/>
      <c r="T414" s="5"/>
      <c r="U414" s="5"/>
      <c r="V414" s="5"/>
      <c r="W414" s="5">
        <v>0</v>
      </c>
      <c r="X414" s="5">
        <v>1</v>
      </c>
      <c r="Y414" s="5">
        <v>0</v>
      </c>
      <c r="Z414" s="5">
        <v>0</v>
      </c>
      <c r="AA414" s="5">
        <v>1</v>
      </c>
      <c r="AB414" s="5">
        <v>0</v>
      </c>
    </row>
    <row r="415" spans="1:28" x14ac:dyDescent="0.2">
      <c r="A415" s="5">
        <v>50</v>
      </c>
      <c r="B415" s="5">
        <v>0</v>
      </c>
      <c r="C415" s="5">
        <v>0</v>
      </c>
      <c r="D415" s="5">
        <v>1</v>
      </c>
      <c r="E415" s="5">
        <v>209</v>
      </c>
      <c r="F415" s="5">
        <f>ROUND(Source!W391,O415)</f>
        <v>0</v>
      </c>
      <c r="G415" s="5" t="s">
        <v>70</v>
      </c>
      <c r="H415" s="5" t="s">
        <v>71</v>
      </c>
      <c r="I415" s="5"/>
      <c r="J415" s="5"/>
      <c r="K415" s="5">
        <v>209</v>
      </c>
      <c r="L415" s="5">
        <v>23</v>
      </c>
      <c r="M415" s="5">
        <v>3</v>
      </c>
      <c r="N415" s="5" t="s">
        <v>3</v>
      </c>
      <c r="O415" s="5">
        <v>2</v>
      </c>
      <c r="P415" s="5">
        <f>ROUND(Source!DO391,O415)</f>
        <v>0</v>
      </c>
      <c r="Q415" s="5"/>
      <c r="R415" s="5"/>
      <c r="S415" s="5"/>
      <c r="T415" s="5"/>
      <c r="U415" s="5"/>
      <c r="V415" s="5"/>
      <c r="W415" s="5">
        <v>0</v>
      </c>
      <c r="X415" s="5">
        <v>1</v>
      </c>
      <c r="Y415" s="5">
        <v>0</v>
      </c>
      <c r="Z415" s="5">
        <v>0</v>
      </c>
      <c r="AA415" s="5">
        <v>1</v>
      </c>
      <c r="AB415" s="5">
        <v>0</v>
      </c>
    </row>
    <row r="416" spans="1:28" x14ac:dyDescent="0.2">
      <c r="A416" s="5">
        <v>50</v>
      </c>
      <c r="B416" s="5">
        <v>0</v>
      </c>
      <c r="C416" s="5">
        <v>0</v>
      </c>
      <c r="D416" s="5">
        <v>1</v>
      </c>
      <c r="E416" s="5">
        <v>233</v>
      </c>
      <c r="F416" s="5">
        <f>ROUND(Source!BD391,O416)</f>
        <v>0</v>
      </c>
      <c r="G416" s="5" t="s">
        <v>72</v>
      </c>
      <c r="H416" s="5" t="s">
        <v>73</v>
      </c>
      <c r="I416" s="5"/>
      <c r="J416" s="5"/>
      <c r="K416" s="5">
        <v>233</v>
      </c>
      <c r="L416" s="5">
        <v>24</v>
      </c>
      <c r="M416" s="5">
        <v>3</v>
      </c>
      <c r="N416" s="5" t="s">
        <v>3</v>
      </c>
      <c r="O416" s="5">
        <v>2</v>
      </c>
      <c r="P416" s="5">
        <f>ROUND(Source!EV391,O416)</f>
        <v>0</v>
      </c>
      <c r="Q416" s="5"/>
      <c r="R416" s="5"/>
      <c r="S416" s="5"/>
      <c r="T416" s="5"/>
      <c r="U416" s="5"/>
      <c r="V416" s="5"/>
      <c r="W416" s="5">
        <v>0</v>
      </c>
      <c r="X416" s="5">
        <v>1</v>
      </c>
      <c r="Y416" s="5">
        <v>0</v>
      </c>
      <c r="Z416" s="5">
        <v>0</v>
      </c>
      <c r="AA416" s="5">
        <v>1</v>
      </c>
      <c r="AB416" s="5">
        <v>0</v>
      </c>
    </row>
    <row r="417" spans="1:206" x14ac:dyDescent="0.2">
      <c r="A417" s="5">
        <v>50</v>
      </c>
      <c r="B417" s="5">
        <v>0</v>
      </c>
      <c r="C417" s="5">
        <v>0</v>
      </c>
      <c r="D417" s="5">
        <v>1</v>
      </c>
      <c r="E417" s="5">
        <v>210</v>
      </c>
      <c r="F417" s="5">
        <f>ROUND(Source!X391,O417)</f>
        <v>0</v>
      </c>
      <c r="G417" s="5" t="s">
        <v>74</v>
      </c>
      <c r="H417" s="5" t="s">
        <v>75</v>
      </c>
      <c r="I417" s="5"/>
      <c r="J417" s="5"/>
      <c r="K417" s="5">
        <v>210</v>
      </c>
      <c r="L417" s="5">
        <v>25</v>
      </c>
      <c r="M417" s="5">
        <v>3</v>
      </c>
      <c r="N417" s="5" t="s">
        <v>3</v>
      </c>
      <c r="O417" s="5">
        <v>2</v>
      </c>
      <c r="P417" s="5">
        <f>ROUND(Source!DP391,O417)</f>
        <v>0</v>
      </c>
      <c r="Q417" s="5"/>
      <c r="R417" s="5"/>
      <c r="S417" s="5"/>
      <c r="T417" s="5"/>
      <c r="U417" s="5"/>
      <c r="V417" s="5"/>
      <c r="W417" s="5">
        <v>0</v>
      </c>
      <c r="X417" s="5">
        <v>1</v>
      </c>
      <c r="Y417" s="5">
        <v>0</v>
      </c>
      <c r="Z417" s="5">
        <v>0</v>
      </c>
      <c r="AA417" s="5">
        <v>1</v>
      </c>
      <c r="AB417" s="5">
        <v>0</v>
      </c>
    </row>
    <row r="418" spans="1:206" x14ac:dyDescent="0.2">
      <c r="A418" s="5">
        <v>50</v>
      </c>
      <c r="B418" s="5">
        <v>0</v>
      </c>
      <c r="C418" s="5">
        <v>0</v>
      </c>
      <c r="D418" s="5">
        <v>1</v>
      </c>
      <c r="E418" s="5">
        <v>211</v>
      </c>
      <c r="F418" s="5">
        <f>ROUND(Source!Y391,O418)</f>
        <v>0</v>
      </c>
      <c r="G418" s="5" t="s">
        <v>76</v>
      </c>
      <c r="H418" s="5" t="s">
        <v>77</v>
      </c>
      <c r="I418" s="5"/>
      <c r="J418" s="5"/>
      <c r="K418" s="5">
        <v>211</v>
      </c>
      <c r="L418" s="5">
        <v>26</v>
      </c>
      <c r="M418" s="5">
        <v>3</v>
      </c>
      <c r="N418" s="5" t="s">
        <v>3</v>
      </c>
      <c r="O418" s="5">
        <v>2</v>
      </c>
      <c r="P418" s="5">
        <f>ROUND(Source!DQ391,O418)</f>
        <v>0</v>
      </c>
      <c r="Q418" s="5"/>
      <c r="R418" s="5"/>
      <c r="S418" s="5"/>
      <c r="T418" s="5"/>
      <c r="U418" s="5"/>
      <c r="V418" s="5"/>
      <c r="W418" s="5">
        <v>0</v>
      </c>
      <c r="X418" s="5">
        <v>1</v>
      </c>
      <c r="Y418" s="5">
        <v>0</v>
      </c>
      <c r="Z418" s="5">
        <v>0</v>
      </c>
      <c r="AA418" s="5">
        <v>1</v>
      </c>
      <c r="AB418" s="5">
        <v>0</v>
      </c>
    </row>
    <row r="419" spans="1:206" x14ac:dyDescent="0.2">
      <c r="A419" s="5">
        <v>50</v>
      </c>
      <c r="B419" s="5">
        <v>0</v>
      </c>
      <c r="C419" s="5">
        <v>0</v>
      </c>
      <c r="D419" s="5">
        <v>1</v>
      </c>
      <c r="E419" s="5">
        <v>224</v>
      </c>
      <c r="F419" s="5">
        <f>ROUND(Source!AR391,O419)</f>
        <v>2881.86</v>
      </c>
      <c r="G419" s="5" t="s">
        <v>78</v>
      </c>
      <c r="H419" s="5" t="s">
        <v>79</v>
      </c>
      <c r="I419" s="5"/>
      <c r="J419" s="5"/>
      <c r="K419" s="5">
        <v>224</v>
      </c>
      <c r="L419" s="5">
        <v>27</v>
      </c>
      <c r="M419" s="5">
        <v>3</v>
      </c>
      <c r="N419" s="5" t="s">
        <v>3</v>
      </c>
      <c r="O419" s="5">
        <v>2</v>
      </c>
      <c r="P419" s="5">
        <f>ROUND(Source!EJ391,O419)</f>
        <v>35128.269999999997</v>
      </c>
      <c r="Q419" s="5"/>
      <c r="R419" s="5"/>
      <c r="S419" s="5"/>
      <c r="T419" s="5"/>
      <c r="U419" s="5"/>
      <c r="V419" s="5"/>
      <c r="W419" s="5">
        <v>2881.86</v>
      </c>
      <c r="X419" s="5">
        <v>1</v>
      </c>
      <c r="Y419" s="5">
        <v>2881.86</v>
      </c>
      <c r="Z419" s="5">
        <v>35128.269999999997</v>
      </c>
      <c r="AA419" s="5">
        <v>1</v>
      </c>
      <c r="AB419" s="5">
        <v>35128.269999999997</v>
      </c>
    </row>
    <row r="421" spans="1:206" x14ac:dyDescent="0.2">
      <c r="A421" s="3">
        <v>51</v>
      </c>
      <c r="B421" s="3">
        <f>B146</f>
        <v>1</v>
      </c>
      <c r="C421" s="3">
        <f>A146</f>
        <v>3</v>
      </c>
      <c r="D421" s="3">
        <f>ROW(A146)</f>
        <v>146</v>
      </c>
      <c r="E421" s="3"/>
      <c r="F421" s="3" t="str">
        <f>IF(F146&lt;&gt;"",F146,"")</f>
        <v>02-01-02</v>
      </c>
      <c r="G421" s="3" t="str">
        <f>IF(G146&lt;&gt;"",G146,"")</f>
        <v>Архитектурные решения</v>
      </c>
      <c r="H421" s="3">
        <v>0</v>
      </c>
      <c r="I421" s="3"/>
      <c r="J421" s="3"/>
      <c r="K421" s="3"/>
      <c r="L421" s="3"/>
      <c r="M421" s="3"/>
      <c r="N421" s="3"/>
      <c r="O421" s="3">
        <f t="shared" ref="O421:T421" si="363">ROUND(O193+O348+O391+AB421,2)</f>
        <v>43779.75</v>
      </c>
      <c r="P421" s="3">
        <f t="shared" si="363"/>
        <v>30799.61</v>
      </c>
      <c r="Q421" s="3">
        <f t="shared" si="363"/>
        <v>5490.85</v>
      </c>
      <c r="R421" s="3">
        <f t="shared" si="363"/>
        <v>568.79</v>
      </c>
      <c r="S421" s="3">
        <f t="shared" si="363"/>
        <v>7489.29</v>
      </c>
      <c r="T421" s="3">
        <f t="shared" si="363"/>
        <v>0</v>
      </c>
      <c r="U421" s="3">
        <f>U193+U348+U391+AH421</f>
        <v>630.45396745000005</v>
      </c>
      <c r="V421" s="3">
        <f>V193+V348+V391+AI421</f>
        <v>0</v>
      </c>
      <c r="W421" s="3">
        <f>ROUND(W193+W348+W391+AJ421,2)</f>
        <v>0</v>
      </c>
      <c r="X421" s="3">
        <f>ROUND(X193+X348+X391+AK421,2)</f>
        <v>6804.42</v>
      </c>
      <c r="Y421" s="3">
        <f>ROUND(Y193+Y348+Y391+AL421,2)</f>
        <v>4551.83</v>
      </c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>
        <f t="shared" ref="AO421:BD421" si="364">ROUND(AO193+AO348+AO391+BX421,2)</f>
        <v>0</v>
      </c>
      <c r="AP421" s="3">
        <f t="shared" si="364"/>
        <v>0</v>
      </c>
      <c r="AQ421" s="3">
        <f t="shared" si="364"/>
        <v>0</v>
      </c>
      <c r="AR421" s="3">
        <f t="shared" si="364"/>
        <v>56131.41</v>
      </c>
      <c r="AS421" s="3">
        <f t="shared" si="364"/>
        <v>53704.94</v>
      </c>
      <c r="AT421" s="3">
        <f t="shared" si="364"/>
        <v>0</v>
      </c>
      <c r="AU421" s="3">
        <f t="shared" si="364"/>
        <v>2426.4699999999998</v>
      </c>
      <c r="AV421" s="3">
        <f t="shared" si="364"/>
        <v>30799.61</v>
      </c>
      <c r="AW421" s="3">
        <f t="shared" si="364"/>
        <v>30799.61</v>
      </c>
      <c r="AX421" s="3">
        <f t="shared" si="364"/>
        <v>0</v>
      </c>
      <c r="AY421" s="3">
        <f t="shared" si="364"/>
        <v>30799.61</v>
      </c>
      <c r="AZ421" s="3">
        <f t="shared" si="364"/>
        <v>0</v>
      </c>
      <c r="BA421" s="3">
        <f t="shared" si="364"/>
        <v>0</v>
      </c>
      <c r="BB421" s="3">
        <f t="shared" si="364"/>
        <v>0</v>
      </c>
      <c r="BC421" s="3">
        <f t="shared" si="364"/>
        <v>0</v>
      </c>
      <c r="BD421" s="3">
        <f t="shared" si="364"/>
        <v>0</v>
      </c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4">
        <f t="shared" ref="DG421:DL421" si="365">ROUND(DG193+DG348+DG391+DT421,2)</f>
        <v>804370.76</v>
      </c>
      <c r="DH421" s="4">
        <f t="shared" si="365"/>
        <v>520744.63</v>
      </c>
      <c r="DI421" s="4">
        <f t="shared" si="365"/>
        <v>66212.03</v>
      </c>
      <c r="DJ421" s="4">
        <f t="shared" si="365"/>
        <v>16511.95</v>
      </c>
      <c r="DK421" s="4">
        <f t="shared" si="365"/>
        <v>217414.1</v>
      </c>
      <c r="DL421" s="4">
        <f t="shared" si="365"/>
        <v>0</v>
      </c>
      <c r="DM421" s="4">
        <f>DM193+DM348+DM391+DZ421</f>
        <v>630.45396745000005</v>
      </c>
      <c r="DN421" s="4">
        <f>DN193+DN348+DN391+EA421</f>
        <v>0</v>
      </c>
      <c r="DO421" s="4">
        <f>ROUND(DO193+DO348+DO391+EB421,2)</f>
        <v>0</v>
      </c>
      <c r="DP421" s="4">
        <f>ROUND(DP193+DP348+DP391+EC421,2)</f>
        <v>167335.43</v>
      </c>
      <c r="DQ421" s="4">
        <f>ROUND(DQ193+DQ348+DQ391+ED421,2)</f>
        <v>89139.77</v>
      </c>
      <c r="DR421" s="4"/>
      <c r="DS421" s="4"/>
      <c r="DT421" s="4"/>
      <c r="DU421" s="4"/>
      <c r="DV421" s="4"/>
      <c r="DW421" s="4"/>
      <c r="DX421" s="4"/>
      <c r="DY421" s="4"/>
      <c r="DZ421" s="4"/>
      <c r="EA421" s="4"/>
      <c r="EB421" s="4"/>
      <c r="EC421" s="4"/>
      <c r="ED421" s="4"/>
      <c r="EE421" s="4"/>
      <c r="EF421" s="4"/>
      <c r="EG421" s="4">
        <f t="shared" ref="EG421:EV421" si="366">ROUND(EG193+EG348+EG391+FP421,2)</f>
        <v>0</v>
      </c>
      <c r="EH421" s="4">
        <f t="shared" si="366"/>
        <v>0</v>
      </c>
      <c r="EI421" s="4">
        <f t="shared" si="366"/>
        <v>0</v>
      </c>
      <c r="EJ421" s="4">
        <f t="shared" si="366"/>
        <v>1087265.07</v>
      </c>
      <c r="EK421" s="4">
        <f t="shared" si="366"/>
        <v>1059109.8700000001</v>
      </c>
      <c r="EL421" s="4">
        <f t="shared" si="366"/>
        <v>0</v>
      </c>
      <c r="EM421" s="4">
        <f t="shared" si="366"/>
        <v>28155.200000000001</v>
      </c>
      <c r="EN421" s="4">
        <f t="shared" si="366"/>
        <v>520744.63</v>
      </c>
      <c r="EO421" s="4">
        <f t="shared" si="366"/>
        <v>520744.63</v>
      </c>
      <c r="EP421" s="4">
        <f t="shared" si="366"/>
        <v>0</v>
      </c>
      <c r="EQ421" s="4">
        <f t="shared" si="366"/>
        <v>520744.63</v>
      </c>
      <c r="ER421" s="4">
        <f t="shared" si="366"/>
        <v>0</v>
      </c>
      <c r="ES421" s="4">
        <f t="shared" si="366"/>
        <v>0</v>
      </c>
      <c r="ET421" s="4">
        <f t="shared" si="366"/>
        <v>0</v>
      </c>
      <c r="EU421" s="4">
        <f t="shared" si="366"/>
        <v>0</v>
      </c>
      <c r="EV421" s="4">
        <f t="shared" si="366"/>
        <v>0</v>
      </c>
      <c r="EW421" s="4"/>
      <c r="EX421" s="4"/>
      <c r="EY421" s="4"/>
      <c r="EZ421" s="4"/>
      <c r="FA421" s="4"/>
      <c r="FB421" s="4"/>
      <c r="FC421" s="4"/>
      <c r="FD421" s="4"/>
      <c r="FE421" s="4"/>
      <c r="FF421" s="4"/>
      <c r="FG421" s="4"/>
      <c r="FH421" s="4"/>
      <c r="FI421" s="4"/>
      <c r="FJ421" s="4"/>
      <c r="FK421" s="4"/>
      <c r="FL421" s="4"/>
      <c r="FM421" s="4"/>
      <c r="FN421" s="4"/>
      <c r="FO421" s="4"/>
      <c r="FP421" s="4"/>
      <c r="FQ421" s="4"/>
      <c r="FR421" s="4"/>
      <c r="FS421" s="4"/>
      <c r="FT421" s="4"/>
      <c r="FU421" s="4"/>
      <c r="FV421" s="4"/>
      <c r="FW421" s="4"/>
      <c r="FX421" s="4"/>
      <c r="FY421" s="4"/>
      <c r="FZ421" s="4"/>
      <c r="GA421" s="4"/>
      <c r="GB421" s="4"/>
      <c r="GC421" s="4"/>
      <c r="GD421" s="4"/>
      <c r="GE421" s="4"/>
      <c r="GF421" s="4"/>
      <c r="GG421" s="4"/>
      <c r="GH421" s="4"/>
      <c r="GI421" s="4"/>
      <c r="GJ421" s="4"/>
      <c r="GK421" s="4"/>
      <c r="GL421" s="4"/>
      <c r="GM421" s="4"/>
      <c r="GN421" s="4"/>
      <c r="GO421" s="4"/>
      <c r="GP421" s="4"/>
      <c r="GQ421" s="4"/>
      <c r="GR421" s="4"/>
      <c r="GS421" s="4"/>
      <c r="GT421" s="4"/>
      <c r="GU421" s="4"/>
      <c r="GV421" s="4"/>
      <c r="GW421" s="4"/>
      <c r="GX421" s="4">
        <v>0</v>
      </c>
    </row>
    <row r="423" spans="1:206" x14ac:dyDescent="0.2">
      <c r="A423" s="5">
        <v>50</v>
      </c>
      <c r="B423" s="5">
        <v>0</v>
      </c>
      <c r="C423" s="5">
        <v>0</v>
      </c>
      <c r="D423" s="5">
        <v>1</v>
      </c>
      <c r="E423" s="5">
        <v>201</v>
      </c>
      <c r="F423" s="5">
        <f>ROUND(Source!O421,O423)</f>
        <v>43779.75</v>
      </c>
      <c r="G423" s="5" t="s">
        <v>26</v>
      </c>
      <c r="H423" s="5" t="s">
        <v>27</v>
      </c>
      <c r="I423" s="5"/>
      <c r="J423" s="5"/>
      <c r="K423" s="5">
        <v>201</v>
      </c>
      <c r="L423" s="5">
        <v>1</v>
      </c>
      <c r="M423" s="5">
        <v>3</v>
      </c>
      <c r="N423" s="5" t="s">
        <v>3</v>
      </c>
      <c r="O423" s="5">
        <v>2</v>
      </c>
      <c r="P423" s="5">
        <f>ROUND(Source!DG421,O423)</f>
        <v>804370.76</v>
      </c>
      <c r="Q423" s="5"/>
      <c r="R423" s="5"/>
      <c r="S423" s="5"/>
      <c r="T423" s="5"/>
      <c r="U423" s="5"/>
      <c r="V423" s="5"/>
      <c r="W423" s="5">
        <v>43779.75</v>
      </c>
      <c r="X423" s="5">
        <v>1</v>
      </c>
      <c r="Y423" s="5">
        <v>43779.75</v>
      </c>
      <c r="Z423" s="5">
        <v>804370.76</v>
      </c>
      <c r="AA423" s="5">
        <v>1</v>
      </c>
      <c r="AB423" s="5">
        <v>804370.76</v>
      </c>
    </row>
    <row r="424" spans="1:206" x14ac:dyDescent="0.2">
      <c r="A424" s="5">
        <v>50</v>
      </c>
      <c r="B424" s="5">
        <v>0</v>
      </c>
      <c r="C424" s="5">
        <v>0</v>
      </c>
      <c r="D424" s="5">
        <v>1</v>
      </c>
      <c r="E424" s="5">
        <v>202</v>
      </c>
      <c r="F424" s="5">
        <f>ROUND(Source!P421,O424)</f>
        <v>30799.61</v>
      </c>
      <c r="G424" s="5" t="s">
        <v>28</v>
      </c>
      <c r="H424" s="5" t="s">
        <v>29</v>
      </c>
      <c r="I424" s="5"/>
      <c r="J424" s="5"/>
      <c r="K424" s="5">
        <v>202</v>
      </c>
      <c r="L424" s="5">
        <v>2</v>
      </c>
      <c r="M424" s="5">
        <v>3</v>
      </c>
      <c r="N424" s="5" t="s">
        <v>3</v>
      </c>
      <c r="O424" s="5">
        <v>2</v>
      </c>
      <c r="P424" s="5">
        <f>ROUND(Source!DH421,O424)</f>
        <v>520744.63</v>
      </c>
      <c r="Q424" s="5"/>
      <c r="R424" s="5"/>
      <c r="S424" s="5"/>
      <c r="T424" s="5"/>
      <c r="U424" s="5"/>
      <c r="V424" s="5"/>
      <c r="W424" s="5">
        <v>30799.61</v>
      </c>
      <c r="X424" s="5">
        <v>1</v>
      </c>
      <c r="Y424" s="5">
        <v>30799.61</v>
      </c>
      <c r="Z424" s="5">
        <v>520744.63</v>
      </c>
      <c r="AA424" s="5">
        <v>1</v>
      </c>
      <c r="AB424" s="5">
        <v>520744.63</v>
      </c>
    </row>
    <row r="425" spans="1:206" x14ac:dyDescent="0.2">
      <c r="A425" s="5">
        <v>50</v>
      </c>
      <c r="B425" s="5">
        <v>0</v>
      </c>
      <c r="C425" s="5">
        <v>0</v>
      </c>
      <c r="D425" s="5">
        <v>1</v>
      </c>
      <c r="E425" s="5">
        <v>222</v>
      </c>
      <c r="F425" s="5">
        <f>ROUND(Source!AO421,O425)</f>
        <v>0</v>
      </c>
      <c r="G425" s="5" t="s">
        <v>30</v>
      </c>
      <c r="H425" s="5" t="s">
        <v>31</v>
      </c>
      <c r="I425" s="5"/>
      <c r="J425" s="5"/>
      <c r="K425" s="5">
        <v>222</v>
      </c>
      <c r="L425" s="5">
        <v>3</v>
      </c>
      <c r="M425" s="5">
        <v>3</v>
      </c>
      <c r="N425" s="5" t="s">
        <v>3</v>
      </c>
      <c r="O425" s="5">
        <v>2</v>
      </c>
      <c r="P425" s="5">
        <f>ROUND(Source!EG421,O425)</f>
        <v>0</v>
      </c>
      <c r="Q425" s="5"/>
      <c r="R425" s="5"/>
      <c r="S425" s="5"/>
      <c r="T425" s="5"/>
      <c r="U425" s="5"/>
      <c r="V425" s="5"/>
      <c r="W425" s="5">
        <v>0</v>
      </c>
      <c r="X425" s="5">
        <v>1</v>
      </c>
      <c r="Y425" s="5">
        <v>0</v>
      </c>
      <c r="Z425" s="5">
        <v>0</v>
      </c>
      <c r="AA425" s="5">
        <v>1</v>
      </c>
      <c r="AB425" s="5">
        <v>0</v>
      </c>
    </row>
    <row r="426" spans="1:206" x14ac:dyDescent="0.2">
      <c r="A426" s="5">
        <v>50</v>
      </c>
      <c r="B426" s="5">
        <v>0</v>
      </c>
      <c r="C426" s="5">
        <v>0</v>
      </c>
      <c r="D426" s="5">
        <v>1</v>
      </c>
      <c r="E426" s="5">
        <v>225</v>
      </c>
      <c r="F426" s="5">
        <f>ROUND(Source!AV421,O426)</f>
        <v>30799.61</v>
      </c>
      <c r="G426" s="5" t="s">
        <v>32</v>
      </c>
      <c r="H426" s="5" t="s">
        <v>33</v>
      </c>
      <c r="I426" s="5"/>
      <c r="J426" s="5"/>
      <c r="K426" s="5">
        <v>225</v>
      </c>
      <c r="L426" s="5">
        <v>4</v>
      </c>
      <c r="M426" s="5">
        <v>3</v>
      </c>
      <c r="N426" s="5" t="s">
        <v>3</v>
      </c>
      <c r="O426" s="5">
        <v>2</v>
      </c>
      <c r="P426" s="5">
        <f>ROUND(Source!EN421,O426)</f>
        <v>520744.63</v>
      </c>
      <c r="Q426" s="5"/>
      <c r="R426" s="5"/>
      <c r="S426" s="5"/>
      <c r="T426" s="5"/>
      <c r="U426" s="5"/>
      <c r="V426" s="5"/>
      <c r="W426" s="5">
        <v>30799.61</v>
      </c>
      <c r="X426" s="5">
        <v>1</v>
      </c>
      <c r="Y426" s="5">
        <v>30799.61</v>
      </c>
      <c r="Z426" s="5">
        <v>520744.63</v>
      </c>
      <c r="AA426" s="5">
        <v>1</v>
      </c>
      <c r="AB426" s="5">
        <v>520744.63</v>
      </c>
    </row>
    <row r="427" spans="1:206" x14ac:dyDescent="0.2">
      <c r="A427" s="5">
        <v>50</v>
      </c>
      <c r="B427" s="5">
        <v>0</v>
      </c>
      <c r="C427" s="5">
        <v>0</v>
      </c>
      <c r="D427" s="5">
        <v>1</v>
      </c>
      <c r="E427" s="5">
        <v>226</v>
      </c>
      <c r="F427" s="5">
        <f>ROUND(Source!AW421,O427)</f>
        <v>30799.61</v>
      </c>
      <c r="G427" s="5" t="s">
        <v>34</v>
      </c>
      <c r="H427" s="5" t="s">
        <v>35</v>
      </c>
      <c r="I427" s="5"/>
      <c r="J427" s="5"/>
      <c r="K427" s="5">
        <v>226</v>
      </c>
      <c r="L427" s="5">
        <v>5</v>
      </c>
      <c r="M427" s="5">
        <v>3</v>
      </c>
      <c r="N427" s="5" t="s">
        <v>3</v>
      </c>
      <c r="O427" s="5">
        <v>2</v>
      </c>
      <c r="P427" s="5">
        <f>ROUND(Source!EO421,O427)</f>
        <v>520744.63</v>
      </c>
      <c r="Q427" s="5"/>
      <c r="R427" s="5"/>
      <c r="S427" s="5"/>
      <c r="T427" s="5"/>
      <c r="U427" s="5"/>
      <c r="V427" s="5"/>
      <c r="W427" s="5">
        <v>30799.61</v>
      </c>
      <c r="X427" s="5">
        <v>1</v>
      </c>
      <c r="Y427" s="5">
        <v>30799.61</v>
      </c>
      <c r="Z427" s="5">
        <v>520744.63</v>
      </c>
      <c r="AA427" s="5">
        <v>1</v>
      </c>
      <c r="AB427" s="5">
        <v>520744.63</v>
      </c>
    </row>
    <row r="428" spans="1:206" x14ac:dyDescent="0.2">
      <c r="A428" s="5">
        <v>50</v>
      </c>
      <c r="B428" s="5">
        <v>0</v>
      </c>
      <c r="C428" s="5">
        <v>0</v>
      </c>
      <c r="D428" s="5">
        <v>1</v>
      </c>
      <c r="E428" s="5">
        <v>227</v>
      </c>
      <c r="F428" s="5">
        <f>ROUND(Source!AX421,O428)</f>
        <v>0</v>
      </c>
      <c r="G428" s="5" t="s">
        <v>36</v>
      </c>
      <c r="H428" s="5" t="s">
        <v>37</v>
      </c>
      <c r="I428" s="5"/>
      <c r="J428" s="5"/>
      <c r="K428" s="5">
        <v>227</v>
      </c>
      <c r="L428" s="5">
        <v>6</v>
      </c>
      <c r="M428" s="5">
        <v>3</v>
      </c>
      <c r="N428" s="5" t="s">
        <v>3</v>
      </c>
      <c r="O428" s="5">
        <v>2</v>
      </c>
      <c r="P428" s="5">
        <f>ROUND(Source!EP421,O428)</f>
        <v>0</v>
      </c>
      <c r="Q428" s="5"/>
      <c r="R428" s="5"/>
      <c r="S428" s="5"/>
      <c r="T428" s="5"/>
      <c r="U428" s="5"/>
      <c r="V428" s="5"/>
      <c r="W428" s="5">
        <v>0</v>
      </c>
      <c r="X428" s="5">
        <v>1</v>
      </c>
      <c r="Y428" s="5">
        <v>0</v>
      </c>
      <c r="Z428" s="5">
        <v>0</v>
      </c>
      <c r="AA428" s="5">
        <v>1</v>
      </c>
      <c r="AB428" s="5">
        <v>0</v>
      </c>
    </row>
    <row r="429" spans="1:206" x14ac:dyDescent="0.2">
      <c r="A429" s="5">
        <v>50</v>
      </c>
      <c r="B429" s="5">
        <v>0</v>
      </c>
      <c r="C429" s="5">
        <v>0</v>
      </c>
      <c r="D429" s="5">
        <v>1</v>
      </c>
      <c r="E429" s="5">
        <v>228</v>
      </c>
      <c r="F429" s="5">
        <f>ROUND(Source!AY421,O429)</f>
        <v>30799.61</v>
      </c>
      <c r="G429" s="5" t="s">
        <v>38</v>
      </c>
      <c r="H429" s="5" t="s">
        <v>39</v>
      </c>
      <c r="I429" s="5"/>
      <c r="J429" s="5"/>
      <c r="K429" s="5">
        <v>228</v>
      </c>
      <c r="L429" s="5">
        <v>7</v>
      </c>
      <c r="M429" s="5">
        <v>3</v>
      </c>
      <c r="N429" s="5" t="s">
        <v>3</v>
      </c>
      <c r="O429" s="5">
        <v>2</v>
      </c>
      <c r="P429" s="5">
        <f>ROUND(Source!EQ421,O429)</f>
        <v>520744.63</v>
      </c>
      <c r="Q429" s="5"/>
      <c r="R429" s="5"/>
      <c r="S429" s="5"/>
      <c r="T429" s="5"/>
      <c r="U429" s="5"/>
      <c r="V429" s="5"/>
      <c r="W429" s="5">
        <v>30799.61</v>
      </c>
      <c r="X429" s="5">
        <v>1</v>
      </c>
      <c r="Y429" s="5">
        <v>30799.61</v>
      </c>
      <c r="Z429" s="5">
        <v>520744.63</v>
      </c>
      <c r="AA429" s="5">
        <v>1</v>
      </c>
      <c r="AB429" s="5">
        <v>520744.63</v>
      </c>
    </row>
    <row r="430" spans="1:206" x14ac:dyDescent="0.2">
      <c r="A430" s="5">
        <v>50</v>
      </c>
      <c r="B430" s="5">
        <v>0</v>
      </c>
      <c r="C430" s="5">
        <v>0</v>
      </c>
      <c r="D430" s="5">
        <v>1</v>
      </c>
      <c r="E430" s="5">
        <v>216</v>
      </c>
      <c r="F430" s="5">
        <f>ROUND(Source!AP421,O430)</f>
        <v>0</v>
      </c>
      <c r="G430" s="5" t="s">
        <v>40</v>
      </c>
      <c r="H430" s="5" t="s">
        <v>41</v>
      </c>
      <c r="I430" s="5"/>
      <c r="J430" s="5"/>
      <c r="K430" s="5">
        <v>216</v>
      </c>
      <c r="L430" s="5">
        <v>8</v>
      </c>
      <c r="M430" s="5">
        <v>3</v>
      </c>
      <c r="N430" s="5" t="s">
        <v>3</v>
      </c>
      <c r="O430" s="5">
        <v>2</v>
      </c>
      <c r="P430" s="5">
        <f>ROUND(Source!EH421,O430)</f>
        <v>0</v>
      </c>
      <c r="Q430" s="5"/>
      <c r="R430" s="5"/>
      <c r="S430" s="5"/>
      <c r="T430" s="5"/>
      <c r="U430" s="5"/>
      <c r="V430" s="5"/>
      <c r="W430" s="5">
        <v>0</v>
      </c>
      <c r="X430" s="5">
        <v>1</v>
      </c>
      <c r="Y430" s="5">
        <v>0</v>
      </c>
      <c r="Z430" s="5">
        <v>0</v>
      </c>
      <c r="AA430" s="5">
        <v>1</v>
      </c>
      <c r="AB430" s="5">
        <v>0</v>
      </c>
    </row>
    <row r="431" spans="1:206" x14ac:dyDescent="0.2">
      <c r="A431" s="5">
        <v>50</v>
      </c>
      <c r="B431" s="5">
        <v>0</v>
      </c>
      <c r="C431" s="5">
        <v>0</v>
      </c>
      <c r="D431" s="5">
        <v>1</v>
      </c>
      <c r="E431" s="5">
        <v>223</v>
      </c>
      <c r="F431" s="5">
        <f>ROUND(Source!AQ421,O431)</f>
        <v>0</v>
      </c>
      <c r="G431" s="5" t="s">
        <v>42</v>
      </c>
      <c r="H431" s="5" t="s">
        <v>43</v>
      </c>
      <c r="I431" s="5"/>
      <c r="J431" s="5"/>
      <c r="K431" s="5">
        <v>223</v>
      </c>
      <c r="L431" s="5">
        <v>9</v>
      </c>
      <c r="M431" s="5">
        <v>3</v>
      </c>
      <c r="N431" s="5" t="s">
        <v>3</v>
      </c>
      <c r="O431" s="5">
        <v>2</v>
      </c>
      <c r="P431" s="5">
        <f>ROUND(Source!EI421,O431)</f>
        <v>0</v>
      </c>
      <c r="Q431" s="5"/>
      <c r="R431" s="5"/>
      <c r="S431" s="5"/>
      <c r="T431" s="5"/>
      <c r="U431" s="5"/>
      <c r="V431" s="5"/>
      <c r="W431" s="5">
        <v>0</v>
      </c>
      <c r="X431" s="5">
        <v>1</v>
      </c>
      <c r="Y431" s="5">
        <v>0</v>
      </c>
      <c r="Z431" s="5">
        <v>0</v>
      </c>
      <c r="AA431" s="5">
        <v>1</v>
      </c>
      <c r="AB431" s="5">
        <v>0</v>
      </c>
    </row>
    <row r="432" spans="1:206" x14ac:dyDescent="0.2">
      <c r="A432" s="5">
        <v>50</v>
      </c>
      <c r="B432" s="5">
        <v>0</v>
      </c>
      <c r="C432" s="5">
        <v>0</v>
      </c>
      <c r="D432" s="5">
        <v>1</v>
      </c>
      <c r="E432" s="5">
        <v>229</v>
      </c>
      <c r="F432" s="5">
        <f>ROUND(Source!AZ421,O432)</f>
        <v>0</v>
      </c>
      <c r="G432" s="5" t="s">
        <v>44</v>
      </c>
      <c r="H432" s="5" t="s">
        <v>45</v>
      </c>
      <c r="I432" s="5"/>
      <c r="J432" s="5"/>
      <c r="K432" s="5">
        <v>229</v>
      </c>
      <c r="L432" s="5">
        <v>10</v>
      </c>
      <c r="M432" s="5">
        <v>3</v>
      </c>
      <c r="N432" s="5" t="s">
        <v>3</v>
      </c>
      <c r="O432" s="5">
        <v>2</v>
      </c>
      <c r="P432" s="5">
        <f>ROUND(Source!ER421,O432)</f>
        <v>0</v>
      </c>
      <c r="Q432" s="5"/>
      <c r="R432" s="5"/>
      <c r="S432" s="5"/>
      <c r="T432" s="5"/>
      <c r="U432" s="5"/>
      <c r="V432" s="5"/>
      <c r="W432" s="5">
        <v>0</v>
      </c>
      <c r="X432" s="5">
        <v>1</v>
      </c>
      <c r="Y432" s="5">
        <v>0</v>
      </c>
      <c r="Z432" s="5">
        <v>0</v>
      </c>
      <c r="AA432" s="5">
        <v>1</v>
      </c>
      <c r="AB432" s="5">
        <v>0</v>
      </c>
    </row>
    <row r="433" spans="1:28" x14ac:dyDescent="0.2">
      <c r="A433" s="5">
        <v>50</v>
      </c>
      <c r="B433" s="5">
        <v>0</v>
      </c>
      <c r="C433" s="5">
        <v>0</v>
      </c>
      <c r="D433" s="5">
        <v>1</v>
      </c>
      <c r="E433" s="5">
        <v>203</v>
      </c>
      <c r="F433" s="5">
        <f>ROUND(Source!Q421,O433)</f>
        <v>5490.85</v>
      </c>
      <c r="G433" s="5" t="s">
        <v>46</v>
      </c>
      <c r="H433" s="5" t="s">
        <v>47</v>
      </c>
      <c r="I433" s="5"/>
      <c r="J433" s="5"/>
      <c r="K433" s="5">
        <v>203</v>
      </c>
      <c r="L433" s="5">
        <v>11</v>
      </c>
      <c r="M433" s="5">
        <v>3</v>
      </c>
      <c r="N433" s="5" t="s">
        <v>3</v>
      </c>
      <c r="O433" s="5">
        <v>2</v>
      </c>
      <c r="P433" s="5">
        <f>ROUND(Source!DI421,O433)</f>
        <v>66212.03</v>
      </c>
      <c r="Q433" s="5"/>
      <c r="R433" s="5"/>
      <c r="S433" s="5"/>
      <c r="T433" s="5"/>
      <c r="U433" s="5"/>
      <c r="V433" s="5"/>
      <c r="W433" s="5">
        <v>5490.85</v>
      </c>
      <c r="X433" s="5">
        <v>1</v>
      </c>
      <c r="Y433" s="5">
        <v>5490.85</v>
      </c>
      <c r="Z433" s="5">
        <v>66212.03</v>
      </c>
      <c r="AA433" s="5">
        <v>1</v>
      </c>
      <c r="AB433" s="5">
        <v>66212.03</v>
      </c>
    </row>
    <row r="434" spans="1:28" x14ac:dyDescent="0.2">
      <c r="A434" s="5">
        <v>50</v>
      </c>
      <c r="B434" s="5">
        <v>0</v>
      </c>
      <c r="C434" s="5">
        <v>0</v>
      </c>
      <c r="D434" s="5">
        <v>1</v>
      </c>
      <c r="E434" s="5">
        <v>231</v>
      </c>
      <c r="F434" s="5">
        <f>ROUND(Source!BB421,O434)</f>
        <v>0</v>
      </c>
      <c r="G434" s="5" t="s">
        <v>48</v>
      </c>
      <c r="H434" s="5" t="s">
        <v>49</v>
      </c>
      <c r="I434" s="5"/>
      <c r="J434" s="5"/>
      <c r="K434" s="5">
        <v>231</v>
      </c>
      <c r="L434" s="5">
        <v>12</v>
      </c>
      <c r="M434" s="5">
        <v>3</v>
      </c>
      <c r="N434" s="5" t="s">
        <v>3</v>
      </c>
      <c r="O434" s="5">
        <v>2</v>
      </c>
      <c r="P434" s="5">
        <f>ROUND(Source!ET421,O434)</f>
        <v>0</v>
      </c>
      <c r="Q434" s="5"/>
      <c r="R434" s="5"/>
      <c r="S434" s="5"/>
      <c r="T434" s="5"/>
      <c r="U434" s="5"/>
      <c r="V434" s="5"/>
      <c r="W434" s="5">
        <v>0</v>
      </c>
      <c r="X434" s="5">
        <v>1</v>
      </c>
      <c r="Y434" s="5">
        <v>0</v>
      </c>
      <c r="Z434" s="5">
        <v>0</v>
      </c>
      <c r="AA434" s="5">
        <v>1</v>
      </c>
      <c r="AB434" s="5">
        <v>0</v>
      </c>
    </row>
    <row r="435" spans="1:28" x14ac:dyDescent="0.2">
      <c r="A435" s="5">
        <v>50</v>
      </c>
      <c r="B435" s="5">
        <v>0</v>
      </c>
      <c r="C435" s="5">
        <v>0</v>
      </c>
      <c r="D435" s="5">
        <v>1</v>
      </c>
      <c r="E435" s="5">
        <v>204</v>
      </c>
      <c r="F435" s="5">
        <f>ROUND(Source!R421,O435)</f>
        <v>568.79</v>
      </c>
      <c r="G435" s="5" t="s">
        <v>50</v>
      </c>
      <c r="H435" s="5" t="s">
        <v>51</v>
      </c>
      <c r="I435" s="5"/>
      <c r="J435" s="5"/>
      <c r="K435" s="5">
        <v>204</v>
      </c>
      <c r="L435" s="5">
        <v>13</v>
      </c>
      <c r="M435" s="5">
        <v>3</v>
      </c>
      <c r="N435" s="5" t="s">
        <v>3</v>
      </c>
      <c r="O435" s="5">
        <v>2</v>
      </c>
      <c r="P435" s="5">
        <f>ROUND(Source!DJ421,O435)</f>
        <v>16511.95</v>
      </c>
      <c r="Q435" s="5"/>
      <c r="R435" s="5"/>
      <c r="S435" s="5"/>
      <c r="T435" s="5"/>
      <c r="U435" s="5"/>
      <c r="V435" s="5"/>
      <c r="W435" s="5">
        <v>568.79</v>
      </c>
      <c r="X435" s="5">
        <v>1</v>
      </c>
      <c r="Y435" s="5">
        <v>568.79</v>
      </c>
      <c r="Z435" s="5">
        <v>16511.95</v>
      </c>
      <c r="AA435" s="5">
        <v>1</v>
      </c>
      <c r="AB435" s="5">
        <v>16511.95</v>
      </c>
    </row>
    <row r="436" spans="1:28" x14ac:dyDescent="0.2">
      <c r="A436" s="5">
        <v>50</v>
      </c>
      <c r="B436" s="5">
        <v>0</v>
      </c>
      <c r="C436" s="5">
        <v>0</v>
      </c>
      <c r="D436" s="5">
        <v>1</v>
      </c>
      <c r="E436" s="5">
        <v>205</v>
      </c>
      <c r="F436" s="5">
        <f>ROUND(Source!S421,O436)</f>
        <v>7489.29</v>
      </c>
      <c r="G436" s="5" t="s">
        <v>52</v>
      </c>
      <c r="H436" s="5" t="s">
        <v>53</v>
      </c>
      <c r="I436" s="5"/>
      <c r="J436" s="5"/>
      <c r="K436" s="5">
        <v>205</v>
      </c>
      <c r="L436" s="5">
        <v>14</v>
      </c>
      <c r="M436" s="5">
        <v>3</v>
      </c>
      <c r="N436" s="5" t="s">
        <v>3</v>
      </c>
      <c r="O436" s="5">
        <v>2</v>
      </c>
      <c r="P436" s="5">
        <f>ROUND(Source!DK421,O436)</f>
        <v>217414.1</v>
      </c>
      <c r="Q436" s="5"/>
      <c r="R436" s="5"/>
      <c r="S436" s="5"/>
      <c r="T436" s="5"/>
      <c r="U436" s="5"/>
      <c r="V436" s="5"/>
      <c r="W436" s="5">
        <v>7489.29</v>
      </c>
      <c r="X436" s="5">
        <v>1</v>
      </c>
      <c r="Y436" s="5">
        <v>7489.29</v>
      </c>
      <c r="Z436" s="5">
        <v>217414.1</v>
      </c>
      <c r="AA436" s="5">
        <v>1</v>
      </c>
      <c r="AB436" s="5">
        <v>217414.1</v>
      </c>
    </row>
    <row r="437" spans="1:28" x14ac:dyDescent="0.2">
      <c r="A437" s="5">
        <v>50</v>
      </c>
      <c r="B437" s="5">
        <v>0</v>
      </c>
      <c r="C437" s="5">
        <v>0</v>
      </c>
      <c r="D437" s="5">
        <v>1</v>
      </c>
      <c r="E437" s="5">
        <v>232</v>
      </c>
      <c r="F437" s="5">
        <f>ROUND(Source!BC421,O437)</f>
        <v>0</v>
      </c>
      <c r="G437" s="5" t="s">
        <v>54</v>
      </c>
      <c r="H437" s="5" t="s">
        <v>55</v>
      </c>
      <c r="I437" s="5"/>
      <c r="J437" s="5"/>
      <c r="K437" s="5">
        <v>232</v>
      </c>
      <c r="L437" s="5">
        <v>15</v>
      </c>
      <c r="M437" s="5">
        <v>3</v>
      </c>
      <c r="N437" s="5" t="s">
        <v>3</v>
      </c>
      <c r="O437" s="5">
        <v>2</v>
      </c>
      <c r="P437" s="5">
        <f>ROUND(Source!EU421,O437)</f>
        <v>0</v>
      </c>
      <c r="Q437" s="5"/>
      <c r="R437" s="5"/>
      <c r="S437" s="5"/>
      <c r="T437" s="5"/>
      <c r="U437" s="5"/>
      <c r="V437" s="5"/>
      <c r="W437" s="5">
        <v>0</v>
      </c>
      <c r="X437" s="5">
        <v>1</v>
      </c>
      <c r="Y437" s="5">
        <v>0</v>
      </c>
      <c r="Z437" s="5">
        <v>0</v>
      </c>
      <c r="AA437" s="5">
        <v>1</v>
      </c>
      <c r="AB437" s="5">
        <v>0</v>
      </c>
    </row>
    <row r="438" spans="1:28" x14ac:dyDescent="0.2">
      <c r="A438" s="5">
        <v>50</v>
      </c>
      <c r="B438" s="5">
        <v>0</v>
      </c>
      <c r="C438" s="5">
        <v>0</v>
      </c>
      <c r="D438" s="5">
        <v>1</v>
      </c>
      <c r="E438" s="5">
        <v>214</v>
      </c>
      <c r="F438" s="5">
        <f>ROUND(Source!AS421,O438)</f>
        <v>53704.94</v>
      </c>
      <c r="G438" s="5" t="s">
        <v>56</v>
      </c>
      <c r="H438" s="5" t="s">
        <v>57</v>
      </c>
      <c r="I438" s="5"/>
      <c r="J438" s="5"/>
      <c r="K438" s="5">
        <v>214</v>
      </c>
      <c r="L438" s="5">
        <v>16</v>
      </c>
      <c r="M438" s="5">
        <v>3</v>
      </c>
      <c r="N438" s="5" t="s">
        <v>3</v>
      </c>
      <c r="O438" s="5">
        <v>2</v>
      </c>
      <c r="P438" s="5">
        <f>ROUND(Source!EK421,O438)</f>
        <v>1059109.8700000001</v>
      </c>
      <c r="Q438" s="5"/>
      <c r="R438" s="5"/>
      <c r="S438" s="5"/>
      <c r="T438" s="5"/>
      <c r="U438" s="5"/>
      <c r="V438" s="5"/>
      <c r="W438" s="5">
        <v>53704.94</v>
      </c>
      <c r="X438" s="5">
        <v>1</v>
      </c>
      <c r="Y438" s="5">
        <v>53704.94</v>
      </c>
      <c r="Z438" s="5">
        <v>1059109.8700000001</v>
      </c>
      <c r="AA438" s="5">
        <v>1</v>
      </c>
      <c r="AB438" s="5">
        <v>1059109.8700000001</v>
      </c>
    </row>
    <row r="439" spans="1:28" x14ac:dyDescent="0.2">
      <c r="A439" s="5">
        <v>50</v>
      </c>
      <c r="B439" s="5">
        <v>0</v>
      </c>
      <c r="C439" s="5">
        <v>0</v>
      </c>
      <c r="D439" s="5">
        <v>1</v>
      </c>
      <c r="E439" s="5">
        <v>215</v>
      </c>
      <c r="F439" s="5">
        <f>ROUND(Source!AT421,O439)</f>
        <v>0</v>
      </c>
      <c r="G439" s="5" t="s">
        <v>58</v>
      </c>
      <c r="H439" s="5" t="s">
        <v>59</v>
      </c>
      <c r="I439" s="5"/>
      <c r="J439" s="5"/>
      <c r="K439" s="5">
        <v>215</v>
      </c>
      <c r="L439" s="5">
        <v>17</v>
      </c>
      <c r="M439" s="5">
        <v>3</v>
      </c>
      <c r="N439" s="5" t="s">
        <v>3</v>
      </c>
      <c r="O439" s="5">
        <v>2</v>
      </c>
      <c r="P439" s="5">
        <f>ROUND(Source!EL421,O439)</f>
        <v>0</v>
      </c>
      <c r="Q439" s="5"/>
      <c r="R439" s="5"/>
      <c r="S439" s="5"/>
      <c r="T439" s="5"/>
      <c r="U439" s="5"/>
      <c r="V439" s="5"/>
      <c r="W439" s="5">
        <v>0</v>
      </c>
      <c r="X439" s="5">
        <v>1</v>
      </c>
      <c r="Y439" s="5">
        <v>0</v>
      </c>
      <c r="Z439" s="5">
        <v>0</v>
      </c>
      <c r="AA439" s="5">
        <v>1</v>
      </c>
      <c r="AB439" s="5">
        <v>0</v>
      </c>
    </row>
    <row r="440" spans="1:28" x14ac:dyDescent="0.2">
      <c r="A440" s="5">
        <v>50</v>
      </c>
      <c r="B440" s="5">
        <v>0</v>
      </c>
      <c r="C440" s="5">
        <v>0</v>
      </c>
      <c r="D440" s="5">
        <v>1</v>
      </c>
      <c r="E440" s="5">
        <v>217</v>
      </c>
      <c r="F440" s="5">
        <f>ROUND(Source!AU421,O440)</f>
        <v>2426.4699999999998</v>
      </c>
      <c r="G440" s="5" t="s">
        <v>60</v>
      </c>
      <c r="H440" s="5" t="s">
        <v>61</v>
      </c>
      <c r="I440" s="5"/>
      <c r="J440" s="5"/>
      <c r="K440" s="5">
        <v>217</v>
      </c>
      <c r="L440" s="5">
        <v>18</v>
      </c>
      <c r="M440" s="5">
        <v>3</v>
      </c>
      <c r="N440" s="5" t="s">
        <v>3</v>
      </c>
      <c r="O440" s="5">
        <v>2</v>
      </c>
      <c r="P440" s="5">
        <f>ROUND(Source!EM421,O440)</f>
        <v>28155.200000000001</v>
      </c>
      <c r="Q440" s="5"/>
      <c r="R440" s="5"/>
      <c r="S440" s="5"/>
      <c r="T440" s="5"/>
      <c r="U440" s="5"/>
      <c r="V440" s="5"/>
      <c r="W440" s="5">
        <v>2426.4699999999998</v>
      </c>
      <c r="X440" s="5">
        <v>1</v>
      </c>
      <c r="Y440" s="5">
        <v>2426.4699999999998</v>
      </c>
      <c r="Z440" s="5">
        <v>28155.200000000001</v>
      </c>
      <c r="AA440" s="5">
        <v>1</v>
      </c>
      <c r="AB440" s="5">
        <v>28155.200000000001</v>
      </c>
    </row>
    <row r="441" spans="1:28" x14ac:dyDescent="0.2">
      <c r="A441" s="5">
        <v>50</v>
      </c>
      <c r="B441" s="5">
        <v>0</v>
      </c>
      <c r="C441" s="5">
        <v>0</v>
      </c>
      <c r="D441" s="5">
        <v>1</v>
      </c>
      <c r="E441" s="5">
        <v>230</v>
      </c>
      <c r="F441" s="5">
        <f>ROUND(Source!BA421,O441)</f>
        <v>0</v>
      </c>
      <c r="G441" s="5" t="s">
        <v>62</v>
      </c>
      <c r="H441" s="5" t="s">
        <v>63</v>
      </c>
      <c r="I441" s="5"/>
      <c r="J441" s="5"/>
      <c r="K441" s="5">
        <v>230</v>
      </c>
      <c r="L441" s="5">
        <v>19</v>
      </c>
      <c r="M441" s="5">
        <v>3</v>
      </c>
      <c r="N441" s="5" t="s">
        <v>3</v>
      </c>
      <c r="O441" s="5">
        <v>2</v>
      </c>
      <c r="P441" s="5">
        <f>ROUND(Source!ES421,O441)</f>
        <v>0</v>
      </c>
      <c r="Q441" s="5"/>
      <c r="R441" s="5"/>
      <c r="S441" s="5"/>
      <c r="T441" s="5"/>
      <c r="U441" s="5"/>
      <c r="V441" s="5"/>
      <c r="W441" s="5">
        <v>0</v>
      </c>
      <c r="X441" s="5">
        <v>1</v>
      </c>
      <c r="Y441" s="5">
        <v>0</v>
      </c>
      <c r="Z441" s="5">
        <v>0</v>
      </c>
      <c r="AA441" s="5">
        <v>1</v>
      </c>
      <c r="AB441" s="5">
        <v>0</v>
      </c>
    </row>
    <row r="442" spans="1:28" x14ac:dyDescent="0.2">
      <c r="A442" s="5">
        <v>50</v>
      </c>
      <c r="B442" s="5">
        <v>0</v>
      </c>
      <c r="C442" s="5">
        <v>0</v>
      </c>
      <c r="D442" s="5">
        <v>1</v>
      </c>
      <c r="E442" s="5">
        <v>206</v>
      </c>
      <c r="F442" s="5">
        <f>ROUND(Source!T421,O442)</f>
        <v>0</v>
      </c>
      <c r="G442" s="5" t="s">
        <v>64</v>
      </c>
      <c r="H442" s="5" t="s">
        <v>65</v>
      </c>
      <c r="I442" s="5"/>
      <c r="J442" s="5"/>
      <c r="K442" s="5">
        <v>206</v>
      </c>
      <c r="L442" s="5">
        <v>20</v>
      </c>
      <c r="M442" s="5">
        <v>3</v>
      </c>
      <c r="N442" s="5" t="s">
        <v>3</v>
      </c>
      <c r="O442" s="5">
        <v>2</v>
      </c>
      <c r="P442" s="5">
        <f>ROUND(Source!DL421,O442)</f>
        <v>0</v>
      </c>
      <c r="Q442" s="5"/>
      <c r="R442" s="5"/>
      <c r="S442" s="5"/>
      <c r="T442" s="5"/>
      <c r="U442" s="5"/>
      <c r="V442" s="5"/>
      <c r="W442" s="5">
        <v>0</v>
      </c>
      <c r="X442" s="5">
        <v>1</v>
      </c>
      <c r="Y442" s="5">
        <v>0</v>
      </c>
      <c r="Z442" s="5">
        <v>0</v>
      </c>
      <c r="AA442" s="5">
        <v>1</v>
      </c>
      <c r="AB442" s="5">
        <v>0</v>
      </c>
    </row>
    <row r="443" spans="1:28" x14ac:dyDescent="0.2">
      <c r="A443" s="5">
        <v>50</v>
      </c>
      <c r="B443" s="5">
        <v>0</v>
      </c>
      <c r="C443" s="5">
        <v>0</v>
      </c>
      <c r="D443" s="5">
        <v>1</v>
      </c>
      <c r="E443" s="5">
        <v>207</v>
      </c>
      <c r="F443" s="5">
        <f>Source!U421</f>
        <v>630.45396745000005</v>
      </c>
      <c r="G443" s="5" t="s">
        <v>66</v>
      </c>
      <c r="H443" s="5" t="s">
        <v>67</v>
      </c>
      <c r="I443" s="5"/>
      <c r="J443" s="5"/>
      <c r="K443" s="5">
        <v>207</v>
      </c>
      <c r="L443" s="5">
        <v>21</v>
      </c>
      <c r="M443" s="5">
        <v>3</v>
      </c>
      <c r="N443" s="5" t="s">
        <v>3</v>
      </c>
      <c r="O443" s="5">
        <v>-1</v>
      </c>
      <c r="P443" s="5">
        <f>Source!DM421</f>
        <v>630.45396745000005</v>
      </c>
      <c r="Q443" s="5"/>
      <c r="R443" s="5"/>
      <c r="S443" s="5"/>
      <c r="T443" s="5"/>
      <c r="U443" s="5"/>
      <c r="V443" s="5"/>
      <c r="W443" s="5">
        <v>630.45396744999994</v>
      </c>
      <c r="X443" s="5">
        <v>1</v>
      </c>
      <c r="Y443" s="5">
        <v>630.45396744999994</v>
      </c>
      <c r="Z443" s="5">
        <v>630.45396744999994</v>
      </c>
      <c r="AA443" s="5">
        <v>1</v>
      </c>
      <c r="AB443" s="5">
        <v>630.45396744999994</v>
      </c>
    </row>
    <row r="444" spans="1:28" x14ac:dyDescent="0.2">
      <c r="A444" s="5">
        <v>50</v>
      </c>
      <c r="B444" s="5">
        <v>0</v>
      </c>
      <c r="C444" s="5">
        <v>0</v>
      </c>
      <c r="D444" s="5">
        <v>1</v>
      </c>
      <c r="E444" s="5">
        <v>208</v>
      </c>
      <c r="F444" s="5">
        <f>Source!V421</f>
        <v>0</v>
      </c>
      <c r="G444" s="5" t="s">
        <v>68</v>
      </c>
      <c r="H444" s="5" t="s">
        <v>69</v>
      </c>
      <c r="I444" s="5"/>
      <c r="J444" s="5"/>
      <c r="K444" s="5">
        <v>208</v>
      </c>
      <c r="L444" s="5">
        <v>22</v>
      </c>
      <c r="M444" s="5">
        <v>3</v>
      </c>
      <c r="N444" s="5" t="s">
        <v>3</v>
      </c>
      <c r="O444" s="5">
        <v>-1</v>
      </c>
      <c r="P444" s="5">
        <f>Source!DN421</f>
        <v>0</v>
      </c>
      <c r="Q444" s="5"/>
      <c r="R444" s="5"/>
      <c r="S444" s="5"/>
      <c r="T444" s="5"/>
      <c r="U444" s="5"/>
      <c r="V444" s="5"/>
      <c r="W444" s="5">
        <v>0</v>
      </c>
      <c r="X444" s="5">
        <v>1</v>
      </c>
      <c r="Y444" s="5">
        <v>0</v>
      </c>
      <c r="Z444" s="5">
        <v>0</v>
      </c>
      <c r="AA444" s="5">
        <v>1</v>
      </c>
      <c r="AB444" s="5">
        <v>0</v>
      </c>
    </row>
    <row r="445" spans="1:28" x14ac:dyDescent="0.2">
      <c r="A445" s="5">
        <v>50</v>
      </c>
      <c r="B445" s="5">
        <v>0</v>
      </c>
      <c r="C445" s="5">
        <v>0</v>
      </c>
      <c r="D445" s="5">
        <v>1</v>
      </c>
      <c r="E445" s="5">
        <v>209</v>
      </c>
      <c r="F445" s="5">
        <f>ROUND(Source!W421,O445)</f>
        <v>0</v>
      </c>
      <c r="G445" s="5" t="s">
        <v>70</v>
      </c>
      <c r="H445" s="5" t="s">
        <v>71</v>
      </c>
      <c r="I445" s="5"/>
      <c r="J445" s="5"/>
      <c r="K445" s="5">
        <v>209</v>
      </c>
      <c r="L445" s="5">
        <v>23</v>
      </c>
      <c r="M445" s="5">
        <v>3</v>
      </c>
      <c r="N445" s="5" t="s">
        <v>3</v>
      </c>
      <c r="O445" s="5">
        <v>2</v>
      </c>
      <c r="P445" s="5">
        <f>ROUND(Source!DO421,O445)</f>
        <v>0</v>
      </c>
      <c r="Q445" s="5"/>
      <c r="R445" s="5"/>
      <c r="S445" s="5"/>
      <c r="T445" s="5"/>
      <c r="U445" s="5"/>
      <c r="V445" s="5"/>
      <c r="W445" s="5">
        <v>0</v>
      </c>
      <c r="X445" s="5">
        <v>1</v>
      </c>
      <c r="Y445" s="5">
        <v>0</v>
      </c>
      <c r="Z445" s="5">
        <v>0</v>
      </c>
      <c r="AA445" s="5">
        <v>1</v>
      </c>
      <c r="AB445" s="5">
        <v>0</v>
      </c>
    </row>
    <row r="446" spans="1:28" x14ac:dyDescent="0.2">
      <c r="A446" s="5">
        <v>50</v>
      </c>
      <c r="B446" s="5">
        <v>0</v>
      </c>
      <c r="C446" s="5">
        <v>0</v>
      </c>
      <c r="D446" s="5">
        <v>1</v>
      </c>
      <c r="E446" s="5">
        <v>233</v>
      </c>
      <c r="F446" s="5">
        <f>ROUND(Source!BD421,O446)</f>
        <v>0</v>
      </c>
      <c r="G446" s="5" t="s">
        <v>72</v>
      </c>
      <c r="H446" s="5" t="s">
        <v>73</v>
      </c>
      <c r="I446" s="5"/>
      <c r="J446" s="5"/>
      <c r="K446" s="5">
        <v>233</v>
      </c>
      <c r="L446" s="5">
        <v>24</v>
      </c>
      <c r="M446" s="5">
        <v>3</v>
      </c>
      <c r="N446" s="5" t="s">
        <v>3</v>
      </c>
      <c r="O446" s="5">
        <v>2</v>
      </c>
      <c r="P446" s="5">
        <f>ROUND(Source!EV421,O446)</f>
        <v>0</v>
      </c>
      <c r="Q446" s="5"/>
      <c r="R446" s="5"/>
      <c r="S446" s="5"/>
      <c r="T446" s="5"/>
      <c r="U446" s="5"/>
      <c r="V446" s="5"/>
      <c r="W446" s="5">
        <v>0</v>
      </c>
      <c r="X446" s="5">
        <v>1</v>
      </c>
      <c r="Y446" s="5">
        <v>0</v>
      </c>
      <c r="Z446" s="5">
        <v>0</v>
      </c>
      <c r="AA446" s="5">
        <v>1</v>
      </c>
      <c r="AB446" s="5">
        <v>0</v>
      </c>
    </row>
    <row r="447" spans="1:28" x14ac:dyDescent="0.2">
      <c r="A447" s="5">
        <v>50</v>
      </c>
      <c r="B447" s="5">
        <v>0</v>
      </c>
      <c r="C447" s="5">
        <v>0</v>
      </c>
      <c r="D447" s="5">
        <v>1</v>
      </c>
      <c r="E447" s="5">
        <v>210</v>
      </c>
      <c r="F447" s="5">
        <f>ROUND(Source!X421,O447)</f>
        <v>6804.42</v>
      </c>
      <c r="G447" s="5" t="s">
        <v>74</v>
      </c>
      <c r="H447" s="5" t="s">
        <v>75</v>
      </c>
      <c r="I447" s="5"/>
      <c r="J447" s="5"/>
      <c r="K447" s="5">
        <v>210</v>
      </c>
      <c r="L447" s="5">
        <v>25</v>
      </c>
      <c r="M447" s="5">
        <v>3</v>
      </c>
      <c r="N447" s="5" t="s">
        <v>3</v>
      </c>
      <c r="O447" s="5">
        <v>2</v>
      </c>
      <c r="P447" s="5">
        <f>ROUND(Source!DP421,O447)</f>
        <v>167335.43</v>
      </c>
      <c r="Q447" s="5"/>
      <c r="R447" s="5"/>
      <c r="S447" s="5"/>
      <c r="T447" s="5"/>
      <c r="U447" s="5"/>
      <c r="V447" s="5"/>
      <c r="W447" s="5">
        <v>6804.42</v>
      </c>
      <c r="X447" s="5">
        <v>1</v>
      </c>
      <c r="Y447" s="5">
        <v>6804.42</v>
      </c>
      <c r="Z447" s="5">
        <v>167335.43</v>
      </c>
      <c r="AA447" s="5">
        <v>1</v>
      </c>
      <c r="AB447" s="5">
        <v>167335.43</v>
      </c>
    </row>
    <row r="448" spans="1:28" x14ac:dyDescent="0.2">
      <c r="A448" s="5">
        <v>50</v>
      </c>
      <c r="B448" s="5">
        <v>0</v>
      </c>
      <c r="C448" s="5">
        <v>0</v>
      </c>
      <c r="D448" s="5">
        <v>1</v>
      </c>
      <c r="E448" s="5">
        <v>211</v>
      </c>
      <c r="F448" s="5">
        <f>ROUND(Source!Y421,O448)</f>
        <v>4551.83</v>
      </c>
      <c r="G448" s="5" t="s">
        <v>76</v>
      </c>
      <c r="H448" s="5" t="s">
        <v>77</v>
      </c>
      <c r="I448" s="5"/>
      <c r="J448" s="5"/>
      <c r="K448" s="5">
        <v>211</v>
      </c>
      <c r="L448" s="5">
        <v>26</v>
      </c>
      <c r="M448" s="5">
        <v>3</v>
      </c>
      <c r="N448" s="5" t="s">
        <v>3</v>
      </c>
      <c r="O448" s="5">
        <v>2</v>
      </c>
      <c r="P448" s="5">
        <f>ROUND(Source!DQ421,O448)</f>
        <v>89139.77</v>
      </c>
      <c r="Q448" s="5"/>
      <c r="R448" s="5"/>
      <c r="S448" s="5"/>
      <c r="T448" s="5"/>
      <c r="U448" s="5"/>
      <c r="V448" s="5"/>
      <c r="W448" s="5">
        <v>4551.83</v>
      </c>
      <c r="X448" s="5">
        <v>1</v>
      </c>
      <c r="Y448" s="5">
        <v>4551.83</v>
      </c>
      <c r="Z448" s="5">
        <v>89139.77</v>
      </c>
      <c r="AA448" s="5">
        <v>1</v>
      </c>
      <c r="AB448" s="5">
        <v>89139.77</v>
      </c>
    </row>
    <row r="449" spans="1:255" x14ac:dyDescent="0.2">
      <c r="A449" s="5">
        <v>50</v>
      </c>
      <c r="B449" s="5">
        <v>0</v>
      </c>
      <c r="C449" s="5">
        <v>0</v>
      </c>
      <c r="D449" s="5">
        <v>1</v>
      </c>
      <c r="E449" s="5">
        <v>224</v>
      </c>
      <c r="F449" s="5">
        <f>ROUND(Source!AR421,O449)</f>
        <v>56131.41</v>
      </c>
      <c r="G449" s="5" t="s">
        <v>78</v>
      </c>
      <c r="H449" s="5" t="s">
        <v>79</v>
      </c>
      <c r="I449" s="5"/>
      <c r="J449" s="5"/>
      <c r="K449" s="5">
        <v>224</v>
      </c>
      <c r="L449" s="5">
        <v>27</v>
      </c>
      <c r="M449" s="5">
        <v>3</v>
      </c>
      <c r="N449" s="5" t="s">
        <v>3</v>
      </c>
      <c r="O449" s="5">
        <v>2</v>
      </c>
      <c r="P449" s="5">
        <f>ROUND(Source!EJ421,O449)</f>
        <v>1087265.07</v>
      </c>
      <c r="Q449" s="5"/>
      <c r="R449" s="5"/>
      <c r="S449" s="5"/>
      <c r="T449" s="5"/>
      <c r="U449" s="5"/>
      <c r="V449" s="5"/>
      <c r="W449" s="5">
        <v>56131.41</v>
      </c>
      <c r="X449" s="5">
        <v>1</v>
      </c>
      <c r="Y449" s="5">
        <v>56131.41</v>
      </c>
      <c r="Z449" s="5">
        <v>1087265.07</v>
      </c>
      <c r="AA449" s="5">
        <v>1</v>
      </c>
      <c r="AB449" s="5">
        <v>1087265.07</v>
      </c>
    </row>
    <row r="451" spans="1:255" x14ac:dyDescent="0.2">
      <c r="A451" s="1">
        <v>3</v>
      </c>
      <c r="B451" s="1">
        <v>1</v>
      </c>
      <c r="C451" s="1"/>
      <c r="D451" s="1">
        <f>ROW(A609)</f>
        <v>609</v>
      </c>
      <c r="E451" s="1"/>
      <c r="F451" s="1" t="s">
        <v>498</v>
      </c>
      <c r="G451" s="1" t="s">
        <v>499</v>
      </c>
      <c r="H451" s="1" t="s">
        <v>3</v>
      </c>
      <c r="I451" s="1">
        <v>0</v>
      </c>
      <c r="J451" s="1" t="s">
        <v>3</v>
      </c>
      <c r="K451" s="1">
        <v>-1</v>
      </c>
      <c r="L451" s="1" t="s">
        <v>3</v>
      </c>
      <c r="M451" s="1" t="s">
        <v>3</v>
      </c>
      <c r="N451" s="1"/>
      <c r="O451" s="1"/>
      <c r="P451" s="1"/>
      <c r="Q451" s="1"/>
      <c r="R451" s="1"/>
      <c r="S451" s="1">
        <v>0</v>
      </c>
      <c r="T451" s="1">
        <v>0</v>
      </c>
      <c r="U451" s="1" t="s">
        <v>3</v>
      </c>
      <c r="V451" s="1">
        <v>0</v>
      </c>
      <c r="W451" s="1"/>
      <c r="X451" s="1"/>
      <c r="Y451" s="1"/>
      <c r="Z451" s="1"/>
      <c r="AA451" s="1"/>
      <c r="AB451" s="1" t="s">
        <v>3</v>
      </c>
      <c r="AC451" s="1" t="s">
        <v>3</v>
      </c>
      <c r="AD451" s="1" t="s">
        <v>3</v>
      </c>
      <c r="AE451" s="1" t="s">
        <v>3</v>
      </c>
      <c r="AF451" s="1" t="s">
        <v>3</v>
      </c>
      <c r="AG451" s="1" t="s">
        <v>3</v>
      </c>
      <c r="AH451" s="1"/>
      <c r="AI451" s="1"/>
      <c r="AJ451" s="1"/>
      <c r="AK451" s="1"/>
      <c r="AL451" s="1"/>
      <c r="AM451" s="1"/>
      <c r="AN451" s="1"/>
      <c r="AO451" s="1"/>
      <c r="AP451" s="1" t="s">
        <v>3</v>
      </c>
      <c r="AQ451" s="1" t="s">
        <v>3</v>
      </c>
      <c r="AR451" s="1" t="s">
        <v>3</v>
      </c>
      <c r="AS451" s="1"/>
      <c r="AT451" s="1"/>
      <c r="AU451" s="1"/>
      <c r="AV451" s="1"/>
      <c r="AW451" s="1"/>
      <c r="AX451" s="1"/>
      <c r="AY451" s="1"/>
      <c r="AZ451" s="1" t="s">
        <v>3</v>
      </c>
      <c r="BA451" s="1"/>
      <c r="BB451" s="1" t="s">
        <v>3</v>
      </c>
      <c r="BC451" s="1" t="s">
        <v>3</v>
      </c>
      <c r="BD451" s="1" t="s">
        <v>3</v>
      </c>
      <c r="BE451" s="1" t="s">
        <v>3</v>
      </c>
      <c r="BF451" s="1" t="s">
        <v>3</v>
      </c>
      <c r="BG451" s="1" t="s">
        <v>3</v>
      </c>
      <c r="BH451" s="1" t="s">
        <v>3</v>
      </c>
      <c r="BI451" s="1" t="s">
        <v>3</v>
      </c>
      <c r="BJ451" s="1" t="s">
        <v>3</v>
      </c>
      <c r="BK451" s="1" t="s">
        <v>3</v>
      </c>
      <c r="BL451" s="1" t="s">
        <v>3</v>
      </c>
      <c r="BM451" s="1" t="s">
        <v>3</v>
      </c>
      <c r="BN451" s="1" t="s">
        <v>3</v>
      </c>
      <c r="BO451" s="1" t="s">
        <v>3</v>
      </c>
      <c r="BP451" s="1" t="s">
        <v>3</v>
      </c>
      <c r="BQ451" s="1"/>
      <c r="BR451" s="1"/>
      <c r="BS451" s="1"/>
      <c r="BT451" s="1"/>
      <c r="BU451" s="1"/>
      <c r="BV451" s="1"/>
      <c r="BW451" s="1"/>
      <c r="BX451" s="1">
        <v>0</v>
      </c>
      <c r="BY451" s="1"/>
      <c r="BZ451" s="1"/>
      <c r="CA451" s="1"/>
      <c r="CB451" s="1"/>
      <c r="CC451" s="1"/>
      <c r="CD451" s="1"/>
      <c r="CE451" s="1"/>
      <c r="CF451" s="1">
        <v>0</v>
      </c>
      <c r="CG451" s="1">
        <v>0</v>
      </c>
      <c r="CH451" s="1"/>
      <c r="CI451" s="1" t="s">
        <v>3</v>
      </c>
      <c r="CJ451" s="1" t="s">
        <v>3</v>
      </c>
      <c r="CK451" t="s">
        <v>3</v>
      </c>
      <c r="CL451" t="s">
        <v>3</v>
      </c>
      <c r="CM451" t="s">
        <v>3</v>
      </c>
      <c r="CN451" t="s">
        <v>3</v>
      </c>
      <c r="CO451" t="s">
        <v>3</v>
      </c>
      <c r="CP451" t="s">
        <v>3</v>
      </c>
      <c r="CQ451" t="s">
        <v>3</v>
      </c>
    </row>
    <row r="453" spans="1:255" x14ac:dyDescent="0.2">
      <c r="A453" s="3">
        <v>52</v>
      </c>
      <c r="B453" s="3">
        <f t="shared" ref="B453:G453" si="367">B609</f>
        <v>1</v>
      </c>
      <c r="C453" s="3">
        <f t="shared" si="367"/>
        <v>3</v>
      </c>
      <c r="D453" s="3">
        <f t="shared" si="367"/>
        <v>451</v>
      </c>
      <c r="E453" s="3">
        <f t="shared" si="367"/>
        <v>0</v>
      </c>
      <c r="F453" s="3" t="str">
        <f t="shared" si="367"/>
        <v>02-01-03</v>
      </c>
      <c r="G453" s="3" t="str">
        <f t="shared" si="367"/>
        <v>Конструктивные решения</v>
      </c>
      <c r="H453" s="3"/>
      <c r="I453" s="3"/>
      <c r="J453" s="3"/>
      <c r="K453" s="3"/>
      <c r="L453" s="3"/>
      <c r="M453" s="3"/>
      <c r="N453" s="3"/>
      <c r="O453" s="3">
        <f t="shared" ref="O453:AT453" si="368">O609</f>
        <v>5620.64</v>
      </c>
      <c r="P453" s="3">
        <f t="shared" si="368"/>
        <v>3215.68</v>
      </c>
      <c r="Q453" s="3">
        <f t="shared" si="368"/>
        <v>970.41</v>
      </c>
      <c r="R453" s="3">
        <f t="shared" si="368"/>
        <v>199.89</v>
      </c>
      <c r="S453" s="3">
        <f t="shared" si="368"/>
        <v>1434.55</v>
      </c>
      <c r="T453" s="3">
        <f t="shared" si="368"/>
        <v>0</v>
      </c>
      <c r="U453" s="3">
        <f t="shared" si="368"/>
        <v>117.15504630000001</v>
      </c>
      <c r="V453" s="3">
        <f t="shared" si="368"/>
        <v>0</v>
      </c>
      <c r="W453" s="3">
        <f t="shared" si="368"/>
        <v>0</v>
      </c>
      <c r="X453" s="3">
        <f t="shared" si="368"/>
        <v>1216.67</v>
      </c>
      <c r="Y453" s="3">
        <f t="shared" si="368"/>
        <v>964.44</v>
      </c>
      <c r="Z453" s="3">
        <f t="shared" si="368"/>
        <v>0</v>
      </c>
      <c r="AA453" s="3">
        <f t="shared" si="368"/>
        <v>0</v>
      </c>
      <c r="AB453" s="3">
        <f t="shared" si="368"/>
        <v>0</v>
      </c>
      <c r="AC453" s="3">
        <f t="shared" si="368"/>
        <v>0</v>
      </c>
      <c r="AD453" s="3">
        <f t="shared" si="368"/>
        <v>0</v>
      </c>
      <c r="AE453" s="3">
        <f t="shared" si="368"/>
        <v>0</v>
      </c>
      <c r="AF453" s="3">
        <f t="shared" si="368"/>
        <v>0</v>
      </c>
      <c r="AG453" s="3">
        <f t="shared" si="368"/>
        <v>0</v>
      </c>
      <c r="AH453" s="3">
        <f t="shared" si="368"/>
        <v>0</v>
      </c>
      <c r="AI453" s="3">
        <f t="shared" si="368"/>
        <v>0</v>
      </c>
      <c r="AJ453" s="3">
        <f t="shared" si="368"/>
        <v>0</v>
      </c>
      <c r="AK453" s="3">
        <f t="shared" si="368"/>
        <v>0</v>
      </c>
      <c r="AL453" s="3">
        <f t="shared" si="368"/>
        <v>0</v>
      </c>
      <c r="AM453" s="3">
        <f t="shared" si="368"/>
        <v>0</v>
      </c>
      <c r="AN453" s="3">
        <f t="shared" si="368"/>
        <v>0</v>
      </c>
      <c r="AO453" s="3">
        <f t="shared" si="368"/>
        <v>0</v>
      </c>
      <c r="AP453" s="3">
        <f t="shared" si="368"/>
        <v>0</v>
      </c>
      <c r="AQ453" s="3">
        <f t="shared" si="368"/>
        <v>0</v>
      </c>
      <c r="AR453" s="3">
        <f t="shared" si="368"/>
        <v>8151.56</v>
      </c>
      <c r="AS453" s="3">
        <f t="shared" si="368"/>
        <v>8151.56</v>
      </c>
      <c r="AT453" s="3">
        <f t="shared" si="368"/>
        <v>0</v>
      </c>
      <c r="AU453" s="3">
        <f t="shared" ref="AU453:BZ453" si="369">AU609</f>
        <v>0</v>
      </c>
      <c r="AV453" s="3">
        <f t="shared" si="369"/>
        <v>3215.68</v>
      </c>
      <c r="AW453" s="3">
        <f t="shared" si="369"/>
        <v>3215.68</v>
      </c>
      <c r="AX453" s="3">
        <f t="shared" si="369"/>
        <v>0</v>
      </c>
      <c r="AY453" s="3">
        <f t="shared" si="369"/>
        <v>3215.68</v>
      </c>
      <c r="AZ453" s="3">
        <f t="shared" si="369"/>
        <v>0</v>
      </c>
      <c r="BA453" s="3">
        <f t="shared" si="369"/>
        <v>0</v>
      </c>
      <c r="BB453" s="3">
        <f t="shared" si="369"/>
        <v>0</v>
      </c>
      <c r="BC453" s="3">
        <f t="shared" si="369"/>
        <v>0</v>
      </c>
      <c r="BD453" s="3">
        <f t="shared" si="369"/>
        <v>0</v>
      </c>
      <c r="BE453" s="3">
        <f t="shared" si="369"/>
        <v>0</v>
      </c>
      <c r="BF453" s="3">
        <f t="shared" si="369"/>
        <v>0</v>
      </c>
      <c r="BG453" s="3">
        <f t="shared" si="369"/>
        <v>0</v>
      </c>
      <c r="BH453" s="3">
        <f t="shared" si="369"/>
        <v>0</v>
      </c>
      <c r="BI453" s="3">
        <f t="shared" si="369"/>
        <v>0</v>
      </c>
      <c r="BJ453" s="3">
        <f t="shared" si="369"/>
        <v>0</v>
      </c>
      <c r="BK453" s="3">
        <f t="shared" si="369"/>
        <v>0</v>
      </c>
      <c r="BL453" s="3">
        <f t="shared" si="369"/>
        <v>0</v>
      </c>
      <c r="BM453" s="3">
        <f t="shared" si="369"/>
        <v>0</v>
      </c>
      <c r="BN453" s="3">
        <f t="shared" si="369"/>
        <v>0</v>
      </c>
      <c r="BO453" s="3">
        <f t="shared" si="369"/>
        <v>0</v>
      </c>
      <c r="BP453" s="3">
        <f t="shared" si="369"/>
        <v>0</v>
      </c>
      <c r="BQ453" s="3">
        <f t="shared" si="369"/>
        <v>0</v>
      </c>
      <c r="BR453" s="3">
        <f t="shared" si="369"/>
        <v>0</v>
      </c>
      <c r="BS453" s="3">
        <f t="shared" si="369"/>
        <v>0</v>
      </c>
      <c r="BT453" s="3">
        <f t="shared" si="369"/>
        <v>0</v>
      </c>
      <c r="BU453" s="3">
        <f t="shared" si="369"/>
        <v>0</v>
      </c>
      <c r="BV453" s="3">
        <f t="shared" si="369"/>
        <v>0</v>
      </c>
      <c r="BW453" s="3">
        <f t="shared" si="369"/>
        <v>0</v>
      </c>
      <c r="BX453" s="3">
        <f t="shared" si="369"/>
        <v>0</v>
      </c>
      <c r="BY453" s="3">
        <f t="shared" si="369"/>
        <v>0</v>
      </c>
      <c r="BZ453" s="3">
        <f t="shared" si="369"/>
        <v>0</v>
      </c>
      <c r="CA453" s="3">
        <f t="shared" ref="CA453:DF453" si="370">CA609</f>
        <v>0</v>
      </c>
      <c r="CB453" s="3">
        <f t="shared" si="370"/>
        <v>0</v>
      </c>
      <c r="CC453" s="3">
        <f t="shared" si="370"/>
        <v>0</v>
      </c>
      <c r="CD453" s="3">
        <f t="shared" si="370"/>
        <v>0</v>
      </c>
      <c r="CE453" s="3">
        <f t="shared" si="370"/>
        <v>0</v>
      </c>
      <c r="CF453" s="3">
        <f t="shared" si="370"/>
        <v>0</v>
      </c>
      <c r="CG453" s="3">
        <f t="shared" si="370"/>
        <v>0</v>
      </c>
      <c r="CH453" s="3">
        <f t="shared" si="370"/>
        <v>0</v>
      </c>
      <c r="CI453" s="3">
        <f t="shared" si="370"/>
        <v>0</v>
      </c>
      <c r="CJ453" s="3">
        <f t="shared" si="370"/>
        <v>0</v>
      </c>
      <c r="CK453" s="3">
        <f t="shared" si="370"/>
        <v>0</v>
      </c>
      <c r="CL453" s="3">
        <f t="shared" si="370"/>
        <v>0</v>
      </c>
      <c r="CM453" s="3">
        <f t="shared" si="370"/>
        <v>0</v>
      </c>
      <c r="CN453" s="3">
        <f t="shared" si="370"/>
        <v>0</v>
      </c>
      <c r="CO453" s="3">
        <f t="shared" si="370"/>
        <v>0</v>
      </c>
      <c r="CP453" s="3">
        <f t="shared" si="370"/>
        <v>0</v>
      </c>
      <c r="CQ453" s="3">
        <f t="shared" si="370"/>
        <v>0</v>
      </c>
      <c r="CR453" s="3">
        <f t="shared" si="370"/>
        <v>0</v>
      </c>
      <c r="CS453" s="3">
        <f t="shared" si="370"/>
        <v>0</v>
      </c>
      <c r="CT453" s="3">
        <f t="shared" si="370"/>
        <v>0</v>
      </c>
      <c r="CU453" s="3">
        <f t="shared" si="370"/>
        <v>0</v>
      </c>
      <c r="CV453" s="3">
        <f t="shared" si="370"/>
        <v>0</v>
      </c>
      <c r="CW453" s="3">
        <f t="shared" si="370"/>
        <v>0</v>
      </c>
      <c r="CX453" s="3">
        <f t="shared" si="370"/>
        <v>0</v>
      </c>
      <c r="CY453" s="3">
        <f t="shared" si="370"/>
        <v>0</v>
      </c>
      <c r="CZ453" s="3">
        <f t="shared" si="370"/>
        <v>0</v>
      </c>
      <c r="DA453" s="3">
        <f t="shared" si="370"/>
        <v>0</v>
      </c>
      <c r="DB453" s="3">
        <f t="shared" si="370"/>
        <v>0</v>
      </c>
      <c r="DC453" s="3">
        <f t="shared" si="370"/>
        <v>0</v>
      </c>
      <c r="DD453" s="3">
        <f t="shared" si="370"/>
        <v>0</v>
      </c>
      <c r="DE453" s="3">
        <f t="shared" si="370"/>
        <v>0</v>
      </c>
      <c r="DF453" s="3">
        <f t="shared" si="370"/>
        <v>0</v>
      </c>
      <c r="DG453" s="4">
        <f t="shared" ref="DG453:EL453" si="371">DG609</f>
        <v>171952.43</v>
      </c>
      <c r="DH453" s="4">
        <f t="shared" si="371"/>
        <v>117105.18</v>
      </c>
      <c r="DI453" s="4">
        <f t="shared" si="371"/>
        <v>13202.26</v>
      </c>
      <c r="DJ453" s="4">
        <f t="shared" si="371"/>
        <v>5802.83</v>
      </c>
      <c r="DK453" s="4">
        <f t="shared" si="371"/>
        <v>41644.99</v>
      </c>
      <c r="DL453" s="4">
        <f t="shared" si="371"/>
        <v>0</v>
      </c>
      <c r="DM453" s="4">
        <f t="shared" si="371"/>
        <v>117.15504630000001</v>
      </c>
      <c r="DN453" s="4">
        <f t="shared" si="371"/>
        <v>0</v>
      </c>
      <c r="DO453" s="4">
        <f t="shared" si="371"/>
        <v>0</v>
      </c>
      <c r="DP453" s="4">
        <f t="shared" si="371"/>
        <v>29391.94</v>
      </c>
      <c r="DQ453" s="4">
        <f t="shared" si="371"/>
        <v>17074.46</v>
      </c>
      <c r="DR453" s="4">
        <f t="shared" si="371"/>
        <v>0</v>
      </c>
      <c r="DS453" s="4">
        <f t="shared" si="371"/>
        <v>0</v>
      </c>
      <c r="DT453" s="4">
        <f t="shared" si="371"/>
        <v>0</v>
      </c>
      <c r="DU453" s="4">
        <f t="shared" si="371"/>
        <v>0</v>
      </c>
      <c r="DV453" s="4">
        <f t="shared" si="371"/>
        <v>0</v>
      </c>
      <c r="DW453" s="4">
        <f t="shared" si="371"/>
        <v>0</v>
      </c>
      <c r="DX453" s="4">
        <f t="shared" si="371"/>
        <v>0</v>
      </c>
      <c r="DY453" s="4">
        <f t="shared" si="371"/>
        <v>0</v>
      </c>
      <c r="DZ453" s="4">
        <f t="shared" si="371"/>
        <v>0</v>
      </c>
      <c r="EA453" s="4">
        <f t="shared" si="371"/>
        <v>0</v>
      </c>
      <c r="EB453" s="4">
        <f t="shared" si="371"/>
        <v>0</v>
      </c>
      <c r="EC453" s="4">
        <f t="shared" si="371"/>
        <v>0</v>
      </c>
      <c r="ED453" s="4">
        <f t="shared" si="371"/>
        <v>0</v>
      </c>
      <c r="EE453" s="4">
        <f t="shared" si="371"/>
        <v>0</v>
      </c>
      <c r="EF453" s="4">
        <f t="shared" si="371"/>
        <v>0</v>
      </c>
      <c r="EG453" s="4">
        <f t="shared" si="371"/>
        <v>0</v>
      </c>
      <c r="EH453" s="4">
        <f t="shared" si="371"/>
        <v>0</v>
      </c>
      <c r="EI453" s="4">
        <f t="shared" si="371"/>
        <v>0</v>
      </c>
      <c r="EJ453" s="4">
        <f t="shared" si="371"/>
        <v>227703.35</v>
      </c>
      <c r="EK453" s="4">
        <f t="shared" si="371"/>
        <v>227703.35</v>
      </c>
      <c r="EL453" s="4">
        <f t="shared" si="371"/>
        <v>0</v>
      </c>
      <c r="EM453" s="4">
        <f t="shared" ref="EM453:FR453" si="372">EM609</f>
        <v>0</v>
      </c>
      <c r="EN453" s="4">
        <f t="shared" si="372"/>
        <v>117105.18</v>
      </c>
      <c r="EO453" s="4">
        <f t="shared" si="372"/>
        <v>117105.18</v>
      </c>
      <c r="EP453" s="4">
        <f t="shared" si="372"/>
        <v>0</v>
      </c>
      <c r="EQ453" s="4">
        <f t="shared" si="372"/>
        <v>117105.18</v>
      </c>
      <c r="ER453" s="4">
        <f t="shared" si="372"/>
        <v>0</v>
      </c>
      <c r="ES453" s="4">
        <f t="shared" si="372"/>
        <v>0</v>
      </c>
      <c r="ET453" s="4">
        <f t="shared" si="372"/>
        <v>0</v>
      </c>
      <c r="EU453" s="4">
        <f t="shared" si="372"/>
        <v>0</v>
      </c>
      <c r="EV453" s="4">
        <f t="shared" si="372"/>
        <v>0</v>
      </c>
      <c r="EW453" s="4">
        <f t="shared" si="372"/>
        <v>0</v>
      </c>
      <c r="EX453" s="4">
        <f t="shared" si="372"/>
        <v>0</v>
      </c>
      <c r="EY453" s="4">
        <f t="shared" si="372"/>
        <v>0</v>
      </c>
      <c r="EZ453" s="4">
        <f t="shared" si="372"/>
        <v>0</v>
      </c>
      <c r="FA453" s="4">
        <f t="shared" si="372"/>
        <v>0</v>
      </c>
      <c r="FB453" s="4">
        <f t="shared" si="372"/>
        <v>0</v>
      </c>
      <c r="FC453" s="4">
        <f t="shared" si="372"/>
        <v>0</v>
      </c>
      <c r="FD453" s="4">
        <f t="shared" si="372"/>
        <v>0</v>
      </c>
      <c r="FE453" s="4">
        <f t="shared" si="372"/>
        <v>0</v>
      </c>
      <c r="FF453" s="4">
        <f t="shared" si="372"/>
        <v>0</v>
      </c>
      <c r="FG453" s="4">
        <f t="shared" si="372"/>
        <v>0</v>
      </c>
      <c r="FH453" s="4">
        <f t="shared" si="372"/>
        <v>0</v>
      </c>
      <c r="FI453" s="4">
        <f t="shared" si="372"/>
        <v>0</v>
      </c>
      <c r="FJ453" s="4">
        <f t="shared" si="372"/>
        <v>0</v>
      </c>
      <c r="FK453" s="4">
        <f t="shared" si="372"/>
        <v>0</v>
      </c>
      <c r="FL453" s="4">
        <f t="shared" si="372"/>
        <v>0</v>
      </c>
      <c r="FM453" s="4">
        <f t="shared" si="372"/>
        <v>0</v>
      </c>
      <c r="FN453" s="4">
        <f t="shared" si="372"/>
        <v>0</v>
      </c>
      <c r="FO453" s="4">
        <f t="shared" si="372"/>
        <v>0</v>
      </c>
      <c r="FP453" s="4">
        <f t="shared" si="372"/>
        <v>0</v>
      </c>
      <c r="FQ453" s="4">
        <f t="shared" si="372"/>
        <v>0</v>
      </c>
      <c r="FR453" s="4">
        <f t="shared" si="372"/>
        <v>0</v>
      </c>
      <c r="FS453" s="4">
        <f t="shared" ref="FS453:GX453" si="373">FS609</f>
        <v>0</v>
      </c>
      <c r="FT453" s="4">
        <f t="shared" si="373"/>
        <v>0</v>
      </c>
      <c r="FU453" s="4">
        <f t="shared" si="373"/>
        <v>0</v>
      </c>
      <c r="FV453" s="4">
        <f t="shared" si="373"/>
        <v>0</v>
      </c>
      <c r="FW453" s="4">
        <f t="shared" si="373"/>
        <v>0</v>
      </c>
      <c r="FX453" s="4">
        <f t="shared" si="373"/>
        <v>0</v>
      </c>
      <c r="FY453" s="4">
        <f t="shared" si="373"/>
        <v>0</v>
      </c>
      <c r="FZ453" s="4">
        <f t="shared" si="373"/>
        <v>0</v>
      </c>
      <c r="GA453" s="4">
        <f t="shared" si="373"/>
        <v>0</v>
      </c>
      <c r="GB453" s="4">
        <f t="shared" si="373"/>
        <v>0</v>
      </c>
      <c r="GC453" s="4">
        <f t="shared" si="373"/>
        <v>0</v>
      </c>
      <c r="GD453" s="4">
        <f t="shared" si="373"/>
        <v>0</v>
      </c>
      <c r="GE453" s="4">
        <f t="shared" si="373"/>
        <v>0</v>
      </c>
      <c r="GF453" s="4">
        <f t="shared" si="373"/>
        <v>0</v>
      </c>
      <c r="GG453" s="4">
        <f t="shared" si="373"/>
        <v>0</v>
      </c>
      <c r="GH453" s="4">
        <f t="shared" si="373"/>
        <v>0</v>
      </c>
      <c r="GI453" s="4">
        <f t="shared" si="373"/>
        <v>0</v>
      </c>
      <c r="GJ453" s="4">
        <f t="shared" si="373"/>
        <v>0</v>
      </c>
      <c r="GK453" s="4">
        <f t="shared" si="373"/>
        <v>0</v>
      </c>
      <c r="GL453" s="4">
        <f t="shared" si="373"/>
        <v>0</v>
      </c>
      <c r="GM453" s="4">
        <f t="shared" si="373"/>
        <v>0</v>
      </c>
      <c r="GN453" s="4">
        <f t="shared" si="373"/>
        <v>0</v>
      </c>
      <c r="GO453" s="4">
        <f t="shared" si="373"/>
        <v>0</v>
      </c>
      <c r="GP453" s="4">
        <f t="shared" si="373"/>
        <v>0</v>
      </c>
      <c r="GQ453" s="4">
        <f t="shared" si="373"/>
        <v>0</v>
      </c>
      <c r="GR453" s="4">
        <f t="shared" si="373"/>
        <v>0</v>
      </c>
      <c r="GS453" s="4">
        <f t="shared" si="373"/>
        <v>0</v>
      </c>
      <c r="GT453" s="4">
        <f t="shared" si="373"/>
        <v>0</v>
      </c>
      <c r="GU453" s="4">
        <f t="shared" si="373"/>
        <v>0</v>
      </c>
      <c r="GV453" s="4">
        <f t="shared" si="373"/>
        <v>0</v>
      </c>
      <c r="GW453" s="4">
        <f t="shared" si="373"/>
        <v>0</v>
      </c>
      <c r="GX453" s="4">
        <f t="shared" si="373"/>
        <v>0</v>
      </c>
    </row>
    <row r="455" spans="1:255" x14ac:dyDescent="0.2">
      <c r="A455" s="1">
        <v>4</v>
      </c>
      <c r="B455" s="1">
        <v>1</v>
      </c>
      <c r="C455" s="1"/>
      <c r="D455" s="1">
        <f>ROW(A468)</f>
        <v>468</v>
      </c>
      <c r="E455" s="1"/>
      <c r="F455" s="1" t="s">
        <v>16</v>
      </c>
      <c r="G455" s="1" t="s">
        <v>17</v>
      </c>
      <c r="H455" s="1" t="s">
        <v>3</v>
      </c>
      <c r="I455" s="1">
        <v>0</v>
      </c>
      <c r="J455" s="1"/>
      <c r="K455" s="1">
        <v>0</v>
      </c>
      <c r="L455" s="1"/>
      <c r="M455" s="1" t="s">
        <v>3</v>
      </c>
      <c r="N455" s="1"/>
      <c r="O455" s="1"/>
      <c r="P455" s="1"/>
      <c r="Q455" s="1"/>
      <c r="R455" s="1"/>
      <c r="S455" s="1">
        <v>0</v>
      </c>
      <c r="T455" s="1">
        <v>0</v>
      </c>
      <c r="U455" s="1" t="s">
        <v>3</v>
      </c>
      <c r="V455" s="1">
        <v>0</v>
      </c>
      <c r="W455" s="1"/>
      <c r="X455" s="1"/>
      <c r="Y455" s="1"/>
      <c r="Z455" s="1"/>
      <c r="AA455" s="1"/>
      <c r="AB455" s="1" t="s">
        <v>3</v>
      </c>
      <c r="AC455" s="1" t="s">
        <v>3</v>
      </c>
      <c r="AD455" s="1" t="s">
        <v>3</v>
      </c>
      <c r="AE455" s="1" t="s">
        <v>3</v>
      </c>
      <c r="AF455" s="1" t="s">
        <v>3</v>
      </c>
      <c r="AG455" s="1" t="s">
        <v>3</v>
      </c>
      <c r="AH455" s="1"/>
      <c r="AI455" s="1"/>
      <c r="AJ455" s="1"/>
      <c r="AK455" s="1"/>
      <c r="AL455" s="1"/>
      <c r="AM455" s="1"/>
      <c r="AN455" s="1"/>
      <c r="AO455" s="1"/>
      <c r="AP455" s="1" t="s">
        <v>3</v>
      </c>
      <c r="AQ455" s="1" t="s">
        <v>3</v>
      </c>
      <c r="AR455" s="1" t="s">
        <v>3</v>
      </c>
      <c r="AS455" s="1"/>
      <c r="AT455" s="1"/>
      <c r="AU455" s="1"/>
      <c r="AV455" s="1"/>
      <c r="AW455" s="1"/>
      <c r="AX455" s="1"/>
      <c r="AY455" s="1"/>
      <c r="AZ455" s="1" t="s">
        <v>3</v>
      </c>
      <c r="BA455" s="1"/>
      <c r="BB455" s="1" t="s">
        <v>3</v>
      </c>
      <c r="BC455" s="1" t="s">
        <v>3</v>
      </c>
      <c r="BD455" s="1" t="s">
        <v>3</v>
      </c>
      <c r="BE455" s="1" t="s">
        <v>3</v>
      </c>
      <c r="BF455" s="1" t="s">
        <v>3</v>
      </c>
      <c r="BG455" s="1" t="s">
        <v>3</v>
      </c>
      <c r="BH455" s="1" t="s">
        <v>3</v>
      </c>
      <c r="BI455" s="1" t="s">
        <v>3</v>
      </c>
      <c r="BJ455" s="1" t="s">
        <v>3</v>
      </c>
      <c r="BK455" s="1" t="s">
        <v>3</v>
      </c>
      <c r="BL455" s="1" t="s">
        <v>3</v>
      </c>
      <c r="BM455" s="1" t="s">
        <v>3</v>
      </c>
      <c r="BN455" s="1" t="s">
        <v>3</v>
      </c>
      <c r="BO455" s="1" t="s">
        <v>3</v>
      </c>
      <c r="BP455" s="1" t="s">
        <v>3</v>
      </c>
      <c r="BQ455" s="1"/>
      <c r="BR455" s="1"/>
      <c r="BS455" s="1"/>
      <c r="BT455" s="1"/>
      <c r="BU455" s="1"/>
      <c r="BV455" s="1"/>
      <c r="BW455" s="1"/>
      <c r="BX455" s="1">
        <v>0</v>
      </c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>
        <v>0</v>
      </c>
    </row>
    <row r="457" spans="1:255" x14ac:dyDescent="0.2">
      <c r="A457" s="3">
        <v>52</v>
      </c>
      <c r="B457" s="3">
        <f t="shared" ref="B457:G457" si="374">B468</f>
        <v>1</v>
      </c>
      <c r="C457" s="3">
        <f t="shared" si="374"/>
        <v>4</v>
      </c>
      <c r="D457" s="3">
        <f t="shared" si="374"/>
        <v>455</v>
      </c>
      <c r="E457" s="3">
        <f t="shared" si="374"/>
        <v>0</v>
      </c>
      <c r="F457" s="3" t="str">
        <f t="shared" si="374"/>
        <v>Новый раздел</v>
      </c>
      <c r="G457" s="3" t="str">
        <f t="shared" si="374"/>
        <v>Демонтажные работы</v>
      </c>
      <c r="H457" s="3"/>
      <c r="I457" s="3"/>
      <c r="J457" s="3"/>
      <c r="K457" s="3"/>
      <c r="L457" s="3"/>
      <c r="M457" s="3"/>
      <c r="N457" s="3"/>
      <c r="O457" s="3">
        <f t="shared" ref="O457:AT457" si="375">O468</f>
        <v>1494.38</v>
      </c>
      <c r="P457" s="3">
        <f t="shared" si="375"/>
        <v>74.22</v>
      </c>
      <c r="Q457" s="3">
        <f t="shared" si="375"/>
        <v>596.32000000000005</v>
      </c>
      <c r="R457" s="3">
        <f t="shared" si="375"/>
        <v>153.5</v>
      </c>
      <c r="S457" s="3">
        <f t="shared" si="375"/>
        <v>823.84</v>
      </c>
      <c r="T457" s="3">
        <f t="shared" si="375"/>
        <v>0</v>
      </c>
      <c r="U457" s="3">
        <f t="shared" si="375"/>
        <v>68.283450300000013</v>
      </c>
      <c r="V457" s="3">
        <f t="shared" si="375"/>
        <v>0</v>
      </c>
      <c r="W457" s="3">
        <f t="shared" si="375"/>
        <v>0</v>
      </c>
      <c r="X457" s="3">
        <f t="shared" si="375"/>
        <v>687.9</v>
      </c>
      <c r="Y457" s="3">
        <f t="shared" si="375"/>
        <v>539.6</v>
      </c>
      <c r="Z457" s="3">
        <f t="shared" si="375"/>
        <v>0</v>
      </c>
      <c r="AA457" s="3">
        <f t="shared" si="375"/>
        <v>0</v>
      </c>
      <c r="AB457" s="3">
        <f t="shared" si="375"/>
        <v>1494.38</v>
      </c>
      <c r="AC457" s="3">
        <f t="shared" si="375"/>
        <v>74.22</v>
      </c>
      <c r="AD457" s="3">
        <f t="shared" si="375"/>
        <v>596.32000000000005</v>
      </c>
      <c r="AE457" s="3">
        <f t="shared" si="375"/>
        <v>153.5</v>
      </c>
      <c r="AF457" s="3">
        <f t="shared" si="375"/>
        <v>823.84</v>
      </c>
      <c r="AG457" s="3">
        <f t="shared" si="375"/>
        <v>0</v>
      </c>
      <c r="AH457" s="3">
        <f t="shared" si="375"/>
        <v>68.283450300000013</v>
      </c>
      <c r="AI457" s="3">
        <f t="shared" si="375"/>
        <v>0</v>
      </c>
      <c r="AJ457" s="3">
        <f t="shared" si="375"/>
        <v>0</v>
      </c>
      <c r="AK457" s="3">
        <f t="shared" si="375"/>
        <v>687.9</v>
      </c>
      <c r="AL457" s="3">
        <f t="shared" si="375"/>
        <v>539.6</v>
      </c>
      <c r="AM457" s="3">
        <f t="shared" si="375"/>
        <v>0</v>
      </c>
      <c r="AN457" s="3">
        <f t="shared" si="375"/>
        <v>0</v>
      </c>
      <c r="AO457" s="3">
        <f t="shared" si="375"/>
        <v>0</v>
      </c>
      <c r="AP457" s="3">
        <f t="shared" si="375"/>
        <v>0</v>
      </c>
      <c r="AQ457" s="3">
        <f t="shared" si="375"/>
        <v>0</v>
      </c>
      <c r="AR457" s="3">
        <f t="shared" si="375"/>
        <v>2990.51</v>
      </c>
      <c r="AS457" s="3">
        <f t="shared" si="375"/>
        <v>2990.51</v>
      </c>
      <c r="AT457" s="3">
        <f t="shared" si="375"/>
        <v>0</v>
      </c>
      <c r="AU457" s="3">
        <f t="shared" ref="AU457:BZ457" si="376">AU468</f>
        <v>0</v>
      </c>
      <c r="AV457" s="3">
        <f t="shared" si="376"/>
        <v>74.22</v>
      </c>
      <c r="AW457" s="3">
        <f t="shared" si="376"/>
        <v>74.22</v>
      </c>
      <c r="AX457" s="3">
        <f t="shared" si="376"/>
        <v>0</v>
      </c>
      <c r="AY457" s="3">
        <f t="shared" si="376"/>
        <v>74.22</v>
      </c>
      <c r="AZ457" s="3">
        <f t="shared" si="376"/>
        <v>0</v>
      </c>
      <c r="BA457" s="3">
        <f t="shared" si="376"/>
        <v>0</v>
      </c>
      <c r="BB457" s="3">
        <f t="shared" si="376"/>
        <v>0</v>
      </c>
      <c r="BC457" s="3">
        <f t="shared" si="376"/>
        <v>0</v>
      </c>
      <c r="BD457" s="3">
        <f t="shared" si="376"/>
        <v>0</v>
      </c>
      <c r="BE457" s="3">
        <f t="shared" si="376"/>
        <v>0</v>
      </c>
      <c r="BF457" s="3">
        <f t="shared" si="376"/>
        <v>0</v>
      </c>
      <c r="BG457" s="3">
        <f t="shared" si="376"/>
        <v>0</v>
      </c>
      <c r="BH457" s="3">
        <f t="shared" si="376"/>
        <v>0</v>
      </c>
      <c r="BI457" s="3">
        <f t="shared" si="376"/>
        <v>0</v>
      </c>
      <c r="BJ457" s="3">
        <f t="shared" si="376"/>
        <v>0</v>
      </c>
      <c r="BK457" s="3">
        <f t="shared" si="376"/>
        <v>0</v>
      </c>
      <c r="BL457" s="3">
        <f t="shared" si="376"/>
        <v>0</v>
      </c>
      <c r="BM457" s="3">
        <f t="shared" si="376"/>
        <v>0</v>
      </c>
      <c r="BN457" s="3">
        <f t="shared" si="376"/>
        <v>0</v>
      </c>
      <c r="BO457" s="3">
        <f t="shared" si="376"/>
        <v>0</v>
      </c>
      <c r="BP457" s="3">
        <f t="shared" si="376"/>
        <v>0</v>
      </c>
      <c r="BQ457" s="3">
        <f t="shared" si="376"/>
        <v>0</v>
      </c>
      <c r="BR457" s="3">
        <f t="shared" si="376"/>
        <v>0</v>
      </c>
      <c r="BS457" s="3">
        <f t="shared" si="376"/>
        <v>0</v>
      </c>
      <c r="BT457" s="3">
        <f t="shared" si="376"/>
        <v>0</v>
      </c>
      <c r="BU457" s="3">
        <f t="shared" si="376"/>
        <v>0</v>
      </c>
      <c r="BV457" s="3">
        <f t="shared" si="376"/>
        <v>0</v>
      </c>
      <c r="BW457" s="3">
        <f t="shared" si="376"/>
        <v>0</v>
      </c>
      <c r="BX457" s="3">
        <f t="shared" si="376"/>
        <v>0</v>
      </c>
      <c r="BY457" s="3">
        <f t="shared" si="376"/>
        <v>0</v>
      </c>
      <c r="BZ457" s="3">
        <f t="shared" si="376"/>
        <v>0</v>
      </c>
      <c r="CA457" s="3">
        <f t="shared" ref="CA457:DF457" si="377">CA468</f>
        <v>2990.51</v>
      </c>
      <c r="CB457" s="3">
        <f t="shared" si="377"/>
        <v>2990.51</v>
      </c>
      <c r="CC457" s="3">
        <f t="shared" si="377"/>
        <v>0</v>
      </c>
      <c r="CD457" s="3">
        <f t="shared" si="377"/>
        <v>0</v>
      </c>
      <c r="CE457" s="3">
        <f t="shared" si="377"/>
        <v>74.22</v>
      </c>
      <c r="CF457" s="3">
        <f t="shared" si="377"/>
        <v>74.22</v>
      </c>
      <c r="CG457" s="3">
        <f t="shared" si="377"/>
        <v>0</v>
      </c>
      <c r="CH457" s="3">
        <f t="shared" si="377"/>
        <v>74.22</v>
      </c>
      <c r="CI457" s="3">
        <f t="shared" si="377"/>
        <v>0</v>
      </c>
      <c r="CJ457" s="3">
        <f t="shared" si="377"/>
        <v>0</v>
      </c>
      <c r="CK457" s="3">
        <f t="shared" si="377"/>
        <v>0</v>
      </c>
      <c r="CL457" s="3">
        <f t="shared" si="377"/>
        <v>0</v>
      </c>
      <c r="CM457" s="3">
        <f t="shared" si="377"/>
        <v>0</v>
      </c>
      <c r="CN457" s="3">
        <f t="shared" si="377"/>
        <v>0</v>
      </c>
      <c r="CO457" s="3">
        <f t="shared" si="377"/>
        <v>0</v>
      </c>
      <c r="CP457" s="3">
        <f t="shared" si="377"/>
        <v>0</v>
      </c>
      <c r="CQ457" s="3">
        <f t="shared" si="377"/>
        <v>0</v>
      </c>
      <c r="CR457" s="3">
        <f t="shared" si="377"/>
        <v>0</v>
      </c>
      <c r="CS457" s="3">
        <f t="shared" si="377"/>
        <v>0</v>
      </c>
      <c r="CT457" s="3">
        <f t="shared" si="377"/>
        <v>0</v>
      </c>
      <c r="CU457" s="3">
        <f t="shared" si="377"/>
        <v>0</v>
      </c>
      <c r="CV457" s="3">
        <f t="shared" si="377"/>
        <v>0</v>
      </c>
      <c r="CW457" s="3">
        <f t="shared" si="377"/>
        <v>0</v>
      </c>
      <c r="CX457" s="3">
        <f t="shared" si="377"/>
        <v>0</v>
      </c>
      <c r="CY457" s="3">
        <f t="shared" si="377"/>
        <v>0</v>
      </c>
      <c r="CZ457" s="3">
        <f t="shared" si="377"/>
        <v>0</v>
      </c>
      <c r="DA457" s="3">
        <f t="shared" si="377"/>
        <v>0</v>
      </c>
      <c r="DB457" s="3">
        <f t="shared" si="377"/>
        <v>0</v>
      </c>
      <c r="DC457" s="3">
        <f t="shared" si="377"/>
        <v>0</v>
      </c>
      <c r="DD457" s="3">
        <f t="shared" si="377"/>
        <v>0</v>
      </c>
      <c r="DE457" s="3">
        <f t="shared" si="377"/>
        <v>0</v>
      </c>
      <c r="DF457" s="3">
        <f t="shared" si="377"/>
        <v>0</v>
      </c>
      <c r="DG457" s="4">
        <f t="shared" ref="DG457:EL457" si="378">DG468</f>
        <v>34484.559999999998</v>
      </c>
      <c r="DH457" s="4">
        <f t="shared" si="378"/>
        <v>1504.44</v>
      </c>
      <c r="DI457" s="4">
        <f t="shared" si="378"/>
        <v>9064.0400000000009</v>
      </c>
      <c r="DJ457" s="4">
        <f t="shared" si="378"/>
        <v>4456.1099999999997</v>
      </c>
      <c r="DK457" s="4">
        <f t="shared" si="378"/>
        <v>23916.080000000002</v>
      </c>
      <c r="DL457" s="4">
        <f t="shared" si="378"/>
        <v>0</v>
      </c>
      <c r="DM457" s="4">
        <f t="shared" si="378"/>
        <v>68.283450300000013</v>
      </c>
      <c r="DN457" s="4">
        <f t="shared" si="378"/>
        <v>0</v>
      </c>
      <c r="DO457" s="4">
        <f t="shared" si="378"/>
        <v>0</v>
      </c>
      <c r="DP457" s="4">
        <f t="shared" si="378"/>
        <v>16741.25</v>
      </c>
      <c r="DQ457" s="4">
        <f t="shared" si="378"/>
        <v>9805.59</v>
      </c>
      <c r="DR457" s="4">
        <f t="shared" si="378"/>
        <v>0</v>
      </c>
      <c r="DS457" s="4">
        <f t="shared" si="378"/>
        <v>0</v>
      </c>
      <c r="DT457" s="4">
        <f t="shared" si="378"/>
        <v>34484.559999999998</v>
      </c>
      <c r="DU457" s="4">
        <f t="shared" si="378"/>
        <v>1504.44</v>
      </c>
      <c r="DV457" s="4">
        <f t="shared" si="378"/>
        <v>9064.0400000000009</v>
      </c>
      <c r="DW457" s="4">
        <f t="shared" si="378"/>
        <v>4456.1099999999997</v>
      </c>
      <c r="DX457" s="4">
        <f t="shared" si="378"/>
        <v>23916.080000000002</v>
      </c>
      <c r="DY457" s="4">
        <f t="shared" si="378"/>
        <v>0</v>
      </c>
      <c r="DZ457" s="4">
        <f t="shared" si="378"/>
        <v>68.283450300000013</v>
      </c>
      <c r="EA457" s="4">
        <f t="shared" si="378"/>
        <v>0</v>
      </c>
      <c r="EB457" s="4">
        <f t="shared" si="378"/>
        <v>0</v>
      </c>
      <c r="EC457" s="4">
        <f t="shared" si="378"/>
        <v>16741.25</v>
      </c>
      <c r="ED457" s="4">
        <f t="shared" si="378"/>
        <v>9805.59</v>
      </c>
      <c r="EE457" s="4">
        <f t="shared" si="378"/>
        <v>0</v>
      </c>
      <c r="EF457" s="4">
        <f t="shared" si="378"/>
        <v>0</v>
      </c>
      <c r="EG457" s="4">
        <f t="shared" si="378"/>
        <v>0</v>
      </c>
      <c r="EH457" s="4">
        <f t="shared" si="378"/>
        <v>0</v>
      </c>
      <c r="EI457" s="4">
        <f t="shared" si="378"/>
        <v>0</v>
      </c>
      <c r="EJ457" s="4">
        <f t="shared" si="378"/>
        <v>68161.179999999993</v>
      </c>
      <c r="EK457" s="4">
        <f t="shared" si="378"/>
        <v>68161.179999999993</v>
      </c>
      <c r="EL457" s="4">
        <f t="shared" si="378"/>
        <v>0</v>
      </c>
      <c r="EM457" s="4">
        <f t="shared" ref="EM457:FR457" si="379">EM468</f>
        <v>0</v>
      </c>
      <c r="EN457" s="4">
        <f t="shared" si="379"/>
        <v>1504.44</v>
      </c>
      <c r="EO457" s="4">
        <f t="shared" si="379"/>
        <v>1504.44</v>
      </c>
      <c r="EP457" s="4">
        <f t="shared" si="379"/>
        <v>0</v>
      </c>
      <c r="EQ457" s="4">
        <f t="shared" si="379"/>
        <v>1504.44</v>
      </c>
      <c r="ER457" s="4">
        <f t="shared" si="379"/>
        <v>0</v>
      </c>
      <c r="ES457" s="4">
        <f t="shared" si="379"/>
        <v>0</v>
      </c>
      <c r="ET457" s="4">
        <f t="shared" si="379"/>
        <v>0</v>
      </c>
      <c r="EU457" s="4">
        <f t="shared" si="379"/>
        <v>0</v>
      </c>
      <c r="EV457" s="4">
        <f t="shared" si="379"/>
        <v>0</v>
      </c>
      <c r="EW457" s="4">
        <f t="shared" si="379"/>
        <v>0</v>
      </c>
      <c r="EX457" s="4">
        <f t="shared" si="379"/>
        <v>0</v>
      </c>
      <c r="EY457" s="4">
        <f t="shared" si="379"/>
        <v>0</v>
      </c>
      <c r="EZ457" s="4">
        <f t="shared" si="379"/>
        <v>0</v>
      </c>
      <c r="FA457" s="4">
        <f t="shared" si="379"/>
        <v>0</v>
      </c>
      <c r="FB457" s="4">
        <f t="shared" si="379"/>
        <v>0</v>
      </c>
      <c r="FC457" s="4">
        <f t="shared" si="379"/>
        <v>0</v>
      </c>
      <c r="FD457" s="4">
        <f t="shared" si="379"/>
        <v>0</v>
      </c>
      <c r="FE457" s="4">
        <f t="shared" si="379"/>
        <v>0</v>
      </c>
      <c r="FF457" s="4">
        <f t="shared" si="379"/>
        <v>0</v>
      </c>
      <c r="FG457" s="4">
        <f t="shared" si="379"/>
        <v>0</v>
      </c>
      <c r="FH457" s="4">
        <f t="shared" si="379"/>
        <v>0</v>
      </c>
      <c r="FI457" s="4">
        <f t="shared" si="379"/>
        <v>0</v>
      </c>
      <c r="FJ457" s="4">
        <f t="shared" si="379"/>
        <v>0</v>
      </c>
      <c r="FK457" s="4">
        <f t="shared" si="379"/>
        <v>0</v>
      </c>
      <c r="FL457" s="4">
        <f t="shared" si="379"/>
        <v>0</v>
      </c>
      <c r="FM457" s="4">
        <f t="shared" si="379"/>
        <v>0</v>
      </c>
      <c r="FN457" s="4">
        <f t="shared" si="379"/>
        <v>0</v>
      </c>
      <c r="FO457" s="4">
        <f t="shared" si="379"/>
        <v>0</v>
      </c>
      <c r="FP457" s="4">
        <f t="shared" si="379"/>
        <v>0</v>
      </c>
      <c r="FQ457" s="4">
        <f t="shared" si="379"/>
        <v>0</v>
      </c>
      <c r="FR457" s="4">
        <f t="shared" si="379"/>
        <v>0</v>
      </c>
      <c r="FS457" s="4">
        <f t="shared" ref="FS457:GX457" si="380">FS468</f>
        <v>68161.179999999993</v>
      </c>
      <c r="FT457" s="4">
        <f t="shared" si="380"/>
        <v>68161.179999999993</v>
      </c>
      <c r="FU457" s="4">
        <f t="shared" si="380"/>
        <v>0</v>
      </c>
      <c r="FV457" s="4">
        <f t="shared" si="380"/>
        <v>0</v>
      </c>
      <c r="FW457" s="4">
        <f t="shared" si="380"/>
        <v>1504.44</v>
      </c>
      <c r="FX457" s="4">
        <f t="shared" si="380"/>
        <v>1504.44</v>
      </c>
      <c r="FY457" s="4">
        <f t="shared" si="380"/>
        <v>0</v>
      </c>
      <c r="FZ457" s="4">
        <f t="shared" si="380"/>
        <v>1504.44</v>
      </c>
      <c r="GA457" s="4">
        <f t="shared" si="380"/>
        <v>0</v>
      </c>
      <c r="GB457" s="4">
        <f t="shared" si="380"/>
        <v>0</v>
      </c>
      <c r="GC457" s="4">
        <f t="shared" si="380"/>
        <v>0</v>
      </c>
      <c r="GD457" s="4">
        <f t="shared" si="380"/>
        <v>0</v>
      </c>
      <c r="GE457" s="4">
        <f t="shared" si="380"/>
        <v>0</v>
      </c>
      <c r="GF457" s="4">
        <f t="shared" si="380"/>
        <v>0</v>
      </c>
      <c r="GG457" s="4">
        <f t="shared" si="380"/>
        <v>0</v>
      </c>
      <c r="GH457" s="4">
        <f t="shared" si="380"/>
        <v>0</v>
      </c>
      <c r="GI457" s="4">
        <f t="shared" si="380"/>
        <v>0</v>
      </c>
      <c r="GJ457" s="4">
        <f t="shared" si="380"/>
        <v>0</v>
      </c>
      <c r="GK457" s="4">
        <f t="shared" si="380"/>
        <v>0</v>
      </c>
      <c r="GL457" s="4">
        <f t="shared" si="380"/>
        <v>0</v>
      </c>
      <c r="GM457" s="4">
        <f t="shared" si="380"/>
        <v>0</v>
      </c>
      <c r="GN457" s="4">
        <f t="shared" si="380"/>
        <v>0</v>
      </c>
      <c r="GO457" s="4">
        <f t="shared" si="380"/>
        <v>0</v>
      </c>
      <c r="GP457" s="4">
        <f t="shared" si="380"/>
        <v>0</v>
      </c>
      <c r="GQ457" s="4">
        <f t="shared" si="380"/>
        <v>0</v>
      </c>
      <c r="GR457" s="4">
        <f t="shared" si="380"/>
        <v>0</v>
      </c>
      <c r="GS457" s="4">
        <f t="shared" si="380"/>
        <v>0</v>
      </c>
      <c r="GT457" s="4">
        <f t="shared" si="380"/>
        <v>0</v>
      </c>
      <c r="GU457" s="4">
        <f t="shared" si="380"/>
        <v>0</v>
      </c>
      <c r="GV457" s="4">
        <f t="shared" si="380"/>
        <v>0</v>
      </c>
      <c r="GW457" s="4">
        <f t="shared" si="380"/>
        <v>0</v>
      </c>
      <c r="GX457" s="4">
        <f t="shared" si="380"/>
        <v>0</v>
      </c>
    </row>
    <row r="459" spans="1:255" x14ac:dyDescent="0.2">
      <c r="A459" s="2">
        <v>17</v>
      </c>
      <c r="B459" s="2">
        <v>1</v>
      </c>
      <c r="C459" s="2">
        <f>ROW(SmtRes!A423)</f>
        <v>423</v>
      </c>
      <c r="D459" s="2">
        <f>ROW(EtalonRes!A425)</f>
        <v>425</v>
      </c>
      <c r="E459" s="2" t="s">
        <v>18</v>
      </c>
      <c r="F459" s="2" t="s">
        <v>500</v>
      </c>
      <c r="G459" s="2" t="s">
        <v>501</v>
      </c>
      <c r="H459" s="2" t="s">
        <v>502</v>
      </c>
      <c r="I459" s="2">
        <v>0.35099999999999998</v>
      </c>
      <c r="J459" s="2">
        <v>0</v>
      </c>
      <c r="K459" s="2">
        <v>0.35099999999999998</v>
      </c>
      <c r="L459" s="2"/>
      <c r="M459" s="2"/>
      <c r="N459" s="2"/>
      <c r="O459" s="2">
        <f t="shared" ref="O459:O466" si="381">ROUND(CP459,2)</f>
        <v>736.64</v>
      </c>
      <c r="P459" s="2">
        <f t="shared" ref="P459:P466" si="382">ROUND((ROUND((AC459*AW459*I459),2)*BC459),2)</f>
        <v>0</v>
      </c>
      <c r="Q459" s="2">
        <f>(ROUND((ROUND(((ET459)*AV459*I459),2)*BB459),2)+ROUND((ROUND(((AE459-(EU459))*AV459*I459),2)*BS459),2))</f>
        <v>489.38</v>
      </c>
      <c r="R459" s="2">
        <f t="shared" ref="R459:R466" si="383">ROUND((ROUND((AE459*AV459*I459),2)*BS459),2)</f>
        <v>143.53</v>
      </c>
      <c r="S459" s="2">
        <f t="shared" ref="S459:S466" si="384">ROUND((ROUND((AF459*AV459*I459),2)*BA459),2)</f>
        <v>247.26</v>
      </c>
      <c r="T459" s="2">
        <f t="shared" ref="T459:T466" si="385">ROUND(CU459*I459,2)</f>
        <v>0</v>
      </c>
      <c r="U459" s="2">
        <f t="shared" ref="U459:U466" si="386">CV459*I459</f>
        <v>24.603450300000002</v>
      </c>
      <c r="V459" s="2">
        <f t="shared" ref="V459:V466" si="387">CW459*I459</f>
        <v>0</v>
      </c>
      <c r="W459" s="2">
        <f t="shared" ref="W459:W466" si="388">ROUND(CX459*I459,2)</f>
        <v>0</v>
      </c>
      <c r="X459" s="2">
        <f t="shared" ref="X459:Y466" si="389">ROUND(CY459,2)</f>
        <v>197.81</v>
      </c>
      <c r="Y459" s="2">
        <f t="shared" si="389"/>
        <v>135.99</v>
      </c>
      <c r="Z459" s="2"/>
      <c r="AA459" s="2">
        <v>129761636</v>
      </c>
      <c r="AB459" s="2">
        <f t="shared" ref="AB459:AB466" si="390">ROUND((AC459+AD459+AF459),6)</f>
        <v>2098.7076000000002</v>
      </c>
      <c r="AC459" s="2">
        <f>ROUND((ES459),6)</f>
        <v>0</v>
      </c>
      <c r="AD459" s="2">
        <f>ROUND((((ET459)-(EU459))+AE459),6)</f>
        <v>1394.25</v>
      </c>
      <c r="AE459" s="2">
        <f>ROUND((EU459),6)</f>
        <v>408.93</v>
      </c>
      <c r="AF459" s="2">
        <f>ROUND(((EV459*0.33)),6)</f>
        <v>704.45759999999996</v>
      </c>
      <c r="AG459" s="2">
        <f t="shared" ref="AG459:AG466" si="391">ROUND((AP459),6)</f>
        <v>0</v>
      </c>
      <c r="AH459" s="2">
        <f>((EW459*0.33))</f>
        <v>70.095300000000009</v>
      </c>
      <c r="AI459" s="2">
        <f>(EX459)</f>
        <v>0</v>
      </c>
      <c r="AJ459" s="2">
        <f t="shared" ref="AJ459:AJ466" si="392">(AS459)</f>
        <v>0</v>
      </c>
      <c r="AK459" s="2">
        <v>3528.97</v>
      </c>
      <c r="AL459" s="2">
        <v>0</v>
      </c>
      <c r="AM459" s="2">
        <v>1394.25</v>
      </c>
      <c r="AN459" s="2">
        <v>408.93</v>
      </c>
      <c r="AO459" s="2">
        <v>2134.7199999999998</v>
      </c>
      <c r="AP459" s="2">
        <v>0</v>
      </c>
      <c r="AQ459" s="2">
        <v>212.41</v>
      </c>
      <c r="AR459" s="2">
        <v>0</v>
      </c>
      <c r="AS459" s="2">
        <v>0</v>
      </c>
      <c r="AT459" s="2">
        <v>80</v>
      </c>
      <c r="AU459" s="2">
        <v>55</v>
      </c>
      <c r="AV459" s="2">
        <v>1</v>
      </c>
      <c r="AW459" s="2">
        <v>1</v>
      </c>
      <c r="AX459" s="2"/>
      <c r="AY459" s="2"/>
      <c r="AZ459" s="2">
        <v>1</v>
      </c>
      <c r="BA459" s="2">
        <v>1</v>
      </c>
      <c r="BB459" s="2">
        <v>1</v>
      </c>
      <c r="BC459" s="2">
        <v>1</v>
      </c>
      <c r="BD459" s="2" t="s">
        <v>3</v>
      </c>
      <c r="BE459" s="2" t="s">
        <v>3</v>
      </c>
      <c r="BF459" s="2" t="s">
        <v>3</v>
      </c>
      <c r="BG459" s="2" t="s">
        <v>3</v>
      </c>
      <c r="BH459" s="2">
        <v>0</v>
      </c>
      <c r="BI459" s="2">
        <v>1</v>
      </c>
      <c r="BJ459" s="2" t="s">
        <v>503</v>
      </c>
      <c r="BK459" s="2"/>
      <c r="BL459" s="2"/>
      <c r="BM459" s="2">
        <v>406</v>
      </c>
      <c r="BN459" s="2">
        <v>0</v>
      </c>
      <c r="BO459" s="2" t="s">
        <v>3</v>
      </c>
      <c r="BP459" s="2">
        <v>0</v>
      </c>
      <c r="BQ459" s="2">
        <v>60</v>
      </c>
      <c r="BR459" s="2">
        <v>0</v>
      </c>
      <c r="BS459" s="2">
        <v>1</v>
      </c>
      <c r="BT459" s="2">
        <v>1</v>
      </c>
      <c r="BU459" s="2">
        <v>1</v>
      </c>
      <c r="BV459" s="2">
        <v>1</v>
      </c>
      <c r="BW459" s="2">
        <v>1</v>
      </c>
      <c r="BX459" s="2">
        <v>1</v>
      </c>
      <c r="BY459" s="2" t="s">
        <v>3</v>
      </c>
      <c r="BZ459" s="2">
        <v>80</v>
      </c>
      <c r="CA459" s="2">
        <v>55</v>
      </c>
      <c r="CB459" s="2" t="s">
        <v>3</v>
      </c>
      <c r="CC459" s="2"/>
      <c r="CD459" s="2"/>
      <c r="CE459" s="2">
        <v>30</v>
      </c>
      <c r="CF459" s="2">
        <v>0</v>
      </c>
      <c r="CG459" s="2">
        <v>0</v>
      </c>
      <c r="CH459" s="2"/>
      <c r="CI459" s="2"/>
      <c r="CJ459" s="2"/>
      <c r="CK459" s="2"/>
      <c r="CL459" s="2"/>
      <c r="CM459" s="2">
        <v>0</v>
      </c>
      <c r="CN459" s="2" t="s">
        <v>504</v>
      </c>
      <c r="CO459" s="2">
        <v>0</v>
      </c>
      <c r="CP459" s="2">
        <f t="shared" ref="CP459:CP466" si="393">(P459+Q459+S459)</f>
        <v>736.64</v>
      </c>
      <c r="CQ459" s="2">
        <f t="shared" ref="CQ459:CQ466" si="394">ROUND((ROUND((AC459*AW459*1),2)*BC459),2)</f>
        <v>0</v>
      </c>
      <c r="CR459" s="2">
        <f>(ROUND((ROUND(((ET459)*AV459*1),2)*BB459),2)+ROUND((ROUND(((AE459-(EU459))*AV459*1),2)*BS459),2))</f>
        <v>1394.25</v>
      </c>
      <c r="CS459" s="2">
        <f t="shared" ref="CS459:CS466" si="395">ROUND((ROUND((AE459*AV459*1),2)*BS459),2)</f>
        <v>408.93</v>
      </c>
      <c r="CT459" s="2">
        <f t="shared" ref="CT459:CT466" si="396">ROUND((ROUND((AF459*AV459*1),2)*BA459),2)</f>
        <v>704.46</v>
      </c>
      <c r="CU459" s="2">
        <f t="shared" ref="CU459:CU466" si="397">AG459</f>
        <v>0</v>
      </c>
      <c r="CV459" s="2">
        <f t="shared" ref="CV459:CV466" si="398">(AH459*AV459)</f>
        <v>70.095300000000009</v>
      </c>
      <c r="CW459" s="2">
        <f t="shared" ref="CW459:CX466" si="399">AI459</f>
        <v>0</v>
      </c>
      <c r="CX459" s="2">
        <f t="shared" si="399"/>
        <v>0</v>
      </c>
      <c r="CY459" s="2">
        <f>((S459*BZ459)/100)</f>
        <v>197.80799999999999</v>
      </c>
      <c r="CZ459" s="2">
        <f>((S459*CA459)/100)</f>
        <v>135.99299999999999</v>
      </c>
      <c r="DA459" s="2"/>
      <c r="DB459" s="2"/>
      <c r="DC459" s="2" t="s">
        <v>3</v>
      </c>
      <c r="DD459" s="2" t="s">
        <v>3</v>
      </c>
      <c r="DE459" s="2" t="s">
        <v>3</v>
      </c>
      <c r="DF459" s="2" t="s">
        <v>3</v>
      </c>
      <c r="DG459" s="2" t="s">
        <v>505</v>
      </c>
      <c r="DH459" s="2" t="s">
        <v>3</v>
      </c>
      <c r="DI459" s="2" t="s">
        <v>505</v>
      </c>
      <c r="DJ459" s="2" t="s">
        <v>3</v>
      </c>
      <c r="DK459" s="2" t="s">
        <v>3</v>
      </c>
      <c r="DL459" s="2" t="s">
        <v>3</v>
      </c>
      <c r="DM459" s="2" t="s">
        <v>3</v>
      </c>
      <c r="DN459" s="2">
        <v>0</v>
      </c>
      <c r="DO459" s="2">
        <v>0</v>
      </c>
      <c r="DP459" s="2">
        <v>1</v>
      </c>
      <c r="DQ459" s="2">
        <v>1</v>
      </c>
      <c r="DR459" s="2"/>
      <c r="DS459" s="2"/>
      <c r="DT459" s="2"/>
      <c r="DU459" s="2">
        <v>1013</v>
      </c>
      <c r="DV459" s="2" t="s">
        <v>502</v>
      </c>
      <c r="DW459" s="2" t="s">
        <v>502</v>
      </c>
      <c r="DX459" s="2">
        <v>1</v>
      </c>
      <c r="DY459" s="2"/>
      <c r="DZ459" s="2" t="s">
        <v>3</v>
      </c>
      <c r="EA459" s="2" t="s">
        <v>3</v>
      </c>
      <c r="EB459" s="2" t="s">
        <v>3</v>
      </c>
      <c r="EC459" s="2" t="s">
        <v>3</v>
      </c>
      <c r="ED459" s="2"/>
      <c r="EE459" s="2">
        <v>126051867</v>
      </c>
      <c r="EF459" s="2">
        <v>60</v>
      </c>
      <c r="EG459" s="2" t="s">
        <v>150</v>
      </c>
      <c r="EH459" s="2">
        <v>0</v>
      </c>
      <c r="EI459" s="2" t="s">
        <v>3</v>
      </c>
      <c r="EJ459" s="2">
        <v>1</v>
      </c>
      <c r="EK459" s="2">
        <v>406</v>
      </c>
      <c r="EL459" s="2" t="s">
        <v>506</v>
      </c>
      <c r="EM459" s="2" t="s">
        <v>507</v>
      </c>
      <c r="EN459" s="2"/>
      <c r="EO459" s="2" t="s">
        <v>508</v>
      </c>
      <c r="EP459" s="2"/>
      <c r="EQ459" s="2">
        <v>131072</v>
      </c>
      <c r="ER459" s="2">
        <v>3528.97</v>
      </c>
      <c r="ES459" s="2">
        <v>0</v>
      </c>
      <c r="ET459" s="2">
        <v>1394.25</v>
      </c>
      <c r="EU459" s="2">
        <v>408.93</v>
      </c>
      <c r="EV459" s="2">
        <v>2134.7199999999998</v>
      </c>
      <c r="EW459" s="2">
        <v>212.41</v>
      </c>
      <c r="EX459" s="2">
        <v>0</v>
      </c>
      <c r="EY459" s="2">
        <v>0</v>
      </c>
      <c r="EZ459" s="2"/>
      <c r="FA459" s="2"/>
      <c r="FB459" s="2"/>
      <c r="FC459" s="2"/>
      <c r="FD459" s="2"/>
      <c r="FE459" s="2"/>
      <c r="FF459" s="2"/>
      <c r="FG459" s="2"/>
      <c r="FH459" s="2"/>
      <c r="FI459" s="2"/>
      <c r="FJ459" s="2"/>
      <c r="FK459" s="2"/>
      <c r="FL459" s="2"/>
      <c r="FM459" s="2"/>
      <c r="FN459" s="2"/>
      <c r="FO459" s="2"/>
      <c r="FP459" s="2"/>
      <c r="FQ459" s="2">
        <v>0</v>
      </c>
      <c r="FR459" s="2">
        <f t="shared" ref="FR459:FR466" si="400">ROUND(IF(AND(BH459=3,BI459=3),P459,0),2)</f>
        <v>0</v>
      </c>
      <c r="FS459" s="2">
        <v>0</v>
      </c>
      <c r="FT459" s="2"/>
      <c r="FU459" s="2"/>
      <c r="FV459" s="2"/>
      <c r="FW459" s="2"/>
      <c r="FX459" s="2">
        <v>80</v>
      </c>
      <c r="FY459" s="2">
        <v>55</v>
      </c>
      <c r="FZ459" s="2"/>
      <c r="GA459" s="2" t="s">
        <v>3</v>
      </c>
      <c r="GB459" s="2"/>
      <c r="GC459" s="2"/>
      <c r="GD459" s="2">
        <v>0</v>
      </c>
      <c r="GE459" s="2"/>
      <c r="GF459" s="2">
        <v>-1518992052</v>
      </c>
      <c r="GG459" s="2">
        <v>2</v>
      </c>
      <c r="GH459" s="2">
        <v>1</v>
      </c>
      <c r="GI459" s="2">
        <v>-2</v>
      </c>
      <c r="GJ459" s="2">
        <v>0</v>
      </c>
      <c r="GK459" s="2">
        <f>ROUND(R459*(R12)/100,2)</f>
        <v>251.18</v>
      </c>
      <c r="GL459" s="2">
        <f t="shared" ref="GL459:GL466" si="401">ROUND(IF(AND(BH459=3,BI459=3,FS459&lt;&gt;0),P459,0),2)</f>
        <v>0</v>
      </c>
      <c r="GM459" s="2">
        <f t="shared" ref="GM459:GM466" si="402">ROUND(O459+X459+Y459+GK459,2)+GX459</f>
        <v>1321.62</v>
      </c>
      <c r="GN459" s="2">
        <f t="shared" ref="GN459:GN466" si="403">IF(OR(BI459=0,BI459=1),ROUND(O459+X459+Y459+GK459,2),0)</f>
        <v>1321.62</v>
      </c>
      <c r="GO459" s="2">
        <f t="shared" ref="GO459:GO466" si="404">IF(BI459=2,ROUND(O459+X459+Y459+GK459,2),0)</f>
        <v>0</v>
      </c>
      <c r="GP459" s="2">
        <f t="shared" ref="GP459:GP466" si="405">IF(BI459=4,ROUND(O459+X459+Y459+GK459,2)+GX459,0)</f>
        <v>0</v>
      </c>
      <c r="GQ459" s="2"/>
      <c r="GR459" s="2">
        <v>0</v>
      </c>
      <c r="GS459" s="2">
        <v>0</v>
      </c>
      <c r="GT459" s="2">
        <v>0</v>
      </c>
      <c r="GU459" s="2" t="s">
        <v>3</v>
      </c>
      <c r="GV459" s="2">
        <f t="shared" ref="GV459:GV466" si="406">ROUND((GT459),6)</f>
        <v>0</v>
      </c>
      <c r="GW459" s="2">
        <v>1</v>
      </c>
      <c r="GX459" s="2">
        <f t="shared" ref="GX459:GX466" si="407">ROUND(HC459*I459,2)</f>
        <v>0</v>
      </c>
      <c r="GY459" s="2"/>
      <c r="GZ459" s="2"/>
      <c r="HA459" s="2">
        <v>0</v>
      </c>
      <c r="HB459" s="2">
        <v>0</v>
      </c>
      <c r="HC459" s="2">
        <f t="shared" ref="HC459:HC466" si="408">GV459*GW459</f>
        <v>0</v>
      </c>
      <c r="HD459" s="2"/>
      <c r="HE459" s="2" t="s">
        <v>3</v>
      </c>
      <c r="HF459" s="2" t="s">
        <v>3</v>
      </c>
      <c r="HG459" s="2"/>
      <c r="HH459" s="2"/>
      <c r="HI459" s="2"/>
      <c r="HJ459" s="2"/>
      <c r="HK459" s="2"/>
      <c r="HL459" s="2"/>
      <c r="HM459" s="2" t="s">
        <v>3</v>
      </c>
      <c r="HN459" s="2" t="s">
        <v>3</v>
      </c>
      <c r="HO459" s="2" t="s">
        <v>3</v>
      </c>
      <c r="HP459" s="2" t="s">
        <v>3</v>
      </c>
      <c r="HQ459" s="2" t="s">
        <v>3</v>
      </c>
      <c r="HR459" s="2"/>
      <c r="HS459" s="2"/>
      <c r="HT459" s="2"/>
      <c r="HU459" s="2"/>
      <c r="HV459" s="2"/>
      <c r="HW459" s="2"/>
      <c r="HX459" s="2"/>
      <c r="HY459" s="2"/>
      <c r="HZ459" s="2"/>
      <c r="IA459" s="2"/>
      <c r="IB459" s="2"/>
      <c r="IC459" s="2"/>
      <c r="ID459" s="2"/>
      <c r="IE459" s="2"/>
      <c r="IF459" s="2"/>
      <c r="IG459" s="2"/>
      <c r="IH459" s="2"/>
      <c r="II459" s="2"/>
      <c r="IJ459" s="2"/>
      <c r="IK459" s="2">
        <v>0</v>
      </c>
      <c r="IL459" s="2"/>
      <c r="IM459" s="2"/>
      <c r="IN459" s="2"/>
      <c r="IO459" s="2"/>
      <c r="IP459" s="2"/>
      <c r="IQ459" s="2"/>
      <c r="IR459" s="2"/>
      <c r="IS459" s="2"/>
      <c r="IT459" s="2"/>
      <c r="IU459" s="2"/>
    </row>
    <row r="460" spans="1:255" x14ac:dyDescent="0.2">
      <c r="A460">
        <v>17</v>
      </c>
      <c r="B460">
        <v>1</v>
      </c>
      <c r="C460">
        <f>ROW(SmtRes!A428)</f>
        <v>428</v>
      </c>
      <c r="D460">
        <f>ROW(EtalonRes!A430)</f>
        <v>430</v>
      </c>
      <c r="E460" t="s">
        <v>18</v>
      </c>
      <c r="F460" t="s">
        <v>500</v>
      </c>
      <c r="G460" t="s">
        <v>501</v>
      </c>
      <c r="H460" t="s">
        <v>502</v>
      </c>
      <c r="I460">
        <v>0.35099999999999998</v>
      </c>
      <c r="J460">
        <v>0</v>
      </c>
      <c r="K460">
        <v>0.35099999999999998</v>
      </c>
      <c r="O460">
        <f t="shared" si="381"/>
        <v>15032.51</v>
      </c>
      <c r="P460">
        <f t="shared" si="382"/>
        <v>0</v>
      </c>
      <c r="Q460">
        <f>(ROUND((ROUND(((ET460)*AV460*I460),2)*BB460),2)+ROUND((ROUND(((AE460-(EU460))*AV460*I460),2)*BS460),2))</f>
        <v>7854.55</v>
      </c>
      <c r="R460">
        <f t="shared" si="383"/>
        <v>4166.68</v>
      </c>
      <c r="S460">
        <f t="shared" si="384"/>
        <v>7177.96</v>
      </c>
      <c r="T460">
        <f t="shared" si="385"/>
        <v>0</v>
      </c>
      <c r="U460">
        <f t="shared" si="386"/>
        <v>24.603450300000002</v>
      </c>
      <c r="V460">
        <f t="shared" si="387"/>
        <v>0</v>
      </c>
      <c r="W460">
        <f t="shared" si="388"/>
        <v>0</v>
      </c>
      <c r="X460">
        <f t="shared" si="389"/>
        <v>5024.57</v>
      </c>
      <c r="Y460">
        <f t="shared" si="389"/>
        <v>2942.96</v>
      </c>
      <c r="AA460">
        <v>129761633</v>
      </c>
      <c r="AB460">
        <f t="shared" si="390"/>
        <v>2098.7076000000002</v>
      </c>
      <c r="AC460">
        <f>ROUND((ES460),6)</f>
        <v>0</v>
      </c>
      <c r="AD460">
        <f>ROUND((((ET460)-(EU460))+AE460),6)</f>
        <v>1394.25</v>
      </c>
      <c r="AE460">
        <f>ROUND((EU460),6)</f>
        <v>408.93</v>
      </c>
      <c r="AF460">
        <f>ROUND(((EV460*0.33)),6)</f>
        <v>704.45759999999996</v>
      </c>
      <c r="AG460">
        <f t="shared" si="391"/>
        <v>0</v>
      </c>
      <c r="AH460">
        <f>((EW460*0.33))</f>
        <v>70.095300000000009</v>
      </c>
      <c r="AI460">
        <f>(EX460)</f>
        <v>0</v>
      </c>
      <c r="AJ460">
        <f t="shared" si="392"/>
        <v>0</v>
      </c>
      <c r="AK460">
        <v>3528.97</v>
      </c>
      <c r="AL460">
        <v>0</v>
      </c>
      <c r="AM460">
        <v>1394.25</v>
      </c>
      <c r="AN460">
        <v>408.93</v>
      </c>
      <c r="AO460">
        <v>2134.7199999999998</v>
      </c>
      <c r="AP460">
        <v>0</v>
      </c>
      <c r="AQ460">
        <v>212.41</v>
      </c>
      <c r="AR460">
        <v>0</v>
      </c>
      <c r="AS460">
        <v>0</v>
      </c>
      <c r="AT460">
        <v>70</v>
      </c>
      <c r="AU460">
        <v>41</v>
      </c>
      <c r="AV460">
        <v>1</v>
      </c>
      <c r="AW460">
        <v>1</v>
      </c>
      <c r="AZ460">
        <v>1</v>
      </c>
      <c r="BA460">
        <v>29.03</v>
      </c>
      <c r="BB460">
        <v>16.05</v>
      </c>
      <c r="BC460">
        <v>1</v>
      </c>
      <c r="BD460" t="s">
        <v>3</v>
      </c>
      <c r="BE460" t="s">
        <v>3</v>
      </c>
      <c r="BF460" t="s">
        <v>3</v>
      </c>
      <c r="BG460" t="s">
        <v>3</v>
      </c>
      <c r="BH460">
        <v>0</v>
      </c>
      <c r="BI460">
        <v>1</v>
      </c>
      <c r="BJ460" t="s">
        <v>503</v>
      </c>
      <c r="BM460">
        <v>406</v>
      </c>
      <c r="BN460">
        <v>0</v>
      </c>
      <c r="BO460" t="s">
        <v>500</v>
      </c>
      <c r="BP460">
        <v>1</v>
      </c>
      <c r="BQ460">
        <v>60</v>
      </c>
      <c r="BR460">
        <v>0</v>
      </c>
      <c r="BS460">
        <v>29.03</v>
      </c>
      <c r="BT460">
        <v>1</v>
      </c>
      <c r="BU460">
        <v>1</v>
      </c>
      <c r="BV460">
        <v>1</v>
      </c>
      <c r="BW460">
        <v>1</v>
      </c>
      <c r="BX460">
        <v>1</v>
      </c>
      <c r="BY460" t="s">
        <v>3</v>
      </c>
      <c r="BZ460">
        <v>70</v>
      </c>
      <c r="CA460">
        <v>41</v>
      </c>
      <c r="CB460" t="s">
        <v>3</v>
      </c>
      <c r="CE460">
        <v>30</v>
      </c>
      <c r="CF460">
        <v>0</v>
      </c>
      <c r="CG460">
        <v>0</v>
      </c>
      <c r="CM460">
        <v>0</v>
      </c>
      <c r="CN460" t="s">
        <v>504</v>
      </c>
      <c r="CO460">
        <v>0</v>
      </c>
      <c r="CP460">
        <f t="shared" si="393"/>
        <v>15032.51</v>
      </c>
      <c r="CQ460">
        <f t="shared" si="394"/>
        <v>0</v>
      </c>
      <c r="CR460">
        <f>(ROUND((ROUND(((ET460)*AV460*1),2)*BB460),2)+ROUND((ROUND(((AE460-(EU460))*AV460*1),2)*BS460),2))</f>
        <v>22377.71</v>
      </c>
      <c r="CS460">
        <f t="shared" si="395"/>
        <v>11871.24</v>
      </c>
      <c r="CT460">
        <f t="shared" si="396"/>
        <v>20450.47</v>
      </c>
      <c r="CU460">
        <f t="shared" si="397"/>
        <v>0</v>
      </c>
      <c r="CV460">
        <f t="shared" si="398"/>
        <v>70.095300000000009</v>
      </c>
      <c r="CW460">
        <f t="shared" si="399"/>
        <v>0</v>
      </c>
      <c r="CX460">
        <f t="shared" si="399"/>
        <v>0</v>
      </c>
      <c r="CY460">
        <f>S460*(BZ460/100)</f>
        <v>5024.5720000000001</v>
      </c>
      <c r="CZ460">
        <f>S460*(CA460/100)</f>
        <v>2942.9636</v>
      </c>
      <c r="DC460" t="s">
        <v>3</v>
      </c>
      <c r="DD460" t="s">
        <v>3</v>
      </c>
      <c r="DE460" t="s">
        <v>3</v>
      </c>
      <c r="DF460" t="s">
        <v>3</v>
      </c>
      <c r="DG460" t="s">
        <v>505</v>
      </c>
      <c r="DH460" t="s">
        <v>3</v>
      </c>
      <c r="DI460" t="s">
        <v>505</v>
      </c>
      <c r="DJ460" t="s">
        <v>3</v>
      </c>
      <c r="DK460" t="s">
        <v>3</v>
      </c>
      <c r="DL460" t="s">
        <v>3</v>
      </c>
      <c r="DM460" t="s">
        <v>3</v>
      </c>
      <c r="DN460">
        <v>80</v>
      </c>
      <c r="DO460">
        <v>55</v>
      </c>
      <c r="DP460">
        <v>1</v>
      </c>
      <c r="DQ460">
        <v>1</v>
      </c>
      <c r="DU460">
        <v>1013</v>
      </c>
      <c r="DV460" t="s">
        <v>502</v>
      </c>
      <c r="DW460" t="s">
        <v>502</v>
      </c>
      <c r="DX460">
        <v>1</v>
      </c>
      <c r="DZ460" t="s">
        <v>3</v>
      </c>
      <c r="EA460" t="s">
        <v>3</v>
      </c>
      <c r="EB460" t="s">
        <v>3</v>
      </c>
      <c r="EC460" t="s">
        <v>3</v>
      </c>
      <c r="EE460">
        <v>126051867</v>
      </c>
      <c r="EF460">
        <v>60</v>
      </c>
      <c r="EG460" t="s">
        <v>150</v>
      </c>
      <c r="EH460">
        <v>0</v>
      </c>
      <c r="EI460" t="s">
        <v>3</v>
      </c>
      <c r="EJ460">
        <v>1</v>
      </c>
      <c r="EK460">
        <v>406</v>
      </c>
      <c r="EL460" t="s">
        <v>506</v>
      </c>
      <c r="EM460" t="s">
        <v>507</v>
      </c>
      <c r="EO460" t="s">
        <v>508</v>
      </c>
      <c r="EQ460">
        <v>131072</v>
      </c>
      <c r="ER460">
        <v>3528.97</v>
      </c>
      <c r="ES460">
        <v>0</v>
      </c>
      <c r="ET460">
        <v>1394.25</v>
      </c>
      <c r="EU460">
        <v>408.93</v>
      </c>
      <c r="EV460">
        <v>2134.7199999999998</v>
      </c>
      <c r="EW460">
        <v>212.41</v>
      </c>
      <c r="EX460">
        <v>0</v>
      </c>
      <c r="EY460">
        <v>0</v>
      </c>
      <c r="FQ460">
        <v>0</v>
      </c>
      <c r="FR460">
        <f t="shared" si="400"/>
        <v>0</v>
      </c>
      <c r="FS460">
        <v>0</v>
      </c>
      <c r="FX460">
        <v>80</v>
      </c>
      <c r="FY460">
        <v>55</v>
      </c>
      <c r="GA460" t="s">
        <v>3</v>
      </c>
      <c r="GD460">
        <v>0</v>
      </c>
      <c r="GF460">
        <v>-1518992052</v>
      </c>
      <c r="GG460">
        <v>2</v>
      </c>
      <c r="GH460">
        <v>1</v>
      </c>
      <c r="GI460">
        <v>2</v>
      </c>
      <c r="GJ460">
        <v>0</v>
      </c>
      <c r="GK460">
        <f>ROUND(R460*(S12)/100,2)</f>
        <v>6666.69</v>
      </c>
      <c r="GL460">
        <f t="shared" si="401"/>
        <v>0</v>
      </c>
      <c r="GM460">
        <f t="shared" si="402"/>
        <v>29666.73</v>
      </c>
      <c r="GN460">
        <f t="shared" si="403"/>
        <v>29666.73</v>
      </c>
      <c r="GO460">
        <f t="shared" si="404"/>
        <v>0</v>
      </c>
      <c r="GP460">
        <f t="shared" si="405"/>
        <v>0</v>
      </c>
      <c r="GR460">
        <v>0</v>
      </c>
      <c r="GS460">
        <v>3</v>
      </c>
      <c r="GT460">
        <v>0</v>
      </c>
      <c r="GU460" t="s">
        <v>3</v>
      </c>
      <c r="GV460">
        <f t="shared" si="406"/>
        <v>0</v>
      </c>
      <c r="GW460">
        <v>1</v>
      </c>
      <c r="GX460">
        <f t="shared" si="407"/>
        <v>0</v>
      </c>
      <c r="HA460">
        <v>0</v>
      </c>
      <c r="HB460">
        <v>0</v>
      </c>
      <c r="HC460">
        <f t="shared" si="408"/>
        <v>0</v>
      </c>
      <c r="HE460" t="s">
        <v>3</v>
      </c>
      <c r="HF460" t="s">
        <v>3</v>
      </c>
      <c r="HM460" t="s">
        <v>3</v>
      </c>
      <c r="HN460" t="s">
        <v>3</v>
      </c>
      <c r="HO460" t="s">
        <v>3</v>
      </c>
      <c r="HP460" t="s">
        <v>3</v>
      </c>
      <c r="HQ460" t="s">
        <v>3</v>
      </c>
      <c r="IK460">
        <v>0</v>
      </c>
    </row>
    <row r="461" spans="1:255" x14ac:dyDescent="0.2">
      <c r="A461" s="2">
        <v>18</v>
      </c>
      <c r="B461" s="2">
        <v>1</v>
      </c>
      <c r="C461" s="2">
        <v>423</v>
      </c>
      <c r="D461" s="2"/>
      <c r="E461" s="2" t="s">
        <v>509</v>
      </c>
      <c r="F461" s="2" t="s">
        <v>162</v>
      </c>
      <c r="G461" s="2" t="s">
        <v>163</v>
      </c>
      <c r="H461" s="2" t="s">
        <v>114</v>
      </c>
      <c r="I461" s="2">
        <f>I459*J461</f>
        <v>-7.2341100000000003</v>
      </c>
      <c r="J461" s="2">
        <v>-20.610000000000003</v>
      </c>
      <c r="K461" s="2">
        <v>-20.61</v>
      </c>
      <c r="L461" s="2"/>
      <c r="M461" s="2"/>
      <c r="N461" s="2"/>
      <c r="O461" s="2">
        <f t="shared" si="381"/>
        <v>0</v>
      </c>
      <c r="P461" s="2">
        <f t="shared" si="382"/>
        <v>0</v>
      </c>
      <c r="Q461" s="2">
        <f>(ROUND((ROUND(((ET461)*AV461*I461),2)*BB461),2)+ROUND((ROUND(((AE461-(EU461))*AV461*I461),2)*BS461),2))</f>
        <v>0</v>
      </c>
      <c r="R461" s="2">
        <f t="shared" si="383"/>
        <v>0</v>
      </c>
      <c r="S461" s="2">
        <f t="shared" si="384"/>
        <v>0</v>
      </c>
      <c r="T461" s="2">
        <f t="shared" si="385"/>
        <v>0</v>
      </c>
      <c r="U461" s="2">
        <f t="shared" si="386"/>
        <v>0</v>
      </c>
      <c r="V461" s="2">
        <f t="shared" si="387"/>
        <v>0</v>
      </c>
      <c r="W461" s="2">
        <f t="shared" si="388"/>
        <v>0</v>
      </c>
      <c r="X461" s="2">
        <f t="shared" si="389"/>
        <v>0</v>
      </c>
      <c r="Y461" s="2">
        <f t="shared" si="389"/>
        <v>0</v>
      </c>
      <c r="Z461" s="2"/>
      <c r="AA461" s="2">
        <v>129761636</v>
      </c>
      <c r="AB461" s="2">
        <f t="shared" si="390"/>
        <v>0</v>
      </c>
      <c r="AC461" s="2">
        <f>ROUND((ES461),6)</f>
        <v>0</v>
      </c>
      <c r="AD461" s="2">
        <f>ROUND((((ET461)-(EU461))+AE461),6)</f>
        <v>0</v>
      </c>
      <c r="AE461" s="2">
        <f>ROUND((EU461),6)</f>
        <v>0</v>
      </c>
      <c r="AF461" s="2">
        <f>ROUND((EV461),6)</f>
        <v>0</v>
      </c>
      <c r="AG461" s="2">
        <f t="shared" si="391"/>
        <v>0</v>
      </c>
      <c r="AH461" s="2">
        <f>(EW461)</f>
        <v>0</v>
      </c>
      <c r="AI461" s="2">
        <f>(EX461)</f>
        <v>0</v>
      </c>
      <c r="AJ461" s="2">
        <f t="shared" si="392"/>
        <v>0</v>
      </c>
      <c r="AK461" s="2">
        <v>0</v>
      </c>
      <c r="AL461" s="2">
        <v>0</v>
      </c>
      <c r="AM461" s="2">
        <v>0</v>
      </c>
      <c r="AN461" s="2">
        <v>0</v>
      </c>
      <c r="AO461" s="2">
        <v>0</v>
      </c>
      <c r="AP461" s="2">
        <v>0</v>
      </c>
      <c r="AQ461" s="2">
        <v>0</v>
      </c>
      <c r="AR461" s="2">
        <v>0</v>
      </c>
      <c r="AS461" s="2">
        <v>0</v>
      </c>
      <c r="AT461" s="2">
        <v>80</v>
      </c>
      <c r="AU461" s="2">
        <v>55</v>
      </c>
      <c r="AV461" s="2">
        <v>1</v>
      </c>
      <c r="AW461" s="2">
        <v>1</v>
      </c>
      <c r="AX461" s="2"/>
      <c r="AY461" s="2"/>
      <c r="AZ461" s="2">
        <v>1</v>
      </c>
      <c r="BA461" s="2">
        <v>1</v>
      </c>
      <c r="BB461" s="2">
        <v>1</v>
      </c>
      <c r="BC461" s="2">
        <v>1</v>
      </c>
      <c r="BD461" s="2" t="s">
        <v>3</v>
      </c>
      <c r="BE461" s="2" t="s">
        <v>3</v>
      </c>
      <c r="BF461" s="2" t="s">
        <v>3</v>
      </c>
      <c r="BG461" s="2" t="s">
        <v>3</v>
      </c>
      <c r="BH461" s="2">
        <v>3</v>
      </c>
      <c r="BI461" s="2">
        <v>1</v>
      </c>
      <c r="BJ461" s="2" t="s">
        <v>3</v>
      </c>
      <c r="BK461" s="2"/>
      <c r="BL461" s="2"/>
      <c r="BM461" s="2">
        <v>406</v>
      </c>
      <c r="BN461" s="2">
        <v>0</v>
      </c>
      <c r="BO461" s="2" t="s">
        <v>3</v>
      </c>
      <c r="BP461" s="2">
        <v>0</v>
      </c>
      <c r="BQ461" s="2">
        <v>60</v>
      </c>
      <c r="BR461" s="2">
        <v>1</v>
      </c>
      <c r="BS461" s="2">
        <v>1</v>
      </c>
      <c r="BT461" s="2">
        <v>1</v>
      </c>
      <c r="BU461" s="2">
        <v>1</v>
      </c>
      <c r="BV461" s="2">
        <v>1</v>
      </c>
      <c r="BW461" s="2">
        <v>1</v>
      </c>
      <c r="BX461" s="2">
        <v>1</v>
      </c>
      <c r="BY461" s="2" t="s">
        <v>3</v>
      </c>
      <c r="BZ461" s="2">
        <v>80</v>
      </c>
      <c r="CA461" s="2">
        <v>55</v>
      </c>
      <c r="CB461" s="2" t="s">
        <v>3</v>
      </c>
      <c r="CC461" s="2"/>
      <c r="CD461" s="2"/>
      <c r="CE461" s="2">
        <v>30</v>
      </c>
      <c r="CF461" s="2">
        <v>0</v>
      </c>
      <c r="CG461" s="2">
        <v>0</v>
      </c>
      <c r="CH461" s="2"/>
      <c r="CI461" s="2"/>
      <c r="CJ461" s="2"/>
      <c r="CK461" s="2"/>
      <c r="CL461" s="2"/>
      <c r="CM461" s="2">
        <v>0</v>
      </c>
      <c r="CN461" s="2" t="s">
        <v>3</v>
      </c>
      <c r="CO461" s="2">
        <v>0</v>
      </c>
      <c r="CP461" s="2">
        <f t="shared" si="393"/>
        <v>0</v>
      </c>
      <c r="CQ461" s="2">
        <f t="shared" si="394"/>
        <v>0</v>
      </c>
      <c r="CR461" s="2">
        <f>(ROUND((ROUND(((ET461)*AV461*1),2)*BB461),2)+ROUND((ROUND(((AE461-(EU461))*AV461*1),2)*BS461),2))</f>
        <v>0</v>
      </c>
      <c r="CS461" s="2">
        <f t="shared" si="395"/>
        <v>0</v>
      </c>
      <c r="CT461" s="2">
        <f t="shared" si="396"/>
        <v>0</v>
      </c>
      <c r="CU461" s="2">
        <f t="shared" si="397"/>
        <v>0</v>
      </c>
      <c r="CV461" s="2">
        <f t="shared" si="398"/>
        <v>0</v>
      </c>
      <c r="CW461" s="2">
        <f t="shared" si="399"/>
        <v>0</v>
      </c>
      <c r="CX461" s="2">
        <f t="shared" si="399"/>
        <v>0</v>
      </c>
      <c r="CY461" s="2">
        <f>((S461*BZ461)/100)</f>
        <v>0</v>
      </c>
      <c r="CZ461" s="2">
        <f>((S461*CA461)/100)</f>
        <v>0</v>
      </c>
      <c r="DA461" s="2"/>
      <c r="DB461" s="2"/>
      <c r="DC461" s="2" t="s">
        <v>3</v>
      </c>
      <c r="DD461" s="2" t="s">
        <v>3</v>
      </c>
      <c r="DE461" s="2" t="s">
        <v>3</v>
      </c>
      <c r="DF461" s="2" t="s">
        <v>3</v>
      </c>
      <c r="DG461" s="2" t="s">
        <v>3</v>
      </c>
      <c r="DH461" s="2" t="s">
        <v>3</v>
      </c>
      <c r="DI461" s="2" t="s">
        <v>3</v>
      </c>
      <c r="DJ461" s="2" t="s">
        <v>3</v>
      </c>
      <c r="DK461" s="2" t="s">
        <v>3</v>
      </c>
      <c r="DL461" s="2" t="s">
        <v>3</v>
      </c>
      <c r="DM461" s="2" t="s">
        <v>3</v>
      </c>
      <c r="DN461" s="2">
        <v>0</v>
      </c>
      <c r="DO461" s="2">
        <v>0</v>
      </c>
      <c r="DP461" s="2">
        <v>1</v>
      </c>
      <c r="DQ461" s="2">
        <v>1</v>
      </c>
      <c r="DR461" s="2"/>
      <c r="DS461" s="2"/>
      <c r="DT461" s="2"/>
      <c r="DU461" s="2">
        <v>1009</v>
      </c>
      <c r="DV461" s="2" t="s">
        <v>114</v>
      </c>
      <c r="DW461" s="2" t="s">
        <v>114</v>
      </c>
      <c r="DX461" s="2">
        <v>1000</v>
      </c>
      <c r="DY461" s="2"/>
      <c r="DZ461" s="2" t="s">
        <v>3</v>
      </c>
      <c r="EA461" s="2" t="s">
        <v>3</v>
      </c>
      <c r="EB461" s="2" t="s">
        <v>3</v>
      </c>
      <c r="EC461" s="2" t="s">
        <v>3</v>
      </c>
      <c r="ED461" s="2"/>
      <c r="EE461" s="2">
        <v>126051867</v>
      </c>
      <c r="EF461" s="2">
        <v>60</v>
      </c>
      <c r="EG461" s="2" t="s">
        <v>150</v>
      </c>
      <c r="EH461" s="2">
        <v>0</v>
      </c>
      <c r="EI461" s="2" t="s">
        <v>3</v>
      </c>
      <c r="EJ461" s="2">
        <v>1</v>
      </c>
      <c r="EK461" s="2">
        <v>406</v>
      </c>
      <c r="EL461" s="2" t="s">
        <v>506</v>
      </c>
      <c r="EM461" s="2" t="s">
        <v>507</v>
      </c>
      <c r="EN461" s="2"/>
      <c r="EO461" s="2" t="s">
        <v>3</v>
      </c>
      <c r="EP461" s="2"/>
      <c r="EQ461" s="2">
        <v>0</v>
      </c>
      <c r="ER461" s="2">
        <v>0</v>
      </c>
      <c r="ES461" s="2">
        <v>0</v>
      </c>
      <c r="ET461" s="2">
        <v>0</v>
      </c>
      <c r="EU461" s="2">
        <v>0</v>
      </c>
      <c r="EV461" s="2">
        <v>0</v>
      </c>
      <c r="EW461" s="2">
        <v>0</v>
      </c>
      <c r="EX461" s="2">
        <v>0</v>
      </c>
      <c r="EY461" s="2"/>
      <c r="EZ461" s="2"/>
      <c r="FA461" s="2"/>
      <c r="FB461" s="2"/>
      <c r="FC461" s="2"/>
      <c r="FD461" s="2"/>
      <c r="FE461" s="2"/>
      <c r="FF461" s="2"/>
      <c r="FG461" s="2"/>
      <c r="FH461" s="2"/>
      <c r="FI461" s="2"/>
      <c r="FJ461" s="2"/>
      <c r="FK461" s="2"/>
      <c r="FL461" s="2"/>
      <c r="FM461" s="2"/>
      <c r="FN461" s="2"/>
      <c r="FO461" s="2"/>
      <c r="FP461" s="2"/>
      <c r="FQ461" s="2">
        <v>0</v>
      </c>
      <c r="FR461" s="2">
        <f t="shared" si="400"/>
        <v>0</v>
      </c>
      <c r="FS461" s="2">
        <v>0</v>
      </c>
      <c r="FT461" s="2"/>
      <c r="FU461" s="2"/>
      <c r="FV461" s="2"/>
      <c r="FW461" s="2"/>
      <c r="FX461" s="2">
        <v>80</v>
      </c>
      <c r="FY461" s="2">
        <v>55</v>
      </c>
      <c r="FZ461" s="2"/>
      <c r="GA461" s="2" t="s">
        <v>3</v>
      </c>
      <c r="GB461" s="2"/>
      <c r="GC461" s="2"/>
      <c r="GD461" s="2">
        <v>0</v>
      </c>
      <c r="GE461" s="2"/>
      <c r="GF461" s="2">
        <v>1489638031</v>
      </c>
      <c r="GG461" s="2">
        <v>2</v>
      </c>
      <c r="GH461" s="2">
        <v>1</v>
      </c>
      <c r="GI461" s="2">
        <v>-2</v>
      </c>
      <c r="GJ461" s="2">
        <v>0</v>
      </c>
      <c r="GK461" s="2">
        <f>ROUND(R461*(R12)/100,2)</f>
        <v>0</v>
      </c>
      <c r="GL461" s="2">
        <f t="shared" si="401"/>
        <v>0</v>
      </c>
      <c r="GM461" s="2">
        <f t="shared" si="402"/>
        <v>0</v>
      </c>
      <c r="GN461" s="2">
        <f t="shared" si="403"/>
        <v>0</v>
      </c>
      <c r="GO461" s="2">
        <f t="shared" si="404"/>
        <v>0</v>
      </c>
      <c r="GP461" s="2">
        <f t="shared" si="405"/>
        <v>0</v>
      </c>
      <c r="GQ461" s="2"/>
      <c r="GR461" s="2">
        <v>0</v>
      </c>
      <c r="GS461" s="2">
        <v>0</v>
      </c>
      <c r="GT461" s="2">
        <v>0</v>
      </c>
      <c r="GU461" s="2" t="s">
        <v>3</v>
      </c>
      <c r="GV461" s="2">
        <f t="shared" si="406"/>
        <v>0</v>
      </c>
      <c r="GW461" s="2">
        <v>1</v>
      </c>
      <c r="GX461" s="2">
        <f t="shared" si="407"/>
        <v>0</v>
      </c>
      <c r="GY461" s="2"/>
      <c r="GZ461" s="2"/>
      <c r="HA461" s="2">
        <v>0</v>
      </c>
      <c r="HB461" s="2">
        <v>0</v>
      </c>
      <c r="HC461" s="2">
        <f t="shared" si="408"/>
        <v>0</v>
      </c>
      <c r="HD461" s="2"/>
      <c r="HE461" s="2" t="s">
        <v>3</v>
      </c>
      <c r="HF461" s="2" t="s">
        <v>3</v>
      </c>
      <c r="HG461" s="2"/>
      <c r="HH461" s="2"/>
      <c r="HI461" s="2"/>
      <c r="HJ461" s="2"/>
      <c r="HK461" s="2"/>
      <c r="HL461" s="2"/>
      <c r="HM461" s="2" t="s">
        <v>3</v>
      </c>
      <c r="HN461" s="2" t="s">
        <v>3</v>
      </c>
      <c r="HO461" s="2" t="s">
        <v>3</v>
      </c>
      <c r="HP461" s="2" t="s">
        <v>3</v>
      </c>
      <c r="HQ461" s="2" t="s">
        <v>3</v>
      </c>
      <c r="HR461" s="2"/>
      <c r="HS461" s="2"/>
      <c r="HT461" s="2"/>
      <c r="HU461" s="2"/>
      <c r="HV461" s="2"/>
      <c r="HW461" s="2"/>
      <c r="HX461" s="2"/>
      <c r="HY461" s="2"/>
      <c r="HZ461" s="2"/>
      <c r="IA461" s="2"/>
      <c r="IB461" s="2"/>
      <c r="IC461" s="2"/>
      <c r="ID461" s="2"/>
      <c r="IE461" s="2"/>
      <c r="IF461" s="2"/>
      <c r="IG461" s="2"/>
      <c r="IH461" s="2"/>
      <c r="II461" s="2"/>
      <c r="IJ461" s="2"/>
      <c r="IK461" s="2">
        <v>0</v>
      </c>
      <c r="IL461" s="2"/>
      <c r="IM461" s="2"/>
      <c r="IN461" s="2"/>
      <c r="IO461" s="2"/>
      <c r="IP461" s="2"/>
      <c r="IQ461" s="2"/>
      <c r="IR461" s="2"/>
      <c r="IS461" s="2"/>
      <c r="IT461" s="2"/>
      <c r="IU461" s="2"/>
    </row>
    <row r="462" spans="1:255" x14ac:dyDescent="0.2">
      <c r="A462">
        <v>18</v>
      </c>
      <c r="B462">
        <v>1</v>
      </c>
      <c r="C462">
        <v>428</v>
      </c>
      <c r="E462" t="s">
        <v>509</v>
      </c>
      <c r="F462" t="s">
        <v>162</v>
      </c>
      <c r="G462" t="s">
        <v>163</v>
      </c>
      <c r="H462" t="s">
        <v>114</v>
      </c>
      <c r="I462">
        <f>I460*J462</f>
        <v>-7.2341100000000003</v>
      </c>
      <c r="J462">
        <v>-20.610000000000003</v>
      </c>
      <c r="K462">
        <v>-20.61</v>
      </c>
      <c r="O462">
        <f t="shared" si="381"/>
        <v>0</v>
      </c>
      <c r="P462">
        <f t="shared" si="382"/>
        <v>0</v>
      </c>
      <c r="Q462">
        <f>(ROUND((ROUND(((ET462)*AV462*I462),2)*BB462),2)+ROUND((ROUND(((AE462-(EU462))*AV462*I462),2)*BS462),2))</f>
        <v>0</v>
      </c>
      <c r="R462">
        <f t="shared" si="383"/>
        <v>0</v>
      </c>
      <c r="S462">
        <f t="shared" si="384"/>
        <v>0</v>
      </c>
      <c r="T462">
        <f t="shared" si="385"/>
        <v>0</v>
      </c>
      <c r="U462">
        <f t="shared" si="386"/>
        <v>0</v>
      </c>
      <c r="V462">
        <f t="shared" si="387"/>
        <v>0</v>
      </c>
      <c r="W462">
        <f t="shared" si="388"/>
        <v>0</v>
      </c>
      <c r="X462">
        <f t="shared" si="389"/>
        <v>0</v>
      </c>
      <c r="Y462">
        <f t="shared" si="389"/>
        <v>0</v>
      </c>
      <c r="AA462">
        <v>129761633</v>
      </c>
      <c r="AB462">
        <f t="shared" si="390"/>
        <v>0</v>
      </c>
      <c r="AC462">
        <f>ROUND((ES462),6)</f>
        <v>0</v>
      </c>
      <c r="AD462">
        <f>ROUND((((ET462)-(EU462))+AE462),6)</f>
        <v>0</v>
      </c>
      <c r="AE462">
        <f>ROUND((EU462),6)</f>
        <v>0</v>
      </c>
      <c r="AF462">
        <f>ROUND((EV462),6)</f>
        <v>0</v>
      </c>
      <c r="AG462">
        <f t="shared" si="391"/>
        <v>0</v>
      </c>
      <c r="AH462">
        <f>(EW462)</f>
        <v>0</v>
      </c>
      <c r="AI462">
        <f>(EX462)</f>
        <v>0</v>
      </c>
      <c r="AJ462">
        <f t="shared" si="392"/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1</v>
      </c>
      <c r="AW462">
        <v>1</v>
      </c>
      <c r="AZ462">
        <v>1</v>
      </c>
      <c r="BA462">
        <v>1</v>
      </c>
      <c r="BB462">
        <v>1</v>
      </c>
      <c r="BC462">
        <v>8.65</v>
      </c>
      <c r="BD462" t="s">
        <v>3</v>
      </c>
      <c r="BE462" t="s">
        <v>3</v>
      </c>
      <c r="BF462" t="s">
        <v>3</v>
      </c>
      <c r="BG462" t="s">
        <v>3</v>
      </c>
      <c r="BH462">
        <v>3</v>
      </c>
      <c r="BI462">
        <v>1</v>
      </c>
      <c r="BJ462" t="s">
        <v>3</v>
      </c>
      <c r="BM462">
        <v>406</v>
      </c>
      <c r="BN462">
        <v>0</v>
      </c>
      <c r="BO462" t="s">
        <v>3</v>
      </c>
      <c r="BP462">
        <v>0</v>
      </c>
      <c r="BQ462">
        <v>60</v>
      </c>
      <c r="BR462">
        <v>1</v>
      </c>
      <c r="BS462">
        <v>1</v>
      </c>
      <c r="BT462">
        <v>1</v>
      </c>
      <c r="BU462">
        <v>1</v>
      </c>
      <c r="BV462">
        <v>1</v>
      </c>
      <c r="BW462">
        <v>1</v>
      </c>
      <c r="BX462">
        <v>1</v>
      </c>
      <c r="BY462" t="s">
        <v>3</v>
      </c>
      <c r="BZ462">
        <v>0</v>
      </c>
      <c r="CA462">
        <v>0</v>
      </c>
      <c r="CB462" t="s">
        <v>3</v>
      </c>
      <c r="CE462">
        <v>30</v>
      </c>
      <c r="CF462">
        <v>0</v>
      </c>
      <c r="CG462">
        <v>0</v>
      </c>
      <c r="CM462">
        <v>0</v>
      </c>
      <c r="CN462" t="s">
        <v>3</v>
      </c>
      <c r="CO462">
        <v>0</v>
      </c>
      <c r="CP462">
        <f t="shared" si="393"/>
        <v>0</v>
      </c>
      <c r="CQ462">
        <f t="shared" si="394"/>
        <v>0</v>
      </c>
      <c r="CR462">
        <f>(ROUND((ROUND(((ET462)*AV462*1),2)*BB462),2)+ROUND((ROUND(((AE462-(EU462))*AV462*1),2)*BS462),2))</f>
        <v>0</v>
      </c>
      <c r="CS462">
        <f t="shared" si="395"/>
        <v>0</v>
      </c>
      <c r="CT462">
        <f t="shared" si="396"/>
        <v>0</v>
      </c>
      <c r="CU462">
        <f t="shared" si="397"/>
        <v>0</v>
      </c>
      <c r="CV462">
        <f t="shared" si="398"/>
        <v>0</v>
      </c>
      <c r="CW462">
        <f t="shared" si="399"/>
        <v>0</v>
      </c>
      <c r="CX462">
        <f t="shared" si="399"/>
        <v>0</v>
      </c>
      <c r="CY462">
        <f>S462*(BZ462/100)</f>
        <v>0</v>
      </c>
      <c r="CZ462">
        <f>S462*(CA462/100)</f>
        <v>0</v>
      </c>
      <c r="DC462" t="s">
        <v>3</v>
      </c>
      <c r="DD462" t="s">
        <v>3</v>
      </c>
      <c r="DE462" t="s">
        <v>3</v>
      </c>
      <c r="DF462" t="s">
        <v>3</v>
      </c>
      <c r="DG462" t="s">
        <v>3</v>
      </c>
      <c r="DH462" t="s">
        <v>3</v>
      </c>
      <c r="DI462" t="s">
        <v>3</v>
      </c>
      <c r="DJ462" t="s">
        <v>3</v>
      </c>
      <c r="DK462" t="s">
        <v>3</v>
      </c>
      <c r="DL462" t="s">
        <v>3</v>
      </c>
      <c r="DM462" t="s">
        <v>3</v>
      </c>
      <c r="DN462">
        <v>80</v>
      </c>
      <c r="DO462">
        <v>55</v>
      </c>
      <c r="DP462">
        <v>1</v>
      </c>
      <c r="DQ462">
        <v>1</v>
      </c>
      <c r="DU462">
        <v>1009</v>
      </c>
      <c r="DV462" t="s">
        <v>114</v>
      </c>
      <c r="DW462" t="s">
        <v>114</v>
      </c>
      <c r="DX462">
        <v>1000</v>
      </c>
      <c r="DZ462" t="s">
        <v>3</v>
      </c>
      <c r="EA462" t="s">
        <v>3</v>
      </c>
      <c r="EB462" t="s">
        <v>3</v>
      </c>
      <c r="EC462" t="s">
        <v>3</v>
      </c>
      <c r="EE462">
        <v>126051867</v>
      </c>
      <c r="EF462">
        <v>60</v>
      </c>
      <c r="EG462" t="s">
        <v>150</v>
      </c>
      <c r="EH462">
        <v>0</v>
      </c>
      <c r="EI462" t="s">
        <v>3</v>
      </c>
      <c r="EJ462">
        <v>1</v>
      </c>
      <c r="EK462">
        <v>406</v>
      </c>
      <c r="EL462" t="s">
        <v>506</v>
      </c>
      <c r="EM462" t="s">
        <v>507</v>
      </c>
      <c r="EO462" t="s">
        <v>3</v>
      </c>
      <c r="EQ462">
        <v>0</v>
      </c>
      <c r="ER462">
        <v>0</v>
      </c>
      <c r="ES462">
        <v>0</v>
      </c>
      <c r="ET462">
        <v>0</v>
      </c>
      <c r="EU462">
        <v>0</v>
      </c>
      <c r="EV462">
        <v>0</v>
      </c>
      <c r="EW462">
        <v>0</v>
      </c>
      <c r="EX462">
        <v>0</v>
      </c>
      <c r="FQ462">
        <v>0</v>
      </c>
      <c r="FR462">
        <f t="shared" si="400"/>
        <v>0</v>
      </c>
      <c r="FS462">
        <v>0</v>
      </c>
      <c r="FX462">
        <v>80</v>
      </c>
      <c r="FY462">
        <v>55</v>
      </c>
      <c r="GA462" t="s">
        <v>3</v>
      </c>
      <c r="GD462">
        <v>0</v>
      </c>
      <c r="GF462">
        <v>1489638031</v>
      </c>
      <c r="GG462">
        <v>2</v>
      </c>
      <c r="GH462">
        <v>1</v>
      </c>
      <c r="GI462">
        <v>5</v>
      </c>
      <c r="GJ462">
        <v>0</v>
      </c>
      <c r="GK462">
        <f>ROUND(R462*(S12)/100,2)</f>
        <v>0</v>
      </c>
      <c r="GL462">
        <f t="shared" si="401"/>
        <v>0</v>
      </c>
      <c r="GM462">
        <f t="shared" si="402"/>
        <v>0</v>
      </c>
      <c r="GN462">
        <f t="shared" si="403"/>
        <v>0</v>
      </c>
      <c r="GO462">
        <f t="shared" si="404"/>
        <v>0</v>
      </c>
      <c r="GP462">
        <f t="shared" si="405"/>
        <v>0</v>
      </c>
      <c r="GR462">
        <v>0</v>
      </c>
      <c r="GS462">
        <v>3</v>
      </c>
      <c r="GT462">
        <v>0</v>
      </c>
      <c r="GU462" t="s">
        <v>3</v>
      </c>
      <c r="GV462">
        <f t="shared" si="406"/>
        <v>0</v>
      </c>
      <c r="GW462">
        <v>1</v>
      </c>
      <c r="GX462">
        <f t="shared" si="407"/>
        <v>0</v>
      </c>
      <c r="HA462">
        <v>0</v>
      </c>
      <c r="HB462">
        <v>0</v>
      </c>
      <c r="HC462">
        <f t="shared" si="408"/>
        <v>0</v>
      </c>
      <c r="HE462" t="s">
        <v>3</v>
      </c>
      <c r="HF462" t="s">
        <v>3</v>
      </c>
      <c r="HM462" t="s">
        <v>3</v>
      </c>
      <c r="HN462" t="s">
        <v>3</v>
      </c>
      <c r="HO462" t="s">
        <v>3</v>
      </c>
      <c r="HP462" t="s">
        <v>3</v>
      </c>
      <c r="HQ462" t="s">
        <v>3</v>
      </c>
      <c r="IK462">
        <v>0</v>
      </c>
    </row>
    <row r="463" spans="1:255" x14ac:dyDescent="0.2">
      <c r="A463" s="2">
        <v>17</v>
      </c>
      <c r="B463" s="2">
        <v>1</v>
      </c>
      <c r="C463" s="2">
        <f>ROW(SmtRes!A437)</f>
        <v>437</v>
      </c>
      <c r="D463" s="2">
        <f>ROW(EtalonRes!A441)</f>
        <v>441</v>
      </c>
      <c r="E463" s="2" t="s">
        <v>81</v>
      </c>
      <c r="F463" s="2" t="s">
        <v>510</v>
      </c>
      <c r="G463" s="2" t="s">
        <v>511</v>
      </c>
      <c r="H463" s="2" t="s">
        <v>139</v>
      </c>
      <c r="I463" s="2">
        <v>0.8</v>
      </c>
      <c r="J463" s="2">
        <v>0</v>
      </c>
      <c r="K463" s="2">
        <v>0.8</v>
      </c>
      <c r="L463" s="2"/>
      <c r="M463" s="2"/>
      <c r="N463" s="2"/>
      <c r="O463" s="2">
        <f t="shared" si="381"/>
        <v>757.74</v>
      </c>
      <c r="P463" s="2">
        <f t="shared" si="382"/>
        <v>74.22</v>
      </c>
      <c r="Q463" s="2">
        <f>(ROUND((ROUND((((ET463*0.6))*AV463*I463),2)*BB463),2)+ROUND((ROUND(((AE463-((EU463*0.6)))*AV463*I463),2)*BS463),2))</f>
        <v>106.94</v>
      </c>
      <c r="R463" s="2">
        <f t="shared" si="383"/>
        <v>9.9700000000000006</v>
      </c>
      <c r="S463" s="2">
        <f t="shared" si="384"/>
        <v>576.58000000000004</v>
      </c>
      <c r="T463" s="2">
        <f t="shared" si="385"/>
        <v>0</v>
      </c>
      <c r="U463" s="2">
        <f t="shared" si="386"/>
        <v>43.680000000000007</v>
      </c>
      <c r="V463" s="2">
        <f t="shared" si="387"/>
        <v>0</v>
      </c>
      <c r="W463" s="2">
        <f t="shared" si="388"/>
        <v>0</v>
      </c>
      <c r="X463" s="2">
        <f t="shared" si="389"/>
        <v>490.09</v>
      </c>
      <c r="Y463" s="2">
        <f t="shared" si="389"/>
        <v>403.61</v>
      </c>
      <c r="Z463" s="2"/>
      <c r="AA463" s="2">
        <v>129761636</v>
      </c>
      <c r="AB463" s="2">
        <f t="shared" si="390"/>
        <v>947.16600000000005</v>
      </c>
      <c r="AC463" s="2">
        <f>ROUND(((ES463*0.6)),6)</f>
        <v>92.772000000000006</v>
      </c>
      <c r="AD463" s="2">
        <f>ROUND(((((ET463*0.6))-((EU463*0.6)))+AE463),6)</f>
        <v>133.67400000000001</v>
      </c>
      <c r="AE463" s="2">
        <f>ROUND(((EU463*0.6)),6)</f>
        <v>12.468</v>
      </c>
      <c r="AF463" s="2">
        <f>ROUND(((EV463*0.6)),6)</f>
        <v>720.72</v>
      </c>
      <c r="AG463" s="2">
        <f t="shared" si="391"/>
        <v>0</v>
      </c>
      <c r="AH463" s="2">
        <f>((EW463*0.6))</f>
        <v>54.6</v>
      </c>
      <c r="AI463" s="2">
        <f>((EX463*0.6))</f>
        <v>0</v>
      </c>
      <c r="AJ463" s="2">
        <f t="shared" si="392"/>
        <v>0</v>
      </c>
      <c r="AK463" s="2">
        <v>1578.61</v>
      </c>
      <c r="AL463" s="2">
        <v>154.62</v>
      </c>
      <c r="AM463" s="2">
        <v>222.79</v>
      </c>
      <c r="AN463" s="2">
        <v>20.78</v>
      </c>
      <c r="AO463" s="2">
        <v>1201.2</v>
      </c>
      <c r="AP463" s="2">
        <v>0</v>
      </c>
      <c r="AQ463" s="2">
        <v>91</v>
      </c>
      <c r="AR463" s="2">
        <v>0</v>
      </c>
      <c r="AS463" s="2">
        <v>0</v>
      </c>
      <c r="AT463" s="2">
        <v>85</v>
      </c>
      <c r="AU463" s="2">
        <v>70</v>
      </c>
      <c r="AV463" s="2">
        <v>1</v>
      </c>
      <c r="AW463" s="2">
        <v>1</v>
      </c>
      <c r="AX463" s="2"/>
      <c r="AY463" s="2"/>
      <c r="AZ463" s="2">
        <v>1</v>
      </c>
      <c r="BA463" s="2">
        <v>1</v>
      </c>
      <c r="BB463" s="2">
        <v>1</v>
      </c>
      <c r="BC463" s="2">
        <v>1</v>
      </c>
      <c r="BD463" s="2" t="s">
        <v>3</v>
      </c>
      <c r="BE463" s="2" t="s">
        <v>3</v>
      </c>
      <c r="BF463" s="2" t="s">
        <v>3</v>
      </c>
      <c r="BG463" s="2" t="s">
        <v>3</v>
      </c>
      <c r="BH463" s="2">
        <v>0</v>
      </c>
      <c r="BI463" s="2">
        <v>1</v>
      </c>
      <c r="BJ463" s="2" t="s">
        <v>512</v>
      </c>
      <c r="BK463" s="2"/>
      <c r="BL463" s="2"/>
      <c r="BM463" s="2">
        <v>80</v>
      </c>
      <c r="BN463" s="2">
        <v>0</v>
      </c>
      <c r="BO463" s="2" t="s">
        <v>3</v>
      </c>
      <c r="BP463" s="2">
        <v>0</v>
      </c>
      <c r="BQ463" s="2">
        <v>30</v>
      </c>
      <c r="BR463" s="2">
        <v>0</v>
      </c>
      <c r="BS463" s="2">
        <v>1</v>
      </c>
      <c r="BT463" s="2">
        <v>1</v>
      </c>
      <c r="BU463" s="2">
        <v>1</v>
      </c>
      <c r="BV463" s="2">
        <v>1</v>
      </c>
      <c r="BW463" s="2">
        <v>1</v>
      </c>
      <c r="BX463" s="2">
        <v>1</v>
      </c>
      <c r="BY463" s="2" t="s">
        <v>3</v>
      </c>
      <c r="BZ463" s="2">
        <v>85</v>
      </c>
      <c r="CA463" s="2">
        <v>70</v>
      </c>
      <c r="CB463" s="2" t="s">
        <v>3</v>
      </c>
      <c r="CC463" s="2"/>
      <c r="CD463" s="2"/>
      <c r="CE463" s="2">
        <v>30</v>
      </c>
      <c r="CF463" s="2">
        <v>0</v>
      </c>
      <c r="CG463" s="2">
        <v>0</v>
      </c>
      <c r="CH463" s="2"/>
      <c r="CI463" s="2"/>
      <c r="CJ463" s="2"/>
      <c r="CK463" s="2"/>
      <c r="CL463" s="2"/>
      <c r="CM463" s="2">
        <v>0</v>
      </c>
      <c r="CN463" s="2" t="s">
        <v>141</v>
      </c>
      <c r="CO463" s="2">
        <v>0</v>
      </c>
      <c r="CP463" s="2">
        <f t="shared" si="393"/>
        <v>757.74</v>
      </c>
      <c r="CQ463" s="2">
        <f t="shared" si="394"/>
        <v>92.77</v>
      </c>
      <c r="CR463" s="2">
        <f>(ROUND((ROUND((((ET463*0.6))*AV463*1),2)*BB463),2)+ROUND((ROUND(((AE463-((EU463*0.6)))*AV463*1),2)*BS463),2))</f>
        <v>133.66999999999999</v>
      </c>
      <c r="CS463" s="2">
        <f t="shared" si="395"/>
        <v>12.47</v>
      </c>
      <c r="CT463" s="2">
        <f t="shared" si="396"/>
        <v>720.72</v>
      </c>
      <c r="CU463" s="2">
        <f t="shared" si="397"/>
        <v>0</v>
      </c>
      <c r="CV463" s="2">
        <f t="shared" si="398"/>
        <v>54.6</v>
      </c>
      <c r="CW463" s="2">
        <f t="shared" si="399"/>
        <v>0</v>
      </c>
      <c r="CX463" s="2">
        <f t="shared" si="399"/>
        <v>0</v>
      </c>
      <c r="CY463" s="2">
        <f>((S463*BZ463)/100)</f>
        <v>490.09300000000002</v>
      </c>
      <c r="CZ463" s="2">
        <f>((S463*CA463)/100)</f>
        <v>403.60600000000005</v>
      </c>
      <c r="DA463" s="2"/>
      <c r="DB463" s="2"/>
      <c r="DC463" s="2" t="s">
        <v>3</v>
      </c>
      <c r="DD463" s="2" t="s">
        <v>142</v>
      </c>
      <c r="DE463" s="2" t="s">
        <v>142</v>
      </c>
      <c r="DF463" s="2" t="s">
        <v>142</v>
      </c>
      <c r="DG463" s="2" t="s">
        <v>142</v>
      </c>
      <c r="DH463" s="2" t="s">
        <v>3</v>
      </c>
      <c r="DI463" s="2" t="s">
        <v>142</v>
      </c>
      <c r="DJ463" s="2" t="s">
        <v>142</v>
      </c>
      <c r="DK463" s="2" t="s">
        <v>3</v>
      </c>
      <c r="DL463" s="2" t="s">
        <v>3</v>
      </c>
      <c r="DM463" s="2" t="s">
        <v>3</v>
      </c>
      <c r="DN463" s="2">
        <v>0</v>
      </c>
      <c r="DO463" s="2">
        <v>0</v>
      </c>
      <c r="DP463" s="2">
        <v>1</v>
      </c>
      <c r="DQ463" s="2">
        <v>1</v>
      </c>
      <c r="DR463" s="2"/>
      <c r="DS463" s="2"/>
      <c r="DT463" s="2"/>
      <c r="DU463" s="2">
        <v>1013</v>
      </c>
      <c r="DV463" s="2" t="s">
        <v>139</v>
      </c>
      <c r="DW463" s="2" t="s">
        <v>139</v>
      </c>
      <c r="DX463" s="2">
        <v>1</v>
      </c>
      <c r="DY463" s="2"/>
      <c r="DZ463" s="2" t="s">
        <v>3</v>
      </c>
      <c r="EA463" s="2" t="s">
        <v>3</v>
      </c>
      <c r="EB463" s="2" t="s">
        <v>3</v>
      </c>
      <c r="EC463" s="2" t="s">
        <v>3</v>
      </c>
      <c r="ED463" s="2"/>
      <c r="EE463" s="2">
        <v>126051541</v>
      </c>
      <c r="EF463" s="2">
        <v>30</v>
      </c>
      <c r="EG463" s="2" t="s">
        <v>23</v>
      </c>
      <c r="EH463" s="2">
        <v>0</v>
      </c>
      <c r="EI463" s="2" t="s">
        <v>3</v>
      </c>
      <c r="EJ463" s="2">
        <v>1</v>
      </c>
      <c r="EK463" s="2">
        <v>80</v>
      </c>
      <c r="EL463" s="2" t="s">
        <v>143</v>
      </c>
      <c r="EM463" s="2" t="s">
        <v>144</v>
      </c>
      <c r="EN463" s="2"/>
      <c r="EO463" s="2" t="s">
        <v>145</v>
      </c>
      <c r="EP463" s="2"/>
      <c r="EQ463" s="2">
        <v>131072</v>
      </c>
      <c r="ER463" s="2">
        <v>1578.61</v>
      </c>
      <c r="ES463" s="2">
        <v>154.62</v>
      </c>
      <c r="ET463" s="2">
        <v>222.79</v>
      </c>
      <c r="EU463" s="2">
        <v>20.78</v>
      </c>
      <c r="EV463" s="2">
        <v>1201.2</v>
      </c>
      <c r="EW463" s="2">
        <v>91</v>
      </c>
      <c r="EX463" s="2">
        <v>0</v>
      </c>
      <c r="EY463" s="2">
        <v>0</v>
      </c>
      <c r="EZ463" s="2"/>
      <c r="FA463" s="2"/>
      <c r="FB463" s="2"/>
      <c r="FC463" s="2"/>
      <c r="FD463" s="2"/>
      <c r="FE463" s="2"/>
      <c r="FF463" s="2"/>
      <c r="FG463" s="2"/>
      <c r="FH463" s="2"/>
      <c r="FI463" s="2"/>
      <c r="FJ463" s="2"/>
      <c r="FK463" s="2"/>
      <c r="FL463" s="2"/>
      <c r="FM463" s="2"/>
      <c r="FN463" s="2"/>
      <c r="FO463" s="2"/>
      <c r="FP463" s="2"/>
      <c r="FQ463" s="2">
        <v>0</v>
      </c>
      <c r="FR463" s="2">
        <f t="shared" si="400"/>
        <v>0</v>
      </c>
      <c r="FS463" s="2">
        <v>0</v>
      </c>
      <c r="FT463" s="2"/>
      <c r="FU463" s="2"/>
      <c r="FV463" s="2"/>
      <c r="FW463" s="2"/>
      <c r="FX463" s="2">
        <v>85</v>
      </c>
      <c r="FY463" s="2">
        <v>70</v>
      </c>
      <c r="FZ463" s="2"/>
      <c r="GA463" s="2" t="s">
        <v>3</v>
      </c>
      <c r="GB463" s="2"/>
      <c r="GC463" s="2"/>
      <c r="GD463" s="2">
        <v>0</v>
      </c>
      <c r="GE463" s="2"/>
      <c r="GF463" s="2">
        <v>-2057397954</v>
      </c>
      <c r="GG463" s="2">
        <v>2</v>
      </c>
      <c r="GH463" s="2">
        <v>1</v>
      </c>
      <c r="GI463" s="2">
        <v>-2</v>
      </c>
      <c r="GJ463" s="2">
        <v>0</v>
      </c>
      <c r="GK463" s="2">
        <f>ROUND(R463*(R12)/100,2)</f>
        <v>17.45</v>
      </c>
      <c r="GL463" s="2">
        <f t="shared" si="401"/>
        <v>0</v>
      </c>
      <c r="GM463" s="2">
        <f t="shared" si="402"/>
        <v>1668.89</v>
      </c>
      <c r="GN463" s="2">
        <f t="shared" si="403"/>
        <v>1668.89</v>
      </c>
      <c r="GO463" s="2">
        <f t="shared" si="404"/>
        <v>0</v>
      </c>
      <c r="GP463" s="2">
        <f t="shared" si="405"/>
        <v>0</v>
      </c>
      <c r="GQ463" s="2"/>
      <c r="GR463" s="2">
        <v>0</v>
      </c>
      <c r="GS463" s="2">
        <v>0</v>
      </c>
      <c r="GT463" s="2">
        <v>0</v>
      </c>
      <c r="GU463" s="2" t="s">
        <v>3</v>
      </c>
      <c r="GV463" s="2">
        <f t="shared" si="406"/>
        <v>0</v>
      </c>
      <c r="GW463" s="2">
        <v>1</v>
      </c>
      <c r="GX463" s="2">
        <f t="shared" si="407"/>
        <v>0</v>
      </c>
      <c r="GY463" s="2"/>
      <c r="GZ463" s="2"/>
      <c r="HA463" s="2">
        <v>0</v>
      </c>
      <c r="HB463" s="2">
        <v>0</v>
      </c>
      <c r="HC463" s="2">
        <f t="shared" si="408"/>
        <v>0</v>
      </c>
      <c r="HD463" s="2"/>
      <c r="HE463" s="2" t="s">
        <v>3</v>
      </c>
      <c r="HF463" s="2" t="s">
        <v>3</v>
      </c>
      <c r="HG463" s="2"/>
      <c r="HH463" s="2"/>
      <c r="HI463" s="2"/>
      <c r="HJ463" s="2"/>
      <c r="HK463" s="2"/>
      <c r="HL463" s="2"/>
      <c r="HM463" s="2" t="s">
        <v>3</v>
      </c>
      <c r="HN463" s="2" t="s">
        <v>3</v>
      </c>
      <c r="HO463" s="2" t="s">
        <v>3</v>
      </c>
      <c r="HP463" s="2" t="s">
        <v>3</v>
      </c>
      <c r="HQ463" s="2" t="s">
        <v>3</v>
      </c>
      <c r="HR463" s="2"/>
      <c r="HS463" s="2"/>
      <c r="HT463" s="2"/>
      <c r="HU463" s="2"/>
      <c r="HV463" s="2"/>
      <c r="HW463" s="2"/>
      <c r="HX463" s="2"/>
      <c r="HY463" s="2"/>
      <c r="HZ463" s="2"/>
      <c r="IA463" s="2"/>
      <c r="IB463" s="2"/>
      <c r="IC463" s="2"/>
      <c r="ID463" s="2"/>
      <c r="IE463" s="2"/>
      <c r="IF463" s="2"/>
      <c r="IG463" s="2"/>
      <c r="IH463" s="2"/>
      <c r="II463" s="2"/>
      <c r="IJ463" s="2"/>
      <c r="IK463" s="2">
        <v>0</v>
      </c>
      <c r="IL463" s="2"/>
      <c r="IM463" s="2"/>
      <c r="IN463" s="2"/>
      <c r="IO463" s="2"/>
      <c r="IP463" s="2"/>
      <c r="IQ463" s="2"/>
      <c r="IR463" s="2"/>
      <c r="IS463" s="2"/>
      <c r="IT463" s="2"/>
      <c r="IU463" s="2"/>
    </row>
    <row r="464" spans="1:255" x14ac:dyDescent="0.2">
      <c r="A464">
        <v>17</v>
      </c>
      <c r="B464">
        <v>1</v>
      </c>
      <c r="C464">
        <f>ROW(SmtRes!A446)</f>
        <v>446</v>
      </c>
      <c r="D464">
        <f>ROW(EtalonRes!A452)</f>
        <v>452</v>
      </c>
      <c r="E464" t="s">
        <v>81</v>
      </c>
      <c r="F464" t="s">
        <v>510</v>
      </c>
      <c r="G464" t="s">
        <v>511</v>
      </c>
      <c r="H464" t="s">
        <v>139</v>
      </c>
      <c r="I464">
        <v>0.8</v>
      </c>
      <c r="J464">
        <v>0</v>
      </c>
      <c r="K464">
        <v>0.8</v>
      </c>
      <c r="O464">
        <f t="shared" si="381"/>
        <v>19452.05</v>
      </c>
      <c r="P464">
        <f t="shared" si="382"/>
        <v>1504.44</v>
      </c>
      <c r="Q464">
        <f>(ROUND((ROUND((((ET464*0.6))*AV464*I464),2)*BB464),2)+ROUND((ROUND(((AE464-((EU464*0.6)))*AV464*I464),2)*BS464),2))</f>
        <v>1209.49</v>
      </c>
      <c r="R464">
        <f t="shared" si="383"/>
        <v>289.43</v>
      </c>
      <c r="S464">
        <f t="shared" si="384"/>
        <v>16738.12</v>
      </c>
      <c r="T464">
        <f t="shared" si="385"/>
        <v>0</v>
      </c>
      <c r="U464">
        <f t="shared" si="386"/>
        <v>43.680000000000007</v>
      </c>
      <c r="V464">
        <f t="shared" si="387"/>
        <v>0</v>
      </c>
      <c r="W464">
        <f t="shared" si="388"/>
        <v>0</v>
      </c>
      <c r="X464">
        <f t="shared" si="389"/>
        <v>11716.68</v>
      </c>
      <c r="Y464">
        <f t="shared" si="389"/>
        <v>6862.63</v>
      </c>
      <c r="AA464">
        <v>129761633</v>
      </c>
      <c r="AB464">
        <f t="shared" si="390"/>
        <v>947.16600000000005</v>
      </c>
      <c r="AC464">
        <f>ROUND(((ES464*0.6)),6)</f>
        <v>92.772000000000006</v>
      </c>
      <c r="AD464">
        <f>ROUND(((((ET464*0.6))-((EU464*0.6)))+AE464),6)</f>
        <v>133.67400000000001</v>
      </c>
      <c r="AE464">
        <f>ROUND(((EU464*0.6)),6)</f>
        <v>12.468</v>
      </c>
      <c r="AF464">
        <f>ROUND(((EV464*0.6)),6)</f>
        <v>720.72</v>
      </c>
      <c r="AG464">
        <f t="shared" si="391"/>
        <v>0</v>
      </c>
      <c r="AH464">
        <f>((EW464*0.6))</f>
        <v>54.6</v>
      </c>
      <c r="AI464">
        <f>((EX464*0.6))</f>
        <v>0</v>
      </c>
      <c r="AJ464">
        <f t="shared" si="392"/>
        <v>0</v>
      </c>
      <c r="AK464">
        <v>1578.61</v>
      </c>
      <c r="AL464">
        <v>154.62</v>
      </c>
      <c r="AM464">
        <v>222.79</v>
      </c>
      <c r="AN464">
        <v>20.78</v>
      </c>
      <c r="AO464">
        <v>1201.2</v>
      </c>
      <c r="AP464">
        <v>0</v>
      </c>
      <c r="AQ464">
        <v>91</v>
      </c>
      <c r="AR464">
        <v>0</v>
      </c>
      <c r="AS464">
        <v>0</v>
      </c>
      <c r="AT464">
        <v>70</v>
      </c>
      <c r="AU464">
        <v>41</v>
      </c>
      <c r="AV464">
        <v>1</v>
      </c>
      <c r="AW464">
        <v>1</v>
      </c>
      <c r="AZ464">
        <v>1</v>
      </c>
      <c r="BA464">
        <v>29.03</v>
      </c>
      <c r="BB464">
        <v>11.31</v>
      </c>
      <c r="BC464">
        <v>20.27</v>
      </c>
      <c r="BD464" t="s">
        <v>3</v>
      </c>
      <c r="BE464" t="s">
        <v>3</v>
      </c>
      <c r="BF464" t="s">
        <v>3</v>
      </c>
      <c r="BG464" t="s">
        <v>3</v>
      </c>
      <c r="BH464">
        <v>0</v>
      </c>
      <c r="BI464">
        <v>1</v>
      </c>
      <c r="BJ464" t="s">
        <v>512</v>
      </c>
      <c r="BM464">
        <v>80</v>
      </c>
      <c r="BN464">
        <v>0</v>
      </c>
      <c r="BO464" t="s">
        <v>510</v>
      </c>
      <c r="BP464">
        <v>1</v>
      </c>
      <c r="BQ464">
        <v>30</v>
      </c>
      <c r="BR464">
        <v>0</v>
      </c>
      <c r="BS464">
        <v>29.03</v>
      </c>
      <c r="BT464">
        <v>1</v>
      </c>
      <c r="BU464">
        <v>1</v>
      </c>
      <c r="BV464">
        <v>1</v>
      </c>
      <c r="BW464">
        <v>1</v>
      </c>
      <c r="BX464">
        <v>1</v>
      </c>
      <c r="BY464" t="s">
        <v>3</v>
      </c>
      <c r="BZ464">
        <v>70</v>
      </c>
      <c r="CA464">
        <v>41</v>
      </c>
      <c r="CB464" t="s">
        <v>3</v>
      </c>
      <c r="CE464">
        <v>30</v>
      </c>
      <c r="CF464">
        <v>0</v>
      </c>
      <c r="CG464">
        <v>0</v>
      </c>
      <c r="CM464">
        <v>0</v>
      </c>
      <c r="CN464" t="s">
        <v>141</v>
      </c>
      <c r="CO464">
        <v>0</v>
      </c>
      <c r="CP464">
        <f t="shared" si="393"/>
        <v>19452.05</v>
      </c>
      <c r="CQ464">
        <f t="shared" si="394"/>
        <v>1880.45</v>
      </c>
      <c r="CR464">
        <f>(ROUND((ROUND((((ET464*0.6))*AV464*1),2)*BB464),2)+ROUND((ROUND(((AE464-((EU464*0.6)))*AV464*1),2)*BS464),2))</f>
        <v>1511.81</v>
      </c>
      <c r="CS464">
        <f t="shared" si="395"/>
        <v>362</v>
      </c>
      <c r="CT464">
        <f t="shared" si="396"/>
        <v>20922.5</v>
      </c>
      <c r="CU464">
        <f t="shared" si="397"/>
        <v>0</v>
      </c>
      <c r="CV464">
        <f t="shared" si="398"/>
        <v>54.6</v>
      </c>
      <c r="CW464">
        <f t="shared" si="399"/>
        <v>0</v>
      </c>
      <c r="CX464">
        <f t="shared" si="399"/>
        <v>0</v>
      </c>
      <c r="CY464">
        <f>S464*(BZ464/100)</f>
        <v>11716.683999999999</v>
      </c>
      <c r="CZ464">
        <f>S464*(CA464/100)</f>
        <v>6862.6291999999994</v>
      </c>
      <c r="DC464" t="s">
        <v>3</v>
      </c>
      <c r="DD464" t="s">
        <v>142</v>
      </c>
      <c r="DE464" t="s">
        <v>142</v>
      </c>
      <c r="DF464" t="s">
        <v>142</v>
      </c>
      <c r="DG464" t="s">
        <v>142</v>
      </c>
      <c r="DH464" t="s">
        <v>3</v>
      </c>
      <c r="DI464" t="s">
        <v>142</v>
      </c>
      <c r="DJ464" t="s">
        <v>142</v>
      </c>
      <c r="DK464" t="s">
        <v>3</v>
      </c>
      <c r="DL464" t="s">
        <v>3</v>
      </c>
      <c r="DM464" t="s">
        <v>3</v>
      </c>
      <c r="DN464">
        <v>85</v>
      </c>
      <c r="DO464">
        <v>70</v>
      </c>
      <c r="DP464">
        <v>1</v>
      </c>
      <c r="DQ464">
        <v>1</v>
      </c>
      <c r="DU464">
        <v>1013</v>
      </c>
      <c r="DV464" t="s">
        <v>139</v>
      </c>
      <c r="DW464" t="s">
        <v>139</v>
      </c>
      <c r="DX464">
        <v>1</v>
      </c>
      <c r="DZ464" t="s">
        <v>3</v>
      </c>
      <c r="EA464" t="s">
        <v>3</v>
      </c>
      <c r="EB464" t="s">
        <v>3</v>
      </c>
      <c r="EC464" t="s">
        <v>3</v>
      </c>
      <c r="EE464">
        <v>126051541</v>
      </c>
      <c r="EF464">
        <v>30</v>
      </c>
      <c r="EG464" t="s">
        <v>23</v>
      </c>
      <c r="EH464">
        <v>0</v>
      </c>
      <c r="EI464" t="s">
        <v>3</v>
      </c>
      <c r="EJ464">
        <v>1</v>
      </c>
      <c r="EK464">
        <v>80</v>
      </c>
      <c r="EL464" t="s">
        <v>143</v>
      </c>
      <c r="EM464" t="s">
        <v>144</v>
      </c>
      <c r="EO464" t="s">
        <v>145</v>
      </c>
      <c r="EQ464">
        <v>131072</v>
      </c>
      <c r="ER464">
        <v>1578.61</v>
      </c>
      <c r="ES464">
        <v>154.62</v>
      </c>
      <c r="ET464">
        <v>222.79</v>
      </c>
      <c r="EU464">
        <v>20.78</v>
      </c>
      <c r="EV464">
        <v>1201.2</v>
      </c>
      <c r="EW464">
        <v>91</v>
      </c>
      <c r="EX464">
        <v>0</v>
      </c>
      <c r="EY464">
        <v>0</v>
      </c>
      <c r="FQ464">
        <v>0</v>
      </c>
      <c r="FR464">
        <f t="shared" si="400"/>
        <v>0</v>
      </c>
      <c r="FS464">
        <v>0</v>
      </c>
      <c r="FX464">
        <v>85</v>
      </c>
      <c r="FY464">
        <v>70</v>
      </c>
      <c r="GA464" t="s">
        <v>3</v>
      </c>
      <c r="GD464">
        <v>0</v>
      </c>
      <c r="GF464">
        <v>-2057397954</v>
      </c>
      <c r="GG464">
        <v>2</v>
      </c>
      <c r="GH464">
        <v>1</v>
      </c>
      <c r="GI464">
        <v>2</v>
      </c>
      <c r="GJ464">
        <v>0</v>
      </c>
      <c r="GK464">
        <f>ROUND(R464*(S12)/100,2)</f>
        <v>463.09</v>
      </c>
      <c r="GL464">
        <f t="shared" si="401"/>
        <v>0</v>
      </c>
      <c r="GM464">
        <f t="shared" si="402"/>
        <v>38494.449999999997</v>
      </c>
      <c r="GN464">
        <f t="shared" si="403"/>
        <v>38494.449999999997</v>
      </c>
      <c r="GO464">
        <f t="shared" si="404"/>
        <v>0</v>
      </c>
      <c r="GP464">
        <f t="shared" si="405"/>
        <v>0</v>
      </c>
      <c r="GR464">
        <v>0</v>
      </c>
      <c r="GS464">
        <v>3</v>
      </c>
      <c r="GT464">
        <v>0</v>
      </c>
      <c r="GU464" t="s">
        <v>3</v>
      </c>
      <c r="GV464">
        <f t="shared" si="406"/>
        <v>0</v>
      </c>
      <c r="GW464">
        <v>1</v>
      </c>
      <c r="GX464">
        <f t="shared" si="407"/>
        <v>0</v>
      </c>
      <c r="HA464">
        <v>0</v>
      </c>
      <c r="HB464">
        <v>0</v>
      </c>
      <c r="HC464">
        <f t="shared" si="408"/>
        <v>0</v>
      </c>
      <c r="HE464" t="s">
        <v>3</v>
      </c>
      <c r="HF464" t="s">
        <v>3</v>
      </c>
      <c r="HM464" t="s">
        <v>3</v>
      </c>
      <c r="HN464" t="s">
        <v>3</v>
      </c>
      <c r="HO464" t="s">
        <v>3</v>
      </c>
      <c r="HP464" t="s">
        <v>3</v>
      </c>
      <c r="HQ464" t="s">
        <v>3</v>
      </c>
      <c r="IK464">
        <v>0</v>
      </c>
    </row>
    <row r="465" spans="1:255" x14ac:dyDescent="0.2">
      <c r="A465" s="2">
        <v>18</v>
      </c>
      <c r="B465" s="2">
        <v>1</v>
      </c>
      <c r="C465" s="2">
        <v>437</v>
      </c>
      <c r="D465" s="2"/>
      <c r="E465" s="2" t="s">
        <v>91</v>
      </c>
      <c r="F465" s="2" t="s">
        <v>162</v>
      </c>
      <c r="G465" s="2" t="s">
        <v>163</v>
      </c>
      <c r="H465" s="2" t="s">
        <v>114</v>
      </c>
      <c r="I465" s="2">
        <f>I463*J465</f>
        <v>-0.48</v>
      </c>
      <c r="J465" s="2">
        <v>-0.6</v>
      </c>
      <c r="K465" s="2">
        <v>-0.6</v>
      </c>
      <c r="L465" s="2"/>
      <c r="M465" s="2"/>
      <c r="N465" s="2"/>
      <c r="O465" s="2">
        <f t="shared" si="381"/>
        <v>0</v>
      </c>
      <c r="P465" s="2">
        <f t="shared" si="382"/>
        <v>0</v>
      </c>
      <c r="Q465" s="2">
        <f>(ROUND((ROUND(((ET465)*AV465*I465),2)*BB465),2)+ROUND((ROUND(((AE465-(EU465))*AV465*I465),2)*BS465),2))</f>
        <v>0</v>
      </c>
      <c r="R465" s="2">
        <f t="shared" si="383"/>
        <v>0</v>
      </c>
      <c r="S465" s="2">
        <f t="shared" si="384"/>
        <v>0</v>
      </c>
      <c r="T465" s="2">
        <f t="shared" si="385"/>
        <v>0</v>
      </c>
      <c r="U465" s="2">
        <f t="shared" si="386"/>
        <v>0</v>
      </c>
      <c r="V465" s="2">
        <f t="shared" si="387"/>
        <v>0</v>
      </c>
      <c r="W465" s="2">
        <f t="shared" si="388"/>
        <v>0</v>
      </c>
      <c r="X465" s="2">
        <f t="shared" si="389"/>
        <v>0</v>
      </c>
      <c r="Y465" s="2">
        <f t="shared" si="389"/>
        <v>0</v>
      </c>
      <c r="Z465" s="2"/>
      <c r="AA465" s="2">
        <v>129761636</v>
      </c>
      <c r="AB465" s="2">
        <f t="shared" si="390"/>
        <v>0</v>
      </c>
      <c r="AC465" s="2">
        <f>ROUND((ES465),6)</f>
        <v>0</v>
      </c>
      <c r="AD465" s="2">
        <f>ROUND((((ET465)-(EU465))+AE465),6)</f>
        <v>0</v>
      </c>
      <c r="AE465" s="2">
        <f>ROUND((EU465),6)</f>
        <v>0</v>
      </c>
      <c r="AF465" s="2">
        <f>ROUND((EV465),6)</f>
        <v>0</v>
      </c>
      <c r="AG465" s="2">
        <f t="shared" si="391"/>
        <v>0</v>
      </c>
      <c r="AH465" s="2">
        <f>(EW465)</f>
        <v>0</v>
      </c>
      <c r="AI465" s="2">
        <f>(EX465)</f>
        <v>0</v>
      </c>
      <c r="AJ465" s="2">
        <f t="shared" si="392"/>
        <v>0</v>
      </c>
      <c r="AK465" s="2">
        <v>0</v>
      </c>
      <c r="AL465" s="2">
        <v>0</v>
      </c>
      <c r="AM465" s="2">
        <v>0</v>
      </c>
      <c r="AN465" s="2">
        <v>0</v>
      </c>
      <c r="AO465" s="2">
        <v>0</v>
      </c>
      <c r="AP465" s="2">
        <v>0</v>
      </c>
      <c r="AQ465" s="2">
        <v>0</v>
      </c>
      <c r="AR465" s="2">
        <v>0</v>
      </c>
      <c r="AS465" s="2">
        <v>0</v>
      </c>
      <c r="AT465" s="2">
        <v>85</v>
      </c>
      <c r="AU465" s="2">
        <v>70</v>
      </c>
      <c r="AV465" s="2">
        <v>1</v>
      </c>
      <c r="AW465" s="2">
        <v>1</v>
      </c>
      <c r="AX465" s="2"/>
      <c r="AY465" s="2"/>
      <c r="AZ465" s="2">
        <v>1</v>
      </c>
      <c r="BA465" s="2">
        <v>1</v>
      </c>
      <c r="BB465" s="2">
        <v>1</v>
      </c>
      <c r="BC465" s="2">
        <v>1</v>
      </c>
      <c r="BD465" s="2" t="s">
        <v>3</v>
      </c>
      <c r="BE465" s="2" t="s">
        <v>3</v>
      </c>
      <c r="BF465" s="2" t="s">
        <v>3</v>
      </c>
      <c r="BG465" s="2" t="s">
        <v>3</v>
      </c>
      <c r="BH465" s="2">
        <v>3</v>
      </c>
      <c r="BI465" s="2">
        <v>1</v>
      </c>
      <c r="BJ465" s="2" t="s">
        <v>3</v>
      </c>
      <c r="BK465" s="2"/>
      <c r="BL465" s="2"/>
      <c r="BM465" s="2">
        <v>80</v>
      </c>
      <c r="BN465" s="2">
        <v>0</v>
      </c>
      <c r="BO465" s="2" t="s">
        <v>3</v>
      </c>
      <c r="BP465" s="2">
        <v>0</v>
      </c>
      <c r="BQ465" s="2">
        <v>30</v>
      </c>
      <c r="BR465" s="2">
        <v>0</v>
      </c>
      <c r="BS465" s="2">
        <v>1</v>
      </c>
      <c r="BT465" s="2">
        <v>1</v>
      </c>
      <c r="BU465" s="2">
        <v>1</v>
      </c>
      <c r="BV465" s="2">
        <v>1</v>
      </c>
      <c r="BW465" s="2">
        <v>1</v>
      </c>
      <c r="BX465" s="2">
        <v>1</v>
      </c>
      <c r="BY465" s="2" t="s">
        <v>3</v>
      </c>
      <c r="BZ465" s="2">
        <v>85</v>
      </c>
      <c r="CA465" s="2">
        <v>70</v>
      </c>
      <c r="CB465" s="2" t="s">
        <v>3</v>
      </c>
      <c r="CC465" s="2"/>
      <c r="CD465" s="2"/>
      <c r="CE465" s="2">
        <v>30</v>
      </c>
      <c r="CF465" s="2">
        <v>0</v>
      </c>
      <c r="CG465" s="2">
        <v>0</v>
      </c>
      <c r="CH465" s="2"/>
      <c r="CI465" s="2"/>
      <c r="CJ465" s="2"/>
      <c r="CK465" s="2"/>
      <c r="CL465" s="2"/>
      <c r="CM465" s="2">
        <v>0</v>
      </c>
      <c r="CN465" s="2" t="s">
        <v>3</v>
      </c>
      <c r="CO465" s="2">
        <v>0</v>
      </c>
      <c r="CP465" s="2">
        <f t="shared" si="393"/>
        <v>0</v>
      </c>
      <c r="CQ465" s="2">
        <f t="shared" si="394"/>
        <v>0</v>
      </c>
      <c r="CR465" s="2">
        <f>(ROUND((ROUND(((ET465)*AV465*1),2)*BB465),2)+ROUND((ROUND(((AE465-(EU465))*AV465*1),2)*BS465),2))</f>
        <v>0</v>
      </c>
      <c r="CS465" s="2">
        <f t="shared" si="395"/>
        <v>0</v>
      </c>
      <c r="CT465" s="2">
        <f t="shared" si="396"/>
        <v>0</v>
      </c>
      <c r="CU465" s="2">
        <f t="shared" si="397"/>
        <v>0</v>
      </c>
      <c r="CV465" s="2">
        <f t="shared" si="398"/>
        <v>0</v>
      </c>
      <c r="CW465" s="2">
        <f t="shared" si="399"/>
        <v>0</v>
      </c>
      <c r="CX465" s="2">
        <f t="shared" si="399"/>
        <v>0</v>
      </c>
      <c r="CY465" s="2">
        <f>((S465*BZ465)/100)</f>
        <v>0</v>
      </c>
      <c r="CZ465" s="2">
        <f>((S465*CA465)/100)</f>
        <v>0</v>
      </c>
      <c r="DA465" s="2"/>
      <c r="DB465" s="2"/>
      <c r="DC465" s="2" t="s">
        <v>3</v>
      </c>
      <c r="DD465" s="2" t="s">
        <v>3</v>
      </c>
      <c r="DE465" s="2" t="s">
        <v>3</v>
      </c>
      <c r="DF465" s="2" t="s">
        <v>3</v>
      </c>
      <c r="DG465" s="2" t="s">
        <v>3</v>
      </c>
      <c r="DH465" s="2" t="s">
        <v>3</v>
      </c>
      <c r="DI465" s="2" t="s">
        <v>3</v>
      </c>
      <c r="DJ465" s="2" t="s">
        <v>3</v>
      </c>
      <c r="DK465" s="2" t="s">
        <v>3</v>
      </c>
      <c r="DL465" s="2" t="s">
        <v>3</v>
      </c>
      <c r="DM465" s="2" t="s">
        <v>3</v>
      </c>
      <c r="DN465" s="2">
        <v>0</v>
      </c>
      <c r="DO465" s="2">
        <v>0</v>
      </c>
      <c r="DP465" s="2">
        <v>1</v>
      </c>
      <c r="DQ465" s="2">
        <v>1</v>
      </c>
      <c r="DR465" s="2"/>
      <c r="DS465" s="2"/>
      <c r="DT465" s="2"/>
      <c r="DU465" s="2">
        <v>1009</v>
      </c>
      <c r="DV465" s="2" t="s">
        <v>114</v>
      </c>
      <c r="DW465" s="2" t="s">
        <v>114</v>
      </c>
      <c r="DX465" s="2">
        <v>1000</v>
      </c>
      <c r="DY465" s="2"/>
      <c r="DZ465" s="2" t="s">
        <v>3</v>
      </c>
      <c r="EA465" s="2" t="s">
        <v>3</v>
      </c>
      <c r="EB465" s="2" t="s">
        <v>3</v>
      </c>
      <c r="EC465" s="2" t="s">
        <v>3</v>
      </c>
      <c r="ED465" s="2"/>
      <c r="EE465" s="2">
        <v>126051541</v>
      </c>
      <c r="EF465" s="2">
        <v>30</v>
      </c>
      <c r="EG465" s="2" t="s">
        <v>23</v>
      </c>
      <c r="EH465" s="2">
        <v>0</v>
      </c>
      <c r="EI465" s="2" t="s">
        <v>3</v>
      </c>
      <c r="EJ465" s="2">
        <v>1</v>
      </c>
      <c r="EK465" s="2">
        <v>80</v>
      </c>
      <c r="EL465" s="2" t="s">
        <v>143</v>
      </c>
      <c r="EM465" s="2" t="s">
        <v>144</v>
      </c>
      <c r="EN465" s="2"/>
      <c r="EO465" s="2" t="s">
        <v>3</v>
      </c>
      <c r="EP465" s="2"/>
      <c r="EQ465" s="2">
        <v>0</v>
      </c>
      <c r="ER465" s="2">
        <v>0</v>
      </c>
      <c r="ES465" s="2">
        <v>0</v>
      </c>
      <c r="ET465" s="2">
        <v>0</v>
      </c>
      <c r="EU465" s="2">
        <v>0</v>
      </c>
      <c r="EV465" s="2">
        <v>0</v>
      </c>
      <c r="EW465" s="2">
        <v>0</v>
      </c>
      <c r="EX465" s="2">
        <v>0</v>
      </c>
      <c r="EY465" s="2"/>
      <c r="EZ465" s="2"/>
      <c r="FA465" s="2"/>
      <c r="FB465" s="2"/>
      <c r="FC465" s="2"/>
      <c r="FD465" s="2"/>
      <c r="FE465" s="2"/>
      <c r="FF465" s="2"/>
      <c r="FG465" s="2"/>
      <c r="FH465" s="2"/>
      <c r="FI465" s="2"/>
      <c r="FJ465" s="2"/>
      <c r="FK465" s="2"/>
      <c r="FL465" s="2"/>
      <c r="FM465" s="2"/>
      <c r="FN465" s="2"/>
      <c r="FO465" s="2"/>
      <c r="FP465" s="2"/>
      <c r="FQ465" s="2">
        <v>0</v>
      </c>
      <c r="FR465" s="2">
        <f t="shared" si="400"/>
        <v>0</v>
      </c>
      <c r="FS465" s="2">
        <v>0</v>
      </c>
      <c r="FT465" s="2"/>
      <c r="FU465" s="2"/>
      <c r="FV465" s="2"/>
      <c r="FW465" s="2"/>
      <c r="FX465" s="2">
        <v>85</v>
      </c>
      <c r="FY465" s="2">
        <v>70</v>
      </c>
      <c r="FZ465" s="2"/>
      <c r="GA465" s="2" t="s">
        <v>3</v>
      </c>
      <c r="GB465" s="2"/>
      <c r="GC465" s="2"/>
      <c r="GD465" s="2">
        <v>0</v>
      </c>
      <c r="GE465" s="2"/>
      <c r="GF465" s="2">
        <v>1489638031</v>
      </c>
      <c r="GG465" s="2">
        <v>2</v>
      </c>
      <c r="GH465" s="2">
        <v>0</v>
      </c>
      <c r="GI465" s="2">
        <v>-2</v>
      </c>
      <c r="GJ465" s="2">
        <v>0</v>
      </c>
      <c r="GK465" s="2">
        <f>ROUND(R465*(R12)/100,2)</f>
        <v>0</v>
      </c>
      <c r="GL465" s="2">
        <f t="shared" si="401"/>
        <v>0</v>
      </c>
      <c r="GM465" s="2">
        <f t="shared" si="402"/>
        <v>0</v>
      </c>
      <c r="GN465" s="2">
        <f t="shared" si="403"/>
        <v>0</v>
      </c>
      <c r="GO465" s="2">
        <f t="shared" si="404"/>
        <v>0</v>
      </c>
      <c r="GP465" s="2">
        <f t="shared" si="405"/>
        <v>0</v>
      </c>
      <c r="GQ465" s="2"/>
      <c r="GR465" s="2">
        <v>0</v>
      </c>
      <c r="GS465" s="2">
        <v>0</v>
      </c>
      <c r="GT465" s="2">
        <v>0</v>
      </c>
      <c r="GU465" s="2" t="s">
        <v>3</v>
      </c>
      <c r="GV465" s="2">
        <f t="shared" si="406"/>
        <v>0</v>
      </c>
      <c r="GW465" s="2">
        <v>1</v>
      </c>
      <c r="GX465" s="2">
        <f t="shared" si="407"/>
        <v>0</v>
      </c>
      <c r="GY465" s="2"/>
      <c r="GZ465" s="2"/>
      <c r="HA465" s="2">
        <v>0</v>
      </c>
      <c r="HB465" s="2">
        <v>0</v>
      </c>
      <c r="HC465" s="2">
        <f t="shared" si="408"/>
        <v>0</v>
      </c>
      <c r="HD465" s="2"/>
      <c r="HE465" s="2" t="s">
        <v>3</v>
      </c>
      <c r="HF465" s="2" t="s">
        <v>3</v>
      </c>
      <c r="HG465" s="2"/>
      <c r="HH465" s="2"/>
      <c r="HI465" s="2"/>
      <c r="HJ465" s="2"/>
      <c r="HK465" s="2"/>
      <c r="HL465" s="2"/>
      <c r="HM465" s="2" t="s">
        <v>3</v>
      </c>
      <c r="HN465" s="2" t="s">
        <v>3</v>
      </c>
      <c r="HO465" s="2" t="s">
        <v>3</v>
      </c>
      <c r="HP465" s="2" t="s">
        <v>3</v>
      </c>
      <c r="HQ465" s="2" t="s">
        <v>3</v>
      </c>
      <c r="HR465" s="2"/>
      <c r="HS465" s="2"/>
      <c r="HT465" s="2"/>
      <c r="HU465" s="2"/>
      <c r="HV465" s="2"/>
      <c r="HW465" s="2"/>
      <c r="HX465" s="2"/>
      <c r="HY465" s="2"/>
      <c r="HZ465" s="2"/>
      <c r="IA465" s="2"/>
      <c r="IB465" s="2"/>
      <c r="IC465" s="2"/>
      <c r="ID465" s="2"/>
      <c r="IE465" s="2"/>
      <c r="IF465" s="2"/>
      <c r="IG465" s="2"/>
      <c r="IH465" s="2"/>
      <c r="II465" s="2"/>
      <c r="IJ465" s="2"/>
      <c r="IK465" s="2">
        <v>0</v>
      </c>
      <c r="IL465" s="2"/>
      <c r="IM465" s="2"/>
      <c r="IN465" s="2"/>
      <c r="IO465" s="2"/>
      <c r="IP465" s="2"/>
      <c r="IQ465" s="2"/>
      <c r="IR465" s="2"/>
      <c r="IS465" s="2"/>
      <c r="IT465" s="2"/>
      <c r="IU465" s="2"/>
    </row>
    <row r="466" spans="1:255" x14ac:dyDescent="0.2">
      <c r="A466">
        <v>18</v>
      </c>
      <c r="B466">
        <v>1</v>
      </c>
      <c r="C466">
        <v>446</v>
      </c>
      <c r="E466" t="s">
        <v>91</v>
      </c>
      <c r="F466" t="s">
        <v>162</v>
      </c>
      <c r="G466" t="s">
        <v>163</v>
      </c>
      <c r="H466" t="s">
        <v>114</v>
      </c>
      <c r="I466">
        <f>I464*J466</f>
        <v>-0.48</v>
      </c>
      <c r="J466">
        <v>-0.6</v>
      </c>
      <c r="K466">
        <v>-0.6</v>
      </c>
      <c r="O466">
        <f t="shared" si="381"/>
        <v>0</v>
      </c>
      <c r="P466">
        <f t="shared" si="382"/>
        <v>0</v>
      </c>
      <c r="Q466">
        <f>(ROUND((ROUND(((ET466)*AV466*I466),2)*BB466),2)+ROUND((ROUND(((AE466-(EU466))*AV466*I466),2)*BS466),2))</f>
        <v>0</v>
      </c>
      <c r="R466">
        <f t="shared" si="383"/>
        <v>0</v>
      </c>
      <c r="S466">
        <f t="shared" si="384"/>
        <v>0</v>
      </c>
      <c r="T466">
        <f t="shared" si="385"/>
        <v>0</v>
      </c>
      <c r="U466">
        <f t="shared" si="386"/>
        <v>0</v>
      </c>
      <c r="V466">
        <f t="shared" si="387"/>
        <v>0</v>
      </c>
      <c r="W466">
        <f t="shared" si="388"/>
        <v>0</v>
      </c>
      <c r="X466">
        <f t="shared" si="389"/>
        <v>0</v>
      </c>
      <c r="Y466">
        <f t="shared" si="389"/>
        <v>0</v>
      </c>
      <c r="AA466">
        <v>129761633</v>
      </c>
      <c r="AB466">
        <f t="shared" si="390"/>
        <v>0</v>
      </c>
      <c r="AC466">
        <f>ROUND((ES466),6)</f>
        <v>0</v>
      </c>
      <c r="AD466">
        <f>ROUND((((ET466)-(EU466))+AE466),6)</f>
        <v>0</v>
      </c>
      <c r="AE466">
        <f>ROUND((EU466),6)</f>
        <v>0</v>
      </c>
      <c r="AF466">
        <f>ROUND((EV466),6)</f>
        <v>0</v>
      </c>
      <c r="AG466">
        <f t="shared" si="391"/>
        <v>0</v>
      </c>
      <c r="AH466">
        <f>(EW466)</f>
        <v>0</v>
      </c>
      <c r="AI466">
        <f>(EX466)</f>
        <v>0</v>
      </c>
      <c r="AJ466">
        <f t="shared" si="392"/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1</v>
      </c>
      <c r="AW466">
        <v>1</v>
      </c>
      <c r="AZ466">
        <v>1</v>
      </c>
      <c r="BA466">
        <v>1</v>
      </c>
      <c r="BB466">
        <v>1</v>
      </c>
      <c r="BC466">
        <v>8.65</v>
      </c>
      <c r="BD466" t="s">
        <v>3</v>
      </c>
      <c r="BE466" t="s">
        <v>3</v>
      </c>
      <c r="BF466" t="s">
        <v>3</v>
      </c>
      <c r="BG466" t="s">
        <v>3</v>
      </c>
      <c r="BH466">
        <v>3</v>
      </c>
      <c r="BI466">
        <v>1</v>
      </c>
      <c r="BJ466" t="s">
        <v>3</v>
      </c>
      <c r="BM466">
        <v>80</v>
      </c>
      <c r="BN466">
        <v>0</v>
      </c>
      <c r="BO466" t="s">
        <v>3</v>
      </c>
      <c r="BP466">
        <v>0</v>
      </c>
      <c r="BQ466">
        <v>30</v>
      </c>
      <c r="BR466">
        <v>0</v>
      </c>
      <c r="BS466">
        <v>1</v>
      </c>
      <c r="BT466">
        <v>1</v>
      </c>
      <c r="BU466">
        <v>1</v>
      </c>
      <c r="BV466">
        <v>1</v>
      </c>
      <c r="BW466">
        <v>1</v>
      </c>
      <c r="BX466">
        <v>1</v>
      </c>
      <c r="BY466" t="s">
        <v>3</v>
      </c>
      <c r="BZ466">
        <v>0</v>
      </c>
      <c r="CA466">
        <v>0</v>
      </c>
      <c r="CB466" t="s">
        <v>3</v>
      </c>
      <c r="CE466">
        <v>30</v>
      </c>
      <c r="CF466">
        <v>0</v>
      </c>
      <c r="CG466">
        <v>0</v>
      </c>
      <c r="CM466">
        <v>0</v>
      </c>
      <c r="CN466" t="s">
        <v>3</v>
      </c>
      <c r="CO466">
        <v>0</v>
      </c>
      <c r="CP466">
        <f t="shared" si="393"/>
        <v>0</v>
      </c>
      <c r="CQ466">
        <f t="shared" si="394"/>
        <v>0</v>
      </c>
      <c r="CR466">
        <f>(ROUND((ROUND(((ET466)*AV466*1),2)*BB466),2)+ROUND((ROUND(((AE466-(EU466))*AV466*1),2)*BS466),2))</f>
        <v>0</v>
      </c>
      <c r="CS466">
        <f t="shared" si="395"/>
        <v>0</v>
      </c>
      <c r="CT466">
        <f t="shared" si="396"/>
        <v>0</v>
      </c>
      <c r="CU466">
        <f t="shared" si="397"/>
        <v>0</v>
      </c>
      <c r="CV466">
        <f t="shared" si="398"/>
        <v>0</v>
      </c>
      <c r="CW466">
        <f t="shared" si="399"/>
        <v>0</v>
      </c>
      <c r="CX466">
        <f t="shared" si="399"/>
        <v>0</v>
      </c>
      <c r="CY466">
        <f>S466*(BZ466/100)</f>
        <v>0</v>
      </c>
      <c r="CZ466">
        <f>S466*(CA466/100)</f>
        <v>0</v>
      </c>
      <c r="DC466" t="s">
        <v>3</v>
      </c>
      <c r="DD466" t="s">
        <v>3</v>
      </c>
      <c r="DE466" t="s">
        <v>3</v>
      </c>
      <c r="DF466" t="s">
        <v>3</v>
      </c>
      <c r="DG466" t="s">
        <v>3</v>
      </c>
      <c r="DH466" t="s">
        <v>3</v>
      </c>
      <c r="DI466" t="s">
        <v>3</v>
      </c>
      <c r="DJ466" t="s">
        <v>3</v>
      </c>
      <c r="DK466" t="s">
        <v>3</v>
      </c>
      <c r="DL466" t="s">
        <v>3</v>
      </c>
      <c r="DM466" t="s">
        <v>3</v>
      </c>
      <c r="DN466">
        <v>85</v>
      </c>
      <c r="DO466">
        <v>70</v>
      </c>
      <c r="DP466">
        <v>1</v>
      </c>
      <c r="DQ466">
        <v>1</v>
      </c>
      <c r="DU466">
        <v>1009</v>
      </c>
      <c r="DV466" t="s">
        <v>114</v>
      </c>
      <c r="DW466" t="s">
        <v>114</v>
      </c>
      <c r="DX466">
        <v>1000</v>
      </c>
      <c r="DZ466" t="s">
        <v>3</v>
      </c>
      <c r="EA466" t="s">
        <v>3</v>
      </c>
      <c r="EB466" t="s">
        <v>3</v>
      </c>
      <c r="EC466" t="s">
        <v>3</v>
      </c>
      <c r="EE466">
        <v>126051541</v>
      </c>
      <c r="EF466">
        <v>30</v>
      </c>
      <c r="EG466" t="s">
        <v>23</v>
      </c>
      <c r="EH466">
        <v>0</v>
      </c>
      <c r="EI466" t="s">
        <v>3</v>
      </c>
      <c r="EJ466">
        <v>1</v>
      </c>
      <c r="EK466">
        <v>80</v>
      </c>
      <c r="EL466" t="s">
        <v>143</v>
      </c>
      <c r="EM466" t="s">
        <v>144</v>
      </c>
      <c r="EO466" t="s">
        <v>3</v>
      </c>
      <c r="EQ466">
        <v>0</v>
      </c>
      <c r="ER466">
        <v>0</v>
      </c>
      <c r="ES466">
        <v>0</v>
      </c>
      <c r="ET466">
        <v>0</v>
      </c>
      <c r="EU466">
        <v>0</v>
      </c>
      <c r="EV466">
        <v>0</v>
      </c>
      <c r="EW466">
        <v>0</v>
      </c>
      <c r="EX466">
        <v>0</v>
      </c>
      <c r="FQ466">
        <v>0</v>
      </c>
      <c r="FR466">
        <f t="shared" si="400"/>
        <v>0</v>
      </c>
      <c r="FS466">
        <v>0</v>
      </c>
      <c r="FX466">
        <v>85</v>
      </c>
      <c r="FY466">
        <v>70</v>
      </c>
      <c r="GA466" t="s">
        <v>259</v>
      </c>
      <c r="GD466">
        <v>0</v>
      </c>
      <c r="GF466">
        <v>1489638031</v>
      </c>
      <c r="GG466">
        <v>2</v>
      </c>
      <c r="GH466">
        <v>2</v>
      </c>
      <c r="GI466">
        <v>5</v>
      </c>
      <c r="GJ466">
        <v>0</v>
      </c>
      <c r="GK466">
        <f>ROUND(R466*(S12)/100,2)</f>
        <v>0</v>
      </c>
      <c r="GL466">
        <f t="shared" si="401"/>
        <v>0</v>
      </c>
      <c r="GM466">
        <f t="shared" si="402"/>
        <v>0</v>
      </c>
      <c r="GN466">
        <f t="shared" si="403"/>
        <v>0</v>
      </c>
      <c r="GO466">
        <f t="shared" si="404"/>
        <v>0</v>
      </c>
      <c r="GP466">
        <f t="shared" si="405"/>
        <v>0</v>
      </c>
      <c r="GR466">
        <v>0</v>
      </c>
      <c r="GS466">
        <v>4</v>
      </c>
      <c r="GT466">
        <v>0</v>
      </c>
      <c r="GU466" t="s">
        <v>3</v>
      </c>
      <c r="GV466">
        <f t="shared" si="406"/>
        <v>0</v>
      </c>
      <c r="GW466">
        <v>1</v>
      </c>
      <c r="GX466">
        <f t="shared" si="407"/>
        <v>0</v>
      </c>
      <c r="HA466">
        <v>0</v>
      </c>
      <c r="HB466">
        <v>0</v>
      </c>
      <c r="HC466">
        <f t="shared" si="408"/>
        <v>0</v>
      </c>
      <c r="HE466" t="s">
        <v>3</v>
      </c>
      <c r="HF466" t="s">
        <v>3</v>
      </c>
      <c r="HM466" t="s">
        <v>3</v>
      </c>
      <c r="HN466" t="s">
        <v>3</v>
      </c>
      <c r="HO466" t="s">
        <v>3</v>
      </c>
      <c r="HP466" t="s">
        <v>3</v>
      </c>
      <c r="HQ466" t="s">
        <v>3</v>
      </c>
      <c r="IK466">
        <v>0</v>
      </c>
    </row>
    <row r="468" spans="1:255" x14ac:dyDescent="0.2">
      <c r="A468" s="3">
        <v>51</v>
      </c>
      <c r="B468" s="3">
        <f>B455</f>
        <v>1</v>
      </c>
      <c r="C468" s="3">
        <f>A455</f>
        <v>4</v>
      </c>
      <c r="D468" s="3">
        <f>ROW(A455)</f>
        <v>455</v>
      </c>
      <c r="E468" s="3"/>
      <c r="F468" s="3" t="str">
        <f>IF(F455&lt;&gt;"",F455,"")</f>
        <v>Новый раздел</v>
      </c>
      <c r="G468" s="3" t="str">
        <f>IF(G455&lt;&gt;"",G455,"")</f>
        <v>Демонтажные работы</v>
      </c>
      <c r="H468" s="3">
        <v>0</v>
      </c>
      <c r="I468" s="3"/>
      <c r="J468" s="3"/>
      <c r="K468" s="3"/>
      <c r="L468" s="3"/>
      <c r="M468" s="3"/>
      <c r="N468" s="3"/>
      <c r="O468" s="3">
        <f t="shared" ref="O468:T468" si="409">ROUND(AB468,2)</f>
        <v>1494.38</v>
      </c>
      <c r="P468" s="3">
        <f t="shared" si="409"/>
        <v>74.22</v>
      </c>
      <c r="Q468" s="3">
        <f t="shared" si="409"/>
        <v>596.32000000000005</v>
      </c>
      <c r="R468" s="3">
        <f t="shared" si="409"/>
        <v>153.5</v>
      </c>
      <c r="S468" s="3">
        <f t="shared" si="409"/>
        <v>823.84</v>
      </c>
      <c r="T468" s="3">
        <f t="shared" si="409"/>
        <v>0</v>
      </c>
      <c r="U468" s="3">
        <f>AH468</f>
        <v>68.283450300000013</v>
      </c>
      <c r="V468" s="3">
        <f>AI468</f>
        <v>0</v>
      </c>
      <c r="W468" s="3">
        <f>ROUND(AJ468,2)</f>
        <v>0</v>
      </c>
      <c r="X468" s="3">
        <f>ROUND(AK468,2)</f>
        <v>687.9</v>
      </c>
      <c r="Y468" s="3">
        <f>ROUND(AL468,2)</f>
        <v>539.6</v>
      </c>
      <c r="Z468" s="3"/>
      <c r="AA468" s="3"/>
      <c r="AB468" s="3">
        <f>ROUND(SUMIF(AA459:AA466,"=129761636",O459:O466),2)</f>
        <v>1494.38</v>
      </c>
      <c r="AC468" s="3">
        <f>ROUND(SUMIF(AA459:AA466,"=129761636",P459:P466),2)</f>
        <v>74.22</v>
      </c>
      <c r="AD468" s="3">
        <f>ROUND(SUMIF(AA459:AA466,"=129761636",Q459:Q466),2)</f>
        <v>596.32000000000005</v>
      </c>
      <c r="AE468" s="3">
        <f>ROUND(SUMIF(AA459:AA466,"=129761636",R459:R466),2)</f>
        <v>153.5</v>
      </c>
      <c r="AF468" s="3">
        <f>ROUND(SUMIF(AA459:AA466,"=129761636",S459:S466),2)</f>
        <v>823.84</v>
      </c>
      <c r="AG468" s="3">
        <f>ROUND(SUMIF(AA459:AA466,"=129761636",T459:T466),2)</f>
        <v>0</v>
      </c>
      <c r="AH468" s="3">
        <f>SUMIF(AA459:AA466,"=129761636",U459:U466)</f>
        <v>68.283450300000013</v>
      </c>
      <c r="AI468" s="3">
        <f>SUMIF(AA459:AA466,"=129761636",V459:V466)</f>
        <v>0</v>
      </c>
      <c r="AJ468" s="3">
        <f>ROUND(SUMIF(AA459:AA466,"=129761636",W459:W466),2)</f>
        <v>0</v>
      </c>
      <c r="AK468" s="3">
        <f>ROUND(SUMIF(AA459:AA466,"=129761636",X459:X466),2)</f>
        <v>687.9</v>
      </c>
      <c r="AL468" s="3">
        <f>ROUND(SUMIF(AA459:AA466,"=129761636",Y459:Y466),2)</f>
        <v>539.6</v>
      </c>
      <c r="AM468" s="3"/>
      <c r="AN468" s="3"/>
      <c r="AO468" s="3">
        <f t="shared" ref="AO468:BD468" si="410">ROUND(BX468,2)</f>
        <v>0</v>
      </c>
      <c r="AP468" s="3">
        <f t="shared" si="410"/>
        <v>0</v>
      </c>
      <c r="AQ468" s="3">
        <f t="shared" si="410"/>
        <v>0</v>
      </c>
      <c r="AR468" s="3">
        <f t="shared" si="410"/>
        <v>2990.51</v>
      </c>
      <c r="AS468" s="3">
        <f t="shared" si="410"/>
        <v>2990.51</v>
      </c>
      <c r="AT468" s="3">
        <f t="shared" si="410"/>
        <v>0</v>
      </c>
      <c r="AU468" s="3">
        <f t="shared" si="410"/>
        <v>0</v>
      </c>
      <c r="AV468" s="3">
        <f t="shared" si="410"/>
        <v>74.22</v>
      </c>
      <c r="AW468" s="3">
        <f t="shared" si="410"/>
        <v>74.22</v>
      </c>
      <c r="AX468" s="3">
        <f t="shared" si="410"/>
        <v>0</v>
      </c>
      <c r="AY468" s="3">
        <f t="shared" si="410"/>
        <v>74.22</v>
      </c>
      <c r="AZ468" s="3">
        <f t="shared" si="410"/>
        <v>0</v>
      </c>
      <c r="BA468" s="3">
        <f t="shared" si="410"/>
        <v>0</v>
      </c>
      <c r="BB468" s="3">
        <f t="shared" si="410"/>
        <v>0</v>
      </c>
      <c r="BC468" s="3">
        <f t="shared" si="410"/>
        <v>0</v>
      </c>
      <c r="BD468" s="3">
        <f t="shared" si="410"/>
        <v>0</v>
      </c>
      <c r="BE468" s="3"/>
      <c r="BF468" s="3"/>
      <c r="BG468" s="3"/>
      <c r="BH468" s="3"/>
      <c r="BI468" s="3"/>
      <c r="BJ468" s="3"/>
      <c r="BK468" s="3"/>
      <c r="BL468" s="3"/>
      <c r="BM468" s="3"/>
      <c r="BN468" s="3"/>
      <c r="BO468" s="3"/>
      <c r="BP468" s="3"/>
      <c r="BQ468" s="3"/>
      <c r="BR468" s="3"/>
      <c r="BS468" s="3"/>
      <c r="BT468" s="3"/>
      <c r="BU468" s="3"/>
      <c r="BV468" s="3"/>
      <c r="BW468" s="3"/>
      <c r="BX468" s="3">
        <f>ROUND(SUMIF(AA459:AA466,"=129761636",FQ459:FQ466),2)</f>
        <v>0</v>
      </c>
      <c r="BY468" s="3">
        <f>ROUND(SUMIF(AA459:AA466,"=129761636",FR459:FR466),2)</f>
        <v>0</v>
      </c>
      <c r="BZ468" s="3">
        <f>ROUND(SUMIF(AA459:AA466,"=129761636",GL459:GL466),2)</f>
        <v>0</v>
      </c>
      <c r="CA468" s="3">
        <f>ROUND(SUMIF(AA459:AA466,"=129761636",GM459:GM466),2)</f>
        <v>2990.51</v>
      </c>
      <c r="CB468" s="3">
        <f>ROUND(SUMIF(AA459:AA466,"=129761636",GN459:GN466),2)</f>
        <v>2990.51</v>
      </c>
      <c r="CC468" s="3">
        <f>ROUND(SUMIF(AA459:AA466,"=129761636",GO459:GO466),2)</f>
        <v>0</v>
      </c>
      <c r="CD468" s="3">
        <f>ROUND(SUMIF(AA459:AA466,"=129761636",GP459:GP466),2)</f>
        <v>0</v>
      </c>
      <c r="CE468" s="3">
        <f>AC468-BX468</f>
        <v>74.22</v>
      </c>
      <c r="CF468" s="3">
        <f>AC468-BY468</f>
        <v>74.22</v>
      </c>
      <c r="CG468" s="3">
        <f>BX468-BZ468</f>
        <v>0</v>
      </c>
      <c r="CH468" s="3">
        <f>AC468-BX468-BY468+BZ468</f>
        <v>74.22</v>
      </c>
      <c r="CI468" s="3">
        <f>BY468-BZ468</f>
        <v>0</v>
      </c>
      <c r="CJ468" s="3">
        <f>ROUND(SUMIF(AA459:AA466,"=129761636",GX459:GX466),2)</f>
        <v>0</v>
      </c>
      <c r="CK468" s="3">
        <f>ROUND(SUMIF(AA459:AA466,"=129761636",GY459:GY466),2)</f>
        <v>0</v>
      </c>
      <c r="CL468" s="3">
        <f>ROUND(SUMIF(AA459:AA466,"=129761636",GZ459:GZ466),2)</f>
        <v>0</v>
      </c>
      <c r="CM468" s="3">
        <f>ROUND(SUMIF(AA459:AA466,"=129761636",HD459:HD466),2)</f>
        <v>0</v>
      </c>
      <c r="CN468" s="3"/>
      <c r="CO468" s="3"/>
      <c r="CP468" s="3"/>
      <c r="CQ468" s="3"/>
      <c r="CR468" s="3"/>
      <c r="CS468" s="3"/>
      <c r="CT468" s="3"/>
      <c r="CU468" s="3"/>
      <c r="CV468" s="3"/>
      <c r="CW468" s="3"/>
      <c r="CX468" s="3"/>
      <c r="CY468" s="3"/>
      <c r="CZ468" s="3"/>
      <c r="DA468" s="3"/>
      <c r="DB468" s="3"/>
      <c r="DC468" s="3"/>
      <c r="DD468" s="3"/>
      <c r="DE468" s="3"/>
      <c r="DF468" s="3"/>
      <c r="DG468" s="4">
        <f t="shared" ref="DG468:DL468" si="411">ROUND(DT468,2)</f>
        <v>34484.559999999998</v>
      </c>
      <c r="DH468" s="4">
        <f t="shared" si="411"/>
        <v>1504.44</v>
      </c>
      <c r="DI468" s="4">
        <f t="shared" si="411"/>
        <v>9064.0400000000009</v>
      </c>
      <c r="DJ468" s="4">
        <f t="shared" si="411"/>
        <v>4456.1099999999997</v>
      </c>
      <c r="DK468" s="4">
        <f t="shared" si="411"/>
        <v>23916.080000000002</v>
      </c>
      <c r="DL468" s="4">
        <f t="shared" si="411"/>
        <v>0</v>
      </c>
      <c r="DM468" s="4">
        <f>DZ468</f>
        <v>68.283450300000013</v>
      </c>
      <c r="DN468" s="4">
        <f>EA468</f>
        <v>0</v>
      </c>
      <c r="DO468" s="4">
        <f>ROUND(EB468,2)</f>
        <v>0</v>
      </c>
      <c r="DP468" s="4">
        <f>ROUND(EC468,2)</f>
        <v>16741.25</v>
      </c>
      <c r="DQ468" s="4">
        <f>ROUND(ED468,2)</f>
        <v>9805.59</v>
      </c>
      <c r="DR468" s="4"/>
      <c r="DS468" s="4"/>
      <c r="DT468" s="4">
        <f>ROUND(SUMIF(AA459:AA466,"=129761633",O459:O466),2)</f>
        <v>34484.559999999998</v>
      </c>
      <c r="DU468" s="4">
        <f>ROUND(SUMIF(AA459:AA466,"=129761633",P459:P466),2)</f>
        <v>1504.44</v>
      </c>
      <c r="DV468" s="4">
        <f>ROUND(SUMIF(AA459:AA466,"=129761633",Q459:Q466),2)</f>
        <v>9064.0400000000009</v>
      </c>
      <c r="DW468" s="4">
        <f>ROUND(SUMIF(AA459:AA466,"=129761633",R459:R466),2)</f>
        <v>4456.1099999999997</v>
      </c>
      <c r="DX468" s="4">
        <f>ROUND(SUMIF(AA459:AA466,"=129761633",S459:S466),2)</f>
        <v>23916.080000000002</v>
      </c>
      <c r="DY468" s="4">
        <f>ROUND(SUMIF(AA459:AA466,"=129761633",T459:T466),2)</f>
        <v>0</v>
      </c>
      <c r="DZ468" s="4">
        <f>SUMIF(AA459:AA466,"=129761633",U459:U466)</f>
        <v>68.283450300000013</v>
      </c>
      <c r="EA468" s="4">
        <f>SUMIF(AA459:AA466,"=129761633",V459:V466)</f>
        <v>0</v>
      </c>
      <c r="EB468" s="4">
        <f>ROUND(SUMIF(AA459:AA466,"=129761633",W459:W466),2)</f>
        <v>0</v>
      </c>
      <c r="EC468" s="4">
        <f>ROUND(SUMIF(AA459:AA466,"=129761633",X459:X466),2)</f>
        <v>16741.25</v>
      </c>
      <c r="ED468" s="4">
        <f>ROUND(SUMIF(AA459:AA466,"=129761633",Y459:Y466),2)</f>
        <v>9805.59</v>
      </c>
      <c r="EE468" s="4"/>
      <c r="EF468" s="4"/>
      <c r="EG468" s="4">
        <f t="shared" ref="EG468:EV468" si="412">ROUND(FP468,2)</f>
        <v>0</v>
      </c>
      <c r="EH468" s="4">
        <f t="shared" si="412"/>
        <v>0</v>
      </c>
      <c r="EI468" s="4">
        <f t="shared" si="412"/>
        <v>0</v>
      </c>
      <c r="EJ468" s="4">
        <f t="shared" si="412"/>
        <v>68161.179999999993</v>
      </c>
      <c r="EK468" s="4">
        <f t="shared" si="412"/>
        <v>68161.179999999993</v>
      </c>
      <c r="EL468" s="4">
        <f t="shared" si="412"/>
        <v>0</v>
      </c>
      <c r="EM468" s="4">
        <f t="shared" si="412"/>
        <v>0</v>
      </c>
      <c r="EN468" s="4">
        <f t="shared" si="412"/>
        <v>1504.44</v>
      </c>
      <c r="EO468" s="4">
        <f t="shared" si="412"/>
        <v>1504.44</v>
      </c>
      <c r="EP468" s="4">
        <f t="shared" si="412"/>
        <v>0</v>
      </c>
      <c r="EQ468" s="4">
        <f t="shared" si="412"/>
        <v>1504.44</v>
      </c>
      <c r="ER468" s="4">
        <f t="shared" si="412"/>
        <v>0</v>
      </c>
      <c r="ES468" s="4">
        <f t="shared" si="412"/>
        <v>0</v>
      </c>
      <c r="ET468" s="4">
        <f t="shared" si="412"/>
        <v>0</v>
      </c>
      <c r="EU468" s="4">
        <f t="shared" si="412"/>
        <v>0</v>
      </c>
      <c r="EV468" s="4">
        <f t="shared" si="412"/>
        <v>0</v>
      </c>
      <c r="EW468" s="4"/>
      <c r="EX468" s="4"/>
      <c r="EY468" s="4"/>
      <c r="EZ468" s="4"/>
      <c r="FA468" s="4"/>
      <c r="FB468" s="4"/>
      <c r="FC468" s="4"/>
      <c r="FD468" s="4"/>
      <c r="FE468" s="4"/>
      <c r="FF468" s="4"/>
      <c r="FG468" s="4"/>
      <c r="FH468" s="4"/>
      <c r="FI468" s="4"/>
      <c r="FJ468" s="4"/>
      <c r="FK468" s="4"/>
      <c r="FL468" s="4"/>
      <c r="FM468" s="4"/>
      <c r="FN468" s="4"/>
      <c r="FO468" s="4"/>
      <c r="FP468" s="4">
        <f>ROUND(SUMIF(AA459:AA466,"=129761633",FQ459:FQ466),2)</f>
        <v>0</v>
      </c>
      <c r="FQ468" s="4">
        <f>ROUND(SUMIF(AA459:AA466,"=129761633",FR459:FR466),2)</f>
        <v>0</v>
      </c>
      <c r="FR468" s="4">
        <f>ROUND(SUMIF(AA459:AA466,"=129761633",GL459:GL466),2)</f>
        <v>0</v>
      </c>
      <c r="FS468" s="4">
        <f>ROUND(SUMIF(AA459:AA466,"=129761633",GM459:GM466),2)</f>
        <v>68161.179999999993</v>
      </c>
      <c r="FT468" s="4">
        <f>ROUND(SUMIF(AA459:AA466,"=129761633",GN459:GN466),2)</f>
        <v>68161.179999999993</v>
      </c>
      <c r="FU468" s="4">
        <f>ROUND(SUMIF(AA459:AA466,"=129761633",GO459:GO466),2)</f>
        <v>0</v>
      </c>
      <c r="FV468" s="4">
        <f>ROUND(SUMIF(AA459:AA466,"=129761633",GP459:GP466),2)</f>
        <v>0</v>
      </c>
      <c r="FW468" s="4">
        <f>DU468-FP468</f>
        <v>1504.44</v>
      </c>
      <c r="FX468" s="4">
        <f>DU468-FQ468</f>
        <v>1504.44</v>
      </c>
      <c r="FY468" s="4">
        <f>FP468-FR468</f>
        <v>0</v>
      </c>
      <c r="FZ468" s="4">
        <f>DU468-FP468-FQ468+FR468</f>
        <v>1504.44</v>
      </c>
      <c r="GA468" s="4">
        <f>FQ468-FR468</f>
        <v>0</v>
      </c>
      <c r="GB468" s="4">
        <f>ROUND(SUMIF(AA459:AA466,"=129761633",GX459:GX466),2)</f>
        <v>0</v>
      </c>
      <c r="GC468" s="4">
        <f>ROUND(SUMIF(AA459:AA466,"=129761633",GY459:GY466),2)</f>
        <v>0</v>
      </c>
      <c r="GD468" s="4">
        <f>ROUND(SUMIF(AA459:AA466,"=129761633",GZ459:GZ466),2)</f>
        <v>0</v>
      </c>
      <c r="GE468" s="4">
        <f>ROUND(SUMIF(AA459:AA466,"=129761633",HD459:HD466),2)</f>
        <v>0</v>
      </c>
      <c r="GF468" s="4"/>
      <c r="GG468" s="4"/>
      <c r="GH468" s="4"/>
      <c r="GI468" s="4"/>
      <c r="GJ468" s="4"/>
      <c r="GK468" s="4"/>
      <c r="GL468" s="4"/>
      <c r="GM468" s="4"/>
      <c r="GN468" s="4"/>
      <c r="GO468" s="4"/>
      <c r="GP468" s="4"/>
      <c r="GQ468" s="4"/>
      <c r="GR468" s="4"/>
      <c r="GS468" s="4"/>
      <c r="GT468" s="4"/>
      <c r="GU468" s="4"/>
      <c r="GV468" s="4"/>
      <c r="GW468" s="4"/>
      <c r="GX468" s="4">
        <v>0</v>
      </c>
    </row>
    <row r="470" spans="1:255" x14ac:dyDescent="0.2">
      <c r="A470" s="5">
        <v>50</v>
      </c>
      <c r="B470" s="5">
        <v>0</v>
      </c>
      <c r="C470" s="5">
        <v>0</v>
      </c>
      <c r="D470" s="5">
        <v>1</v>
      </c>
      <c r="E470" s="5">
        <v>201</v>
      </c>
      <c r="F470" s="5">
        <f>ROUND(Source!O468,O470)</f>
        <v>1494.38</v>
      </c>
      <c r="G470" s="5" t="s">
        <v>26</v>
      </c>
      <c r="H470" s="5" t="s">
        <v>27</v>
      </c>
      <c r="I470" s="5"/>
      <c r="J470" s="5"/>
      <c r="K470" s="5">
        <v>201</v>
      </c>
      <c r="L470" s="5">
        <v>1</v>
      </c>
      <c r="M470" s="5">
        <v>3</v>
      </c>
      <c r="N470" s="5" t="s">
        <v>3</v>
      </c>
      <c r="O470" s="5">
        <v>2</v>
      </c>
      <c r="P470" s="5">
        <f>ROUND(Source!DG468,O470)</f>
        <v>34484.559999999998</v>
      </c>
      <c r="Q470" s="5"/>
      <c r="R470" s="5"/>
      <c r="S470" s="5"/>
      <c r="T470" s="5"/>
      <c r="U470" s="5"/>
      <c r="V470" s="5"/>
      <c r="W470" s="5">
        <v>1494.38</v>
      </c>
      <c r="X470" s="5">
        <v>1</v>
      </c>
      <c r="Y470" s="5">
        <v>1494.38</v>
      </c>
      <c r="Z470" s="5">
        <v>34484.559999999998</v>
      </c>
      <c r="AA470" s="5">
        <v>1</v>
      </c>
      <c r="AB470" s="5">
        <v>34484.559999999998</v>
      </c>
    </row>
    <row r="471" spans="1:255" x14ac:dyDescent="0.2">
      <c r="A471" s="5">
        <v>50</v>
      </c>
      <c r="B471" s="5">
        <v>0</v>
      </c>
      <c r="C471" s="5">
        <v>0</v>
      </c>
      <c r="D471" s="5">
        <v>1</v>
      </c>
      <c r="E471" s="5">
        <v>202</v>
      </c>
      <c r="F471" s="5">
        <f>ROUND(Source!P468,O471)</f>
        <v>74.22</v>
      </c>
      <c r="G471" s="5" t="s">
        <v>28</v>
      </c>
      <c r="H471" s="5" t="s">
        <v>29</v>
      </c>
      <c r="I471" s="5"/>
      <c r="J471" s="5"/>
      <c r="K471" s="5">
        <v>202</v>
      </c>
      <c r="L471" s="5">
        <v>2</v>
      </c>
      <c r="M471" s="5">
        <v>3</v>
      </c>
      <c r="N471" s="5" t="s">
        <v>3</v>
      </c>
      <c r="O471" s="5">
        <v>2</v>
      </c>
      <c r="P471" s="5">
        <f>ROUND(Source!DH468,O471)</f>
        <v>1504.44</v>
      </c>
      <c r="Q471" s="5"/>
      <c r="R471" s="5"/>
      <c r="S471" s="5"/>
      <c r="T471" s="5"/>
      <c r="U471" s="5"/>
      <c r="V471" s="5"/>
      <c r="W471" s="5">
        <v>74.22</v>
      </c>
      <c r="X471" s="5">
        <v>1</v>
      </c>
      <c r="Y471" s="5">
        <v>74.22</v>
      </c>
      <c r="Z471" s="5">
        <v>1504.44</v>
      </c>
      <c r="AA471" s="5">
        <v>1</v>
      </c>
      <c r="AB471" s="5">
        <v>1504.44</v>
      </c>
    </row>
    <row r="472" spans="1:255" x14ac:dyDescent="0.2">
      <c r="A472" s="5">
        <v>50</v>
      </c>
      <c r="B472" s="5">
        <v>0</v>
      </c>
      <c r="C472" s="5">
        <v>0</v>
      </c>
      <c r="D472" s="5">
        <v>1</v>
      </c>
      <c r="E472" s="5">
        <v>222</v>
      </c>
      <c r="F472" s="5">
        <f>ROUND(Source!AO468,O472)</f>
        <v>0</v>
      </c>
      <c r="G472" s="5" t="s">
        <v>30</v>
      </c>
      <c r="H472" s="5" t="s">
        <v>31</v>
      </c>
      <c r="I472" s="5"/>
      <c r="J472" s="5"/>
      <c r="K472" s="5">
        <v>222</v>
      </c>
      <c r="L472" s="5">
        <v>3</v>
      </c>
      <c r="M472" s="5">
        <v>3</v>
      </c>
      <c r="N472" s="5" t="s">
        <v>3</v>
      </c>
      <c r="O472" s="5">
        <v>2</v>
      </c>
      <c r="P472" s="5">
        <f>ROUND(Source!EG468,O472)</f>
        <v>0</v>
      </c>
      <c r="Q472" s="5"/>
      <c r="R472" s="5"/>
      <c r="S472" s="5"/>
      <c r="T472" s="5"/>
      <c r="U472" s="5"/>
      <c r="V472" s="5"/>
      <c r="W472" s="5">
        <v>0</v>
      </c>
      <c r="X472" s="5">
        <v>1</v>
      </c>
      <c r="Y472" s="5">
        <v>0</v>
      </c>
      <c r="Z472" s="5">
        <v>0</v>
      </c>
      <c r="AA472" s="5">
        <v>1</v>
      </c>
      <c r="AB472" s="5">
        <v>0</v>
      </c>
    </row>
    <row r="473" spans="1:255" x14ac:dyDescent="0.2">
      <c r="A473" s="5">
        <v>50</v>
      </c>
      <c r="B473" s="5">
        <v>0</v>
      </c>
      <c r="C473" s="5">
        <v>0</v>
      </c>
      <c r="D473" s="5">
        <v>1</v>
      </c>
      <c r="E473" s="5">
        <v>225</v>
      </c>
      <c r="F473" s="5">
        <f>ROUND(Source!AV468,O473)</f>
        <v>74.22</v>
      </c>
      <c r="G473" s="5" t="s">
        <v>32</v>
      </c>
      <c r="H473" s="5" t="s">
        <v>33</v>
      </c>
      <c r="I473" s="5"/>
      <c r="J473" s="5"/>
      <c r="K473" s="5">
        <v>225</v>
      </c>
      <c r="L473" s="5">
        <v>4</v>
      </c>
      <c r="M473" s="5">
        <v>3</v>
      </c>
      <c r="N473" s="5" t="s">
        <v>3</v>
      </c>
      <c r="O473" s="5">
        <v>2</v>
      </c>
      <c r="P473" s="5">
        <f>ROUND(Source!EN468,O473)</f>
        <v>1504.44</v>
      </c>
      <c r="Q473" s="5"/>
      <c r="R473" s="5"/>
      <c r="S473" s="5"/>
      <c r="T473" s="5"/>
      <c r="U473" s="5"/>
      <c r="V473" s="5"/>
      <c r="W473" s="5">
        <v>74.22</v>
      </c>
      <c r="X473" s="5">
        <v>1</v>
      </c>
      <c r="Y473" s="5">
        <v>74.22</v>
      </c>
      <c r="Z473" s="5">
        <v>1504.44</v>
      </c>
      <c r="AA473" s="5">
        <v>1</v>
      </c>
      <c r="AB473" s="5">
        <v>1504.44</v>
      </c>
    </row>
    <row r="474" spans="1:255" x14ac:dyDescent="0.2">
      <c r="A474" s="5">
        <v>50</v>
      </c>
      <c r="B474" s="5">
        <v>0</v>
      </c>
      <c r="C474" s="5">
        <v>0</v>
      </c>
      <c r="D474" s="5">
        <v>1</v>
      </c>
      <c r="E474" s="5">
        <v>226</v>
      </c>
      <c r="F474" s="5">
        <f>ROUND(Source!AW468,O474)</f>
        <v>74.22</v>
      </c>
      <c r="G474" s="5" t="s">
        <v>34</v>
      </c>
      <c r="H474" s="5" t="s">
        <v>35</v>
      </c>
      <c r="I474" s="5"/>
      <c r="J474" s="5"/>
      <c r="K474" s="5">
        <v>226</v>
      </c>
      <c r="L474" s="5">
        <v>5</v>
      </c>
      <c r="M474" s="5">
        <v>3</v>
      </c>
      <c r="N474" s="5" t="s">
        <v>3</v>
      </c>
      <c r="O474" s="5">
        <v>2</v>
      </c>
      <c r="P474" s="5">
        <f>ROUND(Source!EO468,O474)</f>
        <v>1504.44</v>
      </c>
      <c r="Q474" s="5"/>
      <c r="R474" s="5"/>
      <c r="S474" s="5"/>
      <c r="T474" s="5"/>
      <c r="U474" s="5"/>
      <c r="V474" s="5"/>
      <c r="W474" s="5">
        <v>74.22</v>
      </c>
      <c r="X474" s="5">
        <v>1</v>
      </c>
      <c r="Y474" s="5">
        <v>74.22</v>
      </c>
      <c r="Z474" s="5">
        <v>1504.44</v>
      </c>
      <c r="AA474" s="5">
        <v>1</v>
      </c>
      <c r="AB474" s="5">
        <v>1504.44</v>
      </c>
    </row>
    <row r="475" spans="1:255" x14ac:dyDescent="0.2">
      <c r="A475" s="5">
        <v>50</v>
      </c>
      <c r="B475" s="5">
        <v>0</v>
      </c>
      <c r="C475" s="5">
        <v>0</v>
      </c>
      <c r="D475" s="5">
        <v>1</v>
      </c>
      <c r="E475" s="5">
        <v>227</v>
      </c>
      <c r="F475" s="5">
        <f>ROUND(Source!AX468,O475)</f>
        <v>0</v>
      </c>
      <c r="G475" s="5" t="s">
        <v>36</v>
      </c>
      <c r="H475" s="5" t="s">
        <v>37</v>
      </c>
      <c r="I475" s="5"/>
      <c r="J475" s="5"/>
      <c r="K475" s="5">
        <v>227</v>
      </c>
      <c r="L475" s="5">
        <v>6</v>
      </c>
      <c r="M475" s="5">
        <v>3</v>
      </c>
      <c r="N475" s="5" t="s">
        <v>3</v>
      </c>
      <c r="O475" s="5">
        <v>2</v>
      </c>
      <c r="P475" s="5">
        <f>ROUND(Source!EP468,O475)</f>
        <v>0</v>
      </c>
      <c r="Q475" s="5"/>
      <c r="R475" s="5"/>
      <c r="S475" s="5"/>
      <c r="T475" s="5"/>
      <c r="U475" s="5"/>
      <c r="V475" s="5"/>
      <c r="W475" s="5">
        <v>0</v>
      </c>
      <c r="X475" s="5">
        <v>1</v>
      </c>
      <c r="Y475" s="5">
        <v>0</v>
      </c>
      <c r="Z475" s="5">
        <v>0</v>
      </c>
      <c r="AA475" s="5">
        <v>1</v>
      </c>
      <c r="AB475" s="5">
        <v>0</v>
      </c>
    </row>
    <row r="476" spans="1:255" x14ac:dyDescent="0.2">
      <c r="A476" s="5">
        <v>50</v>
      </c>
      <c r="B476" s="5">
        <v>0</v>
      </c>
      <c r="C476" s="5">
        <v>0</v>
      </c>
      <c r="D476" s="5">
        <v>1</v>
      </c>
      <c r="E476" s="5">
        <v>228</v>
      </c>
      <c r="F476" s="5">
        <f>ROUND(Source!AY468,O476)</f>
        <v>74.22</v>
      </c>
      <c r="G476" s="5" t="s">
        <v>38</v>
      </c>
      <c r="H476" s="5" t="s">
        <v>39</v>
      </c>
      <c r="I476" s="5"/>
      <c r="J476" s="5"/>
      <c r="K476" s="5">
        <v>228</v>
      </c>
      <c r="L476" s="5">
        <v>7</v>
      </c>
      <c r="M476" s="5">
        <v>3</v>
      </c>
      <c r="N476" s="5" t="s">
        <v>3</v>
      </c>
      <c r="O476" s="5">
        <v>2</v>
      </c>
      <c r="P476" s="5">
        <f>ROUND(Source!EQ468,O476)</f>
        <v>1504.44</v>
      </c>
      <c r="Q476" s="5"/>
      <c r="R476" s="5"/>
      <c r="S476" s="5"/>
      <c r="T476" s="5"/>
      <c r="U476" s="5"/>
      <c r="V476" s="5"/>
      <c r="W476" s="5">
        <v>74.22</v>
      </c>
      <c r="X476" s="5">
        <v>1</v>
      </c>
      <c r="Y476" s="5">
        <v>74.22</v>
      </c>
      <c r="Z476" s="5">
        <v>1504.44</v>
      </c>
      <c r="AA476" s="5">
        <v>1</v>
      </c>
      <c r="AB476" s="5">
        <v>1504.44</v>
      </c>
    </row>
    <row r="477" spans="1:255" x14ac:dyDescent="0.2">
      <c r="A477" s="5">
        <v>50</v>
      </c>
      <c r="B477" s="5">
        <v>0</v>
      </c>
      <c r="C477" s="5">
        <v>0</v>
      </c>
      <c r="D477" s="5">
        <v>1</v>
      </c>
      <c r="E477" s="5">
        <v>216</v>
      </c>
      <c r="F477" s="5">
        <f>ROUND(Source!AP468,O477)</f>
        <v>0</v>
      </c>
      <c r="G477" s="5" t="s">
        <v>40</v>
      </c>
      <c r="H477" s="5" t="s">
        <v>41</v>
      </c>
      <c r="I477" s="5"/>
      <c r="J477" s="5"/>
      <c r="K477" s="5">
        <v>216</v>
      </c>
      <c r="L477" s="5">
        <v>8</v>
      </c>
      <c r="M477" s="5">
        <v>3</v>
      </c>
      <c r="N477" s="5" t="s">
        <v>3</v>
      </c>
      <c r="O477" s="5">
        <v>2</v>
      </c>
      <c r="P477" s="5">
        <f>ROUND(Source!EH468,O477)</f>
        <v>0</v>
      </c>
      <c r="Q477" s="5"/>
      <c r="R477" s="5"/>
      <c r="S477" s="5"/>
      <c r="T477" s="5"/>
      <c r="U477" s="5"/>
      <c r="V477" s="5"/>
      <c r="W477" s="5">
        <v>0</v>
      </c>
      <c r="X477" s="5">
        <v>1</v>
      </c>
      <c r="Y477" s="5">
        <v>0</v>
      </c>
      <c r="Z477" s="5">
        <v>0</v>
      </c>
      <c r="AA477" s="5">
        <v>1</v>
      </c>
      <c r="AB477" s="5">
        <v>0</v>
      </c>
    </row>
    <row r="478" spans="1:255" x14ac:dyDescent="0.2">
      <c r="A478" s="5">
        <v>50</v>
      </c>
      <c r="B478" s="5">
        <v>0</v>
      </c>
      <c r="C478" s="5">
        <v>0</v>
      </c>
      <c r="D478" s="5">
        <v>1</v>
      </c>
      <c r="E478" s="5">
        <v>223</v>
      </c>
      <c r="F478" s="5">
        <f>ROUND(Source!AQ468,O478)</f>
        <v>0</v>
      </c>
      <c r="G478" s="5" t="s">
        <v>42</v>
      </c>
      <c r="H478" s="5" t="s">
        <v>43</v>
      </c>
      <c r="I478" s="5"/>
      <c r="J478" s="5"/>
      <c r="K478" s="5">
        <v>223</v>
      </c>
      <c r="L478" s="5">
        <v>9</v>
      </c>
      <c r="M478" s="5">
        <v>3</v>
      </c>
      <c r="N478" s="5" t="s">
        <v>3</v>
      </c>
      <c r="O478" s="5">
        <v>2</v>
      </c>
      <c r="P478" s="5">
        <f>ROUND(Source!EI468,O478)</f>
        <v>0</v>
      </c>
      <c r="Q478" s="5"/>
      <c r="R478" s="5"/>
      <c r="S478" s="5"/>
      <c r="T478" s="5"/>
      <c r="U478" s="5"/>
      <c r="V478" s="5"/>
      <c r="W478" s="5">
        <v>0</v>
      </c>
      <c r="X478" s="5">
        <v>1</v>
      </c>
      <c r="Y478" s="5">
        <v>0</v>
      </c>
      <c r="Z478" s="5">
        <v>0</v>
      </c>
      <c r="AA478" s="5">
        <v>1</v>
      </c>
      <c r="AB478" s="5">
        <v>0</v>
      </c>
    </row>
    <row r="479" spans="1:255" x14ac:dyDescent="0.2">
      <c r="A479" s="5">
        <v>50</v>
      </c>
      <c r="B479" s="5">
        <v>0</v>
      </c>
      <c r="C479" s="5">
        <v>0</v>
      </c>
      <c r="D479" s="5">
        <v>1</v>
      </c>
      <c r="E479" s="5">
        <v>229</v>
      </c>
      <c r="F479" s="5">
        <f>ROUND(Source!AZ468,O479)</f>
        <v>0</v>
      </c>
      <c r="G479" s="5" t="s">
        <v>44</v>
      </c>
      <c r="H479" s="5" t="s">
        <v>45</v>
      </c>
      <c r="I479" s="5"/>
      <c r="J479" s="5"/>
      <c r="K479" s="5">
        <v>229</v>
      </c>
      <c r="L479" s="5">
        <v>10</v>
      </c>
      <c r="M479" s="5">
        <v>3</v>
      </c>
      <c r="N479" s="5" t="s">
        <v>3</v>
      </c>
      <c r="O479" s="5">
        <v>2</v>
      </c>
      <c r="P479" s="5">
        <f>ROUND(Source!ER468,O479)</f>
        <v>0</v>
      </c>
      <c r="Q479" s="5"/>
      <c r="R479" s="5"/>
      <c r="S479" s="5"/>
      <c r="T479" s="5"/>
      <c r="U479" s="5"/>
      <c r="V479" s="5"/>
      <c r="W479" s="5">
        <v>0</v>
      </c>
      <c r="X479" s="5">
        <v>1</v>
      </c>
      <c r="Y479" s="5">
        <v>0</v>
      </c>
      <c r="Z479" s="5">
        <v>0</v>
      </c>
      <c r="AA479" s="5">
        <v>1</v>
      </c>
      <c r="AB479" s="5">
        <v>0</v>
      </c>
    </row>
    <row r="480" spans="1:255" x14ac:dyDescent="0.2">
      <c r="A480" s="5">
        <v>50</v>
      </c>
      <c r="B480" s="5">
        <v>0</v>
      </c>
      <c r="C480" s="5">
        <v>0</v>
      </c>
      <c r="D480" s="5">
        <v>1</v>
      </c>
      <c r="E480" s="5">
        <v>203</v>
      </c>
      <c r="F480" s="5">
        <f>ROUND(Source!Q468,O480)</f>
        <v>596.32000000000005</v>
      </c>
      <c r="G480" s="5" t="s">
        <v>46</v>
      </c>
      <c r="H480" s="5" t="s">
        <v>47</v>
      </c>
      <c r="I480" s="5"/>
      <c r="J480" s="5"/>
      <c r="K480" s="5">
        <v>203</v>
      </c>
      <c r="L480" s="5">
        <v>11</v>
      </c>
      <c r="M480" s="5">
        <v>3</v>
      </c>
      <c r="N480" s="5" t="s">
        <v>3</v>
      </c>
      <c r="O480" s="5">
        <v>2</v>
      </c>
      <c r="P480" s="5">
        <f>ROUND(Source!DI468,O480)</f>
        <v>9064.0400000000009</v>
      </c>
      <c r="Q480" s="5"/>
      <c r="R480" s="5"/>
      <c r="S480" s="5"/>
      <c r="T480" s="5"/>
      <c r="U480" s="5"/>
      <c r="V480" s="5"/>
      <c r="W480" s="5">
        <v>596.32000000000005</v>
      </c>
      <c r="X480" s="5">
        <v>1</v>
      </c>
      <c r="Y480" s="5">
        <v>596.32000000000005</v>
      </c>
      <c r="Z480" s="5">
        <v>9064.0400000000009</v>
      </c>
      <c r="AA480" s="5">
        <v>1</v>
      </c>
      <c r="AB480" s="5">
        <v>9064.0400000000009</v>
      </c>
    </row>
    <row r="481" spans="1:28" x14ac:dyDescent="0.2">
      <c r="A481" s="5">
        <v>50</v>
      </c>
      <c r="B481" s="5">
        <v>0</v>
      </c>
      <c r="C481" s="5">
        <v>0</v>
      </c>
      <c r="D481" s="5">
        <v>1</v>
      </c>
      <c r="E481" s="5">
        <v>231</v>
      </c>
      <c r="F481" s="5">
        <f>ROUND(Source!BB468,O481)</f>
        <v>0</v>
      </c>
      <c r="G481" s="5" t="s">
        <v>48</v>
      </c>
      <c r="H481" s="5" t="s">
        <v>49</v>
      </c>
      <c r="I481" s="5"/>
      <c r="J481" s="5"/>
      <c r="K481" s="5">
        <v>231</v>
      </c>
      <c r="L481" s="5">
        <v>12</v>
      </c>
      <c r="M481" s="5">
        <v>3</v>
      </c>
      <c r="N481" s="5" t="s">
        <v>3</v>
      </c>
      <c r="O481" s="5">
        <v>2</v>
      </c>
      <c r="P481" s="5">
        <f>ROUND(Source!ET468,O481)</f>
        <v>0</v>
      </c>
      <c r="Q481" s="5"/>
      <c r="R481" s="5"/>
      <c r="S481" s="5"/>
      <c r="T481" s="5"/>
      <c r="U481" s="5"/>
      <c r="V481" s="5"/>
      <c r="W481" s="5">
        <v>0</v>
      </c>
      <c r="X481" s="5">
        <v>1</v>
      </c>
      <c r="Y481" s="5">
        <v>0</v>
      </c>
      <c r="Z481" s="5">
        <v>0</v>
      </c>
      <c r="AA481" s="5">
        <v>1</v>
      </c>
      <c r="AB481" s="5">
        <v>0</v>
      </c>
    </row>
    <row r="482" spans="1:28" x14ac:dyDescent="0.2">
      <c r="A482" s="5">
        <v>50</v>
      </c>
      <c r="B482" s="5">
        <v>0</v>
      </c>
      <c r="C482" s="5">
        <v>0</v>
      </c>
      <c r="D482" s="5">
        <v>1</v>
      </c>
      <c r="E482" s="5">
        <v>204</v>
      </c>
      <c r="F482" s="5">
        <f>ROUND(Source!R468,O482)</f>
        <v>153.5</v>
      </c>
      <c r="G482" s="5" t="s">
        <v>50</v>
      </c>
      <c r="H482" s="5" t="s">
        <v>51</v>
      </c>
      <c r="I482" s="5"/>
      <c r="J482" s="5"/>
      <c r="K482" s="5">
        <v>204</v>
      </c>
      <c r="L482" s="5">
        <v>13</v>
      </c>
      <c r="M482" s="5">
        <v>3</v>
      </c>
      <c r="N482" s="5" t="s">
        <v>3</v>
      </c>
      <c r="O482" s="5">
        <v>2</v>
      </c>
      <c r="P482" s="5">
        <f>ROUND(Source!DJ468,O482)</f>
        <v>4456.1099999999997</v>
      </c>
      <c r="Q482" s="5"/>
      <c r="R482" s="5"/>
      <c r="S482" s="5"/>
      <c r="T482" s="5"/>
      <c r="U482" s="5"/>
      <c r="V482" s="5"/>
      <c r="W482" s="5">
        <v>153.5</v>
      </c>
      <c r="X482" s="5">
        <v>1</v>
      </c>
      <c r="Y482" s="5">
        <v>153.5</v>
      </c>
      <c r="Z482" s="5">
        <v>4456.1099999999997</v>
      </c>
      <c r="AA482" s="5">
        <v>1</v>
      </c>
      <c r="AB482" s="5">
        <v>4456.1099999999997</v>
      </c>
    </row>
    <row r="483" spans="1:28" x14ac:dyDescent="0.2">
      <c r="A483" s="5">
        <v>50</v>
      </c>
      <c r="B483" s="5">
        <v>0</v>
      </c>
      <c r="C483" s="5">
        <v>0</v>
      </c>
      <c r="D483" s="5">
        <v>1</v>
      </c>
      <c r="E483" s="5">
        <v>205</v>
      </c>
      <c r="F483" s="5">
        <f>ROUND(Source!S468,O483)</f>
        <v>823.84</v>
      </c>
      <c r="G483" s="5" t="s">
        <v>52</v>
      </c>
      <c r="H483" s="5" t="s">
        <v>53</v>
      </c>
      <c r="I483" s="5"/>
      <c r="J483" s="5"/>
      <c r="K483" s="5">
        <v>205</v>
      </c>
      <c r="L483" s="5">
        <v>14</v>
      </c>
      <c r="M483" s="5">
        <v>3</v>
      </c>
      <c r="N483" s="5" t="s">
        <v>3</v>
      </c>
      <c r="O483" s="5">
        <v>2</v>
      </c>
      <c r="P483" s="5">
        <f>ROUND(Source!DK468,O483)</f>
        <v>23916.080000000002</v>
      </c>
      <c r="Q483" s="5"/>
      <c r="R483" s="5"/>
      <c r="S483" s="5"/>
      <c r="T483" s="5"/>
      <c r="U483" s="5"/>
      <c r="V483" s="5"/>
      <c r="W483" s="5">
        <v>823.84</v>
      </c>
      <c r="X483" s="5">
        <v>1</v>
      </c>
      <c r="Y483" s="5">
        <v>823.84</v>
      </c>
      <c r="Z483" s="5">
        <v>23916.080000000002</v>
      </c>
      <c r="AA483" s="5">
        <v>1</v>
      </c>
      <c r="AB483" s="5">
        <v>23916.080000000002</v>
      </c>
    </row>
    <row r="484" spans="1:28" x14ac:dyDescent="0.2">
      <c r="A484" s="5">
        <v>50</v>
      </c>
      <c r="B484" s="5">
        <v>0</v>
      </c>
      <c r="C484" s="5">
        <v>0</v>
      </c>
      <c r="D484" s="5">
        <v>1</v>
      </c>
      <c r="E484" s="5">
        <v>232</v>
      </c>
      <c r="F484" s="5">
        <f>ROUND(Source!BC468,O484)</f>
        <v>0</v>
      </c>
      <c r="G484" s="5" t="s">
        <v>54</v>
      </c>
      <c r="H484" s="5" t="s">
        <v>55</v>
      </c>
      <c r="I484" s="5"/>
      <c r="J484" s="5"/>
      <c r="K484" s="5">
        <v>232</v>
      </c>
      <c r="L484" s="5">
        <v>15</v>
      </c>
      <c r="M484" s="5">
        <v>3</v>
      </c>
      <c r="N484" s="5" t="s">
        <v>3</v>
      </c>
      <c r="O484" s="5">
        <v>2</v>
      </c>
      <c r="P484" s="5">
        <f>ROUND(Source!EU468,O484)</f>
        <v>0</v>
      </c>
      <c r="Q484" s="5"/>
      <c r="R484" s="5"/>
      <c r="S484" s="5"/>
      <c r="T484" s="5"/>
      <c r="U484" s="5"/>
      <c r="V484" s="5"/>
      <c r="W484" s="5">
        <v>0</v>
      </c>
      <c r="X484" s="5">
        <v>1</v>
      </c>
      <c r="Y484" s="5">
        <v>0</v>
      </c>
      <c r="Z484" s="5">
        <v>0</v>
      </c>
      <c r="AA484" s="5">
        <v>1</v>
      </c>
      <c r="AB484" s="5">
        <v>0</v>
      </c>
    </row>
    <row r="485" spans="1:28" x14ac:dyDescent="0.2">
      <c r="A485" s="5">
        <v>50</v>
      </c>
      <c r="B485" s="5">
        <v>0</v>
      </c>
      <c r="C485" s="5">
        <v>0</v>
      </c>
      <c r="D485" s="5">
        <v>1</v>
      </c>
      <c r="E485" s="5">
        <v>214</v>
      </c>
      <c r="F485" s="5">
        <f>ROUND(Source!AS468,O485)</f>
        <v>2990.51</v>
      </c>
      <c r="G485" s="5" t="s">
        <v>56</v>
      </c>
      <c r="H485" s="5" t="s">
        <v>57</v>
      </c>
      <c r="I485" s="5"/>
      <c r="J485" s="5"/>
      <c r="K485" s="5">
        <v>214</v>
      </c>
      <c r="L485" s="5">
        <v>16</v>
      </c>
      <c r="M485" s="5">
        <v>3</v>
      </c>
      <c r="N485" s="5" t="s">
        <v>3</v>
      </c>
      <c r="O485" s="5">
        <v>2</v>
      </c>
      <c r="P485" s="5">
        <f>ROUND(Source!EK468,O485)</f>
        <v>68161.179999999993</v>
      </c>
      <c r="Q485" s="5"/>
      <c r="R485" s="5"/>
      <c r="S485" s="5"/>
      <c r="T485" s="5"/>
      <c r="U485" s="5"/>
      <c r="V485" s="5"/>
      <c r="W485" s="5">
        <v>2990.51</v>
      </c>
      <c r="X485" s="5">
        <v>1</v>
      </c>
      <c r="Y485" s="5">
        <v>2990.51</v>
      </c>
      <c r="Z485" s="5">
        <v>68161.179999999993</v>
      </c>
      <c r="AA485" s="5">
        <v>1</v>
      </c>
      <c r="AB485" s="5">
        <v>68161.179999999993</v>
      </c>
    </row>
    <row r="486" spans="1:28" x14ac:dyDescent="0.2">
      <c r="A486" s="5">
        <v>50</v>
      </c>
      <c r="B486" s="5">
        <v>0</v>
      </c>
      <c r="C486" s="5">
        <v>0</v>
      </c>
      <c r="D486" s="5">
        <v>1</v>
      </c>
      <c r="E486" s="5">
        <v>215</v>
      </c>
      <c r="F486" s="5">
        <f>ROUND(Source!AT468,O486)</f>
        <v>0</v>
      </c>
      <c r="G486" s="5" t="s">
        <v>58</v>
      </c>
      <c r="H486" s="5" t="s">
        <v>59</v>
      </c>
      <c r="I486" s="5"/>
      <c r="J486" s="5"/>
      <c r="K486" s="5">
        <v>215</v>
      </c>
      <c r="L486" s="5">
        <v>17</v>
      </c>
      <c r="M486" s="5">
        <v>3</v>
      </c>
      <c r="N486" s="5" t="s">
        <v>3</v>
      </c>
      <c r="O486" s="5">
        <v>2</v>
      </c>
      <c r="P486" s="5">
        <f>ROUND(Source!EL468,O486)</f>
        <v>0</v>
      </c>
      <c r="Q486" s="5"/>
      <c r="R486" s="5"/>
      <c r="S486" s="5"/>
      <c r="T486" s="5"/>
      <c r="U486" s="5"/>
      <c r="V486" s="5"/>
      <c r="W486" s="5">
        <v>0</v>
      </c>
      <c r="X486" s="5">
        <v>1</v>
      </c>
      <c r="Y486" s="5">
        <v>0</v>
      </c>
      <c r="Z486" s="5">
        <v>0</v>
      </c>
      <c r="AA486" s="5">
        <v>1</v>
      </c>
      <c r="AB486" s="5">
        <v>0</v>
      </c>
    </row>
    <row r="487" spans="1:28" x14ac:dyDescent="0.2">
      <c r="A487" s="5">
        <v>50</v>
      </c>
      <c r="B487" s="5">
        <v>0</v>
      </c>
      <c r="C487" s="5">
        <v>0</v>
      </c>
      <c r="D487" s="5">
        <v>1</v>
      </c>
      <c r="E487" s="5">
        <v>217</v>
      </c>
      <c r="F487" s="5">
        <f>ROUND(Source!AU468,O487)</f>
        <v>0</v>
      </c>
      <c r="G487" s="5" t="s">
        <v>60</v>
      </c>
      <c r="H487" s="5" t="s">
        <v>61</v>
      </c>
      <c r="I487" s="5"/>
      <c r="J487" s="5"/>
      <c r="K487" s="5">
        <v>217</v>
      </c>
      <c r="L487" s="5">
        <v>18</v>
      </c>
      <c r="M487" s="5">
        <v>3</v>
      </c>
      <c r="N487" s="5" t="s">
        <v>3</v>
      </c>
      <c r="O487" s="5">
        <v>2</v>
      </c>
      <c r="P487" s="5">
        <f>ROUND(Source!EM468,O487)</f>
        <v>0</v>
      </c>
      <c r="Q487" s="5"/>
      <c r="R487" s="5"/>
      <c r="S487" s="5"/>
      <c r="T487" s="5"/>
      <c r="U487" s="5"/>
      <c r="V487" s="5"/>
      <c r="W487" s="5">
        <v>0</v>
      </c>
      <c r="X487" s="5">
        <v>1</v>
      </c>
      <c r="Y487" s="5">
        <v>0</v>
      </c>
      <c r="Z487" s="5">
        <v>0</v>
      </c>
      <c r="AA487" s="5">
        <v>1</v>
      </c>
      <c r="AB487" s="5">
        <v>0</v>
      </c>
    </row>
    <row r="488" spans="1:28" x14ac:dyDescent="0.2">
      <c r="A488" s="5">
        <v>50</v>
      </c>
      <c r="B488" s="5">
        <v>0</v>
      </c>
      <c r="C488" s="5">
        <v>0</v>
      </c>
      <c r="D488" s="5">
        <v>1</v>
      </c>
      <c r="E488" s="5">
        <v>230</v>
      </c>
      <c r="F488" s="5">
        <f>ROUND(Source!BA468,O488)</f>
        <v>0</v>
      </c>
      <c r="G488" s="5" t="s">
        <v>62</v>
      </c>
      <c r="H488" s="5" t="s">
        <v>63</v>
      </c>
      <c r="I488" s="5"/>
      <c r="J488" s="5"/>
      <c r="K488" s="5">
        <v>230</v>
      </c>
      <c r="L488" s="5">
        <v>19</v>
      </c>
      <c r="M488" s="5">
        <v>3</v>
      </c>
      <c r="N488" s="5" t="s">
        <v>3</v>
      </c>
      <c r="O488" s="5">
        <v>2</v>
      </c>
      <c r="P488" s="5">
        <f>ROUND(Source!ES468,O488)</f>
        <v>0</v>
      </c>
      <c r="Q488" s="5"/>
      <c r="R488" s="5"/>
      <c r="S488" s="5"/>
      <c r="T488" s="5"/>
      <c r="U488" s="5"/>
      <c r="V488" s="5"/>
      <c r="W488" s="5">
        <v>0</v>
      </c>
      <c r="X488" s="5">
        <v>1</v>
      </c>
      <c r="Y488" s="5">
        <v>0</v>
      </c>
      <c r="Z488" s="5">
        <v>0</v>
      </c>
      <c r="AA488" s="5">
        <v>1</v>
      </c>
      <c r="AB488" s="5">
        <v>0</v>
      </c>
    </row>
    <row r="489" spans="1:28" x14ac:dyDescent="0.2">
      <c r="A489" s="5">
        <v>50</v>
      </c>
      <c r="B489" s="5">
        <v>0</v>
      </c>
      <c r="C489" s="5">
        <v>0</v>
      </c>
      <c r="D489" s="5">
        <v>1</v>
      </c>
      <c r="E489" s="5">
        <v>206</v>
      </c>
      <c r="F489" s="5">
        <f>ROUND(Source!T468,O489)</f>
        <v>0</v>
      </c>
      <c r="G489" s="5" t="s">
        <v>64</v>
      </c>
      <c r="H489" s="5" t="s">
        <v>65</v>
      </c>
      <c r="I489" s="5"/>
      <c r="J489" s="5"/>
      <c r="K489" s="5">
        <v>206</v>
      </c>
      <c r="L489" s="5">
        <v>20</v>
      </c>
      <c r="M489" s="5">
        <v>3</v>
      </c>
      <c r="N489" s="5" t="s">
        <v>3</v>
      </c>
      <c r="O489" s="5">
        <v>2</v>
      </c>
      <c r="P489" s="5">
        <f>ROUND(Source!DL468,O489)</f>
        <v>0</v>
      </c>
      <c r="Q489" s="5"/>
      <c r="R489" s="5"/>
      <c r="S489" s="5"/>
      <c r="T489" s="5"/>
      <c r="U489" s="5"/>
      <c r="V489" s="5"/>
      <c r="W489" s="5">
        <v>0</v>
      </c>
      <c r="X489" s="5">
        <v>1</v>
      </c>
      <c r="Y489" s="5">
        <v>0</v>
      </c>
      <c r="Z489" s="5">
        <v>0</v>
      </c>
      <c r="AA489" s="5">
        <v>1</v>
      </c>
      <c r="AB489" s="5">
        <v>0</v>
      </c>
    </row>
    <row r="490" spans="1:28" x14ac:dyDescent="0.2">
      <c r="A490" s="5">
        <v>50</v>
      </c>
      <c r="B490" s="5">
        <v>0</v>
      </c>
      <c r="C490" s="5">
        <v>0</v>
      </c>
      <c r="D490" s="5">
        <v>1</v>
      </c>
      <c r="E490" s="5">
        <v>207</v>
      </c>
      <c r="F490" s="5">
        <f>Source!U468</f>
        <v>68.283450300000013</v>
      </c>
      <c r="G490" s="5" t="s">
        <v>66</v>
      </c>
      <c r="H490" s="5" t="s">
        <v>67</v>
      </c>
      <c r="I490" s="5"/>
      <c r="J490" s="5"/>
      <c r="K490" s="5">
        <v>207</v>
      </c>
      <c r="L490" s="5">
        <v>21</v>
      </c>
      <c r="M490" s="5">
        <v>3</v>
      </c>
      <c r="N490" s="5" t="s">
        <v>3</v>
      </c>
      <c r="O490" s="5">
        <v>-1</v>
      </c>
      <c r="P490" s="5">
        <f>Source!DM468</f>
        <v>68.283450300000013</v>
      </c>
      <c r="Q490" s="5"/>
      <c r="R490" s="5"/>
      <c r="S490" s="5"/>
      <c r="T490" s="5"/>
      <c r="U490" s="5"/>
      <c r="V490" s="5"/>
      <c r="W490" s="5">
        <v>68.283450299999998</v>
      </c>
      <c r="X490" s="5">
        <v>1</v>
      </c>
      <c r="Y490" s="5">
        <v>68.283450299999998</v>
      </c>
      <c r="Z490" s="5">
        <v>68.283450299999998</v>
      </c>
      <c r="AA490" s="5">
        <v>1</v>
      </c>
      <c r="AB490" s="5">
        <v>68.283450299999998</v>
      </c>
    </row>
    <row r="491" spans="1:28" x14ac:dyDescent="0.2">
      <c r="A491" s="5">
        <v>50</v>
      </c>
      <c r="B491" s="5">
        <v>0</v>
      </c>
      <c r="C491" s="5">
        <v>0</v>
      </c>
      <c r="D491" s="5">
        <v>1</v>
      </c>
      <c r="E491" s="5">
        <v>208</v>
      </c>
      <c r="F491" s="5">
        <f>Source!V468</f>
        <v>0</v>
      </c>
      <c r="G491" s="5" t="s">
        <v>68</v>
      </c>
      <c r="H491" s="5" t="s">
        <v>69</v>
      </c>
      <c r="I491" s="5"/>
      <c r="J491" s="5"/>
      <c r="K491" s="5">
        <v>208</v>
      </c>
      <c r="L491" s="5">
        <v>22</v>
      </c>
      <c r="M491" s="5">
        <v>3</v>
      </c>
      <c r="N491" s="5" t="s">
        <v>3</v>
      </c>
      <c r="O491" s="5">
        <v>-1</v>
      </c>
      <c r="P491" s="5">
        <f>Source!DN468</f>
        <v>0</v>
      </c>
      <c r="Q491" s="5"/>
      <c r="R491" s="5"/>
      <c r="S491" s="5"/>
      <c r="T491" s="5"/>
      <c r="U491" s="5"/>
      <c r="V491" s="5"/>
      <c r="W491" s="5">
        <v>0</v>
      </c>
      <c r="X491" s="5">
        <v>1</v>
      </c>
      <c r="Y491" s="5">
        <v>0</v>
      </c>
      <c r="Z491" s="5">
        <v>0</v>
      </c>
      <c r="AA491" s="5">
        <v>1</v>
      </c>
      <c r="AB491" s="5">
        <v>0</v>
      </c>
    </row>
    <row r="492" spans="1:28" x14ac:dyDescent="0.2">
      <c r="A492" s="5">
        <v>50</v>
      </c>
      <c r="B492" s="5">
        <v>0</v>
      </c>
      <c r="C492" s="5">
        <v>0</v>
      </c>
      <c r="D492" s="5">
        <v>1</v>
      </c>
      <c r="E492" s="5">
        <v>209</v>
      </c>
      <c r="F492" s="5">
        <f>ROUND(Source!W468,O492)</f>
        <v>0</v>
      </c>
      <c r="G492" s="5" t="s">
        <v>70</v>
      </c>
      <c r="H492" s="5" t="s">
        <v>71</v>
      </c>
      <c r="I492" s="5"/>
      <c r="J492" s="5"/>
      <c r="K492" s="5">
        <v>209</v>
      </c>
      <c r="L492" s="5">
        <v>23</v>
      </c>
      <c r="M492" s="5">
        <v>3</v>
      </c>
      <c r="N492" s="5" t="s">
        <v>3</v>
      </c>
      <c r="O492" s="5">
        <v>2</v>
      </c>
      <c r="P492" s="5">
        <f>ROUND(Source!DO468,O492)</f>
        <v>0</v>
      </c>
      <c r="Q492" s="5"/>
      <c r="R492" s="5"/>
      <c r="S492" s="5"/>
      <c r="T492" s="5"/>
      <c r="U492" s="5"/>
      <c r="V492" s="5"/>
      <c r="W492" s="5">
        <v>0</v>
      </c>
      <c r="X492" s="5">
        <v>1</v>
      </c>
      <c r="Y492" s="5">
        <v>0</v>
      </c>
      <c r="Z492" s="5">
        <v>0</v>
      </c>
      <c r="AA492" s="5">
        <v>1</v>
      </c>
      <c r="AB492" s="5">
        <v>0</v>
      </c>
    </row>
    <row r="493" spans="1:28" x14ac:dyDescent="0.2">
      <c r="A493" s="5">
        <v>50</v>
      </c>
      <c r="B493" s="5">
        <v>0</v>
      </c>
      <c r="C493" s="5">
        <v>0</v>
      </c>
      <c r="D493" s="5">
        <v>1</v>
      </c>
      <c r="E493" s="5">
        <v>233</v>
      </c>
      <c r="F493" s="5">
        <f>ROUND(Source!BD468,O493)</f>
        <v>0</v>
      </c>
      <c r="G493" s="5" t="s">
        <v>72</v>
      </c>
      <c r="H493" s="5" t="s">
        <v>73</v>
      </c>
      <c r="I493" s="5"/>
      <c r="J493" s="5"/>
      <c r="K493" s="5">
        <v>233</v>
      </c>
      <c r="L493" s="5">
        <v>24</v>
      </c>
      <c r="M493" s="5">
        <v>3</v>
      </c>
      <c r="N493" s="5" t="s">
        <v>3</v>
      </c>
      <c r="O493" s="5">
        <v>2</v>
      </c>
      <c r="P493" s="5">
        <f>ROUND(Source!EV468,O493)</f>
        <v>0</v>
      </c>
      <c r="Q493" s="5"/>
      <c r="R493" s="5"/>
      <c r="S493" s="5"/>
      <c r="T493" s="5"/>
      <c r="U493" s="5"/>
      <c r="V493" s="5"/>
      <c r="W493" s="5">
        <v>0</v>
      </c>
      <c r="X493" s="5">
        <v>1</v>
      </c>
      <c r="Y493" s="5">
        <v>0</v>
      </c>
      <c r="Z493" s="5">
        <v>0</v>
      </c>
      <c r="AA493" s="5">
        <v>1</v>
      </c>
      <c r="AB493" s="5">
        <v>0</v>
      </c>
    </row>
    <row r="494" spans="1:28" x14ac:dyDescent="0.2">
      <c r="A494" s="5">
        <v>50</v>
      </c>
      <c r="B494" s="5">
        <v>0</v>
      </c>
      <c r="C494" s="5">
        <v>0</v>
      </c>
      <c r="D494" s="5">
        <v>1</v>
      </c>
      <c r="E494" s="5">
        <v>210</v>
      </c>
      <c r="F494" s="5">
        <f>ROUND(Source!X468,O494)</f>
        <v>687.9</v>
      </c>
      <c r="G494" s="5" t="s">
        <v>74</v>
      </c>
      <c r="H494" s="5" t="s">
        <v>75</v>
      </c>
      <c r="I494" s="5"/>
      <c r="J494" s="5"/>
      <c r="K494" s="5">
        <v>210</v>
      </c>
      <c r="L494" s="5">
        <v>25</v>
      </c>
      <c r="M494" s="5">
        <v>3</v>
      </c>
      <c r="N494" s="5" t="s">
        <v>3</v>
      </c>
      <c r="O494" s="5">
        <v>2</v>
      </c>
      <c r="P494" s="5">
        <f>ROUND(Source!DP468,O494)</f>
        <v>16741.25</v>
      </c>
      <c r="Q494" s="5"/>
      <c r="R494" s="5"/>
      <c r="S494" s="5"/>
      <c r="T494" s="5"/>
      <c r="U494" s="5"/>
      <c r="V494" s="5"/>
      <c r="W494" s="5">
        <v>687.9</v>
      </c>
      <c r="X494" s="5">
        <v>1</v>
      </c>
      <c r="Y494" s="5">
        <v>687.9</v>
      </c>
      <c r="Z494" s="5">
        <v>16741.25</v>
      </c>
      <c r="AA494" s="5">
        <v>1</v>
      </c>
      <c r="AB494" s="5">
        <v>16741.25</v>
      </c>
    </row>
    <row r="495" spans="1:28" x14ac:dyDescent="0.2">
      <c r="A495" s="5">
        <v>50</v>
      </c>
      <c r="B495" s="5">
        <v>0</v>
      </c>
      <c r="C495" s="5">
        <v>0</v>
      </c>
      <c r="D495" s="5">
        <v>1</v>
      </c>
      <c r="E495" s="5">
        <v>211</v>
      </c>
      <c r="F495" s="5">
        <f>ROUND(Source!Y468,O495)</f>
        <v>539.6</v>
      </c>
      <c r="G495" s="5" t="s">
        <v>76</v>
      </c>
      <c r="H495" s="5" t="s">
        <v>77</v>
      </c>
      <c r="I495" s="5"/>
      <c r="J495" s="5"/>
      <c r="K495" s="5">
        <v>211</v>
      </c>
      <c r="L495" s="5">
        <v>26</v>
      </c>
      <c r="M495" s="5">
        <v>3</v>
      </c>
      <c r="N495" s="5" t="s">
        <v>3</v>
      </c>
      <c r="O495" s="5">
        <v>2</v>
      </c>
      <c r="P495" s="5">
        <f>ROUND(Source!DQ468,O495)</f>
        <v>9805.59</v>
      </c>
      <c r="Q495" s="5"/>
      <c r="R495" s="5"/>
      <c r="S495" s="5"/>
      <c r="T495" s="5"/>
      <c r="U495" s="5"/>
      <c r="V495" s="5"/>
      <c r="W495" s="5">
        <v>539.6</v>
      </c>
      <c r="X495" s="5">
        <v>1</v>
      </c>
      <c r="Y495" s="5">
        <v>539.6</v>
      </c>
      <c r="Z495" s="5">
        <v>9805.59</v>
      </c>
      <c r="AA495" s="5">
        <v>1</v>
      </c>
      <c r="AB495" s="5">
        <v>9805.59</v>
      </c>
    </row>
    <row r="496" spans="1:28" x14ac:dyDescent="0.2">
      <c r="A496" s="5">
        <v>50</v>
      </c>
      <c r="B496" s="5">
        <v>0</v>
      </c>
      <c r="C496" s="5">
        <v>0</v>
      </c>
      <c r="D496" s="5">
        <v>1</v>
      </c>
      <c r="E496" s="5">
        <v>224</v>
      </c>
      <c r="F496" s="5">
        <f>ROUND(Source!AR468,O496)</f>
        <v>2990.51</v>
      </c>
      <c r="G496" s="5" t="s">
        <v>78</v>
      </c>
      <c r="H496" s="5" t="s">
        <v>79</v>
      </c>
      <c r="I496" s="5"/>
      <c r="J496" s="5"/>
      <c r="K496" s="5">
        <v>224</v>
      </c>
      <c r="L496" s="5">
        <v>27</v>
      </c>
      <c r="M496" s="5">
        <v>3</v>
      </c>
      <c r="N496" s="5" t="s">
        <v>3</v>
      </c>
      <c r="O496" s="5">
        <v>2</v>
      </c>
      <c r="P496" s="5">
        <f>ROUND(Source!EJ468,O496)</f>
        <v>68161.179999999993</v>
      </c>
      <c r="Q496" s="5"/>
      <c r="R496" s="5"/>
      <c r="S496" s="5"/>
      <c r="T496" s="5"/>
      <c r="U496" s="5"/>
      <c r="V496" s="5"/>
      <c r="W496" s="5">
        <v>2990.51</v>
      </c>
      <c r="X496" s="5">
        <v>1</v>
      </c>
      <c r="Y496" s="5">
        <v>2990.51</v>
      </c>
      <c r="Z496" s="5">
        <v>68161.179999999993</v>
      </c>
      <c r="AA496" s="5">
        <v>1</v>
      </c>
      <c r="AB496" s="5">
        <v>68161.179999999993</v>
      </c>
    </row>
    <row r="498" spans="1:255" x14ac:dyDescent="0.2">
      <c r="A498" s="1">
        <v>4</v>
      </c>
      <c r="B498" s="1">
        <v>1</v>
      </c>
      <c r="C498" s="1"/>
      <c r="D498" s="1">
        <f>ROW(A579)</f>
        <v>579</v>
      </c>
      <c r="E498" s="1"/>
      <c r="F498" s="1" t="s">
        <v>16</v>
      </c>
      <c r="G498" s="1" t="s">
        <v>80</v>
      </c>
      <c r="H498" s="1" t="s">
        <v>3</v>
      </c>
      <c r="I498" s="1">
        <v>0</v>
      </c>
      <c r="J498" s="1"/>
      <c r="K498" s="1">
        <v>0</v>
      </c>
      <c r="L498" s="1"/>
      <c r="M498" s="1" t="s">
        <v>3</v>
      </c>
      <c r="N498" s="1"/>
      <c r="O498" s="1"/>
      <c r="P498" s="1"/>
      <c r="Q498" s="1"/>
      <c r="R498" s="1"/>
      <c r="S498" s="1">
        <v>0</v>
      </c>
      <c r="T498" s="1">
        <v>0</v>
      </c>
      <c r="U498" s="1" t="s">
        <v>3</v>
      </c>
      <c r="V498" s="1">
        <v>0</v>
      </c>
      <c r="W498" s="1"/>
      <c r="X498" s="1"/>
      <c r="Y498" s="1"/>
      <c r="Z498" s="1"/>
      <c r="AA498" s="1"/>
      <c r="AB498" s="1" t="s">
        <v>3</v>
      </c>
      <c r="AC498" s="1" t="s">
        <v>3</v>
      </c>
      <c r="AD498" s="1" t="s">
        <v>3</v>
      </c>
      <c r="AE498" s="1" t="s">
        <v>3</v>
      </c>
      <c r="AF498" s="1" t="s">
        <v>3</v>
      </c>
      <c r="AG498" s="1" t="s">
        <v>3</v>
      </c>
      <c r="AH498" s="1"/>
      <c r="AI498" s="1"/>
      <c r="AJ498" s="1"/>
      <c r="AK498" s="1"/>
      <c r="AL498" s="1"/>
      <c r="AM498" s="1"/>
      <c r="AN498" s="1"/>
      <c r="AO498" s="1"/>
      <c r="AP498" s="1" t="s">
        <v>3</v>
      </c>
      <c r="AQ498" s="1" t="s">
        <v>3</v>
      </c>
      <c r="AR498" s="1" t="s">
        <v>3</v>
      </c>
      <c r="AS498" s="1"/>
      <c r="AT498" s="1"/>
      <c r="AU498" s="1"/>
      <c r="AV498" s="1"/>
      <c r="AW498" s="1"/>
      <c r="AX498" s="1"/>
      <c r="AY498" s="1"/>
      <c r="AZ498" s="1" t="s">
        <v>3</v>
      </c>
      <c r="BA498" s="1"/>
      <c r="BB498" s="1" t="s">
        <v>3</v>
      </c>
      <c r="BC498" s="1" t="s">
        <v>3</v>
      </c>
      <c r="BD498" s="1" t="s">
        <v>3</v>
      </c>
      <c r="BE498" s="1" t="s">
        <v>3</v>
      </c>
      <c r="BF498" s="1" t="s">
        <v>3</v>
      </c>
      <c r="BG498" s="1" t="s">
        <v>3</v>
      </c>
      <c r="BH498" s="1" t="s">
        <v>3</v>
      </c>
      <c r="BI498" s="1" t="s">
        <v>3</v>
      </c>
      <c r="BJ498" s="1" t="s">
        <v>3</v>
      </c>
      <c r="BK498" s="1" t="s">
        <v>3</v>
      </c>
      <c r="BL498" s="1" t="s">
        <v>3</v>
      </c>
      <c r="BM498" s="1" t="s">
        <v>3</v>
      </c>
      <c r="BN498" s="1" t="s">
        <v>3</v>
      </c>
      <c r="BO498" s="1" t="s">
        <v>3</v>
      </c>
      <c r="BP498" s="1" t="s">
        <v>3</v>
      </c>
      <c r="BQ498" s="1"/>
      <c r="BR498" s="1"/>
      <c r="BS498" s="1"/>
      <c r="BT498" s="1"/>
      <c r="BU498" s="1"/>
      <c r="BV498" s="1"/>
      <c r="BW498" s="1"/>
      <c r="BX498" s="1">
        <v>0</v>
      </c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>
        <v>0</v>
      </c>
    </row>
    <row r="500" spans="1:255" x14ac:dyDescent="0.2">
      <c r="A500" s="3">
        <v>52</v>
      </c>
      <c r="B500" s="3">
        <f t="shared" ref="B500:G500" si="413">B579</f>
        <v>1</v>
      </c>
      <c r="C500" s="3">
        <f t="shared" si="413"/>
        <v>4</v>
      </c>
      <c r="D500" s="3">
        <f t="shared" si="413"/>
        <v>498</v>
      </c>
      <c r="E500" s="3">
        <f t="shared" si="413"/>
        <v>0</v>
      </c>
      <c r="F500" s="3" t="str">
        <f t="shared" si="413"/>
        <v>Новый раздел</v>
      </c>
      <c r="G500" s="3" t="str">
        <f t="shared" si="413"/>
        <v>Монтажные работы</v>
      </c>
      <c r="H500" s="3"/>
      <c r="I500" s="3"/>
      <c r="J500" s="3"/>
      <c r="K500" s="3"/>
      <c r="L500" s="3"/>
      <c r="M500" s="3"/>
      <c r="N500" s="3"/>
      <c r="O500" s="3">
        <f t="shared" ref="O500:AT500" si="414">O579</f>
        <v>4126.26</v>
      </c>
      <c r="P500" s="3">
        <f t="shared" si="414"/>
        <v>3141.46</v>
      </c>
      <c r="Q500" s="3">
        <f t="shared" si="414"/>
        <v>374.09</v>
      </c>
      <c r="R500" s="3">
        <f t="shared" si="414"/>
        <v>46.39</v>
      </c>
      <c r="S500" s="3">
        <f t="shared" si="414"/>
        <v>610.71</v>
      </c>
      <c r="T500" s="3">
        <f t="shared" si="414"/>
        <v>0</v>
      </c>
      <c r="U500" s="3">
        <f t="shared" si="414"/>
        <v>48.871595999999997</v>
      </c>
      <c r="V500" s="3">
        <f t="shared" si="414"/>
        <v>0</v>
      </c>
      <c r="W500" s="3">
        <f t="shared" si="414"/>
        <v>0</v>
      </c>
      <c r="X500" s="3">
        <f t="shared" si="414"/>
        <v>528.77</v>
      </c>
      <c r="Y500" s="3">
        <f t="shared" si="414"/>
        <v>424.84</v>
      </c>
      <c r="Z500" s="3">
        <f t="shared" si="414"/>
        <v>0</v>
      </c>
      <c r="AA500" s="3">
        <f t="shared" si="414"/>
        <v>0</v>
      </c>
      <c r="AB500" s="3">
        <f t="shared" si="414"/>
        <v>4126.26</v>
      </c>
      <c r="AC500" s="3">
        <f t="shared" si="414"/>
        <v>3141.46</v>
      </c>
      <c r="AD500" s="3">
        <f t="shared" si="414"/>
        <v>374.09</v>
      </c>
      <c r="AE500" s="3">
        <f t="shared" si="414"/>
        <v>46.39</v>
      </c>
      <c r="AF500" s="3">
        <f t="shared" si="414"/>
        <v>610.71</v>
      </c>
      <c r="AG500" s="3">
        <f t="shared" si="414"/>
        <v>0</v>
      </c>
      <c r="AH500" s="3">
        <f t="shared" si="414"/>
        <v>48.871595999999997</v>
      </c>
      <c r="AI500" s="3">
        <f t="shared" si="414"/>
        <v>0</v>
      </c>
      <c r="AJ500" s="3">
        <f t="shared" si="414"/>
        <v>0</v>
      </c>
      <c r="AK500" s="3">
        <f t="shared" si="414"/>
        <v>528.77</v>
      </c>
      <c r="AL500" s="3">
        <f t="shared" si="414"/>
        <v>424.84</v>
      </c>
      <c r="AM500" s="3">
        <f t="shared" si="414"/>
        <v>0</v>
      </c>
      <c r="AN500" s="3">
        <f t="shared" si="414"/>
        <v>0</v>
      </c>
      <c r="AO500" s="3">
        <f t="shared" si="414"/>
        <v>0</v>
      </c>
      <c r="AP500" s="3">
        <f t="shared" si="414"/>
        <v>0</v>
      </c>
      <c r="AQ500" s="3">
        <f t="shared" si="414"/>
        <v>0</v>
      </c>
      <c r="AR500" s="3">
        <f t="shared" si="414"/>
        <v>5161.05</v>
      </c>
      <c r="AS500" s="3">
        <f t="shared" si="414"/>
        <v>5161.05</v>
      </c>
      <c r="AT500" s="3">
        <f t="shared" si="414"/>
        <v>0</v>
      </c>
      <c r="AU500" s="3">
        <f t="shared" ref="AU500:BZ500" si="415">AU579</f>
        <v>0</v>
      </c>
      <c r="AV500" s="3">
        <f t="shared" si="415"/>
        <v>3141.46</v>
      </c>
      <c r="AW500" s="3">
        <f t="shared" si="415"/>
        <v>3141.46</v>
      </c>
      <c r="AX500" s="3">
        <f t="shared" si="415"/>
        <v>0</v>
      </c>
      <c r="AY500" s="3">
        <f t="shared" si="415"/>
        <v>3141.46</v>
      </c>
      <c r="AZ500" s="3">
        <f t="shared" si="415"/>
        <v>0</v>
      </c>
      <c r="BA500" s="3">
        <f t="shared" si="415"/>
        <v>0</v>
      </c>
      <c r="BB500" s="3">
        <f t="shared" si="415"/>
        <v>0</v>
      </c>
      <c r="BC500" s="3">
        <f t="shared" si="415"/>
        <v>0</v>
      </c>
      <c r="BD500" s="3">
        <f t="shared" si="415"/>
        <v>0</v>
      </c>
      <c r="BE500" s="3">
        <f t="shared" si="415"/>
        <v>0</v>
      </c>
      <c r="BF500" s="3">
        <f t="shared" si="415"/>
        <v>0</v>
      </c>
      <c r="BG500" s="3">
        <f t="shared" si="415"/>
        <v>0</v>
      </c>
      <c r="BH500" s="3">
        <f t="shared" si="415"/>
        <v>0</v>
      </c>
      <c r="BI500" s="3">
        <f t="shared" si="415"/>
        <v>0</v>
      </c>
      <c r="BJ500" s="3">
        <f t="shared" si="415"/>
        <v>0</v>
      </c>
      <c r="BK500" s="3">
        <f t="shared" si="415"/>
        <v>0</v>
      </c>
      <c r="BL500" s="3">
        <f t="shared" si="415"/>
        <v>0</v>
      </c>
      <c r="BM500" s="3">
        <f t="shared" si="415"/>
        <v>0</v>
      </c>
      <c r="BN500" s="3">
        <f t="shared" si="415"/>
        <v>0</v>
      </c>
      <c r="BO500" s="3">
        <f t="shared" si="415"/>
        <v>0</v>
      </c>
      <c r="BP500" s="3">
        <f t="shared" si="415"/>
        <v>0</v>
      </c>
      <c r="BQ500" s="3">
        <f t="shared" si="415"/>
        <v>0</v>
      </c>
      <c r="BR500" s="3">
        <f t="shared" si="415"/>
        <v>0</v>
      </c>
      <c r="BS500" s="3">
        <f t="shared" si="415"/>
        <v>0</v>
      </c>
      <c r="BT500" s="3">
        <f t="shared" si="415"/>
        <v>0</v>
      </c>
      <c r="BU500" s="3">
        <f t="shared" si="415"/>
        <v>0</v>
      </c>
      <c r="BV500" s="3">
        <f t="shared" si="415"/>
        <v>0</v>
      </c>
      <c r="BW500" s="3">
        <f t="shared" si="415"/>
        <v>0</v>
      </c>
      <c r="BX500" s="3">
        <f t="shared" si="415"/>
        <v>0</v>
      </c>
      <c r="BY500" s="3">
        <f t="shared" si="415"/>
        <v>0</v>
      </c>
      <c r="BZ500" s="3">
        <f t="shared" si="415"/>
        <v>0</v>
      </c>
      <c r="CA500" s="3">
        <f t="shared" ref="CA500:DF500" si="416">CA579</f>
        <v>5161.05</v>
      </c>
      <c r="CB500" s="3">
        <f t="shared" si="416"/>
        <v>5161.05</v>
      </c>
      <c r="CC500" s="3">
        <f t="shared" si="416"/>
        <v>0</v>
      </c>
      <c r="CD500" s="3">
        <f t="shared" si="416"/>
        <v>0</v>
      </c>
      <c r="CE500" s="3">
        <f t="shared" si="416"/>
        <v>3141.46</v>
      </c>
      <c r="CF500" s="3">
        <f t="shared" si="416"/>
        <v>3141.46</v>
      </c>
      <c r="CG500" s="3">
        <f t="shared" si="416"/>
        <v>0</v>
      </c>
      <c r="CH500" s="3">
        <f t="shared" si="416"/>
        <v>3141.46</v>
      </c>
      <c r="CI500" s="3">
        <f t="shared" si="416"/>
        <v>0</v>
      </c>
      <c r="CJ500" s="3">
        <f t="shared" si="416"/>
        <v>0</v>
      </c>
      <c r="CK500" s="3">
        <f t="shared" si="416"/>
        <v>0</v>
      </c>
      <c r="CL500" s="3">
        <f t="shared" si="416"/>
        <v>0</v>
      </c>
      <c r="CM500" s="3">
        <f t="shared" si="416"/>
        <v>0</v>
      </c>
      <c r="CN500" s="3">
        <f t="shared" si="416"/>
        <v>0</v>
      </c>
      <c r="CO500" s="3">
        <f t="shared" si="416"/>
        <v>0</v>
      </c>
      <c r="CP500" s="3">
        <f t="shared" si="416"/>
        <v>0</v>
      </c>
      <c r="CQ500" s="3">
        <f t="shared" si="416"/>
        <v>0</v>
      </c>
      <c r="CR500" s="3">
        <f t="shared" si="416"/>
        <v>0</v>
      </c>
      <c r="CS500" s="3">
        <f t="shared" si="416"/>
        <v>0</v>
      </c>
      <c r="CT500" s="3">
        <f t="shared" si="416"/>
        <v>0</v>
      </c>
      <c r="CU500" s="3">
        <f t="shared" si="416"/>
        <v>0</v>
      </c>
      <c r="CV500" s="3">
        <f t="shared" si="416"/>
        <v>0</v>
      </c>
      <c r="CW500" s="3">
        <f t="shared" si="416"/>
        <v>0</v>
      </c>
      <c r="CX500" s="3">
        <f t="shared" si="416"/>
        <v>0</v>
      </c>
      <c r="CY500" s="3">
        <f t="shared" si="416"/>
        <v>0</v>
      </c>
      <c r="CZ500" s="3">
        <f t="shared" si="416"/>
        <v>0</v>
      </c>
      <c r="DA500" s="3">
        <f t="shared" si="416"/>
        <v>0</v>
      </c>
      <c r="DB500" s="3">
        <f t="shared" si="416"/>
        <v>0</v>
      </c>
      <c r="DC500" s="3">
        <f t="shared" si="416"/>
        <v>0</v>
      </c>
      <c r="DD500" s="3">
        <f t="shared" si="416"/>
        <v>0</v>
      </c>
      <c r="DE500" s="3">
        <f t="shared" si="416"/>
        <v>0</v>
      </c>
      <c r="DF500" s="3">
        <f t="shared" si="416"/>
        <v>0</v>
      </c>
      <c r="DG500" s="4">
        <f t="shared" ref="DG500:EL500" si="417">DG579</f>
        <v>137467.87</v>
      </c>
      <c r="DH500" s="4">
        <f t="shared" si="417"/>
        <v>115600.74</v>
      </c>
      <c r="DI500" s="4">
        <f t="shared" si="417"/>
        <v>4138.22</v>
      </c>
      <c r="DJ500" s="4">
        <f t="shared" si="417"/>
        <v>1346.72</v>
      </c>
      <c r="DK500" s="4">
        <f t="shared" si="417"/>
        <v>17728.91</v>
      </c>
      <c r="DL500" s="4">
        <f t="shared" si="417"/>
        <v>0</v>
      </c>
      <c r="DM500" s="4">
        <f t="shared" si="417"/>
        <v>48.871595999999997</v>
      </c>
      <c r="DN500" s="4">
        <f t="shared" si="417"/>
        <v>0</v>
      </c>
      <c r="DO500" s="4">
        <f t="shared" si="417"/>
        <v>0</v>
      </c>
      <c r="DP500" s="4">
        <f t="shared" si="417"/>
        <v>12650.69</v>
      </c>
      <c r="DQ500" s="4">
        <f t="shared" si="417"/>
        <v>7268.87</v>
      </c>
      <c r="DR500" s="4">
        <f t="shared" si="417"/>
        <v>0</v>
      </c>
      <c r="DS500" s="4">
        <f t="shared" si="417"/>
        <v>0</v>
      </c>
      <c r="DT500" s="4">
        <f t="shared" si="417"/>
        <v>137467.87</v>
      </c>
      <c r="DU500" s="4">
        <f t="shared" si="417"/>
        <v>115600.74</v>
      </c>
      <c r="DV500" s="4">
        <f t="shared" si="417"/>
        <v>4138.22</v>
      </c>
      <c r="DW500" s="4">
        <f t="shared" si="417"/>
        <v>1346.72</v>
      </c>
      <c r="DX500" s="4">
        <f t="shared" si="417"/>
        <v>17728.91</v>
      </c>
      <c r="DY500" s="4">
        <f t="shared" si="417"/>
        <v>0</v>
      </c>
      <c r="DZ500" s="4">
        <f t="shared" si="417"/>
        <v>48.871595999999997</v>
      </c>
      <c r="EA500" s="4">
        <f t="shared" si="417"/>
        <v>0</v>
      </c>
      <c r="EB500" s="4">
        <f t="shared" si="417"/>
        <v>0</v>
      </c>
      <c r="EC500" s="4">
        <f t="shared" si="417"/>
        <v>12650.69</v>
      </c>
      <c r="ED500" s="4">
        <f t="shared" si="417"/>
        <v>7268.87</v>
      </c>
      <c r="EE500" s="4">
        <f t="shared" si="417"/>
        <v>0</v>
      </c>
      <c r="EF500" s="4">
        <f t="shared" si="417"/>
        <v>0</v>
      </c>
      <c r="EG500" s="4">
        <f t="shared" si="417"/>
        <v>0</v>
      </c>
      <c r="EH500" s="4">
        <f t="shared" si="417"/>
        <v>0</v>
      </c>
      <c r="EI500" s="4">
        <f t="shared" si="417"/>
        <v>0</v>
      </c>
      <c r="EJ500" s="4">
        <f t="shared" si="417"/>
        <v>159542.17000000001</v>
      </c>
      <c r="EK500" s="4">
        <f t="shared" si="417"/>
        <v>159542.17000000001</v>
      </c>
      <c r="EL500" s="4">
        <f t="shared" si="417"/>
        <v>0</v>
      </c>
      <c r="EM500" s="4">
        <f t="shared" ref="EM500:FR500" si="418">EM579</f>
        <v>0</v>
      </c>
      <c r="EN500" s="4">
        <f t="shared" si="418"/>
        <v>115600.74</v>
      </c>
      <c r="EO500" s="4">
        <f t="shared" si="418"/>
        <v>115600.74</v>
      </c>
      <c r="EP500" s="4">
        <f t="shared" si="418"/>
        <v>0</v>
      </c>
      <c r="EQ500" s="4">
        <f t="shared" si="418"/>
        <v>115600.74</v>
      </c>
      <c r="ER500" s="4">
        <f t="shared" si="418"/>
        <v>0</v>
      </c>
      <c r="ES500" s="4">
        <f t="shared" si="418"/>
        <v>0</v>
      </c>
      <c r="ET500" s="4">
        <f t="shared" si="418"/>
        <v>0</v>
      </c>
      <c r="EU500" s="4">
        <f t="shared" si="418"/>
        <v>0</v>
      </c>
      <c r="EV500" s="4">
        <f t="shared" si="418"/>
        <v>0</v>
      </c>
      <c r="EW500" s="4">
        <f t="shared" si="418"/>
        <v>0</v>
      </c>
      <c r="EX500" s="4">
        <f t="shared" si="418"/>
        <v>0</v>
      </c>
      <c r="EY500" s="4">
        <f t="shared" si="418"/>
        <v>0</v>
      </c>
      <c r="EZ500" s="4">
        <f t="shared" si="418"/>
        <v>0</v>
      </c>
      <c r="FA500" s="4">
        <f t="shared" si="418"/>
        <v>0</v>
      </c>
      <c r="FB500" s="4">
        <f t="shared" si="418"/>
        <v>0</v>
      </c>
      <c r="FC500" s="4">
        <f t="shared" si="418"/>
        <v>0</v>
      </c>
      <c r="FD500" s="4">
        <f t="shared" si="418"/>
        <v>0</v>
      </c>
      <c r="FE500" s="4">
        <f t="shared" si="418"/>
        <v>0</v>
      </c>
      <c r="FF500" s="4">
        <f t="shared" si="418"/>
        <v>0</v>
      </c>
      <c r="FG500" s="4">
        <f t="shared" si="418"/>
        <v>0</v>
      </c>
      <c r="FH500" s="4">
        <f t="shared" si="418"/>
        <v>0</v>
      </c>
      <c r="FI500" s="4">
        <f t="shared" si="418"/>
        <v>0</v>
      </c>
      <c r="FJ500" s="4">
        <f t="shared" si="418"/>
        <v>0</v>
      </c>
      <c r="FK500" s="4">
        <f t="shared" si="418"/>
        <v>0</v>
      </c>
      <c r="FL500" s="4">
        <f t="shared" si="418"/>
        <v>0</v>
      </c>
      <c r="FM500" s="4">
        <f t="shared" si="418"/>
        <v>0</v>
      </c>
      <c r="FN500" s="4">
        <f t="shared" si="418"/>
        <v>0</v>
      </c>
      <c r="FO500" s="4">
        <f t="shared" si="418"/>
        <v>0</v>
      </c>
      <c r="FP500" s="4">
        <f t="shared" si="418"/>
        <v>0</v>
      </c>
      <c r="FQ500" s="4">
        <f t="shared" si="418"/>
        <v>0</v>
      </c>
      <c r="FR500" s="4">
        <f t="shared" si="418"/>
        <v>0</v>
      </c>
      <c r="FS500" s="4">
        <f t="shared" ref="FS500:GX500" si="419">FS579</f>
        <v>159542.17000000001</v>
      </c>
      <c r="FT500" s="4">
        <f t="shared" si="419"/>
        <v>159542.17000000001</v>
      </c>
      <c r="FU500" s="4">
        <f t="shared" si="419"/>
        <v>0</v>
      </c>
      <c r="FV500" s="4">
        <f t="shared" si="419"/>
        <v>0</v>
      </c>
      <c r="FW500" s="4">
        <f t="shared" si="419"/>
        <v>115600.74</v>
      </c>
      <c r="FX500" s="4">
        <f t="shared" si="419"/>
        <v>115600.74</v>
      </c>
      <c r="FY500" s="4">
        <f t="shared" si="419"/>
        <v>0</v>
      </c>
      <c r="FZ500" s="4">
        <f t="shared" si="419"/>
        <v>115600.74</v>
      </c>
      <c r="GA500" s="4">
        <f t="shared" si="419"/>
        <v>0</v>
      </c>
      <c r="GB500" s="4">
        <f t="shared" si="419"/>
        <v>0</v>
      </c>
      <c r="GC500" s="4">
        <f t="shared" si="419"/>
        <v>0</v>
      </c>
      <c r="GD500" s="4">
        <f t="shared" si="419"/>
        <v>0</v>
      </c>
      <c r="GE500" s="4">
        <f t="shared" si="419"/>
        <v>0</v>
      </c>
      <c r="GF500" s="4">
        <f t="shared" si="419"/>
        <v>0</v>
      </c>
      <c r="GG500" s="4">
        <f t="shared" si="419"/>
        <v>0</v>
      </c>
      <c r="GH500" s="4">
        <f t="shared" si="419"/>
        <v>0</v>
      </c>
      <c r="GI500" s="4">
        <f t="shared" si="419"/>
        <v>0</v>
      </c>
      <c r="GJ500" s="4">
        <f t="shared" si="419"/>
        <v>0</v>
      </c>
      <c r="GK500" s="4">
        <f t="shared" si="419"/>
        <v>0</v>
      </c>
      <c r="GL500" s="4">
        <f t="shared" si="419"/>
        <v>0</v>
      </c>
      <c r="GM500" s="4">
        <f t="shared" si="419"/>
        <v>0</v>
      </c>
      <c r="GN500" s="4">
        <f t="shared" si="419"/>
        <v>0</v>
      </c>
      <c r="GO500" s="4">
        <f t="shared" si="419"/>
        <v>0</v>
      </c>
      <c r="GP500" s="4">
        <f t="shared" si="419"/>
        <v>0</v>
      </c>
      <c r="GQ500" s="4">
        <f t="shared" si="419"/>
        <v>0</v>
      </c>
      <c r="GR500" s="4">
        <f t="shared" si="419"/>
        <v>0</v>
      </c>
      <c r="GS500" s="4">
        <f t="shared" si="419"/>
        <v>0</v>
      </c>
      <c r="GT500" s="4">
        <f t="shared" si="419"/>
        <v>0</v>
      </c>
      <c r="GU500" s="4">
        <f t="shared" si="419"/>
        <v>0</v>
      </c>
      <c r="GV500" s="4">
        <f t="shared" si="419"/>
        <v>0</v>
      </c>
      <c r="GW500" s="4">
        <f t="shared" si="419"/>
        <v>0</v>
      </c>
      <c r="GX500" s="4">
        <f t="shared" si="419"/>
        <v>0</v>
      </c>
    </row>
    <row r="502" spans="1:255" x14ac:dyDescent="0.2">
      <c r="A502" s="2">
        <v>17</v>
      </c>
      <c r="B502" s="2">
        <v>1</v>
      </c>
      <c r="C502" s="2">
        <f>ROW(SmtRes!A452)</f>
        <v>452</v>
      </c>
      <c r="D502" s="2">
        <f>ROW(EtalonRes!A458)</f>
        <v>458</v>
      </c>
      <c r="E502" s="2" t="s">
        <v>96</v>
      </c>
      <c r="F502" s="2" t="s">
        <v>513</v>
      </c>
      <c r="G502" s="2" t="s">
        <v>514</v>
      </c>
      <c r="H502" s="2" t="s">
        <v>515</v>
      </c>
      <c r="I502" s="2">
        <v>2.11</v>
      </c>
      <c r="J502" s="2">
        <v>0</v>
      </c>
      <c r="K502" s="2">
        <v>2.11</v>
      </c>
      <c r="L502" s="2"/>
      <c r="M502" s="2"/>
      <c r="N502" s="2"/>
      <c r="O502" s="2">
        <f t="shared" ref="O502:O533" si="420">ROUND(CP502,2)</f>
        <v>61.95</v>
      </c>
      <c r="P502" s="2">
        <f t="shared" ref="P502:P533" si="421">ROUND((ROUND((AC502*AW502*I502),2)*BC502),2)</f>
        <v>2.2400000000000002</v>
      </c>
      <c r="Q502" s="2">
        <f>(ROUND((ROUND((((ET502*1.25))*AV502*I502),2)*BB502),2)+ROUND((ROUND(((AE502-((EU502*1.25)))*AV502*I502),2)*BS502),2))</f>
        <v>40.01</v>
      </c>
      <c r="R502" s="2">
        <f t="shared" ref="R502:R533" si="422">ROUND((ROUND((AE502*AV502*I502),2)*BS502),2)</f>
        <v>9.9700000000000006</v>
      </c>
      <c r="S502" s="2">
        <f t="shared" ref="S502:S533" si="423">ROUND((ROUND((AF502*AV502*I502),2)*BA502),2)</f>
        <v>19.7</v>
      </c>
      <c r="T502" s="2">
        <f t="shared" ref="T502:T533" si="424">ROUND(CU502*I502,2)</f>
        <v>0</v>
      </c>
      <c r="U502" s="2">
        <f t="shared" ref="U502:U533" si="425">CV502*I502</f>
        <v>1.8926699999999996</v>
      </c>
      <c r="V502" s="2">
        <f t="shared" ref="V502:V533" si="426">CW502*I502</f>
        <v>0</v>
      </c>
      <c r="W502" s="2">
        <f t="shared" ref="W502:W533" si="427">ROUND(CX502*I502,2)</f>
        <v>0</v>
      </c>
      <c r="X502" s="2">
        <f t="shared" ref="X502:X533" si="428">ROUND(CY502,2)</f>
        <v>17.93</v>
      </c>
      <c r="Y502" s="2">
        <f t="shared" ref="Y502:Y533" si="429">ROUND(CZ502,2)</f>
        <v>13.79</v>
      </c>
      <c r="Z502" s="2"/>
      <c r="AA502" s="2">
        <v>129761636</v>
      </c>
      <c r="AB502" s="2">
        <f t="shared" ref="AB502:AB533" si="430">ROUND((AC502+AD502+AF502),6)</f>
        <v>29.360499999999998</v>
      </c>
      <c r="AC502" s="2">
        <f t="shared" ref="AC502:AC533" si="431">ROUND((ES502),6)</f>
        <v>1.06</v>
      </c>
      <c r="AD502" s="2">
        <f>ROUND(((((ET502*1.25))-((EU502*1.25)))+AE502),6)</f>
        <v>18.962499999999999</v>
      </c>
      <c r="AE502" s="2">
        <f>ROUND(((EU502*1.25)),6)</f>
        <v>4.7249999999999996</v>
      </c>
      <c r="AF502" s="2">
        <f>ROUND(((EV502*1.15)),6)</f>
        <v>9.3379999999999992</v>
      </c>
      <c r="AG502" s="2">
        <f t="shared" ref="AG502:AG533" si="432">ROUND((AP502),6)</f>
        <v>0</v>
      </c>
      <c r="AH502" s="2">
        <f>((EW502*1.15))</f>
        <v>0.89699999999999991</v>
      </c>
      <c r="AI502" s="2">
        <f>((EX502*1.25))</f>
        <v>0</v>
      </c>
      <c r="AJ502" s="2">
        <f t="shared" ref="AJ502:AJ533" si="433">(AS502)</f>
        <v>0</v>
      </c>
      <c r="AK502" s="2">
        <v>24.35</v>
      </c>
      <c r="AL502" s="2">
        <v>1.06</v>
      </c>
      <c r="AM502" s="2">
        <v>15.17</v>
      </c>
      <c r="AN502" s="2">
        <v>3.78</v>
      </c>
      <c r="AO502" s="2">
        <v>8.1199999999999992</v>
      </c>
      <c r="AP502" s="2">
        <v>0</v>
      </c>
      <c r="AQ502" s="2">
        <v>0.78</v>
      </c>
      <c r="AR502" s="2">
        <v>0</v>
      </c>
      <c r="AS502" s="2">
        <v>0</v>
      </c>
      <c r="AT502" s="2">
        <v>91</v>
      </c>
      <c r="AU502" s="2">
        <v>70</v>
      </c>
      <c r="AV502" s="2">
        <v>1</v>
      </c>
      <c r="AW502" s="2">
        <v>1</v>
      </c>
      <c r="AX502" s="2"/>
      <c r="AY502" s="2"/>
      <c r="AZ502" s="2">
        <v>1</v>
      </c>
      <c r="BA502" s="2">
        <v>1</v>
      </c>
      <c r="BB502" s="2">
        <v>1</v>
      </c>
      <c r="BC502" s="2">
        <v>1</v>
      </c>
      <c r="BD502" s="2" t="s">
        <v>3</v>
      </c>
      <c r="BE502" s="2" t="s">
        <v>3</v>
      </c>
      <c r="BF502" s="2" t="s">
        <v>3</v>
      </c>
      <c r="BG502" s="2" t="s">
        <v>3</v>
      </c>
      <c r="BH502" s="2">
        <v>0</v>
      </c>
      <c r="BI502" s="2">
        <v>1</v>
      </c>
      <c r="BJ502" s="2" t="s">
        <v>516</v>
      </c>
      <c r="BK502" s="2"/>
      <c r="BL502" s="2"/>
      <c r="BM502" s="2">
        <v>64</v>
      </c>
      <c r="BN502" s="2">
        <v>0</v>
      </c>
      <c r="BO502" s="2" t="s">
        <v>3</v>
      </c>
      <c r="BP502" s="2">
        <v>0</v>
      </c>
      <c r="BQ502" s="2">
        <v>30</v>
      </c>
      <c r="BR502" s="2">
        <v>0</v>
      </c>
      <c r="BS502" s="2">
        <v>1</v>
      </c>
      <c r="BT502" s="2">
        <v>1</v>
      </c>
      <c r="BU502" s="2">
        <v>1</v>
      </c>
      <c r="BV502" s="2">
        <v>1</v>
      </c>
      <c r="BW502" s="2">
        <v>1</v>
      </c>
      <c r="BX502" s="2">
        <v>1</v>
      </c>
      <c r="BY502" s="2" t="s">
        <v>3</v>
      </c>
      <c r="BZ502" s="2">
        <v>91</v>
      </c>
      <c r="CA502" s="2">
        <v>70</v>
      </c>
      <c r="CB502" s="2" t="s">
        <v>3</v>
      </c>
      <c r="CC502" s="2"/>
      <c r="CD502" s="2"/>
      <c r="CE502" s="2">
        <v>30</v>
      </c>
      <c r="CF502" s="2">
        <v>0</v>
      </c>
      <c r="CG502" s="2">
        <v>0</v>
      </c>
      <c r="CH502" s="2"/>
      <c r="CI502" s="2"/>
      <c r="CJ502" s="2"/>
      <c r="CK502" s="2"/>
      <c r="CL502" s="2"/>
      <c r="CM502" s="2">
        <v>0</v>
      </c>
      <c r="CN502" s="2" t="s">
        <v>1559</v>
      </c>
      <c r="CO502" s="2">
        <v>0</v>
      </c>
      <c r="CP502" s="2">
        <f t="shared" ref="CP502:CP533" si="434">(P502+Q502+S502)</f>
        <v>61.95</v>
      </c>
      <c r="CQ502" s="2">
        <f t="shared" ref="CQ502:CQ533" si="435">ROUND((ROUND((AC502*AW502*1),2)*BC502),2)</f>
        <v>1.06</v>
      </c>
      <c r="CR502" s="2">
        <f>(ROUND((ROUND((((ET502*1.25))*AV502*1),2)*BB502),2)+ROUND((ROUND(((AE502-((EU502*1.25)))*AV502*1),2)*BS502),2))</f>
        <v>18.96</v>
      </c>
      <c r="CS502" s="2">
        <f t="shared" ref="CS502:CS533" si="436">ROUND((ROUND((AE502*AV502*1),2)*BS502),2)</f>
        <v>4.7300000000000004</v>
      </c>
      <c r="CT502" s="2">
        <f t="shared" ref="CT502:CT533" si="437">ROUND((ROUND((AF502*AV502*1),2)*BA502),2)</f>
        <v>9.34</v>
      </c>
      <c r="CU502" s="2">
        <f t="shared" ref="CU502:CU533" si="438">AG502</f>
        <v>0</v>
      </c>
      <c r="CV502" s="2">
        <f t="shared" ref="CV502:CV533" si="439">(AH502*AV502)</f>
        <v>0.89699999999999991</v>
      </c>
      <c r="CW502" s="2">
        <f t="shared" ref="CW502:CW533" si="440">AI502</f>
        <v>0</v>
      </c>
      <c r="CX502" s="2">
        <f t="shared" ref="CX502:CX533" si="441">AJ502</f>
        <v>0</v>
      </c>
      <c r="CY502" s="2">
        <f>((S502*BZ502)/100)</f>
        <v>17.927</v>
      </c>
      <c r="CZ502" s="2">
        <f>((S502*CA502)/100)</f>
        <v>13.79</v>
      </c>
      <c r="DA502" s="2"/>
      <c r="DB502" s="2"/>
      <c r="DC502" s="2" t="s">
        <v>3</v>
      </c>
      <c r="DD502" s="2" t="s">
        <v>3</v>
      </c>
      <c r="DE502" s="2" t="s">
        <v>86</v>
      </c>
      <c r="DF502" s="2" t="s">
        <v>86</v>
      </c>
      <c r="DG502" s="2" t="s">
        <v>87</v>
      </c>
      <c r="DH502" s="2" t="s">
        <v>3</v>
      </c>
      <c r="DI502" s="2" t="s">
        <v>87</v>
      </c>
      <c r="DJ502" s="2" t="s">
        <v>86</v>
      </c>
      <c r="DK502" s="2" t="s">
        <v>3</v>
      </c>
      <c r="DL502" s="2" t="s">
        <v>3</v>
      </c>
      <c r="DM502" s="2" t="s">
        <v>3</v>
      </c>
      <c r="DN502" s="2">
        <v>0</v>
      </c>
      <c r="DO502" s="2">
        <v>0</v>
      </c>
      <c r="DP502" s="2">
        <v>1</v>
      </c>
      <c r="DQ502" s="2">
        <v>1</v>
      </c>
      <c r="DR502" s="2"/>
      <c r="DS502" s="2"/>
      <c r="DT502" s="2"/>
      <c r="DU502" s="2">
        <v>1013</v>
      </c>
      <c r="DV502" s="2" t="s">
        <v>515</v>
      </c>
      <c r="DW502" s="2" t="s">
        <v>515</v>
      </c>
      <c r="DX502" s="2">
        <v>1</v>
      </c>
      <c r="DY502" s="2"/>
      <c r="DZ502" s="2" t="s">
        <v>3</v>
      </c>
      <c r="EA502" s="2" t="s">
        <v>3</v>
      </c>
      <c r="EB502" s="2" t="s">
        <v>3</v>
      </c>
      <c r="EC502" s="2" t="s">
        <v>3</v>
      </c>
      <c r="ED502" s="2"/>
      <c r="EE502" s="2">
        <v>126051525</v>
      </c>
      <c r="EF502" s="2">
        <v>30</v>
      </c>
      <c r="EG502" s="2" t="s">
        <v>23</v>
      </c>
      <c r="EH502" s="2">
        <v>0</v>
      </c>
      <c r="EI502" s="2" t="s">
        <v>3</v>
      </c>
      <c r="EJ502" s="2">
        <v>1</v>
      </c>
      <c r="EK502" s="2">
        <v>64</v>
      </c>
      <c r="EL502" s="2" t="s">
        <v>517</v>
      </c>
      <c r="EM502" s="2" t="s">
        <v>518</v>
      </c>
      <c r="EN502" s="2"/>
      <c r="EO502" s="2" t="s">
        <v>90</v>
      </c>
      <c r="EP502" s="2"/>
      <c r="EQ502" s="2">
        <v>131072</v>
      </c>
      <c r="ER502" s="2">
        <v>24.35</v>
      </c>
      <c r="ES502" s="2">
        <v>1.06</v>
      </c>
      <c r="ET502" s="2">
        <v>15.17</v>
      </c>
      <c r="EU502" s="2">
        <v>3.78</v>
      </c>
      <c r="EV502" s="2">
        <v>8.1199999999999992</v>
      </c>
      <c r="EW502" s="2">
        <v>0.78</v>
      </c>
      <c r="EX502" s="2">
        <v>0</v>
      </c>
      <c r="EY502" s="2">
        <v>0</v>
      </c>
      <c r="EZ502" s="2"/>
      <c r="FA502" s="2"/>
      <c r="FB502" s="2"/>
      <c r="FC502" s="2"/>
      <c r="FD502" s="2"/>
      <c r="FE502" s="2"/>
      <c r="FF502" s="2"/>
      <c r="FG502" s="2"/>
      <c r="FH502" s="2"/>
      <c r="FI502" s="2"/>
      <c r="FJ502" s="2"/>
      <c r="FK502" s="2"/>
      <c r="FL502" s="2"/>
      <c r="FM502" s="2"/>
      <c r="FN502" s="2"/>
      <c r="FO502" s="2"/>
      <c r="FP502" s="2"/>
      <c r="FQ502" s="2">
        <v>0</v>
      </c>
      <c r="FR502" s="2">
        <f t="shared" ref="FR502:FR533" si="442">ROUND(IF(AND(BH502=3,BI502=3),P502,0),2)</f>
        <v>0</v>
      </c>
      <c r="FS502" s="2">
        <v>0</v>
      </c>
      <c r="FT502" s="2"/>
      <c r="FU502" s="2"/>
      <c r="FV502" s="2"/>
      <c r="FW502" s="2"/>
      <c r="FX502" s="2">
        <v>91</v>
      </c>
      <c r="FY502" s="2">
        <v>70</v>
      </c>
      <c r="FZ502" s="2"/>
      <c r="GA502" s="2" t="s">
        <v>3</v>
      </c>
      <c r="GB502" s="2"/>
      <c r="GC502" s="2"/>
      <c r="GD502" s="2">
        <v>0</v>
      </c>
      <c r="GE502" s="2"/>
      <c r="GF502" s="2">
        <v>967582129</v>
      </c>
      <c r="GG502" s="2">
        <v>2</v>
      </c>
      <c r="GH502" s="2">
        <v>1</v>
      </c>
      <c r="GI502" s="2">
        <v>-2</v>
      </c>
      <c r="GJ502" s="2">
        <v>0</v>
      </c>
      <c r="GK502" s="2">
        <f>ROUND(R502*(R12)/100,2)</f>
        <v>17.45</v>
      </c>
      <c r="GL502" s="2">
        <f t="shared" ref="GL502:GL533" si="443">ROUND(IF(AND(BH502=3,BI502=3,FS502&lt;&gt;0),P502,0),2)</f>
        <v>0</v>
      </c>
      <c r="GM502" s="2">
        <f t="shared" ref="GM502:GM533" si="444">ROUND(O502+X502+Y502+GK502,2)+GX502</f>
        <v>111.12</v>
      </c>
      <c r="GN502" s="2">
        <f t="shared" ref="GN502:GN533" si="445">IF(OR(BI502=0,BI502=1),ROUND(O502+X502+Y502+GK502,2),0)</f>
        <v>111.12</v>
      </c>
      <c r="GO502" s="2">
        <f t="shared" ref="GO502:GO533" si="446">IF(BI502=2,ROUND(O502+X502+Y502+GK502,2),0)</f>
        <v>0</v>
      </c>
      <c r="GP502" s="2">
        <f t="shared" ref="GP502:GP533" si="447">IF(BI502=4,ROUND(O502+X502+Y502+GK502,2)+GX502,0)</f>
        <v>0</v>
      </c>
      <c r="GQ502" s="2"/>
      <c r="GR502" s="2">
        <v>0</v>
      </c>
      <c r="GS502" s="2">
        <v>0</v>
      </c>
      <c r="GT502" s="2">
        <v>0</v>
      </c>
      <c r="GU502" s="2" t="s">
        <v>3</v>
      </c>
      <c r="GV502" s="2">
        <f t="shared" ref="GV502:GV533" si="448">ROUND((GT502),6)</f>
        <v>0</v>
      </c>
      <c r="GW502" s="2">
        <v>1</v>
      </c>
      <c r="GX502" s="2">
        <f t="shared" ref="GX502:GX533" si="449">ROUND(HC502*I502,2)</f>
        <v>0</v>
      </c>
      <c r="GY502" s="2"/>
      <c r="GZ502" s="2"/>
      <c r="HA502" s="2">
        <v>0</v>
      </c>
      <c r="HB502" s="2">
        <v>0</v>
      </c>
      <c r="HC502" s="2">
        <f t="shared" ref="HC502:HC533" si="450">GV502*GW502</f>
        <v>0</v>
      </c>
      <c r="HD502" s="2"/>
      <c r="HE502" s="2" t="s">
        <v>3</v>
      </c>
      <c r="HF502" s="2" t="s">
        <v>3</v>
      </c>
      <c r="HG502" s="2"/>
      <c r="HH502" s="2"/>
      <c r="HI502" s="2"/>
      <c r="HJ502" s="2"/>
      <c r="HK502" s="2"/>
      <c r="HL502" s="2"/>
      <c r="HM502" s="2" t="s">
        <v>3</v>
      </c>
      <c r="HN502" s="2" t="s">
        <v>3</v>
      </c>
      <c r="HO502" s="2" t="s">
        <v>3</v>
      </c>
      <c r="HP502" s="2" t="s">
        <v>3</v>
      </c>
      <c r="HQ502" s="2" t="s">
        <v>3</v>
      </c>
      <c r="HR502" s="2"/>
      <c r="HS502" s="2"/>
      <c r="HT502" s="2"/>
      <c r="HU502" s="2"/>
      <c r="HV502" s="2"/>
      <c r="HW502" s="2"/>
      <c r="HX502" s="2"/>
      <c r="HY502" s="2"/>
      <c r="HZ502" s="2"/>
      <c r="IA502" s="2"/>
      <c r="IB502" s="2"/>
      <c r="IC502" s="2"/>
      <c r="ID502" s="2"/>
      <c r="IE502" s="2"/>
      <c r="IF502" s="2"/>
      <c r="IG502" s="2"/>
      <c r="IH502" s="2"/>
      <c r="II502" s="2"/>
      <c r="IJ502" s="2"/>
      <c r="IK502" s="2">
        <v>0</v>
      </c>
      <c r="IL502" s="2"/>
      <c r="IM502" s="2"/>
      <c r="IN502" s="2"/>
      <c r="IO502" s="2"/>
      <c r="IP502" s="2"/>
      <c r="IQ502" s="2"/>
      <c r="IR502" s="2"/>
      <c r="IS502" s="2"/>
      <c r="IT502" s="2"/>
      <c r="IU502" s="2"/>
    </row>
    <row r="503" spans="1:255" x14ac:dyDescent="0.2">
      <c r="A503">
        <v>17</v>
      </c>
      <c r="B503">
        <v>1</v>
      </c>
      <c r="C503">
        <f>ROW(SmtRes!A458)</f>
        <v>458</v>
      </c>
      <c r="D503">
        <f>ROW(EtalonRes!A464)</f>
        <v>464</v>
      </c>
      <c r="E503" t="s">
        <v>96</v>
      </c>
      <c r="F503" t="s">
        <v>513</v>
      </c>
      <c r="G503" t="s">
        <v>514</v>
      </c>
      <c r="H503" t="s">
        <v>515</v>
      </c>
      <c r="I503">
        <v>2.11</v>
      </c>
      <c r="J503">
        <v>0</v>
      </c>
      <c r="K503">
        <v>2.11</v>
      </c>
      <c r="O503">
        <f t="shared" si="420"/>
        <v>1108.68</v>
      </c>
      <c r="P503">
        <f t="shared" si="421"/>
        <v>13.46</v>
      </c>
      <c r="Q503">
        <f>(ROUND((ROUND((((ET503*1.25))*AV503*I503),2)*BB503),2)+ROUND((ROUND(((AE503-((EU503*1.25)))*AV503*I503),2)*BS503),2))</f>
        <v>523.33000000000004</v>
      </c>
      <c r="R503">
        <f t="shared" si="422"/>
        <v>289.43</v>
      </c>
      <c r="S503">
        <f t="shared" si="423"/>
        <v>571.89</v>
      </c>
      <c r="T503">
        <f t="shared" si="424"/>
        <v>0</v>
      </c>
      <c r="U503">
        <f t="shared" si="425"/>
        <v>1.8926699999999996</v>
      </c>
      <c r="V503">
        <f t="shared" si="426"/>
        <v>0</v>
      </c>
      <c r="W503">
        <f t="shared" si="427"/>
        <v>0</v>
      </c>
      <c r="X503">
        <f t="shared" si="428"/>
        <v>428.92</v>
      </c>
      <c r="Y503">
        <f t="shared" si="429"/>
        <v>234.47</v>
      </c>
      <c r="AA503">
        <v>129761633</v>
      </c>
      <c r="AB503">
        <f t="shared" si="430"/>
        <v>29.360499999999998</v>
      </c>
      <c r="AC503">
        <f t="shared" si="431"/>
        <v>1.06</v>
      </c>
      <c r="AD503">
        <f>ROUND(((((ET503*1.25))-((EU503*1.25)))+AE503),6)</f>
        <v>18.962499999999999</v>
      </c>
      <c r="AE503">
        <f>ROUND(((EU503*1.25)),6)</f>
        <v>4.7249999999999996</v>
      </c>
      <c r="AF503">
        <f>ROUND(((EV503*1.15)),6)</f>
        <v>9.3379999999999992</v>
      </c>
      <c r="AG503">
        <f t="shared" si="432"/>
        <v>0</v>
      </c>
      <c r="AH503">
        <f>((EW503*1.15))</f>
        <v>0.89699999999999991</v>
      </c>
      <c r="AI503">
        <f>((EX503*1.25))</f>
        <v>0</v>
      </c>
      <c r="AJ503">
        <f t="shared" si="433"/>
        <v>0</v>
      </c>
      <c r="AK503">
        <v>24.35</v>
      </c>
      <c r="AL503">
        <v>1.06</v>
      </c>
      <c r="AM503">
        <v>15.17</v>
      </c>
      <c r="AN503">
        <v>3.78</v>
      </c>
      <c r="AO503">
        <v>8.1199999999999992</v>
      </c>
      <c r="AP503">
        <v>0</v>
      </c>
      <c r="AQ503">
        <v>0.78</v>
      </c>
      <c r="AR503">
        <v>0</v>
      </c>
      <c r="AS503">
        <v>0</v>
      </c>
      <c r="AT503">
        <v>75</v>
      </c>
      <c r="AU503">
        <v>41</v>
      </c>
      <c r="AV503">
        <v>1</v>
      </c>
      <c r="AW503">
        <v>1</v>
      </c>
      <c r="AZ503">
        <v>1</v>
      </c>
      <c r="BA503">
        <v>29.03</v>
      </c>
      <c r="BB503">
        <v>13.08</v>
      </c>
      <c r="BC503">
        <v>6.01</v>
      </c>
      <c r="BD503" t="s">
        <v>3</v>
      </c>
      <c r="BE503" t="s">
        <v>3</v>
      </c>
      <c r="BF503" t="s">
        <v>3</v>
      </c>
      <c r="BG503" t="s">
        <v>3</v>
      </c>
      <c r="BH503">
        <v>0</v>
      </c>
      <c r="BI503">
        <v>1</v>
      </c>
      <c r="BJ503" t="s">
        <v>516</v>
      </c>
      <c r="BM503">
        <v>64</v>
      </c>
      <c r="BN503">
        <v>0</v>
      </c>
      <c r="BO503" t="s">
        <v>513</v>
      </c>
      <c r="BP503">
        <v>1</v>
      </c>
      <c r="BQ503">
        <v>30</v>
      </c>
      <c r="BR503">
        <v>0</v>
      </c>
      <c r="BS503">
        <v>29.03</v>
      </c>
      <c r="BT503">
        <v>1</v>
      </c>
      <c r="BU503">
        <v>1</v>
      </c>
      <c r="BV503">
        <v>1</v>
      </c>
      <c r="BW503">
        <v>1</v>
      </c>
      <c r="BX503">
        <v>1</v>
      </c>
      <c r="BY503" t="s">
        <v>3</v>
      </c>
      <c r="BZ503">
        <v>75</v>
      </c>
      <c r="CA503">
        <v>41</v>
      </c>
      <c r="CB503" t="s">
        <v>3</v>
      </c>
      <c r="CE503">
        <v>30</v>
      </c>
      <c r="CF503">
        <v>0</v>
      </c>
      <c r="CG503">
        <v>0</v>
      </c>
      <c r="CM503">
        <v>0</v>
      </c>
      <c r="CN503" t="s">
        <v>1559</v>
      </c>
      <c r="CO503">
        <v>0</v>
      </c>
      <c r="CP503">
        <f t="shared" si="434"/>
        <v>1108.68</v>
      </c>
      <c r="CQ503">
        <f t="shared" si="435"/>
        <v>6.37</v>
      </c>
      <c r="CR503">
        <f>(ROUND((ROUND((((ET503*1.25))*AV503*1),2)*BB503),2)+ROUND((ROUND(((AE503-((EU503*1.25)))*AV503*1),2)*BS503),2))</f>
        <v>248</v>
      </c>
      <c r="CS503">
        <f t="shared" si="436"/>
        <v>137.31</v>
      </c>
      <c r="CT503">
        <f t="shared" si="437"/>
        <v>271.14</v>
      </c>
      <c r="CU503">
        <f t="shared" si="438"/>
        <v>0</v>
      </c>
      <c r="CV503">
        <f t="shared" si="439"/>
        <v>0.89699999999999991</v>
      </c>
      <c r="CW503">
        <f t="shared" si="440"/>
        <v>0</v>
      </c>
      <c r="CX503">
        <f t="shared" si="441"/>
        <v>0</v>
      </c>
      <c r="CY503">
        <f>S503*(BZ503/100)</f>
        <v>428.91750000000002</v>
      </c>
      <c r="CZ503">
        <f>S503*(CA503/100)</f>
        <v>234.47489999999999</v>
      </c>
      <c r="DC503" t="s">
        <v>3</v>
      </c>
      <c r="DD503" t="s">
        <v>3</v>
      </c>
      <c r="DE503" t="s">
        <v>86</v>
      </c>
      <c r="DF503" t="s">
        <v>86</v>
      </c>
      <c r="DG503" t="s">
        <v>87</v>
      </c>
      <c r="DH503" t="s">
        <v>3</v>
      </c>
      <c r="DI503" t="s">
        <v>87</v>
      </c>
      <c r="DJ503" t="s">
        <v>86</v>
      </c>
      <c r="DK503" t="s">
        <v>3</v>
      </c>
      <c r="DL503" t="s">
        <v>3</v>
      </c>
      <c r="DM503" t="s">
        <v>3</v>
      </c>
      <c r="DN503">
        <v>91</v>
      </c>
      <c r="DO503">
        <v>70</v>
      </c>
      <c r="DP503">
        <v>1</v>
      </c>
      <c r="DQ503">
        <v>1</v>
      </c>
      <c r="DU503">
        <v>1013</v>
      </c>
      <c r="DV503" t="s">
        <v>515</v>
      </c>
      <c r="DW503" t="s">
        <v>515</v>
      </c>
      <c r="DX503">
        <v>1</v>
      </c>
      <c r="DZ503" t="s">
        <v>3</v>
      </c>
      <c r="EA503" t="s">
        <v>3</v>
      </c>
      <c r="EB503" t="s">
        <v>3</v>
      </c>
      <c r="EC503" t="s">
        <v>3</v>
      </c>
      <c r="EE503">
        <v>126051525</v>
      </c>
      <c r="EF503">
        <v>30</v>
      </c>
      <c r="EG503" t="s">
        <v>23</v>
      </c>
      <c r="EH503">
        <v>0</v>
      </c>
      <c r="EI503" t="s">
        <v>3</v>
      </c>
      <c r="EJ503">
        <v>1</v>
      </c>
      <c r="EK503">
        <v>64</v>
      </c>
      <c r="EL503" t="s">
        <v>517</v>
      </c>
      <c r="EM503" t="s">
        <v>518</v>
      </c>
      <c r="EO503" t="s">
        <v>90</v>
      </c>
      <c r="EQ503">
        <v>131072</v>
      </c>
      <c r="ER503">
        <v>24.35</v>
      </c>
      <c r="ES503">
        <v>1.06</v>
      </c>
      <c r="ET503">
        <v>15.17</v>
      </c>
      <c r="EU503">
        <v>3.78</v>
      </c>
      <c r="EV503">
        <v>8.1199999999999992</v>
      </c>
      <c r="EW503">
        <v>0.78</v>
      </c>
      <c r="EX503">
        <v>0</v>
      </c>
      <c r="EY503">
        <v>0</v>
      </c>
      <c r="FQ503">
        <v>0</v>
      </c>
      <c r="FR503">
        <f t="shared" si="442"/>
        <v>0</v>
      </c>
      <c r="FS503">
        <v>0</v>
      </c>
      <c r="FX503">
        <v>91</v>
      </c>
      <c r="FY503">
        <v>70</v>
      </c>
      <c r="GA503" t="s">
        <v>3</v>
      </c>
      <c r="GD503">
        <v>0</v>
      </c>
      <c r="GF503">
        <v>967582129</v>
      </c>
      <c r="GG503">
        <v>2</v>
      </c>
      <c r="GH503">
        <v>1</v>
      </c>
      <c r="GI503">
        <v>2</v>
      </c>
      <c r="GJ503">
        <v>0</v>
      </c>
      <c r="GK503">
        <f>ROUND(R503*(S12)/100,2)</f>
        <v>463.09</v>
      </c>
      <c r="GL503">
        <f t="shared" si="443"/>
        <v>0</v>
      </c>
      <c r="GM503">
        <f t="shared" si="444"/>
        <v>2235.16</v>
      </c>
      <c r="GN503">
        <f t="shared" si="445"/>
        <v>2235.16</v>
      </c>
      <c r="GO503">
        <f t="shared" si="446"/>
        <v>0</v>
      </c>
      <c r="GP503">
        <f t="shared" si="447"/>
        <v>0</v>
      </c>
      <c r="GR503">
        <v>0</v>
      </c>
      <c r="GS503">
        <v>3</v>
      </c>
      <c r="GT503">
        <v>0</v>
      </c>
      <c r="GU503" t="s">
        <v>3</v>
      </c>
      <c r="GV503">
        <f t="shared" si="448"/>
        <v>0</v>
      </c>
      <c r="GW503">
        <v>1</v>
      </c>
      <c r="GX503">
        <f t="shared" si="449"/>
        <v>0</v>
      </c>
      <c r="HA503">
        <v>0</v>
      </c>
      <c r="HB503">
        <v>0</v>
      </c>
      <c r="HC503">
        <f t="shared" si="450"/>
        <v>0</v>
      </c>
      <c r="HE503" t="s">
        <v>3</v>
      </c>
      <c r="HF503" t="s">
        <v>3</v>
      </c>
      <c r="HM503" t="s">
        <v>3</v>
      </c>
      <c r="HN503" t="s">
        <v>3</v>
      </c>
      <c r="HO503" t="s">
        <v>3</v>
      </c>
      <c r="HP503" t="s">
        <v>3</v>
      </c>
      <c r="HQ503" t="s">
        <v>3</v>
      </c>
      <c r="IK503">
        <v>0</v>
      </c>
    </row>
    <row r="504" spans="1:255" x14ac:dyDescent="0.2">
      <c r="A504" s="2">
        <v>18</v>
      </c>
      <c r="B504" s="2">
        <v>1</v>
      </c>
      <c r="C504" s="2">
        <v>452</v>
      </c>
      <c r="D504" s="2"/>
      <c r="E504" s="2" t="s">
        <v>100</v>
      </c>
      <c r="F504" s="2" t="s">
        <v>92</v>
      </c>
      <c r="G504" s="2" t="s">
        <v>93</v>
      </c>
      <c r="H504" s="2" t="s">
        <v>94</v>
      </c>
      <c r="I504" s="2">
        <f>I502*J504</f>
        <v>2.3210000000000002</v>
      </c>
      <c r="J504" s="2">
        <v>1.1000000000000001</v>
      </c>
      <c r="K504" s="2">
        <v>1.1000000000000001</v>
      </c>
      <c r="L504" s="2"/>
      <c r="M504" s="2"/>
      <c r="N504" s="2"/>
      <c r="O504" s="2">
        <f t="shared" si="420"/>
        <v>243.68</v>
      </c>
      <c r="P504" s="2">
        <f t="shared" si="421"/>
        <v>243.68</v>
      </c>
      <c r="Q504" s="2">
        <f>(ROUND((ROUND(((ET504)*AV504*I504),2)*BB504),2)+ROUND((ROUND(((AE504-(EU504))*AV504*I504),2)*BS504),2))</f>
        <v>0</v>
      </c>
      <c r="R504" s="2">
        <f t="shared" si="422"/>
        <v>0</v>
      </c>
      <c r="S504" s="2">
        <f t="shared" si="423"/>
        <v>0</v>
      </c>
      <c r="T504" s="2">
        <f t="shared" si="424"/>
        <v>0</v>
      </c>
      <c r="U504" s="2">
        <f t="shared" si="425"/>
        <v>0</v>
      </c>
      <c r="V504" s="2">
        <f t="shared" si="426"/>
        <v>0</v>
      </c>
      <c r="W504" s="2">
        <f t="shared" si="427"/>
        <v>0</v>
      </c>
      <c r="X504" s="2">
        <f t="shared" si="428"/>
        <v>0</v>
      </c>
      <c r="Y504" s="2">
        <f t="shared" si="429"/>
        <v>0</v>
      </c>
      <c r="Z504" s="2"/>
      <c r="AA504" s="2">
        <v>129761636</v>
      </c>
      <c r="AB504" s="2">
        <f t="shared" si="430"/>
        <v>104.99</v>
      </c>
      <c r="AC504" s="2">
        <f t="shared" si="431"/>
        <v>104.99</v>
      </c>
      <c r="AD504" s="2">
        <f>ROUND((((ET504)-(EU504))+AE504),6)</f>
        <v>0</v>
      </c>
      <c r="AE504" s="2">
        <f>ROUND((EU504),6)</f>
        <v>0</v>
      </c>
      <c r="AF504" s="2">
        <f>ROUND((EV504),6)</f>
        <v>0</v>
      </c>
      <c r="AG504" s="2">
        <f t="shared" si="432"/>
        <v>0</v>
      </c>
      <c r="AH504" s="2">
        <f>(EW504)</f>
        <v>0</v>
      </c>
      <c r="AI504" s="2">
        <f>(EX504)</f>
        <v>0</v>
      </c>
      <c r="AJ504" s="2">
        <f t="shared" si="433"/>
        <v>0</v>
      </c>
      <c r="AK504" s="2">
        <v>104.99</v>
      </c>
      <c r="AL504" s="2">
        <v>104.99</v>
      </c>
      <c r="AM504" s="2">
        <v>0</v>
      </c>
      <c r="AN504" s="2">
        <v>0</v>
      </c>
      <c r="AO504" s="2">
        <v>0</v>
      </c>
      <c r="AP504" s="2">
        <v>0</v>
      </c>
      <c r="AQ504" s="2">
        <v>0</v>
      </c>
      <c r="AR504" s="2">
        <v>0</v>
      </c>
      <c r="AS504" s="2">
        <v>0</v>
      </c>
      <c r="AT504" s="2">
        <v>91</v>
      </c>
      <c r="AU504" s="2">
        <v>70</v>
      </c>
      <c r="AV504" s="2">
        <v>1</v>
      </c>
      <c r="AW504" s="2">
        <v>1</v>
      </c>
      <c r="AX504" s="2"/>
      <c r="AY504" s="2"/>
      <c r="AZ504" s="2">
        <v>1</v>
      </c>
      <c r="BA504" s="2">
        <v>1</v>
      </c>
      <c r="BB504" s="2">
        <v>1</v>
      </c>
      <c r="BC504" s="2">
        <v>1</v>
      </c>
      <c r="BD504" s="2" t="s">
        <v>3</v>
      </c>
      <c r="BE504" s="2" t="s">
        <v>3</v>
      </c>
      <c r="BF504" s="2" t="s">
        <v>3</v>
      </c>
      <c r="BG504" s="2" t="s">
        <v>3</v>
      </c>
      <c r="BH504" s="2">
        <v>3</v>
      </c>
      <c r="BI504" s="2">
        <v>1</v>
      </c>
      <c r="BJ504" s="2" t="s">
        <v>95</v>
      </c>
      <c r="BK504" s="2"/>
      <c r="BL504" s="2"/>
      <c r="BM504" s="2">
        <v>64</v>
      </c>
      <c r="BN504" s="2">
        <v>0</v>
      </c>
      <c r="BO504" s="2" t="s">
        <v>3</v>
      </c>
      <c r="BP504" s="2">
        <v>0</v>
      </c>
      <c r="BQ504" s="2">
        <v>30</v>
      </c>
      <c r="BR504" s="2">
        <v>0</v>
      </c>
      <c r="BS504" s="2">
        <v>1</v>
      </c>
      <c r="BT504" s="2">
        <v>1</v>
      </c>
      <c r="BU504" s="2">
        <v>1</v>
      </c>
      <c r="BV504" s="2">
        <v>1</v>
      </c>
      <c r="BW504" s="2">
        <v>1</v>
      </c>
      <c r="BX504" s="2">
        <v>1</v>
      </c>
      <c r="BY504" s="2" t="s">
        <v>3</v>
      </c>
      <c r="BZ504" s="2">
        <v>91</v>
      </c>
      <c r="CA504" s="2">
        <v>70</v>
      </c>
      <c r="CB504" s="2" t="s">
        <v>3</v>
      </c>
      <c r="CC504" s="2"/>
      <c r="CD504" s="2"/>
      <c r="CE504" s="2">
        <v>30</v>
      </c>
      <c r="CF504" s="2">
        <v>0</v>
      </c>
      <c r="CG504" s="2">
        <v>0</v>
      </c>
      <c r="CH504" s="2"/>
      <c r="CI504" s="2"/>
      <c r="CJ504" s="2"/>
      <c r="CK504" s="2"/>
      <c r="CL504" s="2"/>
      <c r="CM504" s="2">
        <v>0</v>
      </c>
      <c r="CN504" s="2" t="s">
        <v>3</v>
      </c>
      <c r="CO504" s="2">
        <v>0</v>
      </c>
      <c r="CP504" s="2">
        <f t="shared" si="434"/>
        <v>243.68</v>
      </c>
      <c r="CQ504" s="2">
        <f t="shared" si="435"/>
        <v>104.99</v>
      </c>
      <c r="CR504" s="2">
        <f>(ROUND((ROUND(((ET504)*AV504*1),2)*BB504),2)+ROUND((ROUND(((AE504-(EU504))*AV504*1),2)*BS504),2))</f>
        <v>0</v>
      </c>
      <c r="CS504" s="2">
        <f t="shared" si="436"/>
        <v>0</v>
      </c>
      <c r="CT504" s="2">
        <f t="shared" si="437"/>
        <v>0</v>
      </c>
      <c r="CU504" s="2">
        <f t="shared" si="438"/>
        <v>0</v>
      </c>
      <c r="CV504" s="2">
        <f t="shared" si="439"/>
        <v>0</v>
      </c>
      <c r="CW504" s="2">
        <f t="shared" si="440"/>
        <v>0</v>
      </c>
      <c r="CX504" s="2">
        <f t="shared" si="441"/>
        <v>0</v>
      </c>
      <c r="CY504" s="2">
        <f>((S504*BZ504)/100)</f>
        <v>0</v>
      </c>
      <c r="CZ504" s="2">
        <f>((S504*CA504)/100)</f>
        <v>0</v>
      </c>
      <c r="DA504" s="2"/>
      <c r="DB504" s="2"/>
      <c r="DC504" s="2" t="s">
        <v>3</v>
      </c>
      <c r="DD504" s="2" t="s">
        <v>3</v>
      </c>
      <c r="DE504" s="2" t="s">
        <v>3</v>
      </c>
      <c r="DF504" s="2" t="s">
        <v>3</v>
      </c>
      <c r="DG504" s="2" t="s">
        <v>3</v>
      </c>
      <c r="DH504" s="2" t="s">
        <v>3</v>
      </c>
      <c r="DI504" s="2" t="s">
        <v>3</v>
      </c>
      <c r="DJ504" s="2" t="s">
        <v>3</v>
      </c>
      <c r="DK504" s="2" t="s">
        <v>3</v>
      </c>
      <c r="DL504" s="2" t="s">
        <v>3</v>
      </c>
      <c r="DM504" s="2" t="s">
        <v>3</v>
      </c>
      <c r="DN504" s="2">
        <v>0</v>
      </c>
      <c r="DO504" s="2">
        <v>0</v>
      </c>
      <c r="DP504" s="2">
        <v>1</v>
      </c>
      <c r="DQ504" s="2">
        <v>1</v>
      </c>
      <c r="DR504" s="2"/>
      <c r="DS504" s="2"/>
      <c r="DT504" s="2"/>
      <c r="DU504" s="2">
        <v>1007</v>
      </c>
      <c r="DV504" s="2" t="s">
        <v>94</v>
      </c>
      <c r="DW504" s="2" t="s">
        <v>94</v>
      </c>
      <c r="DX504" s="2">
        <v>1</v>
      </c>
      <c r="DY504" s="2"/>
      <c r="DZ504" s="2" t="s">
        <v>3</v>
      </c>
      <c r="EA504" s="2" t="s">
        <v>3</v>
      </c>
      <c r="EB504" s="2" t="s">
        <v>3</v>
      </c>
      <c r="EC504" s="2" t="s">
        <v>3</v>
      </c>
      <c r="ED504" s="2"/>
      <c r="EE504" s="2">
        <v>126051525</v>
      </c>
      <c r="EF504" s="2">
        <v>30</v>
      </c>
      <c r="EG504" s="2" t="s">
        <v>23</v>
      </c>
      <c r="EH504" s="2">
        <v>0</v>
      </c>
      <c r="EI504" s="2" t="s">
        <v>3</v>
      </c>
      <c r="EJ504" s="2">
        <v>1</v>
      </c>
      <c r="EK504" s="2">
        <v>64</v>
      </c>
      <c r="EL504" s="2" t="s">
        <v>517</v>
      </c>
      <c r="EM504" s="2" t="s">
        <v>518</v>
      </c>
      <c r="EN504" s="2"/>
      <c r="EO504" s="2" t="s">
        <v>3</v>
      </c>
      <c r="EP504" s="2"/>
      <c r="EQ504" s="2">
        <v>0</v>
      </c>
      <c r="ER504" s="2">
        <v>104.99</v>
      </c>
      <c r="ES504" s="2">
        <v>104.99</v>
      </c>
      <c r="ET504" s="2">
        <v>0</v>
      </c>
      <c r="EU504" s="2">
        <v>0</v>
      </c>
      <c r="EV504" s="2">
        <v>0</v>
      </c>
      <c r="EW504" s="2">
        <v>0</v>
      </c>
      <c r="EX504" s="2">
        <v>0</v>
      </c>
      <c r="EY504" s="2"/>
      <c r="EZ504" s="2"/>
      <c r="FA504" s="2"/>
      <c r="FB504" s="2"/>
      <c r="FC504" s="2"/>
      <c r="FD504" s="2"/>
      <c r="FE504" s="2"/>
      <c r="FF504" s="2"/>
      <c r="FG504" s="2"/>
      <c r="FH504" s="2"/>
      <c r="FI504" s="2"/>
      <c r="FJ504" s="2"/>
      <c r="FK504" s="2"/>
      <c r="FL504" s="2"/>
      <c r="FM504" s="2"/>
      <c r="FN504" s="2"/>
      <c r="FO504" s="2"/>
      <c r="FP504" s="2"/>
      <c r="FQ504" s="2">
        <v>0</v>
      </c>
      <c r="FR504" s="2">
        <f t="shared" si="442"/>
        <v>0</v>
      </c>
      <c r="FS504" s="2">
        <v>0</v>
      </c>
      <c r="FT504" s="2"/>
      <c r="FU504" s="2"/>
      <c r="FV504" s="2"/>
      <c r="FW504" s="2"/>
      <c r="FX504" s="2">
        <v>91</v>
      </c>
      <c r="FY504" s="2">
        <v>70</v>
      </c>
      <c r="FZ504" s="2"/>
      <c r="GA504" s="2" t="s">
        <v>3</v>
      </c>
      <c r="GB504" s="2"/>
      <c r="GC504" s="2"/>
      <c r="GD504" s="2">
        <v>0</v>
      </c>
      <c r="GE504" s="2"/>
      <c r="GF504" s="2">
        <v>2069056849</v>
      </c>
      <c r="GG504" s="2">
        <v>2</v>
      </c>
      <c r="GH504" s="2">
        <v>1</v>
      </c>
      <c r="GI504" s="2">
        <v>-2</v>
      </c>
      <c r="GJ504" s="2">
        <v>0</v>
      </c>
      <c r="GK504" s="2">
        <f>ROUND(R504*(R12)/100,2)</f>
        <v>0</v>
      </c>
      <c r="GL504" s="2">
        <f t="shared" si="443"/>
        <v>0</v>
      </c>
      <c r="GM504" s="2">
        <f t="shared" si="444"/>
        <v>243.68</v>
      </c>
      <c r="GN504" s="2">
        <f t="shared" si="445"/>
        <v>243.68</v>
      </c>
      <c r="GO504" s="2">
        <f t="shared" si="446"/>
        <v>0</v>
      </c>
      <c r="GP504" s="2">
        <f t="shared" si="447"/>
        <v>0</v>
      </c>
      <c r="GQ504" s="2"/>
      <c r="GR504" s="2">
        <v>0</v>
      </c>
      <c r="GS504" s="2">
        <v>0</v>
      </c>
      <c r="GT504" s="2">
        <v>0</v>
      </c>
      <c r="GU504" s="2" t="s">
        <v>3</v>
      </c>
      <c r="GV504" s="2">
        <f t="shared" si="448"/>
        <v>0</v>
      </c>
      <c r="GW504" s="2">
        <v>1</v>
      </c>
      <c r="GX504" s="2">
        <f t="shared" si="449"/>
        <v>0</v>
      </c>
      <c r="GY504" s="2"/>
      <c r="GZ504" s="2"/>
      <c r="HA504" s="2">
        <v>0</v>
      </c>
      <c r="HB504" s="2">
        <v>0</v>
      </c>
      <c r="HC504" s="2">
        <f t="shared" si="450"/>
        <v>0</v>
      </c>
      <c r="HD504" s="2"/>
      <c r="HE504" s="2" t="s">
        <v>3</v>
      </c>
      <c r="HF504" s="2" t="s">
        <v>3</v>
      </c>
      <c r="HG504" s="2"/>
      <c r="HH504" s="2"/>
      <c r="HI504" s="2"/>
      <c r="HJ504" s="2"/>
      <c r="HK504" s="2"/>
      <c r="HL504" s="2"/>
      <c r="HM504" s="2" t="s">
        <v>3</v>
      </c>
      <c r="HN504" s="2" t="s">
        <v>3</v>
      </c>
      <c r="HO504" s="2" t="s">
        <v>3</v>
      </c>
      <c r="HP504" s="2" t="s">
        <v>3</v>
      </c>
      <c r="HQ504" s="2" t="s">
        <v>3</v>
      </c>
      <c r="HR504" s="2"/>
      <c r="HS504" s="2"/>
      <c r="HT504" s="2"/>
      <c r="HU504" s="2"/>
      <c r="HV504" s="2"/>
      <c r="HW504" s="2"/>
      <c r="HX504" s="2"/>
      <c r="HY504" s="2"/>
      <c r="HZ504" s="2"/>
      <c r="IA504" s="2"/>
      <c r="IB504" s="2"/>
      <c r="IC504" s="2"/>
      <c r="ID504" s="2"/>
      <c r="IE504" s="2"/>
      <c r="IF504" s="2"/>
      <c r="IG504" s="2"/>
      <c r="IH504" s="2"/>
      <c r="II504" s="2"/>
      <c r="IJ504" s="2"/>
      <c r="IK504" s="2">
        <v>0</v>
      </c>
      <c r="IL504" s="2"/>
      <c r="IM504" s="2"/>
      <c r="IN504" s="2"/>
      <c r="IO504" s="2"/>
      <c r="IP504" s="2"/>
      <c r="IQ504" s="2"/>
      <c r="IR504" s="2"/>
      <c r="IS504" s="2"/>
      <c r="IT504" s="2"/>
      <c r="IU504" s="2"/>
    </row>
    <row r="505" spans="1:255" x14ac:dyDescent="0.2">
      <c r="A505">
        <v>18</v>
      </c>
      <c r="B505">
        <v>1</v>
      </c>
      <c r="C505">
        <v>458</v>
      </c>
      <c r="E505" t="s">
        <v>100</v>
      </c>
      <c r="F505" t="s">
        <v>92</v>
      </c>
      <c r="G505" t="s">
        <v>93</v>
      </c>
      <c r="H505" t="s">
        <v>94</v>
      </c>
      <c r="I505">
        <f>I503*J505</f>
        <v>2.3210000000000002</v>
      </c>
      <c r="J505">
        <v>1.1000000000000001</v>
      </c>
      <c r="K505">
        <v>1.1000000000000001</v>
      </c>
      <c r="O505">
        <f t="shared" si="420"/>
        <v>1676.52</v>
      </c>
      <c r="P505">
        <f t="shared" si="421"/>
        <v>1676.52</v>
      </c>
      <c r="Q505">
        <f>(ROUND((ROUND(((ET505)*AV505*I505),2)*BB505),2)+ROUND((ROUND(((AE505-(EU505))*AV505*I505),2)*BS505),2))</f>
        <v>0</v>
      </c>
      <c r="R505">
        <f t="shared" si="422"/>
        <v>0</v>
      </c>
      <c r="S505">
        <f t="shared" si="423"/>
        <v>0</v>
      </c>
      <c r="T505">
        <f t="shared" si="424"/>
        <v>0</v>
      </c>
      <c r="U505">
        <f t="shared" si="425"/>
        <v>0</v>
      </c>
      <c r="V505">
        <f t="shared" si="426"/>
        <v>0</v>
      </c>
      <c r="W505">
        <f t="shared" si="427"/>
        <v>0</v>
      </c>
      <c r="X505">
        <f t="shared" si="428"/>
        <v>0</v>
      </c>
      <c r="Y505">
        <f t="shared" si="429"/>
        <v>0</v>
      </c>
      <c r="AA505">
        <v>129761633</v>
      </c>
      <c r="AB505">
        <f t="shared" si="430"/>
        <v>104.99</v>
      </c>
      <c r="AC505">
        <f t="shared" si="431"/>
        <v>104.99</v>
      </c>
      <c r="AD505">
        <f>ROUND((((ET505)-(EU505))+AE505),6)</f>
        <v>0</v>
      </c>
      <c r="AE505">
        <f>ROUND((EU505),6)</f>
        <v>0</v>
      </c>
      <c r="AF505">
        <f>ROUND((EV505),6)</f>
        <v>0</v>
      </c>
      <c r="AG505">
        <f t="shared" si="432"/>
        <v>0</v>
      </c>
      <c r="AH505">
        <f>(EW505)</f>
        <v>0</v>
      </c>
      <c r="AI505">
        <f>(EX505)</f>
        <v>0</v>
      </c>
      <c r="AJ505">
        <f t="shared" si="433"/>
        <v>0</v>
      </c>
      <c r="AK505">
        <v>104.99</v>
      </c>
      <c r="AL505">
        <v>104.99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1</v>
      </c>
      <c r="AW505">
        <v>1</v>
      </c>
      <c r="AZ505">
        <v>1</v>
      </c>
      <c r="BA505">
        <v>1</v>
      </c>
      <c r="BB505">
        <v>1</v>
      </c>
      <c r="BC505">
        <v>6.88</v>
      </c>
      <c r="BD505" t="s">
        <v>3</v>
      </c>
      <c r="BE505" t="s">
        <v>3</v>
      </c>
      <c r="BF505" t="s">
        <v>3</v>
      </c>
      <c r="BG505" t="s">
        <v>3</v>
      </c>
      <c r="BH505">
        <v>3</v>
      </c>
      <c r="BI505">
        <v>1</v>
      </c>
      <c r="BJ505" t="s">
        <v>95</v>
      </c>
      <c r="BM505">
        <v>64</v>
      </c>
      <c r="BN505">
        <v>0</v>
      </c>
      <c r="BO505" t="s">
        <v>92</v>
      </c>
      <c r="BP505">
        <v>1</v>
      </c>
      <c r="BQ505">
        <v>30</v>
      </c>
      <c r="BR505">
        <v>0</v>
      </c>
      <c r="BS505">
        <v>1</v>
      </c>
      <c r="BT505">
        <v>1</v>
      </c>
      <c r="BU505">
        <v>1</v>
      </c>
      <c r="BV505">
        <v>1</v>
      </c>
      <c r="BW505">
        <v>1</v>
      </c>
      <c r="BX505">
        <v>1</v>
      </c>
      <c r="BY505" t="s">
        <v>3</v>
      </c>
      <c r="BZ505">
        <v>0</v>
      </c>
      <c r="CA505">
        <v>0</v>
      </c>
      <c r="CB505" t="s">
        <v>3</v>
      </c>
      <c r="CE505">
        <v>30</v>
      </c>
      <c r="CF505">
        <v>0</v>
      </c>
      <c r="CG505">
        <v>0</v>
      </c>
      <c r="CM505">
        <v>0</v>
      </c>
      <c r="CN505" t="s">
        <v>3</v>
      </c>
      <c r="CO505">
        <v>0</v>
      </c>
      <c r="CP505">
        <f t="shared" si="434"/>
        <v>1676.52</v>
      </c>
      <c r="CQ505">
        <f t="shared" si="435"/>
        <v>722.33</v>
      </c>
      <c r="CR505">
        <f>(ROUND((ROUND(((ET505)*AV505*1),2)*BB505),2)+ROUND((ROUND(((AE505-(EU505))*AV505*1),2)*BS505),2))</f>
        <v>0</v>
      </c>
      <c r="CS505">
        <f t="shared" si="436"/>
        <v>0</v>
      </c>
      <c r="CT505">
        <f t="shared" si="437"/>
        <v>0</v>
      </c>
      <c r="CU505">
        <f t="shared" si="438"/>
        <v>0</v>
      </c>
      <c r="CV505">
        <f t="shared" si="439"/>
        <v>0</v>
      </c>
      <c r="CW505">
        <f t="shared" si="440"/>
        <v>0</v>
      </c>
      <c r="CX505">
        <f t="shared" si="441"/>
        <v>0</v>
      </c>
      <c r="CY505">
        <f>S505*(BZ505/100)</f>
        <v>0</v>
      </c>
      <c r="CZ505">
        <f>S505*(CA505/100)</f>
        <v>0</v>
      </c>
      <c r="DC505" t="s">
        <v>3</v>
      </c>
      <c r="DD505" t="s">
        <v>3</v>
      </c>
      <c r="DE505" t="s">
        <v>3</v>
      </c>
      <c r="DF505" t="s">
        <v>3</v>
      </c>
      <c r="DG505" t="s">
        <v>3</v>
      </c>
      <c r="DH505" t="s">
        <v>3</v>
      </c>
      <c r="DI505" t="s">
        <v>3</v>
      </c>
      <c r="DJ505" t="s">
        <v>3</v>
      </c>
      <c r="DK505" t="s">
        <v>3</v>
      </c>
      <c r="DL505" t="s">
        <v>3</v>
      </c>
      <c r="DM505" t="s">
        <v>3</v>
      </c>
      <c r="DN505">
        <v>91</v>
      </c>
      <c r="DO505">
        <v>70</v>
      </c>
      <c r="DP505">
        <v>1</v>
      </c>
      <c r="DQ505">
        <v>1</v>
      </c>
      <c r="DU505">
        <v>1007</v>
      </c>
      <c r="DV505" t="s">
        <v>94</v>
      </c>
      <c r="DW505" t="s">
        <v>94</v>
      </c>
      <c r="DX505">
        <v>1</v>
      </c>
      <c r="DZ505" t="s">
        <v>3</v>
      </c>
      <c r="EA505" t="s">
        <v>3</v>
      </c>
      <c r="EB505" t="s">
        <v>3</v>
      </c>
      <c r="EC505" t="s">
        <v>3</v>
      </c>
      <c r="EE505">
        <v>126051525</v>
      </c>
      <c r="EF505">
        <v>30</v>
      </c>
      <c r="EG505" t="s">
        <v>23</v>
      </c>
      <c r="EH505">
        <v>0</v>
      </c>
      <c r="EI505" t="s">
        <v>3</v>
      </c>
      <c r="EJ505">
        <v>1</v>
      </c>
      <c r="EK505">
        <v>64</v>
      </c>
      <c r="EL505" t="s">
        <v>517</v>
      </c>
      <c r="EM505" t="s">
        <v>518</v>
      </c>
      <c r="EO505" t="s">
        <v>3</v>
      </c>
      <c r="EQ505">
        <v>0</v>
      </c>
      <c r="ER505">
        <v>104.99</v>
      </c>
      <c r="ES505">
        <v>104.99</v>
      </c>
      <c r="ET505">
        <v>0</v>
      </c>
      <c r="EU505">
        <v>0</v>
      </c>
      <c r="EV505">
        <v>0</v>
      </c>
      <c r="EW505">
        <v>0</v>
      </c>
      <c r="EX505">
        <v>0</v>
      </c>
      <c r="FQ505">
        <v>0</v>
      </c>
      <c r="FR505">
        <f t="shared" si="442"/>
        <v>0</v>
      </c>
      <c r="FS505">
        <v>0</v>
      </c>
      <c r="FX505">
        <v>91</v>
      </c>
      <c r="FY505">
        <v>70</v>
      </c>
      <c r="GA505" t="s">
        <v>3</v>
      </c>
      <c r="GD505">
        <v>0</v>
      </c>
      <c r="GF505">
        <v>2069056849</v>
      </c>
      <c r="GG505">
        <v>2</v>
      </c>
      <c r="GH505">
        <v>1</v>
      </c>
      <c r="GI505">
        <v>2</v>
      </c>
      <c r="GJ505">
        <v>0</v>
      </c>
      <c r="GK505">
        <f>ROUND(R505*(S12)/100,2)</f>
        <v>0</v>
      </c>
      <c r="GL505">
        <f t="shared" si="443"/>
        <v>0</v>
      </c>
      <c r="GM505">
        <f t="shared" si="444"/>
        <v>1676.52</v>
      </c>
      <c r="GN505">
        <f t="shared" si="445"/>
        <v>1676.52</v>
      </c>
      <c r="GO505">
        <f t="shared" si="446"/>
        <v>0</v>
      </c>
      <c r="GP505">
        <f t="shared" si="447"/>
        <v>0</v>
      </c>
      <c r="GR505">
        <v>0</v>
      </c>
      <c r="GS505">
        <v>3</v>
      </c>
      <c r="GT505">
        <v>0</v>
      </c>
      <c r="GU505" t="s">
        <v>3</v>
      </c>
      <c r="GV505">
        <f t="shared" si="448"/>
        <v>0</v>
      </c>
      <c r="GW505">
        <v>1</v>
      </c>
      <c r="GX505">
        <f t="shared" si="449"/>
        <v>0</v>
      </c>
      <c r="HA505">
        <v>0</v>
      </c>
      <c r="HB505">
        <v>0</v>
      </c>
      <c r="HC505">
        <f t="shared" si="450"/>
        <v>0</v>
      </c>
      <c r="HE505" t="s">
        <v>3</v>
      </c>
      <c r="HF505" t="s">
        <v>3</v>
      </c>
      <c r="HM505" t="s">
        <v>3</v>
      </c>
      <c r="HN505" t="s">
        <v>3</v>
      </c>
      <c r="HO505" t="s">
        <v>3</v>
      </c>
      <c r="HP505" t="s">
        <v>3</v>
      </c>
      <c r="HQ505" t="s">
        <v>3</v>
      </c>
      <c r="IK505">
        <v>0</v>
      </c>
    </row>
    <row r="506" spans="1:255" x14ac:dyDescent="0.2">
      <c r="A506" s="2">
        <v>17</v>
      </c>
      <c r="B506" s="2">
        <v>1</v>
      </c>
      <c r="C506" s="2">
        <f>ROW(SmtRes!A464)</f>
        <v>464</v>
      </c>
      <c r="D506" s="2">
        <f>ROW(EtalonRes!A470)</f>
        <v>470</v>
      </c>
      <c r="E506" s="2" t="s">
        <v>104</v>
      </c>
      <c r="F506" s="2" t="s">
        <v>519</v>
      </c>
      <c r="G506" s="2" t="s">
        <v>520</v>
      </c>
      <c r="H506" s="2" t="s">
        <v>515</v>
      </c>
      <c r="I506" s="2">
        <v>2.11</v>
      </c>
      <c r="J506" s="2">
        <v>0</v>
      </c>
      <c r="K506" s="2">
        <v>2.11</v>
      </c>
      <c r="L506" s="2"/>
      <c r="M506" s="2"/>
      <c r="N506" s="2"/>
      <c r="O506" s="2">
        <f t="shared" si="420"/>
        <v>65.959999999999994</v>
      </c>
      <c r="P506" s="2">
        <f t="shared" si="421"/>
        <v>2.2400000000000002</v>
      </c>
      <c r="Q506" s="2">
        <f>(ROUND((ROUND((((ET506*1.25))*AV506*I506),2)*BB506),2)+ROUND((ROUND(((AE506-((EU506*1.25)))*AV506*I506),2)*BS506),2))</f>
        <v>42.25</v>
      </c>
      <c r="R506" s="2">
        <f t="shared" si="422"/>
        <v>10.68</v>
      </c>
      <c r="S506" s="2">
        <f t="shared" si="423"/>
        <v>21.47</v>
      </c>
      <c r="T506" s="2">
        <f t="shared" si="424"/>
        <v>0</v>
      </c>
      <c r="U506" s="2">
        <f t="shared" si="425"/>
        <v>2.0625249999999995</v>
      </c>
      <c r="V506" s="2">
        <f t="shared" si="426"/>
        <v>0</v>
      </c>
      <c r="W506" s="2">
        <f t="shared" si="427"/>
        <v>0</v>
      </c>
      <c r="X506" s="2">
        <f t="shared" si="428"/>
        <v>19.54</v>
      </c>
      <c r="Y506" s="2">
        <f t="shared" si="429"/>
        <v>15.03</v>
      </c>
      <c r="Z506" s="2"/>
      <c r="AA506" s="2">
        <v>129761636</v>
      </c>
      <c r="AB506" s="2">
        <f t="shared" si="430"/>
        <v>31.262499999999999</v>
      </c>
      <c r="AC506" s="2">
        <f t="shared" si="431"/>
        <v>1.06</v>
      </c>
      <c r="AD506" s="2">
        <f>ROUND(((((ET506*1.25))-((EU506*1.25)))+AE506),6)</f>
        <v>20.024999999999999</v>
      </c>
      <c r="AE506" s="2">
        <f>ROUND(((EU506*1.25)),6)</f>
        <v>5.0625</v>
      </c>
      <c r="AF506" s="2">
        <f>ROUND(((EV506*1.15)),6)</f>
        <v>10.1775</v>
      </c>
      <c r="AG506" s="2">
        <f t="shared" si="432"/>
        <v>0</v>
      </c>
      <c r="AH506" s="2">
        <f>((EW506*1.15))</f>
        <v>0.97749999999999992</v>
      </c>
      <c r="AI506" s="2">
        <f>((EX506*1.25))</f>
        <v>0</v>
      </c>
      <c r="AJ506" s="2">
        <f t="shared" si="433"/>
        <v>0</v>
      </c>
      <c r="AK506" s="2">
        <v>25.93</v>
      </c>
      <c r="AL506" s="2">
        <v>1.06</v>
      </c>
      <c r="AM506" s="2">
        <v>16.02</v>
      </c>
      <c r="AN506" s="2">
        <v>4.05</v>
      </c>
      <c r="AO506" s="2">
        <v>8.85</v>
      </c>
      <c r="AP506" s="2">
        <v>0</v>
      </c>
      <c r="AQ506" s="2">
        <v>0.85</v>
      </c>
      <c r="AR506" s="2">
        <v>0</v>
      </c>
      <c r="AS506" s="2">
        <v>0</v>
      </c>
      <c r="AT506" s="2">
        <v>91</v>
      </c>
      <c r="AU506" s="2">
        <v>70</v>
      </c>
      <c r="AV506" s="2">
        <v>1</v>
      </c>
      <c r="AW506" s="2">
        <v>1</v>
      </c>
      <c r="AX506" s="2"/>
      <c r="AY506" s="2"/>
      <c r="AZ506" s="2">
        <v>1</v>
      </c>
      <c r="BA506" s="2">
        <v>1</v>
      </c>
      <c r="BB506" s="2">
        <v>1</v>
      </c>
      <c r="BC506" s="2">
        <v>1</v>
      </c>
      <c r="BD506" s="2" t="s">
        <v>3</v>
      </c>
      <c r="BE506" s="2" t="s">
        <v>3</v>
      </c>
      <c r="BF506" s="2" t="s">
        <v>3</v>
      </c>
      <c r="BG506" s="2" t="s">
        <v>3</v>
      </c>
      <c r="BH506" s="2">
        <v>0</v>
      </c>
      <c r="BI506" s="2">
        <v>1</v>
      </c>
      <c r="BJ506" s="2" t="s">
        <v>521</v>
      </c>
      <c r="BK506" s="2"/>
      <c r="BL506" s="2"/>
      <c r="BM506" s="2">
        <v>64</v>
      </c>
      <c r="BN506" s="2">
        <v>0</v>
      </c>
      <c r="BO506" s="2" t="s">
        <v>3</v>
      </c>
      <c r="BP506" s="2">
        <v>0</v>
      </c>
      <c r="BQ506" s="2">
        <v>30</v>
      </c>
      <c r="BR506" s="2">
        <v>0</v>
      </c>
      <c r="BS506" s="2">
        <v>1</v>
      </c>
      <c r="BT506" s="2">
        <v>1</v>
      </c>
      <c r="BU506" s="2">
        <v>1</v>
      </c>
      <c r="BV506" s="2">
        <v>1</v>
      </c>
      <c r="BW506" s="2">
        <v>1</v>
      </c>
      <c r="BX506" s="2">
        <v>1</v>
      </c>
      <c r="BY506" s="2" t="s">
        <v>3</v>
      </c>
      <c r="BZ506" s="2">
        <v>91</v>
      </c>
      <c r="CA506" s="2">
        <v>70</v>
      </c>
      <c r="CB506" s="2" t="s">
        <v>3</v>
      </c>
      <c r="CC506" s="2"/>
      <c r="CD506" s="2"/>
      <c r="CE506" s="2">
        <v>30</v>
      </c>
      <c r="CF506" s="2">
        <v>0</v>
      </c>
      <c r="CG506" s="2">
        <v>0</v>
      </c>
      <c r="CH506" s="2"/>
      <c r="CI506" s="2"/>
      <c r="CJ506" s="2"/>
      <c r="CK506" s="2"/>
      <c r="CL506" s="2"/>
      <c r="CM506" s="2">
        <v>0</v>
      </c>
      <c r="CN506" s="2" t="s">
        <v>1559</v>
      </c>
      <c r="CO506" s="2">
        <v>0</v>
      </c>
      <c r="CP506" s="2">
        <f t="shared" si="434"/>
        <v>65.960000000000008</v>
      </c>
      <c r="CQ506" s="2">
        <f t="shared" si="435"/>
        <v>1.06</v>
      </c>
      <c r="CR506" s="2">
        <f>(ROUND((ROUND((((ET506*1.25))*AV506*1),2)*BB506),2)+ROUND((ROUND(((AE506-((EU506*1.25)))*AV506*1),2)*BS506),2))</f>
        <v>20.03</v>
      </c>
      <c r="CS506" s="2">
        <f t="shared" si="436"/>
        <v>5.0599999999999996</v>
      </c>
      <c r="CT506" s="2">
        <f t="shared" si="437"/>
        <v>10.18</v>
      </c>
      <c r="CU506" s="2">
        <f t="shared" si="438"/>
        <v>0</v>
      </c>
      <c r="CV506" s="2">
        <f t="shared" si="439"/>
        <v>0.97749999999999992</v>
      </c>
      <c r="CW506" s="2">
        <f t="shared" si="440"/>
        <v>0</v>
      </c>
      <c r="CX506" s="2">
        <f t="shared" si="441"/>
        <v>0</v>
      </c>
      <c r="CY506" s="2">
        <f>((S506*BZ506)/100)</f>
        <v>19.537700000000001</v>
      </c>
      <c r="CZ506" s="2">
        <f>((S506*CA506)/100)</f>
        <v>15.028999999999998</v>
      </c>
      <c r="DA506" s="2"/>
      <c r="DB506" s="2"/>
      <c r="DC506" s="2" t="s">
        <v>3</v>
      </c>
      <c r="DD506" s="2" t="s">
        <v>3</v>
      </c>
      <c r="DE506" s="2" t="s">
        <v>86</v>
      </c>
      <c r="DF506" s="2" t="s">
        <v>86</v>
      </c>
      <c r="DG506" s="2" t="s">
        <v>87</v>
      </c>
      <c r="DH506" s="2" t="s">
        <v>3</v>
      </c>
      <c r="DI506" s="2" t="s">
        <v>87</v>
      </c>
      <c r="DJ506" s="2" t="s">
        <v>86</v>
      </c>
      <c r="DK506" s="2" t="s">
        <v>3</v>
      </c>
      <c r="DL506" s="2" t="s">
        <v>3</v>
      </c>
      <c r="DM506" s="2" t="s">
        <v>3</v>
      </c>
      <c r="DN506" s="2">
        <v>0</v>
      </c>
      <c r="DO506" s="2">
        <v>0</v>
      </c>
      <c r="DP506" s="2">
        <v>1</v>
      </c>
      <c r="DQ506" s="2">
        <v>1</v>
      </c>
      <c r="DR506" s="2"/>
      <c r="DS506" s="2"/>
      <c r="DT506" s="2"/>
      <c r="DU506" s="2">
        <v>1013</v>
      </c>
      <c r="DV506" s="2" t="s">
        <v>515</v>
      </c>
      <c r="DW506" s="2" t="s">
        <v>515</v>
      </c>
      <c r="DX506" s="2">
        <v>1</v>
      </c>
      <c r="DY506" s="2"/>
      <c r="DZ506" s="2" t="s">
        <v>3</v>
      </c>
      <c r="EA506" s="2" t="s">
        <v>3</v>
      </c>
      <c r="EB506" s="2" t="s">
        <v>3</v>
      </c>
      <c r="EC506" s="2" t="s">
        <v>3</v>
      </c>
      <c r="ED506" s="2"/>
      <c r="EE506" s="2">
        <v>126051525</v>
      </c>
      <c r="EF506" s="2">
        <v>30</v>
      </c>
      <c r="EG506" s="2" t="s">
        <v>23</v>
      </c>
      <c r="EH506" s="2">
        <v>0</v>
      </c>
      <c r="EI506" s="2" t="s">
        <v>3</v>
      </c>
      <c r="EJ506" s="2">
        <v>1</v>
      </c>
      <c r="EK506" s="2">
        <v>64</v>
      </c>
      <c r="EL506" s="2" t="s">
        <v>517</v>
      </c>
      <c r="EM506" s="2" t="s">
        <v>518</v>
      </c>
      <c r="EN506" s="2"/>
      <c r="EO506" s="2" t="s">
        <v>90</v>
      </c>
      <c r="EP506" s="2"/>
      <c r="EQ506" s="2">
        <v>131072</v>
      </c>
      <c r="ER506" s="2">
        <v>25.93</v>
      </c>
      <c r="ES506" s="2">
        <v>1.06</v>
      </c>
      <c r="ET506" s="2">
        <v>16.02</v>
      </c>
      <c r="EU506" s="2">
        <v>4.05</v>
      </c>
      <c r="EV506" s="2">
        <v>8.85</v>
      </c>
      <c r="EW506" s="2">
        <v>0.85</v>
      </c>
      <c r="EX506" s="2">
        <v>0</v>
      </c>
      <c r="EY506" s="2">
        <v>0</v>
      </c>
      <c r="EZ506" s="2"/>
      <c r="FA506" s="2"/>
      <c r="FB506" s="2"/>
      <c r="FC506" s="2"/>
      <c r="FD506" s="2"/>
      <c r="FE506" s="2"/>
      <c r="FF506" s="2"/>
      <c r="FG506" s="2"/>
      <c r="FH506" s="2"/>
      <c r="FI506" s="2"/>
      <c r="FJ506" s="2"/>
      <c r="FK506" s="2"/>
      <c r="FL506" s="2"/>
      <c r="FM506" s="2"/>
      <c r="FN506" s="2"/>
      <c r="FO506" s="2"/>
      <c r="FP506" s="2"/>
      <c r="FQ506" s="2">
        <v>0</v>
      </c>
      <c r="FR506" s="2">
        <f t="shared" si="442"/>
        <v>0</v>
      </c>
      <c r="FS506" s="2">
        <v>0</v>
      </c>
      <c r="FT506" s="2"/>
      <c r="FU506" s="2"/>
      <c r="FV506" s="2"/>
      <c r="FW506" s="2"/>
      <c r="FX506" s="2">
        <v>91</v>
      </c>
      <c r="FY506" s="2">
        <v>70</v>
      </c>
      <c r="FZ506" s="2"/>
      <c r="GA506" s="2" t="s">
        <v>3</v>
      </c>
      <c r="GB506" s="2"/>
      <c r="GC506" s="2"/>
      <c r="GD506" s="2">
        <v>0</v>
      </c>
      <c r="GE506" s="2"/>
      <c r="GF506" s="2">
        <v>-1346104101</v>
      </c>
      <c r="GG506" s="2">
        <v>2</v>
      </c>
      <c r="GH506" s="2">
        <v>1</v>
      </c>
      <c r="GI506" s="2">
        <v>-2</v>
      </c>
      <c r="GJ506" s="2">
        <v>0</v>
      </c>
      <c r="GK506" s="2">
        <f>ROUND(R506*(R12)/100,2)</f>
        <v>18.690000000000001</v>
      </c>
      <c r="GL506" s="2">
        <f t="shared" si="443"/>
        <v>0</v>
      </c>
      <c r="GM506" s="2">
        <f t="shared" si="444"/>
        <v>119.22</v>
      </c>
      <c r="GN506" s="2">
        <f t="shared" si="445"/>
        <v>119.22</v>
      </c>
      <c r="GO506" s="2">
        <f t="shared" si="446"/>
        <v>0</v>
      </c>
      <c r="GP506" s="2">
        <f t="shared" si="447"/>
        <v>0</v>
      </c>
      <c r="GQ506" s="2"/>
      <c r="GR506" s="2">
        <v>0</v>
      </c>
      <c r="GS506" s="2">
        <v>0</v>
      </c>
      <c r="GT506" s="2">
        <v>0</v>
      </c>
      <c r="GU506" s="2" t="s">
        <v>3</v>
      </c>
      <c r="GV506" s="2">
        <f t="shared" si="448"/>
        <v>0</v>
      </c>
      <c r="GW506" s="2">
        <v>1</v>
      </c>
      <c r="GX506" s="2">
        <f t="shared" si="449"/>
        <v>0</v>
      </c>
      <c r="GY506" s="2"/>
      <c r="GZ506" s="2"/>
      <c r="HA506" s="2">
        <v>0</v>
      </c>
      <c r="HB506" s="2">
        <v>0</v>
      </c>
      <c r="HC506" s="2">
        <f t="shared" si="450"/>
        <v>0</v>
      </c>
      <c r="HD506" s="2"/>
      <c r="HE506" s="2" t="s">
        <v>3</v>
      </c>
      <c r="HF506" s="2" t="s">
        <v>3</v>
      </c>
      <c r="HG506" s="2"/>
      <c r="HH506" s="2"/>
      <c r="HI506" s="2"/>
      <c r="HJ506" s="2"/>
      <c r="HK506" s="2"/>
      <c r="HL506" s="2"/>
      <c r="HM506" s="2" t="s">
        <v>3</v>
      </c>
      <c r="HN506" s="2" t="s">
        <v>3</v>
      </c>
      <c r="HO506" s="2" t="s">
        <v>3</v>
      </c>
      <c r="HP506" s="2" t="s">
        <v>3</v>
      </c>
      <c r="HQ506" s="2" t="s">
        <v>3</v>
      </c>
      <c r="HR506" s="2"/>
      <c r="HS506" s="2"/>
      <c r="HT506" s="2"/>
      <c r="HU506" s="2"/>
      <c r="HV506" s="2"/>
      <c r="HW506" s="2"/>
      <c r="HX506" s="2"/>
      <c r="HY506" s="2"/>
      <c r="HZ506" s="2"/>
      <c r="IA506" s="2"/>
      <c r="IB506" s="2"/>
      <c r="IC506" s="2"/>
      <c r="ID506" s="2"/>
      <c r="IE506" s="2"/>
      <c r="IF506" s="2"/>
      <c r="IG506" s="2"/>
      <c r="IH506" s="2"/>
      <c r="II506" s="2"/>
      <c r="IJ506" s="2"/>
      <c r="IK506" s="2">
        <v>0</v>
      </c>
      <c r="IL506" s="2"/>
      <c r="IM506" s="2"/>
      <c r="IN506" s="2"/>
      <c r="IO506" s="2"/>
      <c r="IP506" s="2"/>
      <c r="IQ506" s="2"/>
      <c r="IR506" s="2"/>
      <c r="IS506" s="2"/>
      <c r="IT506" s="2"/>
      <c r="IU506" s="2"/>
    </row>
    <row r="507" spans="1:255" x14ac:dyDescent="0.2">
      <c r="A507">
        <v>17</v>
      </c>
      <c r="B507">
        <v>1</v>
      </c>
      <c r="C507">
        <f>ROW(SmtRes!A470)</f>
        <v>470</v>
      </c>
      <c r="D507">
        <f>ROW(EtalonRes!A476)</f>
        <v>476</v>
      </c>
      <c r="E507" t="s">
        <v>104</v>
      </c>
      <c r="F507" t="s">
        <v>519</v>
      </c>
      <c r="G507" t="s">
        <v>520</v>
      </c>
      <c r="H507" t="s">
        <v>515</v>
      </c>
      <c r="I507">
        <v>2.11</v>
      </c>
      <c r="J507">
        <v>0</v>
      </c>
      <c r="K507">
        <v>2.11</v>
      </c>
      <c r="O507">
        <f t="shared" si="420"/>
        <v>1194.8499999999999</v>
      </c>
      <c r="P507">
        <f t="shared" si="421"/>
        <v>13.46</v>
      </c>
      <c r="Q507">
        <f>(ROUND((ROUND((((ET507*1.25))*AV507*I507),2)*BB507),2)+ROUND((ROUND(((AE507-((EU507*1.25)))*AV507*I507),2)*BS507),2))</f>
        <v>558.12</v>
      </c>
      <c r="R507">
        <f t="shared" si="422"/>
        <v>310.04000000000002</v>
      </c>
      <c r="S507">
        <f t="shared" si="423"/>
        <v>623.27</v>
      </c>
      <c r="T507">
        <f t="shared" si="424"/>
        <v>0</v>
      </c>
      <c r="U507">
        <f t="shared" si="425"/>
        <v>2.0625249999999995</v>
      </c>
      <c r="V507">
        <f t="shared" si="426"/>
        <v>0</v>
      </c>
      <c r="W507">
        <f t="shared" si="427"/>
        <v>0</v>
      </c>
      <c r="X507">
        <f t="shared" si="428"/>
        <v>467.45</v>
      </c>
      <c r="Y507">
        <f t="shared" si="429"/>
        <v>255.54</v>
      </c>
      <c r="AA507">
        <v>129761633</v>
      </c>
      <c r="AB507">
        <f t="shared" si="430"/>
        <v>31.262499999999999</v>
      </c>
      <c r="AC507">
        <f t="shared" si="431"/>
        <v>1.06</v>
      </c>
      <c r="AD507">
        <f>ROUND(((((ET507*1.25))-((EU507*1.25)))+AE507),6)</f>
        <v>20.024999999999999</v>
      </c>
      <c r="AE507">
        <f>ROUND(((EU507*1.25)),6)</f>
        <v>5.0625</v>
      </c>
      <c r="AF507">
        <f>ROUND(((EV507*1.15)),6)</f>
        <v>10.1775</v>
      </c>
      <c r="AG507">
        <f t="shared" si="432"/>
        <v>0</v>
      </c>
      <c r="AH507">
        <f>((EW507*1.15))</f>
        <v>0.97749999999999992</v>
      </c>
      <c r="AI507">
        <f>((EX507*1.25))</f>
        <v>0</v>
      </c>
      <c r="AJ507">
        <f t="shared" si="433"/>
        <v>0</v>
      </c>
      <c r="AK507">
        <v>25.93</v>
      </c>
      <c r="AL507">
        <v>1.06</v>
      </c>
      <c r="AM507">
        <v>16.02</v>
      </c>
      <c r="AN507">
        <v>4.05</v>
      </c>
      <c r="AO507">
        <v>8.85</v>
      </c>
      <c r="AP507">
        <v>0</v>
      </c>
      <c r="AQ507">
        <v>0.85</v>
      </c>
      <c r="AR507">
        <v>0</v>
      </c>
      <c r="AS507">
        <v>0</v>
      </c>
      <c r="AT507">
        <v>75</v>
      </c>
      <c r="AU507">
        <v>41</v>
      </c>
      <c r="AV507">
        <v>1</v>
      </c>
      <c r="AW507">
        <v>1</v>
      </c>
      <c r="AZ507">
        <v>1</v>
      </c>
      <c r="BA507">
        <v>29.03</v>
      </c>
      <c r="BB507">
        <v>13.21</v>
      </c>
      <c r="BC507">
        <v>6.01</v>
      </c>
      <c r="BD507" t="s">
        <v>3</v>
      </c>
      <c r="BE507" t="s">
        <v>3</v>
      </c>
      <c r="BF507" t="s">
        <v>3</v>
      </c>
      <c r="BG507" t="s">
        <v>3</v>
      </c>
      <c r="BH507">
        <v>0</v>
      </c>
      <c r="BI507">
        <v>1</v>
      </c>
      <c r="BJ507" t="s">
        <v>521</v>
      </c>
      <c r="BM507">
        <v>64</v>
      </c>
      <c r="BN507">
        <v>0</v>
      </c>
      <c r="BO507" t="s">
        <v>519</v>
      </c>
      <c r="BP507">
        <v>1</v>
      </c>
      <c r="BQ507">
        <v>30</v>
      </c>
      <c r="BR507">
        <v>0</v>
      </c>
      <c r="BS507">
        <v>29.03</v>
      </c>
      <c r="BT507">
        <v>1</v>
      </c>
      <c r="BU507">
        <v>1</v>
      </c>
      <c r="BV507">
        <v>1</v>
      </c>
      <c r="BW507">
        <v>1</v>
      </c>
      <c r="BX507">
        <v>1</v>
      </c>
      <c r="BY507" t="s">
        <v>3</v>
      </c>
      <c r="BZ507">
        <v>75</v>
      </c>
      <c r="CA507">
        <v>41</v>
      </c>
      <c r="CB507" t="s">
        <v>3</v>
      </c>
      <c r="CE507">
        <v>30</v>
      </c>
      <c r="CF507">
        <v>0</v>
      </c>
      <c r="CG507">
        <v>0</v>
      </c>
      <c r="CM507">
        <v>0</v>
      </c>
      <c r="CN507" t="s">
        <v>1559</v>
      </c>
      <c r="CO507">
        <v>0</v>
      </c>
      <c r="CP507">
        <f t="shared" si="434"/>
        <v>1194.8499999999999</v>
      </c>
      <c r="CQ507">
        <f t="shared" si="435"/>
        <v>6.37</v>
      </c>
      <c r="CR507">
        <f>(ROUND((ROUND((((ET507*1.25))*AV507*1),2)*BB507),2)+ROUND((ROUND(((AE507-((EU507*1.25)))*AV507*1),2)*BS507),2))</f>
        <v>264.60000000000002</v>
      </c>
      <c r="CS507">
        <f t="shared" si="436"/>
        <v>146.88999999999999</v>
      </c>
      <c r="CT507">
        <f t="shared" si="437"/>
        <v>295.52999999999997</v>
      </c>
      <c r="CU507">
        <f t="shared" si="438"/>
        <v>0</v>
      </c>
      <c r="CV507">
        <f t="shared" si="439"/>
        <v>0.97749999999999992</v>
      </c>
      <c r="CW507">
        <f t="shared" si="440"/>
        <v>0</v>
      </c>
      <c r="CX507">
        <f t="shared" si="441"/>
        <v>0</v>
      </c>
      <c r="CY507">
        <f>S507*(BZ507/100)</f>
        <v>467.45249999999999</v>
      </c>
      <c r="CZ507">
        <f>S507*(CA507/100)</f>
        <v>255.54069999999999</v>
      </c>
      <c r="DC507" t="s">
        <v>3</v>
      </c>
      <c r="DD507" t="s">
        <v>3</v>
      </c>
      <c r="DE507" t="s">
        <v>86</v>
      </c>
      <c r="DF507" t="s">
        <v>86</v>
      </c>
      <c r="DG507" t="s">
        <v>87</v>
      </c>
      <c r="DH507" t="s">
        <v>3</v>
      </c>
      <c r="DI507" t="s">
        <v>87</v>
      </c>
      <c r="DJ507" t="s">
        <v>86</v>
      </c>
      <c r="DK507" t="s">
        <v>3</v>
      </c>
      <c r="DL507" t="s">
        <v>3</v>
      </c>
      <c r="DM507" t="s">
        <v>3</v>
      </c>
      <c r="DN507">
        <v>91</v>
      </c>
      <c r="DO507">
        <v>70</v>
      </c>
      <c r="DP507">
        <v>1</v>
      </c>
      <c r="DQ507">
        <v>1</v>
      </c>
      <c r="DU507">
        <v>1013</v>
      </c>
      <c r="DV507" t="s">
        <v>515</v>
      </c>
      <c r="DW507" t="s">
        <v>515</v>
      </c>
      <c r="DX507">
        <v>1</v>
      </c>
      <c r="DZ507" t="s">
        <v>3</v>
      </c>
      <c r="EA507" t="s">
        <v>3</v>
      </c>
      <c r="EB507" t="s">
        <v>3</v>
      </c>
      <c r="EC507" t="s">
        <v>3</v>
      </c>
      <c r="EE507">
        <v>126051525</v>
      </c>
      <c r="EF507">
        <v>30</v>
      </c>
      <c r="EG507" t="s">
        <v>23</v>
      </c>
      <c r="EH507">
        <v>0</v>
      </c>
      <c r="EI507" t="s">
        <v>3</v>
      </c>
      <c r="EJ507">
        <v>1</v>
      </c>
      <c r="EK507">
        <v>64</v>
      </c>
      <c r="EL507" t="s">
        <v>517</v>
      </c>
      <c r="EM507" t="s">
        <v>518</v>
      </c>
      <c r="EO507" t="s">
        <v>90</v>
      </c>
      <c r="EQ507">
        <v>131072</v>
      </c>
      <c r="ER507">
        <v>25.93</v>
      </c>
      <c r="ES507">
        <v>1.06</v>
      </c>
      <c r="ET507">
        <v>16.02</v>
      </c>
      <c r="EU507">
        <v>4.05</v>
      </c>
      <c r="EV507">
        <v>8.85</v>
      </c>
      <c r="EW507">
        <v>0.85</v>
      </c>
      <c r="EX507">
        <v>0</v>
      </c>
      <c r="EY507">
        <v>0</v>
      </c>
      <c r="FQ507">
        <v>0</v>
      </c>
      <c r="FR507">
        <f t="shared" si="442"/>
        <v>0</v>
      </c>
      <c r="FS507">
        <v>0</v>
      </c>
      <c r="FX507">
        <v>91</v>
      </c>
      <c r="FY507">
        <v>70</v>
      </c>
      <c r="GA507" t="s">
        <v>3</v>
      </c>
      <c r="GD507">
        <v>0</v>
      </c>
      <c r="GF507">
        <v>-1346104101</v>
      </c>
      <c r="GG507">
        <v>2</v>
      </c>
      <c r="GH507">
        <v>1</v>
      </c>
      <c r="GI507">
        <v>2</v>
      </c>
      <c r="GJ507">
        <v>0</v>
      </c>
      <c r="GK507">
        <f>ROUND(R507*(S12)/100,2)</f>
        <v>496.06</v>
      </c>
      <c r="GL507">
        <f t="shared" si="443"/>
        <v>0</v>
      </c>
      <c r="GM507">
        <f t="shared" si="444"/>
        <v>2413.9</v>
      </c>
      <c r="GN507">
        <f t="shared" si="445"/>
        <v>2413.9</v>
      </c>
      <c r="GO507">
        <f t="shared" si="446"/>
        <v>0</v>
      </c>
      <c r="GP507">
        <f t="shared" si="447"/>
        <v>0</v>
      </c>
      <c r="GR507">
        <v>0</v>
      </c>
      <c r="GS507">
        <v>3</v>
      </c>
      <c r="GT507">
        <v>0</v>
      </c>
      <c r="GU507" t="s">
        <v>3</v>
      </c>
      <c r="GV507">
        <f t="shared" si="448"/>
        <v>0</v>
      </c>
      <c r="GW507">
        <v>1</v>
      </c>
      <c r="GX507">
        <f t="shared" si="449"/>
        <v>0</v>
      </c>
      <c r="HA507">
        <v>0</v>
      </c>
      <c r="HB507">
        <v>0</v>
      </c>
      <c r="HC507">
        <f t="shared" si="450"/>
        <v>0</v>
      </c>
      <c r="HE507" t="s">
        <v>3</v>
      </c>
      <c r="HF507" t="s">
        <v>3</v>
      </c>
      <c r="HM507" t="s">
        <v>3</v>
      </c>
      <c r="HN507" t="s">
        <v>3</v>
      </c>
      <c r="HO507" t="s">
        <v>3</v>
      </c>
      <c r="HP507" t="s">
        <v>3</v>
      </c>
      <c r="HQ507" t="s">
        <v>3</v>
      </c>
      <c r="IK507">
        <v>0</v>
      </c>
    </row>
    <row r="508" spans="1:255" x14ac:dyDescent="0.2">
      <c r="A508" s="2">
        <v>18</v>
      </c>
      <c r="B508" s="2">
        <v>1</v>
      </c>
      <c r="C508" s="2">
        <v>464</v>
      </c>
      <c r="D508" s="2"/>
      <c r="E508" s="2" t="s">
        <v>111</v>
      </c>
      <c r="F508" s="2" t="s">
        <v>522</v>
      </c>
      <c r="G508" s="2" t="s">
        <v>523</v>
      </c>
      <c r="H508" s="2" t="s">
        <v>94</v>
      </c>
      <c r="I508" s="2">
        <f>I506*J508</f>
        <v>2.4264999999999999</v>
      </c>
      <c r="J508" s="2">
        <v>1.1499999999999999</v>
      </c>
      <c r="K508" s="2">
        <v>1.1499999999999999</v>
      </c>
      <c r="L508" s="2"/>
      <c r="M508" s="2"/>
      <c r="N508" s="2"/>
      <c r="O508" s="2">
        <f t="shared" si="420"/>
        <v>479.26</v>
      </c>
      <c r="P508" s="2">
        <f t="shared" si="421"/>
        <v>479.26</v>
      </c>
      <c r="Q508" s="2">
        <f>(ROUND((ROUND(((ET508)*AV508*I508),2)*BB508),2)+ROUND((ROUND(((AE508-(EU508))*AV508*I508),2)*BS508),2))</f>
        <v>0</v>
      </c>
      <c r="R508" s="2">
        <f t="shared" si="422"/>
        <v>0</v>
      </c>
      <c r="S508" s="2">
        <f t="shared" si="423"/>
        <v>0</v>
      </c>
      <c r="T508" s="2">
        <f t="shared" si="424"/>
        <v>0</v>
      </c>
      <c r="U508" s="2">
        <f t="shared" si="425"/>
        <v>0</v>
      </c>
      <c r="V508" s="2">
        <f t="shared" si="426"/>
        <v>0</v>
      </c>
      <c r="W508" s="2">
        <f t="shared" si="427"/>
        <v>0</v>
      </c>
      <c r="X508" s="2">
        <f t="shared" si="428"/>
        <v>0</v>
      </c>
      <c r="Y508" s="2">
        <f t="shared" si="429"/>
        <v>0</v>
      </c>
      <c r="Z508" s="2"/>
      <c r="AA508" s="2">
        <v>129761636</v>
      </c>
      <c r="AB508" s="2">
        <f t="shared" si="430"/>
        <v>197.51</v>
      </c>
      <c r="AC508" s="2">
        <f t="shared" si="431"/>
        <v>197.51</v>
      </c>
      <c r="AD508" s="2">
        <f>ROUND((((ET508)-(EU508))+AE508),6)</f>
        <v>0</v>
      </c>
      <c r="AE508" s="2">
        <f>ROUND((EU508),6)</f>
        <v>0</v>
      </c>
      <c r="AF508" s="2">
        <f>ROUND((EV508),6)</f>
        <v>0</v>
      </c>
      <c r="AG508" s="2">
        <f t="shared" si="432"/>
        <v>0</v>
      </c>
      <c r="AH508" s="2">
        <f>(EW508)</f>
        <v>0</v>
      </c>
      <c r="AI508" s="2">
        <f>(EX508)</f>
        <v>0</v>
      </c>
      <c r="AJ508" s="2">
        <f t="shared" si="433"/>
        <v>0</v>
      </c>
      <c r="AK508" s="2">
        <v>197.51</v>
      </c>
      <c r="AL508" s="2">
        <v>197.51</v>
      </c>
      <c r="AM508" s="2">
        <v>0</v>
      </c>
      <c r="AN508" s="2">
        <v>0</v>
      </c>
      <c r="AO508" s="2">
        <v>0</v>
      </c>
      <c r="AP508" s="2">
        <v>0</v>
      </c>
      <c r="AQ508" s="2">
        <v>0</v>
      </c>
      <c r="AR508" s="2">
        <v>0</v>
      </c>
      <c r="AS508" s="2">
        <v>0</v>
      </c>
      <c r="AT508" s="2">
        <v>91</v>
      </c>
      <c r="AU508" s="2">
        <v>70</v>
      </c>
      <c r="AV508" s="2">
        <v>1</v>
      </c>
      <c r="AW508" s="2">
        <v>1</v>
      </c>
      <c r="AX508" s="2"/>
      <c r="AY508" s="2"/>
      <c r="AZ508" s="2">
        <v>1</v>
      </c>
      <c r="BA508" s="2">
        <v>1</v>
      </c>
      <c r="BB508" s="2">
        <v>1</v>
      </c>
      <c r="BC508" s="2">
        <v>1</v>
      </c>
      <c r="BD508" s="2" t="s">
        <v>3</v>
      </c>
      <c r="BE508" s="2" t="s">
        <v>3</v>
      </c>
      <c r="BF508" s="2" t="s">
        <v>3</v>
      </c>
      <c r="BG508" s="2" t="s">
        <v>3</v>
      </c>
      <c r="BH508" s="2">
        <v>3</v>
      </c>
      <c r="BI508" s="2">
        <v>1</v>
      </c>
      <c r="BJ508" s="2" t="s">
        <v>524</v>
      </c>
      <c r="BK508" s="2"/>
      <c r="BL508" s="2"/>
      <c r="BM508" s="2">
        <v>64</v>
      </c>
      <c r="BN508" s="2">
        <v>0</v>
      </c>
      <c r="BO508" s="2" t="s">
        <v>3</v>
      </c>
      <c r="BP508" s="2">
        <v>0</v>
      </c>
      <c r="BQ508" s="2">
        <v>30</v>
      </c>
      <c r="BR508" s="2">
        <v>0</v>
      </c>
      <c r="BS508" s="2">
        <v>1</v>
      </c>
      <c r="BT508" s="2">
        <v>1</v>
      </c>
      <c r="BU508" s="2">
        <v>1</v>
      </c>
      <c r="BV508" s="2">
        <v>1</v>
      </c>
      <c r="BW508" s="2">
        <v>1</v>
      </c>
      <c r="BX508" s="2">
        <v>1</v>
      </c>
      <c r="BY508" s="2" t="s">
        <v>3</v>
      </c>
      <c r="BZ508" s="2">
        <v>91</v>
      </c>
      <c r="CA508" s="2">
        <v>70</v>
      </c>
      <c r="CB508" s="2" t="s">
        <v>3</v>
      </c>
      <c r="CC508" s="2"/>
      <c r="CD508" s="2"/>
      <c r="CE508" s="2">
        <v>30</v>
      </c>
      <c r="CF508" s="2">
        <v>0</v>
      </c>
      <c r="CG508" s="2">
        <v>0</v>
      </c>
      <c r="CH508" s="2"/>
      <c r="CI508" s="2"/>
      <c r="CJ508" s="2"/>
      <c r="CK508" s="2"/>
      <c r="CL508" s="2"/>
      <c r="CM508" s="2">
        <v>0</v>
      </c>
      <c r="CN508" s="2" t="s">
        <v>3</v>
      </c>
      <c r="CO508" s="2">
        <v>0</v>
      </c>
      <c r="CP508" s="2">
        <f t="shared" si="434"/>
        <v>479.26</v>
      </c>
      <c r="CQ508" s="2">
        <f t="shared" si="435"/>
        <v>197.51</v>
      </c>
      <c r="CR508" s="2">
        <f>(ROUND((ROUND(((ET508)*AV508*1),2)*BB508),2)+ROUND((ROUND(((AE508-(EU508))*AV508*1),2)*BS508),2))</f>
        <v>0</v>
      </c>
      <c r="CS508" s="2">
        <f t="shared" si="436"/>
        <v>0</v>
      </c>
      <c r="CT508" s="2">
        <f t="shared" si="437"/>
        <v>0</v>
      </c>
      <c r="CU508" s="2">
        <f t="shared" si="438"/>
        <v>0</v>
      </c>
      <c r="CV508" s="2">
        <f t="shared" si="439"/>
        <v>0</v>
      </c>
      <c r="CW508" s="2">
        <f t="shared" si="440"/>
        <v>0</v>
      </c>
      <c r="CX508" s="2">
        <f t="shared" si="441"/>
        <v>0</v>
      </c>
      <c r="CY508" s="2">
        <f>((S508*BZ508)/100)</f>
        <v>0</v>
      </c>
      <c r="CZ508" s="2">
        <f>((S508*CA508)/100)</f>
        <v>0</v>
      </c>
      <c r="DA508" s="2"/>
      <c r="DB508" s="2"/>
      <c r="DC508" s="2" t="s">
        <v>3</v>
      </c>
      <c r="DD508" s="2" t="s">
        <v>3</v>
      </c>
      <c r="DE508" s="2" t="s">
        <v>3</v>
      </c>
      <c r="DF508" s="2" t="s">
        <v>3</v>
      </c>
      <c r="DG508" s="2" t="s">
        <v>3</v>
      </c>
      <c r="DH508" s="2" t="s">
        <v>3</v>
      </c>
      <c r="DI508" s="2" t="s">
        <v>3</v>
      </c>
      <c r="DJ508" s="2" t="s">
        <v>3</v>
      </c>
      <c r="DK508" s="2" t="s">
        <v>3</v>
      </c>
      <c r="DL508" s="2" t="s">
        <v>3</v>
      </c>
      <c r="DM508" s="2" t="s">
        <v>3</v>
      </c>
      <c r="DN508" s="2">
        <v>0</v>
      </c>
      <c r="DO508" s="2">
        <v>0</v>
      </c>
      <c r="DP508" s="2">
        <v>1</v>
      </c>
      <c r="DQ508" s="2">
        <v>1</v>
      </c>
      <c r="DR508" s="2"/>
      <c r="DS508" s="2"/>
      <c r="DT508" s="2"/>
      <c r="DU508" s="2">
        <v>1007</v>
      </c>
      <c r="DV508" s="2" t="s">
        <v>94</v>
      </c>
      <c r="DW508" s="2" t="s">
        <v>94</v>
      </c>
      <c r="DX508" s="2">
        <v>1</v>
      </c>
      <c r="DY508" s="2"/>
      <c r="DZ508" s="2" t="s">
        <v>3</v>
      </c>
      <c r="EA508" s="2" t="s">
        <v>3</v>
      </c>
      <c r="EB508" s="2" t="s">
        <v>3</v>
      </c>
      <c r="EC508" s="2" t="s">
        <v>3</v>
      </c>
      <c r="ED508" s="2"/>
      <c r="EE508" s="2">
        <v>126051525</v>
      </c>
      <c r="EF508" s="2">
        <v>30</v>
      </c>
      <c r="EG508" s="2" t="s">
        <v>23</v>
      </c>
      <c r="EH508" s="2">
        <v>0</v>
      </c>
      <c r="EI508" s="2" t="s">
        <v>3</v>
      </c>
      <c r="EJ508" s="2">
        <v>1</v>
      </c>
      <c r="EK508" s="2">
        <v>64</v>
      </c>
      <c r="EL508" s="2" t="s">
        <v>517</v>
      </c>
      <c r="EM508" s="2" t="s">
        <v>518</v>
      </c>
      <c r="EN508" s="2"/>
      <c r="EO508" s="2" t="s">
        <v>3</v>
      </c>
      <c r="EP508" s="2"/>
      <c r="EQ508" s="2">
        <v>0</v>
      </c>
      <c r="ER508" s="2">
        <v>197.51</v>
      </c>
      <c r="ES508" s="2">
        <v>197.51</v>
      </c>
      <c r="ET508" s="2">
        <v>0</v>
      </c>
      <c r="EU508" s="2">
        <v>0</v>
      </c>
      <c r="EV508" s="2">
        <v>0</v>
      </c>
      <c r="EW508" s="2">
        <v>0</v>
      </c>
      <c r="EX508" s="2">
        <v>0</v>
      </c>
      <c r="EY508" s="2"/>
      <c r="EZ508" s="2"/>
      <c r="FA508" s="2"/>
      <c r="FB508" s="2"/>
      <c r="FC508" s="2"/>
      <c r="FD508" s="2"/>
      <c r="FE508" s="2"/>
      <c r="FF508" s="2"/>
      <c r="FG508" s="2"/>
      <c r="FH508" s="2"/>
      <c r="FI508" s="2"/>
      <c r="FJ508" s="2"/>
      <c r="FK508" s="2"/>
      <c r="FL508" s="2"/>
      <c r="FM508" s="2"/>
      <c r="FN508" s="2"/>
      <c r="FO508" s="2"/>
      <c r="FP508" s="2"/>
      <c r="FQ508" s="2">
        <v>0</v>
      </c>
      <c r="FR508" s="2">
        <f t="shared" si="442"/>
        <v>0</v>
      </c>
      <c r="FS508" s="2">
        <v>0</v>
      </c>
      <c r="FT508" s="2"/>
      <c r="FU508" s="2"/>
      <c r="FV508" s="2"/>
      <c r="FW508" s="2"/>
      <c r="FX508" s="2">
        <v>91</v>
      </c>
      <c r="FY508" s="2">
        <v>70</v>
      </c>
      <c r="FZ508" s="2"/>
      <c r="GA508" s="2" t="s">
        <v>3</v>
      </c>
      <c r="GB508" s="2"/>
      <c r="GC508" s="2"/>
      <c r="GD508" s="2">
        <v>0</v>
      </c>
      <c r="GE508" s="2"/>
      <c r="GF508" s="2">
        <v>-1946291914</v>
      </c>
      <c r="GG508" s="2">
        <v>2</v>
      </c>
      <c r="GH508" s="2">
        <v>1</v>
      </c>
      <c r="GI508" s="2">
        <v>-2</v>
      </c>
      <c r="GJ508" s="2">
        <v>0</v>
      </c>
      <c r="GK508" s="2">
        <f>ROUND(R508*(R12)/100,2)</f>
        <v>0</v>
      </c>
      <c r="GL508" s="2">
        <f t="shared" si="443"/>
        <v>0</v>
      </c>
      <c r="GM508" s="2">
        <f t="shared" si="444"/>
        <v>479.26</v>
      </c>
      <c r="GN508" s="2">
        <f t="shared" si="445"/>
        <v>479.26</v>
      </c>
      <c r="GO508" s="2">
        <f t="shared" si="446"/>
        <v>0</v>
      </c>
      <c r="GP508" s="2">
        <f t="shared" si="447"/>
        <v>0</v>
      </c>
      <c r="GQ508" s="2"/>
      <c r="GR508" s="2">
        <v>0</v>
      </c>
      <c r="GS508" s="2">
        <v>0</v>
      </c>
      <c r="GT508" s="2">
        <v>0</v>
      </c>
      <c r="GU508" s="2" t="s">
        <v>3</v>
      </c>
      <c r="GV508" s="2">
        <f t="shared" si="448"/>
        <v>0</v>
      </c>
      <c r="GW508" s="2">
        <v>1</v>
      </c>
      <c r="GX508" s="2">
        <f t="shared" si="449"/>
        <v>0</v>
      </c>
      <c r="GY508" s="2"/>
      <c r="GZ508" s="2"/>
      <c r="HA508" s="2">
        <v>0</v>
      </c>
      <c r="HB508" s="2">
        <v>0</v>
      </c>
      <c r="HC508" s="2">
        <f t="shared" si="450"/>
        <v>0</v>
      </c>
      <c r="HD508" s="2"/>
      <c r="HE508" s="2" t="s">
        <v>3</v>
      </c>
      <c r="HF508" s="2" t="s">
        <v>3</v>
      </c>
      <c r="HG508" s="2"/>
      <c r="HH508" s="2"/>
      <c r="HI508" s="2"/>
      <c r="HJ508" s="2"/>
      <c r="HK508" s="2"/>
      <c r="HL508" s="2"/>
      <c r="HM508" s="2" t="s">
        <v>3</v>
      </c>
      <c r="HN508" s="2" t="s">
        <v>3</v>
      </c>
      <c r="HO508" s="2" t="s">
        <v>3</v>
      </c>
      <c r="HP508" s="2" t="s">
        <v>3</v>
      </c>
      <c r="HQ508" s="2" t="s">
        <v>3</v>
      </c>
      <c r="HR508" s="2"/>
      <c r="HS508" s="2"/>
      <c r="HT508" s="2"/>
      <c r="HU508" s="2"/>
      <c r="HV508" s="2"/>
      <c r="HW508" s="2"/>
      <c r="HX508" s="2"/>
      <c r="HY508" s="2"/>
      <c r="HZ508" s="2"/>
      <c r="IA508" s="2"/>
      <c r="IB508" s="2"/>
      <c r="IC508" s="2"/>
      <c r="ID508" s="2"/>
      <c r="IE508" s="2"/>
      <c r="IF508" s="2"/>
      <c r="IG508" s="2"/>
      <c r="IH508" s="2"/>
      <c r="II508" s="2"/>
      <c r="IJ508" s="2"/>
      <c r="IK508" s="2">
        <v>0</v>
      </c>
      <c r="IL508" s="2"/>
      <c r="IM508" s="2"/>
      <c r="IN508" s="2"/>
      <c r="IO508" s="2"/>
      <c r="IP508" s="2"/>
      <c r="IQ508" s="2"/>
      <c r="IR508" s="2"/>
      <c r="IS508" s="2"/>
      <c r="IT508" s="2"/>
      <c r="IU508" s="2"/>
    </row>
    <row r="509" spans="1:255" x14ac:dyDescent="0.2">
      <c r="A509">
        <v>18</v>
      </c>
      <c r="B509">
        <v>1</v>
      </c>
      <c r="C509">
        <v>470</v>
      </c>
      <c r="E509" t="s">
        <v>111</v>
      </c>
      <c r="F509" t="s">
        <v>522</v>
      </c>
      <c r="G509" t="s">
        <v>523</v>
      </c>
      <c r="H509" t="s">
        <v>94</v>
      </c>
      <c r="I509">
        <f>I507*J509</f>
        <v>2.4264999999999999</v>
      </c>
      <c r="J509">
        <v>1.1499999999999999</v>
      </c>
      <c r="K509">
        <v>1.1499999999999999</v>
      </c>
      <c r="O509">
        <f t="shared" si="420"/>
        <v>5094.53</v>
      </c>
      <c r="P509">
        <f t="shared" si="421"/>
        <v>5094.53</v>
      </c>
      <c r="Q509">
        <f>(ROUND((ROUND(((ET509)*AV509*I509),2)*BB509),2)+ROUND((ROUND(((AE509-(EU509))*AV509*I509),2)*BS509),2))</f>
        <v>0</v>
      </c>
      <c r="R509">
        <f t="shared" si="422"/>
        <v>0</v>
      </c>
      <c r="S509">
        <f t="shared" si="423"/>
        <v>0</v>
      </c>
      <c r="T509">
        <f t="shared" si="424"/>
        <v>0</v>
      </c>
      <c r="U509">
        <f t="shared" si="425"/>
        <v>0</v>
      </c>
      <c r="V509">
        <f t="shared" si="426"/>
        <v>0</v>
      </c>
      <c r="W509">
        <f t="shared" si="427"/>
        <v>0</v>
      </c>
      <c r="X509">
        <f t="shared" si="428"/>
        <v>0</v>
      </c>
      <c r="Y509">
        <f t="shared" si="429"/>
        <v>0</v>
      </c>
      <c r="AA509">
        <v>129761633</v>
      </c>
      <c r="AB509">
        <f t="shared" si="430"/>
        <v>197.51</v>
      </c>
      <c r="AC509">
        <f t="shared" si="431"/>
        <v>197.51</v>
      </c>
      <c r="AD509">
        <f>ROUND((((ET509)-(EU509))+AE509),6)</f>
        <v>0</v>
      </c>
      <c r="AE509">
        <f>ROUND((EU509),6)</f>
        <v>0</v>
      </c>
      <c r="AF509">
        <f>ROUND((EV509),6)</f>
        <v>0</v>
      </c>
      <c r="AG509">
        <f t="shared" si="432"/>
        <v>0</v>
      </c>
      <c r="AH509">
        <f>(EW509)</f>
        <v>0</v>
      </c>
      <c r="AI509">
        <f>(EX509)</f>
        <v>0</v>
      </c>
      <c r="AJ509">
        <f t="shared" si="433"/>
        <v>0</v>
      </c>
      <c r="AK509">
        <v>197.51</v>
      </c>
      <c r="AL509">
        <v>197.51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1</v>
      </c>
      <c r="AW509">
        <v>1</v>
      </c>
      <c r="AZ509">
        <v>1</v>
      </c>
      <c r="BA509">
        <v>1</v>
      </c>
      <c r="BB509">
        <v>1</v>
      </c>
      <c r="BC509">
        <v>10.63</v>
      </c>
      <c r="BD509" t="s">
        <v>3</v>
      </c>
      <c r="BE509" t="s">
        <v>3</v>
      </c>
      <c r="BF509" t="s">
        <v>3</v>
      </c>
      <c r="BG509" t="s">
        <v>3</v>
      </c>
      <c r="BH509">
        <v>3</v>
      </c>
      <c r="BI509">
        <v>1</v>
      </c>
      <c r="BJ509" t="s">
        <v>524</v>
      </c>
      <c r="BM509">
        <v>64</v>
      </c>
      <c r="BN509">
        <v>0</v>
      </c>
      <c r="BO509" t="s">
        <v>522</v>
      </c>
      <c r="BP509">
        <v>1</v>
      </c>
      <c r="BQ509">
        <v>30</v>
      </c>
      <c r="BR509">
        <v>0</v>
      </c>
      <c r="BS509">
        <v>1</v>
      </c>
      <c r="BT509">
        <v>1</v>
      </c>
      <c r="BU509">
        <v>1</v>
      </c>
      <c r="BV509">
        <v>1</v>
      </c>
      <c r="BW509">
        <v>1</v>
      </c>
      <c r="BX509">
        <v>1</v>
      </c>
      <c r="BY509" t="s">
        <v>3</v>
      </c>
      <c r="BZ509">
        <v>0</v>
      </c>
      <c r="CA509">
        <v>0</v>
      </c>
      <c r="CB509" t="s">
        <v>3</v>
      </c>
      <c r="CE509">
        <v>30</v>
      </c>
      <c r="CF509">
        <v>0</v>
      </c>
      <c r="CG509">
        <v>0</v>
      </c>
      <c r="CM509">
        <v>0</v>
      </c>
      <c r="CN509" t="s">
        <v>3</v>
      </c>
      <c r="CO509">
        <v>0</v>
      </c>
      <c r="CP509">
        <f t="shared" si="434"/>
        <v>5094.53</v>
      </c>
      <c r="CQ509">
        <f t="shared" si="435"/>
        <v>2099.5300000000002</v>
      </c>
      <c r="CR509">
        <f>(ROUND((ROUND(((ET509)*AV509*1),2)*BB509),2)+ROUND((ROUND(((AE509-(EU509))*AV509*1),2)*BS509),2))</f>
        <v>0</v>
      </c>
      <c r="CS509">
        <f t="shared" si="436"/>
        <v>0</v>
      </c>
      <c r="CT509">
        <f t="shared" si="437"/>
        <v>0</v>
      </c>
      <c r="CU509">
        <f t="shared" si="438"/>
        <v>0</v>
      </c>
      <c r="CV509">
        <f t="shared" si="439"/>
        <v>0</v>
      </c>
      <c r="CW509">
        <f t="shared" si="440"/>
        <v>0</v>
      </c>
      <c r="CX509">
        <f t="shared" si="441"/>
        <v>0</v>
      </c>
      <c r="CY509">
        <f>S509*(BZ509/100)</f>
        <v>0</v>
      </c>
      <c r="CZ509">
        <f>S509*(CA509/100)</f>
        <v>0</v>
      </c>
      <c r="DC509" t="s">
        <v>3</v>
      </c>
      <c r="DD509" t="s">
        <v>3</v>
      </c>
      <c r="DE509" t="s">
        <v>3</v>
      </c>
      <c r="DF509" t="s">
        <v>3</v>
      </c>
      <c r="DG509" t="s">
        <v>3</v>
      </c>
      <c r="DH509" t="s">
        <v>3</v>
      </c>
      <c r="DI509" t="s">
        <v>3</v>
      </c>
      <c r="DJ509" t="s">
        <v>3</v>
      </c>
      <c r="DK509" t="s">
        <v>3</v>
      </c>
      <c r="DL509" t="s">
        <v>3</v>
      </c>
      <c r="DM509" t="s">
        <v>3</v>
      </c>
      <c r="DN509">
        <v>91</v>
      </c>
      <c r="DO509">
        <v>70</v>
      </c>
      <c r="DP509">
        <v>1</v>
      </c>
      <c r="DQ509">
        <v>1</v>
      </c>
      <c r="DU509">
        <v>1007</v>
      </c>
      <c r="DV509" t="s">
        <v>94</v>
      </c>
      <c r="DW509" t="s">
        <v>94</v>
      </c>
      <c r="DX509">
        <v>1</v>
      </c>
      <c r="DZ509" t="s">
        <v>3</v>
      </c>
      <c r="EA509" t="s">
        <v>3</v>
      </c>
      <c r="EB509" t="s">
        <v>3</v>
      </c>
      <c r="EC509" t="s">
        <v>3</v>
      </c>
      <c r="EE509">
        <v>126051525</v>
      </c>
      <c r="EF509">
        <v>30</v>
      </c>
      <c r="EG509" t="s">
        <v>23</v>
      </c>
      <c r="EH509">
        <v>0</v>
      </c>
      <c r="EI509" t="s">
        <v>3</v>
      </c>
      <c r="EJ509">
        <v>1</v>
      </c>
      <c r="EK509">
        <v>64</v>
      </c>
      <c r="EL509" t="s">
        <v>517</v>
      </c>
      <c r="EM509" t="s">
        <v>518</v>
      </c>
      <c r="EO509" t="s">
        <v>3</v>
      </c>
      <c r="EQ509">
        <v>0</v>
      </c>
      <c r="ER509">
        <v>197.51</v>
      </c>
      <c r="ES509">
        <v>197.51</v>
      </c>
      <c r="ET509">
        <v>0</v>
      </c>
      <c r="EU509">
        <v>0</v>
      </c>
      <c r="EV509">
        <v>0</v>
      </c>
      <c r="EW509">
        <v>0</v>
      </c>
      <c r="EX509">
        <v>0</v>
      </c>
      <c r="FQ509">
        <v>0</v>
      </c>
      <c r="FR509">
        <f t="shared" si="442"/>
        <v>0</v>
      </c>
      <c r="FS509">
        <v>0</v>
      </c>
      <c r="FX509">
        <v>91</v>
      </c>
      <c r="FY509">
        <v>70</v>
      </c>
      <c r="GA509" t="s">
        <v>3</v>
      </c>
      <c r="GD509">
        <v>0</v>
      </c>
      <c r="GF509">
        <v>-1946291914</v>
      </c>
      <c r="GG509">
        <v>2</v>
      </c>
      <c r="GH509">
        <v>1</v>
      </c>
      <c r="GI509">
        <v>2</v>
      </c>
      <c r="GJ509">
        <v>0</v>
      </c>
      <c r="GK509">
        <f>ROUND(R509*(S12)/100,2)</f>
        <v>0</v>
      </c>
      <c r="GL509">
        <f t="shared" si="443"/>
        <v>0</v>
      </c>
      <c r="GM509">
        <f t="shared" si="444"/>
        <v>5094.53</v>
      </c>
      <c r="GN509">
        <f t="shared" si="445"/>
        <v>5094.53</v>
      </c>
      <c r="GO509">
        <f t="shared" si="446"/>
        <v>0</v>
      </c>
      <c r="GP509">
        <f t="shared" si="447"/>
        <v>0</v>
      </c>
      <c r="GR509">
        <v>0</v>
      </c>
      <c r="GS509">
        <v>3</v>
      </c>
      <c r="GT509">
        <v>0</v>
      </c>
      <c r="GU509" t="s">
        <v>3</v>
      </c>
      <c r="GV509">
        <f t="shared" si="448"/>
        <v>0</v>
      </c>
      <c r="GW509">
        <v>1</v>
      </c>
      <c r="GX509">
        <f t="shared" si="449"/>
        <v>0</v>
      </c>
      <c r="HA509">
        <v>0</v>
      </c>
      <c r="HB509">
        <v>0</v>
      </c>
      <c r="HC509">
        <f t="shared" si="450"/>
        <v>0</v>
      </c>
      <c r="HE509" t="s">
        <v>3</v>
      </c>
      <c r="HF509" t="s">
        <v>3</v>
      </c>
      <c r="HM509" t="s">
        <v>3</v>
      </c>
      <c r="HN509" t="s">
        <v>3</v>
      </c>
      <c r="HO509" t="s">
        <v>3</v>
      </c>
      <c r="HP509" t="s">
        <v>3</v>
      </c>
      <c r="HQ509" t="s">
        <v>3</v>
      </c>
      <c r="IK509">
        <v>0</v>
      </c>
    </row>
    <row r="510" spans="1:255" x14ac:dyDescent="0.2">
      <c r="A510" s="2">
        <v>17</v>
      </c>
      <c r="B510" s="2">
        <v>1</v>
      </c>
      <c r="C510" s="2">
        <f>ROW(SmtRes!A487)</f>
        <v>487</v>
      </c>
      <c r="D510" s="2">
        <f>ROW(EtalonRes!A492)</f>
        <v>492</v>
      </c>
      <c r="E510" s="2" t="s">
        <v>116</v>
      </c>
      <c r="F510" s="2" t="s">
        <v>525</v>
      </c>
      <c r="G510" s="2" t="s">
        <v>526</v>
      </c>
      <c r="H510" s="2" t="s">
        <v>527</v>
      </c>
      <c r="I510" s="2">
        <v>4.6399999999999997E-2</v>
      </c>
      <c r="J510" s="2">
        <v>0</v>
      </c>
      <c r="K510" s="2">
        <v>4.6399999999999997E-2</v>
      </c>
      <c r="L510" s="2"/>
      <c r="M510" s="2"/>
      <c r="N510" s="2"/>
      <c r="O510" s="2">
        <f t="shared" si="420"/>
        <v>251.27</v>
      </c>
      <c r="P510" s="2">
        <f t="shared" si="421"/>
        <v>83.56</v>
      </c>
      <c r="Q510" s="2">
        <f>(ROUND((ROUND((((ET510*1.25))*AV510*I510),2)*BB510),2)+ROUND((ROUND(((AE510-((EU510*1.25)))*AV510*I510),2)*BS510),2))</f>
        <v>60.92</v>
      </c>
      <c r="R510" s="2">
        <f t="shared" si="422"/>
        <v>2.5</v>
      </c>
      <c r="S510" s="2">
        <f t="shared" si="423"/>
        <v>106.79</v>
      </c>
      <c r="T510" s="2">
        <f t="shared" si="424"/>
        <v>0</v>
      </c>
      <c r="U510" s="2">
        <f t="shared" si="425"/>
        <v>9.5514399999999995</v>
      </c>
      <c r="V510" s="2">
        <f t="shared" si="426"/>
        <v>0</v>
      </c>
      <c r="W510" s="2">
        <f t="shared" si="427"/>
        <v>0</v>
      </c>
      <c r="X510" s="2">
        <f t="shared" si="428"/>
        <v>90.77</v>
      </c>
      <c r="Y510" s="2">
        <f t="shared" si="429"/>
        <v>74.75</v>
      </c>
      <c r="Z510" s="2"/>
      <c r="AA510" s="2">
        <v>129761636</v>
      </c>
      <c r="AB510" s="2">
        <f t="shared" si="430"/>
        <v>5415.2455</v>
      </c>
      <c r="AC510" s="2">
        <f t="shared" si="431"/>
        <v>1800.88</v>
      </c>
      <c r="AD510" s="2">
        <f>ROUND(((((ET510*1.25))-((EU510*1.25)))+AE510),6)</f>
        <v>1312.9625000000001</v>
      </c>
      <c r="AE510" s="2">
        <f>ROUND(((EU510*1.25)),6)</f>
        <v>53.95</v>
      </c>
      <c r="AF510" s="2">
        <f>ROUND(((EV510*1.15)),6)</f>
        <v>2301.4029999999998</v>
      </c>
      <c r="AG510" s="2">
        <f t="shared" si="432"/>
        <v>0</v>
      </c>
      <c r="AH510" s="2">
        <f>((EW510*1.15))</f>
        <v>205.85</v>
      </c>
      <c r="AI510" s="2">
        <f>((EX510*1.25))</f>
        <v>0</v>
      </c>
      <c r="AJ510" s="2">
        <f t="shared" si="433"/>
        <v>0</v>
      </c>
      <c r="AK510" s="2">
        <v>4852.47</v>
      </c>
      <c r="AL510" s="2">
        <v>1800.88</v>
      </c>
      <c r="AM510" s="2">
        <v>1050.3699999999999</v>
      </c>
      <c r="AN510" s="2">
        <v>43.16</v>
      </c>
      <c r="AO510" s="2">
        <v>2001.22</v>
      </c>
      <c r="AP510" s="2">
        <v>0</v>
      </c>
      <c r="AQ510" s="2">
        <v>179</v>
      </c>
      <c r="AR510" s="2">
        <v>0</v>
      </c>
      <c r="AS510" s="2">
        <v>0</v>
      </c>
      <c r="AT510" s="2">
        <v>85</v>
      </c>
      <c r="AU510" s="2">
        <v>70</v>
      </c>
      <c r="AV510" s="2">
        <v>1</v>
      </c>
      <c r="AW510" s="2">
        <v>1</v>
      </c>
      <c r="AX510" s="2"/>
      <c r="AY510" s="2"/>
      <c r="AZ510" s="2">
        <v>1</v>
      </c>
      <c r="BA510" s="2">
        <v>1</v>
      </c>
      <c r="BB510" s="2">
        <v>1</v>
      </c>
      <c r="BC510" s="2">
        <v>1</v>
      </c>
      <c r="BD510" s="2" t="s">
        <v>3</v>
      </c>
      <c r="BE510" s="2" t="s">
        <v>3</v>
      </c>
      <c r="BF510" s="2" t="s">
        <v>3</v>
      </c>
      <c r="BG510" s="2" t="s">
        <v>3</v>
      </c>
      <c r="BH510" s="2">
        <v>0</v>
      </c>
      <c r="BI510" s="2">
        <v>1</v>
      </c>
      <c r="BJ510" s="2" t="s">
        <v>528</v>
      </c>
      <c r="BK510" s="2"/>
      <c r="BL510" s="2"/>
      <c r="BM510" s="2">
        <v>47</v>
      </c>
      <c r="BN510" s="2">
        <v>0</v>
      </c>
      <c r="BO510" s="2" t="s">
        <v>3</v>
      </c>
      <c r="BP510" s="2">
        <v>0</v>
      </c>
      <c r="BQ510" s="2">
        <v>30</v>
      </c>
      <c r="BR510" s="2">
        <v>0</v>
      </c>
      <c r="BS510" s="2">
        <v>1</v>
      </c>
      <c r="BT510" s="2">
        <v>1</v>
      </c>
      <c r="BU510" s="2">
        <v>1</v>
      </c>
      <c r="BV510" s="2">
        <v>1</v>
      </c>
      <c r="BW510" s="2">
        <v>1</v>
      </c>
      <c r="BX510" s="2">
        <v>1</v>
      </c>
      <c r="BY510" s="2" t="s">
        <v>3</v>
      </c>
      <c r="BZ510" s="2">
        <v>85</v>
      </c>
      <c r="CA510" s="2">
        <v>70</v>
      </c>
      <c r="CB510" s="2" t="s">
        <v>3</v>
      </c>
      <c r="CC510" s="2"/>
      <c r="CD510" s="2"/>
      <c r="CE510" s="2">
        <v>30</v>
      </c>
      <c r="CF510" s="2">
        <v>0</v>
      </c>
      <c r="CG510" s="2">
        <v>0</v>
      </c>
      <c r="CH510" s="2"/>
      <c r="CI510" s="2"/>
      <c r="CJ510" s="2"/>
      <c r="CK510" s="2"/>
      <c r="CL510" s="2"/>
      <c r="CM510" s="2">
        <v>0</v>
      </c>
      <c r="CN510" s="2" t="s">
        <v>1559</v>
      </c>
      <c r="CO510" s="2">
        <v>0</v>
      </c>
      <c r="CP510" s="2">
        <f t="shared" si="434"/>
        <v>251.27000000000004</v>
      </c>
      <c r="CQ510" s="2">
        <f t="shared" si="435"/>
        <v>1800.88</v>
      </c>
      <c r="CR510" s="2">
        <f>(ROUND((ROUND((((ET510*1.25))*AV510*1),2)*BB510),2)+ROUND((ROUND(((AE510-((EU510*1.25)))*AV510*1),2)*BS510),2))</f>
        <v>1312.96</v>
      </c>
      <c r="CS510" s="2">
        <f t="shared" si="436"/>
        <v>53.95</v>
      </c>
      <c r="CT510" s="2">
        <f t="shared" si="437"/>
        <v>2301.4</v>
      </c>
      <c r="CU510" s="2">
        <f t="shared" si="438"/>
        <v>0</v>
      </c>
      <c r="CV510" s="2">
        <f t="shared" si="439"/>
        <v>205.85</v>
      </c>
      <c r="CW510" s="2">
        <f t="shared" si="440"/>
        <v>0</v>
      </c>
      <c r="CX510" s="2">
        <f t="shared" si="441"/>
        <v>0</v>
      </c>
      <c r="CY510" s="2">
        <f>((S510*BZ510)/100)</f>
        <v>90.771500000000003</v>
      </c>
      <c r="CZ510" s="2">
        <f>((S510*CA510)/100)</f>
        <v>74.753</v>
      </c>
      <c r="DA510" s="2"/>
      <c r="DB510" s="2"/>
      <c r="DC510" s="2" t="s">
        <v>3</v>
      </c>
      <c r="DD510" s="2" t="s">
        <v>3</v>
      </c>
      <c r="DE510" s="2" t="s">
        <v>86</v>
      </c>
      <c r="DF510" s="2" t="s">
        <v>86</v>
      </c>
      <c r="DG510" s="2" t="s">
        <v>87</v>
      </c>
      <c r="DH510" s="2" t="s">
        <v>3</v>
      </c>
      <c r="DI510" s="2" t="s">
        <v>87</v>
      </c>
      <c r="DJ510" s="2" t="s">
        <v>86</v>
      </c>
      <c r="DK510" s="2" t="s">
        <v>3</v>
      </c>
      <c r="DL510" s="2" t="s">
        <v>3</v>
      </c>
      <c r="DM510" s="2" t="s">
        <v>3</v>
      </c>
      <c r="DN510" s="2">
        <v>0</v>
      </c>
      <c r="DO510" s="2">
        <v>0</v>
      </c>
      <c r="DP510" s="2">
        <v>1</v>
      </c>
      <c r="DQ510" s="2">
        <v>1</v>
      </c>
      <c r="DR510" s="2"/>
      <c r="DS510" s="2"/>
      <c r="DT510" s="2"/>
      <c r="DU510" s="2">
        <v>1013</v>
      </c>
      <c r="DV510" s="2" t="s">
        <v>527</v>
      </c>
      <c r="DW510" s="2" t="s">
        <v>527</v>
      </c>
      <c r="DX510" s="2">
        <v>1</v>
      </c>
      <c r="DY510" s="2"/>
      <c r="DZ510" s="2" t="s">
        <v>3</v>
      </c>
      <c r="EA510" s="2" t="s">
        <v>3</v>
      </c>
      <c r="EB510" s="2" t="s">
        <v>3</v>
      </c>
      <c r="EC510" s="2" t="s">
        <v>3</v>
      </c>
      <c r="ED510" s="2"/>
      <c r="EE510" s="2">
        <v>126051508</v>
      </c>
      <c r="EF510" s="2">
        <v>30</v>
      </c>
      <c r="EG510" s="2" t="s">
        <v>23</v>
      </c>
      <c r="EH510" s="2">
        <v>0</v>
      </c>
      <c r="EI510" s="2" t="s">
        <v>3</v>
      </c>
      <c r="EJ510" s="2">
        <v>1</v>
      </c>
      <c r="EK510" s="2">
        <v>47</v>
      </c>
      <c r="EL510" s="2" t="s">
        <v>529</v>
      </c>
      <c r="EM510" s="2" t="s">
        <v>530</v>
      </c>
      <c r="EN510" s="2"/>
      <c r="EO510" s="2" t="s">
        <v>90</v>
      </c>
      <c r="EP510" s="2"/>
      <c r="EQ510" s="2">
        <v>131072</v>
      </c>
      <c r="ER510" s="2">
        <v>4852.47</v>
      </c>
      <c r="ES510" s="2">
        <v>1800.88</v>
      </c>
      <c r="ET510" s="2">
        <v>1050.3699999999999</v>
      </c>
      <c r="EU510" s="2">
        <v>43.16</v>
      </c>
      <c r="EV510" s="2">
        <v>2001.22</v>
      </c>
      <c r="EW510" s="2">
        <v>179</v>
      </c>
      <c r="EX510" s="2">
        <v>0</v>
      </c>
      <c r="EY510" s="2">
        <v>0</v>
      </c>
      <c r="EZ510" s="2"/>
      <c r="FA510" s="2"/>
      <c r="FB510" s="2"/>
      <c r="FC510" s="2"/>
      <c r="FD510" s="2"/>
      <c r="FE510" s="2"/>
      <c r="FF510" s="2"/>
      <c r="FG510" s="2"/>
      <c r="FH510" s="2"/>
      <c r="FI510" s="2"/>
      <c r="FJ510" s="2"/>
      <c r="FK510" s="2"/>
      <c r="FL510" s="2"/>
      <c r="FM510" s="2"/>
      <c r="FN510" s="2"/>
      <c r="FO510" s="2"/>
      <c r="FP510" s="2"/>
      <c r="FQ510" s="2">
        <v>0</v>
      </c>
      <c r="FR510" s="2">
        <f t="shared" si="442"/>
        <v>0</v>
      </c>
      <c r="FS510" s="2">
        <v>0</v>
      </c>
      <c r="FT510" s="2"/>
      <c r="FU510" s="2"/>
      <c r="FV510" s="2"/>
      <c r="FW510" s="2"/>
      <c r="FX510" s="2">
        <v>85</v>
      </c>
      <c r="FY510" s="2">
        <v>70</v>
      </c>
      <c r="FZ510" s="2"/>
      <c r="GA510" s="2" t="s">
        <v>3</v>
      </c>
      <c r="GB510" s="2"/>
      <c r="GC510" s="2"/>
      <c r="GD510" s="2">
        <v>0</v>
      </c>
      <c r="GE510" s="2"/>
      <c r="GF510" s="2">
        <v>1260946012</v>
      </c>
      <c r="GG510" s="2">
        <v>2</v>
      </c>
      <c r="GH510" s="2">
        <v>1</v>
      </c>
      <c r="GI510" s="2">
        <v>-2</v>
      </c>
      <c r="GJ510" s="2">
        <v>0</v>
      </c>
      <c r="GK510" s="2">
        <f>ROUND(R510*(R12)/100,2)</f>
        <v>4.38</v>
      </c>
      <c r="GL510" s="2">
        <f t="shared" si="443"/>
        <v>0</v>
      </c>
      <c r="GM510" s="2">
        <f t="shared" si="444"/>
        <v>421.17</v>
      </c>
      <c r="GN510" s="2">
        <f t="shared" si="445"/>
        <v>421.17</v>
      </c>
      <c r="GO510" s="2">
        <f t="shared" si="446"/>
        <v>0</v>
      </c>
      <c r="GP510" s="2">
        <f t="shared" si="447"/>
        <v>0</v>
      </c>
      <c r="GQ510" s="2"/>
      <c r="GR510" s="2">
        <v>0</v>
      </c>
      <c r="GS510" s="2">
        <v>0</v>
      </c>
      <c r="GT510" s="2">
        <v>0</v>
      </c>
      <c r="GU510" s="2" t="s">
        <v>3</v>
      </c>
      <c r="GV510" s="2">
        <f t="shared" si="448"/>
        <v>0</v>
      </c>
      <c r="GW510" s="2">
        <v>1</v>
      </c>
      <c r="GX510" s="2">
        <f t="shared" si="449"/>
        <v>0</v>
      </c>
      <c r="GY510" s="2"/>
      <c r="GZ510" s="2"/>
      <c r="HA510" s="2">
        <v>0</v>
      </c>
      <c r="HB510" s="2">
        <v>0</v>
      </c>
      <c r="HC510" s="2">
        <f t="shared" si="450"/>
        <v>0</v>
      </c>
      <c r="HD510" s="2"/>
      <c r="HE510" s="2" t="s">
        <v>3</v>
      </c>
      <c r="HF510" s="2" t="s">
        <v>3</v>
      </c>
      <c r="HG510" s="2"/>
      <c r="HH510" s="2"/>
      <c r="HI510" s="2"/>
      <c r="HJ510" s="2"/>
      <c r="HK510" s="2"/>
      <c r="HL510" s="2"/>
      <c r="HM510" s="2" t="s">
        <v>3</v>
      </c>
      <c r="HN510" s="2" t="s">
        <v>3</v>
      </c>
      <c r="HO510" s="2" t="s">
        <v>3</v>
      </c>
      <c r="HP510" s="2" t="s">
        <v>3</v>
      </c>
      <c r="HQ510" s="2" t="s">
        <v>3</v>
      </c>
      <c r="HR510" s="2"/>
      <c r="HS510" s="2"/>
      <c r="HT510" s="2"/>
      <c r="HU510" s="2"/>
      <c r="HV510" s="2"/>
      <c r="HW510" s="2"/>
      <c r="HX510" s="2"/>
      <c r="HY510" s="2"/>
      <c r="HZ510" s="2"/>
      <c r="IA510" s="2"/>
      <c r="IB510" s="2"/>
      <c r="IC510" s="2"/>
      <c r="ID510" s="2"/>
      <c r="IE510" s="2"/>
      <c r="IF510" s="2"/>
      <c r="IG510" s="2"/>
      <c r="IH510" s="2"/>
      <c r="II510" s="2"/>
      <c r="IJ510" s="2"/>
      <c r="IK510" s="2">
        <v>0</v>
      </c>
      <c r="IL510" s="2"/>
      <c r="IM510" s="2"/>
      <c r="IN510" s="2"/>
      <c r="IO510" s="2"/>
      <c r="IP510" s="2"/>
      <c r="IQ510" s="2"/>
      <c r="IR510" s="2"/>
      <c r="IS510" s="2"/>
      <c r="IT510" s="2"/>
      <c r="IU510" s="2"/>
    </row>
    <row r="511" spans="1:255" x14ac:dyDescent="0.2">
      <c r="A511">
        <v>17</v>
      </c>
      <c r="B511">
        <v>1</v>
      </c>
      <c r="C511">
        <f>ROW(SmtRes!A504)</f>
        <v>504</v>
      </c>
      <c r="D511">
        <f>ROW(EtalonRes!A508)</f>
        <v>508</v>
      </c>
      <c r="E511" t="s">
        <v>116</v>
      </c>
      <c r="F511" t="s">
        <v>525</v>
      </c>
      <c r="G511" t="s">
        <v>526</v>
      </c>
      <c r="H511" t="s">
        <v>527</v>
      </c>
      <c r="I511">
        <v>4.6399999999999997E-2</v>
      </c>
      <c r="J511">
        <v>0</v>
      </c>
      <c r="K511">
        <v>4.6399999999999997E-2</v>
      </c>
      <c r="O511">
        <f t="shared" si="420"/>
        <v>4958.51</v>
      </c>
      <c r="P511">
        <f t="shared" si="421"/>
        <v>1226.6600000000001</v>
      </c>
      <c r="Q511">
        <f>(ROUND((ROUND((((ET511*1.25))*AV511*I511),2)*BB511),2)+ROUND((ROUND(((AE511-((EU511*1.25)))*AV511*I511),2)*BS511),2))</f>
        <v>631.74</v>
      </c>
      <c r="R511">
        <f t="shared" si="422"/>
        <v>72.58</v>
      </c>
      <c r="S511">
        <f t="shared" si="423"/>
        <v>3100.11</v>
      </c>
      <c r="T511">
        <f t="shared" si="424"/>
        <v>0</v>
      </c>
      <c r="U511">
        <f t="shared" si="425"/>
        <v>9.5514399999999995</v>
      </c>
      <c r="V511">
        <f t="shared" si="426"/>
        <v>0</v>
      </c>
      <c r="W511">
        <f t="shared" si="427"/>
        <v>0</v>
      </c>
      <c r="X511">
        <f t="shared" si="428"/>
        <v>2170.08</v>
      </c>
      <c r="Y511">
        <f t="shared" si="429"/>
        <v>1271.05</v>
      </c>
      <c r="AA511">
        <v>129761633</v>
      </c>
      <c r="AB511">
        <f t="shared" si="430"/>
        <v>5415.2455</v>
      </c>
      <c r="AC511">
        <f t="shared" si="431"/>
        <v>1800.88</v>
      </c>
      <c r="AD511">
        <f>ROUND(((((ET511*1.25))-((EU511*1.25)))+AE511),6)</f>
        <v>1312.9625000000001</v>
      </c>
      <c r="AE511">
        <f>ROUND(((EU511*1.25)),6)</f>
        <v>53.95</v>
      </c>
      <c r="AF511">
        <f>ROUND(((EV511*1.15)),6)</f>
        <v>2301.4029999999998</v>
      </c>
      <c r="AG511">
        <f t="shared" si="432"/>
        <v>0</v>
      </c>
      <c r="AH511">
        <f>((EW511*1.15))</f>
        <v>205.85</v>
      </c>
      <c r="AI511">
        <f>((EX511*1.25))</f>
        <v>0</v>
      </c>
      <c r="AJ511">
        <f t="shared" si="433"/>
        <v>0</v>
      </c>
      <c r="AK511">
        <v>4852.47</v>
      </c>
      <c r="AL511">
        <v>1800.88</v>
      </c>
      <c r="AM511">
        <v>1050.3699999999999</v>
      </c>
      <c r="AN511">
        <v>43.16</v>
      </c>
      <c r="AO511">
        <v>2001.22</v>
      </c>
      <c r="AP511">
        <v>0</v>
      </c>
      <c r="AQ511">
        <v>179</v>
      </c>
      <c r="AR511">
        <v>0</v>
      </c>
      <c r="AS511">
        <v>0</v>
      </c>
      <c r="AT511">
        <v>70</v>
      </c>
      <c r="AU511">
        <v>41</v>
      </c>
      <c r="AV511">
        <v>1</v>
      </c>
      <c r="AW511">
        <v>1</v>
      </c>
      <c r="AZ511">
        <v>1</v>
      </c>
      <c r="BA511">
        <v>29.03</v>
      </c>
      <c r="BB511">
        <v>10.37</v>
      </c>
      <c r="BC511">
        <v>14.68</v>
      </c>
      <c r="BD511" t="s">
        <v>3</v>
      </c>
      <c r="BE511" t="s">
        <v>3</v>
      </c>
      <c r="BF511" t="s">
        <v>3</v>
      </c>
      <c r="BG511" t="s">
        <v>3</v>
      </c>
      <c r="BH511">
        <v>0</v>
      </c>
      <c r="BI511">
        <v>1</v>
      </c>
      <c r="BJ511" t="s">
        <v>528</v>
      </c>
      <c r="BM511">
        <v>47</v>
      </c>
      <c r="BN511">
        <v>0</v>
      </c>
      <c r="BO511" t="s">
        <v>525</v>
      </c>
      <c r="BP511">
        <v>1</v>
      </c>
      <c r="BQ511">
        <v>30</v>
      </c>
      <c r="BR511">
        <v>0</v>
      </c>
      <c r="BS511">
        <v>29.03</v>
      </c>
      <c r="BT511">
        <v>1</v>
      </c>
      <c r="BU511">
        <v>1</v>
      </c>
      <c r="BV511">
        <v>1</v>
      </c>
      <c r="BW511">
        <v>1</v>
      </c>
      <c r="BX511">
        <v>1</v>
      </c>
      <c r="BY511" t="s">
        <v>3</v>
      </c>
      <c r="BZ511">
        <v>70</v>
      </c>
      <c r="CA511">
        <v>41</v>
      </c>
      <c r="CB511" t="s">
        <v>3</v>
      </c>
      <c r="CE511">
        <v>30</v>
      </c>
      <c r="CF511">
        <v>0</v>
      </c>
      <c r="CG511">
        <v>0</v>
      </c>
      <c r="CM511">
        <v>0</v>
      </c>
      <c r="CN511" t="s">
        <v>1559</v>
      </c>
      <c r="CO511">
        <v>0</v>
      </c>
      <c r="CP511">
        <f t="shared" si="434"/>
        <v>4958.51</v>
      </c>
      <c r="CQ511">
        <f t="shared" si="435"/>
        <v>26436.92</v>
      </c>
      <c r="CR511">
        <f>(ROUND((ROUND((((ET511*1.25))*AV511*1),2)*BB511),2)+ROUND((ROUND(((AE511-((EU511*1.25)))*AV511*1),2)*BS511),2))</f>
        <v>13615.4</v>
      </c>
      <c r="CS511">
        <f t="shared" si="436"/>
        <v>1566.17</v>
      </c>
      <c r="CT511">
        <f t="shared" si="437"/>
        <v>66809.64</v>
      </c>
      <c r="CU511">
        <f t="shared" si="438"/>
        <v>0</v>
      </c>
      <c r="CV511">
        <f t="shared" si="439"/>
        <v>205.85</v>
      </c>
      <c r="CW511">
        <f t="shared" si="440"/>
        <v>0</v>
      </c>
      <c r="CX511">
        <f t="shared" si="441"/>
        <v>0</v>
      </c>
      <c r="CY511">
        <f>S511*(BZ511/100)</f>
        <v>2170.0769999999998</v>
      </c>
      <c r="CZ511">
        <f>S511*(CA511/100)</f>
        <v>1271.0451</v>
      </c>
      <c r="DC511" t="s">
        <v>3</v>
      </c>
      <c r="DD511" t="s">
        <v>3</v>
      </c>
      <c r="DE511" t="s">
        <v>86</v>
      </c>
      <c r="DF511" t="s">
        <v>86</v>
      </c>
      <c r="DG511" t="s">
        <v>87</v>
      </c>
      <c r="DH511" t="s">
        <v>3</v>
      </c>
      <c r="DI511" t="s">
        <v>87</v>
      </c>
      <c r="DJ511" t="s">
        <v>86</v>
      </c>
      <c r="DK511" t="s">
        <v>3</v>
      </c>
      <c r="DL511" t="s">
        <v>3</v>
      </c>
      <c r="DM511" t="s">
        <v>3</v>
      </c>
      <c r="DN511">
        <v>85</v>
      </c>
      <c r="DO511">
        <v>70</v>
      </c>
      <c r="DP511">
        <v>1</v>
      </c>
      <c r="DQ511">
        <v>1</v>
      </c>
      <c r="DU511">
        <v>1013</v>
      </c>
      <c r="DV511" t="s">
        <v>527</v>
      </c>
      <c r="DW511" t="s">
        <v>527</v>
      </c>
      <c r="DX511">
        <v>1</v>
      </c>
      <c r="DZ511" t="s">
        <v>3</v>
      </c>
      <c r="EA511" t="s">
        <v>3</v>
      </c>
      <c r="EB511" t="s">
        <v>3</v>
      </c>
      <c r="EC511" t="s">
        <v>3</v>
      </c>
      <c r="EE511">
        <v>126051508</v>
      </c>
      <c r="EF511">
        <v>30</v>
      </c>
      <c r="EG511" t="s">
        <v>23</v>
      </c>
      <c r="EH511">
        <v>0</v>
      </c>
      <c r="EI511" t="s">
        <v>3</v>
      </c>
      <c r="EJ511">
        <v>1</v>
      </c>
      <c r="EK511">
        <v>47</v>
      </c>
      <c r="EL511" t="s">
        <v>529</v>
      </c>
      <c r="EM511" t="s">
        <v>530</v>
      </c>
      <c r="EO511" t="s">
        <v>90</v>
      </c>
      <c r="EQ511">
        <v>131072</v>
      </c>
      <c r="ER511">
        <v>4852.47</v>
      </c>
      <c r="ES511">
        <v>1800.88</v>
      </c>
      <c r="ET511">
        <v>1050.3699999999999</v>
      </c>
      <c r="EU511">
        <v>43.16</v>
      </c>
      <c r="EV511">
        <v>2001.22</v>
      </c>
      <c r="EW511">
        <v>179</v>
      </c>
      <c r="EX511">
        <v>0</v>
      </c>
      <c r="EY511">
        <v>0</v>
      </c>
      <c r="FQ511">
        <v>0</v>
      </c>
      <c r="FR511">
        <f t="shared" si="442"/>
        <v>0</v>
      </c>
      <c r="FS511">
        <v>0</v>
      </c>
      <c r="FX511">
        <v>85</v>
      </c>
      <c r="FY511">
        <v>70</v>
      </c>
      <c r="GA511" t="s">
        <v>3</v>
      </c>
      <c r="GD511">
        <v>0</v>
      </c>
      <c r="GF511">
        <v>1260946012</v>
      </c>
      <c r="GG511">
        <v>2</v>
      </c>
      <c r="GH511">
        <v>1</v>
      </c>
      <c r="GI511">
        <v>2</v>
      </c>
      <c r="GJ511">
        <v>0</v>
      </c>
      <c r="GK511">
        <f>ROUND(R511*(S12)/100,2)</f>
        <v>116.13</v>
      </c>
      <c r="GL511">
        <f t="shared" si="443"/>
        <v>0</v>
      </c>
      <c r="GM511">
        <f t="shared" si="444"/>
        <v>8515.77</v>
      </c>
      <c r="GN511">
        <f t="shared" si="445"/>
        <v>8515.77</v>
      </c>
      <c r="GO511">
        <f t="shared" si="446"/>
        <v>0</v>
      </c>
      <c r="GP511">
        <f t="shared" si="447"/>
        <v>0</v>
      </c>
      <c r="GR511">
        <v>0</v>
      </c>
      <c r="GS511">
        <v>3</v>
      </c>
      <c r="GT511">
        <v>0</v>
      </c>
      <c r="GU511" t="s">
        <v>3</v>
      </c>
      <c r="GV511">
        <f t="shared" si="448"/>
        <v>0</v>
      </c>
      <c r="GW511">
        <v>1</v>
      </c>
      <c r="GX511">
        <f t="shared" si="449"/>
        <v>0</v>
      </c>
      <c r="HA511">
        <v>0</v>
      </c>
      <c r="HB511">
        <v>0</v>
      </c>
      <c r="HC511">
        <f t="shared" si="450"/>
        <v>0</v>
      </c>
      <c r="HE511" t="s">
        <v>3</v>
      </c>
      <c r="HF511" t="s">
        <v>3</v>
      </c>
      <c r="HM511" t="s">
        <v>3</v>
      </c>
      <c r="HN511" t="s">
        <v>3</v>
      </c>
      <c r="HO511" t="s">
        <v>3</v>
      </c>
      <c r="HP511" t="s">
        <v>3</v>
      </c>
      <c r="HQ511" t="s">
        <v>3</v>
      </c>
      <c r="IK511">
        <v>0</v>
      </c>
    </row>
    <row r="512" spans="1:255" x14ac:dyDescent="0.2">
      <c r="A512" s="2">
        <v>18</v>
      </c>
      <c r="B512" s="2">
        <v>1</v>
      </c>
      <c r="C512" s="2">
        <v>485</v>
      </c>
      <c r="D512" s="2"/>
      <c r="E512" s="2" t="s">
        <v>123</v>
      </c>
      <c r="F512" s="2" t="s">
        <v>531</v>
      </c>
      <c r="G512" s="2" t="s">
        <v>532</v>
      </c>
      <c r="H512" s="2" t="s">
        <v>114</v>
      </c>
      <c r="I512" s="2">
        <f>I510*J512</f>
        <v>1.4489999999999999E-2</v>
      </c>
      <c r="J512" s="2">
        <v>0.3122844827586207</v>
      </c>
      <c r="K512" s="2">
        <v>0.31228400000000001</v>
      </c>
      <c r="L512" s="2"/>
      <c r="M512" s="2"/>
      <c r="N512" s="2"/>
      <c r="O512" s="2">
        <f t="shared" si="420"/>
        <v>0</v>
      </c>
      <c r="P512" s="2">
        <f t="shared" si="421"/>
        <v>0</v>
      </c>
      <c r="Q512" s="2">
        <f t="shared" ref="Q512:Q517" si="451">(ROUND((ROUND(((ET512)*AV512*I512),2)*BB512),2)+ROUND((ROUND(((AE512-(EU512))*AV512*I512),2)*BS512),2))</f>
        <v>0</v>
      </c>
      <c r="R512" s="2">
        <f t="shared" si="422"/>
        <v>0</v>
      </c>
      <c r="S512" s="2">
        <f t="shared" si="423"/>
        <v>0</v>
      </c>
      <c r="T512" s="2">
        <f t="shared" si="424"/>
        <v>0</v>
      </c>
      <c r="U512" s="2">
        <f t="shared" si="425"/>
        <v>0</v>
      </c>
      <c r="V512" s="2">
        <f t="shared" si="426"/>
        <v>0</v>
      </c>
      <c r="W512" s="2">
        <f t="shared" si="427"/>
        <v>0</v>
      </c>
      <c r="X512" s="2">
        <f t="shared" si="428"/>
        <v>0</v>
      </c>
      <c r="Y512" s="2">
        <f t="shared" si="429"/>
        <v>0</v>
      </c>
      <c r="Z512" s="2"/>
      <c r="AA512" s="2">
        <v>129761636</v>
      </c>
      <c r="AB512" s="2">
        <f t="shared" si="430"/>
        <v>0</v>
      </c>
      <c r="AC512" s="2">
        <f t="shared" si="431"/>
        <v>0</v>
      </c>
      <c r="AD512" s="2">
        <f t="shared" ref="AD512:AD517" si="452">ROUND((((ET512)-(EU512))+AE512),6)</f>
        <v>0</v>
      </c>
      <c r="AE512" s="2">
        <f t="shared" ref="AE512:AF517" si="453">ROUND((EU512),6)</f>
        <v>0</v>
      </c>
      <c r="AF512" s="2">
        <f t="shared" si="453"/>
        <v>0</v>
      </c>
      <c r="AG512" s="2">
        <f t="shared" si="432"/>
        <v>0</v>
      </c>
      <c r="AH512" s="2">
        <f t="shared" ref="AH512:AI517" si="454">(EW512)</f>
        <v>0</v>
      </c>
      <c r="AI512" s="2">
        <f t="shared" si="454"/>
        <v>0</v>
      </c>
      <c r="AJ512" s="2">
        <f t="shared" si="433"/>
        <v>0</v>
      </c>
      <c r="AK512" s="2">
        <v>0</v>
      </c>
      <c r="AL512" s="2">
        <v>0</v>
      </c>
      <c r="AM512" s="2">
        <v>0</v>
      </c>
      <c r="AN512" s="2">
        <v>0</v>
      </c>
      <c r="AO512" s="2">
        <v>0</v>
      </c>
      <c r="AP512" s="2">
        <v>0</v>
      </c>
      <c r="AQ512" s="2">
        <v>0</v>
      </c>
      <c r="AR512" s="2">
        <v>0</v>
      </c>
      <c r="AS512" s="2">
        <v>0</v>
      </c>
      <c r="AT512" s="2">
        <v>85</v>
      </c>
      <c r="AU512" s="2">
        <v>70</v>
      </c>
      <c r="AV512" s="2">
        <v>1</v>
      </c>
      <c r="AW512" s="2">
        <v>1</v>
      </c>
      <c r="AX512" s="2"/>
      <c r="AY512" s="2"/>
      <c r="AZ512" s="2">
        <v>1</v>
      </c>
      <c r="BA512" s="2">
        <v>1</v>
      </c>
      <c r="BB512" s="2">
        <v>1</v>
      </c>
      <c r="BC512" s="2">
        <v>1</v>
      </c>
      <c r="BD512" s="2" t="s">
        <v>3</v>
      </c>
      <c r="BE512" s="2" t="s">
        <v>3</v>
      </c>
      <c r="BF512" s="2" t="s">
        <v>3</v>
      </c>
      <c r="BG512" s="2" t="s">
        <v>3</v>
      </c>
      <c r="BH512" s="2">
        <v>3</v>
      </c>
      <c r="BI512" s="2">
        <v>1</v>
      </c>
      <c r="BJ512" s="2" t="s">
        <v>3</v>
      </c>
      <c r="BK512" s="2"/>
      <c r="BL512" s="2"/>
      <c r="BM512" s="2">
        <v>47</v>
      </c>
      <c r="BN512" s="2">
        <v>0</v>
      </c>
      <c r="BO512" s="2" t="s">
        <v>3</v>
      </c>
      <c r="BP512" s="2">
        <v>0</v>
      </c>
      <c r="BQ512" s="2">
        <v>30</v>
      </c>
      <c r="BR512" s="2">
        <v>0</v>
      </c>
      <c r="BS512" s="2">
        <v>1</v>
      </c>
      <c r="BT512" s="2">
        <v>1</v>
      </c>
      <c r="BU512" s="2">
        <v>1</v>
      </c>
      <c r="BV512" s="2">
        <v>1</v>
      </c>
      <c r="BW512" s="2">
        <v>1</v>
      </c>
      <c r="BX512" s="2">
        <v>1</v>
      </c>
      <c r="BY512" s="2" t="s">
        <v>3</v>
      </c>
      <c r="BZ512" s="2">
        <v>85</v>
      </c>
      <c r="CA512" s="2">
        <v>70</v>
      </c>
      <c r="CB512" s="2" t="s">
        <v>3</v>
      </c>
      <c r="CC512" s="2"/>
      <c r="CD512" s="2"/>
      <c r="CE512" s="2">
        <v>30</v>
      </c>
      <c r="CF512" s="2">
        <v>0</v>
      </c>
      <c r="CG512" s="2">
        <v>0</v>
      </c>
      <c r="CH512" s="2"/>
      <c r="CI512" s="2"/>
      <c r="CJ512" s="2"/>
      <c r="CK512" s="2"/>
      <c r="CL512" s="2"/>
      <c r="CM512" s="2">
        <v>0</v>
      </c>
      <c r="CN512" s="2" t="s">
        <v>3</v>
      </c>
      <c r="CO512" s="2">
        <v>0</v>
      </c>
      <c r="CP512" s="2">
        <f t="shared" si="434"/>
        <v>0</v>
      </c>
      <c r="CQ512" s="2">
        <f t="shared" si="435"/>
        <v>0</v>
      </c>
      <c r="CR512" s="2">
        <f t="shared" ref="CR512:CR517" si="455">(ROUND((ROUND(((ET512)*AV512*1),2)*BB512),2)+ROUND((ROUND(((AE512-(EU512))*AV512*1),2)*BS512),2))</f>
        <v>0</v>
      </c>
      <c r="CS512" s="2">
        <f t="shared" si="436"/>
        <v>0</v>
      </c>
      <c r="CT512" s="2">
        <f t="shared" si="437"/>
        <v>0</v>
      </c>
      <c r="CU512" s="2">
        <f t="shared" si="438"/>
        <v>0</v>
      </c>
      <c r="CV512" s="2">
        <f t="shared" si="439"/>
        <v>0</v>
      </c>
      <c r="CW512" s="2">
        <f t="shared" si="440"/>
        <v>0</v>
      </c>
      <c r="CX512" s="2">
        <f t="shared" si="441"/>
        <v>0</v>
      </c>
      <c r="CY512" s="2">
        <f>((S512*BZ512)/100)</f>
        <v>0</v>
      </c>
      <c r="CZ512" s="2">
        <f>((S512*CA512)/100)</f>
        <v>0</v>
      </c>
      <c r="DA512" s="2"/>
      <c r="DB512" s="2"/>
      <c r="DC512" s="2" t="s">
        <v>3</v>
      </c>
      <c r="DD512" s="2" t="s">
        <v>3</v>
      </c>
      <c r="DE512" s="2" t="s">
        <v>3</v>
      </c>
      <c r="DF512" s="2" t="s">
        <v>3</v>
      </c>
      <c r="DG512" s="2" t="s">
        <v>3</v>
      </c>
      <c r="DH512" s="2" t="s">
        <v>3</v>
      </c>
      <c r="DI512" s="2" t="s">
        <v>3</v>
      </c>
      <c r="DJ512" s="2" t="s">
        <v>3</v>
      </c>
      <c r="DK512" s="2" t="s">
        <v>3</v>
      </c>
      <c r="DL512" s="2" t="s">
        <v>3</v>
      </c>
      <c r="DM512" s="2" t="s">
        <v>3</v>
      </c>
      <c r="DN512" s="2">
        <v>0</v>
      </c>
      <c r="DO512" s="2">
        <v>0</v>
      </c>
      <c r="DP512" s="2">
        <v>1</v>
      </c>
      <c r="DQ512" s="2">
        <v>1</v>
      </c>
      <c r="DR512" s="2"/>
      <c r="DS512" s="2"/>
      <c r="DT512" s="2"/>
      <c r="DU512" s="2">
        <v>1009</v>
      </c>
      <c r="DV512" s="2" t="s">
        <v>114</v>
      </c>
      <c r="DW512" s="2" t="s">
        <v>114</v>
      </c>
      <c r="DX512" s="2">
        <v>1000</v>
      </c>
      <c r="DY512" s="2"/>
      <c r="DZ512" s="2" t="s">
        <v>3</v>
      </c>
      <c r="EA512" s="2" t="s">
        <v>3</v>
      </c>
      <c r="EB512" s="2" t="s">
        <v>3</v>
      </c>
      <c r="EC512" s="2" t="s">
        <v>3</v>
      </c>
      <c r="ED512" s="2"/>
      <c r="EE512" s="2">
        <v>126051508</v>
      </c>
      <c r="EF512" s="2">
        <v>30</v>
      </c>
      <c r="EG512" s="2" t="s">
        <v>23</v>
      </c>
      <c r="EH512" s="2">
        <v>0</v>
      </c>
      <c r="EI512" s="2" t="s">
        <v>3</v>
      </c>
      <c r="EJ512" s="2">
        <v>1</v>
      </c>
      <c r="EK512" s="2">
        <v>47</v>
      </c>
      <c r="EL512" s="2" t="s">
        <v>529</v>
      </c>
      <c r="EM512" s="2" t="s">
        <v>530</v>
      </c>
      <c r="EN512" s="2"/>
      <c r="EO512" s="2" t="s">
        <v>3</v>
      </c>
      <c r="EP512" s="2"/>
      <c r="EQ512" s="2">
        <v>0</v>
      </c>
      <c r="ER512" s="2">
        <v>0</v>
      </c>
      <c r="ES512" s="2">
        <v>0</v>
      </c>
      <c r="ET512" s="2">
        <v>0</v>
      </c>
      <c r="EU512" s="2">
        <v>0</v>
      </c>
      <c r="EV512" s="2">
        <v>0</v>
      </c>
      <c r="EW512" s="2">
        <v>0</v>
      </c>
      <c r="EX512" s="2">
        <v>0</v>
      </c>
      <c r="EY512" s="2"/>
      <c r="EZ512" s="2"/>
      <c r="FA512" s="2"/>
      <c r="FB512" s="2"/>
      <c r="FC512" s="2"/>
      <c r="FD512" s="2"/>
      <c r="FE512" s="2"/>
      <c r="FF512" s="2"/>
      <c r="FG512" s="2"/>
      <c r="FH512" s="2"/>
      <c r="FI512" s="2"/>
      <c r="FJ512" s="2"/>
      <c r="FK512" s="2"/>
      <c r="FL512" s="2"/>
      <c r="FM512" s="2"/>
      <c r="FN512" s="2"/>
      <c r="FO512" s="2"/>
      <c r="FP512" s="2"/>
      <c r="FQ512" s="2">
        <v>0</v>
      </c>
      <c r="FR512" s="2">
        <f t="shared" si="442"/>
        <v>0</v>
      </c>
      <c r="FS512" s="2">
        <v>0</v>
      </c>
      <c r="FT512" s="2"/>
      <c r="FU512" s="2"/>
      <c r="FV512" s="2"/>
      <c r="FW512" s="2"/>
      <c r="FX512" s="2">
        <v>85</v>
      </c>
      <c r="FY512" s="2">
        <v>70</v>
      </c>
      <c r="FZ512" s="2"/>
      <c r="GA512" s="2" t="s">
        <v>3</v>
      </c>
      <c r="GB512" s="2"/>
      <c r="GC512" s="2"/>
      <c r="GD512" s="2">
        <v>0</v>
      </c>
      <c r="GE512" s="2"/>
      <c r="GF512" s="2">
        <v>-55009773</v>
      </c>
      <c r="GG512" s="2">
        <v>2</v>
      </c>
      <c r="GH512" s="2">
        <v>0</v>
      </c>
      <c r="GI512" s="2">
        <v>-2</v>
      </c>
      <c r="GJ512" s="2">
        <v>0</v>
      </c>
      <c r="GK512" s="2">
        <f>ROUND(R512*(R12)/100,2)</f>
        <v>0</v>
      </c>
      <c r="GL512" s="2">
        <f t="shared" si="443"/>
        <v>0</v>
      </c>
      <c r="GM512" s="2">
        <f t="shared" si="444"/>
        <v>0</v>
      </c>
      <c r="GN512" s="2">
        <f t="shared" si="445"/>
        <v>0</v>
      </c>
      <c r="GO512" s="2">
        <f t="shared" si="446"/>
        <v>0</v>
      </c>
      <c r="GP512" s="2">
        <f t="shared" si="447"/>
        <v>0</v>
      </c>
      <c r="GQ512" s="2"/>
      <c r="GR512" s="2">
        <v>0</v>
      </c>
      <c r="GS512" s="2">
        <v>0</v>
      </c>
      <c r="GT512" s="2">
        <v>0</v>
      </c>
      <c r="GU512" s="2" t="s">
        <v>3</v>
      </c>
      <c r="GV512" s="2">
        <f t="shared" si="448"/>
        <v>0</v>
      </c>
      <c r="GW512" s="2">
        <v>1</v>
      </c>
      <c r="GX512" s="2">
        <f t="shared" si="449"/>
        <v>0</v>
      </c>
      <c r="GY512" s="2"/>
      <c r="GZ512" s="2"/>
      <c r="HA512" s="2">
        <v>0</v>
      </c>
      <c r="HB512" s="2">
        <v>0</v>
      </c>
      <c r="HC512" s="2">
        <f t="shared" si="450"/>
        <v>0</v>
      </c>
      <c r="HD512" s="2"/>
      <c r="HE512" s="2" t="s">
        <v>3</v>
      </c>
      <c r="HF512" s="2" t="s">
        <v>3</v>
      </c>
      <c r="HG512" s="2"/>
      <c r="HH512" s="2"/>
      <c r="HI512" s="2"/>
      <c r="HJ512" s="2"/>
      <c r="HK512" s="2"/>
      <c r="HL512" s="2"/>
      <c r="HM512" s="2" t="s">
        <v>3</v>
      </c>
      <c r="HN512" s="2" t="s">
        <v>3</v>
      </c>
      <c r="HO512" s="2" t="s">
        <v>3</v>
      </c>
      <c r="HP512" s="2" t="s">
        <v>3</v>
      </c>
      <c r="HQ512" s="2" t="s">
        <v>3</v>
      </c>
      <c r="HR512" s="2"/>
      <c r="HS512" s="2"/>
      <c r="HT512" s="2"/>
      <c r="HU512" s="2"/>
      <c r="HV512" s="2"/>
      <c r="HW512" s="2"/>
      <c r="HX512" s="2"/>
      <c r="HY512" s="2"/>
      <c r="HZ512" s="2"/>
      <c r="IA512" s="2"/>
      <c r="IB512" s="2"/>
      <c r="IC512" s="2"/>
      <c r="ID512" s="2"/>
      <c r="IE512" s="2"/>
      <c r="IF512" s="2"/>
      <c r="IG512" s="2"/>
      <c r="IH512" s="2"/>
      <c r="II512" s="2"/>
      <c r="IJ512" s="2"/>
      <c r="IK512" s="2">
        <v>0</v>
      </c>
      <c r="IL512" s="2"/>
      <c r="IM512" s="2"/>
      <c r="IN512" s="2"/>
      <c r="IO512" s="2"/>
      <c r="IP512" s="2"/>
      <c r="IQ512" s="2"/>
      <c r="IR512" s="2"/>
      <c r="IS512" s="2"/>
      <c r="IT512" s="2"/>
      <c r="IU512" s="2"/>
    </row>
    <row r="513" spans="1:255" x14ac:dyDescent="0.2">
      <c r="A513">
        <v>18</v>
      </c>
      <c r="B513">
        <v>1</v>
      </c>
      <c r="C513">
        <v>502</v>
      </c>
      <c r="E513" t="s">
        <v>123</v>
      </c>
      <c r="F513" t="s">
        <v>531</v>
      </c>
      <c r="G513" t="s">
        <v>532</v>
      </c>
      <c r="H513" t="s">
        <v>114</v>
      </c>
      <c r="I513">
        <f>I511*J513</f>
        <v>1.4489999999999999E-2</v>
      </c>
      <c r="J513">
        <v>0.3122844827586207</v>
      </c>
      <c r="K513">
        <v>0.31228400000000001</v>
      </c>
      <c r="O513">
        <f t="shared" si="420"/>
        <v>0</v>
      </c>
      <c r="P513">
        <f t="shared" si="421"/>
        <v>0</v>
      </c>
      <c r="Q513">
        <f t="shared" si="451"/>
        <v>0</v>
      </c>
      <c r="R513">
        <f t="shared" si="422"/>
        <v>0</v>
      </c>
      <c r="S513">
        <f t="shared" si="423"/>
        <v>0</v>
      </c>
      <c r="T513">
        <f t="shared" si="424"/>
        <v>0</v>
      </c>
      <c r="U513">
        <f t="shared" si="425"/>
        <v>0</v>
      </c>
      <c r="V513">
        <f t="shared" si="426"/>
        <v>0</v>
      </c>
      <c r="W513">
        <f t="shared" si="427"/>
        <v>0</v>
      </c>
      <c r="X513">
        <f t="shared" si="428"/>
        <v>0</v>
      </c>
      <c r="Y513">
        <f t="shared" si="429"/>
        <v>0</v>
      </c>
      <c r="AA513">
        <v>129761633</v>
      </c>
      <c r="AB513">
        <f t="shared" si="430"/>
        <v>0</v>
      </c>
      <c r="AC513">
        <f t="shared" si="431"/>
        <v>0</v>
      </c>
      <c r="AD513">
        <f t="shared" si="452"/>
        <v>0</v>
      </c>
      <c r="AE513">
        <f t="shared" si="453"/>
        <v>0</v>
      </c>
      <c r="AF513">
        <f t="shared" si="453"/>
        <v>0</v>
      </c>
      <c r="AG513">
        <f t="shared" si="432"/>
        <v>0</v>
      </c>
      <c r="AH513">
        <f t="shared" si="454"/>
        <v>0</v>
      </c>
      <c r="AI513">
        <f t="shared" si="454"/>
        <v>0</v>
      </c>
      <c r="AJ513">
        <f t="shared" si="433"/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1</v>
      </c>
      <c r="AW513">
        <v>1</v>
      </c>
      <c r="AZ513">
        <v>1</v>
      </c>
      <c r="BA513">
        <v>1</v>
      </c>
      <c r="BB513">
        <v>1</v>
      </c>
      <c r="BC513">
        <v>12.06</v>
      </c>
      <c r="BD513" t="s">
        <v>3</v>
      </c>
      <c r="BE513" t="s">
        <v>3</v>
      </c>
      <c r="BF513" t="s">
        <v>3</v>
      </c>
      <c r="BG513" t="s">
        <v>3</v>
      </c>
      <c r="BH513">
        <v>3</v>
      </c>
      <c r="BI513">
        <v>1</v>
      </c>
      <c r="BJ513" t="s">
        <v>3</v>
      </c>
      <c r="BM513">
        <v>47</v>
      </c>
      <c r="BN513">
        <v>0</v>
      </c>
      <c r="BO513" t="s">
        <v>531</v>
      </c>
      <c r="BP513">
        <v>1</v>
      </c>
      <c r="BQ513">
        <v>30</v>
      </c>
      <c r="BR513">
        <v>0</v>
      </c>
      <c r="BS513">
        <v>1</v>
      </c>
      <c r="BT513">
        <v>1</v>
      </c>
      <c r="BU513">
        <v>1</v>
      </c>
      <c r="BV513">
        <v>1</v>
      </c>
      <c r="BW513">
        <v>1</v>
      </c>
      <c r="BX513">
        <v>1</v>
      </c>
      <c r="BY513" t="s">
        <v>3</v>
      </c>
      <c r="BZ513">
        <v>0</v>
      </c>
      <c r="CA513">
        <v>0</v>
      </c>
      <c r="CB513" t="s">
        <v>3</v>
      </c>
      <c r="CE513">
        <v>30</v>
      </c>
      <c r="CF513">
        <v>0</v>
      </c>
      <c r="CG513">
        <v>0</v>
      </c>
      <c r="CM513">
        <v>0</v>
      </c>
      <c r="CN513" t="s">
        <v>3</v>
      </c>
      <c r="CO513">
        <v>0</v>
      </c>
      <c r="CP513">
        <f t="shared" si="434"/>
        <v>0</v>
      </c>
      <c r="CQ513">
        <f t="shared" si="435"/>
        <v>0</v>
      </c>
      <c r="CR513">
        <f t="shared" si="455"/>
        <v>0</v>
      </c>
      <c r="CS513">
        <f t="shared" si="436"/>
        <v>0</v>
      </c>
      <c r="CT513">
        <f t="shared" si="437"/>
        <v>0</v>
      </c>
      <c r="CU513">
        <f t="shared" si="438"/>
        <v>0</v>
      </c>
      <c r="CV513">
        <f t="shared" si="439"/>
        <v>0</v>
      </c>
      <c r="CW513">
        <f t="shared" si="440"/>
        <v>0</v>
      </c>
      <c r="CX513">
        <f t="shared" si="441"/>
        <v>0</v>
      </c>
      <c r="CY513">
        <f>S513*(BZ513/100)</f>
        <v>0</v>
      </c>
      <c r="CZ513">
        <f>S513*(CA513/100)</f>
        <v>0</v>
      </c>
      <c r="DC513" t="s">
        <v>3</v>
      </c>
      <c r="DD513" t="s">
        <v>3</v>
      </c>
      <c r="DE513" t="s">
        <v>3</v>
      </c>
      <c r="DF513" t="s">
        <v>3</v>
      </c>
      <c r="DG513" t="s">
        <v>3</v>
      </c>
      <c r="DH513" t="s">
        <v>3</v>
      </c>
      <c r="DI513" t="s">
        <v>3</v>
      </c>
      <c r="DJ513" t="s">
        <v>3</v>
      </c>
      <c r="DK513" t="s">
        <v>3</v>
      </c>
      <c r="DL513" t="s">
        <v>3</v>
      </c>
      <c r="DM513" t="s">
        <v>3</v>
      </c>
      <c r="DN513">
        <v>85</v>
      </c>
      <c r="DO513">
        <v>70</v>
      </c>
      <c r="DP513">
        <v>1</v>
      </c>
      <c r="DQ513">
        <v>1</v>
      </c>
      <c r="DU513">
        <v>1009</v>
      </c>
      <c r="DV513" t="s">
        <v>114</v>
      </c>
      <c r="DW513" t="s">
        <v>114</v>
      </c>
      <c r="DX513">
        <v>1000</v>
      </c>
      <c r="DZ513" t="s">
        <v>3</v>
      </c>
      <c r="EA513" t="s">
        <v>3</v>
      </c>
      <c r="EB513" t="s">
        <v>3</v>
      </c>
      <c r="EC513" t="s">
        <v>3</v>
      </c>
      <c r="EE513">
        <v>126051508</v>
      </c>
      <c r="EF513">
        <v>30</v>
      </c>
      <c r="EG513" t="s">
        <v>23</v>
      </c>
      <c r="EH513">
        <v>0</v>
      </c>
      <c r="EI513" t="s">
        <v>3</v>
      </c>
      <c r="EJ513">
        <v>1</v>
      </c>
      <c r="EK513">
        <v>47</v>
      </c>
      <c r="EL513" t="s">
        <v>529</v>
      </c>
      <c r="EM513" t="s">
        <v>530</v>
      </c>
      <c r="EO513" t="s">
        <v>3</v>
      </c>
      <c r="EQ513">
        <v>0</v>
      </c>
      <c r="ER513">
        <v>0</v>
      </c>
      <c r="ES513">
        <v>0</v>
      </c>
      <c r="ET513">
        <v>0</v>
      </c>
      <c r="EU513">
        <v>0</v>
      </c>
      <c r="EV513">
        <v>0</v>
      </c>
      <c r="EW513">
        <v>0</v>
      </c>
      <c r="EX513">
        <v>0</v>
      </c>
      <c r="FQ513">
        <v>0</v>
      </c>
      <c r="FR513">
        <f t="shared" si="442"/>
        <v>0</v>
      </c>
      <c r="FS513">
        <v>0</v>
      </c>
      <c r="FX513">
        <v>85</v>
      </c>
      <c r="FY513">
        <v>70</v>
      </c>
      <c r="GA513" t="s">
        <v>259</v>
      </c>
      <c r="GD513">
        <v>0</v>
      </c>
      <c r="GF513">
        <v>-55009773</v>
      </c>
      <c r="GG513">
        <v>2</v>
      </c>
      <c r="GH513">
        <v>2</v>
      </c>
      <c r="GI513">
        <v>2</v>
      </c>
      <c r="GJ513">
        <v>0</v>
      </c>
      <c r="GK513">
        <f>ROUND(R513*(S12)/100,2)</f>
        <v>0</v>
      </c>
      <c r="GL513">
        <f t="shared" si="443"/>
        <v>0</v>
      </c>
      <c r="GM513">
        <f t="shared" si="444"/>
        <v>0</v>
      </c>
      <c r="GN513">
        <f t="shared" si="445"/>
        <v>0</v>
      </c>
      <c r="GO513">
        <f t="shared" si="446"/>
        <v>0</v>
      </c>
      <c r="GP513">
        <f t="shared" si="447"/>
        <v>0</v>
      </c>
      <c r="GR513">
        <v>0</v>
      </c>
      <c r="GS513">
        <v>4</v>
      </c>
      <c r="GT513">
        <v>0</v>
      </c>
      <c r="GU513" t="s">
        <v>3</v>
      </c>
      <c r="GV513">
        <f t="shared" si="448"/>
        <v>0</v>
      </c>
      <c r="GW513">
        <v>1</v>
      </c>
      <c r="GX513">
        <f t="shared" si="449"/>
        <v>0</v>
      </c>
      <c r="HA513">
        <v>0</v>
      </c>
      <c r="HB513">
        <v>0</v>
      </c>
      <c r="HC513">
        <f t="shared" si="450"/>
        <v>0</v>
      </c>
      <c r="HE513" t="s">
        <v>3</v>
      </c>
      <c r="HF513" t="s">
        <v>3</v>
      </c>
      <c r="HM513" t="s">
        <v>3</v>
      </c>
      <c r="HN513" t="s">
        <v>3</v>
      </c>
      <c r="HO513" t="s">
        <v>3</v>
      </c>
      <c r="HP513" t="s">
        <v>3</v>
      </c>
      <c r="HQ513" t="s">
        <v>3</v>
      </c>
      <c r="IK513">
        <v>0</v>
      </c>
    </row>
    <row r="514" spans="1:255" x14ac:dyDescent="0.2">
      <c r="A514" s="2">
        <v>18</v>
      </c>
      <c r="B514" s="2">
        <v>1</v>
      </c>
      <c r="C514" s="2">
        <v>486</v>
      </c>
      <c r="D514" s="2"/>
      <c r="E514" s="2" t="s">
        <v>533</v>
      </c>
      <c r="F514" s="2" t="s">
        <v>534</v>
      </c>
      <c r="G514" s="2" t="s">
        <v>535</v>
      </c>
      <c r="H514" s="2" t="s">
        <v>114</v>
      </c>
      <c r="I514" s="2">
        <f>I510*J514</f>
        <v>0.52371000000000001</v>
      </c>
      <c r="J514" s="2">
        <v>11.286853448275863</v>
      </c>
      <c r="K514" s="2">
        <v>11.286853000000001</v>
      </c>
      <c r="L514" s="2"/>
      <c r="M514" s="2"/>
      <c r="N514" s="2"/>
      <c r="O514" s="2">
        <f t="shared" si="420"/>
        <v>0</v>
      </c>
      <c r="P514" s="2">
        <f t="shared" si="421"/>
        <v>0</v>
      </c>
      <c r="Q514" s="2">
        <f t="shared" si="451"/>
        <v>0</v>
      </c>
      <c r="R514" s="2">
        <f t="shared" si="422"/>
        <v>0</v>
      </c>
      <c r="S514" s="2">
        <f t="shared" si="423"/>
        <v>0</v>
      </c>
      <c r="T514" s="2">
        <f t="shared" si="424"/>
        <v>0</v>
      </c>
      <c r="U514" s="2">
        <f t="shared" si="425"/>
        <v>0</v>
      </c>
      <c r="V514" s="2">
        <f t="shared" si="426"/>
        <v>0</v>
      </c>
      <c r="W514" s="2">
        <f t="shared" si="427"/>
        <v>0</v>
      </c>
      <c r="X514" s="2">
        <f t="shared" si="428"/>
        <v>0</v>
      </c>
      <c r="Y514" s="2">
        <f t="shared" si="429"/>
        <v>0</v>
      </c>
      <c r="Z514" s="2"/>
      <c r="AA514" s="2">
        <v>129761636</v>
      </c>
      <c r="AB514" s="2">
        <f t="shared" si="430"/>
        <v>0</v>
      </c>
      <c r="AC514" s="2">
        <f t="shared" si="431"/>
        <v>0</v>
      </c>
      <c r="AD514" s="2">
        <f t="shared" si="452"/>
        <v>0</v>
      </c>
      <c r="AE514" s="2">
        <f t="shared" si="453"/>
        <v>0</v>
      </c>
      <c r="AF514" s="2">
        <f t="shared" si="453"/>
        <v>0</v>
      </c>
      <c r="AG514" s="2">
        <f t="shared" si="432"/>
        <v>0</v>
      </c>
      <c r="AH514" s="2">
        <f t="shared" si="454"/>
        <v>0</v>
      </c>
      <c r="AI514" s="2">
        <f t="shared" si="454"/>
        <v>0</v>
      </c>
      <c r="AJ514" s="2">
        <f t="shared" si="433"/>
        <v>0</v>
      </c>
      <c r="AK514" s="2">
        <v>0</v>
      </c>
      <c r="AL514" s="2">
        <v>0</v>
      </c>
      <c r="AM514" s="2">
        <v>0</v>
      </c>
      <c r="AN514" s="2">
        <v>0</v>
      </c>
      <c r="AO514" s="2">
        <v>0</v>
      </c>
      <c r="AP514" s="2">
        <v>0</v>
      </c>
      <c r="AQ514" s="2">
        <v>0</v>
      </c>
      <c r="AR514" s="2">
        <v>0</v>
      </c>
      <c r="AS514" s="2">
        <v>0</v>
      </c>
      <c r="AT514" s="2">
        <v>85</v>
      </c>
      <c r="AU514" s="2">
        <v>70</v>
      </c>
      <c r="AV514" s="2">
        <v>1</v>
      </c>
      <c r="AW514" s="2">
        <v>1</v>
      </c>
      <c r="AX514" s="2"/>
      <c r="AY514" s="2"/>
      <c r="AZ514" s="2">
        <v>1</v>
      </c>
      <c r="BA514" s="2">
        <v>1</v>
      </c>
      <c r="BB514" s="2">
        <v>1</v>
      </c>
      <c r="BC514" s="2">
        <v>1</v>
      </c>
      <c r="BD514" s="2" t="s">
        <v>3</v>
      </c>
      <c r="BE514" s="2" t="s">
        <v>3</v>
      </c>
      <c r="BF514" s="2" t="s">
        <v>3</v>
      </c>
      <c r="BG514" s="2" t="s">
        <v>3</v>
      </c>
      <c r="BH514" s="2">
        <v>3</v>
      </c>
      <c r="BI514" s="2">
        <v>1</v>
      </c>
      <c r="BJ514" s="2" t="s">
        <v>3</v>
      </c>
      <c r="BK514" s="2"/>
      <c r="BL514" s="2"/>
      <c r="BM514" s="2">
        <v>47</v>
      </c>
      <c r="BN514" s="2">
        <v>0</v>
      </c>
      <c r="BO514" s="2" t="s">
        <v>3</v>
      </c>
      <c r="BP514" s="2">
        <v>0</v>
      </c>
      <c r="BQ514" s="2">
        <v>30</v>
      </c>
      <c r="BR514" s="2">
        <v>0</v>
      </c>
      <c r="BS514" s="2">
        <v>1</v>
      </c>
      <c r="BT514" s="2">
        <v>1</v>
      </c>
      <c r="BU514" s="2">
        <v>1</v>
      </c>
      <c r="BV514" s="2">
        <v>1</v>
      </c>
      <c r="BW514" s="2">
        <v>1</v>
      </c>
      <c r="BX514" s="2">
        <v>1</v>
      </c>
      <c r="BY514" s="2" t="s">
        <v>3</v>
      </c>
      <c r="BZ514" s="2">
        <v>85</v>
      </c>
      <c r="CA514" s="2">
        <v>70</v>
      </c>
      <c r="CB514" s="2" t="s">
        <v>3</v>
      </c>
      <c r="CC514" s="2"/>
      <c r="CD514" s="2"/>
      <c r="CE514" s="2">
        <v>30</v>
      </c>
      <c r="CF514" s="2">
        <v>0</v>
      </c>
      <c r="CG514" s="2">
        <v>0</v>
      </c>
      <c r="CH514" s="2"/>
      <c r="CI514" s="2"/>
      <c r="CJ514" s="2"/>
      <c r="CK514" s="2"/>
      <c r="CL514" s="2"/>
      <c r="CM514" s="2">
        <v>0</v>
      </c>
      <c r="CN514" s="2" t="s">
        <v>3</v>
      </c>
      <c r="CO514" s="2">
        <v>0</v>
      </c>
      <c r="CP514" s="2">
        <f t="shared" si="434"/>
        <v>0</v>
      </c>
      <c r="CQ514" s="2">
        <f t="shared" si="435"/>
        <v>0</v>
      </c>
      <c r="CR514" s="2">
        <f t="shared" si="455"/>
        <v>0</v>
      </c>
      <c r="CS514" s="2">
        <f t="shared" si="436"/>
        <v>0</v>
      </c>
      <c r="CT514" s="2">
        <f t="shared" si="437"/>
        <v>0</v>
      </c>
      <c r="CU514" s="2">
        <f t="shared" si="438"/>
        <v>0</v>
      </c>
      <c r="CV514" s="2">
        <f t="shared" si="439"/>
        <v>0</v>
      </c>
      <c r="CW514" s="2">
        <f t="shared" si="440"/>
        <v>0</v>
      </c>
      <c r="CX514" s="2">
        <f t="shared" si="441"/>
        <v>0</v>
      </c>
      <c r="CY514" s="2">
        <f>((S514*BZ514)/100)</f>
        <v>0</v>
      </c>
      <c r="CZ514" s="2">
        <f>((S514*CA514)/100)</f>
        <v>0</v>
      </c>
      <c r="DA514" s="2"/>
      <c r="DB514" s="2"/>
      <c r="DC514" s="2" t="s">
        <v>3</v>
      </c>
      <c r="DD514" s="2" t="s">
        <v>3</v>
      </c>
      <c r="DE514" s="2" t="s">
        <v>3</v>
      </c>
      <c r="DF514" s="2" t="s">
        <v>3</v>
      </c>
      <c r="DG514" s="2" t="s">
        <v>3</v>
      </c>
      <c r="DH514" s="2" t="s">
        <v>3</v>
      </c>
      <c r="DI514" s="2" t="s">
        <v>3</v>
      </c>
      <c r="DJ514" s="2" t="s">
        <v>3</v>
      </c>
      <c r="DK514" s="2" t="s">
        <v>3</v>
      </c>
      <c r="DL514" s="2" t="s">
        <v>3</v>
      </c>
      <c r="DM514" s="2" t="s">
        <v>3</v>
      </c>
      <c r="DN514" s="2">
        <v>0</v>
      </c>
      <c r="DO514" s="2">
        <v>0</v>
      </c>
      <c r="DP514" s="2">
        <v>1</v>
      </c>
      <c r="DQ514" s="2">
        <v>1</v>
      </c>
      <c r="DR514" s="2"/>
      <c r="DS514" s="2"/>
      <c r="DT514" s="2"/>
      <c r="DU514" s="2">
        <v>1009</v>
      </c>
      <c r="DV514" s="2" t="s">
        <v>114</v>
      </c>
      <c r="DW514" s="2" t="s">
        <v>114</v>
      </c>
      <c r="DX514" s="2">
        <v>1000</v>
      </c>
      <c r="DY514" s="2"/>
      <c r="DZ514" s="2" t="s">
        <v>3</v>
      </c>
      <c r="EA514" s="2" t="s">
        <v>3</v>
      </c>
      <c r="EB514" s="2" t="s">
        <v>3</v>
      </c>
      <c r="EC514" s="2" t="s">
        <v>3</v>
      </c>
      <c r="ED514" s="2"/>
      <c r="EE514" s="2">
        <v>126051508</v>
      </c>
      <c r="EF514" s="2">
        <v>30</v>
      </c>
      <c r="EG514" s="2" t="s">
        <v>23</v>
      </c>
      <c r="EH514" s="2">
        <v>0</v>
      </c>
      <c r="EI514" s="2" t="s">
        <v>3</v>
      </c>
      <c r="EJ514" s="2">
        <v>1</v>
      </c>
      <c r="EK514" s="2">
        <v>47</v>
      </c>
      <c r="EL514" s="2" t="s">
        <v>529</v>
      </c>
      <c r="EM514" s="2" t="s">
        <v>530</v>
      </c>
      <c r="EN514" s="2"/>
      <c r="EO514" s="2" t="s">
        <v>3</v>
      </c>
      <c r="EP514" s="2"/>
      <c r="EQ514" s="2">
        <v>0</v>
      </c>
      <c r="ER514" s="2">
        <v>0</v>
      </c>
      <c r="ES514" s="2">
        <v>0</v>
      </c>
      <c r="ET514" s="2">
        <v>0</v>
      </c>
      <c r="EU514" s="2">
        <v>0</v>
      </c>
      <c r="EV514" s="2">
        <v>0</v>
      </c>
      <c r="EW514" s="2">
        <v>0</v>
      </c>
      <c r="EX514" s="2">
        <v>0</v>
      </c>
      <c r="EY514" s="2"/>
      <c r="EZ514" s="2"/>
      <c r="FA514" s="2"/>
      <c r="FB514" s="2"/>
      <c r="FC514" s="2"/>
      <c r="FD514" s="2"/>
      <c r="FE514" s="2"/>
      <c r="FF514" s="2"/>
      <c r="FG514" s="2"/>
      <c r="FH514" s="2"/>
      <c r="FI514" s="2"/>
      <c r="FJ514" s="2"/>
      <c r="FK514" s="2"/>
      <c r="FL514" s="2"/>
      <c r="FM514" s="2"/>
      <c r="FN514" s="2"/>
      <c r="FO514" s="2"/>
      <c r="FP514" s="2"/>
      <c r="FQ514" s="2">
        <v>0</v>
      </c>
      <c r="FR514" s="2">
        <f t="shared" si="442"/>
        <v>0</v>
      </c>
      <c r="FS514" s="2">
        <v>0</v>
      </c>
      <c r="FT514" s="2"/>
      <c r="FU514" s="2"/>
      <c r="FV514" s="2"/>
      <c r="FW514" s="2"/>
      <c r="FX514" s="2">
        <v>85</v>
      </c>
      <c r="FY514" s="2">
        <v>70</v>
      </c>
      <c r="FZ514" s="2"/>
      <c r="GA514" s="2" t="s">
        <v>3</v>
      </c>
      <c r="GB514" s="2"/>
      <c r="GC514" s="2"/>
      <c r="GD514" s="2">
        <v>0</v>
      </c>
      <c r="GE514" s="2"/>
      <c r="GF514" s="2">
        <v>-639873665</v>
      </c>
      <c r="GG514" s="2">
        <v>2</v>
      </c>
      <c r="GH514" s="2">
        <v>0</v>
      </c>
      <c r="GI514" s="2">
        <v>-2</v>
      </c>
      <c r="GJ514" s="2">
        <v>0</v>
      </c>
      <c r="GK514" s="2">
        <f>ROUND(R514*(R12)/100,2)</f>
        <v>0</v>
      </c>
      <c r="GL514" s="2">
        <f t="shared" si="443"/>
        <v>0</v>
      </c>
      <c r="GM514" s="2">
        <f t="shared" si="444"/>
        <v>0</v>
      </c>
      <c r="GN514" s="2">
        <f t="shared" si="445"/>
        <v>0</v>
      </c>
      <c r="GO514" s="2">
        <f t="shared" si="446"/>
        <v>0</v>
      </c>
      <c r="GP514" s="2">
        <f t="shared" si="447"/>
        <v>0</v>
      </c>
      <c r="GQ514" s="2"/>
      <c r="GR514" s="2">
        <v>0</v>
      </c>
      <c r="GS514" s="2">
        <v>0</v>
      </c>
      <c r="GT514" s="2">
        <v>0</v>
      </c>
      <c r="GU514" s="2" t="s">
        <v>3</v>
      </c>
      <c r="GV514" s="2">
        <f t="shared" si="448"/>
        <v>0</v>
      </c>
      <c r="GW514" s="2">
        <v>1</v>
      </c>
      <c r="GX514" s="2">
        <f t="shared" si="449"/>
        <v>0</v>
      </c>
      <c r="GY514" s="2"/>
      <c r="GZ514" s="2"/>
      <c r="HA514" s="2">
        <v>0</v>
      </c>
      <c r="HB514" s="2">
        <v>0</v>
      </c>
      <c r="HC514" s="2">
        <f t="shared" si="450"/>
        <v>0</v>
      </c>
      <c r="HD514" s="2"/>
      <c r="HE514" s="2" t="s">
        <v>3</v>
      </c>
      <c r="HF514" s="2" t="s">
        <v>3</v>
      </c>
      <c r="HG514" s="2"/>
      <c r="HH514" s="2"/>
      <c r="HI514" s="2"/>
      <c r="HJ514" s="2"/>
      <c r="HK514" s="2"/>
      <c r="HL514" s="2"/>
      <c r="HM514" s="2" t="s">
        <v>3</v>
      </c>
      <c r="HN514" s="2" t="s">
        <v>3</v>
      </c>
      <c r="HO514" s="2" t="s">
        <v>3</v>
      </c>
      <c r="HP514" s="2" t="s">
        <v>3</v>
      </c>
      <c r="HQ514" s="2" t="s">
        <v>3</v>
      </c>
      <c r="HR514" s="2"/>
      <c r="HS514" s="2"/>
      <c r="HT514" s="2"/>
      <c r="HU514" s="2"/>
      <c r="HV514" s="2"/>
      <c r="HW514" s="2"/>
      <c r="HX514" s="2"/>
      <c r="HY514" s="2"/>
      <c r="HZ514" s="2"/>
      <c r="IA514" s="2"/>
      <c r="IB514" s="2"/>
      <c r="IC514" s="2"/>
      <c r="ID514" s="2"/>
      <c r="IE514" s="2"/>
      <c r="IF514" s="2"/>
      <c r="IG514" s="2"/>
      <c r="IH514" s="2"/>
      <c r="II514" s="2"/>
      <c r="IJ514" s="2"/>
      <c r="IK514" s="2">
        <v>0</v>
      </c>
      <c r="IL514" s="2"/>
      <c r="IM514" s="2"/>
      <c r="IN514" s="2"/>
      <c r="IO514" s="2"/>
      <c r="IP514" s="2"/>
      <c r="IQ514" s="2"/>
      <c r="IR514" s="2"/>
      <c r="IS514" s="2"/>
      <c r="IT514" s="2"/>
      <c r="IU514" s="2"/>
    </row>
    <row r="515" spans="1:255" x14ac:dyDescent="0.2">
      <c r="A515">
        <v>18</v>
      </c>
      <c r="B515">
        <v>1</v>
      </c>
      <c r="C515">
        <v>503</v>
      </c>
      <c r="E515" t="s">
        <v>533</v>
      </c>
      <c r="F515" t="s">
        <v>534</v>
      </c>
      <c r="G515" t="s">
        <v>535</v>
      </c>
      <c r="H515" t="s">
        <v>114</v>
      </c>
      <c r="I515">
        <f>I511*J515</f>
        <v>0.52371000000000001</v>
      </c>
      <c r="J515">
        <v>11.286853448275863</v>
      </c>
      <c r="K515">
        <v>11.286853000000001</v>
      </c>
      <c r="O515">
        <f t="shared" si="420"/>
        <v>0</v>
      </c>
      <c r="P515">
        <f t="shared" si="421"/>
        <v>0</v>
      </c>
      <c r="Q515">
        <f t="shared" si="451"/>
        <v>0</v>
      </c>
      <c r="R515">
        <f t="shared" si="422"/>
        <v>0</v>
      </c>
      <c r="S515">
        <f t="shared" si="423"/>
        <v>0</v>
      </c>
      <c r="T515">
        <f t="shared" si="424"/>
        <v>0</v>
      </c>
      <c r="U515">
        <f t="shared" si="425"/>
        <v>0</v>
      </c>
      <c r="V515">
        <f t="shared" si="426"/>
        <v>0</v>
      </c>
      <c r="W515">
        <f t="shared" si="427"/>
        <v>0</v>
      </c>
      <c r="X515">
        <f t="shared" si="428"/>
        <v>0</v>
      </c>
      <c r="Y515">
        <f t="shared" si="429"/>
        <v>0</v>
      </c>
      <c r="AA515">
        <v>129761633</v>
      </c>
      <c r="AB515">
        <f t="shared" si="430"/>
        <v>0</v>
      </c>
      <c r="AC515">
        <f t="shared" si="431"/>
        <v>0</v>
      </c>
      <c r="AD515">
        <f t="shared" si="452"/>
        <v>0</v>
      </c>
      <c r="AE515">
        <f t="shared" si="453"/>
        <v>0</v>
      </c>
      <c r="AF515">
        <f t="shared" si="453"/>
        <v>0</v>
      </c>
      <c r="AG515">
        <f t="shared" si="432"/>
        <v>0</v>
      </c>
      <c r="AH515">
        <f t="shared" si="454"/>
        <v>0</v>
      </c>
      <c r="AI515">
        <f t="shared" si="454"/>
        <v>0</v>
      </c>
      <c r="AJ515">
        <f t="shared" si="433"/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1</v>
      </c>
      <c r="AW515">
        <v>1</v>
      </c>
      <c r="AZ515">
        <v>1</v>
      </c>
      <c r="BA515">
        <v>1</v>
      </c>
      <c r="BB515">
        <v>1</v>
      </c>
      <c r="BC515">
        <v>11.18</v>
      </c>
      <c r="BD515" t="s">
        <v>3</v>
      </c>
      <c r="BE515" t="s">
        <v>3</v>
      </c>
      <c r="BF515" t="s">
        <v>3</v>
      </c>
      <c r="BG515" t="s">
        <v>3</v>
      </c>
      <c r="BH515">
        <v>3</v>
      </c>
      <c r="BI515">
        <v>1</v>
      </c>
      <c r="BJ515" t="s">
        <v>3</v>
      </c>
      <c r="BM515">
        <v>47</v>
      </c>
      <c r="BN515">
        <v>0</v>
      </c>
      <c r="BO515" t="s">
        <v>534</v>
      </c>
      <c r="BP515">
        <v>1</v>
      </c>
      <c r="BQ515">
        <v>30</v>
      </c>
      <c r="BR515">
        <v>0</v>
      </c>
      <c r="BS515">
        <v>1</v>
      </c>
      <c r="BT515">
        <v>1</v>
      </c>
      <c r="BU515">
        <v>1</v>
      </c>
      <c r="BV515">
        <v>1</v>
      </c>
      <c r="BW515">
        <v>1</v>
      </c>
      <c r="BX515">
        <v>1</v>
      </c>
      <c r="BY515" t="s">
        <v>3</v>
      </c>
      <c r="BZ515">
        <v>0</v>
      </c>
      <c r="CA515">
        <v>0</v>
      </c>
      <c r="CB515" t="s">
        <v>3</v>
      </c>
      <c r="CE515">
        <v>30</v>
      </c>
      <c r="CF515">
        <v>0</v>
      </c>
      <c r="CG515">
        <v>0</v>
      </c>
      <c r="CM515">
        <v>0</v>
      </c>
      <c r="CN515" t="s">
        <v>3</v>
      </c>
      <c r="CO515">
        <v>0</v>
      </c>
      <c r="CP515">
        <f t="shared" si="434"/>
        <v>0</v>
      </c>
      <c r="CQ515">
        <f t="shared" si="435"/>
        <v>0</v>
      </c>
      <c r="CR515">
        <f t="shared" si="455"/>
        <v>0</v>
      </c>
      <c r="CS515">
        <f t="shared" si="436"/>
        <v>0</v>
      </c>
      <c r="CT515">
        <f t="shared" si="437"/>
        <v>0</v>
      </c>
      <c r="CU515">
        <f t="shared" si="438"/>
        <v>0</v>
      </c>
      <c r="CV515">
        <f t="shared" si="439"/>
        <v>0</v>
      </c>
      <c r="CW515">
        <f t="shared" si="440"/>
        <v>0</v>
      </c>
      <c r="CX515">
        <f t="shared" si="441"/>
        <v>0</v>
      </c>
      <c r="CY515">
        <f>S515*(BZ515/100)</f>
        <v>0</v>
      </c>
      <c r="CZ515">
        <f>S515*(CA515/100)</f>
        <v>0</v>
      </c>
      <c r="DC515" t="s">
        <v>3</v>
      </c>
      <c r="DD515" t="s">
        <v>3</v>
      </c>
      <c r="DE515" t="s">
        <v>3</v>
      </c>
      <c r="DF515" t="s">
        <v>3</v>
      </c>
      <c r="DG515" t="s">
        <v>3</v>
      </c>
      <c r="DH515" t="s">
        <v>3</v>
      </c>
      <c r="DI515" t="s">
        <v>3</v>
      </c>
      <c r="DJ515" t="s">
        <v>3</v>
      </c>
      <c r="DK515" t="s">
        <v>3</v>
      </c>
      <c r="DL515" t="s">
        <v>3</v>
      </c>
      <c r="DM515" t="s">
        <v>3</v>
      </c>
      <c r="DN515">
        <v>85</v>
      </c>
      <c r="DO515">
        <v>70</v>
      </c>
      <c r="DP515">
        <v>1</v>
      </c>
      <c r="DQ515">
        <v>1</v>
      </c>
      <c r="DU515">
        <v>1009</v>
      </c>
      <c r="DV515" t="s">
        <v>114</v>
      </c>
      <c r="DW515" t="s">
        <v>114</v>
      </c>
      <c r="DX515">
        <v>1000</v>
      </c>
      <c r="DZ515" t="s">
        <v>3</v>
      </c>
      <c r="EA515" t="s">
        <v>3</v>
      </c>
      <c r="EB515" t="s">
        <v>3</v>
      </c>
      <c r="EC515" t="s">
        <v>3</v>
      </c>
      <c r="EE515">
        <v>126051508</v>
      </c>
      <c r="EF515">
        <v>30</v>
      </c>
      <c r="EG515" t="s">
        <v>23</v>
      </c>
      <c r="EH515">
        <v>0</v>
      </c>
      <c r="EI515" t="s">
        <v>3</v>
      </c>
      <c r="EJ515">
        <v>1</v>
      </c>
      <c r="EK515">
        <v>47</v>
      </c>
      <c r="EL515" t="s">
        <v>529</v>
      </c>
      <c r="EM515" t="s">
        <v>530</v>
      </c>
      <c r="EO515" t="s">
        <v>3</v>
      </c>
      <c r="EQ515">
        <v>0</v>
      </c>
      <c r="ER515">
        <v>0</v>
      </c>
      <c r="ES515">
        <v>0</v>
      </c>
      <c r="ET515">
        <v>0</v>
      </c>
      <c r="EU515">
        <v>0</v>
      </c>
      <c r="EV515">
        <v>0</v>
      </c>
      <c r="EW515">
        <v>0</v>
      </c>
      <c r="EX515">
        <v>0</v>
      </c>
      <c r="FQ515">
        <v>0</v>
      </c>
      <c r="FR515">
        <f t="shared" si="442"/>
        <v>0</v>
      </c>
      <c r="FS515">
        <v>0</v>
      </c>
      <c r="FX515">
        <v>85</v>
      </c>
      <c r="FY515">
        <v>70</v>
      </c>
      <c r="GA515" t="s">
        <v>259</v>
      </c>
      <c r="GD515">
        <v>0</v>
      </c>
      <c r="GF515">
        <v>-639873665</v>
      </c>
      <c r="GG515">
        <v>2</v>
      </c>
      <c r="GH515">
        <v>2</v>
      </c>
      <c r="GI515">
        <v>2</v>
      </c>
      <c r="GJ515">
        <v>0</v>
      </c>
      <c r="GK515">
        <f>ROUND(R515*(S12)/100,2)</f>
        <v>0</v>
      </c>
      <c r="GL515">
        <f t="shared" si="443"/>
        <v>0</v>
      </c>
      <c r="GM515">
        <f t="shared" si="444"/>
        <v>0</v>
      </c>
      <c r="GN515">
        <f t="shared" si="445"/>
        <v>0</v>
      </c>
      <c r="GO515">
        <f t="shared" si="446"/>
        <v>0</v>
      </c>
      <c r="GP515">
        <f t="shared" si="447"/>
        <v>0</v>
      </c>
      <c r="GR515">
        <v>0</v>
      </c>
      <c r="GS515">
        <v>4</v>
      </c>
      <c r="GT515">
        <v>0</v>
      </c>
      <c r="GU515" t="s">
        <v>3</v>
      </c>
      <c r="GV515">
        <f t="shared" si="448"/>
        <v>0</v>
      </c>
      <c r="GW515">
        <v>1</v>
      </c>
      <c r="GX515">
        <f t="shared" si="449"/>
        <v>0</v>
      </c>
      <c r="HA515">
        <v>0</v>
      </c>
      <c r="HB515">
        <v>0</v>
      </c>
      <c r="HC515">
        <f t="shared" si="450"/>
        <v>0</v>
      </c>
      <c r="HE515" t="s">
        <v>3</v>
      </c>
      <c r="HF515" t="s">
        <v>3</v>
      </c>
      <c r="HM515" t="s">
        <v>3</v>
      </c>
      <c r="HN515" t="s">
        <v>3</v>
      </c>
      <c r="HO515" t="s">
        <v>3</v>
      </c>
      <c r="HP515" t="s">
        <v>3</v>
      </c>
      <c r="HQ515" t="s">
        <v>3</v>
      </c>
      <c r="IK515">
        <v>0</v>
      </c>
    </row>
    <row r="516" spans="1:255" x14ac:dyDescent="0.2">
      <c r="A516" s="2">
        <v>18</v>
      </c>
      <c r="B516" s="2">
        <v>1</v>
      </c>
      <c r="C516" s="2">
        <v>484</v>
      </c>
      <c r="D516" s="2"/>
      <c r="E516" s="2" t="s">
        <v>536</v>
      </c>
      <c r="F516" s="2" t="s">
        <v>537</v>
      </c>
      <c r="G516" s="2" t="s">
        <v>538</v>
      </c>
      <c r="H516" s="2" t="s">
        <v>94</v>
      </c>
      <c r="I516" s="2">
        <f>I510*J516</f>
        <v>4.7096</v>
      </c>
      <c r="J516" s="2">
        <v>101.50000000000001</v>
      </c>
      <c r="K516" s="2">
        <v>101.50000000000001</v>
      </c>
      <c r="L516" s="2"/>
      <c r="M516" s="2"/>
      <c r="N516" s="2"/>
      <c r="O516" s="2">
        <f t="shared" si="420"/>
        <v>0</v>
      </c>
      <c r="P516" s="2">
        <f t="shared" si="421"/>
        <v>0</v>
      </c>
      <c r="Q516" s="2">
        <f t="shared" si="451"/>
        <v>0</v>
      </c>
      <c r="R516" s="2">
        <f t="shared" si="422"/>
        <v>0</v>
      </c>
      <c r="S516" s="2">
        <f t="shared" si="423"/>
        <v>0</v>
      </c>
      <c r="T516" s="2">
        <f t="shared" si="424"/>
        <v>0</v>
      </c>
      <c r="U516" s="2">
        <f t="shared" si="425"/>
        <v>0</v>
      </c>
      <c r="V516" s="2">
        <f t="shared" si="426"/>
        <v>0</v>
      </c>
      <c r="W516" s="2">
        <f t="shared" si="427"/>
        <v>0</v>
      </c>
      <c r="X516" s="2">
        <f t="shared" si="428"/>
        <v>0</v>
      </c>
      <c r="Y516" s="2">
        <f t="shared" si="429"/>
        <v>0</v>
      </c>
      <c r="Z516" s="2"/>
      <c r="AA516" s="2">
        <v>129761636</v>
      </c>
      <c r="AB516" s="2">
        <f t="shared" si="430"/>
        <v>0</v>
      </c>
      <c r="AC516" s="2">
        <f t="shared" si="431"/>
        <v>0</v>
      </c>
      <c r="AD516" s="2">
        <f t="shared" si="452"/>
        <v>0</v>
      </c>
      <c r="AE516" s="2">
        <f t="shared" si="453"/>
        <v>0</v>
      </c>
      <c r="AF516" s="2">
        <f t="shared" si="453"/>
        <v>0</v>
      </c>
      <c r="AG516" s="2">
        <f t="shared" si="432"/>
        <v>0</v>
      </c>
      <c r="AH516" s="2">
        <f t="shared" si="454"/>
        <v>0</v>
      </c>
      <c r="AI516" s="2">
        <f t="shared" si="454"/>
        <v>0</v>
      </c>
      <c r="AJ516" s="2">
        <f t="shared" si="433"/>
        <v>0</v>
      </c>
      <c r="AK516" s="2">
        <v>0</v>
      </c>
      <c r="AL516" s="2">
        <v>0</v>
      </c>
      <c r="AM516" s="2">
        <v>0</v>
      </c>
      <c r="AN516" s="2">
        <v>0</v>
      </c>
      <c r="AO516" s="2">
        <v>0</v>
      </c>
      <c r="AP516" s="2">
        <v>0</v>
      </c>
      <c r="AQ516" s="2">
        <v>0</v>
      </c>
      <c r="AR516" s="2">
        <v>0</v>
      </c>
      <c r="AS516" s="2">
        <v>0</v>
      </c>
      <c r="AT516" s="2">
        <v>85</v>
      </c>
      <c r="AU516" s="2">
        <v>70</v>
      </c>
      <c r="AV516" s="2">
        <v>1</v>
      </c>
      <c r="AW516" s="2">
        <v>1</v>
      </c>
      <c r="AX516" s="2"/>
      <c r="AY516" s="2"/>
      <c r="AZ516" s="2">
        <v>1</v>
      </c>
      <c r="BA516" s="2">
        <v>1</v>
      </c>
      <c r="BB516" s="2">
        <v>1</v>
      </c>
      <c r="BC516" s="2">
        <v>1</v>
      </c>
      <c r="BD516" s="2" t="s">
        <v>3</v>
      </c>
      <c r="BE516" s="2" t="s">
        <v>3</v>
      </c>
      <c r="BF516" s="2" t="s">
        <v>3</v>
      </c>
      <c r="BG516" s="2" t="s">
        <v>3</v>
      </c>
      <c r="BH516" s="2">
        <v>3</v>
      </c>
      <c r="BI516" s="2">
        <v>1</v>
      </c>
      <c r="BJ516" s="2" t="s">
        <v>3</v>
      </c>
      <c r="BK516" s="2"/>
      <c r="BL516" s="2"/>
      <c r="BM516" s="2">
        <v>47</v>
      </c>
      <c r="BN516" s="2">
        <v>0</v>
      </c>
      <c r="BO516" s="2" t="s">
        <v>3</v>
      </c>
      <c r="BP516" s="2">
        <v>0</v>
      </c>
      <c r="BQ516" s="2">
        <v>30</v>
      </c>
      <c r="BR516" s="2">
        <v>0</v>
      </c>
      <c r="BS516" s="2">
        <v>1</v>
      </c>
      <c r="BT516" s="2">
        <v>1</v>
      </c>
      <c r="BU516" s="2">
        <v>1</v>
      </c>
      <c r="BV516" s="2">
        <v>1</v>
      </c>
      <c r="BW516" s="2">
        <v>1</v>
      </c>
      <c r="BX516" s="2">
        <v>1</v>
      </c>
      <c r="BY516" s="2" t="s">
        <v>3</v>
      </c>
      <c r="BZ516" s="2">
        <v>85</v>
      </c>
      <c r="CA516" s="2">
        <v>70</v>
      </c>
      <c r="CB516" s="2" t="s">
        <v>3</v>
      </c>
      <c r="CC516" s="2"/>
      <c r="CD516" s="2"/>
      <c r="CE516" s="2">
        <v>30</v>
      </c>
      <c r="CF516" s="2">
        <v>0</v>
      </c>
      <c r="CG516" s="2">
        <v>0</v>
      </c>
      <c r="CH516" s="2"/>
      <c r="CI516" s="2"/>
      <c r="CJ516" s="2"/>
      <c r="CK516" s="2"/>
      <c r="CL516" s="2"/>
      <c r="CM516" s="2">
        <v>0</v>
      </c>
      <c r="CN516" s="2" t="s">
        <v>3</v>
      </c>
      <c r="CO516" s="2">
        <v>0</v>
      </c>
      <c r="CP516" s="2">
        <f t="shared" si="434"/>
        <v>0</v>
      </c>
      <c r="CQ516" s="2">
        <f t="shared" si="435"/>
        <v>0</v>
      </c>
      <c r="CR516" s="2">
        <f t="shared" si="455"/>
        <v>0</v>
      </c>
      <c r="CS516" s="2">
        <f t="shared" si="436"/>
        <v>0</v>
      </c>
      <c r="CT516" s="2">
        <f t="shared" si="437"/>
        <v>0</v>
      </c>
      <c r="CU516" s="2">
        <f t="shared" si="438"/>
        <v>0</v>
      </c>
      <c r="CV516" s="2">
        <f t="shared" si="439"/>
        <v>0</v>
      </c>
      <c r="CW516" s="2">
        <f t="shared" si="440"/>
        <v>0</v>
      </c>
      <c r="CX516" s="2">
        <f t="shared" si="441"/>
        <v>0</v>
      </c>
      <c r="CY516" s="2">
        <f>((S516*BZ516)/100)</f>
        <v>0</v>
      </c>
      <c r="CZ516" s="2">
        <f>((S516*CA516)/100)</f>
        <v>0</v>
      </c>
      <c r="DA516" s="2"/>
      <c r="DB516" s="2"/>
      <c r="DC516" s="2" t="s">
        <v>3</v>
      </c>
      <c r="DD516" s="2" t="s">
        <v>3</v>
      </c>
      <c r="DE516" s="2" t="s">
        <v>3</v>
      </c>
      <c r="DF516" s="2" t="s">
        <v>3</v>
      </c>
      <c r="DG516" s="2" t="s">
        <v>3</v>
      </c>
      <c r="DH516" s="2" t="s">
        <v>3</v>
      </c>
      <c r="DI516" s="2" t="s">
        <v>3</v>
      </c>
      <c r="DJ516" s="2" t="s">
        <v>3</v>
      </c>
      <c r="DK516" s="2" t="s">
        <v>3</v>
      </c>
      <c r="DL516" s="2" t="s">
        <v>3</v>
      </c>
      <c r="DM516" s="2" t="s">
        <v>3</v>
      </c>
      <c r="DN516" s="2">
        <v>0</v>
      </c>
      <c r="DO516" s="2">
        <v>0</v>
      </c>
      <c r="DP516" s="2">
        <v>1</v>
      </c>
      <c r="DQ516" s="2">
        <v>1</v>
      </c>
      <c r="DR516" s="2"/>
      <c r="DS516" s="2"/>
      <c r="DT516" s="2"/>
      <c r="DU516" s="2">
        <v>1007</v>
      </c>
      <c r="DV516" s="2" t="s">
        <v>94</v>
      </c>
      <c r="DW516" s="2" t="s">
        <v>94</v>
      </c>
      <c r="DX516" s="2">
        <v>1</v>
      </c>
      <c r="DY516" s="2"/>
      <c r="DZ516" s="2" t="s">
        <v>3</v>
      </c>
      <c r="EA516" s="2" t="s">
        <v>3</v>
      </c>
      <c r="EB516" s="2" t="s">
        <v>3</v>
      </c>
      <c r="EC516" s="2" t="s">
        <v>3</v>
      </c>
      <c r="ED516" s="2"/>
      <c r="EE516" s="2">
        <v>126051508</v>
      </c>
      <c r="EF516" s="2">
        <v>30</v>
      </c>
      <c r="EG516" s="2" t="s">
        <v>23</v>
      </c>
      <c r="EH516" s="2">
        <v>0</v>
      </c>
      <c r="EI516" s="2" t="s">
        <v>3</v>
      </c>
      <c r="EJ516" s="2">
        <v>1</v>
      </c>
      <c r="EK516" s="2">
        <v>47</v>
      </c>
      <c r="EL516" s="2" t="s">
        <v>529</v>
      </c>
      <c r="EM516" s="2" t="s">
        <v>530</v>
      </c>
      <c r="EN516" s="2"/>
      <c r="EO516" s="2" t="s">
        <v>3</v>
      </c>
      <c r="EP516" s="2"/>
      <c r="EQ516" s="2">
        <v>0</v>
      </c>
      <c r="ER516" s="2">
        <v>0</v>
      </c>
      <c r="ES516" s="2">
        <v>0</v>
      </c>
      <c r="ET516" s="2">
        <v>0</v>
      </c>
      <c r="EU516" s="2">
        <v>0</v>
      </c>
      <c r="EV516" s="2">
        <v>0</v>
      </c>
      <c r="EW516" s="2">
        <v>0</v>
      </c>
      <c r="EX516" s="2">
        <v>0</v>
      </c>
      <c r="EY516" s="2"/>
      <c r="EZ516" s="2"/>
      <c r="FA516" s="2"/>
      <c r="FB516" s="2"/>
      <c r="FC516" s="2"/>
      <c r="FD516" s="2"/>
      <c r="FE516" s="2"/>
      <c r="FF516" s="2"/>
      <c r="FG516" s="2"/>
      <c r="FH516" s="2"/>
      <c r="FI516" s="2"/>
      <c r="FJ516" s="2"/>
      <c r="FK516" s="2"/>
      <c r="FL516" s="2"/>
      <c r="FM516" s="2"/>
      <c r="FN516" s="2"/>
      <c r="FO516" s="2"/>
      <c r="FP516" s="2"/>
      <c r="FQ516" s="2">
        <v>0</v>
      </c>
      <c r="FR516" s="2">
        <f t="shared" si="442"/>
        <v>0</v>
      </c>
      <c r="FS516" s="2">
        <v>0</v>
      </c>
      <c r="FT516" s="2"/>
      <c r="FU516" s="2"/>
      <c r="FV516" s="2"/>
      <c r="FW516" s="2"/>
      <c r="FX516" s="2">
        <v>85</v>
      </c>
      <c r="FY516" s="2">
        <v>70</v>
      </c>
      <c r="FZ516" s="2"/>
      <c r="GA516" s="2" t="s">
        <v>3</v>
      </c>
      <c r="GB516" s="2"/>
      <c r="GC516" s="2"/>
      <c r="GD516" s="2">
        <v>0</v>
      </c>
      <c r="GE516" s="2"/>
      <c r="GF516" s="2">
        <v>803910000</v>
      </c>
      <c r="GG516" s="2">
        <v>2</v>
      </c>
      <c r="GH516" s="2">
        <v>0</v>
      </c>
      <c r="GI516" s="2">
        <v>-2</v>
      </c>
      <c r="GJ516" s="2">
        <v>0</v>
      </c>
      <c r="GK516" s="2">
        <f>ROUND(R516*(R12)/100,2)</f>
        <v>0</v>
      </c>
      <c r="GL516" s="2">
        <f t="shared" si="443"/>
        <v>0</v>
      </c>
      <c r="GM516" s="2">
        <f t="shared" si="444"/>
        <v>0</v>
      </c>
      <c r="GN516" s="2">
        <f t="shared" si="445"/>
        <v>0</v>
      </c>
      <c r="GO516" s="2">
        <f t="shared" si="446"/>
        <v>0</v>
      </c>
      <c r="GP516" s="2">
        <f t="shared" si="447"/>
        <v>0</v>
      </c>
      <c r="GQ516" s="2"/>
      <c r="GR516" s="2">
        <v>0</v>
      </c>
      <c r="GS516" s="2">
        <v>0</v>
      </c>
      <c r="GT516" s="2">
        <v>0</v>
      </c>
      <c r="GU516" s="2" t="s">
        <v>3</v>
      </c>
      <c r="GV516" s="2">
        <f t="shared" si="448"/>
        <v>0</v>
      </c>
      <c r="GW516" s="2">
        <v>1</v>
      </c>
      <c r="GX516" s="2">
        <f t="shared" si="449"/>
        <v>0</v>
      </c>
      <c r="GY516" s="2"/>
      <c r="GZ516" s="2"/>
      <c r="HA516" s="2">
        <v>0</v>
      </c>
      <c r="HB516" s="2">
        <v>0</v>
      </c>
      <c r="HC516" s="2">
        <f t="shared" si="450"/>
        <v>0</v>
      </c>
      <c r="HD516" s="2"/>
      <c r="HE516" s="2" t="s">
        <v>3</v>
      </c>
      <c r="HF516" s="2" t="s">
        <v>3</v>
      </c>
      <c r="HG516" s="2"/>
      <c r="HH516" s="2"/>
      <c r="HI516" s="2"/>
      <c r="HJ516" s="2"/>
      <c r="HK516" s="2"/>
      <c r="HL516" s="2"/>
      <c r="HM516" s="2" t="s">
        <v>3</v>
      </c>
      <c r="HN516" s="2" t="s">
        <v>3</v>
      </c>
      <c r="HO516" s="2" t="s">
        <v>3</v>
      </c>
      <c r="HP516" s="2" t="s">
        <v>3</v>
      </c>
      <c r="HQ516" s="2" t="s">
        <v>3</v>
      </c>
      <c r="HR516" s="2"/>
      <c r="HS516" s="2"/>
      <c r="HT516" s="2"/>
      <c r="HU516" s="2"/>
      <c r="HV516" s="2"/>
      <c r="HW516" s="2"/>
      <c r="HX516" s="2"/>
      <c r="HY516" s="2"/>
      <c r="HZ516" s="2"/>
      <c r="IA516" s="2"/>
      <c r="IB516" s="2"/>
      <c r="IC516" s="2"/>
      <c r="ID516" s="2"/>
      <c r="IE516" s="2"/>
      <c r="IF516" s="2"/>
      <c r="IG516" s="2"/>
      <c r="IH516" s="2"/>
      <c r="II516" s="2"/>
      <c r="IJ516" s="2"/>
      <c r="IK516" s="2">
        <v>0</v>
      </c>
      <c r="IL516" s="2"/>
      <c r="IM516" s="2"/>
      <c r="IN516" s="2"/>
      <c r="IO516" s="2"/>
      <c r="IP516" s="2"/>
      <c r="IQ516" s="2"/>
      <c r="IR516" s="2"/>
      <c r="IS516" s="2"/>
      <c r="IT516" s="2"/>
      <c r="IU516" s="2"/>
    </row>
    <row r="517" spans="1:255" x14ac:dyDescent="0.2">
      <c r="A517">
        <v>18</v>
      </c>
      <c r="B517">
        <v>1</v>
      </c>
      <c r="C517">
        <v>501</v>
      </c>
      <c r="E517" t="s">
        <v>536</v>
      </c>
      <c r="F517" t="s">
        <v>537</v>
      </c>
      <c r="G517" t="s">
        <v>538</v>
      </c>
      <c r="H517" t="s">
        <v>94</v>
      </c>
      <c r="I517">
        <f>I511*J517</f>
        <v>4.7096</v>
      </c>
      <c r="J517">
        <v>101.50000000000001</v>
      </c>
      <c r="K517">
        <v>101.50000000000001</v>
      </c>
      <c r="O517">
        <f t="shared" si="420"/>
        <v>0</v>
      </c>
      <c r="P517">
        <f t="shared" si="421"/>
        <v>0</v>
      </c>
      <c r="Q517">
        <f t="shared" si="451"/>
        <v>0</v>
      </c>
      <c r="R517">
        <f t="shared" si="422"/>
        <v>0</v>
      </c>
      <c r="S517">
        <f t="shared" si="423"/>
        <v>0</v>
      </c>
      <c r="T517">
        <f t="shared" si="424"/>
        <v>0</v>
      </c>
      <c r="U517">
        <f t="shared" si="425"/>
        <v>0</v>
      </c>
      <c r="V517">
        <f t="shared" si="426"/>
        <v>0</v>
      </c>
      <c r="W517">
        <f t="shared" si="427"/>
        <v>0</v>
      </c>
      <c r="X517">
        <f t="shared" si="428"/>
        <v>0</v>
      </c>
      <c r="Y517">
        <f t="shared" si="429"/>
        <v>0</v>
      </c>
      <c r="AA517">
        <v>129761633</v>
      </c>
      <c r="AB517">
        <f t="shared" si="430"/>
        <v>0</v>
      </c>
      <c r="AC517">
        <f t="shared" si="431"/>
        <v>0</v>
      </c>
      <c r="AD517">
        <f t="shared" si="452"/>
        <v>0</v>
      </c>
      <c r="AE517">
        <f t="shared" si="453"/>
        <v>0</v>
      </c>
      <c r="AF517">
        <f t="shared" si="453"/>
        <v>0</v>
      </c>
      <c r="AG517">
        <f t="shared" si="432"/>
        <v>0</v>
      </c>
      <c r="AH517">
        <f t="shared" si="454"/>
        <v>0</v>
      </c>
      <c r="AI517">
        <f t="shared" si="454"/>
        <v>0</v>
      </c>
      <c r="AJ517">
        <f t="shared" si="433"/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1</v>
      </c>
      <c r="AW517">
        <v>1</v>
      </c>
      <c r="AZ517">
        <v>1</v>
      </c>
      <c r="BA517">
        <v>1</v>
      </c>
      <c r="BB517">
        <v>1</v>
      </c>
      <c r="BC517">
        <v>7.95</v>
      </c>
      <c r="BD517" t="s">
        <v>3</v>
      </c>
      <c r="BE517" t="s">
        <v>3</v>
      </c>
      <c r="BF517" t="s">
        <v>3</v>
      </c>
      <c r="BG517" t="s">
        <v>3</v>
      </c>
      <c r="BH517">
        <v>3</v>
      </c>
      <c r="BI517">
        <v>1</v>
      </c>
      <c r="BJ517" t="s">
        <v>3</v>
      </c>
      <c r="BM517">
        <v>47</v>
      </c>
      <c r="BN517">
        <v>0</v>
      </c>
      <c r="BO517" t="s">
        <v>537</v>
      </c>
      <c r="BP517">
        <v>1</v>
      </c>
      <c r="BQ517">
        <v>30</v>
      </c>
      <c r="BR517">
        <v>0</v>
      </c>
      <c r="BS517">
        <v>1</v>
      </c>
      <c r="BT517">
        <v>1</v>
      </c>
      <c r="BU517">
        <v>1</v>
      </c>
      <c r="BV517">
        <v>1</v>
      </c>
      <c r="BW517">
        <v>1</v>
      </c>
      <c r="BX517">
        <v>1</v>
      </c>
      <c r="BY517" t="s">
        <v>3</v>
      </c>
      <c r="BZ517">
        <v>0</v>
      </c>
      <c r="CA517">
        <v>0</v>
      </c>
      <c r="CB517" t="s">
        <v>3</v>
      </c>
      <c r="CE517">
        <v>30</v>
      </c>
      <c r="CF517">
        <v>0</v>
      </c>
      <c r="CG517">
        <v>0</v>
      </c>
      <c r="CM517">
        <v>0</v>
      </c>
      <c r="CN517" t="s">
        <v>3</v>
      </c>
      <c r="CO517">
        <v>0</v>
      </c>
      <c r="CP517">
        <f t="shared" si="434"/>
        <v>0</v>
      </c>
      <c r="CQ517">
        <f t="shared" si="435"/>
        <v>0</v>
      </c>
      <c r="CR517">
        <f t="shared" si="455"/>
        <v>0</v>
      </c>
      <c r="CS517">
        <f t="shared" si="436"/>
        <v>0</v>
      </c>
      <c r="CT517">
        <f t="shared" si="437"/>
        <v>0</v>
      </c>
      <c r="CU517">
        <f t="shared" si="438"/>
        <v>0</v>
      </c>
      <c r="CV517">
        <f t="shared" si="439"/>
        <v>0</v>
      </c>
      <c r="CW517">
        <f t="shared" si="440"/>
        <v>0</v>
      </c>
      <c r="CX517">
        <f t="shared" si="441"/>
        <v>0</v>
      </c>
      <c r="CY517">
        <f>S517*(BZ517/100)</f>
        <v>0</v>
      </c>
      <c r="CZ517">
        <f>S517*(CA517/100)</f>
        <v>0</v>
      </c>
      <c r="DC517" t="s">
        <v>3</v>
      </c>
      <c r="DD517" t="s">
        <v>3</v>
      </c>
      <c r="DE517" t="s">
        <v>3</v>
      </c>
      <c r="DF517" t="s">
        <v>3</v>
      </c>
      <c r="DG517" t="s">
        <v>3</v>
      </c>
      <c r="DH517" t="s">
        <v>3</v>
      </c>
      <c r="DI517" t="s">
        <v>3</v>
      </c>
      <c r="DJ517" t="s">
        <v>3</v>
      </c>
      <c r="DK517" t="s">
        <v>3</v>
      </c>
      <c r="DL517" t="s">
        <v>3</v>
      </c>
      <c r="DM517" t="s">
        <v>3</v>
      </c>
      <c r="DN517">
        <v>85</v>
      </c>
      <c r="DO517">
        <v>70</v>
      </c>
      <c r="DP517">
        <v>1</v>
      </c>
      <c r="DQ517">
        <v>1</v>
      </c>
      <c r="DU517">
        <v>1007</v>
      </c>
      <c r="DV517" t="s">
        <v>94</v>
      </c>
      <c r="DW517" t="s">
        <v>94</v>
      </c>
      <c r="DX517">
        <v>1</v>
      </c>
      <c r="DZ517" t="s">
        <v>3</v>
      </c>
      <c r="EA517" t="s">
        <v>3</v>
      </c>
      <c r="EB517" t="s">
        <v>3</v>
      </c>
      <c r="EC517" t="s">
        <v>3</v>
      </c>
      <c r="EE517">
        <v>126051508</v>
      </c>
      <c r="EF517">
        <v>30</v>
      </c>
      <c r="EG517" t="s">
        <v>23</v>
      </c>
      <c r="EH517">
        <v>0</v>
      </c>
      <c r="EI517" t="s">
        <v>3</v>
      </c>
      <c r="EJ517">
        <v>1</v>
      </c>
      <c r="EK517">
        <v>47</v>
      </c>
      <c r="EL517" t="s">
        <v>529</v>
      </c>
      <c r="EM517" t="s">
        <v>530</v>
      </c>
      <c r="EO517" t="s">
        <v>3</v>
      </c>
      <c r="EQ517">
        <v>0</v>
      </c>
      <c r="ER517">
        <v>0</v>
      </c>
      <c r="ES517">
        <v>0</v>
      </c>
      <c r="ET517">
        <v>0</v>
      </c>
      <c r="EU517">
        <v>0</v>
      </c>
      <c r="EV517">
        <v>0</v>
      </c>
      <c r="EW517">
        <v>0</v>
      </c>
      <c r="EX517">
        <v>0</v>
      </c>
      <c r="FQ517">
        <v>0</v>
      </c>
      <c r="FR517">
        <f t="shared" si="442"/>
        <v>0</v>
      </c>
      <c r="FS517">
        <v>0</v>
      </c>
      <c r="FX517">
        <v>85</v>
      </c>
      <c r="FY517">
        <v>70</v>
      </c>
      <c r="GA517" t="s">
        <v>259</v>
      </c>
      <c r="GD517">
        <v>0</v>
      </c>
      <c r="GF517">
        <v>803910000</v>
      </c>
      <c r="GG517">
        <v>2</v>
      </c>
      <c r="GH517">
        <v>2</v>
      </c>
      <c r="GI517">
        <v>2</v>
      </c>
      <c r="GJ517">
        <v>0</v>
      </c>
      <c r="GK517">
        <f>ROUND(R517*(S12)/100,2)</f>
        <v>0</v>
      </c>
      <c r="GL517">
        <f t="shared" si="443"/>
        <v>0</v>
      </c>
      <c r="GM517">
        <f t="shared" si="444"/>
        <v>0</v>
      </c>
      <c r="GN517">
        <f t="shared" si="445"/>
        <v>0</v>
      </c>
      <c r="GO517">
        <f t="shared" si="446"/>
        <v>0</v>
      </c>
      <c r="GP517">
        <f t="shared" si="447"/>
        <v>0</v>
      </c>
      <c r="GR517">
        <v>0</v>
      </c>
      <c r="GS517">
        <v>4</v>
      </c>
      <c r="GT517">
        <v>0</v>
      </c>
      <c r="GU517" t="s">
        <v>3</v>
      </c>
      <c r="GV517">
        <f t="shared" si="448"/>
        <v>0</v>
      </c>
      <c r="GW517">
        <v>1</v>
      </c>
      <c r="GX517">
        <f t="shared" si="449"/>
        <v>0</v>
      </c>
      <c r="HA517">
        <v>0</v>
      </c>
      <c r="HB517">
        <v>0</v>
      </c>
      <c r="HC517">
        <f t="shared" si="450"/>
        <v>0</v>
      </c>
      <c r="HE517" t="s">
        <v>3</v>
      </c>
      <c r="HF517" t="s">
        <v>3</v>
      </c>
      <c r="HM517" t="s">
        <v>3</v>
      </c>
      <c r="HN517" t="s">
        <v>3</v>
      </c>
      <c r="HO517" t="s">
        <v>3</v>
      </c>
      <c r="HP517" t="s">
        <v>3</v>
      </c>
      <c r="HQ517" t="s">
        <v>3</v>
      </c>
      <c r="IK517">
        <v>0</v>
      </c>
    </row>
    <row r="518" spans="1:255" x14ac:dyDescent="0.2">
      <c r="A518" s="2">
        <v>17</v>
      </c>
      <c r="B518" s="2">
        <v>1</v>
      </c>
      <c r="C518" s="2">
        <f>ROW(SmtRes!A509)</f>
        <v>509</v>
      </c>
      <c r="D518" s="2">
        <f>ROW(EtalonRes!A514)</f>
        <v>514</v>
      </c>
      <c r="E518" s="2" t="s">
        <v>124</v>
      </c>
      <c r="F518" s="2" t="s">
        <v>539</v>
      </c>
      <c r="G518" s="2" t="s">
        <v>540</v>
      </c>
      <c r="H518" s="2" t="s">
        <v>179</v>
      </c>
      <c r="I518" s="2">
        <v>5.3900000000000003E-2</v>
      </c>
      <c r="J518" s="2">
        <v>0</v>
      </c>
      <c r="K518" s="2">
        <v>5.3900000000000003E-2</v>
      </c>
      <c r="L518" s="2"/>
      <c r="M518" s="2"/>
      <c r="N518" s="2"/>
      <c r="O518" s="2">
        <f t="shared" si="420"/>
        <v>67.7</v>
      </c>
      <c r="P518" s="2">
        <f t="shared" si="421"/>
        <v>2.67</v>
      </c>
      <c r="Q518" s="2">
        <f>(ROUND((ROUND((((ET518*1.25))*AV518*I518),2)*BB518),2)+ROUND((ROUND(((AE518-((EU518*1.25)))*AV518*I518),2)*BS518),2))</f>
        <v>2.85</v>
      </c>
      <c r="R518" s="2">
        <f t="shared" si="422"/>
        <v>0.19</v>
      </c>
      <c r="S518" s="2">
        <f t="shared" si="423"/>
        <v>62.18</v>
      </c>
      <c r="T518" s="2">
        <f t="shared" si="424"/>
        <v>0</v>
      </c>
      <c r="U518" s="2">
        <f t="shared" si="425"/>
        <v>4.7108600000000003</v>
      </c>
      <c r="V518" s="2">
        <f t="shared" si="426"/>
        <v>0</v>
      </c>
      <c r="W518" s="2">
        <f t="shared" si="427"/>
        <v>0</v>
      </c>
      <c r="X518" s="2">
        <f t="shared" si="428"/>
        <v>52.85</v>
      </c>
      <c r="Y518" s="2">
        <f t="shared" si="429"/>
        <v>43.53</v>
      </c>
      <c r="Z518" s="2"/>
      <c r="AA518" s="2">
        <v>129761636</v>
      </c>
      <c r="AB518" s="2">
        <f t="shared" si="430"/>
        <v>1256.0550000000001</v>
      </c>
      <c r="AC518" s="2">
        <f t="shared" si="431"/>
        <v>49.55</v>
      </c>
      <c r="AD518" s="2">
        <f>ROUND(((((ET518*1.25))-((EU518*1.25)))+AE518),6)</f>
        <v>52.825000000000003</v>
      </c>
      <c r="AE518" s="2">
        <f>ROUND(((EU518*1.25)),6)</f>
        <v>3.6124999999999998</v>
      </c>
      <c r="AF518" s="2">
        <f>ROUND(((EV518*1.15)),6)</f>
        <v>1153.68</v>
      </c>
      <c r="AG518" s="2">
        <f t="shared" si="432"/>
        <v>0</v>
      </c>
      <c r="AH518" s="2">
        <f>((EW518*1.15))</f>
        <v>87.399999999999991</v>
      </c>
      <c r="AI518" s="2">
        <f>((EX518*1.25))</f>
        <v>0</v>
      </c>
      <c r="AJ518" s="2">
        <f t="shared" si="433"/>
        <v>0</v>
      </c>
      <c r="AK518" s="2">
        <v>1095.01</v>
      </c>
      <c r="AL518" s="2">
        <v>49.55</v>
      </c>
      <c r="AM518" s="2">
        <v>42.26</v>
      </c>
      <c r="AN518" s="2">
        <v>2.89</v>
      </c>
      <c r="AO518" s="2">
        <v>1003.2</v>
      </c>
      <c r="AP518" s="2">
        <v>0</v>
      </c>
      <c r="AQ518" s="2">
        <v>76</v>
      </c>
      <c r="AR518" s="2">
        <v>0</v>
      </c>
      <c r="AS518" s="2">
        <v>0</v>
      </c>
      <c r="AT518" s="2">
        <v>85</v>
      </c>
      <c r="AU518" s="2">
        <v>70</v>
      </c>
      <c r="AV518" s="2">
        <v>1</v>
      </c>
      <c r="AW518" s="2">
        <v>1</v>
      </c>
      <c r="AX518" s="2"/>
      <c r="AY518" s="2"/>
      <c r="AZ518" s="2">
        <v>1</v>
      </c>
      <c r="BA518" s="2">
        <v>1</v>
      </c>
      <c r="BB518" s="2">
        <v>1</v>
      </c>
      <c r="BC518" s="2">
        <v>1</v>
      </c>
      <c r="BD518" s="2" t="s">
        <v>3</v>
      </c>
      <c r="BE518" s="2" t="s">
        <v>3</v>
      </c>
      <c r="BF518" s="2" t="s">
        <v>3</v>
      </c>
      <c r="BG518" s="2" t="s">
        <v>3</v>
      </c>
      <c r="BH518" s="2">
        <v>0</v>
      </c>
      <c r="BI518" s="2">
        <v>1</v>
      </c>
      <c r="BJ518" s="2" t="s">
        <v>541</v>
      </c>
      <c r="BK518" s="2"/>
      <c r="BL518" s="2"/>
      <c r="BM518" s="2">
        <v>80</v>
      </c>
      <c r="BN518" s="2">
        <v>0</v>
      </c>
      <c r="BO518" s="2" t="s">
        <v>3</v>
      </c>
      <c r="BP518" s="2">
        <v>0</v>
      </c>
      <c r="BQ518" s="2">
        <v>30</v>
      </c>
      <c r="BR518" s="2">
        <v>0</v>
      </c>
      <c r="BS518" s="2">
        <v>1</v>
      </c>
      <c r="BT518" s="2">
        <v>1</v>
      </c>
      <c r="BU518" s="2">
        <v>1</v>
      </c>
      <c r="BV518" s="2">
        <v>1</v>
      </c>
      <c r="BW518" s="2">
        <v>1</v>
      </c>
      <c r="BX518" s="2">
        <v>1</v>
      </c>
      <c r="BY518" s="2" t="s">
        <v>3</v>
      </c>
      <c r="BZ518" s="2">
        <v>85</v>
      </c>
      <c r="CA518" s="2">
        <v>70</v>
      </c>
      <c r="CB518" s="2" t="s">
        <v>3</v>
      </c>
      <c r="CC518" s="2"/>
      <c r="CD518" s="2"/>
      <c r="CE518" s="2">
        <v>30</v>
      </c>
      <c r="CF518" s="2">
        <v>0</v>
      </c>
      <c r="CG518" s="2">
        <v>0</v>
      </c>
      <c r="CH518" s="2"/>
      <c r="CI518" s="2"/>
      <c r="CJ518" s="2"/>
      <c r="CK518" s="2"/>
      <c r="CL518" s="2"/>
      <c r="CM518" s="2">
        <v>0</v>
      </c>
      <c r="CN518" s="2" t="s">
        <v>1559</v>
      </c>
      <c r="CO518" s="2">
        <v>0</v>
      </c>
      <c r="CP518" s="2">
        <f t="shared" si="434"/>
        <v>67.7</v>
      </c>
      <c r="CQ518" s="2">
        <f t="shared" si="435"/>
        <v>49.55</v>
      </c>
      <c r="CR518" s="2">
        <f>(ROUND((ROUND((((ET518*1.25))*AV518*1),2)*BB518),2)+ROUND((ROUND(((AE518-((EU518*1.25)))*AV518*1),2)*BS518),2))</f>
        <v>52.83</v>
      </c>
      <c r="CS518" s="2">
        <f t="shared" si="436"/>
        <v>3.61</v>
      </c>
      <c r="CT518" s="2">
        <f t="shared" si="437"/>
        <v>1153.68</v>
      </c>
      <c r="CU518" s="2">
        <f t="shared" si="438"/>
        <v>0</v>
      </c>
      <c r="CV518" s="2">
        <f t="shared" si="439"/>
        <v>87.399999999999991</v>
      </c>
      <c r="CW518" s="2">
        <f t="shared" si="440"/>
        <v>0</v>
      </c>
      <c r="CX518" s="2">
        <f t="shared" si="441"/>
        <v>0</v>
      </c>
      <c r="CY518" s="2">
        <f>((S518*BZ518)/100)</f>
        <v>52.853000000000002</v>
      </c>
      <c r="CZ518" s="2">
        <f>((S518*CA518)/100)</f>
        <v>43.526000000000003</v>
      </c>
      <c r="DA518" s="2"/>
      <c r="DB518" s="2"/>
      <c r="DC518" s="2" t="s">
        <v>3</v>
      </c>
      <c r="DD518" s="2" t="s">
        <v>3</v>
      </c>
      <c r="DE518" s="2" t="s">
        <v>86</v>
      </c>
      <c r="DF518" s="2" t="s">
        <v>86</v>
      </c>
      <c r="DG518" s="2" t="s">
        <v>87</v>
      </c>
      <c r="DH518" s="2" t="s">
        <v>3</v>
      </c>
      <c r="DI518" s="2" t="s">
        <v>87</v>
      </c>
      <c r="DJ518" s="2" t="s">
        <v>86</v>
      </c>
      <c r="DK518" s="2" t="s">
        <v>3</v>
      </c>
      <c r="DL518" s="2" t="s">
        <v>3</v>
      </c>
      <c r="DM518" s="2" t="s">
        <v>3</v>
      </c>
      <c r="DN518" s="2">
        <v>0</v>
      </c>
      <c r="DO518" s="2">
        <v>0</v>
      </c>
      <c r="DP518" s="2">
        <v>1</v>
      </c>
      <c r="DQ518" s="2">
        <v>1</v>
      </c>
      <c r="DR518" s="2"/>
      <c r="DS518" s="2"/>
      <c r="DT518" s="2"/>
      <c r="DU518" s="2">
        <v>1013</v>
      </c>
      <c r="DV518" s="2" t="s">
        <v>179</v>
      </c>
      <c r="DW518" s="2" t="s">
        <v>179</v>
      </c>
      <c r="DX518" s="2">
        <v>1</v>
      </c>
      <c r="DY518" s="2"/>
      <c r="DZ518" s="2" t="s">
        <v>3</v>
      </c>
      <c r="EA518" s="2" t="s">
        <v>3</v>
      </c>
      <c r="EB518" s="2" t="s">
        <v>3</v>
      </c>
      <c r="EC518" s="2" t="s">
        <v>3</v>
      </c>
      <c r="ED518" s="2"/>
      <c r="EE518" s="2">
        <v>126051541</v>
      </c>
      <c r="EF518" s="2">
        <v>30</v>
      </c>
      <c r="EG518" s="2" t="s">
        <v>23</v>
      </c>
      <c r="EH518" s="2">
        <v>0</v>
      </c>
      <c r="EI518" s="2" t="s">
        <v>3</v>
      </c>
      <c r="EJ518" s="2">
        <v>1</v>
      </c>
      <c r="EK518" s="2">
        <v>80</v>
      </c>
      <c r="EL518" s="2" t="s">
        <v>143</v>
      </c>
      <c r="EM518" s="2" t="s">
        <v>144</v>
      </c>
      <c r="EN518" s="2"/>
      <c r="EO518" s="2" t="s">
        <v>90</v>
      </c>
      <c r="EP518" s="2"/>
      <c r="EQ518" s="2">
        <v>131072</v>
      </c>
      <c r="ER518" s="2">
        <v>1095.01</v>
      </c>
      <c r="ES518" s="2">
        <v>49.55</v>
      </c>
      <c r="ET518" s="2">
        <v>42.26</v>
      </c>
      <c r="EU518" s="2">
        <v>2.89</v>
      </c>
      <c r="EV518" s="2">
        <v>1003.2</v>
      </c>
      <c r="EW518" s="2">
        <v>76</v>
      </c>
      <c r="EX518" s="2">
        <v>0</v>
      </c>
      <c r="EY518" s="2">
        <v>0</v>
      </c>
      <c r="EZ518" s="2"/>
      <c r="FA518" s="2"/>
      <c r="FB518" s="2"/>
      <c r="FC518" s="2"/>
      <c r="FD518" s="2"/>
      <c r="FE518" s="2"/>
      <c r="FF518" s="2"/>
      <c r="FG518" s="2"/>
      <c r="FH518" s="2"/>
      <c r="FI518" s="2"/>
      <c r="FJ518" s="2"/>
      <c r="FK518" s="2"/>
      <c r="FL518" s="2"/>
      <c r="FM518" s="2"/>
      <c r="FN518" s="2"/>
      <c r="FO518" s="2"/>
      <c r="FP518" s="2"/>
      <c r="FQ518" s="2">
        <v>0</v>
      </c>
      <c r="FR518" s="2">
        <f t="shared" si="442"/>
        <v>0</v>
      </c>
      <c r="FS518" s="2">
        <v>0</v>
      </c>
      <c r="FT518" s="2"/>
      <c r="FU518" s="2"/>
      <c r="FV518" s="2"/>
      <c r="FW518" s="2"/>
      <c r="FX518" s="2">
        <v>85</v>
      </c>
      <c r="FY518" s="2">
        <v>70</v>
      </c>
      <c r="FZ518" s="2"/>
      <c r="GA518" s="2" t="s">
        <v>3</v>
      </c>
      <c r="GB518" s="2"/>
      <c r="GC518" s="2"/>
      <c r="GD518" s="2">
        <v>0</v>
      </c>
      <c r="GE518" s="2"/>
      <c r="GF518" s="2">
        <v>95600085</v>
      </c>
      <c r="GG518" s="2">
        <v>2</v>
      </c>
      <c r="GH518" s="2">
        <v>1</v>
      </c>
      <c r="GI518" s="2">
        <v>-2</v>
      </c>
      <c r="GJ518" s="2">
        <v>0</v>
      </c>
      <c r="GK518" s="2">
        <f>ROUND(R518*(R12)/100,2)</f>
        <v>0.33</v>
      </c>
      <c r="GL518" s="2">
        <f t="shared" si="443"/>
        <v>0</v>
      </c>
      <c r="GM518" s="2">
        <f t="shared" si="444"/>
        <v>164.41</v>
      </c>
      <c r="GN518" s="2">
        <f t="shared" si="445"/>
        <v>164.41</v>
      </c>
      <c r="GO518" s="2">
        <f t="shared" si="446"/>
        <v>0</v>
      </c>
      <c r="GP518" s="2">
        <f t="shared" si="447"/>
        <v>0</v>
      </c>
      <c r="GQ518" s="2"/>
      <c r="GR518" s="2">
        <v>0</v>
      </c>
      <c r="GS518" s="2">
        <v>0</v>
      </c>
      <c r="GT518" s="2">
        <v>0</v>
      </c>
      <c r="GU518" s="2" t="s">
        <v>3</v>
      </c>
      <c r="GV518" s="2">
        <f t="shared" si="448"/>
        <v>0</v>
      </c>
      <c r="GW518" s="2">
        <v>1</v>
      </c>
      <c r="GX518" s="2">
        <f t="shared" si="449"/>
        <v>0</v>
      </c>
      <c r="GY518" s="2"/>
      <c r="GZ518" s="2"/>
      <c r="HA518" s="2">
        <v>0</v>
      </c>
      <c r="HB518" s="2">
        <v>0</v>
      </c>
      <c r="HC518" s="2">
        <f t="shared" si="450"/>
        <v>0</v>
      </c>
      <c r="HD518" s="2"/>
      <c r="HE518" s="2" t="s">
        <v>3</v>
      </c>
      <c r="HF518" s="2" t="s">
        <v>3</v>
      </c>
      <c r="HG518" s="2"/>
      <c r="HH518" s="2"/>
      <c r="HI518" s="2"/>
      <c r="HJ518" s="2"/>
      <c r="HK518" s="2"/>
      <c r="HL518" s="2"/>
      <c r="HM518" s="2" t="s">
        <v>3</v>
      </c>
      <c r="HN518" s="2" t="s">
        <v>3</v>
      </c>
      <c r="HO518" s="2" t="s">
        <v>3</v>
      </c>
      <c r="HP518" s="2" t="s">
        <v>3</v>
      </c>
      <c r="HQ518" s="2" t="s">
        <v>3</v>
      </c>
      <c r="HR518" s="2"/>
      <c r="HS518" s="2"/>
      <c r="HT518" s="2"/>
      <c r="HU518" s="2"/>
      <c r="HV518" s="2"/>
      <c r="HW518" s="2"/>
      <c r="HX518" s="2"/>
      <c r="HY518" s="2"/>
      <c r="HZ518" s="2"/>
      <c r="IA518" s="2"/>
      <c r="IB518" s="2"/>
      <c r="IC518" s="2"/>
      <c r="ID518" s="2"/>
      <c r="IE518" s="2"/>
      <c r="IF518" s="2"/>
      <c r="IG518" s="2"/>
      <c r="IH518" s="2"/>
      <c r="II518" s="2"/>
      <c r="IJ518" s="2"/>
      <c r="IK518" s="2">
        <v>0</v>
      </c>
      <c r="IL518" s="2"/>
      <c r="IM518" s="2"/>
      <c r="IN518" s="2"/>
      <c r="IO518" s="2"/>
      <c r="IP518" s="2"/>
      <c r="IQ518" s="2"/>
      <c r="IR518" s="2"/>
      <c r="IS518" s="2"/>
      <c r="IT518" s="2"/>
      <c r="IU518" s="2"/>
    </row>
    <row r="519" spans="1:255" x14ac:dyDescent="0.2">
      <c r="A519">
        <v>17</v>
      </c>
      <c r="B519">
        <v>1</v>
      </c>
      <c r="C519">
        <f>ROW(SmtRes!A514)</f>
        <v>514</v>
      </c>
      <c r="D519">
        <f>ROW(EtalonRes!A520)</f>
        <v>520</v>
      </c>
      <c r="E519" t="s">
        <v>124</v>
      </c>
      <c r="F519" t="s">
        <v>539</v>
      </c>
      <c r="G519" t="s">
        <v>540</v>
      </c>
      <c r="H519" t="s">
        <v>179</v>
      </c>
      <c r="I519">
        <v>5.3900000000000003E-2</v>
      </c>
      <c r="J519">
        <v>0</v>
      </c>
      <c r="K519">
        <v>5.3900000000000003E-2</v>
      </c>
      <c r="O519">
        <f t="shared" si="420"/>
        <v>1882.75</v>
      </c>
      <c r="P519">
        <f t="shared" si="421"/>
        <v>54.12</v>
      </c>
      <c r="Q519">
        <f>(ROUND((ROUND((((ET519*1.25))*AV519*I519),2)*BB519),2)+ROUND((ROUND(((AE519-((EU519*1.25)))*AV519*I519),2)*BS519),2))</f>
        <v>23.54</v>
      </c>
      <c r="R519">
        <f t="shared" si="422"/>
        <v>5.52</v>
      </c>
      <c r="S519">
        <f t="shared" si="423"/>
        <v>1805.09</v>
      </c>
      <c r="T519">
        <f t="shared" si="424"/>
        <v>0</v>
      </c>
      <c r="U519">
        <f t="shared" si="425"/>
        <v>4.7108600000000003</v>
      </c>
      <c r="V519">
        <f t="shared" si="426"/>
        <v>0</v>
      </c>
      <c r="W519">
        <f t="shared" si="427"/>
        <v>0</v>
      </c>
      <c r="X519">
        <f t="shared" si="428"/>
        <v>1263.56</v>
      </c>
      <c r="Y519">
        <f t="shared" si="429"/>
        <v>740.09</v>
      </c>
      <c r="AA519">
        <v>129761633</v>
      </c>
      <c r="AB519">
        <f t="shared" si="430"/>
        <v>1256.0550000000001</v>
      </c>
      <c r="AC519">
        <f t="shared" si="431"/>
        <v>49.55</v>
      </c>
      <c r="AD519">
        <f>ROUND(((((ET519*1.25))-((EU519*1.25)))+AE519),6)</f>
        <v>52.825000000000003</v>
      </c>
      <c r="AE519">
        <f>ROUND(((EU519*1.25)),6)</f>
        <v>3.6124999999999998</v>
      </c>
      <c r="AF519">
        <f>ROUND(((EV519*1.15)),6)</f>
        <v>1153.68</v>
      </c>
      <c r="AG519">
        <f t="shared" si="432"/>
        <v>0</v>
      </c>
      <c r="AH519">
        <f>((EW519*1.15))</f>
        <v>87.399999999999991</v>
      </c>
      <c r="AI519">
        <f>((EX519*1.25))</f>
        <v>0</v>
      </c>
      <c r="AJ519">
        <f t="shared" si="433"/>
        <v>0</v>
      </c>
      <c r="AK519">
        <v>1095.01</v>
      </c>
      <c r="AL519">
        <v>49.55</v>
      </c>
      <c r="AM519">
        <v>42.26</v>
      </c>
      <c r="AN519">
        <v>2.89</v>
      </c>
      <c r="AO519">
        <v>1003.2</v>
      </c>
      <c r="AP519">
        <v>0</v>
      </c>
      <c r="AQ519">
        <v>76</v>
      </c>
      <c r="AR519">
        <v>0</v>
      </c>
      <c r="AS519">
        <v>0</v>
      </c>
      <c r="AT519">
        <v>70</v>
      </c>
      <c r="AU519">
        <v>41</v>
      </c>
      <c r="AV519">
        <v>1</v>
      </c>
      <c r="AW519">
        <v>1</v>
      </c>
      <c r="AZ519">
        <v>1</v>
      </c>
      <c r="BA519">
        <v>29.03</v>
      </c>
      <c r="BB519">
        <v>8.26</v>
      </c>
      <c r="BC519">
        <v>20.27</v>
      </c>
      <c r="BD519" t="s">
        <v>3</v>
      </c>
      <c r="BE519" t="s">
        <v>3</v>
      </c>
      <c r="BF519" t="s">
        <v>3</v>
      </c>
      <c r="BG519" t="s">
        <v>3</v>
      </c>
      <c r="BH519">
        <v>0</v>
      </c>
      <c r="BI519">
        <v>1</v>
      </c>
      <c r="BJ519" t="s">
        <v>541</v>
      </c>
      <c r="BM519">
        <v>80</v>
      </c>
      <c r="BN519">
        <v>0</v>
      </c>
      <c r="BO519" t="s">
        <v>539</v>
      </c>
      <c r="BP519">
        <v>1</v>
      </c>
      <c r="BQ519">
        <v>30</v>
      </c>
      <c r="BR519">
        <v>0</v>
      </c>
      <c r="BS519">
        <v>29.03</v>
      </c>
      <c r="BT519">
        <v>1</v>
      </c>
      <c r="BU519">
        <v>1</v>
      </c>
      <c r="BV519">
        <v>1</v>
      </c>
      <c r="BW519">
        <v>1</v>
      </c>
      <c r="BX519">
        <v>1</v>
      </c>
      <c r="BY519" t="s">
        <v>3</v>
      </c>
      <c r="BZ519">
        <v>70</v>
      </c>
      <c r="CA519">
        <v>41</v>
      </c>
      <c r="CB519" t="s">
        <v>3</v>
      </c>
      <c r="CE519">
        <v>30</v>
      </c>
      <c r="CF519">
        <v>0</v>
      </c>
      <c r="CG519">
        <v>0</v>
      </c>
      <c r="CM519">
        <v>0</v>
      </c>
      <c r="CN519" t="s">
        <v>1559</v>
      </c>
      <c r="CO519">
        <v>0</v>
      </c>
      <c r="CP519">
        <f t="shared" si="434"/>
        <v>1882.75</v>
      </c>
      <c r="CQ519">
        <f t="shared" si="435"/>
        <v>1004.38</v>
      </c>
      <c r="CR519">
        <f>(ROUND((ROUND((((ET519*1.25))*AV519*1),2)*BB519),2)+ROUND((ROUND(((AE519-((EU519*1.25)))*AV519*1),2)*BS519),2))</f>
        <v>436.38</v>
      </c>
      <c r="CS519">
        <f t="shared" si="436"/>
        <v>104.8</v>
      </c>
      <c r="CT519">
        <f t="shared" si="437"/>
        <v>33491.33</v>
      </c>
      <c r="CU519">
        <f t="shared" si="438"/>
        <v>0</v>
      </c>
      <c r="CV519">
        <f t="shared" si="439"/>
        <v>87.399999999999991</v>
      </c>
      <c r="CW519">
        <f t="shared" si="440"/>
        <v>0</v>
      </c>
      <c r="CX519">
        <f t="shared" si="441"/>
        <v>0</v>
      </c>
      <c r="CY519">
        <f>S519*(BZ519/100)</f>
        <v>1263.5629999999999</v>
      </c>
      <c r="CZ519">
        <f>S519*(CA519/100)</f>
        <v>740.0868999999999</v>
      </c>
      <c r="DC519" t="s">
        <v>3</v>
      </c>
      <c r="DD519" t="s">
        <v>3</v>
      </c>
      <c r="DE519" t="s">
        <v>86</v>
      </c>
      <c r="DF519" t="s">
        <v>86</v>
      </c>
      <c r="DG519" t="s">
        <v>87</v>
      </c>
      <c r="DH519" t="s">
        <v>3</v>
      </c>
      <c r="DI519" t="s">
        <v>87</v>
      </c>
      <c r="DJ519" t="s">
        <v>86</v>
      </c>
      <c r="DK519" t="s">
        <v>3</v>
      </c>
      <c r="DL519" t="s">
        <v>3</v>
      </c>
      <c r="DM519" t="s">
        <v>3</v>
      </c>
      <c r="DN519">
        <v>85</v>
      </c>
      <c r="DO519">
        <v>70</v>
      </c>
      <c r="DP519">
        <v>1</v>
      </c>
      <c r="DQ519">
        <v>1</v>
      </c>
      <c r="DU519">
        <v>1013</v>
      </c>
      <c r="DV519" t="s">
        <v>179</v>
      </c>
      <c r="DW519" t="s">
        <v>179</v>
      </c>
      <c r="DX519">
        <v>1</v>
      </c>
      <c r="DZ519" t="s">
        <v>3</v>
      </c>
      <c r="EA519" t="s">
        <v>3</v>
      </c>
      <c r="EB519" t="s">
        <v>3</v>
      </c>
      <c r="EC519" t="s">
        <v>3</v>
      </c>
      <c r="EE519">
        <v>126051541</v>
      </c>
      <c r="EF519">
        <v>30</v>
      </c>
      <c r="EG519" t="s">
        <v>23</v>
      </c>
      <c r="EH519">
        <v>0</v>
      </c>
      <c r="EI519" t="s">
        <v>3</v>
      </c>
      <c r="EJ519">
        <v>1</v>
      </c>
      <c r="EK519">
        <v>80</v>
      </c>
      <c r="EL519" t="s">
        <v>143</v>
      </c>
      <c r="EM519" t="s">
        <v>144</v>
      </c>
      <c r="EO519" t="s">
        <v>90</v>
      </c>
      <c r="EQ519">
        <v>131072</v>
      </c>
      <c r="ER519">
        <v>1095.01</v>
      </c>
      <c r="ES519">
        <v>49.55</v>
      </c>
      <c r="ET519">
        <v>42.26</v>
      </c>
      <c r="EU519">
        <v>2.89</v>
      </c>
      <c r="EV519">
        <v>1003.2</v>
      </c>
      <c r="EW519">
        <v>76</v>
      </c>
      <c r="EX519">
        <v>0</v>
      </c>
      <c r="EY519">
        <v>0</v>
      </c>
      <c r="FQ519">
        <v>0</v>
      </c>
      <c r="FR519">
        <f t="shared" si="442"/>
        <v>0</v>
      </c>
      <c r="FS519">
        <v>0</v>
      </c>
      <c r="FX519">
        <v>85</v>
      </c>
      <c r="FY519">
        <v>70</v>
      </c>
      <c r="GA519" t="s">
        <v>3</v>
      </c>
      <c r="GD519">
        <v>0</v>
      </c>
      <c r="GF519">
        <v>95600085</v>
      </c>
      <c r="GG519">
        <v>2</v>
      </c>
      <c r="GH519">
        <v>1</v>
      </c>
      <c r="GI519">
        <v>2</v>
      </c>
      <c r="GJ519">
        <v>0</v>
      </c>
      <c r="GK519">
        <f>ROUND(R519*(S12)/100,2)</f>
        <v>8.83</v>
      </c>
      <c r="GL519">
        <f t="shared" si="443"/>
        <v>0</v>
      </c>
      <c r="GM519">
        <f t="shared" si="444"/>
        <v>3895.23</v>
      </c>
      <c r="GN519">
        <f t="shared" si="445"/>
        <v>3895.23</v>
      </c>
      <c r="GO519">
        <f t="shared" si="446"/>
        <v>0</v>
      </c>
      <c r="GP519">
        <f t="shared" si="447"/>
        <v>0</v>
      </c>
      <c r="GR519">
        <v>0</v>
      </c>
      <c r="GS519">
        <v>3</v>
      </c>
      <c r="GT519">
        <v>0</v>
      </c>
      <c r="GU519" t="s">
        <v>3</v>
      </c>
      <c r="GV519">
        <f t="shared" si="448"/>
        <v>0</v>
      </c>
      <c r="GW519">
        <v>1</v>
      </c>
      <c r="GX519">
        <f t="shared" si="449"/>
        <v>0</v>
      </c>
      <c r="HA519">
        <v>0</v>
      </c>
      <c r="HB519">
        <v>0</v>
      </c>
      <c r="HC519">
        <f t="shared" si="450"/>
        <v>0</v>
      </c>
      <c r="HE519" t="s">
        <v>3</v>
      </c>
      <c r="HF519" t="s">
        <v>3</v>
      </c>
      <c r="HM519" t="s">
        <v>3</v>
      </c>
      <c r="HN519" t="s">
        <v>3</v>
      </c>
      <c r="HO519" t="s">
        <v>3</v>
      </c>
      <c r="HP519" t="s">
        <v>3</v>
      </c>
      <c r="HQ519" t="s">
        <v>3</v>
      </c>
      <c r="IK519">
        <v>0</v>
      </c>
    </row>
    <row r="520" spans="1:255" x14ac:dyDescent="0.2">
      <c r="A520" s="2">
        <v>18</v>
      </c>
      <c r="B520" s="2">
        <v>1</v>
      </c>
      <c r="C520" s="2">
        <v>507</v>
      </c>
      <c r="D520" s="2"/>
      <c r="E520" s="2" t="s">
        <v>131</v>
      </c>
      <c r="F520" s="2" t="s">
        <v>542</v>
      </c>
      <c r="G520" s="2" t="s">
        <v>543</v>
      </c>
      <c r="H520" s="2" t="s">
        <v>114</v>
      </c>
      <c r="I520" s="2">
        <f>I518*J520</f>
        <v>5.3900000000000003E-2</v>
      </c>
      <c r="J520" s="2">
        <v>1</v>
      </c>
      <c r="K520" s="2">
        <v>1</v>
      </c>
      <c r="L520" s="2"/>
      <c r="M520" s="2"/>
      <c r="N520" s="2"/>
      <c r="O520" s="2">
        <f t="shared" si="420"/>
        <v>379.67</v>
      </c>
      <c r="P520" s="2">
        <f t="shared" si="421"/>
        <v>379.67</v>
      </c>
      <c r="Q520" s="2">
        <f>(ROUND((ROUND(((ET520)*AV520*I520),2)*BB520),2)+ROUND((ROUND(((AE520-(EU520))*AV520*I520),2)*BS520),2))</f>
        <v>0</v>
      </c>
      <c r="R520" s="2">
        <f t="shared" si="422"/>
        <v>0</v>
      </c>
      <c r="S520" s="2">
        <f t="shared" si="423"/>
        <v>0</v>
      </c>
      <c r="T520" s="2">
        <f t="shared" si="424"/>
        <v>0</v>
      </c>
      <c r="U520" s="2">
        <f t="shared" si="425"/>
        <v>0</v>
      </c>
      <c r="V520" s="2">
        <f t="shared" si="426"/>
        <v>0</v>
      </c>
      <c r="W520" s="2">
        <f t="shared" si="427"/>
        <v>0</v>
      </c>
      <c r="X520" s="2">
        <f t="shared" si="428"/>
        <v>0</v>
      </c>
      <c r="Y520" s="2">
        <f t="shared" si="429"/>
        <v>0</v>
      </c>
      <c r="Z520" s="2"/>
      <c r="AA520" s="2">
        <v>129761636</v>
      </c>
      <c r="AB520" s="2">
        <f t="shared" si="430"/>
        <v>7043.96</v>
      </c>
      <c r="AC520" s="2">
        <f t="shared" si="431"/>
        <v>7043.96</v>
      </c>
      <c r="AD520" s="2">
        <f>ROUND((((ET520)-(EU520))+AE520),6)</f>
        <v>0</v>
      </c>
      <c r="AE520" s="2">
        <f>ROUND((EU520),6)</f>
        <v>0</v>
      </c>
      <c r="AF520" s="2">
        <f>ROUND((EV520),6)</f>
        <v>0</v>
      </c>
      <c r="AG520" s="2">
        <f t="shared" si="432"/>
        <v>0</v>
      </c>
      <c r="AH520" s="2">
        <f>(EW520)</f>
        <v>0</v>
      </c>
      <c r="AI520" s="2">
        <f>(EX520)</f>
        <v>0</v>
      </c>
      <c r="AJ520" s="2">
        <f t="shared" si="433"/>
        <v>0</v>
      </c>
      <c r="AK520" s="2">
        <v>7043.96</v>
      </c>
      <c r="AL520" s="2">
        <v>7043.96</v>
      </c>
      <c r="AM520" s="2">
        <v>0</v>
      </c>
      <c r="AN520" s="2">
        <v>0</v>
      </c>
      <c r="AO520" s="2">
        <v>0</v>
      </c>
      <c r="AP520" s="2">
        <v>0</v>
      </c>
      <c r="AQ520" s="2">
        <v>0</v>
      </c>
      <c r="AR520" s="2">
        <v>0</v>
      </c>
      <c r="AS520" s="2">
        <v>0</v>
      </c>
      <c r="AT520" s="2">
        <v>85</v>
      </c>
      <c r="AU520" s="2">
        <v>70</v>
      </c>
      <c r="AV520" s="2">
        <v>1</v>
      </c>
      <c r="AW520" s="2">
        <v>1</v>
      </c>
      <c r="AX520" s="2"/>
      <c r="AY520" s="2"/>
      <c r="AZ520" s="2">
        <v>1</v>
      </c>
      <c r="BA520" s="2">
        <v>1</v>
      </c>
      <c r="BB520" s="2">
        <v>1</v>
      </c>
      <c r="BC520" s="2">
        <v>1</v>
      </c>
      <c r="BD520" s="2" t="s">
        <v>3</v>
      </c>
      <c r="BE520" s="2" t="s">
        <v>3</v>
      </c>
      <c r="BF520" s="2" t="s">
        <v>3</v>
      </c>
      <c r="BG520" s="2" t="s">
        <v>3</v>
      </c>
      <c r="BH520" s="2">
        <v>3</v>
      </c>
      <c r="BI520" s="2">
        <v>1</v>
      </c>
      <c r="BJ520" s="2" t="s">
        <v>544</v>
      </c>
      <c r="BK520" s="2"/>
      <c r="BL520" s="2"/>
      <c r="BM520" s="2">
        <v>80</v>
      </c>
      <c r="BN520" s="2">
        <v>0</v>
      </c>
      <c r="BO520" s="2" t="s">
        <v>3</v>
      </c>
      <c r="BP520" s="2">
        <v>0</v>
      </c>
      <c r="BQ520" s="2">
        <v>30</v>
      </c>
      <c r="BR520" s="2">
        <v>0</v>
      </c>
      <c r="BS520" s="2">
        <v>1</v>
      </c>
      <c r="BT520" s="2">
        <v>1</v>
      </c>
      <c r="BU520" s="2">
        <v>1</v>
      </c>
      <c r="BV520" s="2">
        <v>1</v>
      </c>
      <c r="BW520" s="2">
        <v>1</v>
      </c>
      <c r="BX520" s="2">
        <v>1</v>
      </c>
      <c r="BY520" s="2" t="s">
        <v>3</v>
      </c>
      <c r="BZ520" s="2">
        <v>85</v>
      </c>
      <c r="CA520" s="2">
        <v>70</v>
      </c>
      <c r="CB520" s="2" t="s">
        <v>3</v>
      </c>
      <c r="CC520" s="2"/>
      <c r="CD520" s="2"/>
      <c r="CE520" s="2">
        <v>30</v>
      </c>
      <c r="CF520" s="2">
        <v>0</v>
      </c>
      <c r="CG520" s="2">
        <v>0</v>
      </c>
      <c r="CH520" s="2"/>
      <c r="CI520" s="2"/>
      <c r="CJ520" s="2"/>
      <c r="CK520" s="2"/>
      <c r="CL520" s="2"/>
      <c r="CM520" s="2">
        <v>0</v>
      </c>
      <c r="CN520" s="2" t="s">
        <v>3</v>
      </c>
      <c r="CO520" s="2">
        <v>0</v>
      </c>
      <c r="CP520" s="2">
        <f t="shared" si="434"/>
        <v>379.67</v>
      </c>
      <c r="CQ520" s="2">
        <f t="shared" si="435"/>
        <v>7043.96</v>
      </c>
      <c r="CR520" s="2">
        <f>(ROUND((ROUND(((ET520)*AV520*1),2)*BB520),2)+ROUND((ROUND(((AE520-(EU520))*AV520*1),2)*BS520),2))</f>
        <v>0</v>
      </c>
      <c r="CS520" s="2">
        <f t="shared" si="436"/>
        <v>0</v>
      </c>
      <c r="CT520" s="2">
        <f t="shared" si="437"/>
        <v>0</v>
      </c>
      <c r="CU520" s="2">
        <f t="shared" si="438"/>
        <v>0</v>
      </c>
      <c r="CV520" s="2">
        <f t="shared" si="439"/>
        <v>0</v>
      </c>
      <c r="CW520" s="2">
        <f t="shared" si="440"/>
        <v>0</v>
      </c>
      <c r="CX520" s="2">
        <f t="shared" si="441"/>
        <v>0</v>
      </c>
      <c r="CY520" s="2">
        <f>((S520*BZ520)/100)</f>
        <v>0</v>
      </c>
      <c r="CZ520" s="2">
        <f>((S520*CA520)/100)</f>
        <v>0</v>
      </c>
      <c r="DA520" s="2"/>
      <c r="DB520" s="2"/>
      <c r="DC520" s="2" t="s">
        <v>3</v>
      </c>
      <c r="DD520" s="2" t="s">
        <v>3</v>
      </c>
      <c r="DE520" s="2" t="s">
        <v>3</v>
      </c>
      <c r="DF520" s="2" t="s">
        <v>3</v>
      </c>
      <c r="DG520" s="2" t="s">
        <v>3</v>
      </c>
      <c r="DH520" s="2" t="s">
        <v>3</v>
      </c>
      <c r="DI520" s="2" t="s">
        <v>3</v>
      </c>
      <c r="DJ520" s="2" t="s">
        <v>3</v>
      </c>
      <c r="DK520" s="2" t="s">
        <v>3</v>
      </c>
      <c r="DL520" s="2" t="s">
        <v>3</v>
      </c>
      <c r="DM520" s="2" t="s">
        <v>3</v>
      </c>
      <c r="DN520" s="2">
        <v>0</v>
      </c>
      <c r="DO520" s="2">
        <v>0</v>
      </c>
      <c r="DP520" s="2">
        <v>1</v>
      </c>
      <c r="DQ520" s="2">
        <v>1</v>
      </c>
      <c r="DR520" s="2"/>
      <c r="DS520" s="2"/>
      <c r="DT520" s="2"/>
      <c r="DU520" s="2">
        <v>1009</v>
      </c>
      <c r="DV520" s="2" t="s">
        <v>114</v>
      </c>
      <c r="DW520" s="2" t="s">
        <v>114</v>
      </c>
      <c r="DX520" s="2">
        <v>1000</v>
      </c>
      <c r="DY520" s="2"/>
      <c r="DZ520" s="2" t="s">
        <v>3</v>
      </c>
      <c r="EA520" s="2" t="s">
        <v>3</v>
      </c>
      <c r="EB520" s="2" t="s">
        <v>3</v>
      </c>
      <c r="EC520" s="2" t="s">
        <v>3</v>
      </c>
      <c r="ED520" s="2"/>
      <c r="EE520" s="2">
        <v>126051541</v>
      </c>
      <c r="EF520" s="2">
        <v>30</v>
      </c>
      <c r="EG520" s="2" t="s">
        <v>23</v>
      </c>
      <c r="EH520" s="2">
        <v>0</v>
      </c>
      <c r="EI520" s="2" t="s">
        <v>3</v>
      </c>
      <c r="EJ520" s="2">
        <v>1</v>
      </c>
      <c r="EK520" s="2">
        <v>80</v>
      </c>
      <c r="EL520" s="2" t="s">
        <v>143</v>
      </c>
      <c r="EM520" s="2" t="s">
        <v>144</v>
      </c>
      <c r="EN520" s="2"/>
      <c r="EO520" s="2" t="s">
        <v>3</v>
      </c>
      <c r="EP520" s="2"/>
      <c r="EQ520" s="2">
        <v>0</v>
      </c>
      <c r="ER520" s="2">
        <v>7043.96</v>
      </c>
      <c r="ES520" s="2">
        <v>7043.96</v>
      </c>
      <c r="ET520" s="2">
        <v>0</v>
      </c>
      <c r="EU520" s="2">
        <v>0</v>
      </c>
      <c r="EV520" s="2">
        <v>0</v>
      </c>
      <c r="EW520" s="2">
        <v>0</v>
      </c>
      <c r="EX520" s="2">
        <v>0</v>
      </c>
      <c r="EY520" s="2"/>
      <c r="EZ520" s="2"/>
      <c r="FA520" s="2"/>
      <c r="FB520" s="2"/>
      <c r="FC520" s="2"/>
      <c r="FD520" s="2"/>
      <c r="FE520" s="2"/>
      <c r="FF520" s="2"/>
      <c r="FG520" s="2"/>
      <c r="FH520" s="2"/>
      <c r="FI520" s="2"/>
      <c r="FJ520" s="2"/>
      <c r="FK520" s="2"/>
      <c r="FL520" s="2"/>
      <c r="FM520" s="2"/>
      <c r="FN520" s="2"/>
      <c r="FO520" s="2"/>
      <c r="FP520" s="2"/>
      <c r="FQ520" s="2">
        <v>0</v>
      </c>
      <c r="FR520" s="2">
        <f t="shared" si="442"/>
        <v>0</v>
      </c>
      <c r="FS520" s="2">
        <v>0</v>
      </c>
      <c r="FT520" s="2"/>
      <c r="FU520" s="2"/>
      <c r="FV520" s="2"/>
      <c r="FW520" s="2"/>
      <c r="FX520" s="2">
        <v>85</v>
      </c>
      <c r="FY520" s="2">
        <v>70</v>
      </c>
      <c r="FZ520" s="2"/>
      <c r="GA520" s="2" t="s">
        <v>3</v>
      </c>
      <c r="GB520" s="2"/>
      <c r="GC520" s="2"/>
      <c r="GD520" s="2">
        <v>0</v>
      </c>
      <c r="GE520" s="2"/>
      <c r="GF520" s="2">
        <v>1397922927</v>
      </c>
      <c r="GG520" s="2">
        <v>2</v>
      </c>
      <c r="GH520" s="2">
        <v>1</v>
      </c>
      <c r="GI520" s="2">
        <v>-2</v>
      </c>
      <c r="GJ520" s="2">
        <v>0</v>
      </c>
      <c r="GK520" s="2">
        <f>ROUND(R520*(R12)/100,2)</f>
        <v>0</v>
      </c>
      <c r="GL520" s="2">
        <f t="shared" si="443"/>
        <v>0</v>
      </c>
      <c r="GM520" s="2">
        <f t="shared" si="444"/>
        <v>379.67</v>
      </c>
      <c r="GN520" s="2">
        <f t="shared" si="445"/>
        <v>379.67</v>
      </c>
      <c r="GO520" s="2">
        <f t="shared" si="446"/>
        <v>0</v>
      </c>
      <c r="GP520" s="2">
        <f t="shared" si="447"/>
        <v>0</v>
      </c>
      <c r="GQ520" s="2"/>
      <c r="GR520" s="2">
        <v>0</v>
      </c>
      <c r="GS520" s="2">
        <v>0</v>
      </c>
      <c r="GT520" s="2">
        <v>0</v>
      </c>
      <c r="GU520" s="2" t="s">
        <v>3</v>
      </c>
      <c r="GV520" s="2">
        <f t="shared" si="448"/>
        <v>0</v>
      </c>
      <c r="GW520" s="2">
        <v>1</v>
      </c>
      <c r="GX520" s="2">
        <f t="shared" si="449"/>
        <v>0</v>
      </c>
      <c r="GY520" s="2"/>
      <c r="GZ520" s="2"/>
      <c r="HA520" s="2">
        <v>0</v>
      </c>
      <c r="HB520" s="2">
        <v>0</v>
      </c>
      <c r="HC520" s="2">
        <f t="shared" si="450"/>
        <v>0</v>
      </c>
      <c r="HD520" s="2"/>
      <c r="HE520" s="2" t="s">
        <v>3</v>
      </c>
      <c r="HF520" s="2" t="s">
        <v>3</v>
      </c>
      <c r="HG520" s="2"/>
      <c r="HH520" s="2"/>
      <c r="HI520" s="2"/>
      <c r="HJ520" s="2"/>
      <c r="HK520" s="2"/>
      <c r="HL520" s="2"/>
      <c r="HM520" s="2" t="s">
        <v>3</v>
      </c>
      <c r="HN520" s="2" t="s">
        <v>3</v>
      </c>
      <c r="HO520" s="2" t="s">
        <v>3</v>
      </c>
      <c r="HP520" s="2" t="s">
        <v>3</v>
      </c>
      <c r="HQ520" s="2" t="s">
        <v>3</v>
      </c>
      <c r="HR520" s="2"/>
      <c r="HS520" s="2"/>
      <c r="HT520" s="2"/>
      <c r="HU520" s="2"/>
      <c r="HV520" s="2"/>
      <c r="HW520" s="2"/>
      <c r="HX520" s="2"/>
      <c r="HY520" s="2"/>
      <c r="HZ520" s="2"/>
      <c r="IA520" s="2"/>
      <c r="IB520" s="2"/>
      <c r="IC520" s="2"/>
      <c r="ID520" s="2"/>
      <c r="IE520" s="2"/>
      <c r="IF520" s="2"/>
      <c r="IG520" s="2"/>
      <c r="IH520" s="2"/>
      <c r="II520" s="2"/>
      <c r="IJ520" s="2"/>
      <c r="IK520" s="2">
        <v>0</v>
      </c>
      <c r="IL520" s="2"/>
      <c r="IM520" s="2"/>
      <c r="IN520" s="2"/>
      <c r="IO520" s="2"/>
      <c r="IP520" s="2"/>
      <c r="IQ520" s="2"/>
      <c r="IR520" s="2"/>
      <c r="IS520" s="2"/>
      <c r="IT520" s="2"/>
      <c r="IU520" s="2"/>
    </row>
    <row r="521" spans="1:255" x14ac:dyDescent="0.2">
      <c r="A521">
        <v>18</v>
      </c>
      <c r="B521">
        <v>1</v>
      </c>
      <c r="C521">
        <v>512</v>
      </c>
      <c r="E521" t="s">
        <v>131</v>
      </c>
      <c r="F521" t="s">
        <v>542</v>
      </c>
      <c r="G521" t="s">
        <v>543</v>
      </c>
      <c r="H521" t="s">
        <v>114</v>
      </c>
      <c r="I521">
        <f>I519*J521</f>
        <v>5.3900000000000003E-2</v>
      </c>
      <c r="J521">
        <v>1</v>
      </c>
      <c r="K521">
        <v>1</v>
      </c>
      <c r="O521">
        <f t="shared" si="420"/>
        <v>3284.15</v>
      </c>
      <c r="P521">
        <f t="shared" si="421"/>
        <v>3284.15</v>
      </c>
      <c r="Q521">
        <f>(ROUND((ROUND(((ET521)*AV521*I521),2)*BB521),2)+ROUND((ROUND(((AE521-(EU521))*AV521*I521),2)*BS521),2))</f>
        <v>0</v>
      </c>
      <c r="R521">
        <f t="shared" si="422"/>
        <v>0</v>
      </c>
      <c r="S521">
        <f t="shared" si="423"/>
        <v>0</v>
      </c>
      <c r="T521">
        <f t="shared" si="424"/>
        <v>0</v>
      </c>
      <c r="U521">
        <f t="shared" si="425"/>
        <v>0</v>
      </c>
      <c r="V521">
        <f t="shared" si="426"/>
        <v>0</v>
      </c>
      <c r="W521">
        <f t="shared" si="427"/>
        <v>0</v>
      </c>
      <c r="X521">
        <f t="shared" si="428"/>
        <v>0</v>
      </c>
      <c r="Y521">
        <f t="shared" si="429"/>
        <v>0</v>
      </c>
      <c r="AA521">
        <v>129761633</v>
      </c>
      <c r="AB521">
        <f t="shared" si="430"/>
        <v>7043.96</v>
      </c>
      <c r="AC521">
        <f t="shared" si="431"/>
        <v>7043.96</v>
      </c>
      <c r="AD521">
        <f>ROUND((((ET521)-(EU521))+AE521),6)</f>
        <v>0</v>
      </c>
      <c r="AE521">
        <f>ROUND((EU521),6)</f>
        <v>0</v>
      </c>
      <c r="AF521">
        <f>ROUND((EV521),6)</f>
        <v>0</v>
      </c>
      <c r="AG521">
        <f t="shared" si="432"/>
        <v>0</v>
      </c>
      <c r="AH521">
        <f>(EW521)</f>
        <v>0</v>
      </c>
      <c r="AI521">
        <f>(EX521)</f>
        <v>0</v>
      </c>
      <c r="AJ521">
        <f t="shared" si="433"/>
        <v>0</v>
      </c>
      <c r="AK521">
        <v>7043.96</v>
      </c>
      <c r="AL521">
        <v>7043.96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1</v>
      </c>
      <c r="AW521">
        <v>1</v>
      </c>
      <c r="AZ521">
        <v>1</v>
      </c>
      <c r="BA521">
        <v>1</v>
      </c>
      <c r="BB521">
        <v>1</v>
      </c>
      <c r="BC521">
        <v>8.65</v>
      </c>
      <c r="BD521" t="s">
        <v>3</v>
      </c>
      <c r="BE521" t="s">
        <v>3</v>
      </c>
      <c r="BF521" t="s">
        <v>3</v>
      </c>
      <c r="BG521" t="s">
        <v>3</v>
      </c>
      <c r="BH521">
        <v>3</v>
      </c>
      <c r="BI521">
        <v>1</v>
      </c>
      <c r="BJ521" t="s">
        <v>544</v>
      </c>
      <c r="BM521">
        <v>80</v>
      </c>
      <c r="BN521">
        <v>0</v>
      </c>
      <c r="BO521" t="s">
        <v>3</v>
      </c>
      <c r="BP521">
        <v>0</v>
      </c>
      <c r="BQ521">
        <v>30</v>
      </c>
      <c r="BR521">
        <v>0</v>
      </c>
      <c r="BS521">
        <v>1</v>
      </c>
      <c r="BT521">
        <v>1</v>
      </c>
      <c r="BU521">
        <v>1</v>
      </c>
      <c r="BV521">
        <v>1</v>
      </c>
      <c r="BW521">
        <v>1</v>
      </c>
      <c r="BX521">
        <v>1</v>
      </c>
      <c r="BY521" t="s">
        <v>3</v>
      </c>
      <c r="BZ521">
        <v>0</v>
      </c>
      <c r="CA521">
        <v>0</v>
      </c>
      <c r="CB521" t="s">
        <v>3</v>
      </c>
      <c r="CE521">
        <v>30</v>
      </c>
      <c r="CF521">
        <v>0</v>
      </c>
      <c r="CG521">
        <v>0</v>
      </c>
      <c r="CM521">
        <v>0</v>
      </c>
      <c r="CN521" t="s">
        <v>3</v>
      </c>
      <c r="CO521">
        <v>0</v>
      </c>
      <c r="CP521">
        <f t="shared" si="434"/>
        <v>3284.15</v>
      </c>
      <c r="CQ521">
        <f t="shared" si="435"/>
        <v>60930.25</v>
      </c>
      <c r="CR521">
        <f>(ROUND((ROUND(((ET521)*AV521*1),2)*BB521),2)+ROUND((ROUND(((AE521-(EU521))*AV521*1),2)*BS521),2))</f>
        <v>0</v>
      </c>
      <c r="CS521">
        <f t="shared" si="436"/>
        <v>0</v>
      </c>
      <c r="CT521">
        <f t="shared" si="437"/>
        <v>0</v>
      </c>
      <c r="CU521">
        <f t="shared" si="438"/>
        <v>0</v>
      </c>
      <c r="CV521">
        <f t="shared" si="439"/>
        <v>0</v>
      </c>
      <c r="CW521">
        <f t="shared" si="440"/>
        <v>0</v>
      </c>
      <c r="CX521">
        <f t="shared" si="441"/>
        <v>0</v>
      </c>
      <c r="CY521">
        <f>S521*(BZ521/100)</f>
        <v>0</v>
      </c>
      <c r="CZ521">
        <f>S521*(CA521/100)</f>
        <v>0</v>
      </c>
      <c r="DC521" t="s">
        <v>3</v>
      </c>
      <c r="DD521" t="s">
        <v>3</v>
      </c>
      <c r="DE521" t="s">
        <v>3</v>
      </c>
      <c r="DF521" t="s">
        <v>3</v>
      </c>
      <c r="DG521" t="s">
        <v>3</v>
      </c>
      <c r="DH521" t="s">
        <v>3</v>
      </c>
      <c r="DI521" t="s">
        <v>3</v>
      </c>
      <c r="DJ521" t="s">
        <v>3</v>
      </c>
      <c r="DK521" t="s">
        <v>3</v>
      </c>
      <c r="DL521" t="s">
        <v>3</v>
      </c>
      <c r="DM521" t="s">
        <v>3</v>
      </c>
      <c r="DN521">
        <v>85</v>
      </c>
      <c r="DO521">
        <v>70</v>
      </c>
      <c r="DP521">
        <v>1</v>
      </c>
      <c r="DQ521">
        <v>1</v>
      </c>
      <c r="DU521">
        <v>1009</v>
      </c>
      <c r="DV521" t="s">
        <v>114</v>
      </c>
      <c r="DW521" t="s">
        <v>114</v>
      </c>
      <c r="DX521">
        <v>1000</v>
      </c>
      <c r="DZ521" t="s">
        <v>3</v>
      </c>
      <c r="EA521" t="s">
        <v>3</v>
      </c>
      <c r="EB521" t="s">
        <v>3</v>
      </c>
      <c r="EC521" t="s">
        <v>3</v>
      </c>
      <c r="EE521">
        <v>126051541</v>
      </c>
      <c r="EF521">
        <v>30</v>
      </c>
      <c r="EG521" t="s">
        <v>23</v>
      </c>
      <c r="EH521">
        <v>0</v>
      </c>
      <c r="EI521" t="s">
        <v>3</v>
      </c>
      <c r="EJ521">
        <v>1</v>
      </c>
      <c r="EK521">
        <v>80</v>
      </c>
      <c r="EL521" t="s">
        <v>143</v>
      </c>
      <c r="EM521" t="s">
        <v>144</v>
      </c>
      <c r="EO521" t="s">
        <v>3</v>
      </c>
      <c r="EQ521">
        <v>0</v>
      </c>
      <c r="ER521">
        <v>7043.96</v>
      </c>
      <c r="ES521">
        <v>7043.96</v>
      </c>
      <c r="ET521">
        <v>0</v>
      </c>
      <c r="EU521">
        <v>0</v>
      </c>
      <c r="EV521">
        <v>0</v>
      </c>
      <c r="EW521">
        <v>0</v>
      </c>
      <c r="EX521">
        <v>0</v>
      </c>
      <c r="FQ521">
        <v>0</v>
      </c>
      <c r="FR521">
        <f t="shared" si="442"/>
        <v>0</v>
      </c>
      <c r="FS521">
        <v>0</v>
      </c>
      <c r="FX521">
        <v>85</v>
      </c>
      <c r="FY521">
        <v>70</v>
      </c>
      <c r="GA521" t="s">
        <v>3</v>
      </c>
      <c r="GD521">
        <v>0</v>
      </c>
      <c r="GF521">
        <v>1397922927</v>
      </c>
      <c r="GG521">
        <v>2</v>
      </c>
      <c r="GH521">
        <v>1</v>
      </c>
      <c r="GI521">
        <v>5</v>
      </c>
      <c r="GJ521">
        <v>0</v>
      </c>
      <c r="GK521">
        <f>ROUND(R521*(S12)/100,2)</f>
        <v>0</v>
      </c>
      <c r="GL521">
        <f t="shared" si="443"/>
        <v>0</v>
      </c>
      <c r="GM521">
        <f t="shared" si="444"/>
        <v>3284.15</v>
      </c>
      <c r="GN521">
        <f t="shared" si="445"/>
        <v>3284.15</v>
      </c>
      <c r="GO521">
        <f t="shared" si="446"/>
        <v>0</v>
      </c>
      <c r="GP521">
        <f t="shared" si="447"/>
        <v>0</v>
      </c>
      <c r="GR521">
        <v>0</v>
      </c>
      <c r="GS521">
        <v>3</v>
      </c>
      <c r="GT521">
        <v>0</v>
      </c>
      <c r="GU521" t="s">
        <v>3</v>
      </c>
      <c r="GV521">
        <f t="shared" si="448"/>
        <v>0</v>
      </c>
      <c r="GW521">
        <v>1</v>
      </c>
      <c r="GX521">
        <f t="shared" si="449"/>
        <v>0</v>
      </c>
      <c r="HA521">
        <v>0</v>
      </c>
      <c r="HB521">
        <v>0</v>
      </c>
      <c r="HC521">
        <f t="shared" si="450"/>
        <v>0</v>
      </c>
      <c r="HE521" t="s">
        <v>3</v>
      </c>
      <c r="HF521" t="s">
        <v>3</v>
      </c>
      <c r="HM521" t="s">
        <v>3</v>
      </c>
      <c r="HN521" t="s">
        <v>3</v>
      </c>
      <c r="HO521" t="s">
        <v>3</v>
      </c>
      <c r="HP521" t="s">
        <v>3</v>
      </c>
      <c r="HQ521" t="s">
        <v>3</v>
      </c>
      <c r="IK521">
        <v>0</v>
      </c>
    </row>
    <row r="522" spans="1:255" x14ac:dyDescent="0.2">
      <c r="A522" s="2">
        <v>17</v>
      </c>
      <c r="B522" s="2">
        <v>1</v>
      </c>
      <c r="C522" s="2">
        <f>ROW(SmtRes!A529)</f>
        <v>529</v>
      </c>
      <c r="D522" s="2">
        <f>ROW(EtalonRes!A531)</f>
        <v>531</v>
      </c>
      <c r="E522" s="2" t="s">
        <v>176</v>
      </c>
      <c r="F522" s="2" t="s">
        <v>545</v>
      </c>
      <c r="G522" s="2" t="s">
        <v>546</v>
      </c>
      <c r="H522" s="2" t="s">
        <v>139</v>
      </c>
      <c r="I522" s="2">
        <v>0.15029999999999999</v>
      </c>
      <c r="J522" s="2">
        <v>0</v>
      </c>
      <c r="K522" s="2">
        <v>0.15029999999999999</v>
      </c>
      <c r="L522" s="2"/>
      <c r="M522" s="2"/>
      <c r="N522" s="2"/>
      <c r="O522" s="2">
        <f t="shared" si="420"/>
        <v>253.12</v>
      </c>
      <c r="P522" s="2">
        <f t="shared" si="421"/>
        <v>12.16</v>
      </c>
      <c r="Q522" s="2">
        <f>(ROUND((ROUND((((ET522*1.25))*AV522*I522),2)*BB522),2)+ROUND((ROUND(((AE522-((EU522*1.25)))*AV522*I522),2)*BS522),2))</f>
        <v>159.05000000000001</v>
      </c>
      <c r="R522" s="2">
        <f t="shared" si="422"/>
        <v>14.2</v>
      </c>
      <c r="S522" s="2">
        <f t="shared" si="423"/>
        <v>81.91</v>
      </c>
      <c r="T522" s="2">
        <f t="shared" si="424"/>
        <v>0</v>
      </c>
      <c r="U522" s="2">
        <f t="shared" si="425"/>
        <v>6.205135499999999</v>
      </c>
      <c r="V522" s="2">
        <f t="shared" si="426"/>
        <v>0</v>
      </c>
      <c r="W522" s="2">
        <f t="shared" si="427"/>
        <v>0</v>
      </c>
      <c r="X522" s="2">
        <f t="shared" si="428"/>
        <v>69.62</v>
      </c>
      <c r="Y522" s="2">
        <f t="shared" si="429"/>
        <v>57.34</v>
      </c>
      <c r="Z522" s="2"/>
      <c r="AA522" s="2">
        <v>129761636</v>
      </c>
      <c r="AB522" s="2">
        <f t="shared" si="430"/>
        <v>1684.0995</v>
      </c>
      <c r="AC522" s="2">
        <f t="shared" si="431"/>
        <v>80.900000000000006</v>
      </c>
      <c r="AD522" s="2">
        <f>ROUND(((((ET522*1.25))-((EU522*1.25)))+AE522),6)</f>
        <v>1058.2375</v>
      </c>
      <c r="AE522" s="2">
        <f>ROUND(((EU522*1.25)),6)</f>
        <v>94.5</v>
      </c>
      <c r="AF522" s="2">
        <f>ROUND(((EV522*1.15)),6)</f>
        <v>544.96199999999999</v>
      </c>
      <c r="AG522" s="2">
        <f t="shared" si="432"/>
        <v>0</v>
      </c>
      <c r="AH522" s="2">
        <f>((EW522*1.15))</f>
        <v>41.284999999999997</v>
      </c>
      <c r="AI522" s="2">
        <f>((EX522*1.25))</f>
        <v>0</v>
      </c>
      <c r="AJ522" s="2">
        <f t="shared" si="433"/>
        <v>0</v>
      </c>
      <c r="AK522" s="2">
        <v>1401.37</v>
      </c>
      <c r="AL522" s="2">
        <v>80.900000000000006</v>
      </c>
      <c r="AM522" s="2">
        <v>846.59</v>
      </c>
      <c r="AN522" s="2">
        <v>75.599999999999994</v>
      </c>
      <c r="AO522" s="2">
        <v>473.88</v>
      </c>
      <c r="AP522" s="2">
        <v>0</v>
      </c>
      <c r="AQ522" s="2">
        <v>35.9</v>
      </c>
      <c r="AR522" s="2">
        <v>0</v>
      </c>
      <c r="AS522" s="2">
        <v>0</v>
      </c>
      <c r="AT522" s="2">
        <v>85</v>
      </c>
      <c r="AU522" s="2">
        <v>70</v>
      </c>
      <c r="AV522" s="2">
        <v>1</v>
      </c>
      <c r="AW522" s="2">
        <v>1</v>
      </c>
      <c r="AX522" s="2"/>
      <c r="AY522" s="2"/>
      <c r="AZ522" s="2">
        <v>1</v>
      </c>
      <c r="BA522" s="2">
        <v>1</v>
      </c>
      <c r="BB522" s="2">
        <v>1</v>
      </c>
      <c r="BC522" s="2">
        <v>1</v>
      </c>
      <c r="BD522" s="2" t="s">
        <v>3</v>
      </c>
      <c r="BE522" s="2" t="s">
        <v>3</v>
      </c>
      <c r="BF522" s="2" t="s">
        <v>3</v>
      </c>
      <c r="BG522" s="2" t="s">
        <v>3</v>
      </c>
      <c r="BH522" s="2">
        <v>0</v>
      </c>
      <c r="BI522" s="2">
        <v>1</v>
      </c>
      <c r="BJ522" s="2" t="s">
        <v>547</v>
      </c>
      <c r="BK522" s="2"/>
      <c r="BL522" s="2"/>
      <c r="BM522" s="2">
        <v>80</v>
      </c>
      <c r="BN522" s="2">
        <v>0</v>
      </c>
      <c r="BO522" s="2" t="s">
        <v>3</v>
      </c>
      <c r="BP522" s="2">
        <v>0</v>
      </c>
      <c r="BQ522" s="2">
        <v>30</v>
      </c>
      <c r="BR522" s="2">
        <v>0</v>
      </c>
      <c r="BS522" s="2">
        <v>1</v>
      </c>
      <c r="BT522" s="2">
        <v>1</v>
      </c>
      <c r="BU522" s="2">
        <v>1</v>
      </c>
      <c r="BV522" s="2">
        <v>1</v>
      </c>
      <c r="BW522" s="2">
        <v>1</v>
      </c>
      <c r="BX522" s="2">
        <v>1</v>
      </c>
      <c r="BY522" s="2" t="s">
        <v>3</v>
      </c>
      <c r="BZ522" s="2">
        <v>85</v>
      </c>
      <c r="CA522" s="2">
        <v>70</v>
      </c>
      <c r="CB522" s="2" t="s">
        <v>3</v>
      </c>
      <c r="CC522" s="2"/>
      <c r="CD522" s="2"/>
      <c r="CE522" s="2">
        <v>30</v>
      </c>
      <c r="CF522" s="2">
        <v>0</v>
      </c>
      <c r="CG522" s="2">
        <v>0</v>
      </c>
      <c r="CH522" s="2"/>
      <c r="CI522" s="2"/>
      <c r="CJ522" s="2"/>
      <c r="CK522" s="2"/>
      <c r="CL522" s="2"/>
      <c r="CM522" s="2">
        <v>0</v>
      </c>
      <c r="CN522" s="2" t="s">
        <v>1559</v>
      </c>
      <c r="CO522" s="2">
        <v>0</v>
      </c>
      <c r="CP522" s="2">
        <f t="shared" si="434"/>
        <v>253.12</v>
      </c>
      <c r="CQ522" s="2">
        <f t="shared" si="435"/>
        <v>80.900000000000006</v>
      </c>
      <c r="CR522" s="2">
        <f>(ROUND((ROUND((((ET522*1.25))*AV522*1),2)*BB522),2)+ROUND((ROUND(((AE522-((EU522*1.25)))*AV522*1),2)*BS522),2))</f>
        <v>1058.24</v>
      </c>
      <c r="CS522" s="2">
        <f t="shared" si="436"/>
        <v>94.5</v>
      </c>
      <c r="CT522" s="2">
        <f t="shared" si="437"/>
        <v>544.96</v>
      </c>
      <c r="CU522" s="2">
        <f t="shared" si="438"/>
        <v>0</v>
      </c>
      <c r="CV522" s="2">
        <f t="shared" si="439"/>
        <v>41.284999999999997</v>
      </c>
      <c r="CW522" s="2">
        <f t="shared" si="440"/>
        <v>0</v>
      </c>
      <c r="CX522" s="2">
        <f t="shared" si="441"/>
        <v>0</v>
      </c>
      <c r="CY522" s="2">
        <f>((S522*BZ522)/100)</f>
        <v>69.623499999999993</v>
      </c>
      <c r="CZ522" s="2">
        <f>((S522*CA522)/100)</f>
        <v>57.336999999999996</v>
      </c>
      <c r="DA522" s="2"/>
      <c r="DB522" s="2"/>
      <c r="DC522" s="2" t="s">
        <v>3</v>
      </c>
      <c r="DD522" s="2" t="s">
        <v>3</v>
      </c>
      <c r="DE522" s="2" t="s">
        <v>86</v>
      </c>
      <c r="DF522" s="2" t="s">
        <v>86</v>
      </c>
      <c r="DG522" s="2" t="s">
        <v>87</v>
      </c>
      <c r="DH522" s="2" t="s">
        <v>3</v>
      </c>
      <c r="DI522" s="2" t="s">
        <v>87</v>
      </c>
      <c r="DJ522" s="2" t="s">
        <v>86</v>
      </c>
      <c r="DK522" s="2" t="s">
        <v>3</v>
      </c>
      <c r="DL522" s="2" t="s">
        <v>3</v>
      </c>
      <c r="DM522" s="2" t="s">
        <v>3</v>
      </c>
      <c r="DN522" s="2">
        <v>0</v>
      </c>
      <c r="DO522" s="2">
        <v>0</v>
      </c>
      <c r="DP522" s="2">
        <v>1</v>
      </c>
      <c r="DQ522" s="2">
        <v>1</v>
      </c>
      <c r="DR522" s="2"/>
      <c r="DS522" s="2"/>
      <c r="DT522" s="2"/>
      <c r="DU522" s="2">
        <v>1013</v>
      </c>
      <c r="DV522" s="2" t="s">
        <v>139</v>
      </c>
      <c r="DW522" s="2" t="s">
        <v>139</v>
      </c>
      <c r="DX522" s="2">
        <v>1</v>
      </c>
      <c r="DY522" s="2"/>
      <c r="DZ522" s="2" t="s">
        <v>3</v>
      </c>
      <c r="EA522" s="2" t="s">
        <v>3</v>
      </c>
      <c r="EB522" s="2" t="s">
        <v>3</v>
      </c>
      <c r="EC522" s="2" t="s">
        <v>3</v>
      </c>
      <c r="ED522" s="2"/>
      <c r="EE522" s="2">
        <v>126051541</v>
      </c>
      <c r="EF522" s="2">
        <v>30</v>
      </c>
      <c r="EG522" s="2" t="s">
        <v>23</v>
      </c>
      <c r="EH522" s="2">
        <v>0</v>
      </c>
      <c r="EI522" s="2" t="s">
        <v>3</v>
      </c>
      <c r="EJ522" s="2">
        <v>1</v>
      </c>
      <c r="EK522" s="2">
        <v>80</v>
      </c>
      <c r="EL522" s="2" t="s">
        <v>143</v>
      </c>
      <c r="EM522" s="2" t="s">
        <v>144</v>
      </c>
      <c r="EN522" s="2"/>
      <c r="EO522" s="2" t="s">
        <v>90</v>
      </c>
      <c r="EP522" s="2"/>
      <c r="EQ522" s="2">
        <v>131072</v>
      </c>
      <c r="ER522" s="2">
        <v>1401.37</v>
      </c>
      <c r="ES522" s="2">
        <v>80.900000000000006</v>
      </c>
      <c r="ET522" s="2">
        <v>846.59</v>
      </c>
      <c r="EU522" s="2">
        <v>75.599999999999994</v>
      </c>
      <c r="EV522" s="2">
        <v>473.88</v>
      </c>
      <c r="EW522" s="2">
        <v>35.9</v>
      </c>
      <c r="EX522" s="2">
        <v>0</v>
      </c>
      <c r="EY522" s="2">
        <v>0</v>
      </c>
      <c r="EZ522" s="2"/>
      <c r="FA522" s="2"/>
      <c r="FB522" s="2"/>
      <c r="FC522" s="2"/>
      <c r="FD522" s="2"/>
      <c r="FE522" s="2"/>
      <c r="FF522" s="2"/>
      <c r="FG522" s="2"/>
      <c r="FH522" s="2"/>
      <c r="FI522" s="2"/>
      <c r="FJ522" s="2"/>
      <c r="FK522" s="2"/>
      <c r="FL522" s="2"/>
      <c r="FM522" s="2"/>
      <c r="FN522" s="2"/>
      <c r="FO522" s="2"/>
      <c r="FP522" s="2"/>
      <c r="FQ522" s="2">
        <v>0</v>
      </c>
      <c r="FR522" s="2">
        <f t="shared" si="442"/>
        <v>0</v>
      </c>
      <c r="FS522" s="2">
        <v>0</v>
      </c>
      <c r="FT522" s="2"/>
      <c r="FU522" s="2"/>
      <c r="FV522" s="2"/>
      <c r="FW522" s="2"/>
      <c r="FX522" s="2">
        <v>85</v>
      </c>
      <c r="FY522" s="2">
        <v>70</v>
      </c>
      <c r="FZ522" s="2"/>
      <c r="GA522" s="2" t="s">
        <v>3</v>
      </c>
      <c r="GB522" s="2"/>
      <c r="GC522" s="2"/>
      <c r="GD522" s="2">
        <v>0</v>
      </c>
      <c r="GE522" s="2"/>
      <c r="GF522" s="2">
        <v>1401635043</v>
      </c>
      <c r="GG522" s="2">
        <v>2</v>
      </c>
      <c r="GH522" s="2">
        <v>1</v>
      </c>
      <c r="GI522" s="2">
        <v>-2</v>
      </c>
      <c r="GJ522" s="2">
        <v>0</v>
      </c>
      <c r="GK522" s="2">
        <f>ROUND(R522*(R12)/100,2)</f>
        <v>24.85</v>
      </c>
      <c r="GL522" s="2">
        <f t="shared" si="443"/>
        <v>0</v>
      </c>
      <c r="GM522" s="2">
        <f t="shared" si="444"/>
        <v>404.93</v>
      </c>
      <c r="GN522" s="2">
        <f t="shared" si="445"/>
        <v>404.93</v>
      </c>
      <c r="GO522" s="2">
        <f t="shared" si="446"/>
        <v>0</v>
      </c>
      <c r="GP522" s="2">
        <f t="shared" si="447"/>
        <v>0</v>
      </c>
      <c r="GQ522" s="2"/>
      <c r="GR522" s="2">
        <v>0</v>
      </c>
      <c r="GS522" s="2">
        <v>0</v>
      </c>
      <c r="GT522" s="2">
        <v>0</v>
      </c>
      <c r="GU522" s="2" t="s">
        <v>3</v>
      </c>
      <c r="GV522" s="2">
        <f t="shared" si="448"/>
        <v>0</v>
      </c>
      <c r="GW522" s="2">
        <v>1</v>
      </c>
      <c r="GX522" s="2">
        <f t="shared" si="449"/>
        <v>0</v>
      </c>
      <c r="GY522" s="2"/>
      <c r="GZ522" s="2"/>
      <c r="HA522" s="2">
        <v>0</v>
      </c>
      <c r="HB522" s="2">
        <v>0</v>
      </c>
      <c r="HC522" s="2">
        <f t="shared" si="450"/>
        <v>0</v>
      </c>
      <c r="HD522" s="2"/>
      <c r="HE522" s="2" t="s">
        <v>3</v>
      </c>
      <c r="HF522" s="2" t="s">
        <v>3</v>
      </c>
      <c r="HG522" s="2"/>
      <c r="HH522" s="2"/>
      <c r="HI522" s="2"/>
      <c r="HJ522" s="2"/>
      <c r="HK522" s="2"/>
      <c r="HL522" s="2"/>
      <c r="HM522" s="2" t="s">
        <v>3</v>
      </c>
      <c r="HN522" s="2" t="s">
        <v>3</v>
      </c>
      <c r="HO522" s="2" t="s">
        <v>3</v>
      </c>
      <c r="HP522" s="2" t="s">
        <v>3</v>
      </c>
      <c r="HQ522" s="2" t="s">
        <v>3</v>
      </c>
      <c r="HR522" s="2"/>
      <c r="HS522" s="2"/>
      <c r="HT522" s="2"/>
      <c r="HU522" s="2"/>
      <c r="HV522" s="2"/>
      <c r="HW522" s="2"/>
      <c r="HX522" s="2"/>
      <c r="HY522" s="2"/>
      <c r="HZ522" s="2"/>
      <c r="IA522" s="2"/>
      <c r="IB522" s="2"/>
      <c r="IC522" s="2"/>
      <c r="ID522" s="2"/>
      <c r="IE522" s="2"/>
      <c r="IF522" s="2"/>
      <c r="IG522" s="2"/>
      <c r="IH522" s="2"/>
      <c r="II522" s="2"/>
      <c r="IJ522" s="2"/>
      <c r="IK522" s="2">
        <v>0</v>
      </c>
      <c r="IL522" s="2"/>
      <c r="IM522" s="2"/>
      <c r="IN522" s="2"/>
      <c r="IO522" s="2"/>
      <c r="IP522" s="2"/>
      <c r="IQ522" s="2"/>
      <c r="IR522" s="2"/>
      <c r="IS522" s="2"/>
      <c r="IT522" s="2"/>
      <c r="IU522" s="2"/>
    </row>
    <row r="523" spans="1:255" x14ac:dyDescent="0.2">
      <c r="A523">
        <v>17</v>
      </c>
      <c r="B523">
        <v>1</v>
      </c>
      <c r="C523">
        <f>ROW(SmtRes!A544)</f>
        <v>544</v>
      </c>
      <c r="D523">
        <f>ROW(EtalonRes!A542)</f>
        <v>542</v>
      </c>
      <c r="E523" t="s">
        <v>176</v>
      </c>
      <c r="F523" t="s">
        <v>545</v>
      </c>
      <c r="G523" t="s">
        <v>546</v>
      </c>
      <c r="H523" t="s">
        <v>139</v>
      </c>
      <c r="I523">
        <v>0.15029999999999999</v>
      </c>
      <c r="J523">
        <v>0</v>
      </c>
      <c r="K523">
        <v>0.15029999999999999</v>
      </c>
      <c r="O523">
        <f t="shared" si="420"/>
        <v>4211.43</v>
      </c>
      <c r="P523">
        <f t="shared" si="421"/>
        <v>203.32</v>
      </c>
      <c r="Q523">
        <f>(ROUND((ROUND((((ET523*1.25))*AV523*I523),2)*BB523),2)+ROUND((ROUND(((AE523-((EU523*1.25)))*AV523*I523),2)*BS523),2))</f>
        <v>1630.26</v>
      </c>
      <c r="R523">
        <f t="shared" si="422"/>
        <v>412.23</v>
      </c>
      <c r="S523">
        <f t="shared" si="423"/>
        <v>2377.85</v>
      </c>
      <c r="T523">
        <f t="shared" si="424"/>
        <v>0</v>
      </c>
      <c r="U523">
        <f t="shared" si="425"/>
        <v>6.205135499999999</v>
      </c>
      <c r="V523">
        <f t="shared" si="426"/>
        <v>0</v>
      </c>
      <c r="W523">
        <f t="shared" si="427"/>
        <v>0</v>
      </c>
      <c r="X523">
        <f t="shared" si="428"/>
        <v>1664.5</v>
      </c>
      <c r="Y523">
        <f t="shared" si="429"/>
        <v>974.92</v>
      </c>
      <c r="AA523">
        <v>129761633</v>
      </c>
      <c r="AB523">
        <f t="shared" si="430"/>
        <v>1684.0995</v>
      </c>
      <c r="AC523">
        <f t="shared" si="431"/>
        <v>80.900000000000006</v>
      </c>
      <c r="AD523">
        <f>ROUND(((((ET523*1.25))-((EU523*1.25)))+AE523),6)</f>
        <v>1058.2375</v>
      </c>
      <c r="AE523">
        <f>ROUND(((EU523*1.25)),6)</f>
        <v>94.5</v>
      </c>
      <c r="AF523">
        <f>ROUND(((EV523*1.15)),6)</f>
        <v>544.96199999999999</v>
      </c>
      <c r="AG523">
        <f t="shared" si="432"/>
        <v>0</v>
      </c>
      <c r="AH523">
        <f>((EW523*1.15))</f>
        <v>41.284999999999997</v>
      </c>
      <c r="AI523">
        <f>((EX523*1.25))</f>
        <v>0</v>
      </c>
      <c r="AJ523">
        <f t="shared" si="433"/>
        <v>0</v>
      </c>
      <c r="AK523">
        <v>1401.37</v>
      </c>
      <c r="AL523">
        <v>80.900000000000006</v>
      </c>
      <c r="AM523">
        <v>846.59</v>
      </c>
      <c r="AN523">
        <v>75.599999999999994</v>
      </c>
      <c r="AO523">
        <v>473.88</v>
      </c>
      <c r="AP523">
        <v>0</v>
      </c>
      <c r="AQ523">
        <v>35.9</v>
      </c>
      <c r="AR523">
        <v>0</v>
      </c>
      <c r="AS523">
        <v>0</v>
      </c>
      <c r="AT523">
        <v>70</v>
      </c>
      <c r="AU523">
        <v>41</v>
      </c>
      <c r="AV523">
        <v>1</v>
      </c>
      <c r="AW523">
        <v>1</v>
      </c>
      <c r="AZ523">
        <v>1</v>
      </c>
      <c r="BA523">
        <v>29.03</v>
      </c>
      <c r="BB523">
        <v>10.25</v>
      </c>
      <c r="BC523">
        <v>16.72</v>
      </c>
      <c r="BD523" t="s">
        <v>3</v>
      </c>
      <c r="BE523" t="s">
        <v>3</v>
      </c>
      <c r="BF523" t="s">
        <v>3</v>
      </c>
      <c r="BG523" t="s">
        <v>3</v>
      </c>
      <c r="BH523">
        <v>0</v>
      </c>
      <c r="BI523">
        <v>1</v>
      </c>
      <c r="BJ523" t="s">
        <v>547</v>
      </c>
      <c r="BM523">
        <v>80</v>
      </c>
      <c r="BN523">
        <v>0</v>
      </c>
      <c r="BO523" t="s">
        <v>545</v>
      </c>
      <c r="BP523">
        <v>1</v>
      </c>
      <c r="BQ523">
        <v>30</v>
      </c>
      <c r="BR523">
        <v>0</v>
      </c>
      <c r="BS523">
        <v>29.03</v>
      </c>
      <c r="BT523">
        <v>1</v>
      </c>
      <c r="BU523">
        <v>1</v>
      </c>
      <c r="BV523">
        <v>1</v>
      </c>
      <c r="BW523">
        <v>1</v>
      </c>
      <c r="BX523">
        <v>1</v>
      </c>
      <c r="BY523" t="s">
        <v>3</v>
      </c>
      <c r="BZ523">
        <v>70</v>
      </c>
      <c r="CA523">
        <v>41</v>
      </c>
      <c r="CB523" t="s">
        <v>3</v>
      </c>
      <c r="CE523">
        <v>30</v>
      </c>
      <c r="CF523">
        <v>0</v>
      </c>
      <c r="CG523">
        <v>0</v>
      </c>
      <c r="CM523">
        <v>0</v>
      </c>
      <c r="CN523" t="s">
        <v>1559</v>
      </c>
      <c r="CO523">
        <v>0</v>
      </c>
      <c r="CP523">
        <f t="shared" si="434"/>
        <v>4211.43</v>
      </c>
      <c r="CQ523">
        <f t="shared" si="435"/>
        <v>1352.65</v>
      </c>
      <c r="CR523">
        <f>(ROUND((ROUND((((ET523*1.25))*AV523*1),2)*BB523),2)+ROUND((ROUND(((AE523-((EU523*1.25)))*AV523*1),2)*BS523),2))</f>
        <v>10846.96</v>
      </c>
      <c r="CS523">
        <f t="shared" si="436"/>
        <v>2743.34</v>
      </c>
      <c r="CT523">
        <f t="shared" si="437"/>
        <v>15820.19</v>
      </c>
      <c r="CU523">
        <f t="shared" si="438"/>
        <v>0</v>
      </c>
      <c r="CV523">
        <f t="shared" si="439"/>
        <v>41.284999999999997</v>
      </c>
      <c r="CW523">
        <f t="shared" si="440"/>
        <v>0</v>
      </c>
      <c r="CX523">
        <f t="shared" si="441"/>
        <v>0</v>
      </c>
      <c r="CY523">
        <f>S523*(BZ523/100)</f>
        <v>1664.4949999999999</v>
      </c>
      <c r="CZ523">
        <f>S523*(CA523/100)</f>
        <v>974.91849999999988</v>
      </c>
      <c r="DC523" t="s">
        <v>3</v>
      </c>
      <c r="DD523" t="s">
        <v>3</v>
      </c>
      <c r="DE523" t="s">
        <v>86</v>
      </c>
      <c r="DF523" t="s">
        <v>86</v>
      </c>
      <c r="DG523" t="s">
        <v>87</v>
      </c>
      <c r="DH523" t="s">
        <v>3</v>
      </c>
      <c r="DI523" t="s">
        <v>87</v>
      </c>
      <c r="DJ523" t="s">
        <v>86</v>
      </c>
      <c r="DK523" t="s">
        <v>3</v>
      </c>
      <c r="DL523" t="s">
        <v>3</v>
      </c>
      <c r="DM523" t="s">
        <v>3</v>
      </c>
      <c r="DN523">
        <v>85</v>
      </c>
      <c r="DO523">
        <v>70</v>
      </c>
      <c r="DP523">
        <v>1</v>
      </c>
      <c r="DQ523">
        <v>1</v>
      </c>
      <c r="DU523">
        <v>1013</v>
      </c>
      <c r="DV523" t="s">
        <v>139</v>
      </c>
      <c r="DW523" t="s">
        <v>139</v>
      </c>
      <c r="DX523">
        <v>1</v>
      </c>
      <c r="DZ523" t="s">
        <v>3</v>
      </c>
      <c r="EA523" t="s">
        <v>3</v>
      </c>
      <c r="EB523" t="s">
        <v>3</v>
      </c>
      <c r="EC523" t="s">
        <v>3</v>
      </c>
      <c r="EE523">
        <v>126051541</v>
      </c>
      <c r="EF523">
        <v>30</v>
      </c>
      <c r="EG523" t="s">
        <v>23</v>
      </c>
      <c r="EH523">
        <v>0</v>
      </c>
      <c r="EI523" t="s">
        <v>3</v>
      </c>
      <c r="EJ523">
        <v>1</v>
      </c>
      <c r="EK523">
        <v>80</v>
      </c>
      <c r="EL523" t="s">
        <v>143</v>
      </c>
      <c r="EM523" t="s">
        <v>144</v>
      </c>
      <c r="EO523" t="s">
        <v>90</v>
      </c>
      <c r="EQ523">
        <v>131072</v>
      </c>
      <c r="ER523">
        <v>1401.37</v>
      </c>
      <c r="ES523">
        <v>80.900000000000006</v>
      </c>
      <c r="ET523">
        <v>846.59</v>
      </c>
      <c r="EU523">
        <v>75.599999999999994</v>
      </c>
      <c r="EV523">
        <v>473.88</v>
      </c>
      <c r="EW523">
        <v>35.9</v>
      </c>
      <c r="EX523">
        <v>0</v>
      </c>
      <c r="EY523">
        <v>0</v>
      </c>
      <c r="FQ523">
        <v>0</v>
      </c>
      <c r="FR523">
        <f t="shared" si="442"/>
        <v>0</v>
      </c>
      <c r="FS523">
        <v>0</v>
      </c>
      <c r="FX523">
        <v>85</v>
      </c>
      <c r="FY523">
        <v>70</v>
      </c>
      <c r="GA523" t="s">
        <v>3</v>
      </c>
      <c r="GD523">
        <v>0</v>
      </c>
      <c r="GF523">
        <v>1401635043</v>
      </c>
      <c r="GG523">
        <v>2</v>
      </c>
      <c r="GH523">
        <v>1</v>
      </c>
      <c r="GI523">
        <v>2</v>
      </c>
      <c r="GJ523">
        <v>0</v>
      </c>
      <c r="GK523">
        <f>ROUND(R523*(S12)/100,2)</f>
        <v>659.57</v>
      </c>
      <c r="GL523">
        <f t="shared" si="443"/>
        <v>0</v>
      </c>
      <c r="GM523">
        <f t="shared" si="444"/>
        <v>7510.42</v>
      </c>
      <c r="GN523">
        <f t="shared" si="445"/>
        <v>7510.42</v>
      </c>
      <c r="GO523">
        <f t="shared" si="446"/>
        <v>0</v>
      </c>
      <c r="GP523">
        <f t="shared" si="447"/>
        <v>0</v>
      </c>
      <c r="GR523">
        <v>0</v>
      </c>
      <c r="GS523">
        <v>3</v>
      </c>
      <c r="GT523">
        <v>0</v>
      </c>
      <c r="GU523" t="s">
        <v>3</v>
      </c>
      <c r="GV523">
        <f t="shared" si="448"/>
        <v>0</v>
      </c>
      <c r="GW523">
        <v>1</v>
      </c>
      <c r="GX523">
        <f t="shared" si="449"/>
        <v>0</v>
      </c>
      <c r="HA523">
        <v>0</v>
      </c>
      <c r="HB523">
        <v>0</v>
      </c>
      <c r="HC523">
        <f t="shared" si="450"/>
        <v>0</v>
      </c>
      <c r="HE523" t="s">
        <v>3</v>
      </c>
      <c r="HF523" t="s">
        <v>3</v>
      </c>
      <c r="HM523" t="s">
        <v>3</v>
      </c>
      <c r="HN523" t="s">
        <v>3</v>
      </c>
      <c r="HO523" t="s">
        <v>3</v>
      </c>
      <c r="HP523" t="s">
        <v>3</v>
      </c>
      <c r="HQ523" t="s">
        <v>3</v>
      </c>
      <c r="IK523">
        <v>0</v>
      </c>
    </row>
    <row r="524" spans="1:255" x14ac:dyDescent="0.2">
      <c r="A524" s="2">
        <v>18</v>
      </c>
      <c r="B524" s="2">
        <v>1</v>
      </c>
      <c r="C524" s="2">
        <v>528</v>
      </c>
      <c r="D524" s="2"/>
      <c r="E524" s="2" t="s">
        <v>548</v>
      </c>
      <c r="F524" s="2" t="s">
        <v>549</v>
      </c>
      <c r="G524" s="2" t="s">
        <v>550</v>
      </c>
      <c r="H524" s="2" t="s">
        <v>551</v>
      </c>
      <c r="I524" s="2">
        <f>I522*J524</f>
        <v>0.16</v>
      </c>
      <c r="J524" s="2">
        <v>1.0645375914836994</v>
      </c>
      <c r="K524" s="2">
        <v>1.0645375914836994</v>
      </c>
      <c r="L524" s="2"/>
      <c r="M524" s="2"/>
      <c r="N524" s="2"/>
      <c r="O524" s="2">
        <f t="shared" si="420"/>
        <v>0</v>
      </c>
      <c r="P524" s="2">
        <f t="shared" si="421"/>
        <v>0</v>
      </c>
      <c r="Q524" s="2">
        <f t="shared" ref="Q524:Q537" si="456">(ROUND((ROUND(((ET524)*AV524*I524),2)*BB524),2)+ROUND((ROUND(((AE524-(EU524))*AV524*I524),2)*BS524),2))</f>
        <v>0</v>
      </c>
      <c r="R524" s="2">
        <f t="shared" si="422"/>
        <v>0</v>
      </c>
      <c r="S524" s="2">
        <f t="shared" si="423"/>
        <v>0</v>
      </c>
      <c r="T524" s="2">
        <f t="shared" si="424"/>
        <v>0</v>
      </c>
      <c r="U524" s="2">
        <f t="shared" si="425"/>
        <v>0</v>
      </c>
      <c r="V524" s="2">
        <f t="shared" si="426"/>
        <v>0</v>
      </c>
      <c r="W524" s="2">
        <f t="shared" si="427"/>
        <v>0</v>
      </c>
      <c r="X524" s="2">
        <f t="shared" si="428"/>
        <v>0</v>
      </c>
      <c r="Y524" s="2">
        <f t="shared" si="429"/>
        <v>0</v>
      </c>
      <c r="Z524" s="2"/>
      <c r="AA524" s="2">
        <v>129761636</v>
      </c>
      <c r="AB524" s="2">
        <f t="shared" si="430"/>
        <v>0</v>
      </c>
      <c r="AC524" s="2">
        <f t="shared" si="431"/>
        <v>0</v>
      </c>
      <c r="AD524" s="2">
        <f t="shared" ref="AD524:AD537" si="457">ROUND((((ET524)-(EU524))+AE524),6)</f>
        <v>0</v>
      </c>
      <c r="AE524" s="2">
        <f t="shared" ref="AE524:AE537" si="458">ROUND((EU524),6)</f>
        <v>0</v>
      </c>
      <c r="AF524" s="2">
        <f t="shared" ref="AF524:AF537" si="459">ROUND((EV524),6)</f>
        <v>0</v>
      </c>
      <c r="AG524" s="2">
        <f t="shared" si="432"/>
        <v>0</v>
      </c>
      <c r="AH524" s="2">
        <f t="shared" ref="AH524:AH537" si="460">(EW524)</f>
        <v>0</v>
      </c>
      <c r="AI524" s="2">
        <f t="shared" ref="AI524:AI537" si="461">(EX524)</f>
        <v>0</v>
      </c>
      <c r="AJ524" s="2">
        <f t="shared" si="433"/>
        <v>0</v>
      </c>
      <c r="AK524" s="2">
        <v>0</v>
      </c>
      <c r="AL524" s="2">
        <v>0</v>
      </c>
      <c r="AM524" s="2">
        <v>0</v>
      </c>
      <c r="AN524" s="2">
        <v>0</v>
      </c>
      <c r="AO524" s="2">
        <v>0</v>
      </c>
      <c r="AP524" s="2">
        <v>0</v>
      </c>
      <c r="AQ524" s="2">
        <v>0</v>
      </c>
      <c r="AR524" s="2">
        <v>0</v>
      </c>
      <c r="AS524" s="2">
        <v>0</v>
      </c>
      <c r="AT524" s="2">
        <v>85</v>
      </c>
      <c r="AU524" s="2">
        <v>70</v>
      </c>
      <c r="AV524" s="2">
        <v>1</v>
      </c>
      <c r="AW524" s="2">
        <v>1</v>
      </c>
      <c r="AX524" s="2"/>
      <c r="AY524" s="2"/>
      <c r="AZ524" s="2">
        <v>1</v>
      </c>
      <c r="BA524" s="2">
        <v>1</v>
      </c>
      <c r="BB524" s="2">
        <v>1</v>
      </c>
      <c r="BC524" s="2">
        <v>1</v>
      </c>
      <c r="BD524" s="2" t="s">
        <v>3</v>
      </c>
      <c r="BE524" s="2" t="s">
        <v>3</v>
      </c>
      <c r="BF524" s="2" t="s">
        <v>3</v>
      </c>
      <c r="BG524" s="2" t="s">
        <v>3</v>
      </c>
      <c r="BH524" s="2">
        <v>3</v>
      </c>
      <c r="BI524" s="2">
        <v>1</v>
      </c>
      <c r="BJ524" s="2" t="s">
        <v>3</v>
      </c>
      <c r="BK524" s="2"/>
      <c r="BL524" s="2"/>
      <c r="BM524" s="2">
        <v>80</v>
      </c>
      <c r="BN524" s="2">
        <v>0</v>
      </c>
      <c r="BO524" s="2" t="s">
        <v>3</v>
      </c>
      <c r="BP524" s="2">
        <v>0</v>
      </c>
      <c r="BQ524" s="2">
        <v>30</v>
      </c>
      <c r="BR524" s="2">
        <v>0</v>
      </c>
      <c r="BS524" s="2">
        <v>1</v>
      </c>
      <c r="BT524" s="2">
        <v>1</v>
      </c>
      <c r="BU524" s="2">
        <v>1</v>
      </c>
      <c r="BV524" s="2">
        <v>1</v>
      </c>
      <c r="BW524" s="2">
        <v>1</v>
      </c>
      <c r="BX524" s="2">
        <v>1</v>
      </c>
      <c r="BY524" s="2" t="s">
        <v>3</v>
      </c>
      <c r="BZ524" s="2">
        <v>85</v>
      </c>
      <c r="CA524" s="2">
        <v>70</v>
      </c>
      <c r="CB524" s="2" t="s">
        <v>3</v>
      </c>
      <c r="CC524" s="2"/>
      <c r="CD524" s="2"/>
      <c r="CE524" s="2">
        <v>30</v>
      </c>
      <c r="CF524" s="2">
        <v>0</v>
      </c>
      <c r="CG524" s="2">
        <v>0</v>
      </c>
      <c r="CH524" s="2"/>
      <c r="CI524" s="2"/>
      <c r="CJ524" s="2"/>
      <c r="CK524" s="2"/>
      <c r="CL524" s="2"/>
      <c r="CM524" s="2">
        <v>0</v>
      </c>
      <c r="CN524" s="2" t="s">
        <v>3</v>
      </c>
      <c r="CO524" s="2">
        <v>0</v>
      </c>
      <c r="CP524" s="2">
        <f t="shared" si="434"/>
        <v>0</v>
      </c>
      <c r="CQ524" s="2">
        <f t="shared" si="435"/>
        <v>0</v>
      </c>
      <c r="CR524" s="2">
        <f t="shared" ref="CR524:CR537" si="462">(ROUND((ROUND(((ET524)*AV524*1),2)*BB524),2)+ROUND((ROUND(((AE524-(EU524))*AV524*1),2)*BS524),2))</f>
        <v>0</v>
      </c>
      <c r="CS524" s="2">
        <f t="shared" si="436"/>
        <v>0</v>
      </c>
      <c r="CT524" s="2">
        <f t="shared" si="437"/>
        <v>0</v>
      </c>
      <c r="CU524" s="2">
        <f t="shared" si="438"/>
        <v>0</v>
      </c>
      <c r="CV524" s="2">
        <f t="shared" si="439"/>
        <v>0</v>
      </c>
      <c r="CW524" s="2">
        <f t="shared" si="440"/>
        <v>0</v>
      </c>
      <c r="CX524" s="2">
        <f t="shared" si="441"/>
        <v>0</v>
      </c>
      <c r="CY524" s="2">
        <f>((S524*BZ524)/100)</f>
        <v>0</v>
      </c>
      <c r="CZ524" s="2">
        <f>((S524*CA524)/100)</f>
        <v>0</v>
      </c>
      <c r="DA524" s="2"/>
      <c r="DB524" s="2"/>
      <c r="DC524" s="2" t="s">
        <v>3</v>
      </c>
      <c r="DD524" s="2" t="s">
        <v>3</v>
      </c>
      <c r="DE524" s="2" t="s">
        <v>3</v>
      </c>
      <c r="DF524" s="2" t="s">
        <v>3</v>
      </c>
      <c r="DG524" s="2" t="s">
        <v>3</v>
      </c>
      <c r="DH524" s="2" t="s">
        <v>3</v>
      </c>
      <c r="DI524" s="2" t="s">
        <v>3</v>
      </c>
      <c r="DJ524" s="2" t="s">
        <v>3</v>
      </c>
      <c r="DK524" s="2" t="s">
        <v>3</v>
      </c>
      <c r="DL524" s="2" t="s">
        <v>3</v>
      </c>
      <c r="DM524" s="2" t="s">
        <v>3</v>
      </c>
      <c r="DN524" s="2">
        <v>0</v>
      </c>
      <c r="DO524" s="2">
        <v>0</v>
      </c>
      <c r="DP524" s="2">
        <v>1</v>
      </c>
      <c r="DQ524" s="2">
        <v>1</v>
      </c>
      <c r="DR524" s="2"/>
      <c r="DS524" s="2"/>
      <c r="DT524" s="2"/>
      <c r="DU524" s="2">
        <v>1010</v>
      </c>
      <c r="DV524" s="2" t="s">
        <v>551</v>
      </c>
      <c r="DW524" s="2" t="s">
        <v>551</v>
      </c>
      <c r="DX524" s="2">
        <v>100</v>
      </c>
      <c r="DY524" s="2"/>
      <c r="DZ524" s="2" t="s">
        <v>3</v>
      </c>
      <c r="EA524" s="2" t="s">
        <v>3</v>
      </c>
      <c r="EB524" s="2" t="s">
        <v>3</v>
      </c>
      <c r="EC524" s="2" t="s">
        <v>3</v>
      </c>
      <c r="ED524" s="2"/>
      <c r="EE524" s="2">
        <v>126051541</v>
      </c>
      <c r="EF524" s="2">
        <v>30</v>
      </c>
      <c r="EG524" s="2" t="s">
        <v>23</v>
      </c>
      <c r="EH524" s="2">
        <v>0</v>
      </c>
      <c r="EI524" s="2" t="s">
        <v>3</v>
      </c>
      <c r="EJ524" s="2">
        <v>1</v>
      </c>
      <c r="EK524" s="2">
        <v>80</v>
      </c>
      <c r="EL524" s="2" t="s">
        <v>143</v>
      </c>
      <c r="EM524" s="2" t="s">
        <v>144</v>
      </c>
      <c r="EN524" s="2"/>
      <c r="EO524" s="2" t="s">
        <v>3</v>
      </c>
      <c r="EP524" s="2"/>
      <c r="EQ524" s="2">
        <v>0</v>
      </c>
      <c r="ER524" s="2">
        <v>0</v>
      </c>
      <c r="ES524" s="2">
        <v>0</v>
      </c>
      <c r="ET524" s="2">
        <v>0</v>
      </c>
      <c r="EU524" s="2">
        <v>0</v>
      </c>
      <c r="EV524" s="2">
        <v>0</v>
      </c>
      <c r="EW524" s="2">
        <v>0</v>
      </c>
      <c r="EX524" s="2">
        <v>0</v>
      </c>
      <c r="EY524" s="2"/>
      <c r="EZ524" s="2"/>
      <c r="FA524" s="2"/>
      <c r="FB524" s="2"/>
      <c r="FC524" s="2"/>
      <c r="FD524" s="2"/>
      <c r="FE524" s="2"/>
      <c r="FF524" s="2"/>
      <c r="FG524" s="2"/>
      <c r="FH524" s="2"/>
      <c r="FI524" s="2"/>
      <c r="FJ524" s="2"/>
      <c r="FK524" s="2"/>
      <c r="FL524" s="2"/>
      <c r="FM524" s="2"/>
      <c r="FN524" s="2"/>
      <c r="FO524" s="2"/>
      <c r="FP524" s="2"/>
      <c r="FQ524" s="2">
        <v>0</v>
      </c>
      <c r="FR524" s="2">
        <f t="shared" si="442"/>
        <v>0</v>
      </c>
      <c r="FS524" s="2">
        <v>0</v>
      </c>
      <c r="FT524" s="2"/>
      <c r="FU524" s="2"/>
      <c r="FV524" s="2"/>
      <c r="FW524" s="2"/>
      <c r="FX524" s="2">
        <v>85</v>
      </c>
      <c r="FY524" s="2">
        <v>70</v>
      </c>
      <c r="FZ524" s="2"/>
      <c r="GA524" s="2" t="s">
        <v>3</v>
      </c>
      <c r="GB524" s="2"/>
      <c r="GC524" s="2"/>
      <c r="GD524" s="2">
        <v>0</v>
      </c>
      <c r="GE524" s="2"/>
      <c r="GF524" s="2">
        <v>-439988179</v>
      </c>
      <c r="GG524" s="2">
        <v>2</v>
      </c>
      <c r="GH524" s="2">
        <v>0</v>
      </c>
      <c r="GI524" s="2">
        <v>-2</v>
      </c>
      <c r="GJ524" s="2">
        <v>0</v>
      </c>
      <c r="GK524" s="2">
        <f>ROUND(R524*(R12)/100,2)</f>
        <v>0</v>
      </c>
      <c r="GL524" s="2">
        <f t="shared" si="443"/>
        <v>0</v>
      </c>
      <c r="GM524" s="2">
        <f t="shared" si="444"/>
        <v>0</v>
      </c>
      <c r="GN524" s="2">
        <f t="shared" si="445"/>
        <v>0</v>
      </c>
      <c r="GO524" s="2">
        <f t="shared" si="446"/>
        <v>0</v>
      </c>
      <c r="GP524" s="2">
        <f t="shared" si="447"/>
        <v>0</v>
      </c>
      <c r="GQ524" s="2"/>
      <c r="GR524" s="2">
        <v>0</v>
      </c>
      <c r="GS524" s="2">
        <v>0</v>
      </c>
      <c r="GT524" s="2">
        <v>0</v>
      </c>
      <c r="GU524" s="2" t="s">
        <v>3</v>
      </c>
      <c r="GV524" s="2">
        <f t="shared" si="448"/>
        <v>0</v>
      </c>
      <c r="GW524" s="2">
        <v>1</v>
      </c>
      <c r="GX524" s="2">
        <f t="shared" si="449"/>
        <v>0</v>
      </c>
      <c r="GY524" s="2"/>
      <c r="GZ524" s="2"/>
      <c r="HA524" s="2">
        <v>0</v>
      </c>
      <c r="HB524" s="2">
        <v>0</v>
      </c>
      <c r="HC524" s="2">
        <f t="shared" si="450"/>
        <v>0</v>
      </c>
      <c r="HD524" s="2"/>
      <c r="HE524" s="2" t="s">
        <v>3</v>
      </c>
      <c r="HF524" s="2" t="s">
        <v>3</v>
      </c>
      <c r="HG524" s="2"/>
      <c r="HH524" s="2"/>
      <c r="HI524" s="2"/>
      <c r="HJ524" s="2"/>
      <c r="HK524" s="2"/>
      <c r="HL524" s="2"/>
      <c r="HM524" s="2" t="s">
        <v>3</v>
      </c>
      <c r="HN524" s="2" t="s">
        <v>3</v>
      </c>
      <c r="HO524" s="2" t="s">
        <v>3</v>
      </c>
      <c r="HP524" s="2" t="s">
        <v>3</v>
      </c>
      <c r="HQ524" s="2" t="s">
        <v>3</v>
      </c>
      <c r="HR524" s="2"/>
      <c r="HS524" s="2"/>
      <c r="HT524" s="2"/>
      <c r="HU524" s="2"/>
      <c r="HV524" s="2"/>
      <c r="HW524" s="2"/>
      <c r="HX524" s="2"/>
      <c r="HY524" s="2"/>
      <c r="HZ524" s="2"/>
      <c r="IA524" s="2"/>
      <c r="IB524" s="2"/>
      <c r="IC524" s="2"/>
      <c r="ID524" s="2"/>
      <c r="IE524" s="2"/>
      <c r="IF524" s="2"/>
      <c r="IG524" s="2"/>
      <c r="IH524" s="2"/>
      <c r="II524" s="2"/>
      <c r="IJ524" s="2"/>
      <c r="IK524" s="2">
        <v>0</v>
      </c>
      <c r="IL524" s="2"/>
      <c r="IM524" s="2"/>
      <c r="IN524" s="2"/>
      <c r="IO524" s="2"/>
      <c r="IP524" s="2"/>
      <c r="IQ524" s="2"/>
      <c r="IR524" s="2"/>
      <c r="IS524" s="2"/>
      <c r="IT524" s="2"/>
      <c r="IU524" s="2"/>
    </row>
    <row r="525" spans="1:255" x14ac:dyDescent="0.2">
      <c r="A525">
        <v>18</v>
      </c>
      <c r="B525">
        <v>1</v>
      </c>
      <c r="C525">
        <v>543</v>
      </c>
      <c r="E525" t="s">
        <v>548</v>
      </c>
      <c r="F525" t="s">
        <v>549</v>
      </c>
      <c r="G525" t="s">
        <v>550</v>
      </c>
      <c r="H525" t="s">
        <v>551</v>
      </c>
      <c r="I525">
        <f>I523*J525</f>
        <v>0.16</v>
      </c>
      <c r="J525">
        <v>1.0645375914836994</v>
      </c>
      <c r="K525">
        <v>1.0645375914836994</v>
      </c>
      <c r="O525">
        <f t="shared" si="420"/>
        <v>0</v>
      </c>
      <c r="P525">
        <f t="shared" si="421"/>
        <v>0</v>
      </c>
      <c r="Q525">
        <f t="shared" si="456"/>
        <v>0</v>
      </c>
      <c r="R525">
        <f t="shared" si="422"/>
        <v>0</v>
      </c>
      <c r="S525">
        <f t="shared" si="423"/>
        <v>0</v>
      </c>
      <c r="T525">
        <f t="shared" si="424"/>
        <v>0</v>
      </c>
      <c r="U525">
        <f t="shared" si="425"/>
        <v>0</v>
      </c>
      <c r="V525">
        <f t="shared" si="426"/>
        <v>0</v>
      </c>
      <c r="W525">
        <f t="shared" si="427"/>
        <v>0</v>
      </c>
      <c r="X525">
        <f t="shared" si="428"/>
        <v>0</v>
      </c>
      <c r="Y525">
        <f t="shared" si="429"/>
        <v>0</v>
      </c>
      <c r="AA525">
        <v>129761633</v>
      </c>
      <c r="AB525">
        <f t="shared" si="430"/>
        <v>0</v>
      </c>
      <c r="AC525">
        <f t="shared" si="431"/>
        <v>0</v>
      </c>
      <c r="AD525">
        <f t="shared" si="457"/>
        <v>0</v>
      </c>
      <c r="AE525">
        <f t="shared" si="458"/>
        <v>0</v>
      </c>
      <c r="AF525">
        <f t="shared" si="459"/>
        <v>0</v>
      </c>
      <c r="AG525">
        <f t="shared" si="432"/>
        <v>0</v>
      </c>
      <c r="AH525">
        <f t="shared" si="460"/>
        <v>0</v>
      </c>
      <c r="AI525">
        <f t="shared" si="461"/>
        <v>0</v>
      </c>
      <c r="AJ525">
        <f t="shared" si="433"/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1</v>
      </c>
      <c r="AW525">
        <v>1</v>
      </c>
      <c r="AZ525">
        <v>1</v>
      </c>
      <c r="BA525">
        <v>1</v>
      </c>
      <c r="BB525">
        <v>1</v>
      </c>
      <c r="BC525">
        <v>9.76</v>
      </c>
      <c r="BD525" t="s">
        <v>3</v>
      </c>
      <c r="BE525" t="s">
        <v>3</v>
      </c>
      <c r="BF525" t="s">
        <v>3</v>
      </c>
      <c r="BG525" t="s">
        <v>3</v>
      </c>
      <c r="BH525">
        <v>3</v>
      </c>
      <c r="BI525">
        <v>1</v>
      </c>
      <c r="BJ525" t="s">
        <v>3</v>
      </c>
      <c r="BM525">
        <v>80</v>
      </c>
      <c r="BN525">
        <v>0</v>
      </c>
      <c r="BO525" t="s">
        <v>549</v>
      </c>
      <c r="BP525">
        <v>1</v>
      </c>
      <c r="BQ525">
        <v>30</v>
      </c>
      <c r="BR525">
        <v>0</v>
      </c>
      <c r="BS525">
        <v>1</v>
      </c>
      <c r="BT525">
        <v>1</v>
      </c>
      <c r="BU525">
        <v>1</v>
      </c>
      <c r="BV525">
        <v>1</v>
      </c>
      <c r="BW525">
        <v>1</v>
      </c>
      <c r="BX525">
        <v>1</v>
      </c>
      <c r="BY525" t="s">
        <v>3</v>
      </c>
      <c r="BZ525">
        <v>0</v>
      </c>
      <c r="CA525">
        <v>0</v>
      </c>
      <c r="CB525" t="s">
        <v>3</v>
      </c>
      <c r="CE525">
        <v>30</v>
      </c>
      <c r="CF525">
        <v>0</v>
      </c>
      <c r="CG525">
        <v>0</v>
      </c>
      <c r="CM525">
        <v>0</v>
      </c>
      <c r="CN525" t="s">
        <v>3</v>
      </c>
      <c r="CO525">
        <v>0</v>
      </c>
      <c r="CP525">
        <f t="shared" si="434"/>
        <v>0</v>
      </c>
      <c r="CQ525">
        <f t="shared" si="435"/>
        <v>0</v>
      </c>
      <c r="CR525">
        <f t="shared" si="462"/>
        <v>0</v>
      </c>
      <c r="CS525">
        <f t="shared" si="436"/>
        <v>0</v>
      </c>
      <c r="CT525">
        <f t="shared" si="437"/>
        <v>0</v>
      </c>
      <c r="CU525">
        <f t="shared" si="438"/>
        <v>0</v>
      </c>
      <c r="CV525">
        <f t="shared" si="439"/>
        <v>0</v>
      </c>
      <c r="CW525">
        <f t="shared" si="440"/>
        <v>0</v>
      </c>
      <c r="CX525">
        <f t="shared" si="441"/>
        <v>0</v>
      </c>
      <c r="CY525">
        <f>S525*(BZ525/100)</f>
        <v>0</v>
      </c>
      <c r="CZ525">
        <f>S525*(CA525/100)</f>
        <v>0</v>
      </c>
      <c r="DC525" t="s">
        <v>3</v>
      </c>
      <c r="DD525" t="s">
        <v>3</v>
      </c>
      <c r="DE525" t="s">
        <v>3</v>
      </c>
      <c r="DF525" t="s">
        <v>3</v>
      </c>
      <c r="DG525" t="s">
        <v>3</v>
      </c>
      <c r="DH525" t="s">
        <v>3</v>
      </c>
      <c r="DI525" t="s">
        <v>3</v>
      </c>
      <c r="DJ525" t="s">
        <v>3</v>
      </c>
      <c r="DK525" t="s">
        <v>3</v>
      </c>
      <c r="DL525" t="s">
        <v>3</v>
      </c>
      <c r="DM525" t="s">
        <v>3</v>
      </c>
      <c r="DN525">
        <v>85</v>
      </c>
      <c r="DO525">
        <v>70</v>
      </c>
      <c r="DP525">
        <v>1</v>
      </c>
      <c r="DQ525">
        <v>1</v>
      </c>
      <c r="DU525">
        <v>1010</v>
      </c>
      <c r="DV525" t="s">
        <v>551</v>
      </c>
      <c r="DW525" t="s">
        <v>551</v>
      </c>
      <c r="DX525">
        <v>100</v>
      </c>
      <c r="DZ525" t="s">
        <v>3</v>
      </c>
      <c r="EA525" t="s">
        <v>3</v>
      </c>
      <c r="EB525" t="s">
        <v>3</v>
      </c>
      <c r="EC525" t="s">
        <v>3</v>
      </c>
      <c r="EE525">
        <v>126051541</v>
      </c>
      <c r="EF525">
        <v>30</v>
      </c>
      <c r="EG525" t="s">
        <v>23</v>
      </c>
      <c r="EH525">
        <v>0</v>
      </c>
      <c r="EI525" t="s">
        <v>3</v>
      </c>
      <c r="EJ525">
        <v>1</v>
      </c>
      <c r="EK525">
        <v>80</v>
      </c>
      <c r="EL525" t="s">
        <v>143</v>
      </c>
      <c r="EM525" t="s">
        <v>144</v>
      </c>
      <c r="EO525" t="s">
        <v>3</v>
      </c>
      <c r="EQ525">
        <v>0</v>
      </c>
      <c r="ER525">
        <v>0</v>
      </c>
      <c r="ES525">
        <v>0</v>
      </c>
      <c r="ET525">
        <v>0</v>
      </c>
      <c r="EU525">
        <v>0</v>
      </c>
      <c r="EV525">
        <v>0</v>
      </c>
      <c r="EW525">
        <v>0</v>
      </c>
      <c r="EX525">
        <v>0</v>
      </c>
      <c r="FQ525">
        <v>0</v>
      </c>
      <c r="FR525">
        <f t="shared" si="442"/>
        <v>0</v>
      </c>
      <c r="FS525">
        <v>0</v>
      </c>
      <c r="FX525">
        <v>85</v>
      </c>
      <c r="FY525">
        <v>70</v>
      </c>
      <c r="GA525" t="s">
        <v>259</v>
      </c>
      <c r="GD525">
        <v>0</v>
      </c>
      <c r="GF525">
        <v>-439988179</v>
      </c>
      <c r="GG525">
        <v>2</v>
      </c>
      <c r="GH525">
        <v>2</v>
      </c>
      <c r="GI525">
        <v>2</v>
      </c>
      <c r="GJ525">
        <v>0</v>
      </c>
      <c r="GK525">
        <f>ROUND(R525*(S12)/100,2)</f>
        <v>0</v>
      </c>
      <c r="GL525">
        <f t="shared" si="443"/>
        <v>0</v>
      </c>
      <c r="GM525">
        <f t="shared" si="444"/>
        <v>0</v>
      </c>
      <c r="GN525">
        <f t="shared" si="445"/>
        <v>0</v>
      </c>
      <c r="GO525">
        <f t="shared" si="446"/>
        <v>0</v>
      </c>
      <c r="GP525">
        <f t="shared" si="447"/>
        <v>0</v>
      </c>
      <c r="GR525">
        <v>0</v>
      </c>
      <c r="GS525">
        <v>4</v>
      </c>
      <c r="GT525">
        <v>0</v>
      </c>
      <c r="GU525" t="s">
        <v>3</v>
      </c>
      <c r="GV525">
        <f t="shared" si="448"/>
        <v>0</v>
      </c>
      <c r="GW525">
        <v>1</v>
      </c>
      <c r="GX525">
        <f t="shared" si="449"/>
        <v>0</v>
      </c>
      <c r="HA525">
        <v>0</v>
      </c>
      <c r="HB525">
        <v>0</v>
      </c>
      <c r="HC525">
        <f t="shared" si="450"/>
        <v>0</v>
      </c>
      <c r="HE525" t="s">
        <v>3</v>
      </c>
      <c r="HF525" t="s">
        <v>3</v>
      </c>
      <c r="HM525" t="s">
        <v>3</v>
      </c>
      <c r="HN525" t="s">
        <v>3</v>
      </c>
      <c r="HO525" t="s">
        <v>3</v>
      </c>
      <c r="HP525" t="s">
        <v>3</v>
      </c>
      <c r="HQ525" t="s">
        <v>3</v>
      </c>
      <c r="IK525">
        <v>0</v>
      </c>
    </row>
    <row r="526" spans="1:255" x14ac:dyDescent="0.2">
      <c r="A526" s="2">
        <v>18</v>
      </c>
      <c r="B526" s="2">
        <v>1</v>
      </c>
      <c r="C526" s="2">
        <v>525</v>
      </c>
      <c r="D526" s="2"/>
      <c r="E526" s="2" t="s">
        <v>552</v>
      </c>
      <c r="F526" s="2" t="s">
        <v>553</v>
      </c>
      <c r="G526" s="2" t="s">
        <v>554</v>
      </c>
      <c r="H526" s="2" t="s">
        <v>114</v>
      </c>
      <c r="I526" s="2">
        <f>I522*J526</f>
        <v>1.7919999999999998E-2</v>
      </c>
      <c r="J526" s="2">
        <v>0.11922821024617432</v>
      </c>
      <c r="K526" s="2">
        <v>0.119228</v>
      </c>
      <c r="L526" s="2"/>
      <c r="M526" s="2"/>
      <c r="N526" s="2"/>
      <c r="O526" s="2">
        <f t="shared" si="420"/>
        <v>0</v>
      </c>
      <c r="P526" s="2">
        <f t="shared" si="421"/>
        <v>0</v>
      </c>
      <c r="Q526" s="2">
        <f t="shared" si="456"/>
        <v>0</v>
      </c>
      <c r="R526" s="2">
        <f t="shared" si="422"/>
        <v>0</v>
      </c>
      <c r="S526" s="2">
        <f t="shared" si="423"/>
        <v>0</v>
      </c>
      <c r="T526" s="2">
        <f t="shared" si="424"/>
        <v>0</v>
      </c>
      <c r="U526" s="2">
        <f t="shared" si="425"/>
        <v>0</v>
      </c>
      <c r="V526" s="2">
        <f t="shared" si="426"/>
        <v>0</v>
      </c>
      <c r="W526" s="2">
        <f t="shared" si="427"/>
        <v>0</v>
      </c>
      <c r="X526" s="2">
        <f t="shared" si="428"/>
        <v>0</v>
      </c>
      <c r="Y526" s="2">
        <f t="shared" si="429"/>
        <v>0</v>
      </c>
      <c r="Z526" s="2"/>
      <c r="AA526" s="2">
        <v>129761636</v>
      </c>
      <c r="AB526" s="2">
        <f t="shared" si="430"/>
        <v>0</v>
      </c>
      <c r="AC526" s="2">
        <f t="shared" si="431"/>
        <v>0</v>
      </c>
      <c r="AD526" s="2">
        <f t="shared" si="457"/>
        <v>0</v>
      </c>
      <c r="AE526" s="2">
        <f t="shared" si="458"/>
        <v>0</v>
      </c>
      <c r="AF526" s="2">
        <f t="shared" si="459"/>
        <v>0</v>
      </c>
      <c r="AG526" s="2">
        <f t="shared" si="432"/>
        <v>0</v>
      </c>
      <c r="AH526" s="2">
        <f t="shared" si="460"/>
        <v>0</v>
      </c>
      <c r="AI526" s="2">
        <f t="shared" si="461"/>
        <v>0</v>
      </c>
      <c r="AJ526" s="2">
        <f t="shared" si="433"/>
        <v>0</v>
      </c>
      <c r="AK526" s="2">
        <v>0</v>
      </c>
      <c r="AL526" s="2">
        <v>0</v>
      </c>
      <c r="AM526" s="2">
        <v>0</v>
      </c>
      <c r="AN526" s="2">
        <v>0</v>
      </c>
      <c r="AO526" s="2">
        <v>0</v>
      </c>
      <c r="AP526" s="2">
        <v>0</v>
      </c>
      <c r="AQ526" s="2">
        <v>0</v>
      </c>
      <c r="AR526" s="2">
        <v>0</v>
      </c>
      <c r="AS526" s="2">
        <v>0</v>
      </c>
      <c r="AT526" s="2">
        <v>85</v>
      </c>
      <c r="AU526" s="2">
        <v>70</v>
      </c>
      <c r="AV526" s="2">
        <v>1</v>
      </c>
      <c r="AW526" s="2">
        <v>1</v>
      </c>
      <c r="AX526" s="2"/>
      <c r="AY526" s="2"/>
      <c r="AZ526" s="2">
        <v>1</v>
      </c>
      <c r="BA526" s="2">
        <v>1</v>
      </c>
      <c r="BB526" s="2">
        <v>1</v>
      </c>
      <c r="BC526" s="2">
        <v>1</v>
      </c>
      <c r="BD526" s="2" t="s">
        <v>3</v>
      </c>
      <c r="BE526" s="2" t="s">
        <v>3</v>
      </c>
      <c r="BF526" s="2" t="s">
        <v>3</v>
      </c>
      <c r="BG526" s="2" t="s">
        <v>3</v>
      </c>
      <c r="BH526" s="2">
        <v>3</v>
      </c>
      <c r="BI526" s="2">
        <v>1</v>
      </c>
      <c r="BJ526" s="2" t="s">
        <v>3</v>
      </c>
      <c r="BK526" s="2"/>
      <c r="BL526" s="2"/>
      <c r="BM526" s="2">
        <v>80</v>
      </c>
      <c r="BN526" s="2">
        <v>0</v>
      </c>
      <c r="BO526" s="2" t="s">
        <v>3</v>
      </c>
      <c r="BP526" s="2">
        <v>0</v>
      </c>
      <c r="BQ526" s="2">
        <v>30</v>
      </c>
      <c r="BR526" s="2">
        <v>0</v>
      </c>
      <c r="BS526" s="2">
        <v>1</v>
      </c>
      <c r="BT526" s="2">
        <v>1</v>
      </c>
      <c r="BU526" s="2">
        <v>1</v>
      </c>
      <c r="BV526" s="2">
        <v>1</v>
      </c>
      <c r="BW526" s="2">
        <v>1</v>
      </c>
      <c r="BX526" s="2">
        <v>1</v>
      </c>
      <c r="BY526" s="2" t="s">
        <v>3</v>
      </c>
      <c r="BZ526" s="2">
        <v>85</v>
      </c>
      <c r="CA526" s="2">
        <v>70</v>
      </c>
      <c r="CB526" s="2" t="s">
        <v>3</v>
      </c>
      <c r="CC526" s="2"/>
      <c r="CD526" s="2"/>
      <c r="CE526" s="2">
        <v>30</v>
      </c>
      <c r="CF526" s="2">
        <v>0</v>
      </c>
      <c r="CG526" s="2">
        <v>0</v>
      </c>
      <c r="CH526" s="2"/>
      <c r="CI526" s="2"/>
      <c r="CJ526" s="2"/>
      <c r="CK526" s="2"/>
      <c r="CL526" s="2"/>
      <c r="CM526" s="2">
        <v>0</v>
      </c>
      <c r="CN526" s="2" t="s">
        <v>3</v>
      </c>
      <c r="CO526" s="2">
        <v>0</v>
      </c>
      <c r="CP526" s="2">
        <f t="shared" si="434"/>
        <v>0</v>
      </c>
      <c r="CQ526" s="2">
        <f t="shared" si="435"/>
        <v>0</v>
      </c>
      <c r="CR526" s="2">
        <f t="shared" si="462"/>
        <v>0</v>
      </c>
      <c r="CS526" s="2">
        <f t="shared" si="436"/>
        <v>0</v>
      </c>
      <c r="CT526" s="2">
        <f t="shared" si="437"/>
        <v>0</v>
      </c>
      <c r="CU526" s="2">
        <f t="shared" si="438"/>
        <v>0</v>
      </c>
      <c r="CV526" s="2">
        <f t="shared" si="439"/>
        <v>0</v>
      </c>
      <c r="CW526" s="2">
        <f t="shared" si="440"/>
        <v>0</v>
      </c>
      <c r="CX526" s="2">
        <f t="shared" si="441"/>
        <v>0</v>
      </c>
      <c r="CY526" s="2">
        <f>((S526*BZ526)/100)</f>
        <v>0</v>
      </c>
      <c r="CZ526" s="2">
        <f>((S526*CA526)/100)</f>
        <v>0</v>
      </c>
      <c r="DA526" s="2"/>
      <c r="DB526" s="2"/>
      <c r="DC526" s="2" t="s">
        <v>3</v>
      </c>
      <c r="DD526" s="2" t="s">
        <v>3</v>
      </c>
      <c r="DE526" s="2" t="s">
        <v>3</v>
      </c>
      <c r="DF526" s="2" t="s">
        <v>3</v>
      </c>
      <c r="DG526" s="2" t="s">
        <v>3</v>
      </c>
      <c r="DH526" s="2" t="s">
        <v>3</v>
      </c>
      <c r="DI526" s="2" t="s">
        <v>3</v>
      </c>
      <c r="DJ526" s="2" t="s">
        <v>3</v>
      </c>
      <c r="DK526" s="2" t="s">
        <v>3</v>
      </c>
      <c r="DL526" s="2" t="s">
        <v>3</v>
      </c>
      <c r="DM526" s="2" t="s">
        <v>3</v>
      </c>
      <c r="DN526" s="2">
        <v>0</v>
      </c>
      <c r="DO526" s="2">
        <v>0</v>
      </c>
      <c r="DP526" s="2">
        <v>1</v>
      </c>
      <c r="DQ526" s="2">
        <v>1</v>
      </c>
      <c r="DR526" s="2"/>
      <c r="DS526" s="2"/>
      <c r="DT526" s="2"/>
      <c r="DU526" s="2">
        <v>1009</v>
      </c>
      <c r="DV526" s="2" t="s">
        <v>114</v>
      </c>
      <c r="DW526" s="2" t="s">
        <v>114</v>
      </c>
      <c r="DX526" s="2">
        <v>1000</v>
      </c>
      <c r="DY526" s="2"/>
      <c r="DZ526" s="2" t="s">
        <v>3</v>
      </c>
      <c r="EA526" s="2" t="s">
        <v>3</v>
      </c>
      <c r="EB526" s="2" t="s">
        <v>3</v>
      </c>
      <c r="EC526" s="2" t="s">
        <v>3</v>
      </c>
      <c r="ED526" s="2"/>
      <c r="EE526" s="2">
        <v>126051541</v>
      </c>
      <c r="EF526" s="2">
        <v>30</v>
      </c>
      <c r="EG526" s="2" t="s">
        <v>23</v>
      </c>
      <c r="EH526" s="2">
        <v>0</v>
      </c>
      <c r="EI526" s="2" t="s">
        <v>3</v>
      </c>
      <c r="EJ526" s="2">
        <v>1</v>
      </c>
      <c r="EK526" s="2">
        <v>80</v>
      </c>
      <c r="EL526" s="2" t="s">
        <v>143</v>
      </c>
      <c r="EM526" s="2" t="s">
        <v>144</v>
      </c>
      <c r="EN526" s="2"/>
      <c r="EO526" s="2" t="s">
        <v>3</v>
      </c>
      <c r="EP526" s="2"/>
      <c r="EQ526" s="2">
        <v>0</v>
      </c>
      <c r="ER526" s="2">
        <v>0</v>
      </c>
      <c r="ES526" s="2">
        <v>0</v>
      </c>
      <c r="ET526" s="2">
        <v>0</v>
      </c>
      <c r="EU526" s="2">
        <v>0</v>
      </c>
      <c r="EV526" s="2">
        <v>0</v>
      </c>
      <c r="EW526" s="2">
        <v>0</v>
      </c>
      <c r="EX526" s="2">
        <v>0</v>
      </c>
      <c r="EY526" s="2"/>
      <c r="EZ526" s="2"/>
      <c r="FA526" s="2"/>
      <c r="FB526" s="2"/>
      <c r="FC526" s="2"/>
      <c r="FD526" s="2"/>
      <c r="FE526" s="2"/>
      <c r="FF526" s="2"/>
      <c r="FG526" s="2"/>
      <c r="FH526" s="2"/>
      <c r="FI526" s="2"/>
      <c r="FJ526" s="2"/>
      <c r="FK526" s="2"/>
      <c r="FL526" s="2"/>
      <c r="FM526" s="2"/>
      <c r="FN526" s="2"/>
      <c r="FO526" s="2"/>
      <c r="FP526" s="2"/>
      <c r="FQ526" s="2">
        <v>0</v>
      </c>
      <c r="FR526" s="2">
        <f t="shared" si="442"/>
        <v>0</v>
      </c>
      <c r="FS526" s="2">
        <v>0</v>
      </c>
      <c r="FT526" s="2"/>
      <c r="FU526" s="2"/>
      <c r="FV526" s="2"/>
      <c r="FW526" s="2"/>
      <c r="FX526" s="2">
        <v>85</v>
      </c>
      <c r="FY526" s="2">
        <v>70</v>
      </c>
      <c r="FZ526" s="2"/>
      <c r="GA526" s="2" t="s">
        <v>3</v>
      </c>
      <c r="GB526" s="2"/>
      <c r="GC526" s="2"/>
      <c r="GD526" s="2">
        <v>0</v>
      </c>
      <c r="GE526" s="2"/>
      <c r="GF526" s="2">
        <v>-1727109647</v>
      </c>
      <c r="GG526" s="2">
        <v>2</v>
      </c>
      <c r="GH526" s="2">
        <v>0</v>
      </c>
      <c r="GI526" s="2">
        <v>-2</v>
      </c>
      <c r="GJ526" s="2">
        <v>0</v>
      </c>
      <c r="GK526" s="2">
        <f>ROUND(R526*(R12)/100,2)</f>
        <v>0</v>
      </c>
      <c r="GL526" s="2">
        <f t="shared" si="443"/>
        <v>0</v>
      </c>
      <c r="GM526" s="2">
        <f t="shared" si="444"/>
        <v>0</v>
      </c>
      <c r="GN526" s="2">
        <f t="shared" si="445"/>
        <v>0</v>
      </c>
      <c r="GO526" s="2">
        <f t="shared" si="446"/>
        <v>0</v>
      </c>
      <c r="GP526" s="2">
        <f t="shared" si="447"/>
        <v>0</v>
      </c>
      <c r="GQ526" s="2"/>
      <c r="GR526" s="2">
        <v>0</v>
      </c>
      <c r="GS526" s="2">
        <v>0</v>
      </c>
      <c r="GT526" s="2">
        <v>0</v>
      </c>
      <c r="GU526" s="2" t="s">
        <v>3</v>
      </c>
      <c r="GV526" s="2">
        <f t="shared" si="448"/>
        <v>0</v>
      </c>
      <c r="GW526" s="2">
        <v>1</v>
      </c>
      <c r="GX526" s="2">
        <f t="shared" si="449"/>
        <v>0</v>
      </c>
      <c r="GY526" s="2"/>
      <c r="GZ526" s="2"/>
      <c r="HA526" s="2">
        <v>0</v>
      </c>
      <c r="HB526" s="2">
        <v>0</v>
      </c>
      <c r="HC526" s="2">
        <f t="shared" si="450"/>
        <v>0</v>
      </c>
      <c r="HD526" s="2"/>
      <c r="HE526" s="2" t="s">
        <v>3</v>
      </c>
      <c r="HF526" s="2" t="s">
        <v>3</v>
      </c>
      <c r="HG526" s="2"/>
      <c r="HH526" s="2"/>
      <c r="HI526" s="2"/>
      <c r="HJ526" s="2"/>
      <c r="HK526" s="2"/>
      <c r="HL526" s="2"/>
      <c r="HM526" s="2" t="s">
        <v>3</v>
      </c>
      <c r="HN526" s="2" t="s">
        <v>3</v>
      </c>
      <c r="HO526" s="2" t="s">
        <v>3</v>
      </c>
      <c r="HP526" s="2" t="s">
        <v>3</v>
      </c>
      <c r="HQ526" s="2" t="s">
        <v>3</v>
      </c>
      <c r="HR526" s="2"/>
      <c r="HS526" s="2"/>
      <c r="HT526" s="2"/>
      <c r="HU526" s="2"/>
      <c r="HV526" s="2"/>
      <c r="HW526" s="2"/>
      <c r="HX526" s="2"/>
      <c r="HY526" s="2"/>
      <c r="HZ526" s="2"/>
      <c r="IA526" s="2"/>
      <c r="IB526" s="2"/>
      <c r="IC526" s="2"/>
      <c r="ID526" s="2"/>
      <c r="IE526" s="2"/>
      <c r="IF526" s="2"/>
      <c r="IG526" s="2"/>
      <c r="IH526" s="2"/>
      <c r="II526" s="2"/>
      <c r="IJ526" s="2"/>
      <c r="IK526" s="2">
        <v>0</v>
      </c>
      <c r="IL526" s="2"/>
      <c r="IM526" s="2"/>
      <c r="IN526" s="2"/>
      <c r="IO526" s="2"/>
      <c r="IP526" s="2"/>
      <c r="IQ526" s="2"/>
      <c r="IR526" s="2"/>
      <c r="IS526" s="2"/>
      <c r="IT526" s="2"/>
      <c r="IU526" s="2"/>
    </row>
    <row r="527" spans="1:255" x14ac:dyDescent="0.2">
      <c r="A527">
        <v>18</v>
      </c>
      <c r="B527">
        <v>1</v>
      </c>
      <c r="C527">
        <v>540</v>
      </c>
      <c r="E527" t="s">
        <v>552</v>
      </c>
      <c r="F527" t="s">
        <v>553</v>
      </c>
      <c r="G527" t="s">
        <v>554</v>
      </c>
      <c r="H527" t="s">
        <v>114</v>
      </c>
      <c r="I527">
        <f>I523*J527</f>
        <v>1.7919999999999998E-2</v>
      </c>
      <c r="J527">
        <v>0.11922821024617432</v>
      </c>
      <c r="K527">
        <v>0.119228</v>
      </c>
      <c r="O527">
        <f t="shared" si="420"/>
        <v>0</v>
      </c>
      <c r="P527">
        <f t="shared" si="421"/>
        <v>0</v>
      </c>
      <c r="Q527">
        <f t="shared" si="456"/>
        <v>0</v>
      </c>
      <c r="R527">
        <f t="shared" si="422"/>
        <v>0</v>
      </c>
      <c r="S527">
        <f t="shared" si="423"/>
        <v>0</v>
      </c>
      <c r="T527">
        <f t="shared" si="424"/>
        <v>0</v>
      </c>
      <c r="U527">
        <f t="shared" si="425"/>
        <v>0</v>
      </c>
      <c r="V527">
        <f t="shared" si="426"/>
        <v>0</v>
      </c>
      <c r="W527">
        <f t="shared" si="427"/>
        <v>0</v>
      </c>
      <c r="X527">
        <f t="shared" si="428"/>
        <v>0</v>
      </c>
      <c r="Y527">
        <f t="shared" si="429"/>
        <v>0</v>
      </c>
      <c r="AA527">
        <v>129761633</v>
      </c>
      <c r="AB527">
        <f t="shared" si="430"/>
        <v>0</v>
      </c>
      <c r="AC527">
        <f t="shared" si="431"/>
        <v>0</v>
      </c>
      <c r="AD527">
        <f t="shared" si="457"/>
        <v>0</v>
      </c>
      <c r="AE527">
        <f t="shared" si="458"/>
        <v>0</v>
      </c>
      <c r="AF527">
        <f t="shared" si="459"/>
        <v>0</v>
      </c>
      <c r="AG527">
        <f t="shared" si="432"/>
        <v>0</v>
      </c>
      <c r="AH527">
        <f t="shared" si="460"/>
        <v>0</v>
      </c>
      <c r="AI527">
        <f t="shared" si="461"/>
        <v>0</v>
      </c>
      <c r="AJ527">
        <f t="shared" si="433"/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1</v>
      </c>
      <c r="AW527">
        <v>1</v>
      </c>
      <c r="AZ527">
        <v>1</v>
      </c>
      <c r="BA527">
        <v>1</v>
      </c>
      <c r="BB527">
        <v>1</v>
      </c>
      <c r="BC527">
        <v>8.65</v>
      </c>
      <c r="BD527" t="s">
        <v>3</v>
      </c>
      <c r="BE527" t="s">
        <v>3</v>
      </c>
      <c r="BF527" t="s">
        <v>3</v>
      </c>
      <c r="BG527" t="s">
        <v>3</v>
      </c>
      <c r="BH527">
        <v>3</v>
      </c>
      <c r="BI527">
        <v>1</v>
      </c>
      <c r="BJ527" t="s">
        <v>3</v>
      </c>
      <c r="BM527">
        <v>80</v>
      </c>
      <c r="BN527">
        <v>0</v>
      </c>
      <c r="BO527" t="s">
        <v>3</v>
      </c>
      <c r="BP527">
        <v>0</v>
      </c>
      <c r="BQ527">
        <v>30</v>
      </c>
      <c r="BR527">
        <v>0</v>
      </c>
      <c r="BS527">
        <v>1</v>
      </c>
      <c r="BT527">
        <v>1</v>
      </c>
      <c r="BU527">
        <v>1</v>
      </c>
      <c r="BV527">
        <v>1</v>
      </c>
      <c r="BW527">
        <v>1</v>
      </c>
      <c r="BX527">
        <v>1</v>
      </c>
      <c r="BY527" t="s">
        <v>3</v>
      </c>
      <c r="BZ527">
        <v>0</v>
      </c>
      <c r="CA527">
        <v>0</v>
      </c>
      <c r="CB527" t="s">
        <v>3</v>
      </c>
      <c r="CE527">
        <v>30</v>
      </c>
      <c r="CF527">
        <v>0</v>
      </c>
      <c r="CG527">
        <v>0</v>
      </c>
      <c r="CM527">
        <v>0</v>
      </c>
      <c r="CN527" t="s">
        <v>3</v>
      </c>
      <c r="CO527">
        <v>0</v>
      </c>
      <c r="CP527">
        <f t="shared" si="434"/>
        <v>0</v>
      </c>
      <c r="CQ527">
        <f t="shared" si="435"/>
        <v>0</v>
      </c>
      <c r="CR527">
        <f t="shared" si="462"/>
        <v>0</v>
      </c>
      <c r="CS527">
        <f t="shared" si="436"/>
        <v>0</v>
      </c>
      <c r="CT527">
        <f t="shared" si="437"/>
        <v>0</v>
      </c>
      <c r="CU527">
        <f t="shared" si="438"/>
        <v>0</v>
      </c>
      <c r="CV527">
        <f t="shared" si="439"/>
        <v>0</v>
      </c>
      <c r="CW527">
        <f t="shared" si="440"/>
        <v>0</v>
      </c>
      <c r="CX527">
        <f t="shared" si="441"/>
        <v>0</v>
      </c>
      <c r="CY527">
        <f>S527*(BZ527/100)</f>
        <v>0</v>
      </c>
      <c r="CZ527">
        <f>S527*(CA527/100)</f>
        <v>0</v>
      </c>
      <c r="DC527" t="s">
        <v>3</v>
      </c>
      <c r="DD527" t="s">
        <v>3</v>
      </c>
      <c r="DE527" t="s">
        <v>3</v>
      </c>
      <c r="DF527" t="s">
        <v>3</v>
      </c>
      <c r="DG527" t="s">
        <v>3</v>
      </c>
      <c r="DH527" t="s">
        <v>3</v>
      </c>
      <c r="DI527" t="s">
        <v>3</v>
      </c>
      <c r="DJ527" t="s">
        <v>3</v>
      </c>
      <c r="DK527" t="s">
        <v>3</v>
      </c>
      <c r="DL527" t="s">
        <v>3</v>
      </c>
      <c r="DM527" t="s">
        <v>3</v>
      </c>
      <c r="DN527">
        <v>85</v>
      </c>
      <c r="DO527">
        <v>70</v>
      </c>
      <c r="DP527">
        <v>1</v>
      </c>
      <c r="DQ527">
        <v>1</v>
      </c>
      <c r="DU527">
        <v>1009</v>
      </c>
      <c r="DV527" t="s">
        <v>114</v>
      </c>
      <c r="DW527" t="s">
        <v>114</v>
      </c>
      <c r="DX527">
        <v>1000</v>
      </c>
      <c r="DZ527" t="s">
        <v>3</v>
      </c>
      <c r="EA527" t="s">
        <v>3</v>
      </c>
      <c r="EB527" t="s">
        <v>3</v>
      </c>
      <c r="EC527" t="s">
        <v>3</v>
      </c>
      <c r="EE527">
        <v>126051541</v>
      </c>
      <c r="EF527">
        <v>30</v>
      </c>
      <c r="EG527" t="s">
        <v>23</v>
      </c>
      <c r="EH527">
        <v>0</v>
      </c>
      <c r="EI527" t="s">
        <v>3</v>
      </c>
      <c r="EJ527">
        <v>1</v>
      </c>
      <c r="EK527">
        <v>80</v>
      </c>
      <c r="EL527" t="s">
        <v>143</v>
      </c>
      <c r="EM527" t="s">
        <v>144</v>
      </c>
      <c r="EO527" t="s">
        <v>3</v>
      </c>
      <c r="EQ527">
        <v>0</v>
      </c>
      <c r="ER527">
        <v>0</v>
      </c>
      <c r="ES527">
        <v>0</v>
      </c>
      <c r="ET527">
        <v>0</v>
      </c>
      <c r="EU527">
        <v>0</v>
      </c>
      <c r="EV527">
        <v>0</v>
      </c>
      <c r="EW527">
        <v>0</v>
      </c>
      <c r="EX527">
        <v>0</v>
      </c>
      <c r="FQ527">
        <v>0</v>
      </c>
      <c r="FR527">
        <f t="shared" si="442"/>
        <v>0</v>
      </c>
      <c r="FS527">
        <v>0</v>
      </c>
      <c r="FX527">
        <v>85</v>
      </c>
      <c r="FY527">
        <v>70</v>
      </c>
      <c r="GA527" t="s">
        <v>259</v>
      </c>
      <c r="GD527">
        <v>0</v>
      </c>
      <c r="GF527">
        <v>-1727109647</v>
      </c>
      <c r="GG527">
        <v>2</v>
      </c>
      <c r="GH527">
        <v>2</v>
      </c>
      <c r="GI527">
        <v>5</v>
      </c>
      <c r="GJ527">
        <v>0</v>
      </c>
      <c r="GK527">
        <f>ROUND(R527*(S12)/100,2)</f>
        <v>0</v>
      </c>
      <c r="GL527">
        <f t="shared" si="443"/>
        <v>0</v>
      </c>
      <c r="GM527">
        <f t="shared" si="444"/>
        <v>0</v>
      </c>
      <c r="GN527">
        <f t="shared" si="445"/>
        <v>0</v>
      </c>
      <c r="GO527">
        <f t="shared" si="446"/>
        <v>0</v>
      </c>
      <c r="GP527">
        <f t="shared" si="447"/>
        <v>0</v>
      </c>
      <c r="GR527">
        <v>0</v>
      </c>
      <c r="GS527">
        <v>4</v>
      </c>
      <c r="GT527">
        <v>0</v>
      </c>
      <c r="GU527" t="s">
        <v>3</v>
      </c>
      <c r="GV527">
        <f t="shared" si="448"/>
        <v>0</v>
      </c>
      <c r="GW527">
        <v>1</v>
      </c>
      <c r="GX527">
        <f t="shared" si="449"/>
        <v>0</v>
      </c>
      <c r="HA527">
        <v>0</v>
      </c>
      <c r="HB527">
        <v>0</v>
      </c>
      <c r="HC527">
        <f t="shared" si="450"/>
        <v>0</v>
      </c>
      <c r="HE527" t="s">
        <v>3</v>
      </c>
      <c r="HF527" t="s">
        <v>3</v>
      </c>
      <c r="HM527" t="s">
        <v>3</v>
      </c>
      <c r="HN527" t="s">
        <v>3</v>
      </c>
      <c r="HO527" t="s">
        <v>3</v>
      </c>
      <c r="HP527" t="s">
        <v>3</v>
      </c>
      <c r="HQ527" t="s">
        <v>3</v>
      </c>
      <c r="IK527">
        <v>0</v>
      </c>
    </row>
    <row r="528" spans="1:255" x14ac:dyDescent="0.2">
      <c r="A528" s="2">
        <v>18</v>
      </c>
      <c r="B528" s="2">
        <v>1</v>
      </c>
      <c r="C528" s="2">
        <v>523</v>
      </c>
      <c r="D528" s="2"/>
      <c r="E528" s="2" t="s">
        <v>555</v>
      </c>
      <c r="F528" s="2" t="s">
        <v>556</v>
      </c>
      <c r="G528" s="2" t="s">
        <v>557</v>
      </c>
      <c r="H528" s="2" t="s">
        <v>114</v>
      </c>
      <c r="I528" s="2">
        <f>I522*J528</f>
        <v>2.4060000000000002E-2</v>
      </c>
      <c r="J528" s="2">
        <v>0.16007984031936129</v>
      </c>
      <c r="K528" s="2">
        <v>0.16008</v>
      </c>
      <c r="L528" s="2"/>
      <c r="M528" s="2"/>
      <c r="N528" s="2"/>
      <c r="O528" s="2">
        <f t="shared" si="420"/>
        <v>0</v>
      </c>
      <c r="P528" s="2">
        <f t="shared" si="421"/>
        <v>0</v>
      </c>
      <c r="Q528" s="2">
        <f t="shared" si="456"/>
        <v>0</v>
      </c>
      <c r="R528" s="2">
        <f t="shared" si="422"/>
        <v>0</v>
      </c>
      <c r="S528" s="2">
        <f t="shared" si="423"/>
        <v>0</v>
      </c>
      <c r="T528" s="2">
        <f t="shared" si="424"/>
        <v>0</v>
      </c>
      <c r="U528" s="2">
        <f t="shared" si="425"/>
        <v>0</v>
      </c>
      <c r="V528" s="2">
        <f t="shared" si="426"/>
        <v>0</v>
      </c>
      <c r="W528" s="2">
        <f t="shared" si="427"/>
        <v>0</v>
      </c>
      <c r="X528" s="2">
        <f t="shared" si="428"/>
        <v>0</v>
      </c>
      <c r="Y528" s="2">
        <f t="shared" si="429"/>
        <v>0</v>
      </c>
      <c r="Z528" s="2"/>
      <c r="AA528" s="2">
        <v>129761636</v>
      </c>
      <c r="AB528" s="2">
        <f t="shared" si="430"/>
        <v>0</v>
      </c>
      <c r="AC528" s="2">
        <f t="shared" si="431"/>
        <v>0</v>
      </c>
      <c r="AD528" s="2">
        <f t="shared" si="457"/>
        <v>0</v>
      </c>
      <c r="AE528" s="2">
        <f t="shared" si="458"/>
        <v>0</v>
      </c>
      <c r="AF528" s="2">
        <f t="shared" si="459"/>
        <v>0</v>
      </c>
      <c r="AG528" s="2">
        <f t="shared" si="432"/>
        <v>0</v>
      </c>
      <c r="AH528" s="2">
        <f t="shared" si="460"/>
        <v>0</v>
      </c>
      <c r="AI528" s="2">
        <f t="shared" si="461"/>
        <v>0</v>
      </c>
      <c r="AJ528" s="2">
        <f t="shared" si="433"/>
        <v>0</v>
      </c>
      <c r="AK528" s="2">
        <v>0</v>
      </c>
      <c r="AL528" s="2">
        <v>0</v>
      </c>
      <c r="AM528" s="2">
        <v>0</v>
      </c>
      <c r="AN528" s="2">
        <v>0</v>
      </c>
      <c r="AO528" s="2">
        <v>0</v>
      </c>
      <c r="AP528" s="2">
        <v>0</v>
      </c>
      <c r="AQ528" s="2">
        <v>0</v>
      </c>
      <c r="AR528" s="2">
        <v>0</v>
      </c>
      <c r="AS528" s="2">
        <v>0</v>
      </c>
      <c r="AT528" s="2">
        <v>85</v>
      </c>
      <c r="AU528" s="2">
        <v>70</v>
      </c>
      <c r="AV528" s="2">
        <v>1</v>
      </c>
      <c r="AW528" s="2">
        <v>1</v>
      </c>
      <c r="AX528" s="2"/>
      <c r="AY528" s="2"/>
      <c r="AZ528" s="2">
        <v>1</v>
      </c>
      <c r="BA528" s="2">
        <v>1</v>
      </c>
      <c r="BB528" s="2">
        <v>1</v>
      </c>
      <c r="BC528" s="2">
        <v>1</v>
      </c>
      <c r="BD528" s="2" t="s">
        <v>3</v>
      </c>
      <c r="BE528" s="2" t="s">
        <v>3</v>
      </c>
      <c r="BF528" s="2" t="s">
        <v>3</v>
      </c>
      <c r="BG528" s="2" t="s">
        <v>3</v>
      </c>
      <c r="BH528" s="2">
        <v>3</v>
      </c>
      <c r="BI528" s="2">
        <v>1</v>
      </c>
      <c r="BJ528" s="2" t="s">
        <v>3</v>
      </c>
      <c r="BK528" s="2"/>
      <c r="BL528" s="2"/>
      <c r="BM528" s="2">
        <v>80</v>
      </c>
      <c r="BN528" s="2">
        <v>0</v>
      </c>
      <c r="BO528" s="2" t="s">
        <v>3</v>
      </c>
      <c r="BP528" s="2">
        <v>0</v>
      </c>
      <c r="BQ528" s="2">
        <v>30</v>
      </c>
      <c r="BR528" s="2">
        <v>0</v>
      </c>
      <c r="BS528" s="2">
        <v>1</v>
      </c>
      <c r="BT528" s="2">
        <v>1</v>
      </c>
      <c r="BU528" s="2">
        <v>1</v>
      </c>
      <c r="BV528" s="2">
        <v>1</v>
      </c>
      <c r="BW528" s="2">
        <v>1</v>
      </c>
      <c r="BX528" s="2">
        <v>1</v>
      </c>
      <c r="BY528" s="2" t="s">
        <v>3</v>
      </c>
      <c r="BZ528" s="2">
        <v>85</v>
      </c>
      <c r="CA528" s="2">
        <v>70</v>
      </c>
      <c r="CB528" s="2" t="s">
        <v>3</v>
      </c>
      <c r="CC528" s="2"/>
      <c r="CD528" s="2"/>
      <c r="CE528" s="2">
        <v>30</v>
      </c>
      <c r="CF528" s="2">
        <v>0</v>
      </c>
      <c r="CG528" s="2">
        <v>0</v>
      </c>
      <c r="CH528" s="2"/>
      <c r="CI528" s="2"/>
      <c r="CJ528" s="2"/>
      <c r="CK528" s="2"/>
      <c r="CL528" s="2"/>
      <c r="CM528" s="2">
        <v>0</v>
      </c>
      <c r="CN528" s="2" t="s">
        <v>3</v>
      </c>
      <c r="CO528" s="2">
        <v>0</v>
      </c>
      <c r="CP528" s="2">
        <f t="shared" si="434"/>
        <v>0</v>
      </c>
      <c r="CQ528" s="2">
        <f t="shared" si="435"/>
        <v>0</v>
      </c>
      <c r="CR528" s="2">
        <f t="shared" si="462"/>
        <v>0</v>
      </c>
      <c r="CS528" s="2">
        <f t="shared" si="436"/>
        <v>0</v>
      </c>
      <c r="CT528" s="2">
        <f t="shared" si="437"/>
        <v>0</v>
      </c>
      <c r="CU528" s="2">
        <f t="shared" si="438"/>
        <v>0</v>
      </c>
      <c r="CV528" s="2">
        <f t="shared" si="439"/>
        <v>0</v>
      </c>
      <c r="CW528" s="2">
        <f t="shared" si="440"/>
        <v>0</v>
      </c>
      <c r="CX528" s="2">
        <f t="shared" si="441"/>
        <v>0</v>
      </c>
      <c r="CY528" s="2">
        <f>((S528*BZ528)/100)</f>
        <v>0</v>
      </c>
      <c r="CZ528" s="2">
        <f>((S528*CA528)/100)</f>
        <v>0</v>
      </c>
      <c r="DA528" s="2"/>
      <c r="DB528" s="2"/>
      <c r="DC528" s="2" t="s">
        <v>3</v>
      </c>
      <c r="DD528" s="2" t="s">
        <v>3</v>
      </c>
      <c r="DE528" s="2" t="s">
        <v>3</v>
      </c>
      <c r="DF528" s="2" t="s">
        <v>3</v>
      </c>
      <c r="DG528" s="2" t="s">
        <v>3</v>
      </c>
      <c r="DH528" s="2" t="s">
        <v>3</v>
      </c>
      <c r="DI528" s="2" t="s">
        <v>3</v>
      </c>
      <c r="DJ528" s="2" t="s">
        <v>3</v>
      </c>
      <c r="DK528" s="2" t="s">
        <v>3</v>
      </c>
      <c r="DL528" s="2" t="s">
        <v>3</v>
      </c>
      <c r="DM528" s="2" t="s">
        <v>3</v>
      </c>
      <c r="DN528" s="2">
        <v>0</v>
      </c>
      <c r="DO528" s="2">
        <v>0</v>
      </c>
      <c r="DP528" s="2">
        <v>1</v>
      </c>
      <c r="DQ528" s="2">
        <v>1</v>
      </c>
      <c r="DR528" s="2"/>
      <c r="DS528" s="2"/>
      <c r="DT528" s="2"/>
      <c r="DU528" s="2">
        <v>1009</v>
      </c>
      <c r="DV528" s="2" t="s">
        <v>114</v>
      </c>
      <c r="DW528" s="2" t="s">
        <v>114</v>
      </c>
      <c r="DX528" s="2">
        <v>1000</v>
      </c>
      <c r="DY528" s="2"/>
      <c r="DZ528" s="2" t="s">
        <v>3</v>
      </c>
      <c r="EA528" s="2" t="s">
        <v>3</v>
      </c>
      <c r="EB528" s="2" t="s">
        <v>3</v>
      </c>
      <c r="EC528" s="2" t="s">
        <v>3</v>
      </c>
      <c r="ED528" s="2"/>
      <c r="EE528" s="2">
        <v>126051541</v>
      </c>
      <c r="EF528" s="2">
        <v>30</v>
      </c>
      <c r="EG528" s="2" t="s">
        <v>23</v>
      </c>
      <c r="EH528" s="2">
        <v>0</v>
      </c>
      <c r="EI528" s="2" t="s">
        <v>3</v>
      </c>
      <c r="EJ528" s="2">
        <v>1</v>
      </c>
      <c r="EK528" s="2">
        <v>80</v>
      </c>
      <c r="EL528" s="2" t="s">
        <v>143</v>
      </c>
      <c r="EM528" s="2" t="s">
        <v>144</v>
      </c>
      <c r="EN528" s="2"/>
      <c r="EO528" s="2" t="s">
        <v>3</v>
      </c>
      <c r="EP528" s="2"/>
      <c r="EQ528" s="2">
        <v>0</v>
      </c>
      <c r="ER528" s="2">
        <v>0</v>
      </c>
      <c r="ES528" s="2">
        <v>0</v>
      </c>
      <c r="ET528" s="2">
        <v>0</v>
      </c>
      <c r="EU528" s="2">
        <v>0</v>
      </c>
      <c r="EV528" s="2">
        <v>0</v>
      </c>
      <c r="EW528" s="2">
        <v>0</v>
      </c>
      <c r="EX528" s="2">
        <v>0</v>
      </c>
      <c r="EY528" s="2"/>
      <c r="EZ528" s="2"/>
      <c r="FA528" s="2"/>
      <c r="FB528" s="2"/>
      <c r="FC528" s="2"/>
      <c r="FD528" s="2"/>
      <c r="FE528" s="2"/>
      <c r="FF528" s="2"/>
      <c r="FG528" s="2"/>
      <c r="FH528" s="2"/>
      <c r="FI528" s="2"/>
      <c r="FJ528" s="2"/>
      <c r="FK528" s="2"/>
      <c r="FL528" s="2"/>
      <c r="FM528" s="2"/>
      <c r="FN528" s="2"/>
      <c r="FO528" s="2"/>
      <c r="FP528" s="2"/>
      <c r="FQ528" s="2">
        <v>0</v>
      </c>
      <c r="FR528" s="2">
        <f t="shared" si="442"/>
        <v>0</v>
      </c>
      <c r="FS528" s="2">
        <v>0</v>
      </c>
      <c r="FT528" s="2"/>
      <c r="FU528" s="2"/>
      <c r="FV528" s="2"/>
      <c r="FW528" s="2"/>
      <c r="FX528" s="2">
        <v>85</v>
      </c>
      <c r="FY528" s="2">
        <v>70</v>
      </c>
      <c r="FZ528" s="2"/>
      <c r="GA528" s="2" t="s">
        <v>3</v>
      </c>
      <c r="GB528" s="2"/>
      <c r="GC528" s="2"/>
      <c r="GD528" s="2">
        <v>0</v>
      </c>
      <c r="GE528" s="2"/>
      <c r="GF528" s="2">
        <v>1554537809</v>
      </c>
      <c r="GG528" s="2">
        <v>2</v>
      </c>
      <c r="GH528" s="2">
        <v>0</v>
      </c>
      <c r="GI528" s="2">
        <v>-2</v>
      </c>
      <c r="GJ528" s="2">
        <v>0</v>
      </c>
      <c r="GK528" s="2">
        <f>ROUND(R528*(R12)/100,2)</f>
        <v>0</v>
      </c>
      <c r="GL528" s="2">
        <f t="shared" si="443"/>
        <v>0</v>
      </c>
      <c r="GM528" s="2">
        <f t="shared" si="444"/>
        <v>0</v>
      </c>
      <c r="GN528" s="2">
        <f t="shared" si="445"/>
        <v>0</v>
      </c>
      <c r="GO528" s="2">
        <f t="shared" si="446"/>
        <v>0</v>
      </c>
      <c r="GP528" s="2">
        <f t="shared" si="447"/>
        <v>0</v>
      </c>
      <c r="GQ528" s="2"/>
      <c r="GR528" s="2">
        <v>0</v>
      </c>
      <c r="GS528" s="2">
        <v>0</v>
      </c>
      <c r="GT528" s="2">
        <v>0</v>
      </c>
      <c r="GU528" s="2" t="s">
        <v>3</v>
      </c>
      <c r="GV528" s="2">
        <f t="shared" si="448"/>
        <v>0</v>
      </c>
      <c r="GW528" s="2">
        <v>1</v>
      </c>
      <c r="GX528" s="2">
        <f t="shared" si="449"/>
        <v>0</v>
      </c>
      <c r="GY528" s="2"/>
      <c r="GZ528" s="2"/>
      <c r="HA528" s="2">
        <v>0</v>
      </c>
      <c r="HB528" s="2">
        <v>0</v>
      </c>
      <c r="HC528" s="2">
        <f t="shared" si="450"/>
        <v>0</v>
      </c>
      <c r="HD528" s="2"/>
      <c r="HE528" s="2" t="s">
        <v>3</v>
      </c>
      <c r="HF528" s="2" t="s">
        <v>3</v>
      </c>
      <c r="HG528" s="2"/>
      <c r="HH528" s="2"/>
      <c r="HI528" s="2"/>
      <c r="HJ528" s="2"/>
      <c r="HK528" s="2"/>
      <c r="HL528" s="2"/>
      <c r="HM528" s="2" t="s">
        <v>3</v>
      </c>
      <c r="HN528" s="2" t="s">
        <v>3</v>
      </c>
      <c r="HO528" s="2" t="s">
        <v>3</v>
      </c>
      <c r="HP528" s="2" t="s">
        <v>3</v>
      </c>
      <c r="HQ528" s="2" t="s">
        <v>3</v>
      </c>
      <c r="HR528" s="2"/>
      <c r="HS528" s="2"/>
      <c r="HT528" s="2"/>
      <c r="HU528" s="2"/>
      <c r="HV528" s="2"/>
      <c r="HW528" s="2"/>
      <c r="HX528" s="2"/>
      <c r="HY528" s="2"/>
      <c r="HZ528" s="2"/>
      <c r="IA528" s="2"/>
      <c r="IB528" s="2"/>
      <c r="IC528" s="2"/>
      <c r="ID528" s="2"/>
      <c r="IE528" s="2"/>
      <c r="IF528" s="2"/>
      <c r="IG528" s="2"/>
      <c r="IH528" s="2"/>
      <c r="II528" s="2"/>
      <c r="IJ528" s="2"/>
      <c r="IK528" s="2">
        <v>0</v>
      </c>
      <c r="IL528" s="2"/>
      <c r="IM528" s="2"/>
      <c r="IN528" s="2"/>
      <c r="IO528" s="2"/>
      <c r="IP528" s="2"/>
      <c r="IQ528" s="2"/>
      <c r="IR528" s="2"/>
      <c r="IS528" s="2"/>
      <c r="IT528" s="2"/>
      <c r="IU528" s="2"/>
    </row>
    <row r="529" spans="1:255" x14ac:dyDescent="0.2">
      <c r="A529">
        <v>18</v>
      </c>
      <c r="B529">
        <v>1</v>
      </c>
      <c r="C529">
        <v>538</v>
      </c>
      <c r="E529" t="s">
        <v>555</v>
      </c>
      <c r="F529" t="s">
        <v>556</v>
      </c>
      <c r="G529" t="s">
        <v>557</v>
      </c>
      <c r="H529" t="s">
        <v>114</v>
      </c>
      <c r="I529">
        <f>I523*J529</f>
        <v>2.4060000000000002E-2</v>
      </c>
      <c r="J529">
        <v>0.16007984031936129</v>
      </c>
      <c r="K529">
        <v>0.16008</v>
      </c>
      <c r="O529">
        <f t="shared" si="420"/>
        <v>0</v>
      </c>
      <c r="P529">
        <f t="shared" si="421"/>
        <v>0</v>
      </c>
      <c r="Q529">
        <f t="shared" si="456"/>
        <v>0</v>
      </c>
      <c r="R529">
        <f t="shared" si="422"/>
        <v>0</v>
      </c>
      <c r="S529">
        <f t="shared" si="423"/>
        <v>0</v>
      </c>
      <c r="T529">
        <f t="shared" si="424"/>
        <v>0</v>
      </c>
      <c r="U529">
        <f t="shared" si="425"/>
        <v>0</v>
      </c>
      <c r="V529">
        <f t="shared" si="426"/>
        <v>0</v>
      </c>
      <c r="W529">
        <f t="shared" si="427"/>
        <v>0</v>
      </c>
      <c r="X529">
        <f t="shared" si="428"/>
        <v>0</v>
      </c>
      <c r="Y529">
        <f t="shared" si="429"/>
        <v>0</v>
      </c>
      <c r="AA529">
        <v>129761633</v>
      </c>
      <c r="AB529">
        <f t="shared" si="430"/>
        <v>0</v>
      </c>
      <c r="AC529">
        <f t="shared" si="431"/>
        <v>0</v>
      </c>
      <c r="AD529">
        <f t="shared" si="457"/>
        <v>0</v>
      </c>
      <c r="AE529">
        <f t="shared" si="458"/>
        <v>0</v>
      </c>
      <c r="AF529">
        <f t="shared" si="459"/>
        <v>0</v>
      </c>
      <c r="AG529">
        <f t="shared" si="432"/>
        <v>0</v>
      </c>
      <c r="AH529">
        <f t="shared" si="460"/>
        <v>0</v>
      </c>
      <c r="AI529">
        <f t="shared" si="461"/>
        <v>0</v>
      </c>
      <c r="AJ529">
        <f t="shared" si="433"/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1</v>
      </c>
      <c r="AW529">
        <v>1</v>
      </c>
      <c r="AZ529">
        <v>1</v>
      </c>
      <c r="BA529">
        <v>1</v>
      </c>
      <c r="BB529">
        <v>1</v>
      </c>
      <c r="BC529">
        <v>8.65</v>
      </c>
      <c r="BD529" t="s">
        <v>3</v>
      </c>
      <c r="BE529" t="s">
        <v>3</v>
      </c>
      <c r="BF529" t="s">
        <v>3</v>
      </c>
      <c r="BG529" t="s">
        <v>3</v>
      </c>
      <c r="BH529">
        <v>3</v>
      </c>
      <c r="BI529">
        <v>1</v>
      </c>
      <c r="BJ529" t="s">
        <v>3</v>
      </c>
      <c r="BM529">
        <v>80</v>
      </c>
      <c r="BN529">
        <v>0</v>
      </c>
      <c r="BO529" t="s">
        <v>3</v>
      </c>
      <c r="BP529">
        <v>0</v>
      </c>
      <c r="BQ529">
        <v>30</v>
      </c>
      <c r="BR529">
        <v>0</v>
      </c>
      <c r="BS529">
        <v>1</v>
      </c>
      <c r="BT529">
        <v>1</v>
      </c>
      <c r="BU529">
        <v>1</v>
      </c>
      <c r="BV529">
        <v>1</v>
      </c>
      <c r="BW529">
        <v>1</v>
      </c>
      <c r="BX529">
        <v>1</v>
      </c>
      <c r="BY529" t="s">
        <v>3</v>
      </c>
      <c r="BZ529">
        <v>0</v>
      </c>
      <c r="CA529">
        <v>0</v>
      </c>
      <c r="CB529" t="s">
        <v>3</v>
      </c>
      <c r="CE529">
        <v>30</v>
      </c>
      <c r="CF529">
        <v>0</v>
      </c>
      <c r="CG529">
        <v>0</v>
      </c>
      <c r="CM529">
        <v>0</v>
      </c>
      <c r="CN529" t="s">
        <v>3</v>
      </c>
      <c r="CO529">
        <v>0</v>
      </c>
      <c r="CP529">
        <f t="shared" si="434"/>
        <v>0</v>
      </c>
      <c r="CQ529">
        <f t="shared" si="435"/>
        <v>0</v>
      </c>
      <c r="CR529">
        <f t="shared" si="462"/>
        <v>0</v>
      </c>
      <c r="CS529">
        <f t="shared" si="436"/>
        <v>0</v>
      </c>
      <c r="CT529">
        <f t="shared" si="437"/>
        <v>0</v>
      </c>
      <c r="CU529">
        <f t="shared" si="438"/>
        <v>0</v>
      </c>
      <c r="CV529">
        <f t="shared" si="439"/>
        <v>0</v>
      </c>
      <c r="CW529">
        <f t="shared" si="440"/>
        <v>0</v>
      </c>
      <c r="CX529">
        <f t="shared" si="441"/>
        <v>0</v>
      </c>
      <c r="CY529">
        <f>S529*(BZ529/100)</f>
        <v>0</v>
      </c>
      <c r="CZ529">
        <f>S529*(CA529/100)</f>
        <v>0</v>
      </c>
      <c r="DC529" t="s">
        <v>3</v>
      </c>
      <c r="DD529" t="s">
        <v>3</v>
      </c>
      <c r="DE529" t="s">
        <v>3</v>
      </c>
      <c r="DF529" t="s">
        <v>3</v>
      </c>
      <c r="DG529" t="s">
        <v>3</v>
      </c>
      <c r="DH529" t="s">
        <v>3</v>
      </c>
      <c r="DI529" t="s">
        <v>3</v>
      </c>
      <c r="DJ529" t="s">
        <v>3</v>
      </c>
      <c r="DK529" t="s">
        <v>3</v>
      </c>
      <c r="DL529" t="s">
        <v>3</v>
      </c>
      <c r="DM529" t="s">
        <v>3</v>
      </c>
      <c r="DN529">
        <v>85</v>
      </c>
      <c r="DO529">
        <v>70</v>
      </c>
      <c r="DP529">
        <v>1</v>
      </c>
      <c r="DQ529">
        <v>1</v>
      </c>
      <c r="DU529">
        <v>1009</v>
      </c>
      <c r="DV529" t="s">
        <v>114</v>
      </c>
      <c r="DW529" t="s">
        <v>114</v>
      </c>
      <c r="DX529">
        <v>1000</v>
      </c>
      <c r="DZ529" t="s">
        <v>3</v>
      </c>
      <c r="EA529" t="s">
        <v>3</v>
      </c>
      <c r="EB529" t="s">
        <v>3</v>
      </c>
      <c r="EC529" t="s">
        <v>3</v>
      </c>
      <c r="EE529">
        <v>126051541</v>
      </c>
      <c r="EF529">
        <v>30</v>
      </c>
      <c r="EG529" t="s">
        <v>23</v>
      </c>
      <c r="EH529">
        <v>0</v>
      </c>
      <c r="EI529" t="s">
        <v>3</v>
      </c>
      <c r="EJ529">
        <v>1</v>
      </c>
      <c r="EK529">
        <v>80</v>
      </c>
      <c r="EL529" t="s">
        <v>143</v>
      </c>
      <c r="EM529" t="s">
        <v>144</v>
      </c>
      <c r="EO529" t="s">
        <v>3</v>
      </c>
      <c r="EQ529">
        <v>0</v>
      </c>
      <c r="ER529">
        <v>0</v>
      </c>
      <c r="ES529">
        <v>0</v>
      </c>
      <c r="ET529">
        <v>0</v>
      </c>
      <c r="EU529">
        <v>0</v>
      </c>
      <c r="EV529">
        <v>0</v>
      </c>
      <c r="EW529">
        <v>0</v>
      </c>
      <c r="EX529">
        <v>0</v>
      </c>
      <c r="FQ529">
        <v>0</v>
      </c>
      <c r="FR529">
        <f t="shared" si="442"/>
        <v>0</v>
      </c>
      <c r="FS529">
        <v>0</v>
      </c>
      <c r="FX529">
        <v>85</v>
      </c>
      <c r="FY529">
        <v>70</v>
      </c>
      <c r="GA529" t="s">
        <v>259</v>
      </c>
      <c r="GD529">
        <v>0</v>
      </c>
      <c r="GF529">
        <v>1554537809</v>
      </c>
      <c r="GG529">
        <v>2</v>
      </c>
      <c r="GH529">
        <v>2</v>
      </c>
      <c r="GI529">
        <v>5</v>
      </c>
      <c r="GJ529">
        <v>0</v>
      </c>
      <c r="GK529">
        <f>ROUND(R529*(S12)/100,2)</f>
        <v>0</v>
      </c>
      <c r="GL529">
        <f t="shared" si="443"/>
        <v>0</v>
      </c>
      <c r="GM529">
        <f t="shared" si="444"/>
        <v>0</v>
      </c>
      <c r="GN529">
        <f t="shared" si="445"/>
        <v>0</v>
      </c>
      <c r="GO529">
        <f t="shared" si="446"/>
        <v>0</v>
      </c>
      <c r="GP529">
        <f t="shared" si="447"/>
        <v>0</v>
      </c>
      <c r="GR529">
        <v>0</v>
      </c>
      <c r="GS529">
        <v>4</v>
      </c>
      <c r="GT529">
        <v>0</v>
      </c>
      <c r="GU529" t="s">
        <v>3</v>
      </c>
      <c r="GV529">
        <f t="shared" si="448"/>
        <v>0</v>
      </c>
      <c r="GW529">
        <v>1</v>
      </c>
      <c r="GX529">
        <f t="shared" si="449"/>
        <v>0</v>
      </c>
      <c r="HA529">
        <v>0</v>
      </c>
      <c r="HB529">
        <v>0</v>
      </c>
      <c r="HC529">
        <f t="shared" si="450"/>
        <v>0</v>
      </c>
      <c r="HE529" t="s">
        <v>3</v>
      </c>
      <c r="HF529" t="s">
        <v>3</v>
      </c>
      <c r="HM529" t="s">
        <v>3</v>
      </c>
      <c r="HN529" t="s">
        <v>3</v>
      </c>
      <c r="HO529" t="s">
        <v>3</v>
      </c>
      <c r="HP529" t="s">
        <v>3</v>
      </c>
      <c r="HQ529" t="s">
        <v>3</v>
      </c>
      <c r="IK529">
        <v>0</v>
      </c>
    </row>
    <row r="530" spans="1:255" x14ac:dyDescent="0.2">
      <c r="A530" s="2">
        <v>18</v>
      </c>
      <c r="B530" s="2">
        <v>1</v>
      </c>
      <c r="C530" s="2">
        <v>522</v>
      </c>
      <c r="D530" s="2"/>
      <c r="E530" s="2" t="s">
        <v>558</v>
      </c>
      <c r="F530" s="2" t="s">
        <v>559</v>
      </c>
      <c r="G530" s="2" t="s">
        <v>560</v>
      </c>
      <c r="H530" s="2" t="s">
        <v>114</v>
      </c>
      <c r="I530" s="2">
        <f>I522*J530</f>
        <v>3.0509999999999999E-2</v>
      </c>
      <c r="J530" s="2">
        <v>0.20299401197604791</v>
      </c>
      <c r="K530" s="2">
        <v>0.20299400000000001</v>
      </c>
      <c r="L530" s="2"/>
      <c r="M530" s="2"/>
      <c r="N530" s="2"/>
      <c r="O530" s="2">
        <f t="shared" si="420"/>
        <v>0</v>
      </c>
      <c r="P530" s="2">
        <f t="shared" si="421"/>
        <v>0</v>
      </c>
      <c r="Q530" s="2">
        <f t="shared" si="456"/>
        <v>0</v>
      </c>
      <c r="R530" s="2">
        <f t="shared" si="422"/>
        <v>0</v>
      </c>
      <c r="S530" s="2">
        <f t="shared" si="423"/>
        <v>0</v>
      </c>
      <c r="T530" s="2">
        <f t="shared" si="424"/>
        <v>0</v>
      </c>
      <c r="U530" s="2">
        <f t="shared" si="425"/>
        <v>0</v>
      </c>
      <c r="V530" s="2">
        <f t="shared" si="426"/>
        <v>0</v>
      </c>
      <c r="W530" s="2">
        <f t="shared" si="427"/>
        <v>0</v>
      </c>
      <c r="X530" s="2">
        <f t="shared" si="428"/>
        <v>0</v>
      </c>
      <c r="Y530" s="2">
        <f t="shared" si="429"/>
        <v>0</v>
      </c>
      <c r="Z530" s="2"/>
      <c r="AA530" s="2">
        <v>129761636</v>
      </c>
      <c r="AB530" s="2">
        <f t="shared" si="430"/>
        <v>0</v>
      </c>
      <c r="AC530" s="2">
        <f t="shared" si="431"/>
        <v>0</v>
      </c>
      <c r="AD530" s="2">
        <f t="shared" si="457"/>
        <v>0</v>
      </c>
      <c r="AE530" s="2">
        <f t="shared" si="458"/>
        <v>0</v>
      </c>
      <c r="AF530" s="2">
        <f t="shared" si="459"/>
        <v>0</v>
      </c>
      <c r="AG530" s="2">
        <f t="shared" si="432"/>
        <v>0</v>
      </c>
      <c r="AH530" s="2">
        <f t="shared" si="460"/>
        <v>0</v>
      </c>
      <c r="AI530" s="2">
        <f t="shared" si="461"/>
        <v>0</v>
      </c>
      <c r="AJ530" s="2">
        <f t="shared" si="433"/>
        <v>0</v>
      </c>
      <c r="AK530" s="2">
        <v>0</v>
      </c>
      <c r="AL530" s="2">
        <v>0</v>
      </c>
      <c r="AM530" s="2">
        <v>0</v>
      </c>
      <c r="AN530" s="2">
        <v>0</v>
      </c>
      <c r="AO530" s="2">
        <v>0</v>
      </c>
      <c r="AP530" s="2">
        <v>0</v>
      </c>
      <c r="AQ530" s="2">
        <v>0</v>
      </c>
      <c r="AR530" s="2">
        <v>0</v>
      </c>
      <c r="AS530" s="2">
        <v>0</v>
      </c>
      <c r="AT530" s="2">
        <v>85</v>
      </c>
      <c r="AU530" s="2">
        <v>70</v>
      </c>
      <c r="AV530" s="2">
        <v>1</v>
      </c>
      <c r="AW530" s="2">
        <v>1</v>
      </c>
      <c r="AX530" s="2"/>
      <c r="AY530" s="2"/>
      <c r="AZ530" s="2">
        <v>1</v>
      </c>
      <c r="BA530" s="2">
        <v>1</v>
      </c>
      <c r="BB530" s="2">
        <v>1</v>
      </c>
      <c r="BC530" s="2">
        <v>1</v>
      </c>
      <c r="BD530" s="2" t="s">
        <v>3</v>
      </c>
      <c r="BE530" s="2" t="s">
        <v>3</v>
      </c>
      <c r="BF530" s="2" t="s">
        <v>3</v>
      </c>
      <c r="BG530" s="2" t="s">
        <v>3</v>
      </c>
      <c r="BH530" s="2">
        <v>3</v>
      </c>
      <c r="BI530" s="2">
        <v>1</v>
      </c>
      <c r="BJ530" s="2" t="s">
        <v>3</v>
      </c>
      <c r="BK530" s="2"/>
      <c r="BL530" s="2"/>
      <c r="BM530" s="2">
        <v>80</v>
      </c>
      <c r="BN530" s="2">
        <v>0</v>
      </c>
      <c r="BO530" s="2" t="s">
        <v>3</v>
      </c>
      <c r="BP530" s="2">
        <v>0</v>
      </c>
      <c r="BQ530" s="2">
        <v>30</v>
      </c>
      <c r="BR530" s="2">
        <v>0</v>
      </c>
      <c r="BS530" s="2">
        <v>1</v>
      </c>
      <c r="BT530" s="2">
        <v>1</v>
      </c>
      <c r="BU530" s="2">
        <v>1</v>
      </c>
      <c r="BV530" s="2">
        <v>1</v>
      </c>
      <c r="BW530" s="2">
        <v>1</v>
      </c>
      <c r="BX530" s="2">
        <v>1</v>
      </c>
      <c r="BY530" s="2" t="s">
        <v>3</v>
      </c>
      <c r="BZ530" s="2">
        <v>85</v>
      </c>
      <c r="CA530" s="2">
        <v>70</v>
      </c>
      <c r="CB530" s="2" t="s">
        <v>3</v>
      </c>
      <c r="CC530" s="2"/>
      <c r="CD530" s="2"/>
      <c r="CE530" s="2">
        <v>30</v>
      </c>
      <c r="CF530" s="2">
        <v>0</v>
      </c>
      <c r="CG530" s="2">
        <v>0</v>
      </c>
      <c r="CH530" s="2"/>
      <c r="CI530" s="2"/>
      <c r="CJ530" s="2"/>
      <c r="CK530" s="2"/>
      <c r="CL530" s="2"/>
      <c r="CM530" s="2">
        <v>0</v>
      </c>
      <c r="CN530" s="2" t="s">
        <v>3</v>
      </c>
      <c r="CO530" s="2">
        <v>0</v>
      </c>
      <c r="CP530" s="2">
        <f t="shared" si="434"/>
        <v>0</v>
      </c>
      <c r="CQ530" s="2">
        <f t="shared" si="435"/>
        <v>0</v>
      </c>
      <c r="CR530" s="2">
        <f t="shared" si="462"/>
        <v>0</v>
      </c>
      <c r="CS530" s="2">
        <f t="shared" si="436"/>
        <v>0</v>
      </c>
      <c r="CT530" s="2">
        <f t="shared" si="437"/>
        <v>0</v>
      </c>
      <c r="CU530" s="2">
        <f t="shared" si="438"/>
        <v>0</v>
      </c>
      <c r="CV530" s="2">
        <f t="shared" si="439"/>
        <v>0</v>
      </c>
      <c r="CW530" s="2">
        <f t="shared" si="440"/>
        <v>0</v>
      </c>
      <c r="CX530" s="2">
        <f t="shared" si="441"/>
        <v>0</v>
      </c>
      <c r="CY530" s="2">
        <f>((S530*BZ530)/100)</f>
        <v>0</v>
      </c>
      <c r="CZ530" s="2">
        <f>((S530*CA530)/100)</f>
        <v>0</v>
      </c>
      <c r="DA530" s="2"/>
      <c r="DB530" s="2"/>
      <c r="DC530" s="2" t="s">
        <v>3</v>
      </c>
      <c r="DD530" s="2" t="s">
        <v>3</v>
      </c>
      <c r="DE530" s="2" t="s">
        <v>3</v>
      </c>
      <c r="DF530" s="2" t="s">
        <v>3</v>
      </c>
      <c r="DG530" s="2" t="s">
        <v>3</v>
      </c>
      <c r="DH530" s="2" t="s">
        <v>3</v>
      </c>
      <c r="DI530" s="2" t="s">
        <v>3</v>
      </c>
      <c r="DJ530" s="2" t="s">
        <v>3</v>
      </c>
      <c r="DK530" s="2" t="s">
        <v>3</v>
      </c>
      <c r="DL530" s="2" t="s">
        <v>3</v>
      </c>
      <c r="DM530" s="2" t="s">
        <v>3</v>
      </c>
      <c r="DN530" s="2">
        <v>0</v>
      </c>
      <c r="DO530" s="2">
        <v>0</v>
      </c>
      <c r="DP530" s="2">
        <v>1</v>
      </c>
      <c r="DQ530" s="2">
        <v>1</v>
      </c>
      <c r="DR530" s="2"/>
      <c r="DS530" s="2"/>
      <c r="DT530" s="2"/>
      <c r="DU530" s="2">
        <v>1009</v>
      </c>
      <c r="DV530" s="2" t="s">
        <v>114</v>
      </c>
      <c r="DW530" s="2" t="s">
        <v>114</v>
      </c>
      <c r="DX530" s="2">
        <v>1000</v>
      </c>
      <c r="DY530" s="2"/>
      <c r="DZ530" s="2" t="s">
        <v>3</v>
      </c>
      <c r="EA530" s="2" t="s">
        <v>3</v>
      </c>
      <c r="EB530" s="2" t="s">
        <v>3</v>
      </c>
      <c r="EC530" s="2" t="s">
        <v>3</v>
      </c>
      <c r="ED530" s="2"/>
      <c r="EE530" s="2">
        <v>126051541</v>
      </c>
      <c r="EF530" s="2">
        <v>30</v>
      </c>
      <c r="EG530" s="2" t="s">
        <v>23</v>
      </c>
      <c r="EH530" s="2">
        <v>0</v>
      </c>
      <c r="EI530" s="2" t="s">
        <v>3</v>
      </c>
      <c r="EJ530" s="2">
        <v>1</v>
      </c>
      <c r="EK530" s="2">
        <v>80</v>
      </c>
      <c r="EL530" s="2" t="s">
        <v>143</v>
      </c>
      <c r="EM530" s="2" t="s">
        <v>144</v>
      </c>
      <c r="EN530" s="2"/>
      <c r="EO530" s="2" t="s">
        <v>3</v>
      </c>
      <c r="EP530" s="2"/>
      <c r="EQ530" s="2">
        <v>0</v>
      </c>
      <c r="ER530" s="2">
        <v>0</v>
      </c>
      <c r="ES530" s="2">
        <v>0</v>
      </c>
      <c r="ET530" s="2">
        <v>0</v>
      </c>
      <c r="EU530" s="2">
        <v>0</v>
      </c>
      <c r="EV530" s="2">
        <v>0</v>
      </c>
      <c r="EW530" s="2">
        <v>0</v>
      </c>
      <c r="EX530" s="2">
        <v>0</v>
      </c>
      <c r="EY530" s="2"/>
      <c r="EZ530" s="2"/>
      <c r="FA530" s="2"/>
      <c r="FB530" s="2"/>
      <c r="FC530" s="2"/>
      <c r="FD530" s="2"/>
      <c r="FE530" s="2"/>
      <c r="FF530" s="2"/>
      <c r="FG530" s="2"/>
      <c r="FH530" s="2"/>
      <c r="FI530" s="2"/>
      <c r="FJ530" s="2"/>
      <c r="FK530" s="2"/>
      <c r="FL530" s="2"/>
      <c r="FM530" s="2"/>
      <c r="FN530" s="2"/>
      <c r="FO530" s="2"/>
      <c r="FP530" s="2"/>
      <c r="FQ530" s="2">
        <v>0</v>
      </c>
      <c r="FR530" s="2">
        <f t="shared" si="442"/>
        <v>0</v>
      </c>
      <c r="FS530" s="2">
        <v>0</v>
      </c>
      <c r="FT530" s="2"/>
      <c r="FU530" s="2"/>
      <c r="FV530" s="2"/>
      <c r="FW530" s="2"/>
      <c r="FX530" s="2">
        <v>85</v>
      </c>
      <c r="FY530" s="2">
        <v>70</v>
      </c>
      <c r="FZ530" s="2"/>
      <c r="GA530" s="2" t="s">
        <v>3</v>
      </c>
      <c r="GB530" s="2"/>
      <c r="GC530" s="2"/>
      <c r="GD530" s="2">
        <v>0</v>
      </c>
      <c r="GE530" s="2"/>
      <c r="GF530" s="2">
        <v>-2068651919</v>
      </c>
      <c r="GG530" s="2">
        <v>2</v>
      </c>
      <c r="GH530" s="2">
        <v>0</v>
      </c>
      <c r="GI530" s="2">
        <v>-2</v>
      </c>
      <c r="GJ530" s="2">
        <v>0</v>
      </c>
      <c r="GK530" s="2">
        <f>ROUND(R530*(R12)/100,2)</f>
        <v>0</v>
      </c>
      <c r="GL530" s="2">
        <f t="shared" si="443"/>
        <v>0</v>
      </c>
      <c r="GM530" s="2">
        <f t="shared" si="444"/>
        <v>0</v>
      </c>
      <c r="GN530" s="2">
        <f t="shared" si="445"/>
        <v>0</v>
      </c>
      <c r="GO530" s="2">
        <f t="shared" si="446"/>
        <v>0</v>
      </c>
      <c r="GP530" s="2">
        <f t="shared" si="447"/>
        <v>0</v>
      </c>
      <c r="GQ530" s="2"/>
      <c r="GR530" s="2">
        <v>0</v>
      </c>
      <c r="GS530" s="2">
        <v>0</v>
      </c>
      <c r="GT530" s="2">
        <v>0</v>
      </c>
      <c r="GU530" s="2" t="s">
        <v>3</v>
      </c>
      <c r="GV530" s="2">
        <f t="shared" si="448"/>
        <v>0</v>
      </c>
      <c r="GW530" s="2">
        <v>1</v>
      </c>
      <c r="GX530" s="2">
        <f t="shared" si="449"/>
        <v>0</v>
      </c>
      <c r="GY530" s="2"/>
      <c r="GZ530" s="2"/>
      <c r="HA530" s="2">
        <v>0</v>
      </c>
      <c r="HB530" s="2">
        <v>0</v>
      </c>
      <c r="HC530" s="2">
        <f t="shared" si="450"/>
        <v>0</v>
      </c>
      <c r="HD530" s="2"/>
      <c r="HE530" s="2" t="s">
        <v>3</v>
      </c>
      <c r="HF530" s="2" t="s">
        <v>3</v>
      </c>
      <c r="HG530" s="2"/>
      <c r="HH530" s="2"/>
      <c r="HI530" s="2"/>
      <c r="HJ530" s="2"/>
      <c r="HK530" s="2"/>
      <c r="HL530" s="2"/>
      <c r="HM530" s="2" t="s">
        <v>3</v>
      </c>
      <c r="HN530" s="2" t="s">
        <v>3</v>
      </c>
      <c r="HO530" s="2" t="s">
        <v>3</v>
      </c>
      <c r="HP530" s="2" t="s">
        <v>3</v>
      </c>
      <c r="HQ530" s="2" t="s">
        <v>3</v>
      </c>
      <c r="HR530" s="2"/>
      <c r="HS530" s="2"/>
      <c r="HT530" s="2"/>
      <c r="HU530" s="2"/>
      <c r="HV530" s="2"/>
      <c r="HW530" s="2"/>
      <c r="HX530" s="2"/>
      <c r="HY530" s="2"/>
      <c r="HZ530" s="2"/>
      <c r="IA530" s="2"/>
      <c r="IB530" s="2"/>
      <c r="IC530" s="2"/>
      <c r="ID530" s="2"/>
      <c r="IE530" s="2"/>
      <c r="IF530" s="2"/>
      <c r="IG530" s="2"/>
      <c r="IH530" s="2"/>
      <c r="II530" s="2"/>
      <c r="IJ530" s="2"/>
      <c r="IK530" s="2">
        <v>0</v>
      </c>
      <c r="IL530" s="2"/>
      <c r="IM530" s="2"/>
      <c r="IN530" s="2"/>
      <c r="IO530" s="2"/>
      <c r="IP530" s="2"/>
      <c r="IQ530" s="2"/>
      <c r="IR530" s="2"/>
      <c r="IS530" s="2"/>
      <c r="IT530" s="2"/>
      <c r="IU530" s="2"/>
    </row>
    <row r="531" spans="1:255" x14ac:dyDescent="0.2">
      <c r="A531">
        <v>18</v>
      </c>
      <c r="B531">
        <v>1</v>
      </c>
      <c r="C531">
        <v>537</v>
      </c>
      <c r="E531" t="s">
        <v>558</v>
      </c>
      <c r="F531" t="s">
        <v>559</v>
      </c>
      <c r="G531" t="s">
        <v>560</v>
      </c>
      <c r="H531" t="s">
        <v>114</v>
      </c>
      <c r="I531">
        <f>I523*J531</f>
        <v>3.0509999999999999E-2</v>
      </c>
      <c r="J531">
        <v>0.20299401197604791</v>
      </c>
      <c r="K531">
        <v>0.20299400000000001</v>
      </c>
      <c r="O531">
        <f t="shared" si="420"/>
        <v>0</v>
      </c>
      <c r="P531">
        <f t="shared" si="421"/>
        <v>0</v>
      </c>
      <c r="Q531">
        <f t="shared" si="456"/>
        <v>0</v>
      </c>
      <c r="R531">
        <f t="shared" si="422"/>
        <v>0</v>
      </c>
      <c r="S531">
        <f t="shared" si="423"/>
        <v>0</v>
      </c>
      <c r="T531">
        <f t="shared" si="424"/>
        <v>0</v>
      </c>
      <c r="U531">
        <f t="shared" si="425"/>
        <v>0</v>
      </c>
      <c r="V531">
        <f t="shared" si="426"/>
        <v>0</v>
      </c>
      <c r="W531">
        <f t="shared" si="427"/>
        <v>0</v>
      </c>
      <c r="X531">
        <f t="shared" si="428"/>
        <v>0</v>
      </c>
      <c r="Y531">
        <f t="shared" si="429"/>
        <v>0</v>
      </c>
      <c r="AA531">
        <v>129761633</v>
      </c>
      <c r="AB531">
        <f t="shared" si="430"/>
        <v>0</v>
      </c>
      <c r="AC531">
        <f t="shared" si="431"/>
        <v>0</v>
      </c>
      <c r="AD531">
        <f t="shared" si="457"/>
        <v>0</v>
      </c>
      <c r="AE531">
        <f t="shared" si="458"/>
        <v>0</v>
      </c>
      <c r="AF531">
        <f t="shared" si="459"/>
        <v>0</v>
      </c>
      <c r="AG531">
        <f t="shared" si="432"/>
        <v>0</v>
      </c>
      <c r="AH531">
        <f t="shared" si="460"/>
        <v>0</v>
      </c>
      <c r="AI531">
        <f t="shared" si="461"/>
        <v>0</v>
      </c>
      <c r="AJ531">
        <f t="shared" si="433"/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1</v>
      </c>
      <c r="AW531">
        <v>1</v>
      </c>
      <c r="AZ531">
        <v>1</v>
      </c>
      <c r="BA531">
        <v>1</v>
      </c>
      <c r="BB531">
        <v>1</v>
      </c>
      <c r="BC531">
        <v>5.54</v>
      </c>
      <c r="BD531" t="s">
        <v>3</v>
      </c>
      <c r="BE531" t="s">
        <v>3</v>
      </c>
      <c r="BF531" t="s">
        <v>3</v>
      </c>
      <c r="BG531" t="s">
        <v>3</v>
      </c>
      <c r="BH531">
        <v>3</v>
      </c>
      <c r="BI531">
        <v>1</v>
      </c>
      <c r="BJ531" t="s">
        <v>3</v>
      </c>
      <c r="BM531">
        <v>80</v>
      </c>
      <c r="BN531">
        <v>0</v>
      </c>
      <c r="BO531" t="s">
        <v>559</v>
      </c>
      <c r="BP531">
        <v>1</v>
      </c>
      <c r="BQ531">
        <v>30</v>
      </c>
      <c r="BR531">
        <v>0</v>
      </c>
      <c r="BS531">
        <v>1</v>
      </c>
      <c r="BT531">
        <v>1</v>
      </c>
      <c r="BU531">
        <v>1</v>
      </c>
      <c r="BV531">
        <v>1</v>
      </c>
      <c r="BW531">
        <v>1</v>
      </c>
      <c r="BX531">
        <v>1</v>
      </c>
      <c r="BY531" t="s">
        <v>3</v>
      </c>
      <c r="BZ531">
        <v>0</v>
      </c>
      <c r="CA531">
        <v>0</v>
      </c>
      <c r="CB531" t="s">
        <v>3</v>
      </c>
      <c r="CE531">
        <v>30</v>
      </c>
      <c r="CF531">
        <v>0</v>
      </c>
      <c r="CG531">
        <v>0</v>
      </c>
      <c r="CM531">
        <v>0</v>
      </c>
      <c r="CN531" t="s">
        <v>3</v>
      </c>
      <c r="CO531">
        <v>0</v>
      </c>
      <c r="CP531">
        <f t="shared" si="434"/>
        <v>0</v>
      </c>
      <c r="CQ531">
        <f t="shared" si="435"/>
        <v>0</v>
      </c>
      <c r="CR531">
        <f t="shared" si="462"/>
        <v>0</v>
      </c>
      <c r="CS531">
        <f t="shared" si="436"/>
        <v>0</v>
      </c>
      <c r="CT531">
        <f t="shared" si="437"/>
        <v>0</v>
      </c>
      <c r="CU531">
        <f t="shared" si="438"/>
        <v>0</v>
      </c>
      <c r="CV531">
        <f t="shared" si="439"/>
        <v>0</v>
      </c>
      <c r="CW531">
        <f t="shared" si="440"/>
        <v>0</v>
      </c>
      <c r="CX531">
        <f t="shared" si="441"/>
        <v>0</v>
      </c>
      <c r="CY531">
        <f>S531*(BZ531/100)</f>
        <v>0</v>
      </c>
      <c r="CZ531">
        <f>S531*(CA531/100)</f>
        <v>0</v>
      </c>
      <c r="DC531" t="s">
        <v>3</v>
      </c>
      <c r="DD531" t="s">
        <v>3</v>
      </c>
      <c r="DE531" t="s">
        <v>3</v>
      </c>
      <c r="DF531" t="s">
        <v>3</v>
      </c>
      <c r="DG531" t="s">
        <v>3</v>
      </c>
      <c r="DH531" t="s">
        <v>3</v>
      </c>
      <c r="DI531" t="s">
        <v>3</v>
      </c>
      <c r="DJ531" t="s">
        <v>3</v>
      </c>
      <c r="DK531" t="s">
        <v>3</v>
      </c>
      <c r="DL531" t="s">
        <v>3</v>
      </c>
      <c r="DM531" t="s">
        <v>3</v>
      </c>
      <c r="DN531">
        <v>85</v>
      </c>
      <c r="DO531">
        <v>70</v>
      </c>
      <c r="DP531">
        <v>1</v>
      </c>
      <c r="DQ531">
        <v>1</v>
      </c>
      <c r="DU531">
        <v>1009</v>
      </c>
      <c r="DV531" t="s">
        <v>114</v>
      </c>
      <c r="DW531" t="s">
        <v>114</v>
      </c>
      <c r="DX531">
        <v>1000</v>
      </c>
      <c r="DZ531" t="s">
        <v>3</v>
      </c>
      <c r="EA531" t="s">
        <v>3</v>
      </c>
      <c r="EB531" t="s">
        <v>3</v>
      </c>
      <c r="EC531" t="s">
        <v>3</v>
      </c>
      <c r="EE531">
        <v>126051541</v>
      </c>
      <c r="EF531">
        <v>30</v>
      </c>
      <c r="EG531" t="s">
        <v>23</v>
      </c>
      <c r="EH531">
        <v>0</v>
      </c>
      <c r="EI531" t="s">
        <v>3</v>
      </c>
      <c r="EJ531">
        <v>1</v>
      </c>
      <c r="EK531">
        <v>80</v>
      </c>
      <c r="EL531" t="s">
        <v>143</v>
      </c>
      <c r="EM531" t="s">
        <v>144</v>
      </c>
      <c r="EO531" t="s">
        <v>3</v>
      </c>
      <c r="EQ531">
        <v>0</v>
      </c>
      <c r="ER531">
        <v>0</v>
      </c>
      <c r="ES531">
        <v>0</v>
      </c>
      <c r="ET531">
        <v>0</v>
      </c>
      <c r="EU531">
        <v>0</v>
      </c>
      <c r="EV531">
        <v>0</v>
      </c>
      <c r="EW531">
        <v>0</v>
      </c>
      <c r="EX531">
        <v>0</v>
      </c>
      <c r="FQ531">
        <v>0</v>
      </c>
      <c r="FR531">
        <f t="shared" si="442"/>
        <v>0</v>
      </c>
      <c r="FS531">
        <v>0</v>
      </c>
      <c r="FX531">
        <v>85</v>
      </c>
      <c r="FY531">
        <v>70</v>
      </c>
      <c r="GA531" t="s">
        <v>259</v>
      </c>
      <c r="GD531">
        <v>0</v>
      </c>
      <c r="GF531">
        <v>-2068651919</v>
      </c>
      <c r="GG531">
        <v>2</v>
      </c>
      <c r="GH531">
        <v>2</v>
      </c>
      <c r="GI531">
        <v>2</v>
      </c>
      <c r="GJ531">
        <v>0</v>
      </c>
      <c r="GK531">
        <f>ROUND(R531*(S12)/100,2)</f>
        <v>0</v>
      </c>
      <c r="GL531">
        <f t="shared" si="443"/>
        <v>0</v>
      </c>
      <c r="GM531">
        <f t="shared" si="444"/>
        <v>0</v>
      </c>
      <c r="GN531">
        <f t="shared" si="445"/>
        <v>0</v>
      </c>
      <c r="GO531">
        <f t="shared" si="446"/>
        <v>0</v>
      </c>
      <c r="GP531">
        <f t="shared" si="447"/>
        <v>0</v>
      </c>
      <c r="GR531">
        <v>0</v>
      </c>
      <c r="GS531">
        <v>4</v>
      </c>
      <c r="GT531">
        <v>0</v>
      </c>
      <c r="GU531" t="s">
        <v>3</v>
      </c>
      <c r="GV531">
        <f t="shared" si="448"/>
        <v>0</v>
      </c>
      <c r="GW531">
        <v>1</v>
      </c>
      <c r="GX531">
        <f t="shared" si="449"/>
        <v>0</v>
      </c>
      <c r="HA531">
        <v>0</v>
      </c>
      <c r="HB531">
        <v>0</v>
      </c>
      <c r="HC531">
        <f t="shared" si="450"/>
        <v>0</v>
      </c>
      <c r="HE531" t="s">
        <v>3</v>
      </c>
      <c r="HF531" t="s">
        <v>3</v>
      </c>
      <c r="HM531" t="s">
        <v>3</v>
      </c>
      <c r="HN531" t="s">
        <v>3</v>
      </c>
      <c r="HO531" t="s">
        <v>3</v>
      </c>
      <c r="HP531" t="s">
        <v>3</v>
      </c>
      <c r="HQ531" t="s">
        <v>3</v>
      </c>
      <c r="IK531">
        <v>0</v>
      </c>
    </row>
    <row r="532" spans="1:255" x14ac:dyDescent="0.2">
      <c r="A532" s="2">
        <v>18</v>
      </c>
      <c r="B532" s="2">
        <v>1</v>
      </c>
      <c r="C532" s="2">
        <v>521</v>
      </c>
      <c r="D532" s="2"/>
      <c r="E532" s="2" t="s">
        <v>561</v>
      </c>
      <c r="F532" s="2" t="s">
        <v>562</v>
      </c>
      <c r="G532" s="2" t="s">
        <v>563</v>
      </c>
      <c r="H532" s="2" t="s">
        <v>114</v>
      </c>
      <c r="I532" s="2">
        <f>I522*J532</f>
        <v>1.8839999999999999E-2</v>
      </c>
      <c r="J532" s="2">
        <v>0.1253493013972056</v>
      </c>
      <c r="K532" s="2">
        <v>0.12534899999999999</v>
      </c>
      <c r="L532" s="2"/>
      <c r="M532" s="2"/>
      <c r="N532" s="2"/>
      <c r="O532" s="2">
        <f t="shared" si="420"/>
        <v>0</v>
      </c>
      <c r="P532" s="2">
        <f t="shared" si="421"/>
        <v>0</v>
      </c>
      <c r="Q532" s="2">
        <f t="shared" si="456"/>
        <v>0</v>
      </c>
      <c r="R532" s="2">
        <f t="shared" si="422"/>
        <v>0</v>
      </c>
      <c r="S532" s="2">
        <f t="shared" si="423"/>
        <v>0</v>
      </c>
      <c r="T532" s="2">
        <f t="shared" si="424"/>
        <v>0</v>
      </c>
      <c r="U532" s="2">
        <f t="shared" si="425"/>
        <v>0</v>
      </c>
      <c r="V532" s="2">
        <f t="shared" si="426"/>
        <v>0</v>
      </c>
      <c r="W532" s="2">
        <f t="shared" si="427"/>
        <v>0</v>
      </c>
      <c r="X532" s="2">
        <f t="shared" si="428"/>
        <v>0</v>
      </c>
      <c r="Y532" s="2">
        <f t="shared" si="429"/>
        <v>0</v>
      </c>
      <c r="Z532" s="2"/>
      <c r="AA532" s="2">
        <v>129761636</v>
      </c>
      <c r="AB532" s="2">
        <f t="shared" si="430"/>
        <v>0</v>
      </c>
      <c r="AC532" s="2">
        <f t="shared" si="431"/>
        <v>0</v>
      </c>
      <c r="AD532" s="2">
        <f t="shared" si="457"/>
        <v>0</v>
      </c>
      <c r="AE532" s="2">
        <f t="shared" si="458"/>
        <v>0</v>
      </c>
      <c r="AF532" s="2">
        <f t="shared" si="459"/>
        <v>0</v>
      </c>
      <c r="AG532" s="2">
        <f t="shared" si="432"/>
        <v>0</v>
      </c>
      <c r="AH532" s="2">
        <f t="shared" si="460"/>
        <v>0</v>
      </c>
      <c r="AI532" s="2">
        <f t="shared" si="461"/>
        <v>0</v>
      </c>
      <c r="AJ532" s="2">
        <f t="shared" si="433"/>
        <v>0</v>
      </c>
      <c r="AK532" s="2">
        <v>0</v>
      </c>
      <c r="AL532" s="2">
        <v>0</v>
      </c>
      <c r="AM532" s="2">
        <v>0</v>
      </c>
      <c r="AN532" s="2">
        <v>0</v>
      </c>
      <c r="AO532" s="2">
        <v>0</v>
      </c>
      <c r="AP532" s="2">
        <v>0</v>
      </c>
      <c r="AQ532" s="2">
        <v>0</v>
      </c>
      <c r="AR532" s="2">
        <v>0</v>
      </c>
      <c r="AS532" s="2">
        <v>0</v>
      </c>
      <c r="AT532" s="2">
        <v>85</v>
      </c>
      <c r="AU532" s="2">
        <v>70</v>
      </c>
      <c r="AV532" s="2">
        <v>1</v>
      </c>
      <c r="AW532" s="2">
        <v>1</v>
      </c>
      <c r="AX532" s="2"/>
      <c r="AY532" s="2"/>
      <c r="AZ532" s="2">
        <v>1</v>
      </c>
      <c r="BA532" s="2">
        <v>1</v>
      </c>
      <c r="BB532" s="2">
        <v>1</v>
      </c>
      <c r="BC532" s="2">
        <v>1</v>
      </c>
      <c r="BD532" s="2" t="s">
        <v>3</v>
      </c>
      <c r="BE532" s="2" t="s">
        <v>3</v>
      </c>
      <c r="BF532" s="2" t="s">
        <v>3</v>
      </c>
      <c r="BG532" s="2" t="s">
        <v>3</v>
      </c>
      <c r="BH532" s="2">
        <v>3</v>
      </c>
      <c r="BI532" s="2">
        <v>1</v>
      </c>
      <c r="BJ532" s="2" t="s">
        <v>3</v>
      </c>
      <c r="BK532" s="2"/>
      <c r="BL532" s="2"/>
      <c r="BM532" s="2">
        <v>80</v>
      </c>
      <c r="BN532" s="2">
        <v>0</v>
      </c>
      <c r="BO532" s="2" t="s">
        <v>3</v>
      </c>
      <c r="BP532" s="2">
        <v>0</v>
      </c>
      <c r="BQ532" s="2">
        <v>30</v>
      </c>
      <c r="BR532" s="2">
        <v>0</v>
      </c>
      <c r="BS532" s="2">
        <v>1</v>
      </c>
      <c r="BT532" s="2">
        <v>1</v>
      </c>
      <c r="BU532" s="2">
        <v>1</v>
      </c>
      <c r="BV532" s="2">
        <v>1</v>
      </c>
      <c r="BW532" s="2">
        <v>1</v>
      </c>
      <c r="BX532" s="2">
        <v>1</v>
      </c>
      <c r="BY532" s="2" t="s">
        <v>3</v>
      </c>
      <c r="BZ532" s="2">
        <v>85</v>
      </c>
      <c r="CA532" s="2">
        <v>70</v>
      </c>
      <c r="CB532" s="2" t="s">
        <v>3</v>
      </c>
      <c r="CC532" s="2"/>
      <c r="CD532" s="2"/>
      <c r="CE532" s="2">
        <v>30</v>
      </c>
      <c r="CF532" s="2">
        <v>0</v>
      </c>
      <c r="CG532" s="2">
        <v>0</v>
      </c>
      <c r="CH532" s="2"/>
      <c r="CI532" s="2"/>
      <c r="CJ532" s="2"/>
      <c r="CK532" s="2"/>
      <c r="CL532" s="2"/>
      <c r="CM532" s="2">
        <v>0</v>
      </c>
      <c r="CN532" s="2" t="s">
        <v>3</v>
      </c>
      <c r="CO532" s="2">
        <v>0</v>
      </c>
      <c r="CP532" s="2">
        <f t="shared" si="434"/>
        <v>0</v>
      </c>
      <c r="CQ532" s="2">
        <f t="shared" si="435"/>
        <v>0</v>
      </c>
      <c r="CR532" s="2">
        <f t="shared" si="462"/>
        <v>0</v>
      </c>
      <c r="CS532" s="2">
        <f t="shared" si="436"/>
        <v>0</v>
      </c>
      <c r="CT532" s="2">
        <f t="shared" si="437"/>
        <v>0</v>
      </c>
      <c r="CU532" s="2">
        <f t="shared" si="438"/>
        <v>0</v>
      </c>
      <c r="CV532" s="2">
        <f t="shared" si="439"/>
        <v>0</v>
      </c>
      <c r="CW532" s="2">
        <f t="shared" si="440"/>
        <v>0</v>
      </c>
      <c r="CX532" s="2">
        <f t="shared" si="441"/>
        <v>0</v>
      </c>
      <c r="CY532" s="2">
        <f>((S532*BZ532)/100)</f>
        <v>0</v>
      </c>
      <c r="CZ532" s="2">
        <f>((S532*CA532)/100)</f>
        <v>0</v>
      </c>
      <c r="DA532" s="2"/>
      <c r="DB532" s="2"/>
      <c r="DC532" s="2" t="s">
        <v>3</v>
      </c>
      <c r="DD532" s="2" t="s">
        <v>3</v>
      </c>
      <c r="DE532" s="2" t="s">
        <v>3</v>
      </c>
      <c r="DF532" s="2" t="s">
        <v>3</v>
      </c>
      <c r="DG532" s="2" t="s">
        <v>3</v>
      </c>
      <c r="DH532" s="2" t="s">
        <v>3</v>
      </c>
      <c r="DI532" s="2" t="s">
        <v>3</v>
      </c>
      <c r="DJ532" s="2" t="s">
        <v>3</v>
      </c>
      <c r="DK532" s="2" t="s">
        <v>3</v>
      </c>
      <c r="DL532" s="2" t="s">
        <v>3</v>
      </c>
      <c r="DM532" s="2" t="s">
        <v>3</v>
      </c>
      <c r="DN532" s="2">
        <v>0</v>
      </c>
      <c r="DO532" s="2">
        <v>0</v>
      </c>
      <c r="DP532" s="2">
        <v>1</v>
      </c>
      <c r="DQ532" s="2">
        <v>1</v>
      </c>
      <c r="DR532" s="2"/>
      <c r="DS532" s="2"/>
      <c r="DT532" s="2"/>
      <c r="DU532" s="2">
        <v>1009</v>
      </c>
      <c r="DV532" s="2" t="s">
        <v>114</v>
      </c>
      <c r="DW532" s="2" t="s">
        <v>114</v>
      </c>
      <c r="DX532" s="2">
        <v>1000</v>
      </c>
      <c r="DY532" s="2"/>
      <c r="DZ532" s="2" t="s">
        <v>3</v>
      </c>
      <c r="EA532" s="2" t="s">
        <v>3</v>
      </c>
      <c r="EB532" s="2" t="s">
        <v>3</v>
      </c>
      <c r="EC532" s="2" t="s">
        <v>3</v>
      </c>
      <c r="ED532" s="2"/>
      <c r="EE532" s="2">
        <v>126051541</v>
      </c>
      <c r="EF532" s="2">
        <v>30</v>
      </c>
      <c r="EG532" s="2" t="s">
        <v>23</v>
      </c>
      <c r="EH532" s="2">
        <v>0</v>
      </c>
      <c r="EI532" s="2" t="s">
        <v>3</v>
      </c>
      <c r="EJ532" s="2">
        <v>1</v>
      </c>
      <c r="EK532" s="2">
        <v>80</v>
      </c>
      <c r="EL532" s="2" t="s">
        <v>143</v>
      </c>
      <c r="EM532" s="2" t="s">
        <v>144</v>
      </c>
      <c r="EN532" s="2"/>
      <c r="EO532" s="2" t="s">
        <v>3</v>
      </c>
      <c r="EP532" s="2"/>
      <c r="EQ532" s="2">
        <v>0</v>
      </c>
      <c r="ER532" s="2">
        <v>0</v>
      </c>
      <c r="ES532" s="2">
        <v>0</v>
      </c>
      <c r="ET532" s="2">
        <v>0</v>
      </c>
      <c r="EU532" s="2">
        <v>0</v>
      </c>
      <c r="EV532" s="2">
        <v>0</v>
      </c>
      <c r="EW532" s="2">
        <v>0</v>
      </c>
      <c r="EX532" s="2">
        <v>0</v>
      </c>
      <c r="EY532" s="2"/>
      <c r="EZ532" s="2"/>
      <c r="FA532" s="2"/>
      <c r="FB532" s="2"/>
      <c r="FC532" s="2"/>
      <c r="FD532" s="2"/>
      <c r="FE532" s="2"/>
      <c r="FF532" s="2"/>
      <c r="FG532" s="2"/>
      <c r="FH532" s="2"/>
      <c r="FI532" s="2"/>
      <c r="FJ532" s="2"/>
      <c r="FK532" s="2"/>
      <c r="FL532" s="2"/>
      <c r="FM532" s="2"/>
      <c r="FN532" s="2"/>
      <c r="FO532" s="2"/>
      <c r="FP532" s="2"/>
      <c r="FQ532" s="2">
        <v>0</v>
      </c>
      <c r="FR532" s="2">
        <f t="shared" si="442"/>
        <v>0</v>
      </c>
      <c r="FS532" s="2">
        <v>0</v>
      </c>
      <c r="FT532" s="2"/>
      <c r="FU532" s="2"/>
      <c r="FV532" s="2"/>
      <c r="FW532" s="2"/>
      <c r="FX532" s="2">
        <v>85</v>
      </c>
      <c r="FY532" s="2">
        <v>70</v>
      </c>
      <c r="FZ532" s="2"/>
      <c r="GA532" s="2" t="s">
        <v>3</v>
      </c>
      <c r="GB532" s="2"/>
      <c r="GC532" s="2"/>
      <c r="GD532" s="2">
        <v>0</v>
      </c>
      <c r="GE532" s="2"/>
      <c r="GF532" s="2">
        <v>1037925172</v>
      </c>
      <c r="GG532" s="2">
        <v>2</v>
      </c>
      <c r="GH532" s="2">
        <v>0</v>
      </c>
      <c r="GI532" s="2">
        <v>-2</v>
      </c>
      <c r="GJ532" s="2">
        <v>0</v>
      </c>
      <c r="GK532" s="2">
        <f>ROUND(R532*(R12)/100,2)</f>
        <v>0</v>
      </c>
      <c r="GL532" s="2">
        <f t="shared" si="443"/>
        <v>0</v>
      </c>
      <c r="GM532" s="2">
        <f t="shared" si="444"/>
        <v>0</v>
      </c>
      <c r="GN532" s="2">
        <f t="shared" si="445"/>
        <v>0</v>
      </c>
      <c r="GO532" s="2">
        <f t="shared" si="446"/>
        <v>0</v>
      </c>
      <c r="GP532" s="2">
        <f t="shared" si="447"/>
        <v>0</v>
      </c>
      <c r="GQ532" s="2"/>
      <c r="GR532" s="2">
        <v>0</v>
      </c>
      <c r="GS532" s="2">
        <v>0</v>
      </c>
      <c r="GT532" s="2">
        <v>0</v>
      </c>
      <c r="GU532" s="2" t="s">
        <v>3</v>
      </c>
      <c r="GV532" s="2">
        <f t="shared" si="448"/>
        <v>0</v>
      </c>
      <c r="GW532" s="2">
        <v>1</v>
      </c>
      <c r="GX532" s="2">
        <f t="shared" si="449"/>
        <v>0</v>
      </c>
      <c r="GY532" s="2"/>
      <c r="GZ532" s="2"/>
      <c r="HA532" s="2">
        <v>0</v>
      </c>
      <c r="HB532" s="2">
        <v>0</v>
      </c>
      <c r="HC532" s="2">
        <f t="shared" si="450"/>
        <v>0</v>
      </c>
      <c r="HD532" s="2"/>
      <c r="HE532" s="2" t="s">
        <v>3</v>
      </c>
      <c r="HF532" s="2" t="s">
        <v>3</v>
      </c>
      <c r="HG532" s="2"/>
      <c r="HH532" s="2"/>
      <c r="HI532" s="2"/>
      <c r="HJ532" s="2"/>
      <c r="HK532" s="2"/>
      <c r="HL532" s="2"/>
      <c r="HM532" s="2" t="s">
        <v>3</v>
      </c>
      <c r="HN532" s="2" t="s">
        <v>3</v>
      </c>
      <c r="HO532" s="2" t="s">
        <v>3</v>
      </c>
      <c r="HP532" s="2" t="s">
        <v>3</v>
      </c>
      <c r="HQ532" s="2" t="s">
        <v>3</v>
      </c>
      <c r="HR532" s="2"/>
      <c r="HS532" s="2"/>
      <c r="HT532" s="2"/>
      <c r="HU532" s="2"/>
      <c r="HV532" s="2"/>
      <c r="HW532" s="2"/>
      <c r="HX532" s="2"/>
      <c r="HY532" s="2"/>
      <c r="HZ532" s="2"/>
      <c r="IA532" s="2"/>
      <c r="IB532" s="2"/>
      <c r="IC532" s="2"/>
      <c r="ID532" s="2"/>
      <c r="IE532" s="2"/>
      <c r="IF532" s="2"/>
      <c r="IG532" s="2"/>
      <c r="IH532" s="2"/>
      <c r="II532" s="2"/>
      <c r="IJ532" s="2"/>
      <c r="IK532" s="2">
        <v>0</v>
      </c>
      <c r="IL532" s="2"/>
      <c r="IM532" s="2"/>
      <c r="IN532" s="2"/>
      <c r="IO532" s="2"/>
      <c r="IP532" s="2"/>
      <c r="IQ532" s="2"/>
      <c r="IR532" s="2"/>
      <c r="IS532" s="2"/>
      <c r="IT532" s="2"/>
      <c r="IU532" s="2"/>
    </row>
    <row r="533" spans="1:255" x14ac:dyDescent="0.2">
      <c r="A533">
        <v>18</v>
      </c>
      <c r="B533">
        <v>1</v>
      </c>
      <c r="C533">
        <v>536</v>
      </c>
      <c r="E533" t="s">
        <v>561</v>
      </c>
      <c r="F533" t="s">
        <v>562</v>
      </c>
      <c r="G533" t="s">
        <v>563</v>
      </c>
      <c r="H533" t="s">
        <v>114</v>
      </c>
      <c r="I533">
        <f>I523*J533</f>
        <v>1.8839999999999999E-2</v>
      </c>
      <c r="J533">
        <v>0.1253493013972056</v>
      </c>
      <c r="K533">
        <v>0.12534899999999999</v>
      </c>
      <c r="O533">
        <f t="shared" si="420"/>
        <v>0</v>
      </c>
      <c r="P533">
        <f t="shared" si="421"/>
        <v>0</v>
      </c>
      <c r="Q533">
        <f t="shared" si="456"/>
        <v>0</v>
      </c>
      <c r="R533">
        <f t="shared" si="422"/>
        <v>0</v>
      </c>
      <c r="S533">
        <f t="shared" si="423"/>
        <v>0</v>
      </c>
      <c r="T533">
        <f t="shared" si="424"/>
        <v>0</v>
      </c>
      <c r="U533">
        <f t="shared" si="425"/>
        <v>0</v>
      </c>
      <c r="V533">
        <f t="shared" si="426"/>
        <v>0</v>
      </c>
      <c r="W533">
        <f t="shared" si="427"/>
        <v>0</v>
      </c>
      <c r="X533">
        <f t="shared" si="428"/>
        <v>0</v>
      </c>
      <c r="Y533">
        <f t="shared" si="429"/>
        <v>0</v>
      </c>
      <c r="AA533">
        <v>129761633</v>
      </c>
      <c r="AB533">
        <f t="shared" si="430"/>
        <v>0</v>
      </c>
      <c r="AC533">
        <f t="shared" si="431"/>
        <v>0</v>
      </c>
      <c r="AD533">
        <f t="shared" si="457"/>
        <v>0</v>
      </c>
      <c r="AE533">
        <f t="shared" si="458"/>
        <v>0</v>
      </c>
      <c r="AF533">
        <f t="shared" si="459"/>
        <v>0</v>
      </c>
      <c r="AG533">
        <f t="shared" si="432"/>
        <v>0</v>
      </c>
      <c r="AH533">
        <f t="shared" si="460"/>
        <v>0</v>
      </c>
      <c r="AI533">
        <f t="shared" si="461"/>
        <v>0</v>
      </c>
      <c r="AJ533">
        <f t="shared" si="433"/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1</v>
      </c>
      <c r="AW533">
        <v>1</v>
      </c>
      <c r="AZ533">
        <v>1</v>
      </c>
      <c r="BA533">
        <v>1</v>
      </c>
      <c r="BB533">
        <v>1</v>
      </c>
      <c r="BC533">
        <v>11.89</v>
      </c>
      <c r="BD533" t="s">
        <v>3</v>
      </c>
      <c r="BE533" t="s">
        <v>3</v>
      </c>
      <c r="BF533" t="s">
        <v>3</v>
      </c>
      <c r="BG533" t="s">
        <v>3</v>
      </c>
      <c r="BH533">
        <v>3</v>
      </c>
      <c r="BI533">
        <v>1</v>
      </c>
      <c r="BJ533" t="s">
        <v>3</v>
      </c>
      <c r="BM533">
        <v>80</v>
      </c>
      <c r="BN533">
        <v>0</v>
      </c>
      <c r="BO533" t="s">
        <v>562</v>
      </c>
      <c r="BP533">
        <v>1</v>
      </c>
      <c r="BQ533">
        <v>30</v>
      </c>
      <c r="BR533">
        <v>0</v>
      </c>
      <c r="BS533">
        <v>1</v>
      </c>
      <c r="BT533">
        <v>1</v>
      </c>
      <c r="BU533">
        <v>1</v>
      </c>
      <c r="BV533">
        <v>1</v>
      </c>
      <c r="BW533">
        <v>1</v>
      </c>
      <c r="BX533">
        <v>1</v>
      </c>
      <c r="BY533" t="s">
        <v>3</v>
      </c>
      <c r="BZ533">
        <v>0</v>
      </c>
      <c r="CA533">
        <v>0</v>
      </c>
      <c r="CB533" t="s">
        <v>3</v>
      </c>
      <c r="CE533">
        <v>30</v>
      </c>
      <c r="CF533">
        <v>0</v>
      </c>
      <c r="CG533">
        <v>0</v>
      </c>
      <c r="CM533">
        <v>0</v>
      </c>
      <c r="CN533" t="s">
        <v>3</v>
      </c>
      <c r="CO533">
        <v>0</v>
      </c>
      <c r="CP533">
        <f t="shared" si="434"/>
        <v>0</v>
      </c>
      <c r="CQ533">
        <f t="shared" si="435"/>
        <v>0</v>
      </c>
      <c r="CR533">
        <f t="shared" si="462"/>
        <v>0</v>
      </c>
      <c r="CS533">
        <f t="shared" si="436"/>
        <v>0</v>
      </c>
      <c r="CT533">
        <f t="shared" si="437"/>
        <v>0</v>
      </c>
      <c r="CU533">
        <f t="shared" si="438"/>
        <v>0</v>
      </c>
      <c r="CV533">
        <f t="shared" si="439"/>
        <v>0</v>
      </c>
      <c r="CW533">
        <f t="shared" si="440"/>
        <v>0</v>
      </c>
      <c r="CX533">
        <f t="shared" si="441"/>
        <v>0</v>
      </c>
      <c r="CY533">
        <f>S533*(BZ533/100)</f>
        <v>0</v>
      </c>
      <c r="CZ533">
        <f>S533*(CA533/100)</f>
        <v>0</v>
      </c>
      <c r="DC533" t="s">
        <v>3</v>
      </c>
      <c r="DD533" t="s">
        <v>3</v>
      </c>
      <c r="DE533" t="s">
        <v>3</v>
      </c>
      <c r="DF533" t="s">
        <v>3</v>
      </c>
      <c r="DG533" t="s">
        <v>3</v>
      </c>
      <c r="DH533" t="s">
        <v>3</v>
      </c>
      <c r="DI533" t="s">
        <v>3</v>
      </c>
      <c r="DJ533" t="s">
        <v>3</v>
      </c>
      <c r="DK533" t="s">
        <v>3</v>
      </c>
      <c r="DL533" t="s">
        <v>3</v>
      </c>
      <c r="DM533" t="s">
        <v>3</v>
      </c>
      <c r="DN533">
        <v>85</v>
      </c>
      <c r="DO533">
        <v>70</v>
      </c>
      <c r="DP533">
        <v>1</v>
      </c>
      <c r="DQ533">
        <v>1</v>
      </c>
      <c r="DU533">
        <v>1009</v>
      </c>
      <c r="DV533" t="s">
        <v>114</v>
      </c>
      <c r="DW533" t="s">
        <v>114</v>
      </c>
      <c r="DX533">
        <v>1000</v>
      </c>
      <c r="DZ533" t="s">
        <v>3</v>
      </c>
      <c r="EA533" t="s">
        <v>3</v>
      </c>
      <c r="EB533" t="s">
        <v>3</v>
      </c>
      <c r="EC533" t="s">
        <v>3</v>
      </c>
      <c r="EE533">
        <v>126051541</v>
      </c>
      <c r="EF533">
        <v>30</v>
      </c>
      <c r="EG533" t="s">
        <v>23</v>
      </c>
      <c r="EH533">
        <v>0</v>
      </c>
      <c r="EI533" t="s">
        <v>3</v>
      </c>
      <c r="EJ533">
        <v>1</v>
      </c>
      <c r="EK533">
        <v>80</v>
      </c>
      <c r="EL533" t="s">
        <v>143</v>
      </c>
      <c r="EM533" t="s">
        <v>144</v>
      </c>
      <c r="EO533" t="s">
        <v>3</v>
      </c>
      <c r="EQ533">
        <v>0</v>
      </c>
      <c r="ER533">
        <v>0</v>
      </c>
      <c r="ES533">
        <v>0</v>
      </c>
      <c r="ET533">
        <v>0</v>
      </c>
      <c r="EU533">
        <v>0</v>
      </c>
      <c r="EV533">
        <v>0</v>
      </c>
      <c r="EW533">
        <v>0</v>
      </c>
      <c r="EX533">
        <v>0</v>
      </c>
      <c r="FQ533">
        <v>0</v>
      </c>
      <c r="FR533">
        <f t="shared" si="442"/>
        <v>0</v>
      </c>
      <c r="FS533">
        <v>0</v>
      </c>
      <c r="FX533">
        <v>85</v>
      </c>
      <c r="FY533">
        <v>70</v>
      </c>
      <c r="GA533" t="s">
        <v>259</v>
      </c>
      <c r="GD533">
        <v>0</v>
      </c>
      <c r="GF533">
        <v>1037925172</v>
      </c>
      <c r="GG533">
        <v>2</v>
      </c>
      <c r="GH533">
        <v>2</v>
      </c>
      <c r="GI533">
        <v>2</v>
      </c>
      <c r="GJ533">
        <v>0</v>
      </c>
      <c r="GK533">
        <f>ROUND(R533*(S12)/100,2)</f>
        <v>0</v>
      </c>
      <c r="GL533">
        <f t="shared" si="443"/>
        <v>0</v>
      </c>
      <c r="GM533">
        <f t="shared" si="444"/>
        <v>0</v>
      </c>
      <c r="GN533">
        <f t="shared" si="445"/>
        <v>0</v>
      </c>
      <c r="GO533">
        <f t="shared" si="446"/>
        <v>0</v>
      </c>
      <c r="GP533">
        <f t="shared" si="447"/>
        <v>0</v>
      </c>
      <c r="GR533">
        <v>0</v>
      </c>
      <c r="GS533">
        <v>4</v>
      </c>
      <c r="GT533">
        <v>0</v>
      </c>
      <c r="GU533" t="s">
        <v>3</v>
      </c>
      <c r="GV533">
        <f t="shared" si="448"/>
        <v>0</v>
      </c>
      <c r="GW533">
        <v>1</v>
      </c>
      <c r="GX533">
        <f t="shared" si="449"/>
        <v>0</v>
      </c>
      <c r="HA533">
        <v>0</v>
      </c>
      <c r="HB533">
        <v>0</v>
      </c>
      <c r="HC533">
        <f t="shared" si="450"/>
        <v>0</v>
      </c>
      <c r="HE533" t="s">
        <v>3</v>
      </c>
      <c r="HF533" t="s">
        <v>3</v>
      </c>
      <c r="HM533" t="s">
        <v>3</v>
      </c>
      <c r="HN533" t="s">
        <v>3</v>
      </c>
      <c r="HO533" t="s">
        <v>3</v>
      </c>
      <c r="HP533" t="s">
        <v>3</v>
      </c>
      <c r="HQ533" t="s">
        <v>3</v>
      </c>
      <c r="IK533">
        <v>0</v>
      </c>
    </row>
    <row r="534" spans="1:255" x14ac:dyDescent="0.2">
      <c r="A534" s="2">
        <v>18</v>
      </c>
      <c r="B534" s="2">
        <v>1</v>
      </c>
      <c r="C534" s="2">
        <v>526</v>
      </c>
      <c r="D534" s="2"/>
      <c r="E534" s="2" t="s">
        <v>564</v>
      </c>
      <c r="F534" s="2" t="s">
        <v>565</v>
      </c>
      <c r="G534" s="2" t="s">
        <v>566</v>
      </c>
      <c r="H534" s="2" t="s">
        <v>114</v>
      </c>
      <c r="I534" s="2">
        <f>I522*J534</f>
        <v>5.8999999999999997E-2</v>
      </c>
      <c r="J534" s="2">
        <v>0.3925482368596141</v>
      </c>
      <c r="K534" s="2">
        <v>0.3925482368596141</v>
      </c>
      <c r="L534" s="2"/>
      <c r="M534" s="2"/>
      <c r="N534" s="2"/>
      <c r="O534" s="2">
        <f t="shared" ref="O534:O565" si="463">ROUND(CP534,2)</f>
        <v>0</v>
      </c>
      <c r="P534" s="2">
        <f t="shared" ref="P534:P565" si="464">ROUND((ROUND((AC534*AW534*I534),2)*BC534),2)</f>
        <v>0</v>
      </c>
      <c r="Q534" s="2">
        <f t="shared" si="456"/>
        <v>0</v>
      </c>
      <c r="R534" s="2">
        <f t="shared" ref="R534:R565" si="465">ROUND((ROUND((AE534*AV534*I534),2)*BS534),2)</f>
        <v>0</v>
      </c>
      <c r="S534" s="2">
        <f t="shared" ref="S534:S565" si="466">ROUND((ROUND((AF534*AV534*I534),2)*BA534),2)</f>
        <v>0</v>
      </c>
      <c r="T534" s="2">
        <f t="shared" ref="T534:T565" si="467">ROUND(CU534*I534,2)</f>
        <v>0</v>
      </c>
      <c r="U534" s="2">
        <f t="shared" ref="U534:U565" si="468">CV534*I534</f>
        <v>0</v>
      </c>
      <c r="V534" s="2">
        <f t="shared" ref="V534:V565" si="469">CW534*I534</f>
        <v>0</v>
      </c>
      <c r="W534" s="2">
        <f t="shared" ref="W534:W565" si="470">ROUND(CX534*I534,2)</f>
        <v>0</v>
      </c>
      <c r="X534" s="2">
        <f t="shared" ref="X534:X565" si="471">ROUND(CY534,2)</f>
        <v>0</v>
      </c>
      <c r="Y534" s="2">
        <f t="shared" ref="Y534:Y565" si="472">ROUND(CZ534,2)</f>
        <v>0</v>
      </c>
      <c r="Z534" s="2"/>
      <c r="AA534" s="2">
        <v>129761636</v>
      </c>
      <c r="AB534" s="2">
        <f t="shared" ref="AB534:AB565" si="473">ROUND((AC534+AD534+AF534),6)</f>
        <v>0</v>
      </c>
      <c r="AC534" s="2">
        <f t="shared" ref="AC534:AC565" si="474">ROUND((ES534),6)</f>
        <v>0</v>
      </c>
      <c r="AD534" s="2">
        <f t="shared" si="457"/>
        <v>0</v>
      </c>
      <c r="AE534" s="2">
        <f t="shared" si="458"/>
        <v>0</v>
      </c>
      <c r="AF534" s="2">
        <f t="shared" si="459"/>
        <v>0</v>
      </c>
      <c r="AG534" s="2">
        <f t="shared" ref="AG534:AG565" si="475">ROUND((AP534),6)</f>
        <v>0</v>
      </c>
      <c r="AH534" s="2">
        <f t="shared" si="460"/>
        <v>0</v>
      </c>
      <c r="AI534" s="2">
        <f t="shared" si="461"/>
        <v>0</v>
      </c>
      <c r="AJ534" s="2">
        <f t="shared" ref="AJ534:AJ565" si="476">(AS534)</f>
        <v>0</v>
      </c>
      <c r="AK534" s="2">
        <v>0</v>
      </c>
      <c r="AL534" s="2">
        <v>0</v>
      </c>
      <c r="AM534" s="2">
        <v>0</v>
      </c>
      <c r="AN534" s="2">
        <v>0</v>
      </c>
      <c r="AO534" s="2">
        <v>0</v>
      </c>
      <c r="AP534" s="2">
        <v>0</v>
      </c>
      <c r="AQ534" s="2">
        <v>0</v>
      </c>
      <c r="AR534" s="2">
        <v>0</v>
      </c>
      <c r="AS534" s="2">
        <v>0</v>
      </c>
      <c r="AT534" s="2">
        <v>85</v>
      </c>
      <c r="AU534" s="2">
        <v>70</v>
      </c>
      <c r="AV534" s="2">
        <v>1</v>
      </c>
      <c r="AW534" s="2">
        <v>1</v>
      </c>
      <c r="AX534" s="2"/>
      <c r="AY534" s="2"/>
      <c r="AZ534" s="2">
        <v>1</v>
      </c>
      <c r="BA534" s="2">
        <v>1</v>
      </c>
      <c r="BB534" s="2">
        <v>1</v>
      </c>
      <c r="BC534" s="2">
        <v>1</v>
      </c>
      <c r="BD534" s="2" t="s">
        <v>3</v>
      </c>
      <c r="BE534" s="2" t="s">
        <v>3</v>
      </c>
      <c r="BF534" s="2" t="s">
        <v>3</v>
      </c>
      <c r="BG534" s="2" t="s">
        <v>3</v>
      </c>
      <c r="BH534" s="2">
        <v>3</v>
      </c>
      <c r="BI534" s="2">
        <v>1</v>
      </c>
      <c r="BJ534" s="2" t="s">
        <v>3</v>
      </c>
      <c r="BK534" s="2"/>
      <c r="BL534" s="2"/>
      <c r="BM534" s="2">
        <v>80</v>
      </c>
      <c r="BN534" s="2">
        <v>0</v>
      </c>
      <c r="BO534" s="2" t="s">
        <v>3</v>
      </c>
      <c r="BP534" s="2">
        <v>0</v>
      </c>
      <c r="BQ534" s="2">
        <v>30</v>
      </c>
      <c r="BR534" s="2">
        <v>0</v>
      </c>
      <c r="BS534" s="2">
        <v>1</v>
      </c>
      <c r="BT534" s="2">
        <v>1</v>
      </c>
      <c r="BU534" s="2">
        <v>1</v>
      </c>
      <c r="BV534" s="2">
        <v>1</v>
      </c>
      <c r="BW534" s="2">
        <v>1</v>
      </c>
      <c r="BX534" s="2">
        <v>1</v>
      </c>
      <c r="BY534" s="2" t="s">
        <v>3</v>
      </c>
      <c r="BZ534" s="2">
        <v>85</v>
      </c>
      <c r="CA534" s="2">
        <v>70</v>
      </c>
      <c r="CB534" s="2" t="s">
        <v>3</v>
      </c>
      <c r="CC534" s="2"/>
      <c r="CD534" s="2"/>
      <c r="CE534" s="2">
        <v>30</v>
      </c>
      <c r="CF534" s="2">
        <v>0</v>
      </c>
      <c r="CG534" s="2">
        <v>0</v>
      </c>
      <c r="CH534" s="2"/>
      <c r="CI534" s="2"/>
      <c r="CJ534" s="2"/>
      <c r="CK534" s="2"/>
      <c r="CL534" s="2"/>
      <c r="CM534" s="2">
        <v>0</v>
      </c>
      <c r="CN534" s="2" t="s">
        <v>3</v>
      </c>
      <c r="CO534" s="2">
        <v>0</v>
      </c>
      <c r="CP534" s="2">
        <f t="shared" ref="CP534:CP565" si="477">(P534+Q534+S534)</f>
        <v>0</v>
      </c>
      <c r="CQ534" s="2">
        <f t="shared" ref="CQ534:CQ565" si="478">ROUND((ROUND((AC534*AW534*1),2)*BC534),2)</f>
        <v>0</v>
      </c>
      <c r="CR534" s="2">
        <f t="shared" si="462"/>
        <v>0</v>
      </c>
      <c r="CS534" s="2">
        <f t="shared" ref="CS534:CS565" si="479">ROUND((ROUND((AE534*AV534*1),2)*BS534),2)</f>
        <v>0</v>
      </c>
      <c r="CT534" s="2">
        <f t="shared" ref="CT534:CT565" si="480">ROUND((ROUND((AF534*AV534*1),2)*BA534),2)</f>
        <v>0</v>
      </c>
      <c r="CU534" s="2">
        <f t="shared" ref="CU534:CU565" si="481">AG534</f>
        <v>0</v>
      </c>
      <c r="CV534" s="2">
        <f t="shared" ref="CV534:CV565" si="482">(AH534*AV534)</f>
        <v>0</v>
      </c>
      <c r="CW534" s="2">
        <f t="shared" ref="CW534:CW565" si="483">AI534</f>
        <v>0</v>
      </c>
      <c r="CX534" s="2">
        <f t="shared" ref="CX534:CX565" si="484">AJ534</f>
        <v>0</v>
      </c>
      <c r="CY534" s="2">
        <f>((S534*BZ534)/100)</f>
        <v>0</v>
      </c>
      <c r="CZ534" s="2">
        <f>((S534*CA534)/100)</f>
        <v>0</v>
      </c>
      <c r="DA534" s="2"/>
      <c r="DB534" s="2"/>
      <c r="DC534" s="2" t="s">
        <v>3</v>
      </c>
      <c r="DD534" s="2" t="s">
        <v>3</v>
      </c>
      <c r="DE534" s="2" t="s">
        <v>3</v>
      </c>
      <c r="DF534" s="2" t="s">
        <v>3</v>
      </c>
      <c r="DG534" s="2" t="s">
        <v>3</v>
      </c>
      <c r="DH534" s="2" t="s">
        <v>3</v>
      </c>
      <c r="DI534" s="2" t="s">
        <v>3</v>
      </c>
      <c r="DJ534" s="2" t="s">
        <v>3</v>
      </c>
      <c r="DK534" s="2" t="s">
        <v>3</v>
      </c>
      <c r="DL534" s="2" t="s">
        <v>3</v>
      </c>
      <c r="DM534" s="2" t="s">
        <v>3</v>
      </c>
      <c r="DN534" s="2">
        <v>0</v>
      </c>
      <c r="DO534" s="2">
        <v>0</v>
      </c>
      <c r="DP534" s="2">
        <v>1</v>
      </c>
      <c r="DQ534" s="2">
        <v>1</v>
      </c>
      <c r="DR534" s="2"/>
      <c r="DS534" s="2"/>
      <c r="DT534" s="2"/>
      <c r="DU534" s="2">
        <v>1009</v>
      </c>
      <c r="DV534" s="2" t="s">
        <v>114</v>
      </c>
      <c r="DW534" s="2" t="s">
        <v>114</v>
      </c>
      <c r="DX534" s="2">
        <v>1000</v>
      </c>
      <c r="DY534" s="2"/>
      <c r="DZ534" s="2" t="s">
        <v>3</v>
      </c>
      <c r="EA534" s="2" t="s">
        <v>3</v>
      </c>
      <c r="EB534" s="2" t="s">
        <v>3</v>
      </c>
      <c r="EC534" s="2" t="s">
        <v>3</v>
      </c>
      <c r="ED534" s="2"/>
      <c r="EE534" s="2">
        <v>126051541</v>
      </c>
      <c r="EF534" s="2">
        <v>30</v>
      </c>
      <c r="EG534" s="2" t="s">
        <v>23</v>
      </c>
      <c r="EH534" s="2">
        <v>0</v>
      </c>
      <c r="EI534" s="2" t="s">
        <v>3</v>
      </c>
      <c r="EJ534" s="2">
        <v>1</v>
      </c>
      <c r="EK534" s="2">
        <v>80</v>
      </c>
      <c r="EL534" s="2" t="s">
        <v>143</v>
      </c>
      <c r="EM534" s="2" t="s">
        <v>144</v>
      </c>
      <c r="EN534" s="2"/>
      <c r="EO534" s="2" t="s">
        <v>3</v>
      </c>
      <c r="EP534" s="2"/>
      <c r="EQ534" s="2">
        <v>0</v>
      </c>
      <c r="ER534" s="2">
        <v>0</v>
      </c>
      <c r="ES534" s="2">
        <v>0</v>
      </c>
      <c r="ET534" s="2">
        <v>0</v>
      </c>
      <c r="EU534" s="2">
        <v>0</v>
      </c>
      <c r="EV534" s="2">
        <v>0</v>
      </c>
      <c r="EW534" s="2">
        <v>0</v>
      </c>
      <c r="EX534" s="2">
        <v>0</v>
      </c>
      <c r="EY534" s="2"/>
      <c r="EZ534" s="2"/>
      <c r="FA534" s="2"/>
      <c r="FB534" s="2"/>
      <c r="FC534" s="2"/>
      <c r="FD534" s="2"/>
      <c r="FE534" s="2"/>
      <c r="FF534" s="2"/>
      <c r="FG534" s="2"/>
      <c r="FH534" s="2"/>
      <c r="FI534" s="2"/>
      <c r="FJ534" s="2"/>
      <c r="FK534" s="2"/>
      <c r="FL534" s="2"/>
      <c r="FM534" s="2"/>
      <c r="FN534" s="2"/>
      <c r="FO534" s="2"/>
      <c r="FP534" s="2"/>
      <c r="FQ534" s="2">
        <v>0</v>
      </c>
      <c r="FR534" s="2">
        <f t="shared" ref="FR534:FR565" si="485">ROUND(IF(AND(BH534=3,BI534=3),P534,0),2)</f>
        <v>0</v>
      </c>
      <c r="FS534" s="2">
        <v>0</v>
      </c>
      <c r="FT534" s="2"/>
      <c r="FU534" s="2"/>
      <c r="FV534" s="2"/>
      <c r="FW534" s="2"/>
      <c r="FX534" s="2">
        <v>85</v>
      </c>
      <c r="FY534" s="2">
        <v>70</v>
      </c>
      <c r="FZ534" s="2"/>
      <c r="GA534" s="2" t="s">
        <v>3</v>
      </c>
      <c r="GB534" s="2"/>
      <c r="GC534" s="2"/>
      <c r="GD534" s="2">
        <v>0</v>
      </c>
      <c r="GE534" s="2"/>
      <c r="GF534" s="2">
        <v>-1207895087</v>
      </c>
      <c r="GG534" s="2">
        <v>2</v>
      </c>
      <c r="GH534" s="2">
        <v>0</v>
      </c>
      <c r="GI534" s="2">
        <v>-2</v>
      </c>
      <c r="GJ534" s="2">
        <v>0</v>
      </c>
      <c r="GK534" s="2">
        <f>ROUND(R534*(R12)/100,2)</f>
        <v>0</v>
      </c>
      <c r="GL534" s="2">
        <f t="shared" ref="GL534:GL565" si="486">ROUND(IF(AND(BH534=3,BI534=3,FS534&lt;&gt;0),P534,0),2)</f>
        <v>0</v>
      </c>
      <c r="GM534" s="2">
        <f t="shared" ref="GM534:GM565" si="487">ROUND(O534+X534+Y534+GK534,2)+GX534</f>
        <v>0</v>
      </c>
      <c r="GN534" s="2">
        <f t="shared" ref="GN534:GN565" si="488">IF(OR(BI534=0,BI534=1),ROUND(O534+X534+Y534+GK534,2),0)</f>
        <v>0</v>
      </c>
      <c r="GO534" s="2">
        <f t="shared" ref="GO534:GO565" si="489">IF(BI534=2,ROUND(O534+X534+Y534+GK534,2),0)</f>
        <v>0</v>
      </c>
      <c r="GP534" s="2">
        <f t="shared" ref="GP534:GP565" si="490">IF(BI534=4,ROUND(O534+X534+Y534+GK534,2)+GX534,0)</f>
        <v>0</v>
      </c>
      <c r="GQ534" s="2"/>
      <c r="GR534" s="2">
        <v>0</v>
      </c>
      <c r="GS534" s="2">
        <v>0</v>
      </c>
      <c r="GT534" s="2">
        <v>0</v>
      </c>
      <c r="GU534" s="2" t="s">
        <v>3</v>
      </c>
      <c r="GV534" s="2">
        <f t="shared" ref="GV534:GV565" si="491">ROUND((GT534),6)</f>
        <v>0</v>
      </c>
      <c r="GW534" s="2">
        <v>1</v>
      </c>
      <c r="GX534" s="2">
        <f t="shared" ref="GX534:GX565" si="492">ROUND(HC534*I534,2)</f>
        <v>0</v>
      </c>
      <c r="GY534" s="2"/>
      <c r="GZ534" s="2"/>
      <c r="HA534" s="2">
        <v>0</v>
      </c>
      <c r="HB534" s="2">
        <v>0</v>
      </c>
      <c r="HC534" s="2">
        <f t="shared" ref="HC534:HC565" si="493">GV534*GW534</f>
        <v>0</v>
      </c>
      <c r="HD534" s="2"/>
      <c r="HE534" s="2" t="s">
        <v>3</v>
      </c>
      <c r="HF534" s="2" t="s">
        <v>3</v>
      </c>
      <c r="HG534" s="2"/>
      <c r="HH534" s="2"/>
      <c r="HI534" s="2"/>
      <c r="HJ534" s="2"/>
      <c r="HK534" s="2"/>
      <c r="HL534" s="2"/>
      <c r="HM534" s="2" t="s">
        <v>3</v>
      </c>
      <c r="HN534" s="2" t="s">
        <v>3</v>
      </c>
      <c r="HO534" s="2" t="s">
        <v>3</v>
      </c>
      <c r="HP534" s="2" t="s">
        <v>3</v>
      </c>
      <c r="HQ534" s="2" t="s">
        <v>3</v>
      </c>
      <c r="HR534" s="2"/>
      <c r="HS534" s="2"/>
      <c r="HT534" s="2"/>
      <c r="HU534" s="2"/>
      <c r="HV534" s="2"/>
      <c r="HW534" s="2"/>
      <c r="HX534" s="2"/>
      <c r="HY534" s="2"/>
      <c r="HZ534" s="2"/>
      <c r="IA534" s="2"/>
      <c r="IB534" s="2"/>
      <c r="IC534" s="2"/>
      <c r="ID534" s="2"/>
      <c r="IE534" s="2"/>
      <c r="IF534" s="2"/>
      <c r="IG534" s="2"/>
      <c r="IH534" s="2"/>
      <c r="II534" s="2"/>
      <c r="IJ534" s="2"/>
      <c r="IK534" s="2">
        <v>0</v>
      </c>
      <c r="IL534" s="2"/>
      <c r="IM534" s="2"/>
      <c r="IN534" s="2"/>
      <c r="IO534" s="2"/>
      <c r="IP534" s="2"/>
      <c r="IQ534" s="2"/>
      <c r="IR534" s="2"/>
      <c r="IS534" s="2"/>
      <c r="IT534" s="2"/>
      <c r="IU534" s="2"/>
    </row>
    <row r="535" spans="1:255" x14ac:dyDescent="0.2">
      <c r="A535">
        <v>18</v>
      </c>
      <c r="B535">
        <v>1</v>
      </c>
      <c r="C535">
        <v>541</v>
      </c>
      <c r="E535" t="s">
        <v>564</v>
      </c>
      <c r="F535" t="s">
        <v>565</v>
      </c>
      <c r="G535" t="s">
        <v>566</v>
      </c>
      <c r="H535" t="s">
        <v>114</v>
      </c>
      <c r="I535">
        <f>I523*J535</f>
        <v>5.8999999999999997E-2</v>
      </c>
      <c r="J535">
        <v>0.3925482368596141</v>
      </c>
      <c r="K535">
        <v>0.3925482368596141</v>
      </c>
      <c r="O535">
        <f t="shared" si="463"/>
        <v>0</v>
      </c>
      <c r="P535">
        <f t="shared" si="464"/>
        <v>0</v>
      </c>
      <c r="Q535">
        <f t="shared" si="456"/>
        <v>0</v>
      </c>
      <c r="R535">
        <f t="shared" si="465"/>
        <v>0</v>
      </c>
      <c r="S535">
        <f t="shared" si="466"/>
        <v>0</v>
      </c>
      <c r="T535">
        <f t="shared" si="467"/>
        <v>0</v>
      </c>
      <c r="U535">
        <f t="shared" si="468"/>
        <v>0</v>
      </c>
      <c r="V535">
        <f t="shared" si="469"/>
        <v>0</v>
      </c>
      <c r="W535">
        <f t="shared" si="470"/>
        <v>0</v>
      </c>
      <c r="X535">
        <f t="shared" si="471"/>
        <v>0</v>
      </c>
      <c r="Y535">
        <f t="shared" si="472"/>
        <v>0</v>
      </c>
      <c r="AA535">
        <v>129761633</v>
      </c>
      <c r="AB535">
        <f t="shared" si="473"/>
        <v>0</v>
      </c>
      <c r="AC535">
        <f t="shared" si="474"/>
        <v>0</v>
      </c>
      <c r="AD535">
        <f t="shared" si="457"/>
        <v>0</v>
      </c>
      <c r="AE535">
        <f t="shared" si="458"/>
        <v>0</v>
      </c>
      <c r="AF535">
        <f t="shared" si="459"/>
        <v>0</v>
      </c>
      <c r="AG535">
        <f t="shared" si="475"/>
        <v>0</v>
      </c>
      <c r="AH535">
        <f t="shared" si="460"/>
        <v>0</v>
      </c>
      <c r="AI535">
        <f t="shared" si="461"/>
        <v>0</v>
      </c>
      <c r="AJ535">
        <f t="shared" si="476"/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1</v>
      </c>
      <c r="AW535">
        <v>1</v>
      </c>
      <c r="AZ535">
        <v>1</v>
      </c>
      <c r="BA535">
        <v>1</v>
      </c>
      <c r="BB535">
        <v>1</v>
      </c>
      <c r="BC535">
        <v>8.57</v>
      </c>
      <c r="BD535" t="s">
        <v>3</v>
      </c>
      <c r="BE535" t="s">
        <v>3</v>
      </c>
      <c r="BF535" t="s">
        <v>3</v>
      </c>
      <c r="BG535" t="s">
        <v>3</v>
      </c>
      <c r="BH535">
        <v>3</v>
      </c>
      <c r="BI535">
        <v>1</v>
      </c>
      <c r="BJ535" t="s">
        <v>3</v>
      </c>
      <c r="BM535">
        <v>80</v>
      </c>
      <c r="BN535">
        <v>0</v>
      </c>
      <c r="BO535" t="s">
        <v>565</v>
      </c>
      <c r="BP535">
        <v>1</v>
      </c>
      <c r="BQ535">
        <v>30</v>
      </c>
      <c r="BR535">
        <v>0</v>
      </c>
      <c r="BS535">
        <v>1</v>
      </c>
      <c r="BT535">
        <v>1</v>
      </c>
      <c r="BU535">
        <v>1</v>
      </c>
      <c r="BV535">
        <v>1</v>
      </c>
      <c r="BW535">
        <v>1</v>
      </c>
      <c r="BX535">
        <v>1</v>
      </c>
      <c r="BY535" t="s">
        <v>3</v>
      </c>
      <c r="BZ535">
        <v>0</v>
      </c>
      <c r="CA535">
        <v>0</v>
      </c>
      <c r="CB535" t="s">
        <v>3</v>
      </c>
      <c r="CE535">
        <v>30</v>
      </c>
      <c r="CF535">
        <v>0</v>
      </c>
      <c r="CG535">
        <v>0</v>
      </c>
      <c r="CM535">
        <v>0</v>
      </c>
      <c r="CN535" t="s">
        <v>3</v>
      </c>
      <c r="CO535">
        <v>0</v>
      </c>
      <c r="CP535">
        <f t="shared" si="477"/>
        <v>0</v>
      </c>
      <c r="CQ535">
        <f t="shared" si="478"/>
        <v>0</v>
      </c>
      <c r="CR535">
        <f t="shared" si="462"/>
        <v>0</v>
      </c>
      <c r="CS535">
        <f t="shared" si="479"/>
        <v>0</v>
      </c>
      <c r="CT535">
        <f t="shared" si="480"/>
        <v>0</v>
      </c>
      <c r="CU535">
        <f t="shared" si="481"/>
        <v>0</v>
      </c>
      <c r="CV535">
        <f t="shared" si="482"/>
        <v>0</v>
      </c>
      <c r="CW535">
        <f t="shared" si="483"/>
        <v>0</v>
      </c>
      <c r="CX535">
        <f t="shared" si="484"/>
        <v>0</v>
      </c>
      <c r="CY535">
        <f>S535*(BZ535/100)</f>
        <v>0</v>
      </c>
      <c r="CZ535">
        <f>S535*(CA535/100)</f>
        <v>0</v>
      </c>
      <c r="DC535" t="s">
        <v>3</v>
      </c>
      <c r="DD535" t="s">
        <v>3</v>
      </c>
      <c r="DE535" t="s">
        <v>3</v>
      </c>
      <c r="DF535" t="s">
        <v>3</v>
      </c>
      <c r="DG535" t="s">
        <v>3</v>
      </c>
      <c r="DH535" t="s">
        <v>3</v>
      </c>
      <c r="DI535" t="s">
        <v>3</v>
      </c>
      <c r="DJ535" t="s">
        <v>3</v>
      </c>
      <c r="DK535" t="s">
        <v>3</v>
      </c>
      <c r="DL535" t="s">
        <v>3</v>
      </c>
      <c r="DM535" t="s">
        <v>3</v>
      </c>
      <c r="DN535">
        <v>85</v>
      </c>
      <c r="DO535">
        <v>70</v>
      </c>
      <c r="DP535">
        <v>1</v>
      </c>
      <c r="DQ535">
        <v>1</v>
      </c>
      <c r="DU535">
        <v>1009</v>
      </c>
      <c r="DV535" t="s">
        <v>114</v>
      </c>
      <c r="DW535" t="s">
        <v>114</v>
      </c>
      <c r="DX535">
        <v>1000</v>
      </c>
      <c r="DZ535" t="s">
        <v>3</v>
      </c>
      <c r="EA535" t="s">
        <v>3</v>
      </c>
      <c r="EB535" t="s">
        <v>3</v>
      </c>
      <c r="EC535" t="s">
        <v>3</v>
      </c>
      <c r="EE535">
        <v>126051541</v>
      </c>
      <c r="EF535">
        <v>30</v>
      </c>
      <c r="EG535" t="s">
        <v>23</v>
      </c>
      <c r="EH535">
        <v>0</v>
      </c>
      <c r="EI535" t="s">
        <v>3</v>
      </c>
      <c r="EJ535">
        <v>1</v>
      </c>
      <c r="EK535">
        <v>80</v>
      </c>
      <c r="EL535" t="s">
        <v>143</v>
      </c>
      <c r="EM535" t="s">
        <v>144</v>
      </c>
      <c r="EO535" t="s">
        <v>3</v>
      </c>
      <c r="EQ535">
        <v>0</v>
      </c>
      <c r="ER535">
        <v>0</v>
      </c>
      <c r="ES535">
        <v>0</v>
      </c>
      <c r="ET535">
        <v>0</v>
      </c>
      <c r="EU535">
        <v>0</v>
      </c>
      <c r="EV535">
        <v>0</v>
      </c>
      <c r="EW535">
        <v>0</v>
      </c>
      <c r="EX535">
        <v>0</v>
      </c>
      <c r="FQ535">
        <v>0</v>
      </c>
      <c r="FR535">
        <f t="shared" si="485"/>
        <v>0</v>
      </c>
      <c r="FS535">
        <v>0</v>
      </c>
      <c r="FX535">
        <v>85</v>
      </c>
      <c r="FY535">
        <v>70</v>
      </c>
      <c r="GA535" t="s">
        <v>259</v>
      </c>
      <c r="GD535">
        <v>0</v>
      </c>
      <c r="GF535">
        <v>-1207895087</v>
      </c>
      <c r="GG535">
        <v>2</v>
      </c>
      <c r="GH535">
        <v>2</v>
      </c>
      <c r="GI535">
        <v>2</v>
      </c>
      <c r="GJ535">
        <v>0</v>
      </c>
      <c r="GK535">
        <f>ROUND(R535*(S12)/100,2)</f>
        <v>0</v>
      </c>
      <c r="GL535">
        <f t="shared" si="486"/>
        <v>0</v>
      </c>
      <c r="GM535">
        <f t="shared" si="487"/>
        <v>0</v>
      </c>
      <c r="GN535">
        <f t="shared" si="488"/>
        <v>0</v>
      </c>
      <c r="GO535">
        <f t="shared" si="489"/>
        <v>0</v>
      </c>
      <c r="GP535">
        <f t="shared" si="490"/>
        <v>0</v>
      </c>
      <c r="GR535">
        <v>0</v>
      </c>
      <c r="GS535">
        <v>4</v>
      </c>
      <c r="GT535">
        <v>0</v>
      </c>
      <c r="GU535" t="s">
        <v>3</v>
      </c>
      <c r="GV535">
        <f t="shared" si="491"/>
        <v>0</v>
      </c>
      <c r="GW535">
        <v>1</v>
      </c>
      <c r="GX535">
        <f t="shared" si="492"/>
        <v>0</v>
      </c>
      <c r="HA535">
        <v>0</v>
      </c>
      <c r="HB535">
        <v>0</v>
      </c>
      <c r="HC535">
        <f t="shared" si="493"/>
        <v>0</v>
      </c>
      <c r="HE535" t="s">
        <v>3</v>
      </c>
      <c r="HF535" t="s">
        <v>3</v>
      </c>
      <c r="HM535" t="s">
        <v>3</v>
      </c>
      <c r="HN535" t="s">
        <v>3</v>
      </c>
      <c r="HO535" t="s">
        <v>3</v>
      </c>
      <c r="HP535" t="s">
        <v>3</v>
      </c>
      <c r="HQ535" t="s">
        <v>3</v>
      </c>
      <c r="IK535">
        <v>0</v>
      </c>
    </row>
    <row r="536" spans="1:255" x14ac:dyDescent="0.2">
      <c r="A536" s="2">
        <v>18</v>
      </c>
      <c r="B536" s="2">
        <v>1</v>
      </c>
      <c r="C536" s="2">
        <v>527</v>
      </c>
      <c r="D536" s="2"/>
      <c r="E536" s="2" t="s">
        <v>567</v>
      </c>
      <c r="F536" s="2" t="s">
        <v>568</v>
      </c>
      <c r="G536" s="2" t="s">
        <v>569</v>
      </c>
      <c r="H536" s="2" t="s">
        <v>114</v>
      </c>
      <c r="I536" s="2">
        <f>I522*J536</f>
        <v>-1.4999999999999999E-4</v>
      </c>
      <c r="J536" s="2">
        <v>-9.9800399201596798E-4</v>
      </c>
      <c r="K536" s="2">
        <v>-1E-3</v>
      </c>
      <c r="L536" s="2"/>
      <c r="M536" s="2"/>
      <c r="N536" s="2"/>
      <c r="O536" s="2">
        <f t="shared" si="463"/>
        <v>-1.9</v>
      </c>
      <c r="P536" s="2">
        <f t="shared" si="464"/>
        <v>-1.9</v>
      </c>
      <c r="Q536" s="2">
        <f t="shared" si="456"/>
        <v>0</v>
      </c>
      <c r="R536" s="2">
        <f t="shared" si="465"/>
        <v>0</v>
      </c>
      <c r="S536" s="2">
        <f t="shared" si="466"/>
        <v>0</v>
      </c>
      <c r="T536" s="2">
        <f t="shared" si="467"/>
        <v>0</v>
      </c>
      <c r="U536" s="2">
        <f t="shared" si="468"/>
        <v>0</v>
      </c>
      <c r="V536" s="2">
        <f t="shared" si="469"/>
        <v>0</v>
      </c>
      <c r="W536" s="2">
        <f t="shared" si="470"/>
        <v>0</v>
      </c>
      <c r="X536" s="2">
        <f t="shared" si="471"/>
        <v>0</v>
      </c>
      <c r="Y536" s="2">
        <f t="shared" si="472"/>
        <v>0</v>
      </c>
      <c r="Z536" s="2"/>
      <c r="AA536" s="2">
        <v>129761636</v>
      </c>
      <c r="AB536" s="2">
        <f t="shared" si="473"/>
        <v>12654.07</v>
      </c>
      <c r="AC536" s="2">
        <f t="shared" si="474"/>
        <v>12654.07</v>
      </c>
      <c r="AD536" s="2">
        <f t="shared" si="457"/>
        <v>0</v>
      </c>
      <c r="AE536" s="2">
        <f t="shared" si="458"/>
        <v>0</v>
      </c>
      <c r="AF536" s="2">
        <f t="shared" si="459"/>
        <v>0</v>
      </c>
      <c r="AG536" s="2">
        <f t="shared" si="475"/>
        <v>0</v>
      </c>
      <c r="AH536" s="2">
        <f t="shared" si="460"/>
        <v>0</v>
      </c>
      <c r="AI536" s="2">
        <f t="shared" si="461"/>
        <v>0</v>
      </c>
      <c r="AJ536" s="2">
        <f t="shared" si="476"/>
        <v>0</v>
      </c>
      <c r="AK536" s="2">
        <v>12654.07</v>
      </c>
      <c r="AL536" s="2">
        <v>12654.07</v>
      </c>
      <c r="AM536" s="2">
        <v>0</v>
      </c>
      <c r="AN536" s="2">
        <v>0</v>
      </c>
      <c r="AO536" s="2">
        <v>0</v>
      </c>
      <c r="AP536" s="2">
        <v>0</v>
      </c>
      <c r="AQ536" s="2">
        <v>0</v>
      </c>
      <c r="AR536" s="2">
        <v>0</v>
      </c>
      <c r="AS536" s="2">
        <v>0</v>
      </c>
      <c r="AT536" s="2">
        <v>85</v>
      </c>
      <c r="AU536" s="2">
        <v>70</v>
      </c>
      <c r="AV536" s="2">
        <v>1</v>
      </c>
      <c r="AW536" s="2">
        <v>1</v>
      </c>
      <c r="AX536" s="2"/>
      <c r="AY536" s="2"/>
      <c r="AZ536" s="2">
        <v>1</v>
      </c>
      <c r="BA536" s="2">
        <v>1</v>
      </c>
      <c r="BB536" s="2">
        <v>1</v>
      </c>
      <c r="BC536" s="2">
        <v>1</v>
      </c>
      <c r="BD536" s="2" t="s">
        <v>3</v>
      </c>
      <c r="BE536" s="2" t="s">
        <v>3</v>
      </c>
      <c r="BF536" s="2" t="s">
        <v>3</v>
      </c>
      <c r="BG536" s="2" t="s">
        <v>3</v>
      </c>
      <c r="BH536" s="2">
        <v>3</v>
      </c>
      <c r="BI536" s="2">
        <v>1</v>
      </c>
      <c r="BJ536" s="2" t="s">
        <v>570</v>
      </c>
      <c r="BK536" s="2"/>
      <c r="BL536" s="2"/>
      <c r="BM536" s="2">
        <v>80</v>
      </c>
      <c r="BN536" s="2">
        <v>0</v>
      </c>
      <c r="BO536" s="2" t="s">
        <v>3</v>
      </c>
      <c r="BP536" s="2">
        <v>0</v>
      </c>
      <c r="BQ536" s="2">
        <v>30</v>
      </c>
      <c r="BR536" s="2">
        <v>1</v>
      </c>
      <c r="BS536" s="2">
        <v>1</v>
      </c>
      <c r="BT536" s="2">
        <v>1</v>
      </c>
      <c r="BU536" s="2">
        <v>1</v>
      </c>
      <c r="BV536" s="2">
        <v>1</v>
      </c>
      <c r="BW536" s="2">
        <v>1</v>
      </c>
      <c r="BX536" s="2">
        <v>1</v>
      </c>
      <c r="BY536" s="2" t="s">
        <v>3</v>
      </c>
      <c r="BZ536" s="2">
        <v>85</v>
      </c>
      <c r="CA536" s="2">
        <v>70</v>
      </c>
      <c r="CB536" s="2" t="s">
        <v>3</v>
      </c>
      <c r="CC536" s="2"/>
      <c r="CD536" s="2"/>
      <c r="CE536" s="2">
        <v>30</v>
      </c>
      <c r="CF536" s="2">
        <v>0</v>
      </c>
      <c r="CG536" s="2">
        <v>0</v>
      </c>
      <c r="CH536" s="2"/>
      <c r="CI536" s="2"/>
      <c r="CJ536" s="2"/>
      <c r="CK536" s="2"/>
      <c r="CL536" s="2"/>
      <c r="CM536" s="2">
        <v>0</v>
      </c>
      <c r="CN536" s="2" t="s">
        <v>3</v>
      </c>
      <c r="CO536" s="2">
        <v>0</v>
      </c>
      <c r="CP536" s="2">
        <f t="shared" si="477"/>
        <v>-1.9</v>
      </c>
      <c r="CQ536" s="2">
        <f t="shared" si="478"/>
        <v>12654.07</v>
      </c>
      <c r="CR536" s="2">
        <f t="shared" si="462"/>
        <v>0</v>
      </c>
      <c r="CS536" s="2">
        <f t="shared" si="479"/>
        <v>0</v>
      </c>
      <c r="CT536" s="2">
        <f t="shared" si="480"/>
        <v>0</v>
      </c>
      <c r="CU536" s="2">
        <f t="shared" si="481"/>
        <v>0</v>
      </c>
      <c r="CV536" s="2">
        <f t="shared" si="482"/>
        <v>0</v>
      </c>
      <c r="CW536" s="2">
        <f t="shared" si="483"/>
        <v>0</v>
      </c>
      <c r="CX536" s="2">
        <f t="shared" si="484"/>
        <v>0</v>
      </c>
      <c r="CY536" s="2">
        <f>((S536*BZ536)/100)</f>
        <v>0</v>
      </c>
      <c r="CZ536" s="2">
        <f>((S536*CA536)/100)</f>
        <v>0</v>
      </c>
      <c r="DA536" s="2"/>
      <c r="DB536" s="2"/>
      <c r="DC536" s="2" t="s">
        <v>3</v>
      </c>
      <c r="DD536" s="2" t="s">
        <v>3</v>
      </c>
      <c r="DE536" s="2" t="s">
        <v>3</v>
      </c>
      <c r="DF536" s="2" t="s">
        <v>3</v>
      </c>
      <c r="DG536" s="2" t="s">
        <v>3</v>
      </c>
      <c r="DH536" s="2" t="s">
        <v>3</v>
      </c>
      <c r="DI536" s="2" t="s">
        <v>3</v>
      </c>
      <c r="DJ536" s="2" t="s">
        <v>3</v>
      </c>
      <c r="DK536" s="2" t="s">
        <v>3</v>
      </c>
      <c r="DL536" s="2" t="s">
        <v>3</v>
      </c>
      <c r="DM536" s="2" t="s">
        <v>3</v>
      </c>
      <c r="DN536" s="2">
        <v>0</v>
      </c>
      <c r="DO536" s="2">
        <v>0</v>
      </c>
      <c r="DP536" s="2">
        <v>1</v>
      </c>
      <c r="DQ536" s="2">
        <v>1</v>
      </c>
      <c r="DR536" s="2"/>
      <c r="DS536" s="2"/>
      <c r="DT536" s="2"/>
      <c r="DU536" s="2">
        <v>1009</v>
      </c>
      <c r="DV536" s="2" t="s">
        <v>114</v>
      </c>
      <c r="DW536" s="2" t="s">
        <v>114</v>
      </c>
      <c r="DX536" s="2">
        <v>1000</v>
      </c>
      <c r="DY536" s="2"/>
      <c r="DZ536" s="2" t="s">
        <v>3</v>
      </c>
      <c r="EA536" s="2" t="s">
        <v>3</v>
      </c>
      <c r="EB536" s="2" t="s">
        <v>3</v>
      </c>
      <c r="EC536" s="2" t="s">
        <v>3</v>
      </c>
      <c r="ED536" s="2"/>
      <c r="EE536" s="2">
        <v>126051541</v>
      </c>
      <c r="EF536" s="2">
        <v>30</v>
      </c>
      <c r="EG536" s="2" t="s">
        <v>23</v>
      </c>
      <c r="EH536" s="2">
        <v>0</v>
      </c>
      <c r="EI536" s="2" t="s">
        <v>3</v>
      </c>
      <c r="EJ536" s="2">
        <v>1</v>
      </c>
      <c r="EK536" s="2">
        <v>80</v>
      </c>
      <c r="EL536" s="2" t="s">
        <v>143</v>
      </c>
      <c r="EM536" s="2" t="s">
        <v>144</v>
      </c>
      <c r="EN536" s="2"/>
      <c r="EO536" s="2" t="s">
        <v>3</v>
      </c>
      <c r="EP536" s="2"/>
      <c r="EQ536" s="2">
        <v>0</v>
      </c>
      <c r="ER536" s="2">
        <v>12654.07</v>
      </c>
      <c r="ES536" s="2">
        <v>12654.07</v>
      </c>
      <c r="ET536" s="2">
        <v>0</v>
      </c>
      <c r="EU536" s="2">
        <v>0</v>
      </c>
      <c r="EV536" s="2">
        <v>0</v>
      </c>
      <c r="EW536" s="2">
        <v>0</v>
      </c>
      <c r="EX536" s="2">
        <v>0</v>
      </c>
      <c r="EY536" s="2"/>
      <c r="EZ536" s="2"/>
      <c r="FA536" s="2"/>
      <c r="FB536" s="2"/>
      <c r="FC536" s="2"/>
      <c r="FD536" s="2"/>
      <c r="FE536" s="2"/>
      <c r="FF536" s="2"/>
      <c r="FG536" s="2"/>
      <c r="FH536" s="2"/>
      <c r="FI536" s="2"/>
      <c r="FJ536" s="2"/>
      <c r="FK536" s="2"/>
      <c r="FL536" s="2"/>
      <c r="FM536" s="2"/>
      <c r="FN536" s="2"/>
      <c r="FO536" s="2"/>
      <c r="FP536" s="2"/>
      <c r="FQ536" s="2">
        <v>0</v>
      </c>
      <c r="FR536" s="2">
        <f t="shared" si="485"/>
        <v>0</v>
      </c>
      <c r="FS536" s="2">
        <v>0</v>
      </c>
      <c r="FT536" s="2"/>
      <c r="FU536" s="2"/>
      <c r="FV536" s="2"/>
      <c r="FW536" s="2"/>
      <c r="FX536" s="2">
        <v>85</v>
      </c>
      <c r="FY536" s="2">
        <v>70</v>
      </c>
      <c r="FZ536" s="2"/>
      <c r="GA536" s="2" t="s">
        <v>3</v>
      </c>
      <c r="GB536" s="2"/>
      <c r="GC536" s="2"/>
      <c r="GD536" s="2">
        <v>0</v>
      </c>
      <c r="GE536" s="2"/>
      <c r="GF536" s="2">
        <v>-2026157207</v>
      </c>
      <c r="GG536" s="2">
        <v>2</v>
      </c>
      <c r="GH536" s="2">
        <v>1</v>
      </c>
      <c r="GI536" s="2">
        <v>-2</v>
      </c>
      <c r="GJ536" s="2">
        <v>0</v>
      </c>
      <c r="GK536" s="2">
        <f>ROUND(R536*(R12)/100,2)</f>
        <v>0</v>
      </c>
      <c r="GL536" s="2">
        <f t="shared" si="486"/>
        <v>0</v>
      </c>
      <c r="GM536" s="2">
        <f t="shared" si="487"/>
        <v>-1.9</v>
      </c>
      <c r="GN536" s="2">
        <f t="shared" si="488"/>
        <v>-1.9</v>
      </c>
      <c r="GO536" s="2">
        <f t="shared" si="489"/>
        <v>0</v>
      </c>
      <c r="GP536" s="2">
        <f t="shared" si="490"/>
        <v>0</v>
      </c>
      <c r="GQ536" s="2"/>
      <c r="GR536" s="2">
        <v>0</v>
      </c>
      <c r="GS536" s="2">
        <v>0</v>
      </c>
      <c r="GT536" s="2">
        <v>0</v>
      </c>
      <c r="GU536" s="2" t="s">
        <v>3</v>
      </c>
      <c r="GV536" s="2">
        <f t="shared" si="491"/>
        <v>0</v>
      </c>
      <c r="GW536" s="2">
        <v>1</v>
      </c>
      <c r="GX536" s="2">
        <f t="shared" si="492"/>
        <v>0</v>
      </c>
      <c r="GY536" s="2"/>
      <c r="GZ536" s="2"/>
      <c r="HA536" s="2">
        <v>0</v>
      </c>
      <c r="HB536" s="2">
        <v>0</v>
      </c>
      <c r="HC536" s="2">
        <f t="shared" si="493"/>
        <v>0</v>
      </c>
      <c r="HD536" s="2"/>
      <c r="HE536" s="2" t="s">
        <v>3</v>
      </c>
      <c r="HF536" s="2" t="s">
        <v>3</v>
      </c>
      <c r="HG536" s="2"/>
      <c r="HH536" s="2"/>
      <c r="HI536" s="2"/>
      <c r="HJ536" s="2"/>
      <c r="HK536" s="2"/>
      <c r="HL536" s="2"/>
      <c r="HM536" s="2" t="s">
        <v>3</v>
      </c>
      <c r="HN536" s="2" t="s">
        <v>3</v>
      </c>
      <c r="HO536" s="2" t="s">
        <v>3</v>
      </c>
      <c r="HP536" s="2" t="s">
        <v>3</v>
      </c>
      <c r="HQ536" s="2" t="s">
        <v>3</v>
      </c>
      <c r="HR536" s="2"/>
      <c r="HS536" s="2"/>
      <c r="HT536" s="2"/>
      <c r="HU536" s="2"/>
      <c r="HV536" s="2"/>
      <c r="HW536" s="2"/>
      <c r="HX536" s="2"/>
      <c r="HY536" s="2"/>
      <c r="HZ536" s="2"/>
      <c r="IA536" s="2"/>
      <c r="IB536" s="2"/>
      <c r="IC536" s="2"/>
      <c r="ID536" s="2"/>
      <c r="IE536" s="2"/>
      <c r="IF536" s="2"/>
      <c r="IG536" s="2"/>
      <c r="IH536" s="2"/>
      <c r="II536" s="2"/>
      <c r="IJ536" s="2"/>
      <c r="IK536" s="2">
        <v>0</v>
      </c>
      <c r="IL536" s="2"/>
      <c r="IM536" s="2"/>
      <c r="IN536" s="2"/>
      <c r="IO536" s="2"/>
      <c r="IP536" s="2"/>
      <c r="IQ536" s="2"/>
      <c r="IR536" s="2"/>
      <c r="IS536" s="2"/>
      <c r="IT536" s="2"/>
      <c r="IU536" s="2"/>
    </row>
    <row r="537" spans="1:255" x14ac:dyDescent="0.2">
      <c r="A537">
        <v>18</v>
      </c>
      <c r="B537">
        <v>1</v>
      </c>
      <c r="C537">
        <v>542</v>
      </c>
      <c r="E537" t="s">
        <v>567</v>
      </c>
      <c r="F537" t="s">
        <v>568</v>
      </c>
      <c r="G537" t="s">
        <v>569</v>
      </c>
      <c r="H537" t="s">
        <v>114</v>
      </c>
      <c r="I537">
        <f>I523*J537</f>
        <v>-1.4999999999999999E-4</v>
      </c>
      <c r="J537">
        <v>-9.9800399201596798E-4</v>
      </c>
      <c r="K537">
        <v>-1E-3</v>
      </c>
      <c r="O537">
        <f t="shared" si="463"/>
        <v>-16.420000000000002</v>
      </c>
      <c r="P537">
        <f t="shared" si="464"/>
        <v>-16.420000000000002</v>
      </c>
      <c r="Q537">
        <f t="shared" si="456"/>
        <v>0</v>
      </c>
      <c r="R537">
        <f t="shared" si="465"/>
        <v>0</v>
      </c>
      <c r="S537">
        <f t="shared" si="466"/>
        <v>0</v>
      </c>
      <c r="T537">
        <f t="shared" si="467"/>
        <v>0</v>
      </c>
      <c r="U537">
        <f t="shared" si="468"/>
        <v>0</v>
      </c>
      <c r="V537">
        <f t="shared" si="469"/>
        <v>0</v>
      </c>
      <c r="W537">
        <f t="shared" si="470"/>
        <v>0</v>
      </c>
      <c r="X537">
        <f t="shared" si="471"/>
        <v>0</v>
      </c>
      <c r="Y537">
        <f t="shared" si="472"/>
        <v>0</v>
      </c>
      <c r="AA537">
        <v>129761633</v>
      </c>
      <c r="AB537">
        <f t="shared" si="473"/>
        <v>12654.07</v>
      </c>
      <c r="AC537">
        <f t="shared" si="474"/>
        <v>12654.07</v>
      </c>
      <c r="AD537">
        <f t="shared" si="457"/>
        <v>0</v>
      </c>
      <c r="AE537">
        <f t="shared" si="458"/>
        <v>0</v>
      </c>
      <c r="AF537">
        <f t="shared" si="459"/>
        <v>0</v>
      </c>
      <c r="AG537">
        <f t="shared" si="475"/>
        <v>0</v>
      </c>
      <c r="AH537">
        <f t="shared" si="460"/>
        <v>0</v>
      </c>
      <c r="AI537">
        <f t="shared" si="461"/>
        <v>0</v>
      </c>
      <c r="AJ537">
        <f t="shared" si="476"/>
        <v>0</v>
      </c>
      <c r="AK537">
        <v>12654.07</v>
      </c>
      <c r="AL537">
        <v>12654.07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1</v>
      </c>
      <c r="AW537">
        <v>1</v>
      </c>
      <c r="AZ537">
        <v>1</v>
      </c>
      <c r="BA537">
        <v>1</v>
      </c>
      <c r="BB537">
        <v>1</v>
      </c>
      <c r="BC537">
        <v>8.64</v>
      </c>
      <c r="BD537" t="s">
        <v>3</v>
      </c>
      <c r="BE537" t="s">
        <v>3</v>
      </c>
      <c r="BF537" t="s">
        <v>3</v>
      </c>
      <c r="BG537" t="s">
        <v>3</v>
      </c>
      <c r="BH537">
        <v>3</v>
      </c>
      <c r="BI537">
        <v>1</v>
      </c>
      <c r="BJ537" t="s">
        <v>570</v>
      </c>
      <c r="BM537">
        <v>80</v>
      </c>
      <c r="BN537">
        <v>0</v>
      </c>
      <c r="BO537" t="s">
        <v>568</v>
      </c>
      <c r="BP537">
        <v>1</v>
      </c>
      <c r="BQ537">
        <v>30</v>
      </c>
      <c r="BR537">
        <v>1</v>
      </c>
      <c r="BS537">
        <v>1</v>
      </c>
      <c r="BT537">
        <v>1</v>
      </c>
      <c r="BU537">
        <v>1</v>
      </c>
      <c r="BV537">
        <v>1</v>
      </c>
      <c r="BW537">
        <v>1</v>
      </c>
      <c r="BX537">
        <v>1</v>
      </c>
      <c r="BY537" t="s">
        <v>3</v>
      </c>
      <c r="BZ537">
        <v>0</v>
      </c>
      <c r="CA537">
        <v>0</v>
      </c>
      <c r="CB537" t="s">
        <v>3</v>
      </c>
      <c r="CE537">
        <v>30</v>
      </c>
      <c r="CF537">
        <v>0</v>
      </c>
      <c r="CG537">
        <v>0</v>
      </c>
      <c r="CM537">
        <v>0</v>
      </c>
      <c r="CN537" t="s">
        <v>3</v>
      </c>
      <c r="CO537">
        <v>0</v>
      </c>
      <c r="CP537">
        <f t="shared" si="477"/>
        <v>-16.420000000000002</v>
      </c>
      <c r="CQ537">
        <f t="shared" si="478"/>
        <v>109331.16</v>
      </c>
      <c r="CR537">
        <f t="shared" si="462"/>
        <v>0</v>
      </c>
      <c r="CS537">
        <f t="shared" si="479"/>
        <v>0</v>
      </c>
      <c r="CT537">
        <f t="shared" si="480"/>
        <v>0</v>
      </c>
      <c r="CU537">
        <f t="shared" si="481"/>
        <v>0</v>
      </c>
      <c r="CV537">
        <f t="shared" si="482"/>
        <v>0</v>
      </c>
      <c r="CW537">
        <f t="shared" si="483"/>
        <v>0</v>
      </c>
      <c r="CX537">
        <f t="shared" si="484"/>
        <v>0</v>
      </c>
      <c r="CY537">
        <f>S537*(BZ537/100)</f>
        <v>0</v>
      </c>
      <c r="CZ537">
        <f>S537*(CA537/100)</f>
        <v>0</v>
      </c>
      <c r="DC537" t="s">
        <v>3</v>
      </c>
      <c r="DD537" t="s">
        <v>3</v>
      </c>
      <c r="DE537" t="s">
        <v>3</v>
      </c>
      <c r="DF537" t="s">
        <v>3</v>
      </c>
      <c r="DG537" t="s">
        <v>3</v>
      </c>
      <c r="DH537" t="s">
        <v>3</v>
      </c>
      <c r="DI537" t="s">
        <v>3</v>
      </c>
      <c r="DJ537" t="s">
        <v>3</v>
      </c>
      <c r="DK537" t="s">
        <v>3</v>
      </c>
      <c r="DL537" t="s">
        <v>3</v>
      </c>
      <c r="DM537" t="s">
        <v>3</v>
      </c>
      <c r="DN537">
        <v>85</v>
      </c>
      <c r="DO537">
        <v>70</v>
      </c>
      <c r="DP537">
        <v>1</v>
      </c>
      <c r="DQ537">
        <v>1</v>
      </c>
      <c r="DU537">
        <v>1009</v>
      </c>
      <c r="DV537" t="s">
        <v>114</v>
      </c>
      <c r="DW537" t="s">
        <v>114</v>
      </c>
      <c r="DX537">
        <v>1000</v>
      </c>
      <c r="DZ537" t="s">
        <v>3</v>
      </c>
      <c r="EA537" t="s">
        <v>3</v>
      </c>
      <c r="EB537" t="s">
        <v>3</v>
      </c>
      <c r="EC537" t="s">
        <v>3</v>
      </c>
      <c r="EE537">
        <v>126051541</v>
      </c>
      <c r="EF537">
        <v>30</v>
      </c>
      <c r="EG537" t="s">
        <v>23</v>
      </c>
      <c r="EH537">
        <v>0</v>
      </c>
      <c r="EI537" t="s">
        <v>3</v>
      </c>
      <c r="EJ537">
        <v>1</v>
      </c>
      <c r="EK537">
        <v>80</v>
      </c>
      <c r="EL537" t="s">
        <v>143</v>
      </c>
      <c r="EM537" t="s">
        <v>144</v>
      </c>
      <c r="EO537" t="s">
        <v>3</v>
      </c>
      <c r="EQ537">
        <v>0</v>
      </c>
      <c r="ER537">
        <v>12654.07</v>
      </c>
      <c r="ES537">
        <v>12654.07</v>
      </c>
      <c r="ET537">
        <v>0</v>
      </c>
      <c r="EU537">
        <v>0</v>
      </c>
      <c r="EV537">
        <v>0</v>
      </c>
      <c r="EW537">
        <v>0</v>
      </c>
      <c r="EX537">
        <v>0</v>
      </c>
      <c r="FQ537">
        <v>0</v>
      </c>
      <c r="FR537">
        <f t="shared" si="485"/>
        <v>0</v>
      </c>
      <c r="FS537">
        <v>0</v>
      </c>
      <c r="FX537">
        <v>85</v>
      </c>
      <c r="FY537">
        <v>70</v>
      </c>
      <c r="GA537" t="s">
        <v>3</v>
      </c>
      <c r="GD537">
        <v>0</v>
      </c>
      <c r="GF537">
        <v>-2026157207</v>
      </c>
      <c r="GG537">
        <v>2</v>
      </c>
      <c r="GH537">
        <v>1</v>
      </c>
      <c r="GI537">
        <v>2</v>
      </c>
      <c r="GJ537">
        <v>0</v>
      </c>
      <c r="GK537">
        <f>ROUND(R537*(S12)/100,2)</f>
        <v>0</v>
      </c>
      <c r="GL537">
        <f t="shared" si="486"/>
        <v>0</v>
      </c>
      <c r="GM537">
        <f t="shared" si="487"/>
        <v>-16.420000000000002</v>
      </c>
      <c r="GN537">
        <f t="shared" si="488"/>
        <v>-16.420000000000002</v>
      </c>
      <c r="GO537">
        <f t="shared" si="489"/>
        <v>0</v>
      </c>
      <c r="GP537">
        <f t="shared" si="490"/>
        <v>0</v>
      </c>
      <c r="GR537">
        <v>0</v>
      </c>
      <c r="GS537">
        <v>3</v>
      </c>
      <c r="GT537">
        <v>0</v>
      </c>
      <c r="GU537" t="s">
        <v>3</v>
      </c>
      <c r="GV537">
        <f t="shared" si="491"/>
        <v>0</v>
      </c>
      <c r="GW537">
        <v>1</v>
      </c>
      <c r="GX537">
        <f t="shared" si="492"/>
        <v>0</v>
      </c>
      <c r="HA537">
        <v>0</v>
      </c>
      <c r="HB537">
        <v>0</v>
      </c>
      <c r="HC537">
        <f t="shared" si="493"/>
        <v>0</v>
      </c>
      <c r="HE537" t="s">
        <v>3</v>
      </c>
      <c r="HF537" t="s">
        <v>3</v>
      </c>
      <c r="HM537" t="s">
        <v>3</v>
      </c>
      <c r="HN537" t="s">
        <v>3</v>
      </c>
      <c r="HO537" t="s">
        <v>3</v>
      </c>
      <c r="HP537" t="s">
        <v>3</v>
      </c>
      <c r="HQ537" t="s">
        <v>3</v>
      </c>
      <c r="IK537">
        <v>0</v>
      </c>
    </row>
    <row r="538" spans="1:255" x14ac:dyDescent="0.2">
      <c r="A538" s="2">
        <v>17</v>
      </c>
      <c r="B538" s="2">
        <v>1</v>
      </c>
      <c r="C538" s="2">
        <f>ROW(SmtRes!A559)</f>
        <v>559</v>
      </c>
      <c r="D538" s="2">
        <f>ROW(EtalonRes!A553)</f>
        <v>553</v>
      </c>
      <c r="E538" s="2" t="s">
        <v>181</v>
      </c>
      <c r="F538" s="2" t="s">
        <v>510</v>
      </c>
      <c r="G538" s="2" t="s">
        <v>511</v>
      </c>
      <c r="H538" s="2" t="s">
        <v>139</v>
      </c>
      <c r="I538" s="2">
        <v>9.98E-2</v>
      </c>
      <c r="J538" s="2">
        <v>0</v>
      </c>
      <c r="K538" s="2">
        <v>9.98E-2</v>
      </c>
      <c r="L538" s="2"/>
      <c r="M538" s="2"/>
      <c r="N538" s="2"/>
      <c r="O538" s="2">
        <f t="shared" si="463"/>
        <v>181.08</v>
      </c>
      <c r="P538" s="2">
        <f t="shared" si="464"/>
        <v>15.43</v>
      </c>
      <c r="Q538" s="2">
        <f>(ROUND((ROUND((((ET538*1.25))*AV538*I538),2)*BB538),2)+ROUND((ROUND(((AE538-((EU538*1.25)))*AV538*I538),2)*BS538),2))</f>
        <v>27.79</v>
      </c>
      <c r="R538" s="2">
        <f t="shared" si="465"/>
        <v>2.59</v>
      </c>
      <c r="S538" s="2">
        <f t="shared" si="466"/>
        <v>137.86000000000001</v>
      </c>
      <c r="T538" s="2">
        <f t="shared" si="467"/>
        <v>0</v>
      </c>
      <c r="U538" s="2">
        <f t="shared" si="468"/>
        <v>10.44407</v>
      </c>
      <c r="V538" s="2">
        <f t="shared" si="469"/>
        <v>0</v>
      </c>
      <c r="W538" s="2">
        <f t="shared" si="470"/>
        <v>0</v>
      </c>
      <c r="X538" s="2">
        <f t="shared" si="471"/>
        <v>117.18</v>
      </c>
      <c r="Y538" s="2">
        <f t="shared" si="472"/>
        <v>96.5</v>
      </c>
      <c r="Z538" s="2"/>
      <c r="AA538" s="2">
        <v>129761636</v>
      </c>
      <c r="AB538" s="2">
        <f t="shared" si="473"/>
        <v>1814.4875</v>
      </c>
      <c r="AC538" s="2">
        <f t="shared" si="474"/>
        <v>154.62</v>
      </c>
      <c r="AD538" s="2">
        <f>ROUND(((((ET538*1.25))-((EU538*1.25)))+AE538),6)</f>
        <v>278.48750000000001</v>
      </c>
      <c r="AE538" s="2">
        <f>ROUND(((EU538*1.25)),6)</f>
        <v>25.975000000000001</v>
      </c>
      <c r="AF538" s="2">
        <f>ROUND(((EV538*1.15)),6)</f>
        <v>1381.38</v>
      </c>
      <c r="AG538" s="2">
        <f t="shared" si="475"/>
        <v>0</v>
      </c>
      <c r="AH538" s="2">
        <f>((EW538*1.15))</f>
        <v>104.64999999999999</v>
      </c>
      <c r="AI538" s="2">
        <f>((EX538*1.25))</f>
        <v>0</v>
      </c>
      <c r="AJ538" s="2">
        <f t="shared" si="476"/>
        <v>0</v>
      </c>
      <c r="AK538" s="2">
        <v>1578.61</v>
      </c>
      <c r="AL538" s="2">
        <v>154.62</v>
      </c>
      <c r="AM538" s="2">
        <v>222.79</v>
      </c>
      <c r="AN538" s="2">
        <v>20.78</v>
      </c>
      <c r="AO538" s="2">
        <v>1201.2</v>
      </c>
      <c r="AP538" s="2">
        <v>0</v>
      </c>
      <c r="AQ538" s="2">
        <v>91</v>
      </c>
      <c r="AR538" s="2">
        <v>0</v>
      </c>
      <c r="AS538" s="2">
        <v>0</v>
      </c>
      <c r="AT538" s="2">
        <v>85</v>
      </c>
      <c r="AU538" s="2">
        <v>70</v>
      </c>
      <c r="AV538" s="2">
        <v>1</v>
      </c>
      <c r="AW538" s="2">
        <v>1</v>
      </c>
      <c r="AX538" s="2"/>
      <c r="AY538" s="2"/>
      <c r="AZ538" s="2">
        <v>1</v>
      </c>
      <c r="BA538" s="2">
        <v>1</v>
      </c>
      <c r="BB538" s="2">
        <v>1</v>
      </c>
      <c r="BC538" s="2">
        <v>1</v>
      </c>
      <c r="BD538" s="2" t="s">
        <v>3</v>
      </c>
      <c r="BE538" s="2" t="s">
        <v>3</v>
      </c>
      <c r="BF538" s="2" t="s">
        <v>3</v>
      </c>
      <c r="BG538" s="2" t="s">
        <v>3</v>
      </c>
      <c r="BH538" s="2">
        <v>0</v>
      </c>
      <c r="BI538" s="2">
        <v>1</v>
      </c>
      <c r="BJ538" s="2" t="s">
        <v>512</v>
      </c>
      <c r="BK538" s="2"/>
      <c r="BL538" s="2"/>
      <c r="BM538" s="2">
        <v>80</v>
      </c>
      <c r="BN538" s="2">
        <v>0</v>
      </c>
      <c r="BO538" s="2" t="s">
        <v>3</v>
      </c>
      <c r="BP538" s="2">
        <v>0</v>
      </c>
      <c r="BQ538" s="2">
        <v>30</v>
      </c>
      <c r="BR538" s="2">
        <v>0</v>
      </c>
      <c r="BS538" s="2">
        <v>1</v>
      </c>
      <c r="BT538" s="2">
        <v>1</v>
      </c>
      <c r="BU538" s="2">
        <v>1</v>
      </c>
      <c r="BV538" s="2">
        <v>1</v>
      </c>
      <c r="BW538" s="2">
        <v>1</v>
      </c>
      <c r="BX538" s="2">
        <v>1</v>
      </c>
      <c r="BY538" s="2" t="s">
        <v>3</v>
      </c>
      <c r="BZ538" s="2">
        <v>85</v>
      </c>
      <c r="CA538" s="2">
        <v>70</v>
      </c>
      <c r="CB538" s="2" t="s">
        <v>3</v>
      </c>
      <c r="CC538" s="2"/>
      <c r="CD538" s="2"/>
      <c r="CE538" s="2">
        <v>30</v>
      </c>
      <c r="CF538" s="2">
        <v>0</v>
      </c>
      <c r="CG538" s="2">
        <v>0</v>
      </c>
      <c r="CH538" s="2"/>
      <c r="CI538" s="2"/>
      <c r="CJ538" s="2"/>
      <c r="CK538" s="2"/>
      <c r="CL538" s="2"/>
      <c r="CM538" s="2">
        <v>0</v>
      </c>
      <c r="CN538" s="2" t="s">
        <v>1559</v>
      </c>
      <c r="CO538" s="2">
        <v>0</v>
      </c>
      <c r="CP538" s="2">
        <f t="shared" si="477"/>
        <v>181.08</v>
      </c>
      <c r="CQ538" s="2">
        <f t="shared" si="478"/>
        <v>154.62</v>
      </c>
      <c r="CR538" s="2">
        <f>(ROUND((ROUND((((ET538*1.25))*AV538*1),2)*BB538),2)+ROUND((ROUND(((AE538-((EU538*1.25)))*AV538*1),2)*BS538),2))</f>
        <v>278.49</v>
      </c>
      <c r="CS538" s="2">
        <f t="shared" si="479"/>
        <v>25.98</v>
      </c>
      <c r="CT538" s="2">
        <f t="shared" si="480"/>
        <v>1381.38</v>
      </c>
      <c r="CU538" s="2">
        <f t="shared" si="481"/>
        <v>0</v>
      </c>
      <c r="CV538" s="2">
        <f t="shared" si="482"/>
        <v>104.64999999999999</v>
      </c>
      <c r="CW538" s="2">
        <f t="shared" si="483"/>
        <v>0</v>
      </c>
      <c r="CX538" s="2">
        <f t="shared" si="484"/>
        <v>0</v>
      </c>
      <c r="CY538" s="2">
        <f>((S538*BZ538)/100)</f>
        <v>117.181</v>
      </c>
      <c r="CZ538" s="2">
        <f>((S538*CA538)/100)</f>
        <v>96.50200000000001</v>
      </c>
      <c r="DA538" s="2"/>
      <c r="DB538" s="2"/>
      <c r="DC538" s="2" t="s">
        <v>3</v>
      </c>
      <c r="DD538" s="2" t="s">
        <v>3</v>
      </c>
      <c r="DE538" s="2" t="s">
        <v>86</v>
      </c>
      <c r="DF538" s="2" t="s">
        <v>86</v>
      </c>
      <c r="DG538" s="2" t="s">
        <v>87</v>
      </c>
      <c r="DH538" s="2" t="s">
        <v>3</v>
      </c>
      <c r="DI538" s="2" t="s">
        <v>87</v>
      </c>
      <c r="DJ538" s="2" t="s">
        <v>86</v>
      </c>
      <c r="DK538" s="2" t="s">
        <v>3</v>
      </c>
      <c r="DL538" s="2" t="s">
        <v>3</v>
      </c>
      <c r="DM538" s="2" t="s">
        <v>3</v>
      </c>
      <c r="DN538" s="2">
        <v>0</v>
      </c>
      <c r="DO538" s="2">
        <v>0</v>
      </c>
      <c r="DP538" s="2">
        <v>1</v>
      </c>
      <c r="DQ538" s="2">
        <v>1</v>
      </c>
      <c r="DR538" s="2"/>
      <c r="DS538" s="2"/>
      <c r="DT538" s="2"/>
      <c r="DU538" s="2">
        <v>1013</v>
      </c>
      <c r="DV538" s="2" t="s">
        <v>139</v>
      </c>
      <c r="DW538" s="2" t="s">
        <v>139</v>
      </c>
      <c r="DX538" s="2">
        <v>1</v>
      </c>
      <c r="DY538" s="2"/>
      <c r="DZ538" s="2" t="s">
        <v>3</v>
      </c>
      <c r="EA538" s="2" t="s">
        <v>3</v>
      </c>
      <c r="EB538" s="2" t="s">
        <v>3</v>
      </c>
      <c r="EC538" s="2" t="s">
        <v>3</v>
      </c>
      <c r="ED538" s="2"/>
      <c r="EE538" s="2">
        <v>126051541</v>
      </c>
      <c r="EF538" s="2">
        <v>30</v>
      </c>
      <c r="EG538" s="2" t="s">
        <v>23</v>
      </c>
      <c r="EH538" s="2">
        <v>0</v>
      </c>
      <c r="EI538" s="2" t="s">
        <v>3</v>
      </c>
      <c r="EJ538" s="2">
        <v>1</v>
      </c>
      <c r="EK538" s="2">
        <v>80</v>
      </c>
      <c r="EL538" s="2" t="s">
        <v>143</v>
      </c>
      <c r="EM538" s="2" t="s">
        <v>144</v>
      </c>
      <c r="EN538" s="2"/>
      <c r="EO538" s="2" t="s">
        <v>90</v>
      </c>
      <c r="EP538" s="2"/>
      <c r="EQ538" s="2">
        <v>131072</v>
      </c>
      <c r="ER538" s="2">
        <v>1578.61</v>
      </c>
      <c r="ES538" s="2">
        <v>154.62</v>
      </c>
      <c r="ET538" s="2">
        <v>222.79</v>
      </c>
      <c r="EU538" s="2">
        <v>20.78</v>
      </c>
      <c r="EV538" s="2">
        <v>1201.2</v>
      </c>
      <c r="EW538" s="2">
        <v>91</v>
      </c>
      <c r="EX538" s="2">
        <v>0</v>
      </c>
      <c r="EY538" s="2">
        <v>0</v>
      </c>
      <c r="EZ538" s="2"/>
      <c r="FA538" s="2"/>
      <c r="FB538" s="2"/>
      <c r="FC538" s="2"/>
      <c r="FD538" s="2"/>
      <c r="FE538" s="2"/>
      <c r="FF538" s="2"/>
      <c r="FG538" s="2"/>
      <c r="FH538" s="2"/>
      <c r="FI538" s="2"/>
      <c r="FJ538" s="2"/>
      <c r="FK538" s="2"/>
      <c r="FL538" s="2"/>
      <c r="FM538" s="2"/>
      <c r="FN538" s="2"/>
      <c r="FO538" s="2"/>
      <c r="FP538" s="2"/>
      <c r="FQ538" s="2">
        <v>0</v>
      </c>
      <c r="FR538" s="2">
        <f t="shared" si="485"/>
        <v>0</v>
      </c>
      <c r="FS538" s="2">
        <v>0</v>
      </c>
      <c r="FT538" s="2"/>
      <c r="FU538" s="2"/>
      <c r="FV538" s="2"/>
      <c r="FW538" s="2"/>
      <c r="FX538" s="2">
        <v>85</v>
      </c>
      <c r="FY538" s="2">
        <v>70</v>
      </c>
      <c r="FZ538" s="2"/>
      <c r="GA538" s="2" t="s">
        <v>3</v>
      </c>
      <c r="GB538" s="2"/>
      <c r="GC538" s="2"/>
      <c r="GD538" s="2">
        <v>0</v>
      </c>
      <c r="GE538" s="2"/>
      <c r="GF538" s="2">
        <v>-2057397954</v>
      </c>
      <c r="GG538" s="2">
        <v>2</v>
      </c>
      <c r="GH538" s="2">
        <v>1</v>
      </c>
      <c r="GI538" s="2">
        <v>-2</v>
      </c>
      <c r="GJ538" s="2">
        <v>0</v>
      </c>
      <c r="GK538" s="2">
        <f>ROUND(R538*(R12)/100,2)</f>
        <v>4.53</v>
      </c>
      <c r="GL538" s="2">
        <f t="shared" si="486"/>
        <v>0</v>
      </c>
      <c r="GM538" s="2">
        <f t="shared" si="487"/>
        <v>399.29</v>
      </c>
      <c r="GN538" s="2">
        <f t="shared" si="488"/>
        <v>399.29</v>
      </c>
      <c r="GO538" s="2">
        <f t="shared" si="489"/>
        <v>0</v>
      </c>
      <c r="GP538" s="2">
        <f t="shared" si="490"/>
        <v>0</v>
      </c>
      <c r="GQ538" s="2"/>
      <c r="GR538" s="2">
        <v>0</v>
      </c>
      <c r="GS538" s="2">
        <v>0</v>
      </c>
      <c r="GT538" s="2">
        <v>0</v>
      </c>
      <c r="GU538" s="2" t="s">
        <v>3</v>
      </c>
      <c r="GV538" s="2">
        <f t="shared" si="491"/>
        <v>0</v>
      </c>
      <c r="GW538" s="2">
        <v>1</v>
      </c>
      <c r="GX538" s="2">
        <f t="shared" si="492"/>
        <v>0</v>
      </c>
      <c r="GY538" s="2"/>
      <c r="GZ538" s="2"/>
      <c r="HA538" s="2">
        <v>0</v>
      </c>
      <c r="HB538" s="2">
        <v>0</v>
      </c>
      <c r="HC538" s="2">
        <f t="shared" si="493"/>
        <v>0</v>
      </c>
      <c r="HD538" s="2"/>
      <c r="HE538" s="2" t="s">
        <v>3</v>
      </c>
      <c r="HF538" s="2" t="s">
        <v>3</v>
      </c>
      <c r="HG538" s="2"/>
      <c r="HH538" s="2"/>
      <c r="HI538" s="2"/>
      <c r="HJ538" s="2"/>
      <c r="HK538" s="2"/>
      <c r="HL538" s="2"/>
      <c r="HM538" s="2" t="s">
        <v>3</v>
      </c>
      <c r="HN538" s="2" t="s">
        <v>3</v>
      </c>
      <c r="HO538" s="2" t="s">
        <v>3</v>
      </c>
      <c r="HP538" s="2" t="s">
        <v>3</v>
      </c>
      <c r="HQ538" s="2" t="s">
        <v>3</v>
      </c>
      <c r="HR538" s="2"/>
      <c r="HS538" s="2"/>
      <c r="HT538" s="2"/>
      <c r="HU538" s="2"/>
      <c r="HV538" s="2"/>
      <c r="HW538" s="2"/>
      <c r="HX538" s="2"/>
      <c r="HY538" s="2"/>
      <c r="HZ538" s="2"/>
      <c r="IA538" s="2"/>
      <c r="IB538" s="2"/>
      <c r="IC538" s="2"/>
      <c r="ID538" s="2"/>
      <c r="IE538" s="2"/>
      <c r="IF538" s="2"/>
      <c r="IG538" s="2"/>
      <c r="IH538" s="2"/>
      <c r="II538" s="2"/>
      <c r="IJ538" s="2"/>
      <c r="IK538" s="2">
        <v>0</v>
      </c>
      <c r="IL538" s="2"/>
      <c r="IM538" s="2"/>
      <c r="IN538" s="2"/>
      <c r="IO538" s="2"/>
      <c r="IP538" s="2"/>
      <c r="IQ538" s="2"/>
      <c r="IR538" s="2"/>
      <c r="IS538" s="2"/>
      <c r="IT538" s="2"/>
      <c r="IU538" s="2"/>
    </row>
    <row r="539" spans="1:255" x14ac:dyDescent="0.2">
      <c r="A539">
        <v>17</v>
      </c>
      <c r="B539">
        <v>1</v>
      </c>
      <c r="C539">
        <f>ROW(SmtRes!A574)</f>
        <v>574</v>
      </c>
      <c r="D539">
        <f>ROW(EtalonRes!A564)</f>
        <v>564</v>
      </c>
      <c r="E539" t="s">
        <v>181</v>
      </c>
      <c r="F539" t="s">
        <v>510</v>
      </c>
      <c r="G539" t="s">
        <v>511</v>
      </c>
      <c r="H539" t="s">
        <v>139</v>
      </c>
      <c r="I539">
        <v>9.98E-2</v>
      </c>
      <c r="J539">
        <v>0</v>
      </c>
      <c r="K539">
        <v>9.98E-2</v>
      </c>
      <c r="O539">
        <f t="shared" si="463"/>
        <v>4629.1499999999996</v>
      </c>
      <c r="P539">
        <f t="shared" si="464"/>
        <v>312.77</v>
      </c>
      <c r="Q539">
        <f>(ROUND((ROUND((((ET539*1.25))*AV539*I539),2)*BB539),2)+ROUND((ROUND(((AE539-((EU539*1.25)))*AV539*I539),2)*BS539),2))</f>
        <v>314.3</v>
      </c>
      <c r="R539">
        <f t="shared" si="465"/>
        <v>75.19</v>
      </c>
      <c r="S539">
        <f t="shared" si="466"/>
        <v>4002.08</v>
      </c>
      <c r="T539">
        <f t="shared" si="467"/>
        <v>0</v>
      </c>
      <c r="U539">
        <f t="shared" si="468"/>
        <v>10.44407</v>
      </c>
      <c r="V539">
        <f t="shared" si="469"/>
        <v>0</v>
      </c>
      <c r="W539">
        <f t="shared" si="470"/>
        <v>0</v>
      </c>
      <c r="X539">
        <f t="shared" si="471"/>
        <v>2801.46</v>
      </c>
      <c r="Y539">
        <f t="shared" si="472"/>
        <v>1640.85</v>
      </c>
      <c r="AA539">
        <v>129761633</v>
      </c>
      <c r="AB539">
        <f t="shared" si="473"/>
        <v>1814.4875</v>
      </c>
      <c r="AC539">
        <f t="shared" si="474"/>
        <v>154.62</v>
      </c>
      <c r="AD539">
        <f>ROUND(((((ET539*1.25))-((EU539*1.25)))+AE539),6)</f>
        <v>278.48750000000001</v>
      </c>
      <c r="AE539">
        <f>ROUND(((EU539*1.25)),6)</f>
        <v>25.975000000000001</v>
      </c>
      <c r="AF539">
        <f>ROUND(((EV539*1.15)),6)</f>
        <v>1381.38</v>
      </c>
      <c r="AG539">
        <f t="shared" si="475"/>
        <v>0</v>
      </c>
      <c r="AH539">
        <f>((EW539*1.15))</f>
        <v>104.64999999999999</v>
      </c>
      <c r="AI539">
        <f>((EX539*1.25))</f>
        <v>0</v>
      </c>
      <c r="AJ539">
        <f t="shared" si="476"/>
        <v>0</v>
      </c>
      <c r="AK539">
        <v>1578.61</v>
      </c>
      <c r="AL539">
        <v>154.62</v>
      </c>
      <c r="AM539">
        <v>222.79</v>
      </c>
      <c r="AN539">
        <v>20.78</v>
      </c>
      <c r="AO539">
        <v>1201.2</v>
      </c>
      <c r="AP539">
        <v>0</v>
      </c>
      <c r="AQ539">
        <v>91</v>
      </c>
      <c r="AR539">
        <v>0</v>
      </c>
      <c r="AS539">
        <v>0</v>
      </c>
      <c r="AT539">
        <v>70</v>
      </c>
      <c r="AU539">
        <v>41</v>
      </c>
      <c r="AV539">
        <v>1</v>
      </c>
      <c r="AW539">
        <v>1</v>
      </c>
      <c r="AZ539">
        <v>1</v>
      </c>
      <c r="BA539">
        <v>29.03</v>
      </c>
      <c r="BB539">
        <v>11.31</v>
      </c>
      <c r="BC539">
        <v>20.27</v>
      </c>
      <c r="BD539" t="s">
        <v>3</v>
      </c>
      <c r="BE539" t="s">
        <v>3</v>
      </c>
      <c r="BF539" t="s">
        <v>3</v>
      </c>
      <c r="BG539" t="s">
        <v>3</v>
      </c>
      <c r="BH539">
        <v>0</v>
      </c>
      <c r="BI539">
        <v>1</v>
      </c>
      <c r="BJ539" t="s">
        <v>512</v>
      </c>
      <c r="BM539">
        <v>80</v>
      </c>
      <c r="BN539">
        <v>0</v>
      </c>
      <c r="BO539" t="s">
        <v>510</v>
      </c>
      <c r="BP539">
        <v>1</v>
      </c>
      <c r="BQ539">
        <v>30</v>
      </c>
      <c r="BR539">
        <v>0</v>
      </c>
      <c r="BS539">
        <v>29.03</v>
      </c>
      <c r="BT539">
        <v>1</v>
      </c>
      <c r="BU539">
        <v>1</v>
      </c>
      <c r="BV539">
        <v>1</v>
      </c>
      <c r="BW539">
        <v>1</v>
      </c>
      <c r="BX539">
        <v>1</v>
      </c>
      <c r="BY539" t="s">
        <v>3</v>
      </c>
      <c r="BZ539">
        <v>70</v>
      </c>
      <c r="CA539">
        <v>41</v>
      </c>
      <c r="CB539" t="s">
        <v>3</v>
      </c>
      <c r="CE539">
        <v>30</v>
      </c>
      <c r="CF539">
        <v>0</v>
      </c>
      <c r="CG539">
        <v>0</v>
      </c>
      <c r="CM539">
        <v>0</v>
      </c>
      <c r="CN539" t="s">
        <v>1559</v>
      </c>
      <c r="CO539">
        <v>0</v>
      </c>
      <c r="CP539">
        <f t="shared" si="477"/>
        <v>4629.1499999999996</v>
      </c>
      <c r="CQ539">
        <f t="shared" si="478"/>
        <v>3134.15</v>
      </c>
      <c r="CR539">
        <f>(ROUND((ROUND((((ET539*1.25))*AV539*1),2)*BB539),2)+ROUND((ROUND(((AE539-((EU539*1.25)))*AV539*1),2)*BS539),2))</f>
        <v>3149.72</v>
      </c>
      <c r="CS539">
        <f t="shared" si="479"/>
        <v>754.2</v>
      </c>
      <c r="CT539">
        <f t="shared" si="480"/>
        <v>40101.46</v>
      </c>
      <c r="CU539">
        <f t="shared" si="481"/>
        <v>0</v>
      </c>
      <c r="CV539">
        <f t="shared" si="482"/>
        <v>104.64999999999999</v>
      </c>
      <c r="CW539">
        <f t="shared" si="483"/>
        <v>0</v>
      </c>
      <c r="CX539">
        <f t="shared" si="484"/>
        <v>0</v>
      </c>
      <c r="CY539">
        <f>S539*(BZ539/100)</f>
        <v>2801.4559999999997</v>
      </c>
      <c r="CZ539">
        <f>S539*(CA539/100)</f>
        <v>1640.8527999999999</v>
      </c>
      <c r="DC539" t="s">
        <v>3</v>
      </c>
      <c r="DD539" t="s">
        <v>3</v>
      </c>
      <c r="DE539" t="s">
        <v>86</v>
      </c>
      <c r="DF539" t="s">
        <v>86</v>
      </c>
      <c r="DG539" t="s">
        <v>87</v>
      </c>
      <c r="DH539" t="s">
        <v>3</v>
      </c>
      <c r="DI539" t="s">
        <v>87</v>
      </c>
      <c r="DJ539" t="s">
        <v>86</v>
      </c>
      <c r="DK539" t="s">
        <v>3</v>
      </c>
      <c r="DL539" t="s">
        <v>3</v>
      </c>
      <c r="DM539" t="s">
        <v>3</v>
      </c>
      <c r="DN539">
        <v>85</v>
      </c>
      <c r="DO539">
        <v>70</v>
      </c>
      <c r="DP539">
        <v>1</v>
      </c>
      <c r="DQ539">
        <v>1</v>
      </c>
      <c r="DU539">
        <v>1013</v>
      </c>
      <c r="DV539" t="s">
        <v>139</v>
      </c>
      <c r="DW539" t="s">
        <v>139</v>
      </c>
      <c r="DX539">
        <v>1</v>
      </c>
      <c r="DZ539" t="s">
        <v>3</v>
      </c>
      <c r="EA539" t="s">
        <v>3</v>
      </c>
      <c r="EB539" t="s">
        <v>3</v>
      </c>
      <c r="EC539" t="s">
        <v>3</v>
      </c>
      <c r="EE539">
        <v>126051541</v>
      </c>
      <c r="EF539">
        <v>30</v>
      </c>
      <c r="EG539" t="s">
        <v>23</v>
      </c>
      <c r="EH539">
        <v>0</v>
      </c>
      <c r="EI539" t="s">
        <v>3</v>
      </c>
      <c r="EJ539">
        <v>1</v>
      </c>
      <c r="EK539">
        <v>80</v>
      </c>
      <c r="EL539" t="s">
        <v>143</v>
      </c>
      <c r="EM539" t="s">
        <v>144</v>
      </c>
      <c r="EO539" t="s">
        <v>90</v>
      </c>
      <c r="EQ539">
        <v>131072</v>
      </c>
      <c r="ER539">
        <v>1578.61</v>
      </c>
      <c r="ES539">
        <v>154.62</v>
      </c>
      <c r="ET539">
        <v>222.79</v>
      </c>
      <c r="EU539">
        <v>20.78</v>
      </c>
      <c r="EV539">
        <v>1201.2</v>
      </c>
      <c r="EW539">
        <v>91</v>
      </c>
      <c r="EX539">
        <v>0</v>
      </c>
      <c r="EY539">
        <v>0</v>
      </c>
      <c r="FQ539">
        <v>0</v>
      </c>
      <c r="FR539">
        <f t="shared" si="485"/>
        <v>0</v>
      </c>
      <c r="FS539">
        <v>0</v>
      </c>
      <c r="FX539">
        <v>85</v>
      </c>
      <c r="FY539">
        <v>70</v>
      </c>
      <c r="GA539" t="s">
        <v>3</v>
      </c>
      <c r="GD539">
        <v>0</v>
      </c>
      <c r="GF539">
        <v>-2057397954</v>
      </c>
      <c r="GG539">
        <v>2</v>
      </c>
      <c r="GH539">
        <v>1</v>
      </c>
      <c r="GI539">
        <v>2</v>
      </c>
      <c r="GJ539">
        <v>0</v>
      </c>
      <c r="GK539">
        <f>ROUND(R539*(S12)/100,2)</f>
        <v>120.3</v>
      </c>
      <c r="GL539">
        <f t="shared" si="486"/>
        <v>0</v>
      </c>
      <c r="GM539">
        <f t="shared" si="487"/>
        <v>9191.76</v>
      </c>
      <c r="GN539">
        <f t="shared" si="488"/>
        <v>9191.76</v>
      </c>
      <c r="GO539">
        <f t="shared" si="489"/>
        <v>0</v>
      </c>
      <c r="GP539">
        <f t="shared" si="490"/>
        <v>0</v>
      </c>
      <c r="GR539">
        <v>0</v>
      </c>
      <c r="GS539">
        <v>3</v>
      </c>
      <c r="GT539">
        <v>0</v>
      </c>
      <c r="GU539" t="s">
        <v>3</v>
      </c>
      <c r="GV539">
        <f t="shared" si="491"/>
        <v>0</v>
      </c>
      <c r="GW539">
        <v>1</v>
      </c>
      <c r="GX539">
        <f t="shared" si="492"/>
        <v>0</v>
      </c>
      <c r="HA539">
        <v>0</v>
      </c>
      <c r="HB539">
        <v>0</v>
      </c>
      <c r="HC539">
        <f t="shared" si="493"/>
        <v>0</v>
      </c>
      <c r="HE539" t="s">
        <v>3</v>
      </c>
      <c r="HF539" t="s">
        <v>3</v>
      </c>
      <c r="HM539" t="s">
        <v>3</v>
      </c>
      <c r="HN539" t="s">
        <v>3</v>
      </c>
      <c r="HO539" t="s">
        <v>3</v>
      </c>
      <c r="HP539" t="s">
        <v>3</v>
      </c>
      <c r="HQ539" t="s">
        <v>3</v>
      </c>
      <c r="IK539">
        <v>0</v>
      </c>
    </row>
    <row r="540" spans="1:255" x14ac:dyDescent="0.2">
      <c r="A540" s="2">
        <v>18</v>
      </c>
      <c r="B540" s="2">
        <v>1</v>
      </c>
      <c r="C540" s="2">
        <v>556</v>
      </c>
      <c r="D540" s="2"/>
      <c r="E540" s="2" t="s">
        <v>190</v>
      </c>
      <c r="F540" s="2" t="s">
        <v>571</v>
      </c>
      <c r="G540" s="2" t="s">
        <v>572</v>
      </c>
      <c r="H540" s="2" t="s">
        <v>94</v>
      </c>
      <c r="I540" s="2">
        <f>I538*J540</f>
        <v>4.99E-2</v>
      </c>
      <c r="J540" s="2">
        <v>0.5</v>
      </c>
      <c r="K540" s="2">
        <v>0.5</v>
      </c>
      <c r="L540" s="2"/>
      <c r="M540" s="2"/>
      <c r="N540" s="2"/>
      <c r="O540" s="2">
        <f t="shared" si="463"/>
        <v>0.28000000000000003</v>
      </c>
      <c r="P540" s="2">
        <f t="shared" si="464"/>
        <v>0.28000000000000003</v>
      </c>
      <c r="Q540" s="2">
        <f t="shared" ref="Q540:Q553" si="494">(ROUND((ROUND(((ET540)*AV540*I540),2)*BB540),2)+ROUND((ROUND(((AE540-(EU540))*AV540*I540),2)*BS540),2))</f>
        <v>0</v>
      </c>
      <c r="R540" s="2">
        <f t="shared" si="465"/>
        <v>0</v>
      </c>
      <c r="S540" s="2">
        <f t="shared" si="466"/>
        <v>0</v>
      </c>
      <c r="T540" s="2">
        <f t="shared" si="467"/>
        <v>0</v>
      </c>
      <c r="U540" s="2">
        <f t="shared" si="468"/>
        <v>0</v>
      </c>
      <c r="V540" s="2">
        <f t="shared" si="469"/>
        <v>0</v>
      </c>
      <c r="W540" s="2">
        <f t="shared" si="470"/>
        <v>0</v>
      </c>
      <c r="X540" s="2">
        <f t="shared" si="471"/>
        <v>0</v>
      </c>
      <c r="Y540" s="2">
        <f t="shared" si="472"/>
        <v>0</v>
      </c>
      <c r="Z540" s="2"/>
      <c r="AA540" s="2">
        <v>129761636</v>
      </c>
      <c r="AB540" s="2">
        <f t="shared" si="473"/>
        <v>5.67</v>
      </c>
      <c r="AC540" s="2">
        <f t="shared" si="474"/>
        <v>5.67</v>
      </c>
      <c r="AD540" s="2">
        <f t="shared" ref="AD540:AD553" si="495">ROUND((((ET540)-(EU540))+AE540),6)</f>
        <v>0</v>
      </c>
      <c r="AE540" s="2">
        <f t="shared" ref="AE540:AE553" si="496">ROUND((EU540),6)</f>
        <v>0</v>
      </c>
      <c r="AF540" s="2">
        <f t="shared" ref="AF540:AF553" si="497">ROUND((EV540),6)</f>
        <v>0</v>
      </c>
      <c r="AG540" s="2">
        <f t="shared" si="475"/>
        <v>0</v>
      </c>
      <c r="AH540" s="2">
        <f t="shared" ref="AH540:AH553" si="498">(EW540)</f>
        <v>0</v>
      </c>
      <c r="AI540" s="2">
        <f t="shared" ref="AI540:AI553" si="499">(EX540)</f>
        <v>0</v>
      </c>
      <c r="AJ540" s="2">
        <f t="shared" si="476"/>
        <v>0</v>
      </c>
      <c r="AK540" s="2">
        <v>5.67</v>
      </c>
      <c r="AL540" s="2">
        <v>5.67</v>
      </c>
      <c r="AM540" s="2">
        <v>0</v>
      </c>
      <c r="AN540" s="2">
        <v>0</v>
      </c>
      <c r="AO540" s="2">
        <v>0</v>
      </c>
      <c r="AP540" s="2">
        <v>0</v>
      </c>
      <c r="AQ540" s="2">
        <v>0</v>
      </c>
      <c r="AR540" s="2">
        <v>0</v>
      </c>
      <c r="AS540" s="2">
        <v>0</v>
      </c>
      <c r="AT540" s="2">
        <v>85</v>
      </c>
      <c r="AU540" s="2">
        <v>70</v>
      </c>
      <c r="AV540" s="2">
        <v>1</v>
      </c>
      <c r="AW540" s="2">
        <v>1</v>
      </c>
      <c r="AX540" s="2"/>
      <c r="AY540" s="2"/>
      <c r="AZ540" s="2">
        <v>1</v>
      </c>
      <c r="BA540" s="2">
        <v>1</v>
      </c>
      <c r="BB540" s="2">
        <v>1</v>
      </c>
      <c r="BC540" s="2">
        <v>1</v>
      </c>
      <c r="BD540" s="2" t="s">
        <v>3</v>
      </c>
      <c r="BE540" s="2" t="s">
        <v>3</v>
      </c>
      <c r="BF540" s="2" t="s">
        <v>3</v>
      </c>
      <c r="BG540" s="2" t="s">
        <v>3</v>
      </c>
      <c r="BH540" s="2">
        <v>3</v>
      </c>
      <c r="BI540" s="2">
        <v>1</v>
      </c>
      <c r="BJ540" s="2" t="s">
        <v>573</v>
      </c>
      <c r="BK540" s="2"/>
      <c r="BL540" s="2"/>
      <c r="BM540" s="2">
        <v>80</v>
      </c>
      <c r="BN540" s="2">
        <v>0</v>
      </c>
      <c r="BO540" s="2" t="s">
        <v>3</v>
      </c>
      <c r="BP540" s="2">
        <v>0</v>
      </c>
      <c r="BQ540" s="2">
        <v>30</v>
      </c>
      <c r="BR540" s="2">
        <v>0</v>
      </c>
      <c r="BS540" s="2">
        <v>1</v>
      </c>
      <c r="BT540" s="2">
        <v>1</v>
      </c>
      <c r="BU540" s="2">
        <v>1</v>
      </c>
      <c r="BV540" s="2">
        <v>1</v>
      </c>
      <c r="BW540" s="2">
        <v>1</v>
      </c>
      <c r="BX540" s="2">
        <v>1</v>
      </c>
      <c r="BY540" s="2" t="s">
        <v>3</v>
      </c>
      <c r="BZ540" s="2">
        <v>85</v>
      </c>
      <c r="CA540" s="2">
        <v>70</v>
      </c>
      <c r="CB540" s="2" t="s">
        <v>3</v>
      </c>
      <c r="CC540" s="2"/>
      <c r="CD540" s="2"/>
      <c r="CE540" s="2">
        <v>30</v>
      </c>
      <c r="CF540" s="2">
        <v>0</v>
      </c>
      <c r="CG540" s="2">
        <v>0</v>
      </c>
      <c r="CH540" s="2"/>
      <c r="CI540" s="2"/>
      <c r="CJ540" s="2"/>
      <c r="CK540" s="2"/>
      <c r="CL540" s="2"/>
      <c r="CM540" s="2">
        <v>0</v>
      </c>
      <c r="CN540" s="2" t="s">
        <v>3</v>
      </c>
      <c r="CO540" s="2">
        <v>0</v>
      </c>
      <c r="CP540" s="2">
        <f t="shared" si="477"/>
        <v>0.28000000000000003</v>
      </c>
      <c r="CQ540" s="2">
        <f t="shared" si="478"/>
        <v>5.67</v>
      </c>
      <c r="CR540" s="2">
        <f t="shared" ref="CR540:CR553" si="500">(ROUND((ROUND(((ET540)*AV540*1),2)*BB540),2)+ROUND((ROUND(((AE540-(EU540))*AV540*1),2)*BS540),2))</f>
        <v>0</v>
      </c>
      <c r="CS540" s="2">
        <f t="shared" si="479"/>
        <v>0</v>
      </c>
      <c r="CT540" s="2">
        <f t="shared" si="480"/>
        <v>0</v>
      </c>
      <c r="CU540" s="2">
        <f t="shared" si="481"/>
        <v>0</v>
      </c>
      <c r="CV540" s="2">
        <f t="shared" si="482"/>
        <v>0</v>
      </c>
      <c r="CW540" s="2">
        <f t="shared" si="483"/>
        <v>0</v>
      </c>
      <c r="CX540" s="2">
        <f t="shared" si="484"/>
        <v>0</v>
      </c>
      <c r="CY540" s="2">
        <f>((S540*BZ540)/100)</f>
        <v>0</v>
      </c>
      <c r="CZ540" s="2">
        <f>((S540*CA540)/100)</f>
        <v>0</v>
      </c>
      <c r="DA540" s="2"/>
      <c r="DB540" s="2"/>
      <c r="DC540" s="2" t="s">
        <v>3</v>
      </c>
      <c r="DD540" s="2" t="s">
        <v>3</v>
      </c>
      <c r="DE540" s="2" t="s">
        <v>3</v>
      </c>
      <c r="DF540" s="2" t="s">
        <v>3</v>
      </c>
      <c r="DG540" s="2" t="s">
        <v>3</v>
      </c>
      <c r="DH540" s="2" t="s">
        <v>3</v>
      </c>
      <c r="DI540" s="2" t="s">
        <v>3</v>
      </c>
      <c r="DJ540" s="2" t="s">
        <v>3</v>
      </c>
      <c r="DK540" s="2" t="s">
        <v>3</v>
      </c>
      <c r="DL540" s="2" t="s">
        <v>3</v>
      </c>
      <c r="DM540" s="2" t="s">
        <v>3</v>
      </c>
      <c r="DN540" s="2">
        <v>0</v>
      </c>
      <c r="DO540" s="2">
        <v>0</v>
      </c>
      <c r="DP540" s="2">
        <v>1</v>
      </c>
      <c r="DQ540" s="2">
        <v>1</v>
      </c>
      <c r="DR540" s="2"/>
      <c r="DS540" s="2"/>
      <c r="DT540" s="2"/>
      <c r="DU540" s="2">
        <v>1007</v>
      </c>
      <c r="DV540" s="2" t="s">
        <v>94</v>
      </c>
      <c r="DW540" s="2" t="s">
        <v>94</v>
      </c>
      <c r="DX540" s="2">
        <v>1</v>
      </c>
      <c r="DY540" s="2"/>
      <c r="DZ540" s="2" t="s">
        <v>3</v>
      </c>
      <c r="EA540" s="2" t="s">
        <v>3</v>
      </c>
      <c r="EB540" s="2" t="s">
        <v>3</v>
      </c>
      <c r="EC540" s="2" t="s">
        <v>3</v>
      </c>
      <c r="ED540" s="2"/>
      <c r="EE540" s="2">
        <v>126051541</v>
      </c>
      <c r="EF540" s="2">
        <v>30</v>
      </c>
      <c r="EG540" s="2" t="s">
        <v>23</v>
      </c>
      <c r="EH540" s="2">
        <v>0</v>
      </c>
      <c r="EI540" s="2" t="s">
        <v>3</v>
      </c>
      <c r="EJ540" s="2">
        <v>1</v>
      </c>
      <c r="EK540" s="2">
        <v>80</v>
      </c>
      <c r="EL540" s="2" t="s">
        <v>143</v>
      </c>
      <c r="EM540" s="2" t="s">
        <v>144</v>
      </c>
      <c r="EN540" s="2"/>
      <c r="EO540" s="2" t="s">
        <v>3</v>
      </c>
      <c r="EP540" s="2"/>
      <c r="EQ540" s="2">
        <v>0</v>
      </c>
      <c r="ER540" s="2">
        <v>5.67</v>
      </c>
      <c r="ES540" s="2">
        <v>5.67</v>
      </c>
      <c r="ET540" s="2">
        <v>0</v>
      </c>
      <c r="EU540" s="2">
        <v>0</v>
      </c>
      <c r="EV540" s="2">
        <v>0</v>
      </c>
      <c r="EW540" s="2">
        <v>0</v>
      </c>
      <c r="EX540" s="2">
        <v>0</v>
      </c>
      <c r="EY540" s="2"/>
      <c r="EZ540" s="2"/>
      <c r="FA540" s="2"/>
      <c r="FB540" s="2"/>
      <c r="FC540" s="2"/>
      <c r="FD540" s="2"/>
      <c r="FE540" s="2"/>
      <c r="FF540" s="2"/>
      <c r="FG540" s="2"/>
      <c r="FH540" s="2"/>
      <c r="FI540" s="2"/>
      <c r="FJ540" s="2"/>
      <c r="FK540" s="2"/>
      <c r="FL540" s="2"/>
      <c r="FM540" s="2"/>
      <c r="FN540" s="2"/>
      <c r="FO540" s="2"/>
      <c r="FP540" s="2"/>
      <c r="FQ540" s="2">
        <v>0</v>
      </c>
      <c r="FR540" s="2">
        <f t="shared" si="485"/>
        <v>0</v>
      </c>
      <c r="FS540" s="2">
        <v>0</v>
      </c>
      <c r="FT540" s="2"/>
      <c r="FU540" s="2"/>
      <c r="FV540" s="2"/>
      <c r="FW540" s="2"/>
      <c r="FX540" s="2">
        <v>85</v>
      </c>
      <c r="FY540" s="2">
        <v>70</v>
      </c>
      <c r="FZ540" s="2"/>
      <c r="GA540" s="2" t="s">
        <v>3</v>
      </c>
      <c r="GB540" s="2"/>
      <c r="GC540" s="2"/>
      <c r="GD540" s="2">
        <v>0</v>
      </c>
      <c r="GE540" s="2"/>
      <c r="GF540" s="2">
        <v>138241181</v>
      </c>
      <c r="GG540" s="2">
        <v>2</v>
      </c>
      <c r="GH540" s="2">
        <v>1</v>
      </c>
      <c r="GI540" s="2">
        <v>-2</v>
      </c>
      <c r="GJ540" s="2">
        <v>0</v>
      </c>
      <c r="GK540" s="2">
        <f>ROUND(R540*(R12)/100,2)</f>
        <v>0</v>
      </c>
      <c r="GL540" s="2">
        <f t="shared" si="486"/>
        <v>0</v>
      </c>
      <c r="GM540" s="2">
        <f t="shared" si="487"/>
        <v>0.28000000000000003</v>
      </c>
      <c r="GN540" s="2">
        <f t="shared" si="488"/>
        <v>0.28000000000000003</v>
      </c>
      <c r="GO540" s="2">
        <f t="shared" si="489"/>
        <v>0</v>
      </c>
      <c r="GP540" s="2">
        <f t="shared" si="490"/>
        <v>0</v>
      </c>
      <c r="GQ540" s="2"/>
      <c r="GR540" s="2">
        <v>0</v>
      </c>
      <c r="GS540" s="2">
        <v>0</v>
      </c>
      <c r="GT540" s="2">
        <v>0</v>
      </c>
      <c r="GU540" s="2" t="s">
        <v>3</v>
      </c>
      <c r="GV540" s="2">
        <f t="shared" si="491"/>
        <v>0</v>
      </c>
      <c r="GW540" s="2">
        <v>1</v>
      </c>
      <c r="GX540" s="2">
        <f t="shared" si="492"/>
        <v>0</v>
      </c>
      <c r="GY540" s="2"/>
      <c r="GZ540" s="2"/>
      <c r="HA540" s="2">
        <v>0</v>
      </c>
      <c r="HB540" s="2">
        <v>0</v>
      </c>
      <c r="HC540" s="2">
        <f t="shared" si="493"/>
        <v>0</v>
      </c>
      <c r="HD540" s="2"/>
      <c r="HE540" s="2" t="s">
        <v>3</v>
      </c>
      <c r="HF540" s="2" t="s">
        <v>3</v>
      </c>
      <c r="HG540" s="2"/>
      <c r="HH540" s="2"/>
      <c r="HI540" s="2"/>
      <c r="HJ540" s="2"/>
      <c r="HK540" s="2"/>
      <c r="HL540" s="2"/>
      <c r="HM540" s="2" t="s">
        <v>3</v>
      </c>
      <c r="HN540" s="2" t="s">
        <v>3</v>
      </c>
      <c r="HO540" s="2" t="s">
        <v>3</v>
      </c>
      <c r="HP540" s="2" t="s">
        <v>3</v>
      </c>
      <c r="HQ540" s="2" t="s">
        <v>3</v>
      </c>
      <c r="HR540" s="2"/>
      <c r="HS540" s="2"/>
      <c r="HT540" s="2"/>
      <c r="HU540" s="2"/>
      <c r="HV540" s="2"/>
      <c r="HW540" s="2"/>
      <c r="HX540" s="2"/>
      <c r="HY540" s="2"/>
      <c r="HZ540" s="2"/>
      <c r="IA540" s="2"/>
      <c r="IB540" s="2"/>
      <c r="IC540" s="2"/>
      <c r="ID540" s="2"/>
      <c r="IE540" s="2"/>
      <c r="IF540" s="2"/>
      <c r="IG540" s="2"/>
      <c r="IH540" s="2"/>
      <c r="II540" s="2"/>
      <c r="IJ540" s="2"/>
      <c r="IK540" s="2">
        <v>0</v>
      </c>
      <c r="IL540" s="2"/>
      <c r="IM540" s="2"/>
      <c r="IN540" s="2"/>
      <c r="IO540" s="2"/>
      <c r="IP540" s="2"/>
      <c r="IQ540" s="2"/>
      <c r="IR540" s="2"/>
      <c r="IS540" s="2"/>
      <c r="IT540" s="2"/>
      <c r="IU540" s="2"/>
    </row>
    <row r="541" spans="1:255" x14ac:dyDescent="0.2">
      <c r="A541">
        <v>18</v>
      </c>
      <c r="B541">
        <v>1</v>
      </c>
      <c r="C541">
        <v>571</v>
      </c>
      <c r="E541" t="s">
        <v>190</v>
      </c>
      <c r="F541" t="s">
        <v>571</v>
      </c>
      <c r="G541" t="s">
        <v>572</v>
      </c>
      <c r="H541" t="s">
        <v>94</v>
      </c>
      <c r="I541">
        <f>I539*J541</f>
        <v>4.99E-2</v>
      </c>
      <c r="J541">
        <v>0.5</v>
      </c>
      <c r="K541">
        <v>0.5</v>
      </c>
      <c r="O541">
        <f t="shared" si="463"/>
        <v>5.47</v>
      </c>
      <c r="P541">
        <f t="shared" si="464"/>
        <v>5.47</v>
      </c>
      <c r="Q541">
        <f t="shared" si="494"/>
        <v>0</v>
      </c>
      <c r="R541">
        <f t="shared" si="465"/>
        <v>0</v>
      </c>
      <c r="S541">
        <f t="shared" si="466"/>
        <v>0</v>
      </c>
      <c r="T541">
        <f t="shared" si="467"/>
        <v>0</v>
      </c>
      <c r="U541">
        <f t="shared" si="468"/>
        <v>0</v>
      </c>
      <c r="V541">
        <f t="shared" si="469"/>
        <v>0</v>
      </c>
      <c r="W541">
        <f t="shared" si="470"/>
        <v>0</v>
      </c>
      <c r="X541">
        <f t="shared" si="471"/>
        <v>0</v>
      </c>
      <c r="Y541">
        <f t="shared" si="472"/>
        <v>0</v>
      </c>
      <c r="AA541">
        <v>129761633</v>
      </c>
      <c r="AB541">
        <f t="shared" si="473"/>
        <v>5.67</v>
      </c>
      <c r="AC541">
        <f t="shared" si="474"/>
        <v>5.67</v>
      </c>
      <c r="AD541">
        <f t="shared" si="495"/>
        <v>0</v>
      </c>
      <c r="AE541">
        <f t="shared" si="496"/>
        <v>0</v>
      </c>
      <c r="AF541">
        <f t="shared" si="497"/>
        <v>0</v>
      </c>
      <c r="AG541">
        <f t="shared" si="475"/>
        <v>0</v>
      </c>
      <c r="AH541">
        <f t="shared" si="498"/>
        <v>0</v>
      </c>
      <c r="AI541">
        <f t="shared" si="499"/>
        <v>0</v>
      </c>
      <c r="AJ541">
        <f t="shared" si="476"/>
        <v>0</v>
      </c>
      <c r="AK541">
        <v>5.67</v>
      </c>
      <c r="AL541">
        <v>5.67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1</v>
      </c>
      <c r="AW541">
        <v>1</v>
      </c>
      <c r="AZ541">
        <v>1</v>
      </c>
      <c r="BA541">
        <v>1</v>
      </c>
      <c r="BB541">
        <v>1</v>
      </c>
      <c r="BC541">
        <v>19.55</v>
      </c>
      <c r="BD541" t="s">
        <v>3</v>
      </c>
      <c r="BE541" t="s">
        <v>3</v>
      </c>
      <c r="BF541" t="s">
        <v>3</v>
      </c>
      <c r="BG541" t="s">
        <v>3</v>
      </c>
      <c r="BH541">
        <v>3</v>
      </c>
      <c r="BI541">
        <v>1</v>
      </c>
      <c r="BJ541" t="s">
        <v>573</v>
      </c>
      <c r="BM541">
        <v>80</v>
      </c>
      <c r="BN541">
        <v>0</v>
      </c>
      <c r="BO541" t="s">
        <v>571</v>
      </c>
      <c r="BP541">
        <v>1</v>
      </c>
      <c r="BQ541">
        <v>30</v>
      </c>
      <c r="BR541">
        <v>0</v>
      </c>
      <c r="BS541">
        <v>1</v>
      </c>
      <c r="BT541">
        <v>1</v>
      </c>
      <c r="BU541">
        <v>1</v>
      </c>
      <c r="BV541">
        <v>1</v>
      </c>
      <c r="BW541">
        <v>1</v>
      </c>
      <c r="BX541">
        <v>1</v>
      </c>
      <c r="BY541" t="s">
        <v>3</v>
      </c>
      <c r="BZ541">
        <v>0</v>
      </c>
      <c r="CA541">
        <v>0</v>
      </c>
      <c r="CB541" t="s">
        <v>3</v>
      </c>
      <c r="CE541">
        <v>30</v>
      </c>
      <c r="CF541">
        <v>0</v>
      </c>
      <c r="CG541">
        <v>0</v>
      </c>
      <c r="CM541">
        <v>0</v>
      </c>
      <c r="CN541" t="s">
        <v>3</v>
      </c>
      <c r="CO541">
        <v>0</v>
      </c>
      <c r="CP541">
        <f t="shared" si="477"/>
        <v>5.47</v>
      </c>
      <c r="CQ541">
        <f t="shared" si="478"/>
        <v>110.85</v>
      </c>
      <c r="CR541">
        <f t="shared" si="500"/>
        <v>0</v>
      </c>
      <c r="CS541">
        <f t="shared" si="479"/>
        <v>0</v>
      </c>
      <c r="CT541">
        <f t="shared" si="480"/>
        <v>0</v>
      </c>
      <c r="CU541">
        <f t="shared" si="481"/>
        <v>0</v>
      </c>
      <c r="CV541">
        <f t="shared" si="482"/>
        <v>0</v>
      </c>
      <c r="CW541">
        <f t="shared" si="483"/>
        <v>0</v>
      </c>
      <c r="CX541">
        <f t="shared" si="484"/>
        <v>0</v>
      </c>
      <c r="CY541">
        <f>S541*(BZ541/100)</f>
        <v>0</v>
      </c>
      <c r="CZ541">
        <f>S541*(CA541/100)</f>
        <v>0</v>
      </c>
      <c r="DC541" t="s">
        <v>3</v>
      </c>
      <c r="DD541" t="s">
        <v>3</v>
      </c>
      <c r="DE541" t="s">
        <v>3</v>
      </c>
      <c r="DF541" t="s">
        <v>3</v>
      </c>
      <c r="DG541" t="s">
        <v>3</v>
      </c>
      <c r="DH541" t="s">
        <v>3</v>
      </c>
      <c r="DI541" t="s">
        <v>3</v>
      </c>
      <c r="DJ541" t="s">
        <v>3</v>
      </c>
      <c r="DK541" t="s">
        <v>3</v>
      </c>
      <c r="DL541" t="s">
        <v>3</v>
      </c>
      <c r="DM541" t="s">
        <v>3</v>
      </c>
      <c r="DN541">
        <v>85</v>
      </c>
      <c r="DO541">
        <v>70</v>
      </c>
      <c r="DP541">
        <v>1</v>
      </c>
      <c r="DQ541">
        <v>1</v>
      </c>
      <c r="DU541">
        <v>1007</v>
      </c>
      <c r="DV541" t="s">
        <v>94</v>
      </c>
      <c r="DW541" t="s">
        <v>94</v>
      </c>
      <c r="DX541">
        <v>1</v>
      </c>
      <c r="DZ541" t="s">
        <v>3</v>
      </c>
      <c r="EA541" t="s">
        <v>3</v>
      </c>
      <c r="EB541" t="s">
        <v>3</v>
      </c>
      <c r="EC541" t="s">
        <v>3</v>
      </c>
      <c r="EE541">
        <v>126051541</v>
      </c>
      <c r="EF541">
        <v>30</v>
      </c>
      <c r="EG541" t="s">
        <v>23</v>
      </c>
      <c r="EH541">
        <v>0</v>
      </c>
      <c r="EI541" t="s">
        <v>3</v>
      </c>
      <c r="EJ541">
        <v>1</v>
      </c>
      <c r="EK541">
        <v>80</v>
      </c>
      <c r="EL541" t="s">
        <v>143</v>
      </c>
      <c r="EM541" t="s">
        <v>144</v>
      </c>
      <c r="EO541" t="s">
        <v>3</v>
      </c>
      <c r="EQ541">
        <v>0</v>
      </c>
      <c r="ER541">
        <v>5.67</v>
      </c>
      <c r="ES541">
        <v>5.67</v>
      </c>
      <c r="ET541">
        <v>0</v>
      </c>
      <c r="EU541">
        <v>0</v>
      </c>
      <c r="EV541">
        <v>0</v>
      </c>
      <c r="EW541">
        <v>0</v>
      </c>
      <c r="EX541">
        <v>0</v>
      </c>
      <c r="FQ541">
        <v>0</v>
      </c>
      <c r="FR541">
        <f t="shared" si="485"/>
        <v>0</v>
      </c>
      <c r="FS541">
        <v>0</v>
      </c>
      <c r="FX541">
        <v>85</v>
      </c>
      <c r="FY541">
        <v>70</v>
      </c>
      <c r="GA541" t="s">
        <v>3</v>
      </c>
      <c r="GD541">
        <v>0</v>
      </c>
      <c r="GF541">
        <v>138241181</v>
      </c>
      <c r="GG541">
        <v>2</v>
      </c>
      <c r="GH541">
        <v>1</v>
      </c>
      <c r="GI541">
        <v>2</v>
      </c>
      <c r="GJ541">
        <v>0</v>
      </c>
      <c r="GK541">
        <f>ROUND(R541*(S12)/100,2)</f>
        <v>0</v>
      </c>
      <c r="GL541">
        <f t="shared" si="486"/>
        <v>0</v>
      </c>
      <c r="GM541">
        <f t="shared" si="487"/>
        <v>5.47</v>
      </c>
      <c r="GN541">
        <f t="shared" si="488"/>
        <v>5.47</v>
      </c>
      <c r="GO541">
        <f t="shared" si="489"/>
        <v>0</v>
      </c>
      <c r="GP541">
        <f t="shared" si="490"/>
        <v>0</v>
      </c>
      <c r="GR541">
        <v>0</v>
      </c>
      <c r="GS541">
        <v>3</v>
      </c>
      <c r="GT541">
        <v>0</v>
      </c>
      <c r="GU541" t="s">
        <v>3</v>
      </c>
      <c r="GV541">
        <f t="shared" si="491"/>
        <v>0</v>
      </c>
      <c r="GW541">
        <v>1</v>
      </c>
      <c r="GX541">
        <f t="shared" si="492"/>
        <v>0</v>
      </c>
      <c r="HA541">
        <v>0</v>
      </c>
      <c r="HB541">
        <v>0</v>
      </c>
      <c r="HC541">
        <f t="shared" si="493"/>
        <v>0</v>
      </c>
      <c r="HE541" t="s">
        <v>3</v>
      </c>
      <c r="HF541" t="s">
        <v>3</v>
      </c>
      <c r="HM541" t="s">
        <v>3</v>
      </c>
      <c r="HN541" t="s">
        <v>3</v>
      </c>
      <c r="HO541" t="s">
        <v>3</v>
      </c>
      <c r="HP541" t="s">
        <v>3</v>
      </c>
      <c r="HQ541" t="s">
        <v>3</v>
      </c>
      <c r="IK541">
        <v>0</v>
      </c>
    </row>
    <row r="542" spans="1:255" x14ac:dyDescent="0.2">
      <c r="A542" s="2">
        <v>18</v>
      </c>
      <c r="B542" s="2">
        <v>1</v>
      </c>
      <c r="C542" s="2">
        <v>559</v>
      </c>
      <c r="D542" s="2"/>
      <c r="E542" s="2" t="s">
        <v>574</v>
      </c>
      <c r="F542" s="2" t="s">
        <v>248</v>
      </c>
      <c r="G542" s="2" t="s">
        <v>575</v>
      </c>
      <c r="H542" s="2" t="s">
        <v>270</v>
      </c>
      <c r="I542" s="2">
        <f>I538*J542</f>
        <v>12.5</v>
      </c>
      <c r="J542" s="2">
        <v>125.25050100200401</v>
      </c>
      <c r="K542" s="2">
        <v>125.250501</v>
      </c>
      <c r="L542" s="2"/>
      <c r="M542" s="2"/>
      <c r="N542" s="2"/>
      <c r="O542" s="2">
        <f t="shared" si="463"/>
        <v>0</v>
      </c>
      <c r="P542" s="2">
        <f t="shared" si="464"/>
        <v>0</v>
      </c>
      <c r="Q542" s="2">
        <f t="shared" si="494"/>
        <v>0</v>
      </c>
      <c r="R542" s="2">
        <f t="shared" si="465"/>
        <v>0</v>
      </c>
      <c r="S542" s="2">
        <f t="shared" si="466"/>
        <v>0</v>
      </c>
      <c r="T542" s="2">
        <f t="shared" si="467"/>
        <v>0</v>
      </c>
      <c r="U542" s="2">
        <f t="shared" si="468"/>
        <v>0</v>
      </c>
      <c r="V542" s="2">
        <f t="shared" si="469"/>
        <v>0</v>
      </c>
      <c r="W542" s="2">
        <f t="shared" si="470"/>
        <v>0</v>
      </c>
      <c r="X542" s="2">
        <f t="shared" si="471"/>
        <v>0</v>
      </c>
      <c r="Y542" s="2">
        <f t="shared" si="472"/>
        <v>0</v>
      </c>
      <c r="Z542" s="2"/>
      <c r="AA542" s="2">
        <v>129761636</v>
      </c>
      <c r="AB542" s="2">
        <f t="shared" si="473"/>
        <v>0</v>
      </c>
      <c r="AC542" s="2">
        <f t="shared" si="474"/>
        <v>0</v>
      </c>
      <c r="AD542" s="2">
        <f t="shared" si="495"/>
        <v>0</v>
      </c>
      <c r="AE542" s="2">
        <f t="shared" si="496"/>
        <v>0</v>
      </c>
      <c r="AF542" s="2">
        <f t="shared" si="497"/>
        <v>0</v>
      </c>
      <c r="AG542" s="2">
        <f t="shared" si="475"/>
        <v>0</v>
      </c>
      <c r="AH542" s="2">
        <f t="shared" si="498"/>
        <v>0</v>
      </c>
      <c r="AI542" s="2">
        <f t="shared" si="499"/>
        <v>0</v>
      </c>
      <c r="AJ542" s="2">
        <f t="shared" si="476"/>
        <v>0</v>
      </c>
      <c r="AK542" s="2">
        <v>0</v>
      </c>
      <c r="AL542" s="2">
        <v>0</v>
      </c>
      <c r="AM542" s="2">
        <v>0</v>
      </c>
      <c r="AN542" s="2">
        <v>0</v>
      </c>
      <c r="AO542" s="2">
        <v>0</v>
      </c>
      <c r="AP542" s="2">
        <v>0</v>
      </c>
      <c r="AQ542" s="2">
        <v>0</v>
      </c>
      <c r="AR542" s="2">
        <v>0</v>
      </c>
      <c r="AS542" s="2">
        <v>0</v>
      </c>
      <c r="AT542" s="2">
        <v>85</v>
      </c>
      <c r="AU542" s="2">
        <v>70</v>
      </c>
      <c r="AV542" s="2">
        <v>1</v>
      </c>
      <c r="AW542" s="2">
        <v>1</v>
      </c>
      <c r="AX542" s="2"/>
      <c r="AY542" s="2"/>
      <c r="AZ542" s="2">
        <v>1</v>
      </c>
      <c r="BA542" s="2">
        <v>1</v>
      </c>
      <c r="BB542" s="2">
        <v>1</v>
      </c>
      <c r="BC542" s="2">
        <v>1</v>
      </c>
      <c r="BD542" s="2" t="s">
        <v>3</v>
      </c>
      <c r="BE542" s="2" t="s">
        <v>3</v>
      </c>
      <c r="BF542" s="2" t="s">
        <v>3</v>
      </c>
      <c r="BG542" s="2" t="s">
        <v>3</v>
      </c>
      <c r="BH542" s="2">
        <v>3</v>
      </c>
      <c r="BI542" s="2">
        <v>1</v>
      </c>
      <c r="BJ542" s="2" t="s">
        <v>3</v>
      </c>
      <c r="BK542" s="2"/>
      <c r="BL542" s="2"/>
      <c r="BM542" s="2">
        <v>80</v>
      </c>
      <c r="BN542" s="2">
        <v>0</v>
      </c>
      <c r="BO542" s="2" t="s">
        <v>3</v>
      </c>
      <c r="BP542" s="2">
        <v>0</v>
      </c>
      <c r="BQ542" s="2">
        <v>30</v>
      </c>
      <c r="BR542" s="2">
        <v>0</v>
      </c>
      <c r="BS542" s="2">
        <v>1</v>
      </c>
      <c r="BT542" s="2">
        <v>1</v>
      </c>
      <c r="BU542" s="2">
        <v>1</v>
      </c>
      <c r="BV542" s="2">
        <v>1</v>
      </c>
      <c r="BW542" s="2">
        <v>1</v>
      </c>
      <c r="BX542" s="2">
        <v>1</v>
      </c>
      <c r="BY542" s="2" t="s">
        <v>3</v>
      </c>
      <c r="BZ542" s="2">
        <v>85</v>
      </c>
      <c r="CA542" s="2">
        <v>70</v>
      </c>
      <c r="CB542" s="2" t="s">
        <v>3</v>
      </c>
      <c r="CC542" s="2"/>
      <c r="CD542" s="2"/>
      <c r="CE542" s="2">
        <v>30</v>
      </c>
      <c r="CF542" s="2">
        <v>0</v>
      </c>
      <c r="CG542" s="2">
        <v>0</v>
      </c>
      <c r="CH542" s="2"/>
      <c r="CI542" s="2"/>
      <c r="CJ542" s="2"/>
      <c r="CK542" s="2"/>
      <c r="CL542" s="2"/>
      <c r="CM542" s="2">
        <v>0</v>
      </c>
      <c r="CN542" s="2" t="s">
        <v>3</v>
      </c>
      <c r="CO542" s="2">
        <v>0</v>
      </c>
      <c r="CP542" s="2">
        <f t="shared" si="477"/>
        <v>0</v>
      </c>
      <c r="CQ542" s="2">
        <f t="shared" si="478"/>
        <v>0</v>
      </c>
      <c r="CR542" s="2">
        <f t="shared" si="500"/>
        <v>0</v>
      </c>
      <c r="CS542" s="2">
        <f t="shared" si="479"/>
        <v>0</v>
      </c>
      <c r="CT542" s="2">
        <f t="shared" si="480"/>
        <v>0</v>
      </c>
      <c r="CU542" s="2">
        <f t="shared" si="481"/>
        <v>0</v>
      </c>
      <c r="CV542" s="2">
        <f t="shared" si="482"/>
        <v>0</v>
      </c>
      <c r="CW542" s="2">
        <f t="shared" si="483"/>
        <v>0</v>
      </c>
      <c r="CX542" s="2">
        <f t="shared" si="484"/>
        <v>0</v>
      </c>
      <c r="CY542" s="2">
        <f>((S542*BZ542)/100)</f>
        <v>0</v>
      </c>
      <c r="CZ542" s="2">
        <f>((S542*CA542)/100)</f>
        <v>0</v>
      </c>
      <c r="DA542" s="2"/>
      <c r="DB542" s="2"/>
      <c r="DC542" s="2" t="s">
        <v>3</v>
      </c>
      <c r="DD542" s="2" t="s">
        <v>3</v>
      </c>
      <c r="DE542" s="2" t="s">
        <v>3</v>
      </c>
      <c r="DF542" s="2" t="s">
        <v>3</v>
      </c>
      <c r="DG542" s="2" t="s">
        <v>3</v>
      </c>
      <c r="DH542" s="2" t="s">
        <v>3</v>
      </c>
      <c r="DI542" s="2" t="s">
        <v>3</v>
      </c>
      <c r="DJ542" s="2" t="s">
        <v>3</v>
      </c>
      <c r="DK542" s="2" t="s">
        <v>3</v>
      </c>
      <c r="DL542" s="2" t="s">
        <v>3</v>
      </c>
      <c r="DM542" s="2" t="s">
        <v>3</v>
      </c>
      <c r="DN542" s="2">
        <v>0</v>
      </c>
      <c r="DO542" s="2">
        <v>0</v>
      </c>
      <c r="DP542" s="2">
        <v>1</v>
      </c>
      <c r="DQ542" s="2">
        <v>1</v>
      </c>
      <c r="DR542" s="2"/>
      <c r="DS542" s="2"/>
      <c r="DT542" s="2"/>
      <c r="DU542" s="2">
        <v>1003</v>
      </c>
      <c r="DV542" s="2" t="s">
        <v>270</v>
      </c>
      <c r="DW542" s="2" t="s">
        <v>270</v>
      </c>
      <c r="DX542" s="2">
        <v>1</v>
      </c>
      <c r="DY542" s="2"/>
      <c r="DZ542" s="2" t="s">
        <v>3</v>
      </c>
      <c r="EA542" s="2" t="s">
        <v>3</v>
      </c>
      <c r="EB542" s="2" t="s">
        <v>3</v>
      </c>
      <c r="EC542" s="2" t="s">
        <v>3</v>
      </c>
      <c r="ED542" s="2"/>
      <c r="EE542" s="2">
        <v>126051541</v>
      </c>
      <c r="EF542" s="2">
        <v>30</v>
      </c>
      <c r="EG542" s="2" t="s">
        <v>23</v>
      </c>
      <c r="EH542" s="2">
        <v>0</v>
      </c>
      <c r="EI542" s="2" t="s">
        <v>3</v>
      </c>
      <c r="EJ542" s="2">
        <v>1</v>
      </c>
      <c r="EK542" s="2">
        <v>80</v>
      </c>
      <c r="EL542" s="2" t="s">
        <v>143</v>
      </c>
      <c r="EM542" s="2" t="s">
        <v>144</v>
      </c>
      <c r="EN542" s="2"/>
      <c r="EO542" s="2" t="s">
        <v>3</v>
      </c>
      <c r="EP542" s="2"/>
      <c r="EQ542" s="2">
        <v>0</v>
      </c>
      <c r="ER542" s="2">
        <v>0</v>
      </c>
      <c r="ES542" s="2">
        <v>0</v>
      </c>
      <c r="ET542" s="2">
        <v>0</v>
      </c>
      <c r="EU542" s="2">
        <v>0</v>
      </c>
      <c r="EV542" s="2">
        <v>0</v>
      </c>
      <c r="EW542" s="2">
        <v>0</v>
      </c>
      <c r="EX542" s="2">
        <v>0</v>
      </c>
      <c r="EY542" s="2"/>
      <c r="EZ542" s="2"/>
      <c r="FA542" s="2"/>
      <c r="FB542" s="2"/>
      <c r="FC542" s="2"/>
      <c r="FD542" s="2"/>
      <c r="FE542" s="2"/>
      <c r="FF542" s="2"/>
      <c r="FG542" s="2"/>
      <c r="FH542" s="2"/>
      <c r="FI542" s="2"/>
      <c r="FJ542" s="2"/>
      <c r="FK542" s="2"/>
      <c r="FL542" s="2"/>
      <c r="FM542" s="2"/>
      <c r="FN542" s="2"/>
      <c r="FO542" s="2"/>
      <c r="FP542" s="2"/>
      <c r="FQ542" s="2">
        <v>0</v>
      </c>
      <c r="FR542" s="2">
        <f t="shared" si="485"/>
        <v>0</v>
      </c>
      <c r="FS542" s="2">
        <v>0</v>
      </c>
      <c r="FT542" s="2"/>
      <c r="FU542" s="2"/>
      <c r="FV542" s="2"/>
      <c r="FW542" s="2"/>
      <c r="FX542" s="2">
        <v>85</v>
      </c>
      <c r="FY542" s="2">
        <v>70</v>
      </c>
      <c r="FZ542" s="2"/>
      <c r="GA542" s="2" t="s">
        <v>3</v>
      </c>
      <c r="GB542" s="2"/>
      <c r="GC542" s="2"/>
      <c r="GD542" s="2">
        <v>0</v>
      </c>
      <c r="GE542" s="2"/>
      <c r="GF542" s="2">
        <v>-1886877045</v>
      </c>
      <c r="GG542" s="2">
        <v>2</v>
      </c>
      <c r="GH542" s="2">
        <v>0</v>
      </c>
      <c r="GI542" s="2">
        <v>-2</v>
      </c>
      <c r="GJ542" s="2">
        <v>0</v>
      </c>
      <c r="GK542" s="2">
        <f>ROUND(R542*(R12)/100,2)</f>
        <v>0</v>
      </c>
      <c r="GL542" s="2">
        <f t="shared" si="486"/>
        <v>0</v>
      </c>
      <c r="GM542" s="2">
        <f t="shared" si="487"/>
        <v>0</v>
      </c>
      <c r="GN542" s="2">
        <f t="shared" si="488"/>
        <v>0</v>
      </c>
      <c r="GO542" s="2">
        <f t="shared" si="489"/>
        <v>0</v>
      </c>
      <c r="GP542" s="2">
        <f t="shared" si="490"/>
        <v>0</v>
      </c>
      <c r="GQ542" s="2"/>
      <c r="GR542" s="2">
        <v>0</v>
      </c>
      <c r="GS542" s="2">
        <v>3</v>
      </c>
      <c r="GT542" s="2">
        <v>0</v>
      </c>
      <c r="GU542" s="2" t="s">
        <v>3</v>
      </c>
      <c r="GV542" s="2">
        <f t="shared" si="491"/>
        <v>0</v>
      </c>
      <c r="GW542" s="2">
        <v>1</v>
      </c>
      <c r="GX542" s="2">
        <f t="shared" si="492"/>
        <v>0</v>
      </c>
      <c r="GY542" s="2"/>
      <c r="GZ542" s="2"/>
      <c r="HA542" s="2">
        <v>0</v>
      </c>
      <c r="HB542" s="2">
        <v>0</v>
      </c>
      <c r="HC542" s="2">
        <f t="shared" si="493"/>
        <v>0</v>
      </c>
      <c r="HD542" s="2"/>
      <c r="HE542" s="2" t="s">
        <v>3</v>
      </c>
      <c r="HF542" s="2" t="s">
        <v>3</v>
      </c>
      <c r="HG542" s="2"/>
      <c r="HH542" s="2"/>
      <c r="HI542" s="2"/>
      <c r="HJ542" s="2"/>
      <c r="HK542" s="2"/>
      <c r="HL542" s="2"/>
      <c r="HM542" s="2" t="s">
        <v>3</v>
      </c>
      <c r="HN542" s="2" t="s">
        <v>3</v>
      </c>
      <c r="HO542" s="2" t="s">
        <v>3</v>
      </c>
      <c r="HP542" s="2" t="s">
        <v>3</v>
      </c>
      <c r="HQ542" s="2" t="s">
        <v>3</v>
      </c>
      <c r="HR542" s="2"/>
      <c r="HS542" s="2"/>
      <c r="HT542" s="2"/>
      <c r="HU542" s="2"/>
      <c r="HV542" s="2"/>
      <c r="HW542" s="2"/>
      <c r="HX542" s="2"/>
      <c r="HY542" s="2"/>
      <c r="HZ542" s="2"/>
      <c r="IA542" s="2"/>
      <c r="IB542" s="2"/>
      <c r="IC542" s="2"/>
      <c r="ID542" s="2"/>
      <c r="IE542" s="2"/>
      <c r="IF542" s="2"/>
      <c r="IG542" s="2"/>
      <c r="IH542" s="2"/>
      <c r="II542" s="2"/>
      <c r="IJ542" s="2"/>
      <c r="IK542" s="2">
        <v>0</v>
      </c>
      <c r="IL542" s="2"/>
      <c r="IM542" s="2"/>
      <c r="IN542" s="2"/>
      <c r="IO542" s="2"/>
      <c r="IP542" s="2"/>
      <c r="IQ542" s="2"/>
      <c r="IR542" s="2"/>
      <c r="IS542" s="2"/>
      <c r="IT542" s="2"/>
      <c r="IU542" s="2"/>
    </row>
    <row r="543" spans="1:255" x14ac:dyDescent="0.2">
      <c r="A543">
        <v>18</v>
      </c>
      <c r="B543">
        <v>1</v>
      </c>
      <c r="C543">
        <v>574</v>
      </c>
      <c r="E543" t="s">
        <v>574</v>
      </c>
      <c r="F543" t="s">
        <v>248</v>
      </c>
      <c r="G543" t="s">
        <v>575</v>
      </c>
      <c r="H543" t="s">
        <v>270</v>
      </c>
      <c r="I543">
        <f>I539*J543</f>
        <v>12.5</v>
      </c>
      <c r="J543">
        <v>125.25050100200401</v>
      </c>
      <c r="K543">
        <v>125.250501</v>
      </c>
      <c r="O543">
        <f t="shared" si="463"/>
        <v>84999.23</v>
      </c>
      <c r="P543">
        <f t="shared" si="464"/>
        <v>84999.23</v>
      </c>
      <c r="Q543">
        <f t="shared" si="494"/>
        <v>0</v>
      </c>
      <c r="R543">
        <f t="shared" si="465"/>
        <v>0</v>
      </c>
      <c r="S543">
        <f t="shared" si="466"/>
        <v>0</v>
      </c>
      <c r="T543">
        <f t="shared" si="467"/>
        <v>0</v>
      </c>
      <c r="U543">
        <f t="shared" si="468"/>
        <v>0</v>
      </c>
      <c r="V543">
        <f t="shared" si="469"/>
        <v>0</v>
      </c>
      <c r="W543">
        <f t="shared" si="470"/>
        <v>0</v>
      </c>
      <c r="X543">
        <f t="shared" si="471"/>
        <v>0</v>
      </c>
      <c r="Y543">
        <f t="shared" si="472"/>
        <v>0</v>
      </c>
      <c r="AA543">
        <v>129761633</v>
      </c>
      <c r="AB543">
        <f t="shared" si="473"/>
        <v>786.12</v>
      </c>
      <c r="AC543">
        <f t="shared" si="474"/>
        <v>786.12</v>
      </c>
      <c r="AD543">
        <f t="shared" si="495"/>
        <v>0</v>
      </c>
      <c r="AE543">
        <f t="shared" si="496"/>
        <v>0</v>
      </c>
      <c r="AF543">
        <f t="shared" si="497"/>
        <v>0</v>
      </c>
      <c r="AG543">
        <f t="shared" si="475"/>
        <v>0</v>
      </c>
      <c r="AH543">
        <f t="shared" si="498"/>
        <v>0</v>
      </c>
      <c r="AI543">
        <f t="shared" si="499"/>
        <v>0</v>
      </c>
      <c r="AJ543">
        <f t="shared" si="476"/>
        <v>0</v>
      </c>
      <c r="AK543">
        <v>786.12</v>
      </c>
      <c r="AL543">
        <v>786.12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1</v>
      </c>
      <c r="AW543">
        <v>1</v>
      </c>
      <c r="AZ543">
        <v>1</v>
      </c>
      <c r="BA543">
        <v>1</v>
      </c>
      <c r="BB543">
        <v>1</v>
      </c>
      <c r="BC543">
        <v>8.65</v>
      </c>
      <c r="BD543" t="s">
        <v>3</v>
      </c>
      <c r="BE543" t="s">
        <v>3</v>
      </c>
      <c r="BF543" t="s">
        <v>3</v>
      </c>
      <c r="BG543" t="s">
        <v>3</v>
      </c>
      <c r="BH543">
        <v>3</v>
      </c>
      <c r="BI543">
        <v>1</v>
      </c>
      <c r="BJ543" t="s">
        <v>3</v>
      </c>
      <c r="BM543">
        <v>80</v>
      </c>
      <c r="BN543">
        <v>0</v>
      </c>
      <c r="BO543" t="s">
        <v>3</v>
      </c>
      <c r="BP543">
        <v>0</v>
      </c>
      <c r="BQ543">
        <v>30</v>
      </c>
      <c r="BR543">
        <v>0</v>
      </c>
      <c r="BS543">
        <v>1</v>
      </c>
      <c r="BT543">
        <v>1</v>
      </c>
      <c r="BU543">
        <v>1</v>
      </c>
      <c r="BV543">
        <v>1</v>
      </c>
      <c r="BW543">
        <v>1</v>
      </c>
      <c r="BX543">
        <v>1</v>
      </c>
      <c r="BY543" t="s">
        <v>3</v>
      </c>
      <c r="BZ543">
        <v>0</v>
      </c>
      <c r="CA543">
        <v>0</v>
      </c>
      <c r="CB543" t="s">
        <v>3</v>
      </c>
      <c r="CE543">
        <v>30</v>
      </c>
      <c r="CF543">
        <v>0</v>
      </c>
      <c r="CG543">
        <v>0</v>
      </c>
      <c r="CM543">
        <v>0</v>
      </c>
      <c r="CN543" t="s">
        <v>3</v>
      </c>
      <c r="CO543">
        <v>0</v>
      </c>
      <c r="CP543">
        <f t="shared" si="477"/>
        <v>84999.23</v>
      </c>
      <c r="CQ543">
        <f t="shared" si="478"/>
        <v>6799.94</v>
      </c>
      <c r="CR543">
        <f t="shared" si="500"/>
        <v>0</v>
      </c>
      <c r="CS543">
        <f t="shared" si="479"/>
        <v>0</v>
      </c>
      <c r="CT543">
        <f t="shared" si="480"/>
        <v>0</v>
      </c>
      <c r="CU543">
        <f t="shared" si="481"/>
        <v>0</v>
      </c>
      <c r="CV543">
        <f t="shared" si="482"/>
        <v>0</v>
      </c>
      <c r="CW543">
        <f t="shared" si="483"/>
        <v>0</v>
      </c>
      <c r="CX543">
        <f t="shared" si="484"/>
        <v>0</v>
      </c>
      <c r="CY543">
        <f>S543*(BZ543/100)</f>
        <v>0</v>
      </c>
      <c r="CZ543">
        <f>S543*(CA543/100)</f>
        <v>0</v>
      </c>
      <c r="DC543" t="s">
        <v>3</v>
      </c>
      <c r="DD543" t="s">
        <v>3</v>
      </c>
      <c r="DE543" t="s">
        <v>3</v>
      </c>
      <c r="DF543" t="s">
        <v>3</v>
      </c>
      <c r="DG543" t="s">
        <v>3</v>
      </c>
      <c r="DH543" t="s">
        <v>3</v>
      </c>
      <c r="DI543" t="s">
        <v>3</v>
      </c>
      <c r="DJ543" t="s">
        <v>3</v>
      </c>
      <c r="DK543" t="s">
        <v>3</v>
      </c>
      <c r="DL543" t="s">
        <v>3</v>
      </c>
      <c r="DM543" t="s">
        <v>3</v>
      </c>
      <c r="DN543">
        <v>85</v>
      </c>
      <c r="DO543">
        <v>70</v>
      </c>
      <c r="DP543">
        <v>1</v>
      </c>
      <c r="DQ543">
        <v>1</v>
      </c>
      <c r="DU543">
        <v>1003</v>
      </c>
      <c r="DV543" t="s">
        <v>270</v>
      </c>
      <c r="DW543" t="s">
        <v>270</v>
      </c>
      <c r="DX543">
        <v>1</v>
      </c>
      <c r="DZ543" t="s">
        <v>3</v>
      </c>
      <c r="EA543" t="s">
        <v>3</v>
      </c>
      <c r="EB543" t="s">
        <v>3</v>
      </c>
      <c r="EC543" t="s">
        <v>3</v>
      </c>
      <c r="EE543">
        <v>126051541</v>
      </c>
      <c r="EF543">
        <v>30</v>
      </c>
      <c r="EG543" t="s">
        <v>23</v>
      </c>
      <c r="EH543">
        <v>0</v>
      </c>
      <c r="EI543" t="s">
        <v>3</v>
      </c>
      <c r="EJ543">
        <v>1</v>
      </c>
      <c r="EK543">
        <v>80</v>
      </c>
      <c r="EL543" t="s">
        <v>143</v>
      </c>
      <c r="EM543" t="s">
        <v>144</v>
      </c>
      <c r="EO543" t="s">
        <v>3</v>
      </c>
      <c r="EQ543">
        <v>0</v>
      </c>
      <c r="ER543">
        <v>786.12</v>
      </c>
      <c r="ES543">
        <v>786.12</v>
      </c>
      <c r="ET543">
        <v>0</v>
      </c>
      <c r="EU543">
        <v>0</v>
      </c>
      <c r="EV543">
        <v>0</v>
      </c>
      <c r="EW543">
        <v>0</v>
      </c>
      <c r="EX543">
        <v>0</v>
      </c>
      <c r="EZ543">
        <v>5</v>
      </c>
      <c r="FC543">
        <v>1</v>
      </c>
      <c r="FD543">
        <v>18</v>
      </c>
      <c r="FF543">
        <v>8000</v>
      </c>
      <c r="FQ543">
        <v>0</v>
      </c>
      <c r="FR543">
        <f t="shared" si="485"/>
        <v>0</v>
      </c>
      <c r="FS543">
        <v>0</v>
      </c>
      <c r="FX543">
        <v>85</v>
      </c>
      <c r="FY543">
        <v>70</v>
      </c>
      <c r="GA543" t="s">
        <v>576</v>
      </c>
      <c r="GD543">
        <v>0</v>
      </c>
      <c r="GF543">
        <v>-1886877045</v>
      </c>
      <c r="GG543">
        <v>2</v>
      </c>
      <c r="GH543">
        <v>3</v>
      </c>
      <c r="GI543">
        <v>5</v>
      </c>
      <c r="GJ543">
        <v>0</v>
      </c>
      <c r="GK543">
        <f>ROUND(R543*(S12)/100,2)</f>
        <v>0</v>
      </c>
      <c r="GL543">
        <f t="shared" si="486"/>
        <v>0</v>
      </c>
      <c r="GM543">
        <f t="shared" si="487"/>
        <v>84999.23</v>
      </c>
      <c r="GN543">
        <f t="shared" si="488"/>
        <v>84999.23</v>
      </c>
      <c r="GO543">
        <f t="shared" si="489"/>
        <v>0</v>
      </c>
      <c r="GP543">
        <f t="shared" si="490"/>
        <v>0</v>
      </c>
      <c r="GR543">
        <v>1</v>
      </c>
      <c r="GS543">
        <v>1</v>
      </c>
      <c r="GT543">
        <v>0</v>
      </c>
      <c r="GU543" t="s">
        <v>3</v>
      </c>
      <c r="GV543">
        <f t="shared" si="491"/>
        <v>0</v>
      </c>
      <c r="GW543">
        <v>1</v>
      </c>
      <c r="GX543">
        <f t="shared" si="492"/>
        <v>0</v>
      </c>
      <c r="HA543">
        <v>0</v>
      </c>
      <c r="HB543">
        <v>0</v>
      </c>
      <c r="HC543">
        <f t="shared" si="493"/>
        <v>0</v>
      </c>
      <c r="HE543" t="s">
        <v>81</v>
      </c>
      <c r="HF543" t="s">
        <v>252</v>
      </c>
      <c r="HM543" t="s">
        <v>3</v>
      </c>
      <c r="HN543" t="s">
        <v>3</v>
      </c>
      <c r="HO543" t="s">
        <v>3</v>
      </c>
      <c r="HP543" t="s">
        <v>3</v>
      </c>
      <c r="HQ543" t="s">
        <v>3</v>
      </c>
      <c r="IK543">
        <v>0</v>
      </c>
    </row>
    <row r="544" spans="1:255" x14ac:dyDescent="0.2">
      <c r="A544" s="2">
        <v>18</v>
      </c>
      <c r="B544" s="2">
        <v>1</v>
      </c>
      <c r="C544" s="2">
        <v>558</v>
      </c>
      <c r="D544" s="2"/>
      <c r="E544" s="2" t="s">
        <v>577</v>
      </c>
      <c r="F544" s="2" t="s">
        <v>578</v>
      </c>
      <c r="G544" s="2" t="s">
        <v>579</v>
      </c>
      <c r="H544" s="2" t="s">
        <v>270</v>
      </c>
      <c r="I544" s="2">
        <f>I538*J544</f>
        <v>0</v>
      </c>
      <c r="J544" s="2">
        <v>0</v>
      </c>
      <c r="K544" s="2">
        <v>0</v>
      </c>
      <c r="L544" s="2"/>
      <c r="M544" s="2"/>
      <c r="N544" s="2"/>
      <c r="O544" s="2">
        <f t="shared" si="463"/>
        <v>0</v>
      </c>
      <c r="P544" s="2">
        <f t="shared" si="464"/>
        <v>0</v>
      </c>
      <c r="Q544" s="2">
        <f t="shared" si="494"/>
        <v>0</v>
      </c>
      <c r="R544" s="2">
        <f t="shared" si="465"/>
        <v>0</v>
      </c>
      <c r="S544" s="2">
        <f t="shared" si="466"/>
        <v>0</v>
      </c>
      <c r="T544" s="2">
        <f t="shared" si="467"/>
        <v>0</v>
      </c>
      <c r="U544" s="2">
        <f t="shared" si="468"/>
        <v>0</v>
      </c>
      <c r="V544" s="2">
        <f t="shared" si="469"/>
        <v>0</v>
      </c>
      <c r="W544" s="2">
        <f t="shared" si="470"/>
        <v>0</v>
      </c>
      <c r="X544" s="2">
        <f t="shared" si="471"/>
        <v>0</v>
      </c>
      <c r="Y544" s="2">
        <f t="shared" si="472"/>
        <v>0</v>
      </c>
      <c r="Z544" s="2"/>
      <c r="AA544" s="2">
        <v>129761636</v>
      </c>
      <c r="AB544" s="2">
        <f t="shared" si="473"/>
        <v>19.05</v>
      </c>
      <c r="AC544" s="2">
        <f t="shared" si="474"/>
        <v>19.05</v>
      </c>
      <c r="AD544" s="2">
        <f t="shared" si="495"/>
        <v>0</v>
      </c>
      <c r="AE544" s="2">
        <f t="shared" si="496"/>
        <v>0</v>
      </c>
      <c r="AF544" s="2">
        <f t="shared" si="497"/>
        <v>0</v>
      </c>
      <c r="AG544" s="2">
        <f t="shared" si="475"/>
        <v>0</v>
      </c>
      <c r="AH544" s="2">
        <f t="shared" si="498"/>
        <v>0</v>
      </c>
      <c r="AI544" s="2">
        <f t="shared" si="499"/>
        <v>0</v>
      </c>
      <c r="AJ544" s="2">
        <f t="shared" si="476"/>
        <v>0</v>
      </c>
      <c r="AK544" s="2">
        <v>19.05</v>
      </c>
      <c r="AL544" s="2">
        <v>19.05</v>
      </c>
      <c r="AM544" s="2">
        <v>0</v>
      </c>
      <c r="AN544" s="2">
        <v>0</v>
      </c>
      <c r="AO544" s="2">
        <v>0</v>
      </c>
      <c r="AP544" s="2">
        <v>0</v>
      </c>
      <c r="AQ544" s="2">
        <v>0</v>
      </c>
      <c r="AR544" s="2">
        <v>0</v>
      </c>
      <c r="AS544" s="2">
        <v>0</v>
      </c>
      <c r="AT544" s="2">
        <v>85</v>
      </c>
      <c r="AU544" s="2">
        <v>70</v>
      </c>
      <c r="AV544" s="2">
        <v>1</v>
      </c>
      <c r="AW544" s="2">
        <v>1</v>
      </c>
      <c r="AX544" s="2"/>
      <c r="AY544" s="2"/>
      <c r="AZ544" s="2">
        <v>1</v>
      </c>
      <c r="BA544" s="2">
        <v>1</v>
      </c>
      <c r="BB544" s="2">
        <v>1</v>
      </c>
      <c r="BC544" s="2">
        <v>1</v>
      </c>
      <c r="BD544" s="2" t="s">
        <v>3</v>
      </c>
      <c r="BE544" s="2" t="s">
        <v>3</v>
      </c>
      <c r="BF544" s="2" t="s">
        <v>3</v>
      </c>
      <c r="BG544" s="2" t="s">
        <v>3</v>
      </c>
      <c r="BH544" s="2">
        <v>3</v>
      </c>
      <c r="BI544" s="2">
        <v>1</v>
      </c>
      <c r="BJ544" s="2" t="s">
        <v>580</v>
      </c>
      <c r="BK544" s="2"/>
      <c r="BL544" s="2"/>
      <c r="BM544" s="2">
        <v>80</v>
      </c>
      <c r="BN544" s="2">
        <v>0</v>
      </c>
      <c r="BO544" s="2" t="s">
        <v>3</v>
      </c>
      <c r="BP544" s="2">
        <v>0</v>
      </c>
      <c r="BQ544" s="2">
        <v>30</v>
      </c>
      <c r="BR544" s="2">
        <v>0</v>
      </c>
      <c r="BS544" s="2">
        <v>1</v>
      </c>
      <c r="BT544" s="2">
        <v>1</v>
      </c>
      <c r="BU544" s="2">
        <v>1</v>
      </c>
      <c r="BV544" s="2">
        <v>1</v>
      </c>
      <c r="BW544" s="2">
        <v>1</v>
      </c>
      <c r="BX544" s="2">
        <v>1</v>
      </c>
      <c r="BY544" s="2" t="s">
        <v>3</v>
      </c>
      <c r="BZ544" s="2">
        <v>85</v>
      </c>
      <c r="CA544" s="2">
        <v>70</v>
      </c>
      <c r="CB544" s="2" t="s">
        <v>3</v>
      </c>
      <c r="CC544" s="2"/>
      <c r="CD544" s="2"/>
      <c r="CE544" s="2">
        <v>30</v>
      </c>
      <c r="CF544" s="2">
        <v>0</v>
      </c>
      <c r="CG544" s="2">
        <v>0</v>
      </c>
      <c r="CH544" s="2"/>
      <c r="CI544" s="2"/>
      <c r="CJ544" s="2"/>
      <c r="CK544" s="2"/>
      <c r="CL544" s="2"/>
      <c r="CM544" s="2">
        <v>0</v>
      </c>
      <c r="CN544" s="2" t="s">
        <v>3</v>
      </c>
      <c r="CO544" s="2">
        <v>0</v>
      </c>
      <c r="CP544" s="2">
        <f t="shared" si="477"/>
        <v>0</v>
      </c>
      <c r="CQ544" s="2">
        <f t="shared" si="478"/>
        <v>19.05</v>
      </c>
      <c r="CR544" s="2">
        <f t="shared" si="500"/>
        <v>0</v>
      </c>
      <c r="CS544" s="2">
        <f t="shared" si="479"/>
        <v>0</v>
      </c>
      <c r="CT544" s="2">
        <f t="shared" si="480"/>
        <v>0</v>
      </c>
      <c r="CU544" s="2">
        <f t="shared" si="481"/>
        <v>0</v>
      </c>
      <c r="CV544" s="2">
        <f t="shared" si="482"/>
        <v>0</v>
      </c>
      <c r="CW544" s="2">
        <f t="shared" si="483"/>
        <v>0</v>
      </c>
      <c r="CX544" s="2">
        <f t="shared" si="484"/>
        <v>0</v>
      </c>
      <c r="CY544" s="2">
        <f>((S544*BZ544)/100)</f>
        <v>0</v>
      </c>
      <c r="CZ544" s="2">
        <f>((S544*CA544)/100)</f>
        <v>0</v>
      </c>
      <c r="DA544" s="2"/>
      <c r="DB544" s="2"/>
      <c r="DC544" s="2" t="s">
        <v>3</v>
      </c>
      <c r="DD544" s="2" t="s">
        <v>3</v>
      </c>
      <c r="DE544" s="2" t="s">
        <v>3</v>
      </c>
      <c r="DF544" s="2" t="s">
        <v>3</v>
      </c>
      <c r="DG544" s="2" t="s">
        <v>3</v>
      </c>
      <c r="DH544" s="2" t="s">
        <v>3</v>
      </c>
      <c r="DI544" s="2" t="s">
        <v>3</v>
      </c>
      <c r="DJ544" s="2" t="s">
        <v>3</v>
      </c>
      <c r="DK544" s="2" t="s">
        <v>3</v>
      </c>
      <c r="DL544" s="2" t="s">
        <v>3</v>
      </c>
      <c r="DM544" s="2" t="s">
        <v>3</v>
      </c>
      <c r="DN544" s="2">
        <v>0</v>
      </c>
      <c r="DO544" s="2">
        <v>0</v>
      </c>
      <c r="DP544" s="2">
        <v>1</v>
      </c>
      <c r="DQ544" s="2">
        <v>1</v>
      </c>
      <c r="DR544" s="2"/>
      <c r="DS544" s="2"/>
      <c r="DT544" s="2"/>
      <c r="DU544" s="2">
        <v>1003</v>
      </c>
      <c r="DV544" s="2" t="s">
        <v>270</v>
      </c>
      <c r="DW544" s="2" t="s">
        <v>270</v>
      </c>
      <c r="DX544" s="2">
        <v>1</v>
      </c>
      <c r="DY544" s="2"/>
      <c r="DZ544" s="2" t="s">
        <v>3</v>
      </c>
      <c r="EA544" s="2" t="s">
        <v>3</v>
      </c>
      <c r="EB544" s="2" t="s">
        <v>3</v>
      </c>
      <c r="EC544" s="2" t="s">
        <v>3</v>
      </c>
      <c r="ED544" s="2"/>
      <c r="EE544" s="2">
        <v>126051541</v>
      </c>
      <c r="EF544" s="2">
        <v>30</v>
      </c>
      <c r="EG544" s="2" t="s">
        <v>23</v>
      </c>
      <c r="EH544" s="2">
        <v>0</v>
      </c>
      <c r="EI544" s="2" t="s">
        <v>3</v>
      </c>
      <c r="EJ544" s="2">
        <v>1</v>
      </c>
      <c r="EK544" s="2">
        <v>80</v>
      </c>
      <c r="EL544" s="2" t="s">
        <v>143</v>
      </c>
      <c r="EM544" s="2" t="s">
        <v>144</v>
      </c>
      <c r="EN544" s="2"/>
      <c r="EO544" s="2" t="s">
        <v>3</v>
      </c>
      <c r="EP544" s="2"/>
      <c r="EQ544" s="2">
        <v>0</v>
      </c>
      <c r="ER544" s="2">
        <v>19.05</v>
      </c>
      <c r="ES544" s="2">
        <v>19.05</v>
      </c>
      <c r="ET544" s="2">
        <v>0</v>
      </c>
      <c r="EU544" s="2">
        <v>0</v>
      </c>
      <c r="EV544" s="2">
        <v>0</v>
      </c>
      <c r="EW544" s="2">
        <v>0</v>
      </c>
      <c r="EX544" s="2">
        <v>0</v>
      </c>
      <c r="EY544" s="2"/>
      <c r="EZ544" s="2"/>
      <c r="FA544" s="2"/>
      <c r="FB544" s="2"/>
      <c r="FC544" s="2"/>
      <c r="FD544" s="2"/>
      <c r="FE544" s="2"/>
      <c r="FF544" s="2"/>
      <c r="FG544" s="2"/>
      <c r="FH544" s="2"/>
      <c r="FI544" s="2"/>
      <c r="FJ544" s="2"/>
      <c r="FK544" s="2"/>
      <c r="FL544" s="2"/>
      <c r="FM544" s="2"/>
      <c r="FN544" s="2"/>
      <c r="FO544" s="2"/>
      <c r="FP544" s="2"/>
      <c r="FQ544" s="2">
        <v>0</v>
      </c>
      <c r="FR544" s="2">
        <f t="shared" si="485"/>
        <v>0</v>
      </c>
      <c r="FS544" s="2">
        <v>0</v>
      </c>
      <c r="FT544" s="2"/>
      <c r="FU544" s="2"/>
      <c r="FV544" s="2"/>
      <c r="FW544" s="2"/>
      <c r="FX544" s="2">
        <v>85</v>
      </c>
      <c r="FY544" s="2">
        <v>70</v>
      </c>
      <c r="FZ544" s="2"/>
      <c r="GA544" s="2" t="s">
        <v>3</v>
      </c>
      <c r="GB544" s="2"/>
      <c r="GC544" s="2"/>
      <c r="GD544" s="2">
        <v>0</v>
      </c>
      <c r="GE544" s="2"/>
      <c r="GF544" s="2">
        <v>-2144998023</v>
      </c>
      <c r="GG544" s="2">
        <v>2</v>
      </c>
      <c r="GH544" s="2">
        <v>1</v>
      </c>
      <c r="GI544" s="2">
        <v>-2</v>
      </c>
      <c r="GJ544" s="2">
        <v>0</v>
      </c>
      <c r="GK544" s="2">
        <f>ROUND(R544*(R12)/100,2)</f>
        <v>0</v>
      </c>
      <c r="GL544" s="2">
        <f t="shared" si="486"/>
        <v>0</v>
      </c>
      <c r="GM544" s="2">
        <f t="shared" si="487"/>
        <v>0</v>
      </c>
      <c r="GN544" s="2">
        <f t="shared" si="488"/>
        <v>0</v>
      </c>
      <c r="GO544" s="2">
        <f t="shared" si="489"/>
        <v>0</v>
      </c>
      <c r="GP544" s="2">
        <f t="shared" si="490"/>
        <v>0</v>
      </c>
      <c r="GQ544" s="2"/>
      <c r="GR544" s="2">
        <v>0</v>
      </c>
      <c r="GS544" s="2">
        <v>0</v>
      </c>
      <c r="GT544" s="2">
        <v>0</v>
      </c>
      <c r="GU544" s="2" t="s">
        <v>3</v>
      </c>
      <c r="GV544" s="2">
        <f t="shared" si="491"/>
        <v>0</v>
      </c>
      <c r="GW544" s="2">
        <v>1</v>
      </c>
      <c r="GX544" s="2">
        <f t="shared" si="492"/>
        <v>0</v>
      </c>
      <c r="GY544" s="2"/>
      <c r="GZ544" s="2"/>
      <c r="HA544" s="2">
        <v>0</v>
      </c>
      <c r="HB544" s="2">
        <v>0</v>
      </c>
      <c r="HC544" s="2">
        <f t="shared" si="493"/>
        <v>0</v>
      </c>
      <c r="HD544" s="2"/>
      <c r="HE544" s="2" t="s">
        <v>3</v>
      </c>
      <c r="HF544" s="2" t="s">
        <v>3</v>
      </c>
      <c r="HG544" s="2"/>
      <c r="HH544" s="2"/>
      <c r="HI544" s="2"/>
      <c r="HJ544" s="2"/>
      <c r="HK544" s="2"/>
      <c r="HL544" s="2"/>
      <c r="HM544" s="2" t="s">
        <v>3</v>
      </c>
      <c r="HN544" s="2" t="s">
        <v>3</v>
      </c>
      <c r="HO544" s="2" t="s">
        <v>3</v>
      </c>
      <c r="HP544" s="2" t="s">
        <v>3</v>
      </c>
      <c r="HQ544" s="2" t="s">
        <v>3</v>
      </c>
      <c r="HR544" s="2"/>
      <c r="HS544" s="2"/>
      <c r="HT544" s="2"/>
      <c r="HU544" s="2"/>
      <c r="HV544" s="2"/>
      <c r="HW544" s="2"/>
      <c r="HX544" s="2"/>
      <c r="HY544" s="2"/>
      <c r="HZ544" s="2"/>
      <c r="IA544" s="2"/>
      <c r="IB544" s="2"/>
      <c r="IC544" s="2"/>
      <c r="ID544" s="2"/>
      <c r="IE544" s="2"/>
      <c r="IF544" s="2"/>
      <c r="IG544" s="2"/>
      <c r="IH544" s="2"/>
      <c r="II544" s="2"/>
      <c r="IJ544" s="2"/>
      <c r="IK544" s="2">
        <v>0</v>
      </c>
      <c r="IL544" s="2"/>
      <c r="IM544" s="2"/>
      <c r="IN544" s="2"/>
      <c r="IO544" s="2"/>
      <c r="IP544" s="2"/>
      <c r="IQ544" s="2"/>
      <c r="IR544" s="2"/>
      <c r="IS544" s="2"/>
      <c r="IT544" s="2"/>
      <c r="IU544" s="2"/>
    </row>
    <row r="545" spans="1:255" x14ac:dyDescent="0.2">
      <c r="A545">
        <v>18</v>
      </c>
      <c r="B545">
        <v>1</v>
      </c>
      <c r="C545">
        <v>573</v>
      </c>
      <c r="E545" t="s">
        <v>577</v>
      </c>
      <c r="F545" t="s">
        <v>578</v>
      </c>
      <c r="G545" t="s">
        <v>579</v>
      </c>
      <c r="H545" t="s">
        <v>270</v>
      </c>
      <c r="I545">
        <f>I539*J545</f>
        <v>0</v>
      </c>
      <c r="J545">
        <v>0</v>
      </c>
      <c r="K545">
        <v>0</v>
      </c>
      <c r="O545">
        <f t="shared" si="463"/>
        <v>0</v>
      </c>
      <c r="P545">
        <f t="shared" si="464"/>
        <v>0</v>
      </c>
      <c r="Q545">
        <f t="shared" si="494"/>
        <v>0</v>
      </c>
      <c r="R545">
        <f t="shared" si="465"/>
        <v>0</v>
      </c>
      <c r="S545">
        <f t="shared" si="466"/>
        <v>0</v>
      </c>
      <c r="T545">
        <f t="shared" si="467"/>
        <v>0</v>
      </c>
      <c r="U545">
        <f t="shared" si="468"/>
        <v>0</v>
      </c>
      <c r="V545">
        <f t="shared" si="469"/>
        <v>0</v>
      </c>
      <c r="W545">
        <f t="shared" si="470"/>
        <v>0</v>
      </c>
      <c r="X545">
        <f t="shared" si="471"/>
        <v>0</v>
      </c>
      <c r="Y545">
        <f t="shared" si="472"/>
        <v>0</v>
      </c>
      <c r="AA545">
        <v>129761633</v>
      </c>
      <c r="AB545">
        <f t="shared" si="473"/>
        <v>19.05</v>
      </c>
      <c r="AC545">
        <f t="shared" si="474"/>
        <v>19.05</v>
      </c>
      <c r="AD545">
        <f t="shared" si="495"/>
        <v>0</v>
      </c>
      <c r="AE545">
        <f t="shared" si="496"/>
        <v>0</v>
      </c>
      <c r="AF545">
        <f t="shared" si="497"/>
        <v>0</v>
      </c>
      <c r="AG545">
        <f t="shared" si="475"/>
        <v>0</v>
      </c>
      <c r="AH545">
        <f t="shared" si="498"/>
        <v>0</v>
      </c>
      <c r="AI545">
        <f t="shared" si="499"/>
        <v>0</v>
      </c>
      <c r="AJ545">
        <f t="shared" si="476"/>
        <v>0</v>
      </c>
      <c r="AK545">
        <v>19.05</v>
      </c>
      <c r="AL545">
        <v>19.05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1</v>
      </c>
      <c r="AW545">
        <v>1</v>
      </c>
      <c r="AZ545">
        <v>1</v>
      </c>
      <c r="BA545">
        <v>1</v>
      </c>
      <c r="BB545">
        <v>1</v>
      </c>
      <c r="BC545">
        <v>3.93</v>
      </c>
      <c r="BD545" t="s">
        <v>3</v>
      </c>
      <c r="BE545" t="s">
        <v>3</v>
      </c>
      <c r="BF545" t="s">
        <v>3</v>
      </c>
      <c r="BG545" t="s">
        <v>3</v>
      </c>
      <c r="BH545">
        <v>3</v>
      </c>
      <c r="BI545">
        <v>1</v>
      </c>
      <c r="BJ545" t="s">
        <v>580</v>
      </c>
      <c r="BM545">
        <v>80</v>
      </c>
      <c r="BN545">
        <v>0</v>
      </c>
      <c r="BO545" t="s">
        <v>578</v>
      </c>
      <c r="BP545">
        <v>1</v>
      </c>
      <c r="BQ545">
        <v>30</v>
      </c>
      <c r="BR545">
        <v>0</v>
      </c>
      <c r="BS545">
        <v>1</v>
      </c>
      <c r="BT545">
        <v>1</v>
      </c>
      <c r="BU545">
        <v>1</v>
      </c>
      <c r="BV545">
        <v>1</v>
      </c>
      <c r="BW545">
        <v>1</v>
      </c>
      <c r="BX545">
        <v>1</v>
      </c>
      <c r="BY545" t="s">
        <v>3</v>
      </c>
      <c r="BZ545">
        <v>0</v>
      </c>
      <c r="CA545">
        <v>0</v>
      </c>
      <c r="CB545" t="s">
        <v>3</v>
      </c>
      <c r="CE545">
        <v>30</v>
      </c>
      <c r="CF545">
        <v>0</v>
      </c>
      <c r="CG545">
        <v>0</v>
      </c>
      <c r="CM545">
        <v>0</v>
      </c>
      <c r="CN545" t="s">
        <v>3</v>
      </c>
      <c r="CO545">
        <v>0</v>
      </c>
      <c r="CP545">
        <f t="shared" si="477"/>
        <v>0</v>
      </c>
      <c r="CQ545">
        <f t="shared" si="478"/>
        <v>74.87</v>
      </c>
      <c r="CR545">
        <f t="shared" si="500"/>
        <v>0</v>
      </c>
      <c r="CS545">
        <f t="shared" si="479"/>
        <v>0</v>
      </c>
      <c r="CT545">
        <f t="shared" si="480"/>
        <v>0</v>
      </c>
      <c r="CU545">
        <f t="shared" si="481"/>
        <v>0</v>
      </c>
      <c r="CV545">
        <f t="shared" si="482"/>
        <v>0</v>
      </c>
      <c r="CW545">
        <f t="shared" si="483"/>
        <v>0</v>
      </c>
      <c r="CX545">
        <f t="shared" si="484"/>
        <v>0</v>
      </c>
      <c r="CY545">
        <f>S545*(BZ545/100)</f>
        <v>0</v>
      </c>
      <c r="CZ545">
        <f>S545*(CA545/100)</f>
        <v>0</v>
      </c>
      <c r="DC545" t="s">
        <v>3</v>
      </c>
      <c r="DD545" t="s">
        <v>3</v>
      </c>
      <c r="DE545" t="s">
        <v>3</v>
      </c>
      <c r="DF545" t="s">
        <v>3</v>
      </c>
      <c r="DG545" t="s">
        <v>3</v>
      </c>
      <c r="DH545" t="s">
        <v>3</v>
      </c>
      <c r="DI545" t="s">
        <v>3</v>
      </c>
      <c r="DJ545" t="s">
        <v>3</v>
      </c>
      <c r="DK545" t="s">
        <v>3</v>
      </c>
      <c r="DL545" t="s">
        <v>3</v>
      </c>
      <c r="DM545" t="s">
        <v>3</v>
      </c>
      <c r="DN545">
        <v>85</v>
      </c>
      <c r="DO545">
        <v>70</v>
      </c>
      <c r="DP545">
        <v>1</v>
      </c>
      <c r="DQ545">
        <v>1</v>
      </c>
      <c r="DU545">
        <v>1003</v>
      </c>
      <c r="DV545" t="s">
        <v>270</v>
      </c>
      <c r="DW545" t="s">
        <v>270</v>
      </c>
      <c r="DX545">
        <v>1</v>
      </c>
      <c r="DZ545" t="s">
        <v>3</v>
      </c>
      <c r="EA545" t="s">
        <v>3</v>
      </c>
      <c r="EB545" t="s">
        <v>3</v>
      </c>
      <c r="EC545" t="s">
        <v>3</v>
      </c>
      <c r="EE545">
        <v>126051541</v>
      </c>
      <c r="EF545">
        <v>30</v>
      </c>
      <c r="EG545" t="s">
        <v>23</v>
      </c>
      <c r="EH545">
        <v>0</v>
      </c>
      <c r="EI545" t="s">
        <v>3</v>
      </c>
      <c r="EJ545">
        <v>1</v>
      </c>
      <c r="EK545">
        <v>80</v>
      </c>
      <c r="EL545" t="s">
        <v>143</v>
      </c>
      <c r="EM545" t="s">
        <v>144</v>
      </c>
      <c r="EO545" t="s">
        <v>3</v>
      </c>
      <c r="EQ545">
        <v>0</v>
      </c>
      <c r="ER545">
        <v>19.05</v>
      </c>
      <c r="ES545">
        <v>19.05</v>
      </c>
      <c r="ET545">
        <v>0</v>
      </c>
      <c r="EU545">
        <v>0</v>
      </c>
      <c r="EV545">
        <v>0</v>
      </c>
      <c r="EW545">
        <v>0</v>
      </c>
      <c r="EX545">
        <v>0</v>
      </c>
      <c r="FQ545">
        <v>0</v>
      </c>
      <c r="FR545">
        <f t="shared" si="485"/>
        <v>0</v>
      </c>
      <c r="FS545">
        <v>0</v>
      </c>
      <c r="FX545">
        <v>85</v>
      </c>
      <c r="FY545">
        <v>70</v>
      </c>
      <c r="GA545" t="s">
        <v>3</v>
      </c>
      <c r="GD545">
        <v>0</v>
      </c>
      <c r="GF545">
        <v>-2144998023</v>
      </c>
      <c r="GG545">
        <v>2</v>
      </c>
      <c r="GH545">
        <v>1</v>
      </c>
      <c r="GI545">
        <v>2</v>
      </c>
      <c r="GJ545">
        <v>0</v>
      </c>
      <c r="GK545">
        <f>ROUND(R545*(S12)/100,2)</f>
        <v>0</v>
      </c>
      <c r="GL545">
        <f t="shared" si="486"/>
        <v>0</v>
      </c>
      <c r="GM545">
        <f t="shared" si="487"/>
        <v>0</v>
      </c>
      <c r="GN545">
        <f t="shared" si="488"/>
        <v>0</v>
      </c>
      <c r="GO545">
        <f t="shared" si="489"/>
        <v>0</v>
      </c>
      <c r="GP545">
        <f t="shared" si="490"/>
        <v>0</v>
      </c>
      <c r="GR545">
        <v>0</v>
      </c>
      <c r="GS545">
        <v>3</v>
      </c>
      <c r="GT545">
        <v>0</v>
      </c>
      <c r="GU545" t="s">
        <v>3</v>
      </c>
      <c r="GV545">
        <f t="shared" si="491"/>
        <v>0</v>
      </c>
      <c r="GW545">
        <v>1</v>
      </c>
      <c r="GX545">
        <f t="shared" si="492"/>
        <v>0</v>
      </c>
      <c r="HA545">
        <v>0</v>
      </c>
      <c r="HB545">
        <v>0</v>
      </c>
      <c r="HC545">
        <f t="shared" si="493"/>
        <v>0</v>
      </c>
      <c r="HE545" t="s">
        <v>3</v>
      </c>
      <c r="HF545" t="s">
        <v>3</v>
      </c>
      <c r="HM545" t="s">
        <v>3</v>
      </c>
      <c r="HN545" t="s">
        <v>3</v>
      </c>
      <c r="HO545" t="s">
        <v>3</v>
      </c>
      <c r="HP545" t="s">
        <v>3</v>
      </c>
      <c r="HQ545" t="s">
        <v>3</v>
      </c>
      <c r="IK545">
        <v>0</v>
      </c>
    </row>
    <row r="546" spans="1:255" x14ac:dyDescent="0.2">
      <c r="A546" s="2">
        <v>18</v>
      </c>
      <c r="B546" s="2">
        <v>1</v>
      </c>
      <c r="C546" s="2">
        <v>557</v>
      </c>
      <c r="D546" s="2"/>
      <c r="E546" s="2" t="s">
        <v>581</v>
      </c>
      <c r="F546" s="2" t="s">
        <v>582</v>
      </c>
      <c r="G546" s="2" t="s">
        <v>583</v>
      </c>
      <c r="H546" s="2" t="s">
        <v>270</v>
      </c>
      <c r="I546" s="2">
        <f>I538*J546</f>
        <v>0</v>
      </c>
      <c r="J546" s="2">
        <v>0</v>
      </c>
      <c r="K546" s="2">
        <v>0</v>
      </c>
      <c r="L546" s="2"/>
      <c r="M546" s="2"/>
      <c r="N546" s="2"/>
      <c r="O546" s="2">
        <f t="shared" si="463"/>
        <v>0</v>
      </c>
      <c r="P546" s="2">
        <f t="shared" si="464"/>
        <v>0</v>
      </c>
      <c r="Q546" s="2">
        <f t="shared" si="494"/>
        <v>0</v>
      </c>
      <c r="R546" s="2">
        <f t="shared" si="465"/>
        <v>0</v>
      </c>
      <c r="S546" s="2">
        <f t="shared" si="466"/>
        <v>0</v>
      </c>
      <c r="T546" s="2">
        <f t="shared" si="467"/>
        <v>0</v>
      </c>
      <c r="U546" s="2">
        <f t="shared" si="468"/>
        <v>0</v>
      </c>
      <c r="V546" s="2">
        <f t="shared" si="469"/>
        <v>0</v>
      </c>
      <c r="W546" s="2">
        <f t="shared" si="470"/>
        <v>0</v>
      </c>
      <c r="X546" s="2">
        <f t="shared" si="471"/>
        <v>0</v>
      </c>
      <c r="Y546" s="2">
        <f t="shared" si="472"/>
        <v>0</v>
      </c>
      <c r="Z546" s="2"/>
      <c r="AA546" s="2">
        <v>129761636</v>
      </c>
      <c r="AB546" s="2">
        <f t="shared" si="473"/>
        <v>6.81</v>
      </c>
      <c r="AC546" s="2">
        <f t="shared" si="474"/>
        <v>6.81</v>
      </c>
      <c r="AD546" s="2">
        <f t="shared" si="495"/>
        <v>0</v>
      </c>
      <c r="AE546" s="2">
        <f t="shared" si="496"/>
        <v>0</v>
      </c>
      <c r="AF546" s="2">
        <f t="shared" si="497"/>
        <v>0</v>
      </c>
      <c r="AG546" s="2">
        <f t="shared" si="475"/>
        <v>0</v>
      </c>
      <c r="AH546" s="2">
        <f t="shared" si="498"/>
        <v>0</v>
      </c>
      <c r="AI546" s="2">
        <f t="shared" si="499"/>
        <v>0</v>
      </c>
      <c r="AJ546" s="2">
        <f t="shared" si="476"/>
        <v>0</v>
      </c>
      <c r="AK546" s="2">
        <v>6.81</v>
      </c>
      <c r="AL546" s="2">
        <v>6.81</v>
      </c>
      <c r="AM546" s="2">
        <v>0</v>
      </c>
      <c r="AN546" s="2">
        <v>0</v>
      </c>
      <c r="AO546" s="2">
        <v>0</v>
      </c>
      <c r="AP546" s="2">
        <v>0</v>
      </c>
      <c r="AQ546" s="2">
        <v>0</v>
      </c>
      <c r="AR546" s="2">
        <v>0</v>
      </c>
      <c r="AS546" s="2">
        <v>0</v>
      </c>
      <c r="AT546" s="2">
        <v>85</v>
      </c>
      <c r="AU546" s="2">
        <v>70</v>
      </c>
      <c r="AV546" s="2">
        <v>1</v>
      </c>
      <c r="AW546" s="2">
        <v>1</v>
      </c>
      <c r="AX546" s="2"/>
      <c r="AY546" s="2"/>
      <c r="AZ546" s="2">
        <v>1</v>
      </c>
      <c r="BA546" s="2">
        <v>1</v>
      </c>
      <c r="BB546" s="2">
        <v>1</v>
      </c>
      <c r="BC546" s="2">
        <v>1</v>
      </c>
      <c r="BD546" s="2" t="s">
        <v>3</v>
      </c>
      <c r="BE546" s="2" t="s">
        <v>3</v>
      </c>
      <c r="BF546" s="2" t="s">
        <v>3</v>
      </c>
      <c r="BG546" s="2" t="s">
        <v>3</v>
      </c>
      <c r="BH546" s="2">
        <v>3</v>
      </c>
      <c r="BI546" s="2">
        <v>1</v>
      </c>
      <c r="BJ546" s="2" t="s">
        <v>584</v>
      </c>
      <c r="BK546" s="2"/>
      <c r="BL546" s="2"/>
      <c r="BM546" s="2">
        <v>80</v>
      </c>
      <c r="BN546" s="2">
        <v>0</v>
      </c>
      <c r="BO546" s="2" t="s">
        <v>3</v>
      </c>
      <c r="BP546" s="2">
        <v>0</v>
      </c>
      <c r="BQ546" s="2">
        <v>30</v>
      </c>
      <c r="BR546" s="2">
        <v>0</v>
      </c>
      <c r="BS546" s="2">
        <v>1</v>
      </c>
      <c r="BT546" s="2">
        <v>1</v>
      </c>
      <c r="BU546" s="2">
        <v>1</v>
      </c>
      <c r="BV546" s="2">
        <v>1</v>
      </c>
      <c r="BW546" s="2">
        <v>1</v>
      </c>
      <c r="BX546" s="2">
        <v>1</v>
      </c>
      <c r="BY546" s="2" t="s">
        <v>3</v>
      </c>
      <c r="BZ546" s="2">
        <v>85</v>
      </c>
      <c r="CA546" s="2">
        <v>70</v>
      </c>
      <c r="CB546" s="2" t="s">
        <v>3</v>
      </c>
      <c r="CC546" s="2"/>
      <c r="CD546" s="2"/>
      <c r="CE546" s="2">
        <v>30</v>
      </c>
      <c r="CF546" s="2">
        <v>0</v>
      </c>
      <c r="CG546" s="2">
        <v>0</v>
      </c>
      <c r="CH546" s="2"/>
      <c r="CI546" s="2"/>
      <c r="CJ546" s="2"/>
      <c r="CK546" s="2"/>
      <c r="CL546" s="2"/>
      <c r="CM546" s="2">
        <v>0</v>
      </c>
      <c r="CN546" s="2" t="s">
        <v>3</v>
      </c>
      <c r="CO546" s="2">
        <v>0</v>
      </c>
      <c r="CP546" s="2">
        <f t="shared" si="477"/>
        <v>0</v>
      </c>
      <c r="CQ546" s="2">
        <f t="shared" si="478"/>
        <v>6.81</v>
      </c>
      <c r="CR546" s="2">
        <f t="shared" si="500"/>
        <v>0</v>
      </c>
      <c r="CS546" s="2">
        <f t="shared" si="479"/>
        <v>0</v>
      </c>
      <c r="CT546" s="2">
        <f t="shared" si="480"/>
        <v>0</v>
      </c>
      <c r="CU546" s="2">
        <f t="shared" si="481"/>
        <v>0</v>
      </c>
      <c r="CV546" s="2">
        <f t="shared" si="482"/>
        <v>0</v>
      </c>
      <c r="CW546" s="2">
        <f t="shared" si="483"/>
        <v>0</v>
      </c>
      <c r="CX546" s="2">
        <f t="shared" si="484"/>
        <v>0</v>
      </c>
      <c r="CY546" s="2">
        <f>((S546*BZ546)/100)</f>
        <v>0</v>
      </c>
      <c r="CZ546" s="2">
        <f>((S546*CA546)/100)</f>
        <v>0</v>
      </c>
      <c r="DA546" s="2"/>
      <c r="DB546" s="2"/>
      <c r="DC546" s="2" t="s">
        <v>3</v>
      </c>
      <c r="DD546" s="2" t="s">
        <v>3</v>
      </c>
      <c r="DE546" s="2" t="s">
        <v>3</v>
      </c>
      <c r="DF546" s="2" t="s">
        <v>3</v>
      </c>
      <c r="DG546" s="2" t="s">
        <v>3</v>
      </c>
      <c r="DH546" s="2" t="s">
        <v>3</v>
      </c>
      <c r="DI546" s="2" t="s">
        <v>3</v>
      </c>
      <c r="DJ546" s="2" t="s">
        <v>3</v>
      </c>
      <c r="DK546" s="2" t="s">
        <v>3</v>
      </c>
      <c r="DL546" s="2" t="s">
        <v>3</v>
      </c>
      <c r="DM546" s="2" t="s">
        <v>3</v>
      </c>
      <c r="DN546" s="2">
        <v>0</v>
      </c>
      <c r="DO546" s="2">
        <v>0</v>
      </c>
      <c r="DP546" s="2">
        <v>1</v>
      </c>
      <c r="DQ546" s="2">
        <v>1</v>
      </c>
      <c r="DR546" s="2"/>
      <c r="DS546" s="2"/>
      <c r="DT546" s="2"/>
      <c r="DU546" s="2">
        <v>1003</v>
      </c>
      <c r="DV546" s="2" t="s">
        <v>270</v>
      </c>
      <c r="DW546" s="2" t="s">
        <v>270</v>
      </c>
      <c r="DX546" s="2">
        <v>1</v>
      </c>
      <c r="DY546" s="2"/>
      <c r="DZ546" s="2" t="s">
        <v>3</v>
      </c>
      <c r="EA546" s="2" t="s">
        <v>3</v>
      </c>
      <c r="EB546" s="2" t="s">
        <v>3</v>
      </c>
      <c r="EC546" s="2" t="s">
        <v>3</v>
      </c>
      <c r="ED546" s="2"/>
      <c r="EE546" s="2">
        <v>126051541</v>
      </c>
      <c r="EF546" s="2">
        <v>30</v>
      </c>
      <c r="EG546" s="2" t="s">
        <v>23</v>
      </c>
      <c r="EH546" s="2">
        <v>0</v>
      </c>
      <c r="EI546" s="2" t="s">
        <v>3</v>
      </c>
      <c r="EJ546" s="2">
        <v>1</v>
      </c>
      <c r="EK546" s="2">
        <v>80</v>
      </c>
      <c r="EL546" s="2" t="s">
        <v>143</v>
      </c>
      <c r="EM546" s="2" t="s">
        <v>144</v>
      </c>
      <c r="EN546" s="2"/>
      <c r="EO546" s="2" t="s">
        <v>3</v>
      </c>
      <c r="EP546" s="2"/>
      <c r="EQ546" s="2">
        <v>0</v>
      </c>
      <c r="ER546" s="2">
        <v>6.81</v>
      </c>
      <c r="ES546" s="2">
        <v>6.81</v>
      </c>
      <c r="ET546" s="2">
        <v>0</v>
      </c>
      <c r="EU546" s="2">
        <v>0</v>
      </c>
      <c r="EV546" s="2">
        <v>0</v>
      </c>
      <c r="EW546" s="2">
        <v>0</v>
      </c>
      <c r="EX546" s="2">
        <v>0</v>
      </c>
      <c r="EY546" s="2"/>
      <c r="EZ546" s="2"/>
      <c r="FA546" s="2"/>
      <c r="FB546" s="2"/>
      <c r="FC546" s="2"/>
      <c r="FD546" s="2"/>
      <c r="FE546" s="2"/>
      <c r="FF546" s="2"/>
      <c r="FG546" s="2"/>
      <c r="FH546" s="2"/>
      <c r="FI546" s="2"/>
      <c r="FJ546" s="2"/>
      <c r="FK546" s="2"/>
      <c r="FL546" s="2"/>
      <c r="FM546" s="2"/>
      <c r="FN546" s="2"/>
      <c r="FO546" s="2"/>
      <c r="FP546" s="2"/>
      <c r="FQ546" s="2">
        <v>0</v>
      </c>
      <c r="FR546" s="2">
        <f t="shared" si="485"/>
        <v>0</v>
      </c>
      <c r="FS546" s="2">
        <v>0</v>
      </c>
      <c r="FT546" s="2"/>
      <c r="FU546" s="2"/>
      <c r="FV546" s="2"/>
      <c r="FW546" s="2"/>
      <c r="FX546" s="2">
        <v>85</v>
      </c>
      <c r="FY546" s="2">
        <v>70</v>
      </c>
      <c r="FZ546" s="2"/>
      <c r="GA546" s="2" t="s">
        <v>3</v>
      </c>
      <c r="GB546" s="2"/>
      <c r="GC546" s="2"/>
      <c r="GD546" s="2">
        <v>0</v>
      </c>
      <c r="GE546" s="2"/>
      <c r="GF546" s="2">
        <v>155765014</v>
      </c>
      <c r="GG546" s="2">
        <v>2</v>
      </c>
      <c r="GH546" s="2">
        <v>1</v>
      </c>
      <c r="GI546" s="2">
        <v>-2</v>
      </c>
      <c r="GJ546" s="2">
        <v>0</v>
      </c>
      <c r="GK546" s="2">
        <f>ROUND(R546*(R12)/100,2)</f>
        <v>0</v>
      </c>
      <c r="GL546" s="2">
        <f t="shared" si="486"/>
        <v>0</v>
      </c>
      <c r="GM546" s="2">
        <f t="shared" si="487"/>
        <v>0</v>
      </c>
      <c r="GN546" s="2">
        <f t="shared" si="488"/>
        <v>0</v>
      </c>
      <c r="GO546" s="2">
        <f t="shared" si="489"/>
        <v>0</v>
      </c>
      <c r="GP546" s="2">
        <f t="shared" si="490"/>
        <v>0</v>
      </c>
      <c r="GQ546" s="2"/>
      <c r="GR546" s="2">
        <v>0</v>
      </c>
      <c r="GS546" s="2">
        <v>0</v>
      </c>
      <c r="GT546" s="2">
        <v>0</v>
      </c>
      <c r="GU546" s="2" t="s">
        <v>3</v>
      </c>
      <c r="GV546" s="2">
        <f t="shared" si="491"/>
        <v>0</v>
      </c>
      <c r="GW546" s="2">
        <v>1</v>
      </c>
      <c r="GX546" s="2">
        <f t="shared" si="492"/>
        <v>0</v>
      </c>
      <c r="GY546" s="2"/>
      <c r="GZ546" s="2"/>
      <c r="HA546" s="2">
        <v>0</v>
      </c>
      <c r="HB546" s="2">
        <v>0</v>
      </c>
      <c r="HC546" s="2">
        <f t="shared" si="493"/>
        <v>0</v>
      </c>
      <c r="HD546" s="2"/>
      <c r="HE546" s="2" t="s">
        <v>3</v>
      </c>
      <c r="HF546" s="2" t="s">
        <v>3</v>
      </c>
      <c r="HG546" s="2"/>
      <c r="HH546" s="2"/>
      <c r="HI546" s="2"/>
      <c r="HJ546" s="2"/>
      <c r="HK546" s="2"/>
      <c r="HL546" s="2"/>
      <c r="HM546" s="2" t="s">
        <v>3</v>
      </c>
      <c r="HN546" s="2" t="s">
        <v>3</v>
      </c>
      <c r="HO546" s="2" t="s">
        <v>3</v>
      </c>
      <c r="HP546" s="2" t="s">
        <v>3</v>
      </c>
      <c r="HQ546" s="2" t="s">
        <v>3</v>
      </c>
      <c r="HR546" s="2"/>
      <c r="HS546" s="2"/>
      <c r="HT546" s="2"/>
      <c r="HU546" s="2"/>
      <c r="HV546" s="2"/>
      <c r="HW546" s="2"/>
      <c r="HX546" s="2"/>
      <c r="HY546" s="2"/>
      <c r="HZ546" s="2"/>
      <c r="IA546" s="2"/>
      <c r="IB546" s="2"/>
      <c r="IC546" s="2"/>
      <c r="ID546" s="2"/>
      <c r="IE546" s="2"/>
      <c r="IF546" s="2"/>
      <c r="IG546" s="2"/>
      <c r="IH546" s="2"/>
      <c r="II546" s="2"/>
      <c r="IJ546" s="2"/>
      <c r="IK546" s="2">
        <v>0</v>
      </c>
      <c r="IL546" s="2"/>
      <c r="IM546" s="2"/>
      <c r="IN546" s="2"/>
      <c r="IO546" s="2"/>
      <c r="IP546" s="2"/>
      <c r="IQ546" s="2"/>
      <c r="IR546" s="2"/>
      <c r="IS546" s="2"/>
      <c r="IT546" s="2"/>
      <c r="IU546" s="2"/>
    </row>
    <row r="547" spans="1:255" x14ac:dyDescent="0.2">
      <c r="A547">
        <v>18</v>
      </c>
      <c r="B547">
        <v>1</v>
      </c>
      <c r="C547">
        <v>572</v>
      </c>
      <c r="E547" t="s">
        <v>581</v>
      </c>
      <c r="F547" t="s">
        <v>582</v>
      </c>
      <c r="G547" t="s">
        <v>583</v>
      </c>
      <c r="H547" t="s">
        <v>270</v>
      </c>
      <c r="I547">
        <f>I539*J547</f>
        <v>0</v>
      </c>
      <c r="J547">
        <v>0</v>
      </c>
      <c r="K547">
        <v>0</v>
      </c>
      <c r="O547">
        <f t="shared" si="463"/>
        <v>0</v>
      </c>
      <c r="P547">
        <f t="shared" si="464"/>
        <v>0</v>
      </c>
      <c r="Q547">
        <f t="shared" si="494"/>
        <v>0</v>
      </c>
      <c r="R547">
        <f t="shared" si="465"/>
        <v>0</v>
      </c>
      <c r="S547">
        <f t="shared" si="466"/>
        <v>0</v>
      </c>
      <c r="T547">
        <f t="shared" si="467"/>
        <v>0</v>
      </c>
      <c r="U547">
        <f t="shared" si="468"/>
        <v>0</v>
      </c>
      <c r="V547">
        <f t="shared" si="469"/>
        <v>0</v>
      </c>
      <c r="W547">
        <f t="shared" si="470"/>
        <v>0</v>
      </c>
      <c r="X547">
        <f t="shared" si="471"/>
        <v>0</v>
      </c>
      <c r="Y547">
        <f t="shared" si="472"/>
        <v>0</v>
      </c>
      <c r="AA547">
        <v>129761633</v>
      </c>
      <c r="AB547">
        <f t="shared" si="473"/>
        <v>6.81</v>
      </c>
      <c r="AC547">
        <f t="shared" si="474"/>
        <v>6.81</v>
      </c>
      <c r="AD547">
        <f t="shared" si="495"/>
        <v>0</v>
      </c>
      <c r="AE547">
        <f t="shared" si="496"/>
        <v>0</v>
      </c>
      <c r="AF547">
        <f t="shared" si="497"/>
        <v>0</v>
      </c>
      <c r="AG547">
        <f t="shared" si="475"/>
        <v>0</v>
      </c>
      <c r="AH547">
        <f t="shared" si="498"/>
        <v>0</v>
      </c>
      <c r="AI547">
        <f t="shared" si="499"/>
        <v>0</v>
      </c>
      <c r="AJ547">
        <f t="shared" si="476"/>
        <v>0</v>
      </c>
      <c r="AK547">
        <v>6.81</v>
      </c>
      <c r="AL547">
        <v>6.81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1</v>
      </c>
      <c r="AW547">
        <v>1</v>
      </c>
      <c r="AZ547">
        <v>1</v>
      </c>
      <c r="BA547">
        <v>1</v>
      </c>
      <c r="BB547">
        <v>1</v>
      </c>
      <c r="BC547">
        <v>8.51</v>
      </c>
      <c r="BD547" t="s">
        <v>3</v>
      </c>
      <c r="BE547" t="s">
        <v>3</v>
      </c>
      <c r="BF547" t="s">
        <v>3</v>
      </c>
      <c r="BG547" t="s">
        <v>3</v>
      </c>
      <c r="BH547">
        <v>3</v>
      </c>
      <c r="BI547">
        <v>1</v>
      </c>
      <c r="BJ547" t="s">
        <v>584</v>
      </c>
      <c r="BM547">
        <v>80</v>
      </c>
      <c r="BN547">
        <v>0</v>
      </c>
      <c r="BO547" t="s">
        <v>582</v>
      </c>
      <c r="BP547">
        <v>1</v>
      </c>
      <c r="BQ547">
        <v>30</v>
      </c>
      <c r="BR547">
        <v>0</v>
      </c>
      <c r="BS547">
        <v>1</v>
      </c>
      <c r="BT547">
        <v>1</v>
      </c>
      <c r="BU547">
        <v>1</v>
      </c>
      <c r="BV547">
        <v>1</v>
      </c>
      <c r="BW547">
        <v>1</v>
      </c>
      <c r="BX547">
        <v>1</v>
      </c>
      <c r="BY547" t="s">
        <v>3</v>
      </c>
      <c r="BZ547">
        <v>0</v>
      </c>
      <c r="CA547">
        <v>0</v>
      </c>
      <c r="CB547" t="s">
        <v>3</v>
      </c>
      <c r="CE547">
        <v>30</v>
      </c>
      <c r="CF547">
        <v>0</v>
      </c>
      <c r="CG547">
        <v>0</v>
      </c>
      <c r="CM547">
        <v>0</v>
      </c>
      <c r="CN547" t="s">
        <v>3</v>
      </c>
      <c r="CO547">
        <v>0</v>
      </c>
      <c r="CP547">
        <f t="shared" si="477"/>
        <v>0</v>
      </c>
      <c r="CQ547">
        <f t="shared" si="478"/>
        <v>57.95</v>
      </c>
      <c r="CR547">
        <f t="shared" si="500"/>
        <v>0</v>
      </c>
      <c r="CS547">
        <f t="shared" si="479"/>
        <v>0</v>
      </c>
      <c r="CT547">
        <f t="shared" si="480"/>
        <v>0</v>
      </c>
      <c r="CU547">
        <f t="shared" si="481"/>
        <v>0</v>
      </c>
      <c r="CV547">
        <f t="shared" si="482"/>
        <v>0</v>
      </c>
      <c r="CW547">
        <f t="shared" si="483"/>
        <v>0</v>
      </c>
      <c r="CX547">
        <f t="shared" si="484"/>
        <v>0</v>
      </c>
      <c r="CY547">
        <f>S547*(BZ547/100)</f>
        <v>0</v>
      </c>
      <c r="CZ547">
        <f>S547*(CA547/100)</f>
        <v>0</v>
      </c>
      <c r="DC547" t="s">
        <v>3</v>
      </c>
      <c r="DD547" t="s">
        <v>3</v>
      </c>
      <c r="DE547" t="s">
        <v>3</v>
      </c>
      <c r="DF547" t="s">
        <v>3</v>
      </c>
      <c r="DG547" t="s">
        <v>3</v>
      </c>
      <c r="DH547" t="s">
        <v>3</v>
      </c>
      <c r="DI547" t="s">
        <v>3</v>
      </c>
      <c r="DJ547" t="s">
        <v>3</v>
      </c>
      <c r="DK547" t="s">
        <v>3</v>
      </c>
      <c r="DL547" t="s">
        <v>3</v>
      </c>
      <c r="DM547" t="s">
        <v>3</v>
      </c>
      <c r="DN547">
        <v>85</v>
      </c>
      <c r="DO547">
        <v>70</v>
      </c>
      <c r="DP547">
        <v>1</v>
      </c>
      <c r="DQ547">
        <v>1</v>
      </c>
      <c r="DU547">
        <v>1003</v>
      </c>
      <c r="DV547" t="s">
        <v>270</v>
      </c>
      <c r="DW547" t="s">
        <v>270</v>
      </c>
      <c r="DX547">
        <v>1</v>
      </c>
      <c r="DZ547" t="s">
        <v>3</v>
      </c>
      <c r="EA547" t="s">
        <v>3</v>
      </c>
      <c r="EB547" t="s">
        <v>3</v>
      </c>
      <c r="EC547" t="s">
        <v>3</v>
      </c>
      <c r="EE547">
        <v>126051541</v>
      </c>
      <c r="EF547">
        <v>30</v>
      </c>
      <c r="EG547" t="s">
        <v>23</v>
      </c>
      <c r="EH547">
        <v>0</v>
      </c>
      <c r="EI547" t="s">
        <v>3</v>
      </c>
      <c r="EJ547">
        <v>1</v>
      </c>
      <c r="EK547">
        <v>80</v>
      </c>
      <c r="EL547" t="s">
        <v>143</v>
      </c>
      <c r="EM547" t="s">
        <v>144</v>
      </c>
      <c r="EO547" t="s">
        <v>3</v>
      </c>
      <c r="EQ547">
        <v>0</v>
      </c>
      <c r="ER547">
        <v>6.81</v>
      </c>
      <c r="ES547">
        <v>6.81</v>
      </c>
      <c r="ET547">
        <v>0</v>
      </c>
      <c r="EU547">
        <v>0</v>
      </c>
      <c r="EV547">
        <v>0</v>
      </c>
      <c r="EW547">
        <v>0</v>
      </c>
      <c r="EX547">
        <v>0</v>
      </c>
      <c r="FQ547">
        <v>0</v>
      </c>
      <c r="FR547">
        <f t="shared" si="485"/>
        <v>0</v>
      </c>
      <c r="FS547">
        <v>0</v>
      </c>
      <c r="FX547">
        <v>85</v>
      </c>
      <c r="FY547">
        <v>70</v>
      </c>
      <c r="GA547" t="s">
        <v>3</v>
      </c>
      <c r="GD547">
        <v>0</v>
      </c>
      <c r="GF547">
        <v>155765014</v>
      </c>
      <c r="GG547">
        <v>2</v>
      </c>
      <c r="GH547">
        <v>1</v>
      </c>
      <c r="GI547">
        <v>2</v>
      </c>
      <c r="GJ547">
        <v>0</v>
      </c>
      <c r="GK547">
        <f>ROUND(R547*(S12)/100,2)</f>
        <v>0</v>
      </c>
      <c r="GL547">
        <f t="shared" si="486"/>
        <v>0</v>
      </c>
      <c r="GM547">
        <f t="shared" si="487"/>
        <v>0</v>
      </c>
      <c r="GN547">
        <f t="shared" si="488"/>
        <v>0</v>
      </c>
      <c r="GO547">
        <f t="shared" si="489"/>
        <v>0</v>
      </c>
      <c r="GP547">
        <f t="shared" si="490"/>
        <v>0</v>
      </c>
      <c r="GR547">
        <v>0</v>
      </c>
      <c r="GS547">
        <v>3</v>
      </c>
      <c r="GT547">
        <v>0</v>
      </c>
      <c r="GU547" t="s">
        <v>3</v>
      </c>
      <c r="GV547">
        <f t="shared" si="491"/>
        <v>0</v>
      </c>
      <c r="GW547">
        <v>1</v>
      </c>
      <c r="GX547">
        <f t="shared" si="492"/>
        <v>0</v>
      </c>
      <c r="HA547">
        <v>0</v>
      </c>
      <c r="HB547">
        <v>0</v>
      </c>
      <c r="HC547">
        <f t="shared" si="493"/>
        <v>0</v>
      </c>
      <c r="HE547" t="s">
        <v>3</v>
      </c>
      <c r="HF547" t="s">
        <v>3</v>
      </c>
      <c r="HM547" t="s">
        <v>3</v>
      </c>
      <c r="HN547" t="s">
        <v>3</v>
      </c>
      <c r="HO547" t="s">
        <v>3</v>
      </c>
      <c r="HP547" t="s">
        <v>3</v>
      </c>
      <c r="HQ547" t="s">
        <v>3</v>
      </c>
      <c r="IK547">
        <v>0</v>
      </c>
    </row>
    <row r="548" spans="1:255" x14ac:dyDescent="0.2">
      <c r="A548" s="2">
        <v>18</v>
      </c>
      <c r="B548" s="2">
        <v>1</v>
      </c>
      <c r="C548" s="2">
        <v>553</v>
      </c>
      <c r="D548" s="2"/>
      <c r="E548" s="2" t="s">
        <v>585</v>
      </c>
      <c r="F548" s="2" t="s">
        <v>586</v>
      </c>
      <c r="G548" s="2" t="s">
        <v>587</v>
      </c>
      <c r="H548" s="2" t="s">
        <v>114</v>
      </c>
      <c r="I548" s="2">
        <f>I538*J548</f>
        <v>0</v>
      </c>
      <c r="J548" s="2">
        <v>0</v>
      </c>
      <c r="K548" s="2">
        <v>0</v>
      </c>
      <c r="L548" s="2"/>
      <c r="M548" s="2"/>
      <c r="N548" s="2"/>
      <c r="O548" s="2">
        <f t="shared" si="463"/>
        <v>0</v>
      </c>
      <c r="P548" s="2">
        <f t="shared" si="464"/>
        <v>0</v>
      </c>
      <c r="Q548" s="2">
        <f t="shared" si="494"/>
        <v>0</v>
      </c>
      <c r="R548" s="2">
        <f t="shared" si="465"/>
        <v>0</v>
      </c>
      <c r="S548" s="2">
        <f t="shared" si="466"/>
        <v>0</v>
      </c>
      <c r="T548" s="2">
        <f t="shared" si="467"/>
        <v>0</v>
      </c>
      <c r="U548" s="2">
        <f t="shared" si="468"/>
        <v>0</v>
      </c>
      <c r="V548" s="2">
        <f t="shared" si="469"/>
        <v>0</v>
      </c>
      <c r="W548" s="2">
        <f t="shared" si="470"/>
        <v>0</v>
      </c>
      <c r="X548" s="2">
        <f t="shared" si="471"/>
        <v>0</v>
      </c>
      <c r="Y548" s="2">
        <f t="shared" si="472"/>
        <v>0</v>
      </c>
      <c r="Z548" s="2"/>
      <c r="AA548" s="2">
        <v>129761636</v>
      </c>
      <c r="AB548" s="2">
        <f t="shared" si="473"/>
        <v>0</v>
      </c>
      <c r="AC548" s="2">
        <f t="shared" si="474"/>
        <v>0</v>
      </c>
      <c r="AD548" s="2">
        <f t="shared" si="495"/>
        <v>0</v>
      </c>
      <c r="AE548" s="2">
        <f t="shared" si="496"/>
        <v>0</v>
      </c>
      <c r="AF548" s="2">
        <f t="shared" si="497"/>
        <v>0</v>
      </c>
      <c r="AG548" s="2">
        <f t="shared" si="475"/>
        <v>0</v>
      </c>
      <c r="AH548" s="2">
        <f t="shared" si="498"/>
        <v>0</v>
      </c>
      <c r="AI548" s="2">
        <f t="shared" si="499"/>
        <v>0</v>
      </c>
      <c r="AJ548" s="2">
        <f t="shared" si="476"/>
        <v>0</v>
      </c>
      <c r="AK548" s="2">
        <v>0</v>
      </c>
      <c r="AL548" s="2">
        <v>0</v>
      </c>
      <c r="AM548" s="2">
        <v>0</v>
      </c>
      <c r="AN548" s="2">
        <v>0</v>
      </c>
      <c r="AO548" s="2">
        <v>0</v>
      </c>
      <c r="AP548" s="2">
        <v>0</v>
      </c>
      <c r="AQ548" s="2">
        <v>0</v>
      </c>
      <c r="AR548" s="2">
        <v>0</v>
      </c>
      <c r="AS548" s="2">
        <v>0</v>
      </c>
      <c r="AT548" s="2">
        <v>85</v>
      </c>
      <c r="AU548" s="2">
        <v>70</v>
      </c>
      <c r="AV548" s="2">
        <v>1</v>
      </c>
      <c r="AW548" s="2">
        <v>1</v>
      </c>
      <c r="AX548" s="2"/>
      <c r="AY548" s="2"/>
      <c r="AZ548" s="2">
        <v>1</v>
      </c>
      <c r="BA548" s="2">
        <v>1</v>
      </c>
      <c r="BB548" s="2">
        <v>1</v>
      </c>
      <c r="BC548" s="2">
        <v>1</v>
      </c>
      <c r="BD548" s="2" t="s">
        <v>3</v>
      </c>
      <c r="BE548" s="2" t="s">
        <v>3</v>
      </c>
      <c r="BF548" s="2" t="s">
        <v>3</v>
      </c>
      <c r="BG548" s="2" t="s">
        <v>3</v>
      </c>
      <c r="BH548" s="2">
        <v>3</v>
      </c>
      <c r="BI548" s="2">
        <v>1</v>
      </c>
      <c r="BJ548" s="2" t="s">
        <v>3</v>
      </c>
      <c r="BK548" s="2"/>
      <c r="BL548" s="2"/>
      <c r="BM548" s="2">
        <v>80</v>
      </c>
      <c r="BN548" s="2">
        <v>0</v>
      </c>
      <c r="BO548" s="2" t="s">
        <v>3</v>
      </c>
      <c r="BP548" s="2">
        <v>0</v>
      </c>
      <c r="BQ548" s="2">
        <v>30</v>
      </c>
      <c r="BR548" s="2">
        <v>0</v>
      </c>
      <c r="BS548" s="2">
        <v>1</v>
      </c>
      <c r="BT548" s="2">
        <v>1</v>
      </c>
      <c r="BU548" s="2">
        <v>1</v>
      </c>
      <c r="BV548" s="2">
        <v>1</v>
      </c>
      <c r="BW548" s="2">
        <v>1</v>
      </c>
      <c r="BX548" s="2">
        <v>1</v>
      </c>
      <c r="BY548" s="2" t="s">
        <v>3</v>
      </c>
      <c r="BZ548" s="2">
        <v>85</v>
      </c>
      <c r="CA548" s="2">
        <v>70</v>
      </c>
      <c r="CB548" s="2" t="s">
        <v>3</v>
      </c>
      <c r="CC548" s="2"/>
      <c r="CD548" s="2"/>
      <c r="CE548" s="2">
        <v>30</v>
      </c>
      <c r="CF548" s="2">
        <v>0</v>
      </c>
      <c r="CG548" s="2">
        <v>0</v>
      </c>
      <c r="CH548" s="2"/>
      <c r="CI548" s="2"/>
      <c r="CJ548" s="2"/>
      <c r="CK548" s="2"/>
      <c r="CL548" s="2"/>
      <c r="CM548" s="2">
        <v>0</v>
      </c>
      <c r="CN548" s="2" t="s">
        <v>3</v>
      </c>
      <c r="CO548" s="2">
        <v>0</v>
      </c>
      <c r="CP548" s="2">
        <f t="shared" si="477"/>
        <v>0</v>
      </c>
      <c r="CQ548" s="2">
        <f t="shared" si="478"/>
        <v>0</v>
      </c>
      <c r="CR548" s="2">
        <f t="shared" si="500"/>
        <v>0</v>
      </c>
      <c r="CS548" s="2">
        <f t="shared" si="479"/>
        <v>0</v>
      </c>
      <c r="CT548" s="2">
        <f t="shared" si="480"/>
        <v>0</v>
      </c>
      <c r="CU548" s="2">
        <f t="shared" si="481"/>
        <v>0</v>
      </c>
      <c r="CV548" s="2">
        <f t="shared" si="482"/>
        <v>0</v>
      </c>
      <c r="CW548" s="2">
        <f t="shared" si="483"/>
        <v>0</v>
      </c>
      <c r="CX548" s="2">
        <f t="shared" si="484"/>
        <v>0</v>
      </c>
      <c r="CY548" s="2">
        <f>((S548*BZ548)/100)</f>
        <v>0</v>
      </c>
      <c r="CZ548" s="2">
        <f>((S548*CA548)/100)</f>
        <v>0</v>
      </c>
      <c r="DA548" s="2"/>
      <c r="DB548" s="2"/>
      <c r="DC548" s="2" t="s">
        <v>3</v>
      </c>
      <c r="DD548" s="2" t="s">
        <v>3</v>
      </c>
      <c r="DE548" s="2" t="s">
        <v>3</v>
      </c>
      <c r="DF548" s="2" t="s">
        <v>3</v>
      </c>
      <c r="DG548" s="2" t="s">
        <v>3</v>
      </c>
      <c r="DH548" s="2" t="s">
        <v>3</v>
      </c>
      <c r="DI548" s="2" t="s">
        <v>3</v>
      </c>
      <c r="DJ548" s="2" t="s">
        <v>3</v>
      </c>
      <c r="DK548" s="2" t="s">
        <v>3</v>
      </c>
      <c r="DL548" s="2" t="s">
        <v>3</v>
      </c>
      <c r="DM548" s="2" t="s">
        <v>3</v>
      </c>
      <c r="DN548" s="2">
        <v>0</v>
      </c>
      <c r="DO548" s="2">
        <v>0</v>
      </c>
      <c r="DP548" s="2">
        <v>1</v>
      </c>
      <c r="DQ548" s="2">
        <v>1</v>
      </c>
      <c r="DR548" s="2"/>
      <c r="DS548" s="2"/>
      <c r="DT548" s="2"/>
      <c r="DU548" s="2">
        <v>1009</v>
      </c>
      <c r="DV548" s="2" t="s">
        <v>114</v>
      </c>
      <c r="DW548" s="2" t="s">
        <v>114</v>
      </c>
      <c r="DX548" s="2">
        <v>1000</v>
      </c>
      <c r="DY548" s="2"/>
      <c r="DZ548" s="2" t="s">
        <v>3</v>
      </c>
      <c r="EA548" s="2" t="s">
        <v>3</v>
      </c>
      <c r="EB548" s="2" t="s">
        <v>3</v>
      </c>
      <c r="EC548" s="2" t="s">
        <v>3</v>
      </c>
      <c r="ED548" s="2"/>
      <c r="EE548" s="2">
        <v>126051541</v>
      </c>
      <c r="EF548" s="2">
        <v>30</v>
      </c>
      <c r="EG548" s="2" t="s">
        <v>23</v>
      </c>
      <c r="EH548" s="2">
        <v>0</v>
      </c>
      <c r="EI548" s="2" t="s">
        <v>3</v>
      </c>
      <c r="EJ548" s="2">
        <v>1</v>
      </c>
      <c r="EK548" s="2">
        <v>80</v>
      </c>
      <c r="EL548" s="2" t="s">
        <v>143</v>
      </c>
      <c r="EM548" s="2" t="s">
        <v>144</v>
      </c>
      <c r="EN548" s="2"/>
      <c r="EO548" s="2" t="s">
        <v>3</v>
      </c>
      <c r="EP548" s="2"/>
      <c r="EQ548" s="2">
        <v>0</v>
      </c>
      <c r="ER548" s="2">
        <v>0</v>
      </c>
      <c r="ES548" s="2">
        <v>0</v>
      </c>
      <c r="ET548" s="2">
        <v>0</v>
      </c>
      <c r="EU548" s="2">
        <v>0</v>
      </c>
      <c r="EV548" s="2">
        <v>0</v>
      </c>
      <c r="EW548" s="2">
        <v>0</v>
      </c>
      <c r="EX548" s="2">
        <v>0</v>
      </c>
      <c r="EY548" s="2"/>
      <c r="EZ548" s="2"/>
      <c r="FA548" s="2"/>
      <c r="FB548" s="2"/>
      <c r="FC548" s="2"/>
      <c r="FD548" s="2"/>
      <c r="FE548" s="2"/>
      <c r="FF548" s="2"/>
      <c r="FG548" s="2"/>
      <c r="FH548" s="2"/>
      <c r="FI548" s="2"/>
      <c r="FJ548" s="2"/>
      <c r="FK548" s="2"/>
      <c r="FL548" s="2"/>
      <c r="FM548" s="2"/>
      <c r="FN548" s="2"/>
      <c r="FO548" s="2"/>
      <c r="FP548" s="2"/>
      <c r="FQ548" s="2">
        <v>0</v>
      </c>
      <c r="FR548" s="2">
        <f t="shared" si="485"/>
        <v>0</v>
      </c>
      <c r="FS548" s="2">
        <v>0</v>
      </c>
      <c r="FT548" s="2"/>
      <c r="FU548" s="2"/>
      <c r="FV548" s="2"/>
      <c r="FW548" s="2"/>
      <c r="FX548" s="2">
        <v>85</v>
      </c>
      <c r="FY548" s="2">
        <v>70</v>
      </c>
      <c r="FZ548" s="2"/>
      <c r="GA548" s="2" t="s">
        <v>3</v>
      </c>
      <c r="GB548" s="2"/>
      <c r="GC548" s="2"/>
      <c r="GD548" s="2">
        <v>0</v>
      </c>
      <c r="GE548" s="2"/>
      <c r="GF548" s="2">
        <v>1465266954</v>
      </c>
      <c r="GG548" s="2">
        <v>2</v>
      </c>
      <c r="GH548" s="2">
        <v>0</v>
      </c>
      <c r="GI548" s="2">
        <v>-2</v>
      </c>
      <c r="GJ548" s="2">
        <v>0</v>
      </c>
      <c r="GK548" s="2">
        <f>ROUND(R548*(R12)/100,2)</f>
        <v>0</v>
      </c>
      <c r="GL548" s="2">
        <f t="shared" si="486"/>
        <v>0</v>
      </c>
      <c r="GM548" s="2">
        <f t="shared" si="487"/>
        <v>0</v>
      </c>
      <c r="GN548" s="2">
        <f t="shared" si="488"/>
        <v>0</v>
      </c>
      <c r="GO548" s="2">
        <f t="shared" si="489"/>
        <v>0</v>
      </c>
      <c r="GP548" s="2">
        <f t="shared" si="490"/>
        <v>0</v>
      </c>
      <c r="GQ548" s="2"/>
      <c r="GR548" s="2">
        <v>0</v>
      </c>
      <c r="GS548" s="2">
        <v>0</v>
      </c>
      <c r="GT548" s="2">
        <v>0</v>
      </c>
      <c r="GU548" s="2" t="s">
        <v>3</v>
      </c>
      <c r="GV548" s="2">
        <f t="shared" si="491"/>
        <v>0</v>
      </c>
      <c r="GW548" s="2">
        <v>1</v>
      </c>
      <c r="GX548" s="2">
        <f t="shared" si="492"/>
        <v>0</v>
      </c>
      <c r="GY548" s="2"/>
      <c r="GZ548" s="2"/>
      <c r="HA548" s="2">
        <v>0</v>
      </c>
      <c r="HB548" s="2">
        <v>0</v>
      </c>
      <c r="HC548" s="2">
        <f t="shared" si="493"/>
        <v>0</v>
      </c>
      <c r="HD548" s="2"/>
      <c r="HE548" s="2" t="s">
        <v>3</v>
      </c>
      <c r="HF548" s="2" t="s">
        <v>3</v>
      </c>
      <c r="HG548" s="2"/>
      <c r="HH548" s="2"/>
      <c r="HI548" s="2"/>
      <c r="HJ548" s="2"/>
      <c r="HK548" s="2"/>
      <c r="HL548" s="2"/>
      <c r="HM548" s="2" t="s">
        <v>3</v>
      </c>
      <c r="HN548" s="2" t="s">
        <v>3</v>
      </c>
      <c r="HO548" s="2" t="s">
        <v>3</v>
      </c>
      <c r="HP548" s="2" t="s">
        <v>3</v>
      </c>
      <c r="HQ548" s="2" t="s">
        <v>3</v>
      </c>
      <c r="HR548" s="2"/>
      <c r="HS548" s="2"/>
      <c r="HT548" s="2"/>
      <c r="HU548" s="2"/>
      <c r="HV548" s="2"/>
      <c r="HW548" s="2"/>
      <c r="HX548" s="2"/>
      <c r="HY548" s="2"/>
      <c r="HZ548" s="2"/>
      <c r="IA548" s="2"/>
      <c r="IB548" s="2"/>
      <c r="IC548" s="2"/>
      <c r="ID548" s="2"/>
      <c r="IE548" s="2"/>
      <c r="IF548" s="2"/>
      <c r="IG548" s="2"/>
      <c r="IH548" s="2"/>
      <c r="II548" s="2"/>
      <c r="IJ548" s="2"/>
      <c r="IK548" s="2">
        <v>0</v>
      </c>
      <c r="IL548" s="2"/>
      <c r="IM548" s="2"/>
      <c r="IN548" s="2"/>
      <c r="IO548" s="2"/>
      <c r="IP548" s="2"/>
      <c r="IQ548" s="2"/>
      <c r="IR548" s="2"/>
      <c r="IS548" s="2"/>
      <c r="IT548" s="2"/>
      <c r="IU548" s="2"/>
    </row>
    <row r="549" spans="1:255" x14ac:dyDescent="0.2">
      <c r="A549">
        <v>18</v>
      </c>
      <c r="B549">
        <v>1</v>
      </c>
      <c r="C549">
        <v>568</v>
      </c>
      <c r="E549" t="s">
        <v>585</v>
      </c>
      <c r="F549" t="s">
        <v>586</v>
      </c>
      <c r="G549" t="s">
        <v>587</v>
      </c>
      <c r="H549" t="s">
        <v>114</v>
      </c>
      <c r="I549">
        <f>I539*J549</f>
        <v>0</v>
      </c>
      <c r="J549">
        <v>0</v>
      </c>
      <c r="K549">
        <v>0</v>
      </c>
      <c r="O549">
        <f t="shared" si="463"/>
        <v>0</v>
      </c>
      <c r="P549">
        <f t="shared" si="464"/>
        <v>0</v>
      </c>
      <c r="Q549">
        <f t="shared" si="494"/>
        <v>0</v>
      </c>
      <c r="R549">
        <f t="shared" si="465"/>
        <v>0</v>
      </c>
      <c r="S549">
        <f t="shared" si="466"/>
        <v>0</v>
      </c>
      <c r="T549">
        <f t="shared" si="467"/>
        <v>0</v>
      </c>
      <c r="U549">
        <f t="shared" si="468"/>
        <v>0</v>
      </c>
      <c r="V549">
        <f t="shared" si="469"/>
        <v>0</v>
      </c>
      <c r="W549">
        <f t="shared" si="470"/>
        <v>0</v>
      </c>
      <c r="X549">
        <f t="shared" si="471"/>
        <v>0</v>
      </c>
      <c r="Y549">
        <f t="shared" si="472"/>
        <v>0</v>
      </c>
      <c r="AA549">
        <v>129761633</v>
      </c>
      <c r="AB549">
        <f t="shared" si="473"/>
        <v>0</v>
      </c>
      <c r="AC549">
        <f t="shared" si="474"/>
        <v>0</v>
      </c>
      <c r="AD549">
        <f t="shared" si="495"/>
        <v>0</v>
      </c>
      <c r="AE549">
        <f t="shared" si="496"/>
        <v>0</v>
      </c>
      <c r="AF549">
        <f t="shared" si="497"/>
        <v>0</v>
      </c>
      <c r="AG549">
        <f t="shared" si="475"/>
        <v>0</v>
      </c>
      <c r="AH549">
        <f t="shared" si="498"/>
        <v>0</v>
      </c>
      <c r="AI549">
        <f t="shared" si="499"/>
        <v>0</v>
      </c>
      <c r="AJ549">
        <f t="shared" si="476"/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1</v>
      </c>
      <c r="AW549">
        <v>1</v>
      </c>
      <c r="AZ549">
        <v>1</v>
      </c>
      <c r="BA549">
        <v>1</v>
      </c>
      <c r="BB549">
        <v>1</v>
      </c>
      <c r="BC549">
        <v>8.65</v>
      </c>
      <c r="BD549" t="s">
        <v>3</v>
      </c>
      <c r="BE549" t="s">
        <v>3</v>
      </c>
      <c r="BF549" t="s">
        <v>3</v>
      </c>
      <c r="BG549" t="s">
        <v>3</v>
      </c>
      <c r="BH549">
        <v>3</v>
      </c>
      <c r="BI549">
        <v>1</v>
      </c>
      <c r="BJ549" t="s">
        <v>3</v>
      </c>
      <c r="BM549">
        <v>80</v>
      </c>
      <c r="BN549">
        <v>0</v>
      </c>
      <c r="BO549" t="s">
        <v>3</v>
      </c>
      <c r="BP549">
        <v>0</v>
      </c>
      <c r="BQ549">
        <v>30</v>
      </c>
      <c r="BR549">
        <v>0</v>
      </c>
      <c r="BS549">
        <v>1</v>
      </c>
      <c r="BT549">
        <v>1</v>
      </c>
      <c r="BU549">
        <v>1</v>
      </c>
      <c r="BV549">
        <v>1</v>
      </c>
      <c r="BW549">
        <v>1</v>
      </c>
      <c r="BX549">
        <v>1</v>
      </c>
      <c r="BY549" t="s">
        <v>3</v>
      </c>
      <c r="BZ549">
        <v>0</v>
      </c>
      <c r="CA549">
        <v>0</v>
      </c>
      <c r="CB549" t="s">
        <v>3</v>
      </c>
      <c r="CE549">
        <v>30</v>
      </c>
      <c r="CF549">
        <v>0</v>
      </c>
      <c r="CG549">
        <v>0</v>
      </c>
      <c r="CM549">
        <v>0</v>
      </c>
      <c r="CN549" t="s">
        <v>3</v>
      </c>
      <c r="CO549">
        <v>0</v>
      </c>
      <c r="CP549">
        <f t="shared" si="477"/>
        <v>0</v>
      </c>
      <c r="CQ549">
        <f t="shared" si="478"/>
        <v>0</v>
      </c>
      <c r="CR549">
        <f t="shared" si="500"/>
        <v>0</v>
      </c>
      <c r="CS549">
        <f t="shared" si="479"/>
        <v>0</v>
      </c>
      <c r="CT549">
        <f t="shared" si="480"/>
        <v>0</v>
      </c>
      <c r="CU549">
        <f t="shared" si="481"/>
        <v>0</v>
      </c>
      <c r="CV549">
        <f t="shared" si="482"/>
        <v>0</v>
      </c>
      <c r="CW549">
        <f t="shared" si="483"/>
        <v>0</v>
      </c>
      <c r="CX549">
        <f t="shared" si="484"/>
        <v>0</v>
      </c>
      <c r="CY549">
        <f>S549*(BZ549/100)</f>
        <v>0</v>
      </c>
      <c r="CZ549">
        <f>S549*(CA549/100)</f>
        <v>0</v>
      </c>
      <c r="DC549" t="s">
        <v>3</v>
      </c>
      <c r="DD549" t="s">
        <v>3</v>
      </c>
      <c r="DE549" t="s">
        <v>3</v>
      </c>
      <c r="DF549" t="s">
        <v>3</v>
      </c>
      <c r="DG549" t="s">
        <v>3</v>
      </c>
      <c r="DH549" t="s">
        <v>3</v>
      </c>
      <c r="DI549" t="s">
        <v>3</v>
      </c>
      <c r="DJ549" t="s">
        <v>3</v>
      </c>
      <c r="DK549" t="s">
        <v>3</v>
      </c>
      <c r="DL549" t="s">
        <v>3</v>
      </c>
      <c r="DM549" t="s">
        <v>3</v>
      </c>
      <c r="DN549">
        <v>85</v>
      </c>
      <c r="DO549">
        <v>70</v>
      </c>
      <c r="DP549">
        <v>1</v>
      </c>
      <c r="DQ549">
        <v>1</v>
      </c>
      <c r="DU549">
        <v>1009</v>
      </c>
      <c r="DV549" t="s">
        <v>114</v>
      </c>
      <c r="DW549" t="s">
        <v>114</v>
      </c>
      <c r="DX549">
        <v>1000</v>
      </c>
      <c r="DZ549" t="s">
        <v>3</v>
      </c>
      <c r="EA549" t="s">
        <v>3</v>
      </c>
      <c r="EB549" t="s">
        <v>3</v>
      </c>
      <c r="EC549" t="s">
        <v>3</v>
      </c>
      <c r="EE549">
        <v>126051541</v>
      </c>
      <c r="EF549">
        <v>30</v>
      </c>
      <c r="EG549" t="s">
        <v>23</v>
      </c>
      <c r="EH549">
        <v>0</v>
      </c>
      <c r="EI549" t="s">
        <v>3</v>
      </c>
      <c r="EJ549">
        <v>1</v>
      </c>
      <c r="EK549">
        <v>80</v>
      </c>
      <c r="EL549" t="s">
        <v>143</v>
      </c>
      <c r="EM549" t="s">
        <v>144</v>
      </c>
      <c r="EO549" t="s">
        <v>3</v>
      </c>
      <c r="EQ549">
        <v>0</v>
      </c>
      <c r="ER549">
        <v>0</v>
      </c>
      <c r="ES549">
        <v>0</v>
      </c>
      <c r="ET549">
        <v>0</v>
      </c>
      <c r="EU549">
        <v>0</v>
      </c>
      <c r="EV549">
        <v>0</v>
      </c>
      <c r="EW549">
        <v>0</v>
      </c>
      <c r="EX549">
        <v>0</v>
      </c>
      <c r="FQ549">
        <v>0</v>
      </c>
      <c r="FR549">
        <f t="shared" si="485"/>
        <v>0</v>
      </c>
      <c r="FS549">
        <v>0</v>
      </c>
      <c r="FX549">
        <v>85</v>
      </c>
      <c r="FY549">
        <v>70</v>
      </c>
      <c r="GA549" t="s">
        <v>259</v>
      </c>
      <c r="GD549">
        <v>0</v>
      </c>
      <c r="GF549">
        <v>1465266954</v>
      </c>
      <c r="GG549">
        <v>2</v>
      </c>
      <c r="GH549">
        <v>2</v>
      </c>
      <c r="GI549">
        <v>5</v>
      </c>
      <c r="GJ549">
        <v>0</v>
      </c>
      <c r="GK549">
        <f>ROUND(R549*(S12)/100,2)</f>
        <v>0</v>
      </c>
      <c r="GL549">
        <f t="shared" si="486"/>
        <v>0</v>
      </c>
      <c r="GM549">
        <f t="shared" si="487"/>
        <v>0</v>
      </c>
      <c r="GN549">
        <f t="shared" si="488"/>
        <v>0</v>
      </c>
      <c r="GO549">
        <f t="shared" si="489"/>
        <v>0</v>
      </c>
      <c r="GP549">
        <f t="shared" si="490"/>
        <v>0</v>
      </c>
      <c r="GR549">
        <v>0</v>
      </c>
      <c r="GS549">
        <v>4</v>
      </c>
      <c r="GT549">
        <v>0</v>
      </c>
      <c r="GU549" t="s">
        <v>3</v>
      </c>
      <c r="GV549">
        <f t="shared" si="491"/>
        <v>0</v>
      </c>
      <c r="GW549">
        <v>1</v>
      </c>
      <c r="GX549">
        <f t="shared" si="492"/>
        <v>0</v>
      </c>
      <c r="HA549">
        <v>0</v>
      </c>
      <c r="HB549">
        <v>0</v>
      </c>
      <c r="HC549">
        <f t="shared" si="493"/>
        <v>0</v>
      </c>
      <c r="HE549" t="s">
        <v>3</v>
      </c>
      <c r="HF549" t="s">
        <v>3</v>
      </c>
      <c r="HM549" t="s">
        <v>3</v>
      </c>
      <c r="HN549" t="s">
        <v>3</v>
      </c>
      <c r="HO549" t="s">
        <v>3</v>
      </c>
      <c r="HP549" t="s">
        <v>3</v>
      </c>
      <c r="HQ549" t="s">
        <v>3</v>
      </c>
      <c r="IK549">
        <v>0</v>
      </c>
    </row>
    <row r="550" spans="1:255" x14ac:dyDescent="0.2">
      <c r="A550" s="2">
        <v>18</v>
      </c>
      <c r="B550" s="2">
        <v>1</v>
      </c>
      <c r="C550" s="2">
        <v>552</v>
      </c>
      <c r="D550" s="2"/>
      <c r="E550" s="2" t="s">
        <v>588</v>
      </c>
      <c r="F550" s="2" t="s">
        <v>562</v>
      </c>
      <c r="G550" s="2" t="s">
        <v>563</v>
      </c>
      <c r="H550" s="2" t="s">
        <v>114</v>
      </c>
      <c r="I550" s="2">
        <f>I538*J550</f>
        <v>0</v>
      </c>
      <c r="J550" s="2">
        <v>0</v>
      </c>
      <c r="K550" s="2">
        <v>0</v>
      </c>
      <c r="L550" s="2"/>
      <c r="M550" s="2"/>
      <c r="N550" s="2"/>
      <c r="O550" s="2">
        <f t="shared" si="463"/>
        <v>0</v>
      </c>
      <c r="P550" s="2">
        <f t="shared" si="464"/>
        <v>0</v>
      </c>
      <c r="Q550" s="2">
        <f t="shared" si="494"/>
        <v>0</v>
      </c>
      <c r="R550" s="2">
        <f t="shared" si="465"/>
        <v>0</v>
      </c>
      <c r="S550" s="2">
        <f t="shared" si="466"/>
        <v>0</v>
      </c>
      <c r="T550" s="2">
        <f t="shared" si="467"/>
        <v>0</v>
      </c>
      <c r="U550" s="2">
        <f t="shared" si="468"/>
        <v>0</v>
      </c>
      <c r="V550" s="2">
        <f t="shared" si="469"/>
        <v>0</v>
      </c>
      <c r="W550" s="2">
        <f t="shared" si="470"/>
        <v>0</v>
      </c>
      <c r="X550" s="2">
        <f t="shared" si="471"/>
        <v>0</v>
      </c>
      <c r="Y550" s="2">
        <f t="shared" si="472"/>
        <v>0</v>
      </c>
      <c r="Z550" s="2"/>
      <c r="AA550" s="2">
        <v>129761636</v>
      </c>
      <c r="AB550" s="2">
        <f t="shared" si="473"/>
        <v>0</v>
      </c>
      <c r="AC550" s="2">
        <f t="shared" si="474"/>
        <v>0</v>
      </c>
      <c r="AD550" s="2">
        <f t="shared" si="495"/>
        <v>0</v>
      </c>
      <c r="AE550" s="2">
        <f t="shared" si="496"/>
        <v>0</v>
      </c>
      <c r="AF550" s="2">
        <f t="shared" si="497"/>
        <v>0</v>
      </c>
      <c r="AG550" s="2">
        <f t="shared" si="475"/>
        <v>0</v>
      </c>
      <c r="AH550" s="2">
        <f t="shared" si="498"/>
        <v>0</v>
      </c>
      <c r="AI550" s="2">
        <f t="shared" si="499"/>
        <v>0</v>
      </c>
      <c r="AJ550" s="2">
        <f t="shared" si="476"/>
        <v>0</v>
      </c>
      <c r="AK550" s="2">
        <v>0</v>
      </c>
      <c r="AL550" s="2">
        <v>0</v>
      </c>
      <c r="AM550" s="2">
        <v>0</v>
      </c>
      <c r="AN550" s="2">
        <v>0</v>
      </c>
      <c r="AO550" s="2">
        <v>0</v>
      </c>
      <c r="AP550" s="2">
        <v>0</v>
      </c>
      <c r="AQ550" s="2">
        <v>0</v>
      </c>
      <c r="AR550" s="2">
        <v>0</v>
      </c>
      <c r="AS550" s="2">
        <v>0</v>
      </c>
      <c r="AT550" s="2">
        <v>85</v>
      </c>
      <c r="AU550" s="2">
        <v>70</v>
      </c>
      <c r="AV550" s="2">
        <v>1</v>
      </c>
      <c r="AW550" s="2">
        <v>1</v>
      </c>
      <c r="AX550" s="2"/>
      <c r="AY550" s="2"/>
      <c r="AZ550" s="2">
        <v>1</v>
      </c>
      <c r="BA550" s="2">
        <v>1</v>
      </c>
      <c r="BB550" s="2">
        <v>1</v>
      </c>
      <c r="BC550" s="2">
        <v>1</v>
      </c>
      <c r="BD550" s="2" t="s">
        <v>3</v>
      </c>
      <c r="BE550" s="2" t="s">
        <v>3</v>
      </c>
      <c r="BF550" s="2" t="s">
        <v>3</v>
      </c>
      <c r="BG550" s="2" t="s">
        <v>3</v>
      </c>
      <c r="BH550" s="2">
        <v>3</v>
      </c>
      <c r="BI550" s="2">
        <v>1</v>
      </c>
      <c r="BJ550" s="2" t="s">
        <v>3</v>
      </c>
      <c r="BK550" s="2"/>
      <c r="BL550" s="2"/>
      <c r="BM550" s="2">
        <v>80</v>
      </c>
      <c r="BN550" s="2">
        <v>0</v>
      </c>
      <c r="BO550" s="2" t="s">
        <v>3</v>
      </c>
      <c r="BP550" s="2">
        <v>0</v>
      </c>
      <c r="BQ550" s="2">
        <v>30</v>
      </c>
      <c r="BR550" s="2">
        <v>0</v>
      </c>
      <c r="BS550" s="2">
        <v>1</v>
      </c>
      <c r="BT550" s="2">
        <v>1</v>
      </c>
      <c r="BU550" s="2">
        <v>1</v>
      </c>
      <c r="BV550" s="2">
        <v>1</v>
      </c>
      <c r="BW550" s="2">
        <v>1</v>
      </c>
      <c r="BX550" s="2">
        <v>1</v>
      </c>
      <c r="BY550" s="2" t="s">
        <v>3</v>
      </c>
      <c r="BZ550" s="2">
        <v>85</v>
      </c>
      <c r="CA550" s="2">
        <v>70</v>
      </c>
      <c r="CB550" s="2" t="s">
        <v>3</v>
      </c>
      <c r="CC550" s="2"/>
      <c r="CD550" s="2"/>
      <c r="CE550" s="2">
        <v>30</v>
      </c>
      <c r="CF550" s="2">
        <v>0</v>
      </c>
      <c r="CG550" s="2">
        <v>0</v>
      </c>
      <c r="CH550" s="2"/>
      <c r="CI550" s="2"/>
      <c r="CJ550" s="2"/>
      <c r="CK550" s="2"/>
      <c r="CL550" s="2"/>
      <c r="CM550" s="2">
        <v>0</v>
      </c>
      <c r="CN550" s="2" t="s">
        <v>3</v>
      </c>
      <c r="CO550" s="2">
        <v>0</v>
      </c>
      <c r="CP550" s="2">
        <f t="shared" si="477"/>
        <v>0</v>
      </c>
      <c r="CQ550" s="2">
        <f t="shared" si="478"/>
        <v>0</v>
      </c>
      <c r="CR550" s="2">
        <f t="shared" si="500"/>
        <v>0</v>
      </c>
      <c r="CS550" s="2">
        <f t="shared" si="479"/>
        <v>0</v>
      </c>
      <c r="CT550" s="2">
        <f t="shared" si="480"/>
        <v>0</v>
      </c>
      <c r="CU550" s="2">
        <f t="shared" si="481"/>
        <v>0</v>
      </c>
      <c r="CV550" s="2">
        <f t="shared" si="482"/>
        <v>0</v>
      </c>
      <c r="CW550" s="2">
        <f t="shared" si="483"/>
        <v>0</v>
      </c>
      <c r="CX550" s="2">
        <f t="shared" si="484"/>
        <v>0</v>
      </c>
      <c r="CY550" s="2">
        <f>((S550*BZ550)/100)</f>
        <v>0</v>
      </c>
      <c r="CZ550" s="2">
        <f>((S550*CA550)/100)</f>
        <v>0</v>
      </c>
      <c r="DA550" s="2"/>
      <c r="DB550" s="2"/>
      <c r="DC550" s="2" t="s">
        <v>3</v>
      </c>
      <c r="DD550" s="2" t="s">
        <v>3</v>
      </c>
      <c r="DE550" s="2" t="s">
        <v>3</v>
      </c>
      <c r="DF550" s="2" t="s">
        <v>3</v>
      </c>
      <c r="DG550" s="2" t="s">
        <v>3</v>
      </c>
      <c r="DH550" s="2" t="s">
        <v>3</v>
      </c>
      <c r="DI550" s="2" t="s">
        <v>3</v>
      </c>
      <c r="DJ550" s="2" t="s">
        <v>3</v>
      </c>
      <c r="DK550" s="2" t="s">
        <v>3</v>
      </c>
      <c r="DL550" s="2" t="s">
        <v>3</v>
      </c>
      <c r="DM550" s="2" t="s">
        <v>3</v>
      </c>
      <c r="DN550" s="2">
        <v>0</v>
      </c>
      <c r="DO550" s="2">
        <v>0</v>
      </c>
      <c r="DP550" s="2">
        <v>1</v>
      </c>
      <c r="DQ550" s="2">
        <v>1</v>
      </c>
      <c r="DR550" s="2"/>
      <c r="DS550" s="2"/>
      <c r="DT550" s="2"/>
      <c r="DU550" s="2">
        <v>1009</v>
      </c>
      <c r="DV550" s="2" t="s">
        <v>114</v>
      </c>
      <c r="DW550" s="2" t="s">
        <v>114</v>
      </c>
      <c r="DX550" s="2">
        <v>1000</v>
      </c>
      <c r="DY550" s="2"/>
      <c r="DZ550" s="2" t="s">
        <v>3</v>
      </c>
      <c r="EA550" s="2" t="s">
        <v>3</v>
      </c>
      <c r="EB550" s="2" t="s">
        <v>3</v>
      </c>
      <c r="EC550" s="2" t="s">
        <v>3</v>
      </c>
      <c r="ED550" s="2"/>
      <c r="EE550" s="2">
        <v>126051541</v>
      </c>
      <c r="EF550" s="2">
        <v>30</v>
      </c>
      <c r="EG550" s="2" t="s">
        <v>23</v>
      </c>
      <c r="EH550" s="2">
        <v>0</v>
      </c>
      <c r="EI550" s="2" t="s">
        <v>3</v>
      </c>
      <c r="EJ550" s="2">
        <v>1</v>
      </c>
      <c r="EK550" s="2">
        <v>80</v>
      </c>
      <c r="EL550" s="2" t="s">
        <v>143</v>
      </c>
      <c r="EM550" s="2" t="s">
        <v>144</v>
      </c>
      <c r="EN550" s="2"/>
      <c r="EO550" s="2" t="s">
        <v>3</v>
      </c>
      <c r="EP550" s="2"/>
      <c r="EQ550" s="2">
        <v>0</v>
      </c>
      <c r="ER550" s="2">
        <v>0</v>
      </c>
      <c r="ES550" s="2">
        <v>0</v>
      </c>
      <c r="ET550" s="2">
        <v>0</v>
      </c>
      <c r="EU550" s="2">
        <v>0</v>
      </c>
      <c r="EV550" s="2">
        <v>0</v>
      </c>
      <c r="EW550" s="2">
        <v>0</v>
      </c>
      <c r="EX550" s="2">
        <v>0</v>
      </c>
      <c r="EY550" s="2"/>
      <c r="EZ550" s="2"/>
      <c r="FA550" s="2"/>
      <c r="FB550" s="2"/>
      <c r="FC550" s="2"/>
      <c r="FD550" s="2"/>
      <c r="FE550" s="2"/>
      <c r="FF550" s="2"/>
      <c r="FG550" s="2"/>
      <c r="FH550" s="2"/>
      <c r="FI550" s="2"/>
      <c r="FJ550" s="2"/>
      <c r="FK550" s="2"/>
      <c r="FL550" s="2"/>
      <c r="FM550" s="2"/>
      <c r="FN550" s="2"/>
      <c r="FO550" s="2"/>
      <c r="FP550" s="2"/>
      <c r="FQ550" s="2">
        <v>0</v>
      </c>
      <c r="FR550" s="2">
        <f t="shared" si="485"/>
        <v>0</v>
      </c>
      <c r="FS550" s="2">
        <v>0</v>
      </c>
      <c r="FT550" s="2"/>
      <c r="FU550" s="2"/>
      <c r="FV550" s="2"/>
      <c r="FW550" s="2"/>
      <c r="FX550" s="2">
        <v>85</v>
      </c>
      <c r="FY550" s="2">
        <v>70</v>
      </c>
      <c r="FZ550" s="2"/>
      <c r="GA550" s="2" t="s">
        <v>3</v>
      </c>
      <c r="GB550" s="2"/>
      <c r="GC550" s="2"/>
      <c r="GD550" s="2">
        <v>0</v>
      </c>
      <c r="GE550" s="2"/>
      <c r="GF550" s="2">
        <v>1037925172</v>
      </c>
      <c r="GG550" s="2">
        <v>2</v>
      </c>
      <c r="GH550" s="2">
        <v>0</v>
      </c>
      <c r="GI550" s="2">
        <v>-2</v>
      </c>
      <c r="GJ550" s="2">
        <v>0</v>
      </c>
      <c r="GK550" s="2">
        <f>ROUND(R550*(R12)/100,2)</f>
        <v>0</v>
      </c>
      <c r="GL550" s="2">
        <f t="shared" si="486"/>
        <v>0</v>
      </c>
      <c r="GM550" s="2">
        <f t="shared" si="487"/>
        <v>0</v>
      </c>
      <c r="GN550" s="2">
        <f t="shared" si="488"/>
        <v>0</v>
      </c>
      <c r="GO550" s="2">
        <f t="shared" si="489"/>
        <v>0</v>
      </c>
      <c r="GP550" s="2">
        <f t="shared" si="490"/>
        <v>0</v>
      </c>
      <c r="GQ550" s="2"/>
      <c r="GR550" s="2">
        <v>0</v>
      </c>
      <c r="GS550" s="2">
        <v>0</v>
      </c>
      <c r="GT550" s="2">
        <v>0</v>
      </c>
      <c r="GU550" s="2" t="s">
        <v>3</v>
      </c>
      <c r="GV550" s="2">
        <f t="shared" si="491"/>
        <v>0</v>
      </c>
      <c r="GW550" s="2">
        <v>1</v>
      </c>
      <c r="GX550" s="2">
        <f t="shared" si="492"/>
        <v>0</v>
      </c>
      <c r="GY550" s="2"/>
      <c r="GZ550" s="2"/>
      <c r="HA550" s="2">
        <v>0</v>
      </c>
      <c r="HB550" s="2">
        <v>0</v>
      </c>
      <c r="HC550" s="2">
        <f t="shared" si="493"/>
        <v>0</v>
      </c>
      <c r="HD550" s="2"/>
      <c r="HE550" s="2" t="s">
        <v>3</v>
      </c>
      <c r="HF550" s="2" t="s">
        <v>3</v>
      </c>
      <c r="HG550" s="2"/>
      <c r="HH550" s="2"/>
      <c r="HI550" s="2"/>
      <c r="HJ550" s="2"/>
      <c r="HK550" s="2"/>
      <c r="HL550" s="2"/>
      <c r="HM550" s="2" t="s">
        <v>3</v>
      </c>
      <c r="HN550" s="2" t="s">
        <v>3</v>
      </c>
      <c r="HO550" s="2" t="s">
        <v>3</v>
      </c>
      <c r="HP550" s="2" t="s">
        <v>3</v>
      </c>
      <c r="HQ550" s="2" t="s">
        <v>3</v>
      </c>
      <c r="HR550" s="2"/>
      <c r="HS550" s="2"/>
      <c r="HT550" s="2"/>
      <c r="HU550" s="2"/>
      <c r="HV550" s="2"/>
      <c r="HW550" s="2"/>
      <c r="HX550" s="2"/>
      <c r="HY550" s="2"/>
      <c r="HZ550" s="2"/>
      <c r="IA550" s="2"/>
      <c r="IB550" s="2"/>
      <c r="IC550" s="2"/>
      <c r="ID550" s="2"/>
      <c r="IE550" s="2"/>
      <c r="IF550" s="2"/>
      <c r="IG550" s="2"/>
      <c r="IH550" s="2"/>
      <c r="II550" s="2"/>
      <c r="IJ550" s="2"/>
      <c r="IK550" s="2">
        <v>0</v>
      </c>
      <c r="IL550" s="2"/>
      <c r="IM550" s="2"/>
      <c r="IN550" s="2"/>
      <c r="IO550" s="2"/>
      <c r="IP550" s="2"/>
      <c r="IQ550" s="2"/>
      <c r="IR550" s="2"/>
      <c r="IS550" s="2"/>
      <c r="IT550" s="2"/>
      <c r="IU550" s="2"/>
    </row>
    <row r="551" spans="1:255" x14ac:dyDescent="0.2">
      <c r="A551">
        <v>18</v>
      </c>
      <c r="B551">
        <v>1</v>
      </c>
      <c r="C551">
        <v>567</v>
      </c>
      <c r="E551" t="s">
        <v>588</v>
      </c>
      <c r="F551" t="s">
        <v>562</v>
      </c>
      <c r="G551" t="s">
        <v>563</v>
      </c>
      <c r="H551" t="s">
        <v>114</v>
      </c>
      <c r="I551">
        <f>I539*J551</f>
        <v>0</v>
      </c>
      <c r="J551">
        <v>0</v>
      </c>
      <c r="K551">
        <v>0</v>
      </c>
      <c r="O551">
        <f t="shared" si="463"/>
        <v>0</v>
      </c>
      <c r="P551">
        <f t="shared" si="464"/>
        <v>0</v>
      </c>
      <c r="Q551">
        <f t="shared" si="494"/>
        <v>0</v>
      </c>
      <c r="R551">
        <f t="shared" si="465"/>
        <v>0</v>
      </c>
      <c r="S551">
        <f t="shared" si="466"/>
        <v>0</v>
      </c>
      <c r="T551">
        <f t="shared" si="467"/>
        <v>0</v>
      </c>
      <c r="U551">
        <f t="shared" si="468"/>
        <v>0</v>
      </c>
      <c r="V551">
        <f t="shared" si="469"/>
        <v>0</v>
      </c>
      <c r="W551">
        <f t="shared" si="470"/>
        <v>0</v>
      </c>
      <c r="X551">
        <f t="shared" si="471"/>
        <v>0</v>
      </c>
      <c r="Y551">
        <f t="shared" si="472"/>
        <v>0</v>
      </c>
      <c r="AA551">
        <v>129761633</v>
      </c>
      <c r="AB551">
        <f t="shared" si="473"/>
        <v>0</v>
      </c>
      <c r="AC551">
        <f t="shared" si="474"/>
        <v>0</v>
      </c>
      <c r="AD551">
        <f t="shared" si="495"/>
        <v>0</v>
      </c>
      <c r="AE551">
        <f t="shared" si="496"/>
        <v>0</v>
      </c>
      <c r="AF551">
        <f t="shared" si="497"/>
        <v>0</v>
      </c>
      <c r="AG551">
        <f t="shared" si="475"/>
        <v>0</v>
      </c>
      <c r="AH551">
        <f t="shared" si="498"/>
        <v>0</v>
      </c>
      <c r="AI551">
        <f t="shared" si="499"/>
        <v>0</v>
      </c>
      <c r="AJ551">
        <f t="shared" si="476"/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1</v>
      </c>
      <c r="AW551">
        <v>1</v>
      </c>
      <c r="AZ551">
        <v>1</v>
      </c>
      <c r="BA551">
        <v>1</v>
      </c>
      <c r="BB551">
        <v>1</v>
      </c>
      <c r="BC551">
        <v>11.89</v>
      </c>
      <c r="BD551" t="s">
        <v>3</v>
      </c>
      <c r="BE551" t="s">
        <v>3</v>
      </c>
      <c r="BF551" t="s">
        <v>3</v>
      </c>
      <c r="BG551" t="s">
        <v>3</v>
      </c>
      <c r="BH551">
        <v>3</v>
      </c>
      <c r="BI551">
        <v>1</v>
      </c>
      <c r="BJ551" t="s">
        <v>3</v>
      </c>
      <c r="BM551">
        <v>80</v>
      </c>
      <c r="BN551">
        <v>0</v>
      </c>
      <c r="BO551" t="s">
        <v>562</v>
      </c>
      <c r="BP551">
        <v>1</v>
      </c>
      <c r="BQ551">
        <v>30</v>
      </c>
      <c r="BR551">
        <v>0</v>
      </c>
      <c r="BS551">
        <v>1</v>
      </c>
      <c r="BT551">
        <v>1</v>
      </c>
      <c r="BU551">
        <v>1</v>
      </c>
      <c r="BV551">
        <v>1</v>
      </c>
      <c r="BW551">
        <v>1</v>
      </c>
      <c r="BX551">
        <v>1</v>
      </c>
      <c r="BY551" t="s">
        <v>3</v>
      </c>
      <c r="BZ551">
        <v>0</v>
      </c>
      <c r="CA551">
        <v>0</v>
      </c>
      <c r="CB551" t="s">
        <v>3</v>
      </c>
      <c r="CE551">
        <v>30</v>
      </c>
      <c r="CF551">
        <v>0</v>
      </c>
      <c r="CG551">
        <v>0</v>
      </c>
      <c r="CM551">
        <v>0</v>
      </c>
      <c r="CN551" t="s">
        <v>3</v>
      </c>
      <c r="CO551">
        <v>0</v>
      </c>
      <c r="CP551">
        <f t="shared" si="477"/>
        <v>0</v>
      </c>
      <c r="CQ551">
        <f t="shared" si="478"/>
        <v>0</v>
      </c>
      <c r="CR551">
        <f t="shared" si="500"/>
        <v>0</v>
      </c>
      <c r="CS551">
        <f t="shared" si="479"/>
        <v>0</v>
      </c>
      <c r="CT551">
        <f t="shared" si="480"/>
        <v>0</v>
      </c>
      <c r="CU551">
        <f t="shared" si="481"/>
        <v>0</v>
      </c>
      <c r="CV551">
        <f t="shared" si="482"/>
        <v>0</v>
      </c>
      <c r="CW551">
        <f t="shared" si="483"/>
        <v>0</v>
      </c>
      <c r="CX551">
        <f t="shared" si="484"/>
        <v>0</v>
      </c>
      <c r="CY551">
        <f>S551*(BZ551/100)</f>
        <v>0</v>
      </c>
      <c r="CZ551">
        <f>S551*(CA551/100)</f>
        <v>0</v>
      </c>
      <c r="DC551" t="s">
        <v>3</v>
      </c>
      <c r="DD551" t="s">
        <v>3</v>
      </c>
      <c r="DE551" t="s">
        <v>3</v>
      </c>
      <c r="DF551" t="s">
        <v>3</v>
      </c>
      <c r="DG551" t="s">
        <v>3</v>
      </c>
      <c r="DH551" t="s">
        <v>3</v>
      </c>
      <c r="DI551" t="s">
        <v>3</v>
      </c>
      <c r="DJ551" t="s">
        <v>3</v>
      </c>
      <c r="DK551" t="s">
        <v>3</v>
      </c>
      <c r="DL551" t="s">
        <v>3</v>
      </c>
      <c r="DM551" t="s">
        <v>3</v>
      </c>
      <c r="DN551">
        <v>85</v>
      </c>
      <c r="DO551">
        <v>70</v>
      </c>
      <c r="DP551">
        <v>1</v>
      </c>
      <c r="DQ551">
        <v>1</v>
      </c>
      <c r="DU551">
        <v>1009</v>
      </c>
      <c r="DV551" t="s">
        <v>114</v>
      </c>
      <c r="DW551" t="s">
        <v>114</v>
      </c>
      <c r="DX551">
        <v>1000</v>
      </c>
      <c r="DZ551" t="s">
        <v>3</v>
      </c>
      <c r="EA551" t="s">
        <v>3</v>
      </c>
      <c r="EB551" t="s">
        <v>3</v>
      </c>
      <c r="EC551" t="s">
        <v>3</v>
      </c>
      <c r="EE551">
        <v>126051541</v>
      </c>
      <c r="EF551">
        <v>30</v>
      </c>
      <c r="EG551" t="s">
        <v>23</v>
      </c>
      <c r="EH551">
        <v>0</v>
      </c>
      <c r="EI551" t="s">
        <v>3</v>
      </c>
      <c r="EJ551">
        <v>1</v>
      </c>
      <c r="EK551">
        <v>80</v>
      </c>
      <c r="EL551" t="s">
        <v>143</v>
      </c>
      <c r="EM551" t="s">
        <v>144</v>
      </c>
      <c r="EO551" t="s">
        <v>3</v>
      </c>
      <c r="EQ551">
        <v>0</v>
      </c>
      <c r="ER551">
        <v>0</v>
      </c>
      <c r="ES551">
        <v>0</v>
      </c>
      <c r="ET551">
        <v>0</v>
      </c>
      <c r="EU551">
        <v>0</v>
      </c>
      <c r="EV551">
        <v>0</v>
      </c>
      <c r="EW551">
        <v>0</v>
      </c>
      <c r="EX551">
        <v>0</v>
      </c>
      <c r="FQ551">
        <v>0</v>
      </c>
      <c r="FR551">
        <f t="shared" si="485"/>
        <v>0</v>
      </c>
      <c r="FS551">
        <v>0</v>
      </c>
      <c r="FX551">
        <v>85</v>
      </c>
      <c r="FY551">
        <v>70</v>
      </c>
      <c r="GA551" t="s">
        <v>259</v>
      </c>
      <c r="GD551">
        <v>0</v>
      </c>
      <c r="GF551">
        <v>1037925172</v>
      </c>
      <c r="GG551">
        <v>2</v>
      </c>
      <c r="GH551">
        <v>2</v>
      </c>
      <c r="GI551">
        <v>2</v>
      </c>
      <c r="GJ551">
        <v>0</v>
      </c>
      <c r="GK551">
        <f>ROUND(R551*(S12)/100,2)</f>
        <v>0</v>
      </c>
      <c r="GL551">
        <f t="shared" si="486"/>
        <v>0</v>
      </c>
      <c r="GM551">
        <f t="shared" si="487"/>
        <v>0</v>
      </c>
      <c r="GN551">
        <f t="shared" si="488"/>
        <v>0</v>
      </c>
      <c r="GO551">
        <f t="shared" si="489"/>
        <v>0</v>
      </c>
      <c r="GP551">
        <f t="shared" si="490"/>
        <v>0</v>
      </c>
      <c r="GR551">
        <v>0</v>
      </c>
      <c r="GS551">
        <v>4</v>
      </c>
      <c r="GT551">
        <v>0</v>
      </c>
      <c r="GU551" t="s">
        <v>3</v>
      </c>
      <c r="GV551">
        <f t="shared" si="491"/>
        <v>0</v>
      </c>
      <c r="GW551">
        <v>1</v>
      </c>
      <c r="GX551">
        <f t="shared" si="492"/>
        <v>0</v>
      </c>
      <c r="HA551">
        <v>0</v>
      </c>
      <c r="HB551">
        <v>0</v>
      </c>
      <c r="HC551">
        <f t="shared" si="493"/>
        <v>0</v>
      </c>
      <c r="HE551" t="s">
        <v>3</v>
      </c>
      <c r="HF551" t="s">
        <v>3</v>
      </c>
      <c r="HM551" t="s">
        <v>3</v>
      </c>
      <c r="HN551" t="s">
        <v>3</v>
      </c>
      <c r="HO551" t="s">
        <v>3</v>
      </c>
      <c r="HP551" t="s">
        <v>3</v>
      </c>
      <c r="HQ551" t="s">
        <v>3</v>
      </c>
      <c r="IK551">
        <v>0</v>
      </c>
    </row>
    <row r="552" spans="1:255" x14ac:dyDescent="0.2">
      <c r="A552" s="2">
        <v>18</v>
      </c>
      <c r="B552" s="2">
        <v>1</v>
      </c>
      <c r="C552" s="2">
        <v>555</v>
      </c>
      <c r="D552" s="2"/>
      <c r="E552" s="2" t="s">
        <v>589</v>
      </c>
      <c r="F552" s="2" t="s">
        <v>590</v>
      </c>
      <c r="G552" s="2" t="s">
        <v>591</v>
      </c>
      <c r="H552" s="2" t="s">
        <v>94</v>
      </c>
      <c r="I552" s="2">
        <f>I538*J552</f>
        <v>0.25947999999999999</v>
      </c>
      <c r="J552" s="2">
        <v>2.6</v>
      </c>
      <c r="K552" s="2">
        <v>2.6</v>
      </c>
      <c r="L552" s="2"/>
      <c r="M552" s="2"/>
      <c r="N552" s="2"/>
      <c r="O552" s="2">
        <f t="shared" si="463"/>
        <v>1.53</v>
      </c>
      <c r="P552" s="2">
        <f t="shared" si="464"/>
        <v>1.53</v>
      </c>
      <c r="Q552" s="2">
        <f t="shared" si="494"/>
        <v>0</v>
      </c>
      <c r="R552" s="2">
        <f t="shared" si="465"/>
        <v>0</v>
      </c>
      <c r="S552" s="2">
        <f t="shared" si="466"/>
        <v>0</v>
      </c>
      <c r="T552" s="2">
        <f t="shared" si="467"/>
        <v>0</v>
      </c>
      <c r="U552" s="2">
        <f t="shared" si="468"/>
        <v>0</v>
      </c>
      <c r="V552" s="2">
        <f t="shared" si="469"/>
        <v>0</v>
      </c>
      <c r="W552" s="2">
        <f t="shared" si="470"/>
        <v>0</v>
      </c>
      <c r="X552" s="2">
        <f t="shared" si="471"/>
        <v>0</v>
      </c>
      <c r="Y552" s="2">
        <f t="shared" si="472"/>
        <v>0</v>
      </c>
      <c r="Z552" s="2"/>
      <c r="AA552" s="2">
        <v>129761636</v>
      </c>
      <c r="AB552" s="2">
        <f t="shared" si="473"/>
        <v>5.91</v>
      </c>
      <c r="AC552" s="2">
        <f t="shared" si="474"/>
        <v>5.91</v>
      </c>
      <c r="AD552" s="2">
        <f t="shared" si="495"/>
        <v>0</v>
      </c>
      <c r="AE552" s="2">
        <f t="shared" si="496"/>
        <v>0</v>
      </c>
      <c r="AF552" s="2">
        <f t="shared" si="497"/>
        <v>0</v>
      </c>
      <c r="AG552" s="2">
        <f t="shared" si="475"/>
        <v>0</v>
      </c>
      <c r="AH552" s="2">
        <f t="shared" si="498"/>
        <v>0</v>
      </c>
      <c r="AI552" s="2">
        <f t="shared" si="499"/>
        <v>0</v>
      </c>
      <c r="AJ552" s="2">
        <f t="shared" si="476"/>
        <v>0</v>
      </c>
      <c r="AK552" s="2">
        <v>5.91</v>
      </c>
      <c r="AL552" s="2">
        <v>5.91</v>
      </c>
      <c r="AM552" s="2">
        <v>0</v>
      </c>
      <c r="AN552" s="2">
        <v>0</v>
      </c>
      <c r="AO552" s="2">
        <v>0</v>
      </c>
      <c r="AP552" s="2">
        <v>0</v>
      </c>
      <c r="AQ552" s="2">
        <v>0</v>
      </c>
      <c r="AR552" s="2">
        <v>0</v>
      </c>
      <c r="AS552" s="2">
        <v>0</v>
      </c>
      <c r="AT552" s="2">
        <v>85</v>
      </c>
      <c r="AU552" s="2">
        <v>70</v>
      </c>
      <c r="AV552" s="2">
        <v>1</v>
      </c>
      <c r="AW552" s="2">
        <v>1</v>
      </c>
      <c r="AX552" s="2"/>
      <c r="AY552" s="2"/>
      <c r="AZ552" s="2">
        <v>1</v>
      </c>
      <c r="BA552" s="2">
        <v>1</v>
      </c>
      <c r="BB552" s="2">
        <v>1</v>
      </c>
      <c r="BC552" s="2">
        <v>1</v>
      </c>
      <c r="BD552" s="2" t="s">
        <v>3</v>
      </c>
      <c r="BE552" s="2" t="s">
        <v>3</v>
      </c>
      <c r="BF552" s="2" t="s">
        <v>3</v>
      </c>
      <c r="BG552" s="2" t="s">
        <v>3</v>
      </c>
      <c r="BH552" s="2">
        <v>3</v>
      </c>
      <c r="BI552" s="2">
        <v>1</v>
      </c>
      <c r="BJ552" s="2" t="s">
        <v>592</v>
      </c>
      <c r="BK552" s="2"/>
      <c r="BL552" s="2"/>
      <c r="BM552" s="2">
        <v>80</v>
      </c>
      <c r="BN552" s="2">
        <v>0</v>
      </c>
      <c r="BO552" s="2" t="s">
        <v>3</v>
      </c>
      <c r="BP552" s="2">
        <v>0</v>
      </c>
      <c r="BQ552" s="2">
        <v>30</v>
      </c>
      <c r="BR552" s="2">
        <v>0</v>
      </c>
      <c r="BS552" s="2">
        <v>1</v>
      </c>
      <c r="BT552" s="2">
        <v>1</v>
      </c>
      <c r="BU552" s="2">
        <v>1</v>
      </c>
      <c r="BV552" s="2">
        <v>1</v>
      </c>
      <c r="BW552" s="2">
        <v>1</v>
      </c>
      <c r="BX552" s="2">
        <v>1</v>
      </c>
      <c r="BY552" s="2" t="s">
        <v>3</v>
      </c>
      <c r="BZ552" s="2">
        <v>85</v>
      </c>
      <c r="CA552" s="2">
        <v>70</v>
      </c>
      <c r="CB552" s="2" t="s">
        <v>3</v>
      </c>
      <c r="CC552" s="2"/>
      <c r="CD552" s="2"/>
      <c r="CE552" s="2">
        <v>30</v>
      </c>
      <c r="CF552" s="2">
        <v>0</v>
      </c>
      <c r="CG552" s="2">
        <v>0</v>
      </c>
      <c r="CH552" s="2"/>
      <c r="CI552" s="2"/>
      <c r="CJ552" s="2"/>
      <c r="CK552" s="2"/>
      <c r="CL552" s="2"/>
      <c r="CM552" s="2">
        <v>0</v>
      </c>
      <c r="CN552" s="2" t="s">
        <v>3</v>
      </c>
      <c r="CO552" s="2">
        <v>0</v>
      </c>
      <c r="CP552" s="2">
        <f t="shared" si="477"/>
        <v>1.53</v>
      </c>
      <c r="CQ552" s="2">
        <f t="shared" si="478"/>
        <v>5.91</v>
      </c>
      <c r="CR552" s="2">
        <f t="shared" si="500"/>
        <v>0</v>
      </c>
      <c r="CS552" s="2">
        <f t="shared" si="479"/>
        <v>0</v>
      </c>
      <c r="CT552" s="2">
        <f t="shared" si="480"/>
        <v>0</v>
      </c>
      <c r="CU552" s="2">
        <f t="shared" si="481"/>
        <v>0</v>
      </c>
      <c r="CV552" s="2">
        <f t="shared" si="482"/>
        <v>0</v>
      </c>
      <c r="CW552" s="2">
        <f t="shared" si="483"/>
        <v>0</v>
      </c>
      <c r="CX552" s="2">
        <f t="shared" si="484"/>
        <v>0</v>
      </c>
      <c r="CY552" s="2">
        <f>((S552*BZ552)/100)</f>
        <v>0</v>
      </c>
      <c r="CZ552" s="2">
        <f>((S552*CA552)/100)</f>
        <v>0</v>
      </c>
      <c r="DA552" s="2"/>
      <c r="DB552" s="2"/>
      <c r="DC552" s="2" t="s">
        <v>3</v>
      </c>
      <c r="DD552" s="2" t="s">
        <v>3</v>
      </c>
      <c r="DE552" s="2" t="s">
        <v>3</v>
      </c>
      <c r="DF552" s="2" t="s">
        <v>3</v>
      </c>
      <c r="DG552" s="2" t="s">
        <v>3</v>
      </c>
      <c r="DH552" s="2" t="s">
        <v>3</v>
      </c>
      <c r="DI552" s="2" t="s">
        <v>3</v>
      </c>
      <c r="DJ552" s="2" t="s">
        <v>3</v>
      </c>
      <c r="DK552" s="2" t="s">
        <v>3</v>
      </c>
      <c r="DL552" s="2" t="s">
        <v>3</v>
      </c>
      <c r="DM552" s="2" t="s">
        <v>3</v>
      </c>
      <c r="DN552" s="2">
        <v>0</v>
      </c>
      <c r="DO552" s="2">
        <v>0</v>
      </c>
      <c r="DP552" s="2">
        <v>1</v>
      </c>
      <c r="DQ552" s="2">
        <v>1</v>
      </c>
      <c r="DR552" s="2"/>
      <c r="DS552" s="2"/>
      <c r="DT552" s="2"/>
      <c r="DU552" s="2">
        <v>1007</v>
      </c>
      <c r="DV552" s="2" t="s">
        <v>94</v>
      </c>
      <c r="DW552" s="2" t="s">
        <v>94</v>
      </c>
      <c r="DX552" s="2">
        <v>1</v>
      </c>
      <c r="DY552" s="2"/>
      <c r="DZ552" s="2" t="s">
        <v>3</v>
      </c>
      <c r="EA552" s="2" t="s">
        <v>3</v>
      </c>
      <c r="EB552" s="2" t="s">
        <v>3</v>
      </c>
      <c r="EC552" s="2" t="s">
        <v>3</v>
      </c>
      <c r="ED552" s="2"/>
      <c r="EE552" s="2">
        <v>126051541</v>
      </c>
      <c r="EF552" s="2">
        <v>30</v>
      </c>
      <c r="EG552" s="2" t="s">
        <v>23</v>
      </c>
      <c r="EH552" s="2">
        <v>0</v>
      </c>
      <c r="EI552" s="2" t="s">
        <v>3</v>
      </c>
      <c r="EJ552" s="2">
        <v>1</v>
      </c>
      <c r="EK552" s="2">
        <v>80</v>
      </c>
      <c r="EL552" s="2" t="s">
        <v>143</v>
      </c>
      <c r="EM552" s="2" t="s">
        <v>144</v>
      </c>
      <c r="EN552" s="2"/>
      <c r="EO552" s="2" t="s">
        <v>3</v>
      </c>
      <c r="EP552" s="2"/>
      <c r="EQ552" s="2">
        <v>0</v>
      </c>
      <c r="ER552" s="2">
        <v>5.91</v>
      </c>
      <c r="ES552" s="2">
        <v>5.91</v>
      </c>
      <c r="ET552" s="2">
        <v>0</v>
      </c>
      <c r="EU552" s="2">
        <v>0</v>
      </c>
      <c r="EV552" s="2">
        <v>0</v>
      </c>
      <c r="EW552" s="2">
        <v>0</v>
      </c>
      <c r="EX552" s="2">
        <v>0</v>
      </c>
      <c r="EY552" s="2"/>
      <c r="EZ552" s="2"/>
      <c r="FA552" s="2"/>
      <c r="FB552" s="2"/>
      <c r="FC552" s="2"/>
      <c r="FD552" s="2"/>
      <c r="FE552" s="2"/>
      <c r="FF552" s="2"/>
      <c r="FG552" s="2"/>
      <c r="FH552" s="2"/>
      <c r="FI552" s="2"/>
      <c r="FJ552" s="2"/>
      <c r="FK552" s="2"/>
      <c r="FL552" s="2"/>
      <c r="FM552" s="2"/>
      <c r="FN552" s="2"/>
      <c r="FO552" s="2"/>
      <c r="FP552" s="2"/>
      <c r="FQ552" s="2">
        <v>0</v>
      </c>
      <c r="FR552" s="2">
        <f t="shared" si="485"/>
        <v>0</v>
      </c>
      <c r="FS552" s="2">
        <v>0</v>
      </c>
      <c r="FT552" s="2"/>
      <c r="FU552" s="2"/>
      <c r="FV552" s="2"/>
      <c r="FW552" s="2"/>
      <c r="FX552" s="2">
        <v>85</v>
      </c>
      <c r="FY552" s="2">
        <v>70</v>
      </c>
      <c r="FZ552" s="2"/>
      <c r="GA552" s="2" t="s">
        <v>3</v>
      </c>
      <c r="GB552" s="2"/>
      <c r="GC552" s="2"/>
      <c r="GD552" s="2">
        <v>0</v>
      </c>
      <c r="GE552" s="2"/>
      <c r="GF552" s="2">
        <v>-1236741395</v>
      </c>
      <c r="GG552" s="2">
        <v>2</v>
      </c>
      <c r="GH552" s="2">
        <v>1</v>
      </c>
      <c r="GI552" s="2">
        <v>-2</v>
      </c>
      <c r="GJ552" s="2">
        <v>0</v>
      </c>
      <c r="GK552" s="2">
        <f>ROUND(R552*(R12)/100,2)</f>
        <v>0</v>
      </c>
      <c r="GL552" s="2">
        <f t="shared" si="486"/>
        <v>0</v>
      </c>
      <c r="GM552" s="2">
        <f t="shared" si="487"/>
        <v>1.53</v>
      </c>
      <c r="GN552" s="2">
        <f t="shared" si="488"/>
        <v>1.53</v>
      </c>
      <c r="GO552" s="2">
        <f t="shared" si="489"/>
        <v>0</v>
      </c>
      <c r="GP552" s="2">
        <f t="shared" si="490"/>
        <v>0</v>
      </c>
      <c r="GQ552" s="2"/>
      <c r="GR552" s="2">
        <v>0</v>
      </c>
      <c r="GS552" s="2">
        <v>0</v>
      </c>
      <c r="GT552" s="2">
        <v>0</v>
      </c>
      <c r="GU552" s="2" t="s">
        <v>3</v>
      </c>
      <c r="GV552" s="2">
        <f t="shared" si="491"/>
        <v>0</v>
      </c>
      <c r="GW552" s="2">
        <v>1</v>
      </c>
      <c r="GX552" s="2">
        <f t="shared" si="492"/>
        <v>0</v>
      </c>
      <c r="GY552" s="2"/>
      <c r="GZ552" s="2"/>
      <c r="HA552" s="2">
        <v>0</v>
      </c>
      <c r="HB552" s="2">
        <v>0</v>
      </c>
      <c r="HC552" s="2">
        <f t="shared" si="493"/>
        <v>0</v>
      </c>
      <c r="HD552" s="2"/>
      <c r="HE552" s="2" t="s">
        <v>3</v>
      </c>
      <c r="HF552" s="2" t="s">
        <v>3</v>
      </c>
      <c r="HG552" s="2"/>
      <c r="HH552" s="2"/>
      <c r="HI552" s="2"/>
      <c r="HJ552" s="2"/>
      <c r="HK552" s="2"/>
      <c r="HL552" s="2"/>
      <c r="HM552" s="2" t="s">
        <v>3</v>
      </c>
      <c r="HN552" s="2" t="s">
        <v>3</v>
      </c>
      <c r="HO552" s="2" t="s">
        <v>3</v>
      </c>
      <c r="HP552" s="2" t="s">
        <v>3</v>
      </c>
      <c r="HQ552" s="2" t="s">
        <v>3</v>
      </c>
      <c r="HR552" s="2"/>
      <c r="HS552" s="2"/>
      <c r="HT552" s="2"/>
      <c r="HU552" s="2"/>
      <c r="HV552" s="2"/>
      <c r="HW552" s="2"/>
      <c r="HX552" s="2"/>
      <c r="HY552" s="2"/>
      <c r="HZ552" s="2"/>
      <c r="IA552" s="2"/>
      <c r="IB552" s="2"/>
      <c r="IC552" s="2"/>
      <c r="ID552" s="2"/>
      <c r="IE552" s="2"/>
      <c r="IF552" s="2"/>
      <c r="IG552" s="2"/>
      <c r="IH552" s="2"/>
      <c r="II552" s="2"/>
      <c r="IJ552" s="2"/>
      <c r="IK552" s="2">
        <v>0</v>
      </c>
      <c r="IL552" s="2"/>
      <c r="IM552" s="2"/>
      <c r="IN552" s="2"/>
      <c r="IO552" s="2"/>
      <c r="IP552" s="2"/>
      <c r="IQ552" s="2"/>
      <c r="IR552" s="2"/>
      <c r="IS552" s="2"/>
      <c r="IT552" s="2"/>
      <c r="IU552" s="2"/>
    </row>
    <row r="553" spans="1:255" x14ac:dyDescent="0.2">
      <c r="A553">
        <v>18</v>
      </c>
      <c r="B553">
        <v>1</v>
      </c>
      <c r="C553">
        <v>570</v>
      </c>
      <c r="E553" t="s">
        <v>589</v>
      </c>
      <c r="F553" t="s">
        <v>590</v>
      </c>
      <c r="G553" t="s">
        <v>591</v>
      </c>
      <c r="H553" t="s">
        <v>94</v>
      </c>
      <c r="I553">
        <f>I539*J553</f>
        <v>0.25947999999999999</v>
      </c>
      <c r="J553">
        <v>2.6</v>
      </c>
      <c r="K553">
        <v>2.6</v>
      </c>
      <c r="O553">
        <f t="shared" si="463"/>
        <v>19.920000000000002</v>
      </c>
      <c r="P553">
        <f t="shared" si="464"/>
        <v>19.920000000000002</v>
      </c>
      <c r="Q553">
        <f t="shared" si="494"/>
        <v>0</v>
      </c>
      <c r="R553">
        <f t="shared" si="465"/>
        <v>0</v>
      </c>
      <c r="S553">
        <f t="shared" si="466"/>
        <v>0</v>
      </c>
      <c r="T553">
        <f t="shared" si="467"/>
        <v>0</v>
      </c>
      <c r="U553">
        <f t="shared" si="468"/>
        <v>0</v>
      </c>
      <c r="V553">
        <f t="shared" si="469"/>
        <v>0</v>
      </c>
      <c r="W553">
        <f t="shared" si="470"/>
        <v>0</v>
      </c>
      <c r="X553">
        <f t="shared" si="471"/>
        <v>0</v>
      </c>
      <c r="Y553">
        <f t="shared" si="472"/>
        <v>0</v>
      </c>
      <c r="AA553">
        <v>129761633</v>
      </c>
      <c r="AB553">
        <f t="shared" si="473"/>
        <v>5.91</v>
      </c>
      <c r="AC553">
        <f t="shared" si="474"/>
        <v>5.91</v>
      </c>
      <c r="AD553">
        <f t="shared" si="495"/>
        <v>0</v>
      </c>
      <c r="AE553">
        <f t="shared" si="496"/>
        <v>0</v>
      </c>
      <c r="AF553">
        <f t="shared" si="497"/>
        <v>0</v>
      </c>
      <c r="AG553">
        <f t="shared" si="475"/>
        <v>0</v>
      </c>
      <c r="AH553">
        <f t="shared" si="498"/>
        <v>0</v>
      </c>
      <c r="AI553">
        <f t="shared" si="499"/>
        <v>0</v>
      </c>
      <c r="AJ553">
        <f t="shared" si="476"/>
        <v>0</v>
      </c>
      <c r="AK553">
        <v>5.91</v>
      </c>
      <c r="AL553">
        <v>5.91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1</v>
      </c>
      <c r="AW553">
        <v>1</v>
      </c>
      <c r="AZ553">
        <v>1</v>
      </c>
      <c r="BA553">
        <v>1</v>
      </c>
      <c r="BB553">
        <v>1</v>
      </c>
      <c r="BC553">
        <v>13.02</v>
      </c>
      <c r="BD553" t="s">
        <v>3</v>
      </c>
      <c r="BE553" t="s">
        <v>3</v>
      </c>
      <c r="BF553" t="s">
        <v>3</v>
      </c>
      <c r="BG553" t="s">
        <v>3</v>
      </c>
      <c r="BH553">
        <v>3</v>
      </c>
      <c r="BI553">
        <v>1</v>
      </c>
      <c r="BJ553" t="s">
        <v>592</v>
      </c>
      <c r="BM553">
        <v>80</v>
      </c>
      <c r="BN553">
        <v>0</v>
      </c>
      <c r="BO553" t="s">
        <v>590</v>
      </c>
      <c r="BP553">
        <v>1</v>
      </c>
      <c r="BQ553">
        <v>30</v>
      </c>
      <c r="BR553">
        <v>0</v>
      </c>
      <c r="BS553">
        <v>1</v>
      </c>
      <c r="BT553">
        <v>1</v>
      </c>
      <c r="BU553">
        <v>1</v>
      </c>
      <c r="BV553">
        <v>1</v>
      </c>
      <c r="BW553">
        <v>1</v>
      </c>
      <c r="BX553">
        <v>1</v>
      </c>
      <c r="BY553" t="s">
        <v>3</v>
      </c>
      <c r="BZ553">
        <v>0</v>
      </c>
      <c r="CA553">
        <v>0</v>
      </c>
      <c r="CB553" t="s">
        <v>3</v>
      </c>
      <c r="CE553">
        <v>30</v>
      </c>
      <c r="CF553">
        <v>0</v>
      </c>
      <c r="CG553">
        <v>0</v>
      </c>
      <c r="CM553">
        <v>0</v>
      </c>
      <c r="CN553" t="s">
        <v>3</v>
      </c>
      <c r="CO553">
        <v>0</v>
      </c>
      <c r="CP553">
        <f t="shared" si="477"/>
        <v>19.920000000000002</v>
      </c>
      <c r="CQ553">
        <f t="shared" si="478"/>
        <v>76.95</v>
      </c>
      <c r="CR553">
        <f t="shared" si="500"/>
        <v>0</v>
      </c>
      <c r="CS553">
        <f t="shared" si="479"/>
        <v>0</v>
      </c>
      <c r="CT553">
        <f t="shared" si="480"/>
        <v>0</v>
      </c>
      <c r="CU553">
        <f t="shared" si="481"/>
        <v>0</v>
      </c>
      <c r="CV553">
        <f t="shared" si="482"/>
        <v>0</v>
      </c>
      <c r="CW553">
        <f t="shared" si="483"/>
        <v>0</v>
      </c>
      <c r="CX553">
        <f t="shared" si="484"/>
        <v>0</v>
      </c>
      <c r="CY553">
        <f>S553*(BZ553/100)</f>
        <v>0</v>
      </c>
      <c r="CZ553">
        <f>S553*(CA553/100)</f>
        <v>0</v>
      </c>
      <c r="DC553" t="s">
        <v>3</v>
      </c>
      <c r="DD553" t="s">
        <v>3</v>
      </c>
      <c r="DE553" t="s">
        <v>3</v>
      </c>
      <c r="DF553" t="s">
        <v>3</v>
      </c>
      <c r="DG553" t="s">
        <v>3</v>
      </c>
      <c r="DH553" t="s">
        <v>3</v>
      </c>
      <c r="DI553" t="s">
        <v>3</v>
      </c>
      <c r="DJ553" t="s">
        <v>3</v>
      </c>
      <c r="DK553" t="s">
        <v>3</v>
      </c>
      <c r="DL553" t="s">
        <v>3</v>
      </c>
      <c r="DM553" t="s">
        <v>3</v>
      </c>
      <c r="DN553">
        <v>85</v>
      </c>
      <c r="DO553">
        <v>70</v>
      </c>
      <c r="DP553">
        <v>1</v>
      </c>
      <c r="DQ553">
        <v>1</v>
      </c>
      <c r="DU553">
        <v>1007</v>
      </c>
      <c r="DV553" t="s">
        <v>94</v>
      </c>
      <c r="DW553" t="s">
        <v>94</v>
      </c>
      <c r="DX553">
        <v>1</v>
      </c>
      <c r="DZ553" t="s">
        <v>3</v>
      </c>
      <c r="EA553" t="s">
        <v>3</v>
      </c>
      <c r="EB553" t="s">
        <v>3</v>
      </c>
      <c r="EC553" t="s">
        <v>3</v>
      </c>
      <c r="EE553">
        <v>126051541</v>
      </c>
      <c r="EF553">
        <v>30</v>
      </c>
      <c r="EG553" t="s">
        <v>23</v>
      </c>
      <c r="EH553">
        <v>0</v>
      </c>
      <c r="EI553" t="s">
        <v>3</v>
      </c>
      <c r="EJ553">
        <v>1</v>
      </c>
      <c r="EK553">
        <v>80</v>
      </c>
      <c r="EL553" t="s">
        <v>143</v>
      </c>
      <c r="EM553" t="s">
        <v>144</v>
      </c>
      <c r="EO553" t="s">
        <v>3</v>
      </c>
      <c r="EQ553">
        <v>0</v>
      </c>
      <c r="ER553">
        <v>5.91</v>
      </c>
      <c r="ES553">
        <v>5.91</v>
      </c>
      <c r="ET553">
        <v>0</v>
      </c>
      <c r="EU553">
        <v>0</v>
      </c>
      <c r="EV553">
        <v>0</v>
      </c>
      <c r="EW553">
        <v>0</v>
      </c>
      <c r="EX553">
        <v>0</v>
      </c>
      <c r="FQ553">
        <v>0</v>
      </c>
      <c r="FR553">
        <f t="shared" si="485"/>
        <v>0</v>
      </c>
      <c r="FS553">
        <v>0</v>
      </c>
      <c r="FX553">
        <v>85</v>
      </c>
      <c r="FY553">
        <v>70</v>
      </c>
      <c r="GA553" t="s">
        <v>3</v>
      </c>
      <c r="GD553">
        <v>0</v>
      </c>
      <c r="GF553">
        <v>-1236741395</v>
      </c>
      <c r="GG553">
        <v>2</v>
      </c>
      <c r="GH553">
        <v>1</v>
      </c>
      <c r="GI553">
        <v>2</v>
      </c>
      <c r="GJ553">
        <v>0</v>
      </c>
      <c r="GK553">
        <f>ROUND(R553*(S12)/100,2)</f>
        <v>0</v>
      </c>
      <c r="GL553">
        <f t="shared" si="486"/>
        <v>0</v>
      </c>
      <c r="GM553">
        <f t="shared" si="487"/>
        <v>19.920000000000002</v>
      </c>
      <c r="GN553">
        <f t="shared" si="488"/>
        <v>19.920000000000002</v>
      </c>
      <c r="GO553">
        <f t="shared" si="489"/>
        <v>0</v>
      </c>
      <c r="GP553">
        <f t="shared" si="490"/>
        <v>0</v>
      </c>
      <c r="GR553">
        <v>0</v>
      </c>
      <c r="GS553">
        <v>3</v>
      </c>
      <c r="GT553">
        <v>0</v>
      </c>
      <c r="GU553" t="s">
        <v>3</v>
      </c>
      <c r="GV553">
        <f t="shared" si="491"/>
        <v>0</v>
      </c>
      <c r="GW553">
        <v>1</v>
      </c>
      <c r="GX553">
        <f t="shared" si="492"/>
        <v>0</v>
      </c>
      <c r="HA553">
        <v>0</v>
      </c>
      <c r="HB553">
        <v>0</v>
      </c>
      <c r="HC553">
        <f t="shared" si="493"/>
        <v>0</v>
      </c>
      <c r="HE553" t="s">
        <v>3</v>
      </c>
      <c r="HF553" t="s">
        <v>3</v>
      </c>
      <c r="HM553" t="s">
        <v>3</v>
      </c>
      <c r="HN553" t="s">
        <v>3</v>
      </c>
      <c r="HO553" t="s">
        <v>3</v>
      </c>
      <c r="HP553" t="s">
        <v>3</v>
      </c>
      <c r="HQ553" t="s">
        <v>3</v>
      </c>
      <c r="IK553">
        <v>0</v>
      </c>
    </row>
    <row r="554" spans="1:255" x14ac:dyDescent="0.2">
      <c r="A554" s="2">
        <v>17</v>
      </c>
      <c r="B554" s="2">
        <v>1</v>
      </c>
      <c r="C554" s="2">
        <f>ROW(SmtRes!A579)</f>
        <v>579</v>
      </c>
      <c r="D554" s="2">
        <f>ROW(EtalonRes!A570)</f>
        <v>570</v>
      </c>
      <c r="E554" s="2" t="s">
        <v>191</v>
      </c>
      <c r="F554" s="2" t="s">
        <v>539</v>
      </c>
      <c r="G554" s="2" t="s">
        <v>540</v>
      </c>
      <c r="H554" s="2" t="s">
        <v>179</v>
      </c>
      <c r="I554" s="2">
        <v>9.98E-2</v>
      </c>
      <c r="J554" s="2">
        <v>0</v>
      </c>
      <c r="K554" s="2">
        <v>9.98E-2</v>
      </c>
      <c r="L554" s="2"/>
      <c r="M554" s="2"/>
      <c r="N554" s="2"/>
      <c r="O554" s="2">
        <f t="shared" si="463"/>
        <v>125.36</v>
      </c>
      <c r="P554" s="2">
        <f t="shared" si="464"/>
        <v>4.95</v>
      </c>
      <c r="Q554" s="2">
        <f>(ROUND((ROUND((((ET554*1.25))*AV554*I554),2)*BB554),2)+ROUND((ROUND(((AE554-((EU554*1.25)))*AV554*I554),2)*BS554),2))</f>
        <v>5.27</v>
      </c>
      <c r="R554" s="2">
        <f t="shared" si="465"/>
        <v>0.36</v>
      </c>
      <c r="S554" s="2">
        <f t="shared" si="466"/>
        <v>115.14</v>
      </c>
      <c r="T554" s="2">
        <f t="shared" si="467"/>
        <v>0</v>
      </c>
      <c r="U554" s="2">
        <f t="shared" si="468"/>
        <v>8.7225199999999994</v>
      </c>
      <c r="V554" s="2">
        <f t="shared" si="469"/>
        <v>0</v>
      </c>
      <c r="W554" s="2">
        <f t="shared" si="470"/>
        <v>0</v>
      </c>
      <c r="X554" s="2">
        <f t="shared" si="471"/>
        <v>97.87</v>
      </c>
      <c r="Y554" s="2">
        <f t="shared" si="472"/>
        <v>80.599999999999994</v>
      </c>
      <c r="Z554" s="2"/>
      <c r="AA554" s="2">
        <v>129761636</v>
      </c>
      <c r="AB554" s="2">
        <f t="shared" si="473"/>
        <v>1256.0550000000001</v>
      </c>
      <c r="AC554" s="2">
        <f t="shared" si="474"/>
        <v>49.55</v>
      </c>
      <c r="AD554" s="2">
        <f>ROUND(((((ET554*1.25))-((EU554*1.25)))+AE554),6)</f>
        <v>52.825000000000003</v>
      </c>
      <c r="AE554" s="2">
        <f>ROUND(((EU554*1.25)),6)</f>
        <v>3.6124999999999998</v>
      </c>
      <c r="AF554" s="2">
        <f>ROUND(((EV554*1.15)),6)</f>
        <v>1153.68</v>
      </c>
      <c r="AG554" s="2">
        <f t="shared" si="475"/>
        <v>0</v>
      </c>
      <c r="AH554" s="2">
        <f>((EW554*1.15))</f>
        <v>87.399999999999991</v>
      </c>
      <c r="AI554" s="2">
        <f>((EX554*1.25))</f>
        <v>0</v>
      </c>
      <c r="AJ554" s="2">
        <f t="shared" si="476"/>
        <v>0</v>
      </c>
      <c r="AK554" s="2">
        <v>1095.01</v>
      </c>
      <c r="AL554" s="2">
        <v>49.55</v>
      </c>
      <c r="AM554" s="2">
        <v>42.26</v>
      </c>
      <c r="AN554" s="2">
        <v>2.89</v>
      </c>
      <c r="AO554" s="2">
        <v>1003.2</v>
      </c>
      <c r="AP554" s="2">
        <v>0</v>
      </c>
      <c r="AQ554" s="2">
        <v>76</v>
      </c>
      <c r="AR554" s="2">
        <v>0</v>
      </c>
      <c r="AS554" s="2">
        <v>0</v>
      </c>
      <c r="AT554" s="2">
        <v>85</v>
      </c>
      <c r="AU554" s="2">
        <v>70</v>
      </c>
      <c r="AV554" s="2">
        <v>1</v>
      </c>
      <c r="AW554" s="2">
        <v>1</v>
      </c>
      <c r="AX554" s="2"/>
      <c r="AY554" s="2"/>
      <c r="AZ554" s="2">
        <v>1</v>
      </c>
      <c r="BA554" s="2">
        <v>1</v>
      </c>
      <c r="BB554" s="2">
        <v>1</v>
      </c>
      <c r="BC554" s="2">
        <v>1</v>
      </c>
      <c r="BD554" s="2" t="s">
        <v>3</v>
      </c>
      <c r="BE554" s="2" t="s">
        <v>3</v>
      </c>
      <c r="BF554" s="2" t="s">
        <v>3</v>
      </c>
      <c r="BG554" s="2" t="s">
        <v>3</v>
      </c>
      <c r="BH554" s="2">
        <v>0</v>
      </c>
      <c r="BI554" s="2">
        <v>1</v>
      </c>
      <c r="BJ554" s="2" t="s">
        <v>541</v>
      </c>
      <c r="BK554" s="2"/>
      <c r="BL554" s="2"/>
      <c r="BM554" s="2">
        <v>80</v>
      </c>
      <c r="BN554" s="2">
        <v>0</v>
      </c>
      <c r="BO554" s="2" t="s">
        <v>3</v>
      </c>
      <c r="BP554" s="2">
        <v>0</v>
      </c>
      <c r="BQ554" s="2">
        <v>30</v>
      </c>
      <c r="BR554" s="2">
        <v>0</v>
      </c>
      <c r="BS554" s="2">
        <v>1</v>
      </c>
      <c r="BT554" s="2">
        <v>1</v>
      </c>
      <c r="BU554" s="2">
        <v>1</v>
      </c>
      <c r="BV554" s="2">
        <v>1</v>
      </c>
      <c r="BW554" s="2">
        <v>1</v>
      </c>
      <c r="BX554" s="2">
        <v>1</v>
      </c>
      <c r="BY554" s="2" t="s">
        <v>3</v>
      </c>
      <c r="BZ554" s="2">
        <v>85</v>
      </c>
      <c r="CA554" s="2">
        <v>70</v>
      </c>
      <c r="CB554" s="2" t="s">
        <v>3</v>
      </c>
      <c r="CC554" s="2"/>
      <c r="CD554" s="2"/>
      <c r="CE554" s="2">
        <v>30</v>
      </c>
      <c r="CF554" s="2">
        <v>0</v>
      </c>
      <c r="CG554" s="2">
        <v>0</v>
      </c>
      <c r="CH554" s="2"/>
      <c r="CI554" s="2"/>
      <c r="CJ554" s="2"/>
      <c r="CK554" s="2"/>
      <c r="CL554" s="2"/>
      <c r="CM554" s="2">
        <v>0</v>
      </c>
      <c r="CN554" s="2" t="s">
        <v>1559</v>
      </c>
      <c r="CO554" s="2">
        <v>0</v>
      </c>
      <c r="CP554" s="2">
        <f t="shared" si="477"/>
        <v>125.36</v>
      </c>
      <c r="CQ554" s="2">
        <f t="shared" si="478"/>
        <v>49.55</v>
      </c>
      <c r="CR554" s="2">
        <f>(ROUND((ROUND((((ET554*1.25))*AV554*1),2)*BB554),2)+ROUND((ROUND(((AE554-((EU554*1.25)))*AV554*1),2)*BS554),2))</f>
        <v>52.83</v>
      </c>
      <c r="CS554" s="2">
        <f t="shared" si="479"/>
        <v>3.61</v>
      </c>
      <c r="CT554" s="2">
        <f t="shared" si="480"/>
        <v>1153.68</v>
      </c>
      <c r="CU554" s="2">
        <f t="shared" si="481"/>
        <v>0</v>
      </c>
      <c r="CV554" s="2">
        <f t="shared" si="482"/>
        <v>87.399999999999991</v>
      </c>
      <c r="CW554" s="2">
        <f t="shared" si="483"/>
        <v>0</v>
      </c>
      <c r="CX554" s="2">
        <f t="shared" si="484"/>
        <v>0</v>
      </c>
      <c r="CY554" s="2">
        <f>((S554*BZ554)/100)</f>
        <v>97.869</v>
      </c>
      <c r="CZ554" s="2">
        <f>((S554*CA554)/100)</f>
        <v>80.597999999999999</v>
      </c>
      <c r="DA554" s="2"/>
      <c r="DB554" s="2"/>
      <c r="DC554" s="2" t="s">
        <v>3</v>
      </c>
      <c r="DD554" s="2" t="s">
        <v>3</v>
      </c>
      <c r="DE554" s="2" t="s">
        <v>86</v>
      </c>
      <c r="DF554" s="2" t="s">
        <v>86</v>
      </c>
      <c r="DG554" s="2" t="s">
        <v>87</v>
      </c>
      <c r="DH554" s="2" t="s">
        <v>3</v>
      </c>
      <c r="DI554" s="2" t="s">
        <v>87</v>
      </c>
      <c r="DJ554" s="2" t="s">
        <v>86</v>
      </c>
      <c r="DK554" s="2" t="s">
        <v>3</v>
      </c>
      <c r="DL554" s="2" t="s">
        <v>3</v>
      </c>
      <c r="DM554" s="2" t="s">
        <v>3</v>
      </c>
      <c r="DN554" s="2">
        <v>0</v>
      </c>
      <c r="DO554" s="2">
        <v>0</v>
      </c>
      <c r="DP554" s="2">
        <v>1</v>
      </c>
      <c r="DQ554" s="2">
        <v>1</v>
      </c>
      <c r="DR554" s="2"/>
      <c r="DS554" s="2"/>
      <c r="DT554" s="2"/>
      <c r="DU554" s="2">
        <v>1013</v>
      </c>
      <c r="DV554" s="2" t="s">
        <v>179</v>
      </c>
      <c r="DW554" s="2" t="s">
        <v>179</v>
      </c>
      <c r="DX554" s="2">
        <v>1</v>
      </c>
      <c r="DY554" s="2"/>
      <c r="DZ554" s="2" t="s">
        <v>3</v>
      </c>
      <c r="EA554" s="2" t="s">
        <v>3</v>
      </c>
      <c r="EB554" s="2" t="s">
        <v>3</v>
      </c>
      <c r="EC554" s="2" t="s">
        <v>3</v>
      </c>
      <c r="ED554" s="2"/>
      <c r="EE554" s="2">
        <v>126051541</v>
      </c>
      <c r="EF554" s="2">
        <v>30</v>
      </c>
      <c r="EG554" s="2" t="s">
        <v>23</v>
      </c>
      <c r="EH554" s="2">
        <v>0</v>
      </c>
      <c r="EI554" s="2" t="s">
        <v>3</v>
      </c>
      <c r="EJ554" s="2">
        <v>1</v>
      </c>
      <c r="EK554" s="2">
        <v>80</v>
      </c>
      <c r="EL554" s="2" t="s">
        <v>143</v>
      </c>
      <c r="EM554" s="2" t="s">
        <v>144</v>
      </c>
      <c r="EN554" s="2"/>
      <c r="EO554" s="2" t="s">
        <v>90</v>
      </c>
      <c r="EP554" s="2"/>
      <c r="EQ554" s="2">
        <v>131072</v>
      </c>
      <c r="ER554" s="2">
        <v>1095.01</v>
      </c>
      <c r="ES554" s="2">
        <v>49.55</v>
      </c>
      <c r="ET554" s="2">
        <v>42.26</v>
      </c>
      <c r="EU554" s="2">
        <v>2.89</v>
      </c>
      <c r="EV554" s="2">
        <v>1003.2</v>
      </c>
      <c r="EW554" s="2">
        <v>76</v>
      </c>
      <c r="EX554" s="2">
        <v>0</v>
      </c>
      <c r="EY554" s="2">
        <v>0</v>
      </c>
      <c r="EZ554" s="2"/>
      <c r="FA554" s="2"/>
      <c r="FB554" s="2"/>
      <c r="FC554" s="2"/>
      <c r="FD554" s="2"/>
      <c r="FE554" s="2"/>
      <c r="FF554" s="2"/>
      <c r="FG554" s="2"/>
      <c r="FH554" s="2"/>
      <c r="FI554" s="2"/>
      <c r="FJ554" s="2"/>
      <c r="FK554" s="2"/>
      <c r="FL554" s="2"/>
      <c r="FM554" s="2"/>
      <c r="FN554" s="2"/>
      <c r="FO554" s="2"/>
      <c r="FP554" s="2"/>
      <c r="FQ554" s="2">
        <v>0</v>
      </c>
      <c r="FR554" s="2">
        <f t="shared" si="485"/>
        <v>0</v>
      </c>
      <c r="FS554" s="2">
        <v>0</v>
      </c>
      <c r="FT554" s="2"/>
      <c r="FU554" s="2"/>
      <c r="FV554" s="2"/>
      <c r="FW554" s="2"/>
      <c r="FX554" s="2">
        <v>85</v>
      </c>
      <c r="FY554" s="2">
        <v>70</v>
      </c>
      <c r="FZ554" s="2"/>
      <c r="GA554" s="2" t="s">
        <v>3</v>
      </c>
      <c r="GB554" s="2"/>
      <c r="GC554" s="2"/>
      <c r="GD554" s="2">
        <v>0</v>
      </c>
      <c r="GE554" s="2"/>
      <c r="GF554" s="2">
        <v>95600085</v>
      </c>
      <c r="GG554" s="2">
        <v>2</v>
      </c>
      <c r="GH554" s="2">
        <v>1</v>
      </c>
      <c r="GI554" s="2">
        <v>-2</v>
      </c>
      <c r="GJ554" s="2">
        <v>0</v>
      </c>
      <c r="GK554" s="2">
        <f>ROUND(R554*(R12)/100,2)</f>
        <v>0.63</v>
      </c>
      <c r="GL554" s="2">
        <f t="shared" si="486"/>
        <v>0</v>
      </c>
      <c r="GM554" s="2">
        <f t="shared" si="487"/>
        <v>304.45999999999998</v>
      </c>
      <c r="GN554" s="2">
        <f t="shared" si="488"/>
        <v>304.45999999999998</v>
      </c>
      <c r="GO554" s="2">
        <f t="shared" si="489"/>
        <v>0</v>
      </c>
      <c r="GP554" s="2">
        <f t="shared" si="490"/>
        <v>0</v>
      </c>
      <c r="GQ554" s="2"/>
      <c r="GR554" s="2">
        <v>0</v>
      </c>
      <c r="GS554" s="2">
        <v>0</v>
      </c>
      <c r="GT554" s="2">
        <v>0</v>
      </c>
      <c r="GU554" s="2" t="s">
        <v>3</v>
      </c>
      <c r="GV554" s="2">
        <f t="shared" si="491"/>
        <v>0</v>
      </c>
      <c r="GW554" s="2">
        <v>1</v>
      </c>
      <c r="GX554" s="2">
        <f t="shared" si="492"/>
        <v>0</v>
      </c>
      <c r="GY554" s="2"/>
      <c r="GZ554" s="2"/>
      <c r="HA554" s="2">
        <v>0</v>
      </c>
      <c r="HB554" s="2">
        <v>0</v>
      </c>
      <c r="HC554" s="2">
        <f t="shared" si="493"/>
        <v>0</v>
      </c>
      <c r="HD554" s="2"/>
      <c r="HE554" s="2" t="s">
        <v>3</v>
      </c>
      <c r="HF554" s="2" t="s">
        <v>3</v>
      </c>
      <c r="HG554" s="2"/>
      <c r="HH554" s="2"/>
      <c r="HI554" s="2"/>
      <c r="HJ554" s="2"/>
      <c r="HK554" s="2"/>
      <c r="HL554" s="2"/>
      <c r="HM554" s="2" t="s">
        <v>3</v>
      </c>
      <c r="HN554" s="2" t="s">
        <v>3</v>
      </c>
      <c r="HO554" s="2" t="s">
        <v>3</v>
      </c>
      <c r="HP554" s="2" t="s">
        <v>3</v>
      </c>
      <c r="HQ554" s="2" t="s">
        <v>3</v>
      </c>
      <c r="HR554" s="2"/>
      <c r="HS554" s="2"/>
      <c r="HT554" s="2"/>
      <c r="HU554" s="2"/>
      <c r="HV554" s="2"/>
      <c r="HW554" s="2"/>
      <c r="HX554" s="2"/>
      <c r="HY554" s="2"/>
      <c r="HZ554" s="2"/>
      <c r="IA554" s="2"/>
      <c r="IB554" s="2"/>
      <c r="IC554" s="2"/>
      <c r="ID554" s="2"/>
      <c r="IE554" s="2"/>
      <c r="IF554" s="2"/>
      <c r="IG554" s="2"/>
      <c r="IH554" s="2"/>
      <c r="II554" s="2"/>
      <c r="IJ554" s="2"/>
      <c r="IK554" s="2">
        <v>0</v>
      </c>
      <c r="IL554" s="2"/>
      <c r="IM554" s="2"/>
      <c r="IN554" s="2"/>
      <c r="IO554" s="2"/>
      <c r="IP554" s="2"/>
      <c r="IQ554" s="2"/>
      <c r="IR554" s="2"/>
      <c r="IS554" s="2"/>
      <c r="IT554" s="2"/>
      <c r="IU554" s="2"/>
    </row>
    <row r="555" spans="1:255" x14ac:dyDescent="0.2">
      <c r="A555">
        <v>17</v>
      </c>
      <c r="B555">
        <v>1</v>
      </c>
      <c r="C555">
        <f>ROW(SmtRes!A584)</f>
        <v>584</v>
      </c>
      <c r="D555">
        <f>ROW(EtalonRes!A576)</f>
        <v>576</v>
      </c>
      <c r="E555" t="s">
        <v>191</v>
      </c>
      <c r="F555" t="s">
        <v>539</v>
      </c>
      <c r="G555" t="s">
        <v>540</v>
      </c>
      <c r="H555" t="s">
        <v>179</v>
      </c>
      <c r="I555">
        <v>9.98E-2</v>
      </c>
      <c r="J555">
        <v>0</v>
      </c>
      <c r="K555">
        <v>9.98E-2</v>
      </c>
      <c r="O555">
        <f t="shared" si="463"/>
        <v>3486.38</v>
      </c>
      <c r="P555">
        <f t="shared" si="464"/>
        <v>100.34</v>
      </c>
      <c r="Q555">
        <f>(ROUND((ROUND((((ET555*1.25))*AV555*I555),2)*BB555),2)+ROUND((ROUND(((AE555-((EU555*1.25)))*AV555*I555),2)*BS555),2))</f>
        <v>43.53</v>
      </c>
      <c r="R555">
        <f t="shared" si="465"/>
        <v>10.45</v>
      </c>
      <c r="S555">
        <f t="shared" si="466"/>
        <v>3342.51</v>
      </c>
      <c r="T555">
        <f t="shared" si="467"/>
        <v>0</v>
      </c>
      <c r="U555">
        <f t="shared" si="468"/>
        <v>8.7225199999999994</v>
      </c>
      <c r="V555">
        <f t="shared" si="469"/>
        <v>0</v>
      </c>
      <c r="W555">
        <f t="shared" si="470"/>
        <v>0</v>
      </c>
      <c r="X555">
        <f t="shared" si="471"/>
        <v>2339.7600000000002</v>
      </c>
      <c r="Y555">
        <f t="shared" si="472"/>
        <v>1370.43</v>
      </c>
      <c r="AA555">
        <v>129761633</v>
      </c>
      <c r="AB555">
        <f t="shared" si="473"/>
        <v>1256.0550000000001</v>
      </c>
      <c r="AC555">
        <f t="shared" si="474"/>
        <v>49.55</v>
      </c>
      <c r="AD555">
        <f>ROUND(((((ET555*1.25))-((EU555*1.25)))+AE555),6)</f>
        <v>52.825000000000003</v>
      </c>
      <c r="AE555">
        <f>ROUND(((EU555*1.25)),6)</f>
        <v>3.6124999999999998</v>
      </c>
      <c r="AF555">
        <f>ROUND(((EV555*1.15)),6)</f>
        <v>1153.68</v>
      </c>
      <c r="AG555">
        <f t="shared" si="475"/>
        <v>0</v>
      </c>
      <c r="AH555">
        <f>((EW555*1.15))</f>
        <v>87.399999999999991</v>
      </c>
      <c r="AI555">
        <f>((EX555*1.25))</f>
        <v>0</v>
      </c>
      <c r="AJ555">
        <f t="shared" si="476"/>
        <v>0</v>
      </c>
      <c r="AK555">
        <v>1095.01</v>
      </c>
      <c r="AL555">
        <v>49.55</v>
      </c>
      <c r="AM555">
        <v>42.26</v>
      </c>
      <c r="AN555">
        <v>2.89</v>
      </c>
      <c r="AO555">
        <v>1003.2</v>
      </c>
      <c r="AP555">
        <v>0</v>
      </c>
      <c r="AQ555">
        <v>76</v>
      </c>
      <c r="AR555">
        <v>0</v>
      </c>
      <c r="AS555">
        <v>0</v>
      </c>
      <c r="AT555">
        <v>70</v>
      </c>
      <c r="AU555">
        <v>41</v>
      </c>
      <c r="AV555">
        <v>1</v>
      </c>
      <c r="AW555">
        <v>1</v>
      </c>
      <c r="AZ555">
        <v>1</v>
      </c>
      <c r="BA555">
        <v>29.03</v>
      </c>
      <c r="BB555">
        <v>8.26</v>
      </c>
      <c r="BC555">
        <v>20.27</v>
      </c>
      <c r="BD555" t="s">
        <v>3</v>
      </c>
      <c r="BE555" t="s">
        <v>3</v>
      </c>
      <c r="BF555" t="s">
        <v>3</v>
      </c>
      <c r="BG555" t="s">
        <v>3</v>
      </c>
      <c r="BH555">
        <v>0</v>
      </c>
      <c r="BI555">
        <v>1</v>
      </c>
      <c r="BJ555" t="s">
        <v>541</v>
      </c>
      <c r="BM555">
        <v>80</v>
      </c>
      <c r="BN555">
        <v>0</v>
      </c>
      <c r="BO555" t="s">
        <v>539</v>
      </c>
      <c r="BP555">
        <v>1</v>
      </c>
      <c r="BQ555">
        <v>30</v>
      </c>
      <c r="BR555">
        <v>0</v>
      </c>
      <c r="BS555">
        <v>29.03</v>
      </c>
      <c r="BT555">
        <v>1</v>
      </c>
      <c r="BU555">
        <v>1</v>
      </c>
      <c r="BV555">
        <v>1</v>
      </c>
      <c r="BW555">
        <v>1</v>
      </c>
      <c r="BX555">
        <v>1</v>
      </c>
      <c r="BY555" t="s">
        <v>3</v>
      </c>
      <c r="BZ555">
        <v>70</v>
      </c>
      <c r="CA555">
        <v>41</v>
      </c>
      <c r="CB555" t="s">
        <v>3</v>
      </c>
      <c r="CE555">
        <v>30</v>
      </c>
      <c r="CF555">
        <v>0</v>
      </c>
      <c r="CG555">
        <v>0</v>
      </c>
      <c r="CM555">
        <v>0</v>
      </c>
      <c r="CN555" t="s">
        <v>1559</v>
      </c>
      <c r="CO555">
        <v>0</v>
      </c>
      <c r="CP555">
        <f t="shared" si="477"/>
        <v>3486.38</v>
      </c>
      <c r="CQ555">
        <f t="shared" si="478"/>
        <v>1004.38</v>
      </c>
      <c r="CR555">
        <f>(ROUND((ROUND((((ET555*1.25))*AV555*1),2)*BB555),2)+ROUND((ROUND(((AE555-((EU555*1.25)))*AV555*1),2)*BS555),2))</f>
        <v>436.38</v>
      </c>
      <c r="CS555">
        <f t="shared" si="479"/>
        <v>104.8</v>
      </c>
      <c r="CT555">
        <f t="shared" si="480"/>
        <v>33491.33</v>
      </c>
      <c r="CU555">
        <f t="shared" si="481"/>
        <v>0</v>
      </c>
      <c r="CV555">
        <f t="shared" si="482"/>
        <v>87.399999999999991</v>
      </c>
      <c r="CW555">
        <f t="shared" si="483"/>
        <v>0</v>
      </c>
      <c r="CX555">
        <f t="shared" si="484"/>
        <v>0</v>
      </c>
      <c r="CY555">
        <f>S555*(BZ555/100)</f>
        <v>2339.7570000000001</v>
      </c>
      <c r="CZ555">
        <f>S555*(CA555/100)</f>
        <v>1370.4291000000001</v>
      </c>
      <c r="DC555" t="s">
        <v>3</v>
      </c>
      <c r="DD555" t="s">
        <v>3</v>
      </c>
      <c r="DE555" t="s">
        <v>86</v>
      </c>
      <c r="DF555" t="s">
        <v>86</v>
      </c>
      <c r="DG555" t="s">
        <v>87</v>
      </c>
      <c r="DH555" t="s">
        <v>3</v>
      </c>
      <c r="DI555" t="s">
        <v>87</v>
      </c>
      <c r="DJ555" t="s">
        <v>86</v>
      </c>
      <c r="DK555" t="s">
        <v>3</v>
      </c>
      <c r="DL555" t="s">
        <v>3</v>
      </c>
      <c r="DM555" t="s">
        <v>3</v>
      </c>
      <c r="DN555">
        <v>85</v>
      </c>
      <c r="DO555">
        <v>70</v>
      </c>
      <c r="DP555">
        <v>1</v>
      </c>
      <c r="DQ555">
        <v>1</v>
      </c>
      <c r="DU555">
        <v>1013</v>
      </c>
      <c r="DV555" t="s">
        <v>179</v>
      </c>
      <c r="DW555" t="s">
        <v>179</v>
      </c>
      <c r="DX555">
        <v>1</v>
      </c>
      <c r="DZ555" t="s">
        <v>3</v>
      </c>
      <c r="EA555" t="s">
        <v>3</v>
      </c>
      <c r="EB555" t="s">
        <v>3</v>
      </c>
      <c r="EC555" t="s">
        <v>3</v>
      </c>
      <c r="EE555">
        <v>126051541</v>
      </c>
      <c r="EF555">
        <v>30</v>
      </c>
      <c r="EG555" t="s">
        <v>23</v>
      </c>
      <c r="EH555">
        <v>0</v>
      </c>
      <c r="EI555" t="s">
        <v>3</v>
      </c>
      <c r="EJ555">
        <v>1</v>
      </c>
      <c r="EK555">
        <v>80</v>
      </c>
      <c r="EL555" t="s">
        <v>143</v>
      </c>
      <c r="EM555" t="s">
        <v>144</v>
      </c>
      <c r="EO555" t="s">
        <v>90</v>
      </c>
      <c r="EQ555">
        <v>131072</v>
      </c>
      <c r="ER555">
        <v>1095.01</v>
      </c>
      <c r="ES555">
        <v>49.55</v>
      </c>
      <c r="ET555">
        <v>42.26</v>
      </c>
      <c r="EU555">
        <v>2.89</v>
      </c>
      <c r="EV555">
        <v>1003.2</v>
      </c>
      <c r="EW555">
        <v>76</v>
      </c>
      <c r="EX555">
        <v>0</v>
      </c>
      <c r="EY555">
        <v>0</v>
      </c>
      <c r="FQ555">
        <v>0</v>
      </c>
      <c r="FR555">
        <f t="shared" si="485"/>
        <v>0</v>
      </c>
      <c r="FS555">
        <v>0</v>
      </c>
      <c r="FX555">
        <v>85</v>
      </c>
      <c r="FY555">
        <v>70</v>
      </c>
      <c r="GA555" t="s">
        <v>3</v>
      </c>
      <c r="GD555">
        <v>0</v>
      </c>
      <c r="GF555">
        <v>95600085</v>
      </c>
      <c r="GG555">
        <v>2</v>
      </c>
      <c r="GH555">
        <v>1</v>
      </c>
      <c r="GI555">
        <v>2</v>
      </c>
      <c r="GJ555">
        <v>0</v>
      </c>
      <c r="GK555">
        <f>ROUND(R555*(S12)/100,2)</f>
        <v>16.72</v>
      </c>
      <c r="GL555">
        <f t="shared" si="486"/>
        <v>0</v>
      </c>
      <c r="GM555">
        <f t="shared" si="487"/>
        <v>7213.29</v>
      </c>
      <c r="GN555">
        <f t="shared" si="488"/>
        <v>7213.29</v>
      </c>
      <c r="GO555">
        <f t="shared" si="489"/>
        <v>0</v>
      </c>
      <c r="GP555">
        <f t="shared" si="490"/>
        <v>0</v>
      </c>
      <c r="GR555">
        <v>0</v>
      </c>
      <c r="GS555">
        <v>3</v>
      </c>
      <c r="GT555">
        <v>0</v>
      </c>
      <c r="GU555" t="s">
        <v>3</v>
      </c>
      <c r="GV555">
        <f t="shared" si="491"/>
        <v>0</v>
      </c>
      <c r="GW555">
        <v>1</v>
      </c>
      <c r="GX555">
        <f t="shared" si="492"/>
        <v>0</v>
      </c>
      <c r="HA555">
        <v>0</v>
      </c>
      <c r="HB555">
        <v>0</v>
      </c>
      <c r="HC555">
        <f t="shared" si="493"/>
        <v>0</v>
      </c>
      <c r="HE555" t="s">
        <v>3</v>
      </c>
      <c r="HF555" t="s">
        <v>3</v>
      </c>
      <c r="HM555" t="s">
        <v>3</v>
      </c>
      <c r="HN555" t="s">
        <v>3</v>
      </c>
      <c r="HO555" t="s">
        <v>3</v>
      </c>
      <c r="HP555" t="s">
        <v>3</v>
      </c>
      <c r="HQ555" t="s">
        <v>3</v>
      </c>
      <c r="IK555">
        <v>0</v>
      </c>
    </row>
    <row r="556" spans="1:255" x14ac:dyDescent="0.2">
      <c r="A556" s="2">
        <v>18</v>
      </c>
      <c r="B556" s="2">
        <v>1</v>
      </c>
      <c r="C556" s="2">
        <v>578</v>
      </c>
      <c r="D556" s="2"/>
      <c r="E556" s="2" t="s">
        <v>195</v>
      </c>
      <c r="F556" s="2" t="s">
        <v>593</v>
      </c>
      <c r="G556" s="2" t="s">
        <v>594</v>
      </c>
      <c r="H556" s="2" t="s">
        <v>250</v>
      </c>
      <c r="I556" s="2">
        <f>I554*J556</f>
        <v>76</v>
      </c>
      <c r="J556" s="2">
        <v>761.52304609218436</v>
      </c>
      <c r="K556" s="2">
        <v>761.52304600000002</v>
      </c>
      <c r="L556" s="2"/>
      <c r="M556" s="2"/>
      <c r="N556" s="2"/>
      <c r="O556" s="2">
        <f t="shared" si="463"/>
        <v>927.2</v>
      </c>
      <c r="P556" s="2">
        <f t="shared" si="464"/>
        <v>927.2</v>
      </c>
      <c r="Q556" s="2">
        <f>(ROUND((ROUND(((ET556)*AV556*I556),2)*BB556),2)+ROUND((ROUND(((AE556-(EU556))*AV556*I556),2)*BS556),2))</f>
        <v>0</v>
      </c>
      <c r="R556" s="2">
        <f t="shared" si="465"/>
        <v>0</v>
      </c>
      <c r="S556" s="2">
        <f t="shared" si="466"/>
        <v>0</v>
      </c>
      <c r="T556" s="2">
        <f t="shared" si="467"/>
        <v>0</v>
      </c>
      <c r="U556" s="2">
        <f t="shared" si="468"/>
        <v>0</v>
      </c>
      <c r="V556" s="2">
        <f t="shared" si="469"/>
        <v>0</v>
      </c>
      <c r="W556" s="2">
        <f t="shared" si="470"/>
        <v>0</v>
      </c>
      <c r="X556" s="2">
        <f t="shared" si="471"/>
        <v>0</v>
      </c>
      <c r="Y556" s="2">
        <f t="shared" si="472"/>
        <v>0</v>
      </c>
      <c r="Z556" s="2"/>
      <c r="AA556" s="2">
        <v>129761636</v>
      </c>
      <c r="AB556" s="2">
        <f t="shared" si="473"/>
        <v>12.2</v>
      </c>
      <c r="AC556" s="2">
        <f t="shared" si="474"/>
        <v>12.2</v>
      </c>
      <c r="AD556" s="2">
        <f>ROUND((((ET556)-(EU556))+AE556),6)</f>
        <v>0</v>
      </c>
      <c r="AE556" s="2">
        <f>ROUND((EU556),6)</f>
        <v>0</v>
      </c>
      <c r="AF556" s="2">
        <f>ROUND((EV556),6)</f>
        <v>0</v>
      </c>
      <c r="AG556" s="2">
        <f t="shared" si="475"/>
        <v>0</v>
      </c>
      <c r="AH556" s="2">
        <f>(EW556)</f>
        <v>0</v>
      </c>
      <c r="AI556" s="2">
        <f>(EX556)</f>
        <v>0</v>
      </c>
      <c r="AJ556" s="2">
        <f t="shared" si="476"/>
        <v>0</v>
      </c>
      <c r="AK556" s="2">
        <v>12.2</v>
      </c>
      <c r="AL556" s="2">
        <v>12.2</v>
      </c>
      <c r="AM556" s="2">
        <v>0</v>
      </c>
      <c r="AN556" s="2">
        <v>0</v>
      </c>
      <c r="AO556" s="2">
        <v>0</v>
      </c>
      <c r="AP556" s="2">
        <v>0</v>
      </c>
      <c r="AQ556" s="2">
        <v>0</v>
      </c>
      <c r="AR556" s="2">
        <v>0</v>
      </c>
      <c r="AS556" s="2">
        <v>0</v>
      </c>
      <c r="AT556" s="2">
        <v>85</v>
      </c>
      <c r="AU556" s="2">
        <v>70</v>
      </c>
      <c r="AV556" s="2">
        <v>1</v>
      </c>
      <c r="AW556" s="2">
        <v>1</v>
      </c>
      <c r="AX556" s="2"/>
      <c r="AY556" s="2"/>
      <c r="AZ556" s="2">
        <v>1</v>
      </c>
      <c r="BA556" s="2">
        <v>1</v>
      </c>
      <c r="BB556" s="2">
        <v>1</v>
      </c>
      <c r="BC556" s="2">
        <v>1</v>
      </c>
      <c r="BD556" s="2" t="s">
        <v>3</v>
      </c>
      <c r="BE556" s="2" t="s">
        <v>3</v>
      </c>
      <c r="BF556" s="2" t="s">
        <v>3</v>
      </c>
      <c r="BG556" s="2" t="s">
        <v>3</v>
      </c>
      <c r="BH556" s="2">
        <v>3</v>
      </c>
      <c r="BI556" s="2">
        <v>1</v>
      </c>
      <c r="BJ556" s="2" t="s">
        <v>595</v>
      </c>
      <c r="BK556" s="2"/>
      <c r="BL556" s="2"/>
      <c r="BM556" s="2">
        <v>80</v>
      </c>
      <c r="BN556" s="2">
        <v>0</v>
      </c>
      <c r="BO556" s="2" t="s">
        <v>3</v>
      </c>
      <c r="BP556" s="2">
        <v>0</v>
      </c>
      <c r="BQ556" s="2">
        <v>30</v>
      </c>
      <c r="BR556" s="2">
        <v>0</v>
      </c>
      <c r="BS556" s="2">
        <v>1</v>
      </c>
      <c r="BT556" s="2">
        <v>1</v>
      </c>
      <c r="BU556" s="2">
        <v>1</v>
      </c>
      <c r="BV556" s="2">
        <v>1</v>
      </c>
      <c r="BW556" s="2">
        <v>1</v>
      </c>
      <c r="BX556" s="2">
        <v>1</v>
      </c>
      <c r="BY556" s="2" t="s">
        <v>3</v>
      </c>
      <c r="BZ556" s="2">
        <v>85</v>
      </c>
      <c r="CA556" s="2">
        <v>70</v>
      </c>
      <c r="CB556" s="2" t="s">
        <v>3</v>
      </c>
      <c r="CC556" s="2"/>
      <c r="CD556" s="2"/>
      <c r="CE556" s="2">
        <v>30</v>
      </c>
      <c r="CF556" s="2">
        <v>0</v>
      </c>
      <c r="CG556" s="2">
        <v>0</v>
      </c>
      <c r="CH556" s="2"/>
      <c r="CI556" s="2"/>
      <c r="CJ556" s="2"/>
      <c r="CK556" s="2"/>
      <c r="CL556" s="2"/>
      <c r="CM556" s="2">
        <v>0</v>
      </c>
      <c r="CN556" s="2" t="s">
        <v>3</v>
      </c>
      <c r="CO556" s="2">
        <v>0</v>
      </c>
      <c r="CP556" s="2">
        <f t="shared" si="477"/>
        <v>927.2</v>
      </c>
      <c r="CQ556" s="2">
        <f t="shared" si="478"/>
        <v>12.2</v>
      </c>
      <c r="CR556" s="2">
        <f>(ROUND((ROUND(((ET556)*AV556*1),2)*BB556),2)+ROUND((ROUND(((AE556-(EU556))*AV556*1),2)*BS556),2))</f>
        <v>0</v>
      </c>
      <c r="CS556" s="2">
        <f t="shared" si="479"/>
        <v>0</v>
      </c>
      <c r="CT556" s="2">
        <f t="shared" si="480"/>
        <v>0</v>
      </c>
      <c r="CU556" s="2">
        <f t="shared" si="481"/>
        <v>0</v>
      </c>
      <c r="CV556" s="2">
        <f t="shared" si="482"/>
        <v>0</v>
      </c>
      <c r="CW556" s="2">
        <f t="shared" si="483"/>
        <v>0</v>
      </c>
      <c r="CX556" s="2">
        <f t="shared" si="484"/>
        <v>0</v>
      </c>
      <c r="CY556" s="2">
        <f>((S556*BZ556)/100)</f>
        <v>0</v>
      </c>
      <c r="CZ556" s="2">
        <f>((S556*CA556)/100)</f>
        <v>0</v>
      </c>
      <c r="DA556" s="2"/>
      <c r="DB556" s="2"/>
      <c r="DC556" s="2" t="s">
        <v>3</v>
      </c>
      <c r="DD556" s="2" t="s">
        <v>3</v>
      </c>
      <c r="DE556" s="2" t="s">
        <v>3</v>
      </c>
      <c r="DF556" s="2" t="s">
        <v>3</v>
      </c>
      <c r="DG556" s="2" t="s">
        <v>3</v>
      </c>
      <c r="DH556" s="2" t="s">
        <v>3</v>
      </c>
      <c r="DI556" s="2" t="s">
        <v>3</v>
      </c>
      <c r="DJ556" s="2" t="s">
        <v>3</v>
      </c>
      <c r="DK556" s="2" t="s">
        <v>3</v>
      </c>
      <c r="DL556" s="2" t="s">
        <v>3</v>
      </c>
      <c r="DM556" s="2" t="s">
        <v>3</v>
      </c>
      <c r="DN556" s="2">
        <v>0</v>
      </c>
      <c r="DO556" s="2">
        <v>0</v>
      </c>
      <c r="DP556" s="2">
        <v>1</v>
      </c>
      <c r="DQ556" s="2">
        <v>1</v>
      </c>
      <c r="DR556" s="2"/>
      <c r="DS556" s="2"/>
      <c r="DT556" s="2"/>
      <c r="DU556" s="2">
        <v>1010</v>
      </c>
      <c r="DV556" s="2" t="s">
        <v>250</v>
      </c>
      <c r="DW556" s="2" t="s">
        <v>250</v>
      </c>
      <c r="DX556" s="2">
        <v>1</v>
      </c>
      <c r="DY556" s="2"/>
      <c r="DZ556" s="2" t="s">
        <v>3</v>
      </c>
      <c r="EA556" s="2" t="s">
        <v>3</v>
      </c>
      <c r="EB556" s="2" t="s">
        <v>3</v>
      </c>
      <c r="EC556" s="2" t="s">
        <v>3</v>
      </c>
      <c r="ED556" s="2"/>
      <c r="EE556" s="2">
        <v>126051541</v>
      </c>
      <c r="EF556" s="2">
        <v>30</v>
      </c>
      <c r="EG556" s="2" t="s">
        <v>23</v>
      </c>
      <c r="EH556" s="2">
        <v>0</v>
      </c>
      <c r="EI556" s="2" t="s">
        <v>3</v>
      </c>
      <c r="EJ556" s="2">
        <v>1</v>
      </c>
      <c r="EK556" s="2">
        <v>80</v>
      </c>
      <c r="EL556" s="2" t="s">
        <v>143</v>
      </c>
      <c r="EM556" s="2" t="s">
        <v>144</v>
      </c>
      <c r="EN556" s="2"/>
      <c r="EO556" s="2" t="s">
        <v>3</v>
      </c>
      <c r="EP556" s="2"/>
      <c r="EQ556" s="2">
        <v>0</v>
      </c>
      <c r="ER556" s="2">
        <v>12.2</v>
      </c>
      <c r="ES556" s="2">
        <v>12.2</v>
      </c>
      <c r="ET556" s="2">
        <v>0</v>
      </c>
      <c r="EU556" s="2">
        <v>0</v>
      </c>
      <c r="EV556" s="2">
        <v>0</v>
      </c>
      <c r="EW556" s="2">
        <v>0</v>
      </c>
      <c r="EX556" s="2">
        <v>0</v>
      </c>
      <c r="EY556" s="2"/>
      <c r="EZ556" s="2"/>
      <c r="FA556" s="2"/>
      <c r="FB556" s="2"/>
      <c r="FC556" s="2"/>
      <c r="FD556" s="2"/>
      <c r="FE556" s="2"/>
      <c r="FF556" s="2"/>
      <c r="FG556" s="2"/>
      <c r="FH556" s="2"/>
      <c r="FI556" s="2"/>
      <c r="FJ556" s="2"/>
      <c r="FK556" s="2"/>
      <c r="FL556" s="2"/>
      <c r="FM556" s="2"/>
      <c r="FN556" s="2"/>
      <c r="FO556" s="2"/>
      <c r="FP556" s="2"/>
      <c r="FQ556" s="2">
        <v>0</v>
      </c>
      <c r="FR556" s="2">
        <f t="shared" si="485"/>
        <v>0</v>
      </c>
      <c r="FS556" s="2">
        <v>0</v>
      </c>
      <c r="FT556" s="2"/>
      <c r="FU556" s="2"/>
      <c r="FV556" s="2"/>
      <c r="FW556" s="2"/>
      <c r="FX556" s="2">
        <v>85</v>
      </c>
      <c r="FY556" s="2">
        <v>70</v>
      </c>
      <c r="FZ556" s="2"/>
      <c r="GA556" s="2" t="s">
        <v>3</v>
      </c>
      <c r="GB556" s="2"/>
      <c r="GC556" s="2"/>
      <c r="GD556" s="2">
        <v>0</v>
      </c>
      <c r="GE556" s="2"/>
      <c r="GF556" s="2">
        <v>-1926735092</v>
      </c>
      <c r="GG556" s="2">
        <v>2</v>
      </c>
      <c r="GH556" s="2">
        <v>1</v>
      </c>
      <c r="GI556" s="2">
        <v>-2</v>
      </c>
      <c r="GJ556" s="2">
        <v>0</v>
      </c>
      <c r="GK556" s="2">
        <f>ROUND(R556*(R12)/100,2)</f>
        <v>0</v>
      </c>
      <c r="GL556" s="2">
        <f t="shared" si="486"/>
        <v>0</v>
      </c>
      <c r="GM556" s="2">
        <f t="shared" si="487"/>
        <v>927.2</v>
      </c>
      <c r="GN556" s="2">
        <f t="shared" si="488"/>
        <v>927.2</v>
      </c>
      <c r="GO556" s="2">
        <f t="shared" si="489"/>
        <v>0</v>
      </c>
      <c r="GP556" s="2">
        <f t="shared" si="490"/>
        <v>0</v>
      </c>
      <c r="GQ556" s="2"/>
      <c r="GR556" s="2">
        <v>0</v>
      </c>
      <c r="GS556" s="2">
        <v>0</v>
      </c>
      <c r="GT556" s="2">
        <v>0</v>
      </c>
      <c r="GU556" s="2" t="s">
        <v>3</v>
      </c>
      <c r="GV556" s="2">
        <f t="shared" si="491"/>
        <v>0</v>
      </c>
      <c r="GW556" s="2">
        <v>1</v>
      </c>
      <c r="GX556" s="2">
        <f t="shared" si="492"/>
        <v>0</v>
      </c>
      <c r="GY556" s="2"/>
      <c r="GZ556" s="2"/>
      <c r="HA556" s="2">
        <v>0</v>
      </c>
      <c r="HB556" s="2">
        <v>0</v>
      </c>
      <c r="HC556" s="2">
        <f t="shared" si="493"/>
        <v>0</v>
      </c>
      <c r="HD556" s="2"/>
      <c r="HE556" s="2" t="s">
        <v>3</v>
      </c>
      <c r="HF556" s="2" t="s">
        <v>3</v>
      </c>
      <c r="HG556" s="2"/>
      <c r="HH556" s="2"/>
      <c r="HI556" s="2"/>
      <c r="HJ556" s="2"/>
      <c r="HK556" s="2"/>
      <c r="HL556" s="2"/>
      <c r="HM556" s="2" t="s">
        <v>3</v>
      </c>
      <c r="HN556" s="2" t="s">
        <v>3</v>
      </c>
      <c r="HO556" s="2" t="s">
        <v>3</v>
      </c>
      <c r="HP556" s="2" t="s">
        <v>3</v>
      </c>
      <c r="HQ556" s="2" t="s">
        <v>3</v>
      </c>
      <c r="HR556" s="2"/>
      <c r="HS556" s="2"/>
      <c r="HT556" s="2"/>
      <c r="HU556" s="2"/>
      <c r="HV556" s="2"/>
      <c r="HW556" s="2"/>
      <c r="HX556" s="2"/>
      <c r="HY556" s="2"/>
      <c r="HZ556" s="2"/>
      <c r="IA556" s="2"/>
      <c r="IB556" s="2"/>
      <c r="IC556" s="2"/>
      <c r="ID556" s="2"/>
      <c r="IE556" s="2"/>
      <c r="IF556" s="2"/>
      <c r="IG556" s="2"/>
      <c r="IH556" s="2"/>
      <c r="II556" s="2"/>
      <c r="IJ556" s="2"/>
      <c r="IK556" s="2">
        <v>0</v>
      </c>
      <c r="IL556" s="2"/>
      <c r="IM556" s="2"/>
      <c r="IN556" s="2"/>
      <c r="IO556" s="2"/>
      <c r="IP556" s="2"/>
      <c r="IQ556" s="2"/>
      <c r="IR556" s="2"/>
      <c r="IS556" s="2"/>
      <c r="IT556" s="2"/>
      <c r="IU556" s="2"/>
    </row>
    <row r="557" spans="1:255" x14ac:dyDescent="0.2">
      <c r="A557">
        <v>18</v>
      </c>
      <c r="B557">
        <v>1</v>
      </c>
      <c r="C557">
        <v>583</v>
      </c>
      <c r="E557" t="s">
        <v>195</v>
      </c>
      <c r="F557" t="s">
        <v>593</v>
      </c>
      <c r="G557" t="s">
        <v>594</v>
      </c>
      <c r="H557" t="s">
        <v>250</v>
      </c>
      <c r="I557">
        <f>I555*J557</f>
        <v>76</v>
      </c>
      <c r="J557">
        <v>761.52304609218436</v>
      </c>
      <c r="K557">
        <v>761.52304600000002</v>
      </c>
      <c r="O557">
        <f t="shared" si="463"/>
        <v>10227.02</v>
      </c>
      <c r="P557">
        <f t="shared" si="464"/>
        <v>10227.02</v>
      </c>
      <c r="Q557">
        <f>(ROUND((ROUND(((ET557)*AV557*I557),2)*BB557),2)+ROUND((ROUND(((AE557-(EU557))*AV557*I557),2)*BS557),2))</f>
        <v>0</v>
      </c>
      <c r="R557">
        <f t="shared" si="465"/>
        <v>0</v>
      </c>
      <c r="S557">
        <f t="shared" si="466"/>
        <v>0</v>
      </c>
      <c r="T557">
        <f t="shared" si="467"/>
        <v>0</v>
      </c>
      <c r="U557">
        <f t="shared" si="468"/>
        <v>0</v>
      </c>
      <c r="V557">
        <f t="shared" si="469"/>
        <v>0</v>
      </c>
      <c r="W557">
        <f t="shared" si="470"/>
        <v>0</v>
      </c>
      <c r="X557">
        <f t="shared" si="471"/>
        <v>0</v>
      </c>
      <c r="Y557">
        <f t="shared" si="472"/>
        <v>0</v>
      </c>
      <c r="AA557">
        <v>129761633</v>
      </c>
      <c r="AB557">
        <f t="shared" si="473"/>
        <v>12.2</v>
      </c>
      <c r="AC557">
        <f t="shared" si="474"/>
        <v>12.2</v>
      </c>
      <c r="AD557">
        <f>ROUND((((ET557)-(EU557))+AE557),6)</f>
        <v>0</v>
      </c>
      <c r="AE557">
        <f>ROUND((EU557),6)</f>
        <v>0</v>
      </c>
      <c r="AF557">
        <f>ROUND((EV557),6)</f>
        <v>0</v>
      </c>
      <c r="AG557">
        <f t="shared" si="475"/>
        <v>0</v>
      </c>
      <c r="AH557">
        <f>(EW557)</f>
        <v>0</v>
      </c>
      <c r="AI557">
        <f>(EX557)</f>
        <v>0</v>
      </c>
      <c r="AJ557">
        <f t="shared" si="476"/>
        <v>0</v>
      </c>
      <c r="AK557">
        <v>12.2</v>
      </c>
      <c r="AL557">
        <v>12.2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1</v>
      </c>
      <c r="AW557">
        <v>1</v>
      </c>
      <c r="AZ557">
        <v>1</v>
      </c>
      <c r="BA557">
        <v>1</v>
      </c>
      <c r="BB557">
        <v>1</v>
      </c>
      <c r="BC557">
        <v>11.03</v>
      </c>
      <c r="BD557" t="s">
        <v>3</v>
      </c>
      <c r="BE557" t="s">
        <v>3</v>
      </c>
      <c r="BF557" t="s">
        <v>3</v>
      </c>
      <c r="BG557" t="s">
        <v>3</v>
      </c>
      <c r="BH557">
        <v>3</v>
      </c>
      <c r="BI557">
        <v>1</v>
      </c>
      <c r="BJ557" t="s">
        <v>595</v>
      </c>
      <c r="BM557">
        <v>80</v>
      </c>
      <c r="BN557">
        <v>0</v>
      </c>
      <c r="BO557" t="s">
        <v>593</v>
      </c>
      <c r="BP557">
        <v>1</v>
      </c>
      <c r="BQ557">
        <v>30</v>
      </c>
      <c r="BR557">
        <v>0</v>
      </c>
      <c r="BS557">
        <v>1</v>
      </c>
      <c r="BT557">
        <v>1</v>
      </c>
      <c r="BU557">
        <v>1</v>
      </c>
      <c r="BV557">
        <v>1</v>
      </c>
      <c r="BW557">
        <v>1</v>
      </c>
      <c r="BX557">
        <v>1</v>
      </c>
      <c r="BY557" t="s">
        <v>3</v>
      </c>
      <c r="BZ557">
        <v>0</v>
      </c>
      <c r="CA557">
        <v>0</v>
      </c>
      <c r="CB557" t="s">
        <v>3</v>
      </c>
      <c r="CE557">
        <v>30</v>
      </c>
      <c r="CF557">
        <v>0</v>
      </c>
      <c r="CG557">
        <v>0</v>
      </c>
      <c r="CM557">
        <v>0</v>
      </c>
      <c r="CN557" t="s">
        <v>3</v>
      </c>
      <c r="CO557">
        <v>0</v>
      </c>
      <c r="CP557">
        <f t="shared" si="477"/>
        <v>10227.02</v>
      </c>
      <c r="CQ557">
        <f t="shared" si="478"/>
        <v>134.57</v>
      </c>
      <c r="CR557">
        <f>(ROUND((ROUND(((ET557)*AV557*1),2)*BB557),2)+ROUND((ROUND(((AE557-(EU557))*AV557*1),2)*BS557),2))</f>
        <v>0</v>
      </c>
      <c r="CS557">
        <f t="shared" si="479"/>
        <v>0</v>
      </c>
      <c r="CT557">
        <f t="shared" si="480"/>
        <v>0</v>
      </c>
      <c r="CU557">
        <f t="shared" si="481"/>
        <v>0</v>
      </c>
      <c r="CV557">
        <f t="shared" si="482"/>
        <v>0</v>
      </c>
      <c r="CW557">
        <f t="shared" si="483"/>
        <v>0</v>
      </c>
      <c r="CX557">
        <f t="shared" si="484"/>
        <v>0</v>
      </c>
      <c r="CY557">
        <f>S557*(BZ557/100)</f>
        <v>0</v>
      </c>
      <c r="CZ557">
        <f>S557*(CA557/100)</f>
        <v>0</v>
      </c>
      <c r="DC557" t="s">
        <v>3</v>
      </c>
      <c r="DD557" t="s">
        <v>3</v>
      </c>
      <c r="DE557" t="s">
        <v>3</v>
      </c>
      <c r="DF557" t="s">
        <v>3</v>
      </c>
      <c r="DG557" t="s">
        <v>3</v>
      </c>
      <c r="DH557" t="s">
        <v>3</v>
      </c>
      <c r="DI557" t="s">
        <v>3</v>
      </c>
      <c r="DJ557" t="s">
        <v>3</v>
      </c>
      <c r="DK557" t="s">
        <v>3</v>
      </c>
      <c r="DL557" t="s">
        <v>3</v>
      </c>
      <c r="DM557" t="s">
        <v>3</v>
      </c>
      <c r="DN557">
        <v>85</v>
      </c>
      <c r="DO557">
        <v>70</v>
      </c>
      <c r="DP557">
        <v>1</v>
      </c>
      <c r="DQ557">
        <v>1</v>
      </c>
      <c r="DU557">
        <v>1010</v>
      </c>
      <c r="DV557" t="s">
        <v>250</v>
      </c>
      <c r="DW557" t="s">
        <v>250</v>
      </c>
      <c r="DX557">
        <v>1</v>
      </c>
      <c r="DZ557" t="s">
        <v>3</v>
      </c>
      <c r="EA557" t="s">
        <v>3</v>
      </c>
      <c r="EB557" t="s">
        <v>3</v>
      </c>
      <c r="EC557" t="s">
        <v>3</v>
      </c>
      <c r="EE557">
        <v>126051541</v>
      </c>
      <c r="EF557">
        <v>30</v>
      </c>
      <c r="EG557" t="s">
        <v>23</v>
      </c>
      <c r="EH557">
        <v>0</v>
      </c>
      <c r="EI557" t="s">
        <v>3</v>
      </c>
      <c r="EJ557">
        <v>1</v>
      </c>
      <c r="EK557">
        <v>80</v>
      </c>
      <c r="EL557" t="s">
        <v>143</v>
      </c>
      <c r="EM557" t="s">
        <v>144</v>
      </c>
      <c r="EO557" t="s">
        <v>3</v>
      </c>
      <c r="EQ557">
        <v>0</v>
      </c>
      <c r="ER557">
        <v>12.2</v>
      </c>
      <c r="ES557">
        <v>12.2</v>
      </c>
      <c r="ET557">
        <v>0</v>
      </c>
      <c r="EU557">
        <v>0</v>
      </c>
      <c r="EV557">
        <v>0</v>
      </c>
      <c r="EW557">
        <v>0</v>
      </c>
      <c r="EX557">
        <v>0</v>
      </c>
      <c r="FQ557">
        <v>0</v>
      </c>
      <c r="FR557">
        <f t="shared" si="485"/>
        <v>0</v>
      </c>
      <c r="FS557">
        <v>0</v>
      </c>
      <c r="FX557">
        <v>85</v>
      </c>
      <c r="FY557">
        <v>70</v>
      </c>
      <c r="GA557" t="s">
        <v>3</v>
      </c>
      <c r="GD557">
        <v>0</v>
      </c>
      <c r="GF557">
        <v>-1926735092</v>
      </c>
      <c r="GG557">
        <v>2</v>
      </c>
      <c r="GH557">
        <v>1</v>
      </c>
      <c r="GI557">
        <v>2</v>
      </c>
      <c r="GJ557">
        <v>0</v>
      </c>
      <c r="GK557">
        <f>ROUND(R557*(S12)/100,2)</f>
        <v>0</v>
      </c>
      <c r="GL557">
        <f t="shared" si="486"/>
        <v>0</v>
      </c>
      <c r="GM557">
        <f t="shared" si="487"/>
        <v>10227.02</v>
      </c>
      <c r="GN557">
        <f t="shared" si="488"/>
        <v>10227.02</v>
      </c>
      <c r="GO557">
        <f t="shared" si="489"/>
        <v>0</v>
      </c>
      <c r="GP557">
        <f t="shared" si="490"/>
        <v>0</v>
      </c>
      <c r="GR557">
        <v>0</v>
      </c>
      <c r="GS557">
        <v>3</v>
      </c>
      <c r="GT557">
        <v>0</v>
      </c>
      <c r="GU557" t="s">
        <v>3</v>
      </c>
      <c r="GV557">
        <f t="shared" si="491"/>
        <v>0</v>
      </c>
      <c r="GW557">
        <v>1</v>
      </c>
      <c r="GX557">
        <f t="shared" si="492"/>
        <v>0</v>
      </c>
      <c r="HA557">
        <v>0</v>
      </c>
      <c r="HB557">
        <v>0</v>
      </c>
      <c r="HC557">
        <f t="shared" si="493"/>
        <v>0</v>
      </c>
      <c r="HE557" t="s">
        <v>3</v>
      </c>
      <c r="HF557" t="s">
        <v>3</v>
      </c>
      <c r="HM557" t="s">
        <v>3</v>
      </c>
      <c r="HN557" t="s">
        <v>3</v>
      </c>
      <c r="HO557" t="s">
        <v>3</v>
      </c>
      <c r="HP557" t="s">
        <v>3</v>
      </c>
      <c r="HQ557" t="s">
        <v>3</v>
      </c>
      <c r="IK557">
        <v>0</v>
      </c>
    </row>
    <row r="558" spans="1:255" x14ac:dyDescent="0.2">
      <c r="A558" s="2">
        <v>17</v>
      </c>
      <c r="B558" s="2">
        <v>1</v>
      </c>
      <c r="C558" s="2">
        <f>ROW(SmtRes!A590)</f>
        <v>590</v>
      </c>
      <c r="D558" s="2">
        <f>ROW(EtalonRes!A582)</f>
        <v>582</v>
      </c>
      <c r="E558" s="2" t="s">
        <v>196</v>
      </c>
      <c r="F558" s="2" t="s">
        <v>513</v>
      </c>
      <c r="G558" s="2" t="s">
        <v>514</v>
      </c>
      <c r="H558" s="2" t="s">
        <v>515</v>
      </c>
      <c r="I558" s="2">
        <v>0.46500000000000002</v>
      </c>
      <c r="J558" s="2">
        <v>0</v>
      </c>
      <c r="K558" s="2">
        <v>0.46500000000000002</v>
      </c>
      <c r="L558" s="2"/>
      <c r="M558" s="2"/>
      <c r="N558" s="2"/>
      <c r="O558" s="2">
        <f t="shared" si="463"/>
        <v>13.65</v>
      </c>
      <c r="P558" s="2">
        <f t="shared" si="464"/>
        <v>0.49</v>
      </c>
      <c r="Q558" s="2">
        <f>(ROUND((ROUND((((ET558*1.25))*AV558*I558),2)*BB558),2)+ROUND((ROUND(((AE558-((EU558*1.25)))*AV558*I558),2)*BS558),2))</f>
        <v>8.82</v>
      </c>
      <c r="R558" s="2">
        <f t="shared" si="465"/>
        <v>2.2000000000000002</v>
      </c>
      <c r="S558" s="2">
        <f t="shared" si="466"/>
        <v>4.34</v>
      </c>
      <c r="T558" s="2">
        <f t="shared" si="467"/>
        <v>0</v>
      </c>
      <c r="U558" s="2">
        <f t="shared" si="468"/>
        <v>0.417105</v>
      </c>
      <c r="V558" s="2">
        <f t="shared" si="469"/>
        <v>0</v>
      </c>
      <c r="W558" s="2">
        <f t="shared" si="470"/>
        <v>0</v>
      </c>
      <c r="X558" s="2">
        <f t="shared" si="471"/>
        <v>3.95</v>
      </c>
      <c r="Y558" s="2">
        <f t="shared" si="472"/>
        <v>3.04</v>
      </c>
      <c r="Z558" s="2"/>
      <c r="AA558" s="2">
        <v>129761636</v>
      </c>
      <c r="AB558" s="2">
        <f t="shared" si="473"/>
        <v>29.360499999999998</v>
      </c>
      <c r="AC558" s="2">
        <f t="shared" si="474"/>
        <v>1.06</v>
      </c>
      <c r="AD558" s="2">
        <f>ROUND(((((ET558*1.25))-((EU558*1.25)))+AE558),6)</f>
        <v>18.962499999999999</v>
      </c>
      <c r="AE558" s="2">
        <f>ROUND(((EU558*1.25)),6)</f>
        <v>4.7249999999999996</v>
      </c>
      <c r="AF558" s="2">
        <f>ROUND(((EV558*1.15)),6)</f>
        <v>9.3379999999999992</v>
      </c>
      <c r="AG558" s="2">
        <f t="shared" si="475"/>
        <v>0</v>
      </c>
      <c r="AH558" s="2">
        <f>((EW558*1.15))</f>
        <v>0.89699999999999991</v>
      </c>
      <c r="AI558" s="2">
        <f>((EX558*1.25))</f>
        <v>0</v>
      </c>
      <c r="AJ558" s="2">
        <f t="shared" si="476"/>
        <v>0</v>
      </c>
      <c r="AK558" s="2">
        <v>24.35</v>
      </c>
      <c r="AL558" s="2">
        <v>1.06</v>
      </c>
      <c r="AM558" s="2">
        <v>15.17</v>
      </c>
      <c r="AN558" s="2">
        <v>3.78</v>
      </c>
      <c r="AO558" s="2">
        <v>8.1199999999999992</v>
      </c>
      <c r="AP558" s="2">
        <v>0</v>
      </c>
      <c r="AQ558" s="2">
        <v>0.78</v>
      </c>
      <c r="AR558" s="2">
        <v>0</v>
      </c>
      <c r="AS558" s="2">
        <v>0</v>
      </c>
      <c r="AT558" s="2">
        <v>91</v>
      </c>
      <c r="AU558" s="2">
        <v>70</v>
      </c>
      <c r="AV558" s="2">
        <v>1</v>
      </c>
      <c r="AW558" s="2">
        <v>1</v>
      </c>
      <c r="AX558" s="2"/>
      <c r="AY558" s="2"/>
      <c r="AZ558" s="2">
        <v>1</v>
      </c>
      <c r="BA558" s="2">
        <v>1</v>
      </c>
      <c r="BB558" s="2">
        <v>1</v>
      </c>
      <c r="BC558" s="2">
        <v>1</v>
      </c>
      <c r="BD558" s="2" t="s">
        <v>3</v>
      </c>
      <c r="BE558" s="2" t="s">
        <v>3</v>
      </c>
      <c r="BF558" s="2" t="s">
        <v>3</v>
      </c>
      <c r="BG558" s="2" t="s">
        <v>3</v>
      </c>
      <c r="BH558" s="2">
        <v>0</v>
      </c>
      <c r="BI558" s="2">
        <v>1</v>
      </c>
      <c r="BJ558" s="2" t="s">
        <v>516</v>
      </c>
      <c r="BK558" s="2"/>
      <c r="BL558" s="2"/>
      <c r="BM558" s="2">
        <v>64</v>
      </c>
      <c r="BN558" s="2">
        <v>0</v>
      </c>
      <c r="BO558" s="2" t="s">
        <v>3</v>
      </c>
      <c r="BP558" s="2">
        <v>0</v>
      </c>
      <c r="BQ558" s="2">
        <v>30</v>
      </c>
      <c r="BR558" s="2">
        <v>0</v>
      </c>
      <c r="BS558" s="2">
        <v>1</v>
      </c>
      <c r="BT558" s="2">
        <v>1</v>
      </c>
      <c r="BU558" s="2">
        <v>1</v>
      </c>
      <c r="BV558" s="2">
        <v>1</v>
      </c>
      <c r="BW558" s="2">
        <v>1</v>
      </c>
      <c r="BX558" s="2">
        <v>1</v>
      </c>
      <c r="BY558" s="2" t="s">
        <v>3</v>
      </c>
      <c r="BZ558" s="2">
        <v>91</v>
      </c>
      <c r="CA558" s="2">
        <v>70</v>
      </c>
      <c r="CB558" s="2" t="s">
        <v>3</v>
      </c>
      <c r="CC558" s="2"/>
      <c r="CD558" s="2"/>
      <c r="CE558" s="2">
        <v>30</v>
      </c>
      <c r="CF558" s="2">
        <v>0</v>
      </c>
      <c r="CG558" s="2">
        <v>0</v>
      </c>
      <c r="CH558" s="2"/>
      <c r="CI558" s="2"/>
      <c r="CJ558" s="2"/>
      <c r="CK558" s="2"/>
      <c r="CL558" s="2"/>
      <c r="CM558" s="2">
        <v>0</v>
      </c>
      <c r="CN558" s="2" t="s">
        <v>1559</v>
      </c>
      <c r="CO558" s="2">
        <v>0</v>
      </c>
      <c r="CP558" s="2">
        <f t="shared" si="477"/>
        <v>13.65</v>
      </c>
      <c r="CQ558" s="2">
        <f t="shared" si="478"/>
        <v>1.06</v>
      </c>
      <c r="CR558" s="2">
        <f>(ROUND((ROUND((((ET558*1.25))*AV558*1),2)*BB558),2)+ROUND((ROUND(((AE558-((EU558*1.25)))*AV558*1),2)*BS558),2))</f>
        <v>18.96</v>
      </c>
      <c r="CS558" s="2">
        <f t="shared" si="479"/>
        <v>4.7300000000000004</v>
      </c>
      <c r="CT558" s="2">
        <f t="shared" si="480"/>
        <v>9.34</v>
      </c>
      <c r="CU558" s="2">
        <f t="shared" si="481"/>
        <v>0</v>
      </c>
      <c r="CV558" s="2">
        <f t="shared" si="482"/>
        <v>0.89699999999999991</v>
      </c>
      <c r="CW558" s="2">
        <f t="shared" si="483"/>
        <v>0</v>
      </c>
      <c r="CX558" s="2">
        <f t="shared" si="484"/>
        <v>0</v>
      </c>
      <c r="CY558" s="2">
        <f>((S558*BZ558)/100)</f>
        <v>3.9493999999999998</v>
      </c>
      <c r="CZ558" s="2">
        <f>((S558*CA558)/100)</f>
        <v>3.0380000000000003</v>
      </c>
      <c r="DA558" s="2"/>
      <c r="DB558" s="2"/>
      <c r="DC558" s="2" t="s">
        <v>3</v>
      </c>
      <c r="DD558" s="2" t="s">
        <v>3</v>
      </c>
      <c r="DE558" s="2" t="s">
        <v>86</v>
      </c>
      <c r="DF558" s="2" t="s">
        <v>86</v>
      </c>
      <c r="DG558" s="2" t="s">
        <v>87</v>
      </c>
      <c r="DH558" s="2" t="s">
        <v>3</v>
      </c>
      <c r="DI558" s="2" t="s">
        <v>87</v>
      </c>
      <c r="DJ558" s="2" t="s">
        <v>86</v>
      </c>
      <c r="DK558" s="2" t="s">
        <v>3</v>
      </c>
      <c r="DL558" s="2" t="s">
        <v>3</v>
      </c>
      <c r="DM558" s="2" t="s">
        <v>3</v>
      </c>
      <c r="DN558" s="2">
        <v>0</v>
      </c>
      <c r="DO558" s="2">
        <v>0</v>
      </c>
      <c r="DP558" s="2">
        <v>1</v>
      </c>
      <c r="DQ558" s="2">
        <v>1</v>
      </c>
      <c r="DR558" s="2"/>
      <c r="DS558" s="2"/>
      <c r="DT558" s="2"/>
      <c r="DU558" s="2">
        <v>1013</v>
      </c>
      <c r="DV558" s="2" t="s">
        <v>515</v>
      </c>
      <c r="DW558" s="2" t="s">
        <v>515</v>
      </c>
      <c r="DX558" s="2">
        <v>1</v>
      </c>
      <c r="DY558" s="2"/>
      <c r="DZ558" s="2" t="s">
        <v>3</v>
      </c>
      <c r="EA558" s="2" t="s">
        <v>3</v>
      </c>
      <c r="EB558" s="2" t="s">
        <v>3</v>
      </c>
      <c r="EC558" s="2" t="s">
        <v>3</v>
      </c>
      <c r="ED558" s="2"/>
      <c r="EE558" s="2">
        <v>126051525</v>
      </c>
      <c r="EF558" s="2">
        <v>30</v>
      </c>
      <c r="EG558" s="2" t="s">
        <v>23</v>
      </c>
      <c r="EH558" s="2">
        <v>0</v>
      </c>
      <c r="EI558" s="2" t="s">
        <v>3</v>
      </c>
      <c r="EJ558" s="2">
        <v>1</v>
      </c>
      <c r="EK558" s="2">
        <v>64</v>
      </c>
      <c r="EL558" s="2" t="s">
        <v>517</v>
      </c>
      <c r="EM558" s="2" t="s">
        <v>518</v>
      </c>
      <c r="EN558" s="2"/>
      <c r="EO558" s="2" t="s">
        <v>90</v>
      </c>
      <c r="EP558" s="2"/>
      <c r="EQ558" s="2">
        <v>131072</v>
      </c>
      <c r="ER558" s="2">
        <v>24.35</v>
      </c>
      <c r="ES558" s="2">
        <v>1.06</v>
      </c>
      <c r="ET558" s="2">
        <v>15.17</v>
      </c>
      <c r="EU558" s="2">
        <v>3.78</v>
      </c>
      <c r="EV558" s="2">
        <v>8.1199999999999992</v>
      </c>
      <c r="EW558" s="2">
        <v>0.78</v>
      </c>
      <c r="EX558" s="2">
        <v>0</v>
      </c>
      <c r="EY558" s="2">
        <v>0</v>
      </c>
      <c r="EZ558" s="2"/>
      <c r="FA558" s="2"/>
      <c r="FB558" s="2"/>
      <c r="FC558" s="2"/>
      <c r="FD558" s="2"/>
      <c r="FE558" s="2"/>
      <c r="FF558" s="2"/>
      <c r="FG558" s="2"/>
      <c r="FH558" s="2"/>
      <c r="FI558" s="2"/>
      <c r="FJ558" s="2"/>
      <c r="FK558" s="2"/>
      <c r="FL558" s="2"/>
      <c r="FM558" s="2"/>
      <c r="FN558" s="2"/>
      <c r="FO558" s="2"/>
      <c r="FP558" s="2"/>
      <c r="FQ558" s="2">
        <v>0</v>
      </c>
      <c r="FR558" s="2">
        <f t="shared" si="485"/>
        <v>0</v>
      </c>
      <c r="FS558" s="2">
        <v>0</v>
      </c>
      <c r="FT558" s="2"/>
      <c r="FU558" s="2"/>
      <c r="FV558" s="2"/>
      <c r="FW558" s="2"/>
      <c r="FX558" s="2">
        <v>91</v>
      </c>
      <c r="FY558" s="2">
        <v>70</v>
      </c>
      <c r="FZ558" s="2"/>
      <c r="GA558" s="2" t="s">
        <v>3</v>
      </c>
      <c r="GB558" s="2"/>
      <c r="GC558" s="2"/>
      <c r="GD558" s="2">
        <v>0</v>
      </c>
      <c r="GE558" s="2"/>
      <c r="GF558" s="2">
        <v>967582129</v>
      </c>
      <c r="GG558" s="2">
        <v>2</v>
      </c>
      <c r="GH558" s="2">
        <v>1</v>
      </c>
      <c r="GI558" s="2">
        <v>-2</v>
      </c>
      <c r="GJ558" s="2">
        <v>0</v>
      </c>
      <c r="GK558" s="2">
        <f>ROUND(R558*(R12)/100,2)</f>
        <v>3.85</v>
      </c>
      <c r="GL558" s="2">
        <f t="shared" si="486"/>
        <v>0</v>
      </c>
      <c r="GM558" s="2">
        <f t="shared" si="487"/>
        <v>24.49</v>
      </c>
      <c r="GN558" s="2">
        <f t="shared" si="488"/>
        <v>24.49</v>
      </c>
      <c r="GO558" s="2">
        <f t="shared" si="489"/>
        <v>0</v>
      </c>
      <c r="GP558" s="2">
        <f t="shared" si="490"/>
        <v>0</v>
      </c>
      <c r="GQ558" s="2"/>
      <c r="GR558" s="2">
        <v>0</v>
      </c>
      <c r="GS558" s="2">
        <v>0</v>
      </c>
      <c r="GT558" s="2">
        <v>0</v>
      </c>
      <c r="GU558" s="2" t="s">
        <v>3</v>
      </c>
      <c r="GV558" s="2">
        <f t="shared" si="491"/>
        <v>0</v>
      </c>
      <c r="GW558" s="2">
        <v>1</v>
      </c>
      <c r="GX558" s="2">
        <f t="shared" si="492"/>
        <v>0</v>
      </c>
      <c r="GY558" s="2"/>
      <c r="GZ558" s="2"/>
      <c r="HA558" s="2">
        <v>0</v>
      </c>
      <c r="HB558" s="2">
        <v>0</v>
      </c>
      <c r="HC558" s="2">
        <f t="shared" si="493"/>
        <v>0</v>
      </c>
      <c r="HD558" s="2"/>
      <c r="HE558" s="2" t="s">
        <v>3</v>
      </c>
      <c r="HF558" s="2" t="s">
        <v>3</v>
      </c>
      <c r="HG558" s="2"/>
      <c r="HH558" s="2"/>
      <c r="HI558" s="2"/>
      <c r="HJ558" s="2"/>
      <c r="HK558" s="2"/>
      <c r="HL558" s="2"/>
      <c r="HM558" s="2" t="s">
        <v>3</v>
      </c>
      <c r="HN558" s="2" t="s">
        <v>3</v>
      </c>
      <c r="HO558" s="2" t="s">
        <v>3</v>
      </c>
      <c r="HP558" s="2" t="s">
        <v>3</v>
      </c>
      <c r="HQ558" s="2" t="s">
        <v>3</v>
      </c>
      <c r="HR558" s="2"/>
      <c r="HS558" s="2"/>
      <c r="HT558" s="2"/>
      <c r="HU558" s="2"/>
      <c r="HV558" s="2"/>
      <c r="HW558" s="2"/>
      <c r="HX558" s="2"/>
      <c r="HY558" s="2"/>
      <c r="HZ558" s="2"/>
      <c r="IA558" s="2"/>
      <c r="IB558" s="2"/>
      <c r="IC558" s="2"/>
      <c r="ID558" s="2"/>
      <c r="IE558" s="2"/>
      <c r="IF558" s="2"/>
      <c r="IG558" s="2"/>
      <c r="IH558" s="2"/>
      <c r="II558" s="2"/>
      <c r="IJ558" s="2"/>
      <c r="IK558" s="2">
        <v>0</v>
      </c>
      <c r="IL558" s="2"/>
      <c r="IM558" s="2"/>
      <c r="IN558" s="2"/>
      <c r="IO558" s="2"/>
      <c r="IP558" s="2"/>
      <c r="IQ558" s="2"/>
      <c r="IR558" s="2"/>
      <c r="IS558" s="2"/>
      <c r="IT558" s="2"/>
      <c r="IU558" s="2"/>
    </row>
    <row r="559" spans="1:255" x14ac:dyDescent="0.2">
      <c r="A559">
        <v>17</v>
      </c>
      <c r="B559">
        <v>1</v>
      </c>
      <c r="C559">
        <f>ROW(SmtRes!A596)</f>
        <v>596</v>
      </c>
      <c r="D559">
        <f>ROW(EtalonRes!A588)</f>
        <v>588</v>
      </c>
      <c r="E559" t="s">
        <v>196</v>
      </c>
      <c r="F559" t="s">
        <v>513</v>
      </c>
      <c r="G559" t="s">
        <v>514</v>
      </c>
      <c r="H559" t="s">
        <v>515</v>
      </c>
      <c r="I559">
        <v>0.46500000000000002</v>
      </c>
      <c r="J559">
        <v>0</v>
      </c>
      <c r="K559">
        <v>0.46500000000000002</v>
      </c>
      <c r="O559">
        <f t="shared" si="463"/>
        <v>244.3</v>
      </c>
      <c r="P559">
        <f t="shared" si="464"/>
        <v>2.94</v>
      </c>
      <c r="Q559">
        <f>(ROUND((ROUND((((ET559*1.25))*AV559*I559),2)*BB559),2)+ROUND((ROUND(((AE559-((EU559*1.25)))*AV559*I559),2)*BS559),2))</f>
        <v>115.37</v>
      </c>
      <c r="R559">
        <f t="shared" si="465"/>
        <v>63.87</v>
      </c>
      <c r="S559">
        <f t="shared" si="466"/>
        <v>125.99</v>
      </c>
      <c r="T559">
        <f t="shared" si="467"/>
        <v>0</v>
      </c>
      <c r="U559">
        <f t="shared" si="468"/>
        <v>0.417105</v>
      </c>
      <c r="V559">
        <f t="shared" si="469"/>
        <v>0</v>
      </c>
      <c r="W559">
        <f t="shared" si="470"/>
        <v>0</v>
      </c>
      <c r="X559">
        <f t="shared" si="471"/>
        <v>94.49</v>
      </c>
      <c r="Y559">
        <f t="shared" si="472"/>
        <v>51.66</v>
      </c>
      <c r="AA559">
        <v>129761633</v>
      </c>
      <c r="AB559">
        <f t="shared" si="473"/>
        <v>29.360499999999998</v>
      </c>
      <c r="AC559">
        <f t="shared" si="474"/>
        <v>1.06</v>
      </c>
      <c r="AD559">
        <f>ROUND(((((ET559*1.25))-((EU559*1.25)))+AE559),6)</f>
        <v>18.962499999999999</v>
      </c>
      <c r="AE559">
        <f>ROUND(((EU559*1.25)),6)</f>
        <v>4.7249999999999996</v>
      </c>
      <c r="AF559">
        <f>ROUND(((EV559*1.15)),6)</f>
        <v>9.3379999999999992</v>
      </c>
      <c r="AG559">
        <f t="shared" si="475"/>
        <v>0</v>
      </c>
      <c r="AH559">
        <f>((EW559*1.15))</f>
        <v>0.89699999999999991</v>
      </c>
      <c r="AI559">
        <f>((EX559*1.25))</f>
        <v>0</v>
      </c>
      <c r="AJ559">
        <f t="shared" si="476"/>
        <v>0</v>
      </c>
      <c r="AK559">
        <v>24.35</v>
      </c>
      <c r="AL559">
        <v>1.06</v>
      </c>
      <c r="AM559">
        <v>15.17</v>
      </c>
      <c r="AN559">
        <v>3.78</v>
      </c>
      <c r="AO559">
        <v>8.1199999999999992</v>
      </c>
      <c r="AP559">
        <v>0</v>
      </c>
      <c r="AQ559">
        <v>0.78</v>
      </c>
      <c r="AR559">
        <v>0</v>
      </c>
      <c r="AS559">
        <v>0</v>
      </c>
      <c r="AT559">
        <v>75</v>
      </c>
      <c r="AU559">
        <v>41</v>
      </c>
      <c r="AV559">
        <v>1</v>
      </c>
      <c r="AW559">
        <v>1</v>
      </c>
      <c r="AZ559">
        <v>1</v>
      </c>
      <c r="BA559">
        <v>29.03</v>
      </c>
      <c r="BB559">
        <v>13.08</v>
      </c>
      <c r="BC559">
        <v>6.01</v>
      </c>
      <c r="BD559" t="s">
        <v>3</v>
      </c>
      <c r="BE559" t="s">
        <v>3</v>
      </c>
      <c r="BF559" t="s">
        <v>3</v>
      </c>
      <c r="BG559" t="s">
        <v>3</v>
      </c>
      <c r="BH559">
        <v>0</v>
      </c>
      <c r="BI559">
        <v>1</v>
      </c>
      <c r="BJ559" t="s">
        <v>516</v>
      </c>
      <c r="BM559">
        <v>64</v>
      </c>
      <c r="BN559">
        <v>0</v>
      </c>
      <c r="BO559" t="s">
        <v>513</v>
      </c>
      <c r="BP559">
        <v>1</v>
      </c>
      <c r="BQ559">
        <v>30</v>
      </c>
      <c r="BR559">
        <v>0</v>
      </c>
      <c r="BS559">
        <v>29.03</v>
      </c>
      <c r="BT559">
        <v>1</v>
      </c>
      <c r="BU559">
        <v>1</v>
      </c>
      <c r="BV559">
        <v>1</v>
      </c>
      <c r="BW559">
        <v>1</v>
      </c>
      <c r="BX559">
        <v>1</v>
      </c>
      <c r="BY559" t="s">
        <v>3</v>
      </c>
      <c r="BZ559">
        <v>75</v>
      </c>
      <c r="CA559">
        <v>41</v>
      </c>
      <c r="CB559" t="s">
        <v>3</v>
      </c>
      <c r="CE559">
        <v>30</v>
      </c>
      <c r="CF559">
        <v>0</v>
      </c>
      <c r="CG559">
        <v>0</v>
      </c>
      <c r="CM559">
        <v>0</v>
      </c>
      <c r="CN559" t="s">
        <v>1559</v>
      </c>
      <c r="CO559">
        <v>0</v>
      </c>
      <c r="CP559">
        <f t="shared" si="477"/>
        <v>244.3</v>
      </c>
      <c r="CQ559">
        <f t="shared" si="478"/>
        <v>6.37</v>
      </c>
      <c r="CR559">
        <f>(ROUND((ROUND((((ET559*1.25))*AV559*1),2)*BB559),2)+ROUND((ROUND(((AE559-((EU559*1.25)))*AV559*1),2)*BS559),2))</f>
        <v>248</v>
      </c>
      <c r="CS559">
        <f t="shared" si="479"/>
        <v>137.31</v>
      </c>
      <c r="CT559">
        <f t="shared" si="480"/>
        <v>271.14</v>
      </c>
      <c r="CU559">
        <f t="shared" si="481"/>
        <v>0</v>
      </c>
      <c r="CV559">
        <f t="shared" si="482"/>
        <v>0.89699999999999991</v>
      </c>
      <c r="CW559">
        <f t="shared" si="483"/>
        <v>0</v>
      </c>
      <c r="CX559">
        <f t="shared" si="484"/>
        <v>0</v>
      </c>
      <c r="CY559">
        <f>S559*(BZ559/100)</f>
        <v>94.492499999999993</v>
      </c>
      <c r="CZ559">
        <f>S559*(CA559/100)</f>
        <v>51.655899999999995</v>
      </c>
      <c r="DC559" t="s">
        <v>3</v>
      </c>
      <c r="DD559" t="s">
        <v>3</v>
      </c>
      <c r="DE559" t="s">
        <v>86</v>
      </c>
      <c r="DF559" t="s">
        <v>86</v>
      </c>
      <c r="DG559" t="s">
        <v>87</v>
      </c>
      <c r="DH559" t="s">
        <v>3</v>
      </c>
      <c r="DI559" t="s">
        <v>87</v>
      </c>
      <c r="DJ559" t="s">
        <v>86</v>
      </c>
      <c r="DK559" t="s">
        <v>3</v>
      </c>
      <c r="DL559" t="s">
        <v>3</v>
      </c>
      <c r="DM559" t="s">
        <v>3</v>
      </c>
      <c r="DN559">
        <v>91</v>
      </c>
      <c r="DO559">
        <v>70</v>
      </c>
      <c r="DP559">
        <v>1</v>
      </c>
      <c r="DQ559">
        <v>1</v>
      </c>
      <c r="DU559">
        <v>1013</v>
      </c>
      <c r="DV559" t="s">
        <v>515</v>
      </c>
      <c r="DW559" t="s">
        <v>515</v>
      </c>
      <c r="DX559">
        <v>1</v>
      </c>
      <c r="DZ559" t="s">
        <v>3</v>
      </c>
      <c r="EA559" t="s">
        <v>3</v>
      </c>
      <c r="EB559" t="s">
        <v>3</v>
      </c>
      <c r="EC559" t="s">
        <v>3</v>
      </c>
      <c r="EE559">
        <v>126051525</v>
      </c>
      <c r="EF559">
        <v>30</v>
      </c>
      <c r="EG559" t="s">
        <v>23</v>
      </c>
      <c r="EH559">
        <v>0</v>
      </c>
      <c r="EI559" t="s">
        <v>3</v>
      </c>
      <c r="EJ559">
        <v>1</v>
      </c>
      <c r="EK559">
        <v>64</v>
      </c>
      <c r="EL559" t="s">
        <v>517</v>
      </c>
      <c r="EM559" t="s">
        <v>518</v>
      </c>
      <c r="EO559" t="s">
        <v>90</v>
      </c>
      <c r="EQ559">
        <v>131072</v>
      </c>
      <c r="ER559">
        <v>24.35</v>
      </c>
      <c r="ES559">
        <v>1.06</v>
      </c>
      <c r="ET559">
        <v>15.17</v>
      </c>
      <c r="EU559">
        <v>3.78</v>
      </c>
      <c r="EV559">
        <v>8.1199999999999992</v>
      </c>
      <c r="EW559">
        <v>0.78</v>
      </c>
      <c r="EX559">
        <v>0</v>
      </c>
      <c r="EY559">
        <v>0</v>
      </c>
      <c r="FQ559">
        <v>0</v>
      </c>
      <c r="FR559">
        <f t="shared" si="485"/>
        <v>0</v>
      </c>
      <c r="FS559">
        <v>0</v>
      </c>
      <c r="FX559">
        <v>91</v>
      </c>
      <c r="FY559">
        <v>70</v>
      </c>
      <c r="GA559" t="s">
        <v>3</v>
      </c>
      <c r="GD559">
        <v>0</v>
      </c>
      <c r="GF559">
        <v>967582129</v>
      </c>
      <c r="GG559">
        <v>2</v>
      </c>
      <c r="GH559">
        <v>1</v>
      </c>
      <c r="GI559">
        <v>2</v>
      </c>
      <c r="GJ559">
        <v>0</v>
      </c>
      <c r="GK559">
        <f>ROUND(R559*(S12)/100,2)</f>
        <v>102.19</v>
      </c>
      <c r="GL559">
        <f t="shared" si="486"/>
        <v>0</v>
      </c>
      <c r="GM559">
        <f t="shared" si="487"/>
        <v>492.64</v>
      </c>
      <c r="GN559">
        <f t="shared" si="488"/>
        <v>492.64</v>
      </c>
      <c r="GO559">
        <f t="shared" si="489"/>
        <v>0</v>
      </c>
      <c r="GP559">
        <f t="shared" si="490"/>
        <v>0</v>
      </c>
      <c r="GR559">
        <v>0</v>
      </c>
      <c r="GS559">
        <v>3</v>
      </c>
      <c r="GT559">
        <v>0</v>
      </c>
      <c r="GU559" t="s">
        <v>3</v>
      </c>
      <c r="GV559">
        <f t="shared" si="491"/>
        <v>0</v>
      </c>
      <c r="GW559">
        <v>1</v>
      </c>
      <c r="GX559">
        <f t="shared" si="492"/>
        <v>0</v>
      </c>
      <c r="HA559">
        <v>0</v>
      </c>
      <c r="HB559">
        <v>0</v>
      </c>
      <c r="HC559">
        <f t="shared" si="493"/>
        <v>0</v>
      </c>
      <c r="HE559" t="s">
        <v>3</v>
      </c>
      <c r="HF559" t="s">
        <v>3</v>
      </c>
      <c r="HM559" t="s">
        <v>3</v>
      </c>
      <c r="HN559" t="s">
        <v>3</v>
      </c>
      <c r="HO559" t="s">
        <v>3</v>
      </c>
      <c r="HP559" t="s">
        <v>3</v>
      </c>
      <c r="HQ559" t="s">
        <v>3</v>
      </c>
      <c r="IK559">
        <v>0</v>
      </c>
    </row>
    <row r="560" spans="1:255" x14ac:dyDescent="0.2">
      <c r="A560" s="2">
        <v>18</v>
      </c>
      <c r="B560" s="2">
        <v>1</v>
      </c>
      <c r="C560" s="2">
        <v>590</v>
      </c>
      <c r="D560" s="2"/>
      <c r="E560" s="2" t="s">
        <v>201</v>
      </c>
      <c r="F560" s="2" t="s">
        <v>92</v>
      </c>
      <c r="G560" s="2" t="s">
        <v>93</v>
      </c>
      <c r="H560" s="2" t="s">
        <v>94</v>
      </c>
      <c r="I560" s="2">
        <f>I558*J560</f>
        <v>0.51149999999999995</v>
      </c>
      <c r="J560" s="2">
        <v>1.0999999999999999</v>
      </c>
      <c r="K560" s="2">
        <v>1.1000000000000001</v>
      </c>
      <c r="L560" s="2"/>
      <c r="M560" s="2"/>
      <c r="N560" s="2"/>
      <c r="O560" s="2">
        <f t="shared" si="463"/>
        <v>53.7</v>
      </c>
      <c r="P560" s="2">
        <f t="shared" si="464"/>
        <v>53.7</v>
      </c>
      <c r="Q560" s="2">
        <f>(ROUND((ROUND(((ET560)*AV560*I560),2)*BB560),2)+ROUND((ROUND(((AE560-(EU560))*AV560*I560),2)*BS560),2))</f>
        <v>0</v>
      </c>
      <c r="R560" s="2">
        <f t="shared" si="465"/>
        <v>0</v>
      </c>
      <c r="S560" s="2">
        <f t="shared" si="466"/>
        <v>0</v>
      </c>
      <c r="T560" s="2">
        <f t="shared" si="467"/>
        <v>0</v>
      </c>
      <c r="U560" s="2">
        <f t="shared" si="468"/>
        <v>0</v>
      </c>
      <c r="V560" s="2">
        <f t="shared" si="469"/>
        <v>0</v>
      </c>
      <c r="W560" s="2">
        <f t="shared" si="470"/>
        <v>0</v>
      </c>
      <c r="X560" s="2">
        <f t="shared" si="471"/>
        <v>0</v>
      </c>
      <c r="Y560" s="2">
        <f t="shared" si="472"/>
        <v>0</v>
      </c>
      <c r="Z560" s="2"/>
      <c r="AA560" s="2">
        <v>129761636</v>
      </c>
      <c r="AB560" s="2">
        <f t="shared" si="473"/>
        <v>104.99</v>
      </c>
      <c r="AC560" s="2">
        <f t="shared" si="474"/>
        <v>104.99</v>
      </c>
      <c r="AD560" s="2">
        <f>ROUND((((ET560)-(EU560))+AE560),6)</f>
        <v>0</v>
      </c>
      <c r="AE560" s="2">
        <f>ROUND((EU560),6)</f>
        <v>0</v>
      </c>
      <c r="AF560" s="2">
        <f>ROUND((EV560),6)</f>
        <v>0</v>
      </c>
      <c r="AG560" s="2">
        <f t="shared" si="475"/>
        <v>0</v>
      </c>
      <c r="AH560" s="2">
        <f>(EW560)</f>
        <v>0</v>
      </c>
      <c r="AI560" s="2">
        <f>(EX560)</f>
        <v>0</v>
      </c>
      <c r="AJ560" s="2">
        <f t="shared" si="476"/>
        <v>0</v>
      </c>
      <c r="AK560" s="2">
        <v>104.99</v>
      </c>
      <c r="AL560" s="2">
        <v>104.99</v>
      </c>
      <c r="AM560" s="2">
        <v>0</v>
      </c>
      <c r="AN560" s="2">
        <v>0</v>
      </c>
      <c r="AO560" s="2">
        <v>0</v>
      </c>
      <c r="AP560" s="2">
        <v>0</v>
      </c>
      <c r="AQ560" s="2">
        <v>0</v>
      </c>
      <c r="AR560" s="2">
        <v>0</v>
      </c>
      <c r="AS560" s="2">
        <v>0</v>
      </c>
      <c r="AT560" s="2">
        <v>91</v>
      </c>
      <c r="AU560" s="2">
        <v>70</v>
      </c>
      <c r="AV560" s="2">
        <v>1</v>
      </c>
      <c r="AW560" s="2">
        <v>1</v>
      </c>
      <c r="AX560" s="2"/>
      <c r="AY560" s="2"/>
      <c r="AZ560" s="2">
        <v>1</v>
      </c>
      <c r="BA560" s="2">
        <v>1</v>
      </c>
      <c r="BB560" s="2">
        <v>1</v>
      </c>
      <c r="BC560" s="2">
        <v>1</v>
      </c>
      <c r="BD560" s="2" t="s">
        <v>3</v>
      </c>
      <c r="BE560" s="2" t="s">
        <v>3</v>
      </c>
      <c r="BF560" s="2" t="s">
        <v>3</v>
      </c>
      <c r="BG560" s="2" t="s">
        <v>3</v>
      </c>
      <c r="BH560" s="2">
        <v>3</v>
      </c>
      <c r="BI560" s="2">
        <v>1</v>
      </c>
      <c r="BJ560" s="2" t="s">
        <v>95</v>
      </c>
      <c r="BK560" s="2"/>
      <c r="BL560" s="2"/>
      <c r="BM560" s="2">
        <v>64</v>
      </c>
      <c r="BN560" s="2">
        <v>0</v>
      </c>
      <c r="BO560" s="2" t="s">
        <v>3</v>
      </c>
      <c r="BP560" s="2">
        <v>0</v>
      </c>
      <c r="BQ560" s="2">
        <v>30</v>
      </c>
      <c r="BR560" s="2">
        <v>0</v>
      </c>
      <c r="BS560" s="2">
        <v>1</v>
      </c>
      <c r="BT560" s="2">
        <v>1</v>
      </c>
      <c r="BU560" s="2">
        <v>1</v>
      </c>
      <c r="BV560" s="2">
        <v>1</v>
      </c>
      <c r="BW560" s="2">
        <v>1</v>
      </c>
      <c r="BX560" s="2">
        <v>1</v>
      </c>
      <c r="BY560" s="2" t="s">
        <v>3</v>
      </c>
      <c r="BZ560" s="2">
        <v>91</v>
      </c>
      <c r="CA560" s="2">
        <v>70</v>
      </c>
      <c r="CB560" s="2" t="s">
        <v>3</v>
      </c>
      <c r="CC560" s="2"/>
      <c r="CD560" s="2"/>
      <c r="CE560" s="2">
        <v>30</v>
      </c>
      <c r="CF560" s="2">
        <v>0</v>
      </c>
      <c r="CG560" s="2">
        <v>0</v>
      </c>
      <c r="CH560" s="2"/>
      <c r="CI560" s="2"/>
      <c r="CJ560" s="2"/>
      <c r="CK560" s="2"/>
      <c r="CL560" s="2"/>
      <c r="CM560" s="2">
        <v>0</v>
      </c>
      <c r="CN560" s="2" t="s">
        <v>3</v>
      </c>
      <c r="CO560" s="2">
        <v>0</v>
      </c>
      <c r="CP560" s="2">
        <f t="shared" si="477"/>
        <v>53.7</v>
      </c>
      <c r="CQ560" s="2">
        <f t="shared" si="478"/>
        <v>104.99</v>
      </c>
      <c r="CR560" s="2">
        <f>(ROUND((ROUND(((ET560)*AV560*1),2)*BB560),2)+ROUND((ROUND(((AE560-(EU560))*AV560*1),2)*BS560),2))</f>
        <v>0</v>
      </c>
      <c r="CS560" s="2">
        <f t="shared" si="479"/>
        <v>0</v>
      </c>
      <c r="CT560" s="2">
        <f t="shared" si="480"/>
        <v>0</v>
      </c>
      <c r="CU560" s="2">
        <f t="shared" si="481"/>
        <v>0</v>
      </c>
      <c r="CV560" s="2">
        <f t="shared" si="482"/>
        <v>0</v>
      </c>
      <c r="CW560" s="2">
        <f t="shared" si="483"/>
        <v>0</v>
      </c>
      <c r="CX560" s="2">
        <f t="shared" si="484"/>
        <v>0</v>
      </c>
      <c r="CY560" s="2">
        <f>((S560*BZ560)/100)</f>
        <v>0</v>
      </c>
      <c r="CZ560" s="2">
        <f>((S560*CA560)/100)</f>
        <v>0</v>
      </c>
      <c r="DA560" s="2"/>
      <c r="DB560" s="2"/>
      <c r="DC560" s="2" t="s">
        <v>3</v>
      </c>
      <c r="DD560" s="2" t="s">
        <v>3</v>
      </c>
      <c r="DE560" s="2" t="s">
        <v>3</v>
      </c>
      <c r="DF560" s="2" t="s">
        <v>3</v>
      </c>
      <c r="DG560" s="2" t="s">
        <v>3</v>
      </c>
      <c r="DH560" s="2" t="s">
        <v>3</v>
      </c>
      <c r="DI560" s="2" t="s">
        <v>3</v>
      </c>
      <c r="DJ560" s="2" t="s">
        <v>3</v>
      </c>
      <c r="DK560" s="2" t="s">
        <v>3</v>
      </c>
      <c r="DL560" s="2" t="s">
        <v>3</v>
      </c>
      <c r="DM560" s="2" t="s">
        <v>3</v>
      </c>
      <c r="DN560" s="2">
        <v>0</v>
      </c>
      <c r="DO560" s="2">
        <v>0</v>
      </c>
      <c r="DP560" s="2">
        <v>1</v>
      </c>
      <c r="DQ560" s="2">
        <v>1</v>
      </c>
      <c r="DR560" s="2"/>
      <c r="DS560" s="2"/>
      <c r="DT560" s="2"/>
      <c r="DU560" s="2">
        <v>1007</v>
      </c>
      <c r="DV560" s="2" t="s">
        <v>94</v>
      </c>
      <c r="DW560" s="2" t="s">
        <v>94</v>
      </c>
      <c r="DX560" s="2">
        <v>1</v>
      </c>
      <c r="DY560" s="2"/>
      <c r="DZ560" s="2" t="s">
        <v>3</v>
      </c>
      <c r="EA560" s="2" t="s">
        <v>3</v>
      </c>
      <c r="EB560" s="2" t="s">
        <v>3</v>
      </c>
      <c r="EC560" s="2" t="s">
        <v>3</v>
      </c>
      <c r="ED560" s="2"/>
      <c r="EE560" s="2">
        <v>126051525</v>
      </c>
      <c r="EF560" s="2">
        <v>30</v>
      </c>
      <c r="EG560" s="2" t="s">
        <v>23</v>
      </c>
      <c r="EH560" s="2">
        <v>0</v>
      </c>
      <c r="EI560" s="2" t="s">
        <v>3</v>
      </c>
      <c r="EJ560" s="2">
        <v>1</v>
      </c>
      <c r="EK560" s="2">
        <v>64</v>
      </c>
      <c r="EL560" s="2" t="s">
        <v>517</v>
      </c>
      <c r="EM560" s="2" t="s">
        <v>518</v>
      </c>
      <c r="EN560" s="2"/>
      <c r="EO560" s="2" t="s">
        <v>3</v>
      </c>
      <c r="EP560" s="2"/>
      <c r="EQ560" s="2">
        <v>0</v>
      </c>
      <c r="ER560" s="2">
        <v>104.99</v>
      </c>
      <c r="ES560" s="2">
        <v>104.99</v>
      </c>
      <c r="ET560" s="2">
        <v>0</v>
      </c>
      <c r="EU560" s="2">
        <v>0</v>
      </c>
      <c r="EV560" s="2">
        <v>0</v>
      </c>
      <c r="EW560" s="2">
        <v>0</v>
      </c>
      <c r="EX560" s="2">
        <v>0</v>
      </c>
      <c r="EY560" s="2"/>
      <c r="EZ560" s="2"/>
      <c r="FA560" s="2"/>
      <c r="FB560" s="2"/>
      <c r="FC560" s="2"/>
      <c r="FD560" s="2"/>
      <c r="FE560" s="2"/>
      <c r="FF560" s="2"/>
      <c r="FG560" s="2"/>
      <c r="FH560" s="2"/>
      <c r="FI560" s="2"/>
      <c r="FJ560" s="2"/>
      <c r="FK560" s="2"/>
      <c r="FL560" s="2"/>
      <c r="FM560" s="2"/>
      <c r="FN560" s="2"/>
      <c r="FO560" s="2"/>
      <c r="FP560" s="2"/>
      <c r="FQ560" s="2">
        <v>0</v>
      </c>
      <c r="FR560" s="2">
        <f t="shared" si="485"/>
        <v>0</v>
      </c>
      <c r="FS560" s="2">
        <v>0</v>
      </c>
      <c r="FT560" s="2"/>
      <c r="FU560" s="2"/>
      <c r="FV560" s="2"/>
      <c r="FW560" s="2"/>
      <c r="FX560" s="2">
        <v>91</v>
      </c>
      <c r="FY560" s="2">
        <v>70</v>
      </c>
      <c r="FZ560" s="2"/>
      <c r="GA560" s="2" t="s">
        <v>3</v>
      </c>
      <c r="GB560" s="2"/>
      <c r="GC560" s="2"/>
      <c r="GD560" s="2">
        <v>0</v>
      </c>
      <c r="GE560" s="2"/>
      <c r="GF560" s="2">
        <v>2069056849</v>
      </c>
      <c r="GG560" s="2">
        <v>2</v>
      </c>
      <c r="GH560" s="2">
        <v>1</v>
      </c>
      <c r="GI560" s="2">
        <v>-2</v>
      </c>
      <c r="GJ560" s="2">
        <v>0</v>
      </c>
      <c r="GK560" s="2">
        <f>ROUND(R560*(R12)/100,2)</f>
        <v>0</v>
      </c>
      <c r="GL560" s="2">
        <f t="shared" si="486"/>
        <v>0</v>
      </c>
      <c r="GM560" s="2">
        <f t="shared" si="487"/>
        <v>53.7</v>
      </c>
      <c r="GN560" s="2">
        <f t="shared" si="488"/>
        <v>53.7</v>
      </c>
      <c r="GO560" s="2">
        <f t="shared" si="489"/>
        <v>0</v>
      </c>
      <c r="GP560" s="2">
        <f t="shared" si="490"/>
        <v>0</v>
      </c>
      <c r="GQ560" s="2"/>
      <c r="GR560" s="2">
        <v>0</v>
      </c>
      <c r="GS560" s="2">
        <v>0</v>
      </c>
      <c r="GT560" s="2">
        <v>0</v>
      </c>
      <c r="GU560" s="2" t="s">
        <v>3</v>
      </c>
      <c r="GV560" s="2">
        <f t="shared" si="491"/>
        <v>0</v>
      </c>
      <c r="GW560" s="2">
        <v>1</v>
      </c>
      <c r="GX560" s="2">
        <f t="shared" si="492"/>
        <v>0</v>
      </c>
      <c r="GY560" s="2"/>
      <c r="GZ560" s="2"/>
      <c r="HA560" s="2">
        <v>0</v>
      </c>
      <c r="HB560" s="2">
        <v>0</v>
      </c>
      <c r="HC560" s="2">
        <f t="shared" si="493"/>
        <v>0</v>
      </c>
      <c r="HD560" s="2"/>
      <c r="HE560" s="2" t="s">
        <v>3</v>
      </c>
      <c r="HF560" s="2" t="s">
        <v>3</v>
      </c>
      <c r="HG560" s="2"/>
      <c r="HH560" s="2"/>
      <c r="HI560" s="2"/>
      <c r="HJ560" s="2"/>
      <c r="HK560" s="2"/>
      <c r="HL560" s="2"/>
      <c r="HM560" s="2" t="s">
        <v>3</v>
      </c>
      <c r="HN560" s="2" t="s">
        <v>3</v>
      </c>
      <c r="HO560" s="2" t="s">
        <v>3</v>
      </c>
      <c r="HP560" s="2" t="s">
        <v>3</v>
      </c>
      <c r="HQ560" s="2" t="s">
        <v>3</v>
      </c>
      <c r="HR560" s="2"/>
      <c r="HS560" s="2"/>
      <c r="HT560" s="2"/>
      <c r="HU560" s="2"/>
      <c r="HV560" s="2"/>
      <c r="HW560" s="2"/>
      <c r="HX560" s="2"/>
      <c r="HY560" s="2"/>
      <c r="HZ560" s="2"/>
      <c r="IA560" s="2"/>
      <c r="IB560" s="2"/>
      <c r="IC560" s="2"/>
      <c r="ID560" s="2"/>
      <c r="IE560" s="2"/>
      <c r="IF560" s="2"/>
      <c r="IG560" s="2"/>
      <c r="IH560" s="2"/>
      <c r="II560" s="2"/>
      <c r="IJ560" s="2"/>
      <c r="IK560" s="2">
        <v>0</v>
      </c>
      <c r="IL560" s="2"/>
      <c r="IM560" s="2"/>
      <c r="IN560" s="2"/>
      <c r="IO560" s="2"/>
      <c r="IP560" s="2"/>
      <c r="IQ560" s="2"/>
      <c r="IR560" s="2"/>
      <c r="IS560" s="2"/>
      <c r="IT560" s="2"/>
      <c r="IU560" s="2"/>
    </row>
    <row r="561" spans="1:255" x14ac:dyDescent="0.2">
      <c r="A561">
        <v>18</v>
      </c>
      <c r="B561">
        <v>1</v>
      </c>
      <c r="C561">
        <v>596</v>
      </c>
      <c r="E561" t="s">
        <v>201</v>
      </c>
      <c r="F561" t="s">
        <v>92</v>
      </c>
      <c r="G561" t="s">
        <v>93</v>
      </c>
      <c r="H561" t="s">
        <v>94</v>
      </c>
      <c r="I561">
        <f>I559*J561</f>
        <v>0.51149999999999995</v>
      </c>
      <c r="J561">
        <v>1.0999999999999999</v>
      </c>
      <c r="K561">
        <v>1.1000000000000001</v>
      </c>
      <c r="O561">
        <f t="shared" si="463"/>
        <v>369.46</v>
      </c>
      <c r="P561">
        <f t="shared" si="464"/>
        <v>369.46</v>
      </c>
      <c r="Q561">
        <f>(ROUND((ROUND(((ET561)*AV561*I561),2)*BB561),2)+ROUND((ROUND(((AE561-(EU561))*AV561*I561),2)*BS561),2))</f>
        <v>0</v>
      </c>
      <c r="R561">
        <f t="shared" si="465"/>
        <v>0</v>
      </c>
      <c r="S561">
        <f t="shared" si="466"/>
        <v>0</v>
      </c>
      <c r="T561">
        <f t="shared" si="467"/>
        <v>0</v>
      </c>
      <c r="U561">
        <f t="shared" si="468"/>
        <v>0</v>
      </c>
      <c r="V561">
        <f t="shared" si="469"/>
        <v>0</v>
      </c>
      <c r="W561">
        <f t="shared" si="470"/>
        <v>0</v>
      </c>
      <c r="X561">
        <f t="shared" si="471"/>
        <v>0</v>
      </c>
      <c r="Y561">
        <f t="shared" si="472"/>
        <v>0</v>
      </c>
      <c r="AA561">
        <v>129761633</v>
      </c>
      <c r="AB561">
        <f t="shared" si="473"/>
        <v>104.99</v>
      </c>
      <c r="AC561">
        <f t="shared" si="474"/>
        <v>104.99</v>
      </c>
      <c r="AD561">
        <f>ROUND((((ET561)-(EU561))+AE561),6)</f>
        <v>0</v>
      </c>
      <c r="AE561">
        <f>ROUND((EU561),6)</f>
        <v>0</v>
      </c>
      <c r="AF561">
        <f>ROUND((EV561),6)</f>
        <v>0</v>
      </c>
      <c r="AG561">
        <f t="shared" si="475"/>
        <v>0</v>
      </c>
      <c r="AH561">
        <f>(EW561)</f>
        <v>0</v>
      </c>
      <c r="AI561">
        <f>(EX561)</f>
        <v>0</v>
      </c>
      <c r="AJ561">
        <f t="shared" si="476"/>
        <v>0</v>
      </c>
      <c r="AK561">
        <v>104.99</v>
      </c>
      <c r="AL561">
        <v>104.99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1</v>
      </c>
      <c r="AW561">
        <v>1</v>
      </c>
      <c r="AZ561">
        <v>1</v>
      </c>
      <c r="BA561">
        <v>1</v>
      </c>
      <c r="BB561">
        <v>1</v>
      </c>
      <c r="BC561">
        <v>6.88</v>
      </c>
      <c r="BD561" t="s">
        <v>3</v>
      </c>
      <c r="BE561" t="s">
        <v>3</v>
      </c>
      <c r="BF561" t="s">
        <v>3</v>
      </c>
      <c r="BG561" t="s">
        <v>3</v>
      </c>
      <c r="BH561">
        <v>3</v>
      </c>
      <c r="BI561">
        <v>1</v>
      </c>
      <c r="BJ561" t="s">
        <v>95</v>
      </c>
      <c r="BM561">
        <v>64</v>
      </c>
      <c r="BN561">
        <v>0</v>
      </c>
      <c r="BO561" t="s">
        <v>92</v>
      </c>
      <c r="BP561">
        <v>1</v>
      </c>
      <c r="BQ561">
        <v>30</v>
      </c>
      <c r="BR561">
        <v>0</v>
      </c>
      <c r="BS561">
        <v>1</v>
      </c>
      <c r="BT561">
        <v>1</v>
      </c>
      <c r="BU561">
        <v>1</v>
      </c>
      <c r="BV561">
        <v>1</v>
      </c>
      <c r="BW561">
        <v>1</v>
      </c>
      <c r="BX561">
        <v>1</v>
      </c>
      <c r="BY561" t="s">
        <v>3</v>
      </c>
      <c r="BZ561">
        <v>0</v>
      </c>
      <c r="CA561">
        <v>0</v>
      </c>
      <c r="CB561" t="s">
        <v>3</v>
      </c>
      <c r="CE561">
        <v>30</v>
      </c>
      <c r="CF561">
        <v>0</v>
      </c>
      <c r="CG561">
        <v>0</v>
      </c>
      <c r="CM561">
        <v>0</v>
      </c>
      <c r="CN561" t="s">
        <v>3</v>
      </c>
      <c r="CO561">
        <v>0</v>
      </c>
      <c r="CP561">
        <f t="shared" si="477"/>
        <v>369.46</v>
      </c>
      <c r="CQ561">
        <f t="shared" si="478"/>
        <v>722.33</v>
      </c>
      <c r="CR561">
        <f>(ROUND((ROUND(((ET561)*AV561*1),2)*BB561),2)+ROUND((ROUND(((AE561-(EU561))*AV561*1),2)*BS561),2))</f>
        <v>0</v>
      </c>
      <c r="CS561">
        <f t="shared" si="479"/>
        <v>0</v>
      </c>
      <c r="CT561">
        <f t="shared" si="480"/>
        <v>0</v>
      </c>
      <c r="CU561">
        <f t="shared" si="481"/>
        <v>0</v>
      </c>
      <c r="CV561">
        <f t="shared" si="482"/>
        <v>0</v>
      </c>
      <c r="CW561">
        <f t="shared" si="483"/>
        <v>0</v>
      </c>
      <c r="CX561">
        <f t="shared" si="484"/>
        <v>0</v>
      </c>
      <c r="CY561">
        <f>S561*(BZ561/100)</f>
        <v>0</v>
      </c>
      <c r="CZ561">
        <f>S561*(CA561/100)</f>
        <v>0</v>
      </c>
      <c r="DC561" t="s">
        <v>3</v>
      </c>
      <c r="DD561" t="s">
        <v>3</v>
      </c>
      <c r="DE561" t="s">
        <v>3</v>
      </c>
      <c r="DF561" t="s">
        <v>3</v>
      </c>
      <c r="DG561" t="s">
        <v>3</v>
      </c>
      <c r="DH561" t="s">
        <v>3</v>
      </c>
      <c r="DI561" t="s">
        <v>3</v>
      </c>
      <c r="DJ561" t="s">
        <v>3</v>
      </c>
      <c r="DK561" t="s">
        <v>3</v>
      </c>
      <c r="DL561" t="s">
        <v>3</v>
      </c>
      <c r="DM561" t="s">
        <v>3</v>
      </c>
      <c r="DN561">
        <v>91</v>
      </c>
      <c r="DO561">
        <v>70</v>
      </c>
      <c r="DP561">
        <v>1</v>
      </c>
      <c r="DQ561">
        <v>1</v>
      </c>
      <c r="DU561">
        <v>1007</v>
      </c>
      <c r="DV561" t="s">
        <v>94</v>
      </c>
      <c r="DW561" t="s">
        <v>94</v>
      </c>
      <c r="DX561">
        <v>1</v>
      </c>
      <c r="DZ561" t="s">
        <v>3</v>
      </c>
      <c r="EA561" t="s">
        <v>3</v>
      </c>
      <c r="EB561" t="s">
        <v>3</v>
      </c>
      <c r="EC561" t="s">
        <v>3</v>
      </c>
      <c r="EE561">
        <v>126051525</v>
      </c>
      <c r="EF561">
        <v>30</v>
      </c>
      <c r="EG561" t="s">
        <v>23</v>
      </c>
      <c r="EH561">
        <v>0</v>
      </c>
      <c r="EI561" t="s">
        <v>3</v>
      </c>
      <c r="EJ561">
        <v>1</v>
      </c>
      <c r="EK561">
        <v>64</v>
      </c>
      <c r="EL561" t="s">
        <v>517</v>
      </c>
      <c r="EM561" t="s">
        <v>518</v>
      </c>
      <c r="EO561" t="s">
        <v>3</v>
      </c>
      <c r="EQ561">
        <v>0</v>
      </c>
      <c r="ER561">
        <v>104.99</v>
      </c>
      <c r="ES561">
        <v>104.99</v>
      </c>
      <c r="ET561">
        <v>0</v>
      </c>
      <c r="EU561">
        <v>0</v>
      </c>
      <c r="EV561">
        <v>0</v>
      </c>
      <c r="EW561">
        <v>0</v>
      </c>
      <c r="EX561">
        <v>0</v>
      </c>
      <c r="FQ561">
        <v>0</v>
      </c>
      <c r="FR561">
        <f t="shared" si="485"/>
        <v>0</v>
      </c>
      <c r="FS561">
        <v>0</v>
      </c>
      <c r="FX561">
        <v>91</v>
      </c>
      <c r="FY561">
        <v>70</v>
      </c>
      <c r="GA561" t="s">
        <v>3</v>
      </c>
      <c r="GD561">
        <v>0</v>
      </c>
      <c r="GF561">
        <v>2069056849</v>
      </c>
      <c r="GG561">
        <v>2</v>
      </c>
      <c r="GH561">
        <v>1</v>
      </c>
      <c r="GI561">
        <v>2</v>
      </c>
      <c r="GJ561">
        <v>0</v>
      </c>
      <c r="GK561">
        <f>ROUND(R561*(S12)/100,2)</f>
        <v>0</v>
      </c>
      <c r="GL561">
        <f t="shared" si="486"/>
        <v>0</v>
      </c>
      <c r="GM561">
        <f t="shared" si="487"/>
        <v>369.46</v>
      </c>
      <c r="GN561">
        <f t="shared" si="488"/>
        <v>369.46</v>
      </c>
      <c r="GO561">
        <f t="shared" si="489"/>
        <v>0</v>
      </c>
      <c r="GP561">
        <f t="shared" si="490"/>
        <v>0</v>
      </c>
      <c r="GR561">
        <v>0</v>
      </c>
      <c r="GS561">
        <v>3</v>
      </c>
      <c r="GT561">
        <v>0</v>
      </c>
      <c r="GU561" t="s">
        <v>3</v>
      </c>
      <c r="GV561">
        <f t="shared" si="491"/>
        <v>0</v>
      </c>
      <c r="GW561">
        <v>1</v>
      </c>
      <c r="GX561">
        <f t="shared" si="492"/>
        <v>0</v>
      </c>
      <c r="HA561">
        <v>0</v>
      </c>
      <c r="HB561">
        <v>0</v>
      </c>
      <c r="HC561">
        <f t="shared" si="493"/>
        <v>0</v>
      </c>
      <c r="HE561" t="s">
        <v>3</v>
      </c>
      <c r="HF561" t="s">
        <v>3</v>
      </c>
      <c r="HM561" t="s">
        <v>3</v>
      </c>
      <c r="HN561" t="s">
        <v>3</v>
      </c>
      <c r="HO561" t="s">
        <v>3</v>
      </c>
      <c r="HP561" t="s">
        <v>3</v>
      </c>
      <c r="HQ561" t="s">
        <v>3</v>
      </c>
      <c r="IK561">
        <v>0</v>
      </c>
    </row>
    <row r="562" spans="1:255" x14ac:dyDescent="0.2">
      <c r="A562" s="2">
        <v>17</v>
      </c>
      <c r="B562" s="2">
        <v>1</v>
      </c>
      <c r="C562" s="2">
        <f>ROW(SmtRes!A602)</f>
        <v>602</v>
      </c>
      <c r="D562" s="2">
        <f>ROW(EtalonRes!A594)</f>
        <v>594</v>
      </c>
      <c r="E562" s="2" t="s">
        <v>202</v>
      </c>
      <c r="F562" s="2" t="s">
        <v>519</v>
      </c>
      <c r="G562" s="2" t="s">
        <v>520</v>
      </c>
      <c r="H562" s="2" t="s">
        <v>515</v>
      </c>
      <c r="I562" s="2">
        <v>0.46500000000000002</v>
      </c>
      <c r="J562" s="2">
        <v>0</v>
      </c>
      <c r="K562" s="2">
        <v>0.46500000000000002</v>
      </c>
      <c r="L562" s="2"/>
      <c r="M562" s="2"/>
      <c r="N562" s="2"/>
      <c r="O562" s="2">
        <f t="shared" si="463"/>
        <v>14.53</v>
      </c>
      <c r="P562" s="2">
        <f t="shared" si="464"/>
        <v>0.49</v>
      </c>
      <c r="Q562" s="2">
        <f>(ROUND((ROUND((((ET562*1.25))*AV562*I562),2)*BB562),2)+ROUND((ROUND(((AE562-((EU562*1.25)))*AV562*I562),2)*BS562),2))</f>
        <v>9.31</v>
      </c>
      <c r="R562" s="2">
        <f t="shared" si="465"/>
        <v>2.35</v>
      </c>
      <c r="S562" s="2">
        <f t="shared" si="466"/>
        <v>4.7300000000000004</v>
      </c>
      <c r="T562" s="2">
        <f t="shared" si="467"/>
        <v>0</v>
      </c>
      <c r="U562" s="2">
        <f t="shared" si="468"/>
        <v>0.45453749999999998</v>
      </c>
      <c r="V562" s="2">
        <f t="shared" si="469"/>
        <v>0</v>
      </c>
      <c r="W562" s="2">
        <f t="shared" si="470"/>
        <v>0</v>
      </c>
      <c r="X562" s="2">
        <f t="shared" si="471"/>
        <v>4.3</v>
      </c>
      <c r="Y562" s="2">
        <f t="shared" si="472"/>
        <v>3.31</v>
      </c>
      <c r="Z562" s="2"/>
      <c r="AA562" s="2">
        <v>129761636</v>
      </c>
      <c r="AB562" s="2">
        <f t="shared" si="473"/>
        <v>31.262499999999999</v>
      </c>
      <c r="AC562" s="2">
        <f t="shared" si="474"/>
        <v>1.06</v>
      </c>
      <c r="AD562" s="2">
        <f>ROUND(((((ET562*1.25))-((EU562*1.25)))+AE562),6)</f>
        <v>20.024999999999999</v>
      </c>
      <c r="AE562" s="2">
        <f>ROUND(((EU562*1.25)),6)</f>
        <v>5.0625</v>
      </c>
      <c r="AF562" s="2">
        <f>ROUND(((EV562*1.15)),6)</f>
        <v>10.1775</v>
      </c>
      <c r="AG562" s="2">
        <f t="shared" si="475"/>
        <v>0</v>
      </c>
      <c r="AH562" s="2">
        <f>((EW562*1.15))</f>
        <v>0.97749999999999992</v>
      </c>
      <c r="AI562" s="2">
        <f>((EX562*1.25))</f>
        <v>0</v>
      </c>
      <c r="AJ562" s="2">
        <f t="shared" si="476"/>
        <v>0</v>
      </c>
      <c r="AK562" s="2">
        <v>25.93</v>
      </c>
      <c r="AL562" s="2">
        <v>1.06</v>
      </c>
      <c r="AM562" s="2">
        <v>16.02</v>
      </c>
      <c r="AN562" s="2">
        <v>4.05</v>
      </c>
      <c r="AO562" s="2">
        <v>8.85</v>
      </c>
      <c r="AP562" s="2">
        <v>0</v>
      </c>
      <c r="AQ562" s="2">
        <v>0.85</v>
      </c>
      <c r="AR562" s="2">
        <v>0</v>
      </c>
      <c r="AS562" s="2">
        <v>0</v>
      </c>
      <c r="AT562" s="2">
        <v>91</v>
      </c>
      <c r="AU562" s="2">
        <v>70</v>
      </c>
      <c r="AV562" s="2">
        <v>1</v>
      </c>
      <c r="AW562" s="2">
        <v>1</v>
      </c>
      <c r="AX562" s="2"/>
      <c r="AY562" s="2"/>
      <c r="AZ562" s="2">
        <v>1</v>
      </c>
      <c r="BA562" s="2">
        <v>1</v>
      </c>
      <c r="BB562" s="2">
        <v>1</v>
      </c>
      <c r="BC562" s="2">
        <v>1</v>
      </c>
      <c r="BD562" s="2" t="s">
        <v>3</v>
      </c>
      <c r="BE562" s="2" t="s">
        <v>3</v>
      </c>
      <c r="BF562" s="2" t="s">
        <v>3</v>
      </c>
      <c r="BG562" s="2" t="s">
        <v>3</v>
      </c>
      <c r="BH562" s="2">
        <v>0</v>
      </c>
      <c r="BI562" s="2">
        <v>1</v>
      </c>
      <c r="BJ562" s="2" t="s">
        <v>521</v>
      </c>
      <c r="BK562" s="2"/>
      <c r="BL562" s="2"/>
      <c r="BM562" s="2">
        <v>64</v>
      </c>
      <c r="BN562" s="2">
        <v>0</v>
      </c>
      <c r="BO562" s="2" t="s">
        <v>3</v>
      </c>
      <c r="BP562" s="2">
        <v>0</v>
      </c>
      <c r="BQ562" s="2">
        <v>30</v>
      </c>
      <c r="BR562" s="2">
        <v>0</v>
      </c>
      <c r="BS562" s="2">
        <v>1</v>
      </c>
      <c r="BT562" s="2">
        <v>1</v>
      </c>
      <c r="BU562" s="2">
        <v>1</v>
      </c>
      <c r="BV562" s="2">
        <v>1</v>
      </c>
      <c r="BW562" s="2">
        <v>1</v>
      </c>
      <c r="BX562" s="2">
        <v>1</v>
      </c>
      <c r="BY562" s="2" t="s">
        <v>3</v>
      </c>
      <c r="BZ562" s="2">
        <v>91</v>
      </c>
      <c r="CA562" s="2">
        <v>70</v>
      </c>
      <c r="CB562" s="2" t="s">
        <v>3</v>
      </c>
      <c r="CC562" s="2"/>
      <c r="CD562" s="2"/>
      <c r="CE562" s="2">
        <v>30</v>
      </c>
      <c r="CF562" s="2">
        <v>0</v>
      </c>
      <c r="CG562" s="2">
        <v>0</v>
      </c>
      <c r="CH562" s="2"/>
      <c r="CI562" s="2"/>
      <c r="CJ562" s="2"/>
      <c r="CK562" s="2"/>
      <c r="CL562" s="2"/>
      <c r="CM562" s="2">
        <v>0</v>
      </c>
      <c r="CN562" s="2" t="s">
        <v>1559</v>
      </c>
      <c r="CO562" s="2">
        <v>0</v>
      </c>
      <c r="CP562" s="2">
        <f t="shared" si="477"/>
        <v>14.530000000000001</v>
      </c>
      <c r="CQ562" s="2">
        <f t="shared" si="478"/>
        <v>1.06</v>
      </c>
      <c r="CR562" s="2">
        <f>(ROUND((ROUND((((ET562*1.25))*AV562*1),2)*BB562),2)+ROUND((ROUND(((AE562-((EU562*1.25)))*AV562*1),2)*BS562),2))</f>
        <v>20.03</v>
      </c>
      <c r="CS562" s="2">
        <f t="shared" si="479"/>
        <v>5.0599999999999996</v>
      </c>
      <c r="CT562" s="2">
        <f t="shared" si="480"/>
        <v>10.18</v>
      </c>
      <c r="CU562" s="2">
        <f t="shared" si="481"/>
        <v>0</v>
      </c>
      <c r="CV562" s="2">
        <f t="shared" si="482"/>
        <v>0.97749999999999992</v>
      </c>
      <c r="CW562" s="2">
        <f t="shared" si="483"/>
        <v>0</v>
      </c>
      <c r="CX562" s="2">
        <f t="shared" si="484"/>
        <v>0</v>
      </c>
      <c r="CY562" s="2">
        <f>((S562*BZ562)/100)</f>
        <v>4.3043000000000005</v>
      </c>
      <c r="CZ562" s="2">
        <f>((S562*CA562)/100)</f>
        <v>3.3110000000000004</v>
      </c>
      <c r="DA562" s="2"/>
      <c r="DB562" s="2"/>
      <c r="DC562" s="2" t="s">
        <v>3</v>
      </c>
      <c r="DD562" s="2" t="s">
        <v>3</v>
      </c>
      <c r="DE562" s="2" t="s">
        <v>86</v>
      </c>
      <c r="DF562" s="2" t="s">
        <v>86</v>
      </c>
      <c r="DG562" s="2" t="s">
        <v>87</v>
      </c>
      <c r="DH562" s="2" t="s">
        <v>3</v>
      </c>
      <c r="DI562" s="2" t="s">
        <v>87</v>
      </c>
      <c r="DJ562" s="2" t="s">
        <v>86</v>
      </c>
      <c r="DK562" s="2" t="s">
        <v>3</v>
      </c>
      <c r="DL562" s="2" t="s">
        <v>3</v>
      </c>
      <c r="DM562" s="2" t="s">
        <v>3</v>
      </c>
      <c r="DN562" s="2">
        <v>0</v>
      </c>
      <c r="DO562" s="2">
        <v>0</v>
      </c>
      <c r="DP562" s="2">
        <v>1</v>
      </c>
      <c r="DQ562" s="2">
        <v>1</v>
      </c>
      <c r="DR562" s="2"/>
      <c r="DS562" s="2"/>
      <c r="DT562" s="2"/>
      <c r="DU562" s="2">
        <v>1013</v>
      </c>
      <c r="DV562" s="2" t="s">
        <v>515</v>
      </c>
      <c r="DW562" s="2" t="s">
        <v>515</v>
      </c>
      <c r="DX562" s="2">
        <v>1</v>
      </c>
      <c r="DY562" s="2"/>
      <c r="DZ562" s="2" t="s">
        <v>3</v>
      </c>
      <c r="EA562" s="2" t="s">
        <v>3</v>
      </c>
      <c r="EB562" s="2" t="s">
        <v>3</v>
      </c>
      <c r="EC562" s="2" t="s">
        <v>3</v>
      </c>
      <c r="ED562" s="2"/>
      <c r="EE562" s="2">
        <v>126051525</v>
      </c>
      <c r="EF562" s="2">
        <v>30</v>
      </c>
      <c r="EG562" s="2" t="s">
        <v>23</v>
      </c>
      <c r="EH562" s="2">
        <v>0</v>
      </c>
      <c r="EI562" s="2" t="s">
        <v>3</v>
      </c>
      <c r="EJ562" s="2">
        <v>1</v>
      </c>
      <c r="EK562" s="2">
        <v>64</v>
      </c>
      <c r="EL562" s="2" t="s">
        <v>517</v>
      </c>
      <c r="EM562" s="2" t="s">
        <v>518</v>
      </c>
      <c r="EN562" s="2"/>
      <c r="EO562" s="2" t="s">
        <v>90</v>
      </c>
      <c r="EP562" s="2"/>
      <c r="EQ562" s="2">
        <v>131072</v>
      </c>
      <c r="ER562" s="2">
        <v>25.93</v>
      </c>
      <c r="ES562" s="2">
        <v>1.06</v>
      </c>
      <c r="ET562" s="2">
        <v>16.02</v>
      </c>
      <c r="EU562" s="2">
        <v>4.05</v>
      </c>
      <c r="EV562" s="2">
        <v>8.85</v>
      </c>
      <c r="EW562" s="2">
        <v>0.85</v>
      </c>
      <c r="EX562" s="2">
        <v>0</v>
      </c>
      <c r="EY562" s="2">
        <v>0</v>
      </c>
      <c r="EZ562" s="2"/>
      <c r="FA562" s="2"/>
      <c r="FB562" s="2"/>
      <c r="FC562" s="2"/>
      <c r="FD562" s="2"/>
      <c r="FE562" s="2"/>
      <c r="FF562" s="2"/>
      <c r="FG562" s="2"/>
      <c r="FH562" s="2"/>
      <c r="FI562" s="2"/>
      <c r="FJ562" s="2"/>
      <c r="FK562" s="2"/>
      <c r="FL562" s="2"/>
      <c r="FM562" s="2"/>
      <c r="FN562" s="2"/>
      <c r="FO562" s="2"/>
      <c r="FP562" s="2"/>
      <c r="FQ562" s="2">
        <v>0</v>
      </c>
      <c r="FR562" s="2">
        <f t="shared" si="485"/>
        <v>0</v>
      </c>
      <c r="FS562" s="2">
        <v>0</v>
      </c>
      <c r="FT562" s="2"/>
      <c r="FU562" s="2"/>
      <c r="FV562" s="2"/>
      <c r="FW562" s="2"/>
      <c r="FX562" s="2">
        <v>91</v>
      </c>
      <c r="FY562" s="2">
        <v>70</v>
      </c>
      <c r="FZ562" s="2"/>
      <c r="GA562" s="2" t="s">
        <v>3</v>
      </c>
      <c r="GB562" s="2"/>
      <c r="GC562" s="2"/>
      <c r="GD562" s="2">
        <v>0</v>
      </c>
      <c r="GE562" s="2"/>
      <c r="GF562" s="2">
        <v>-1346104101</v>
      </c>
      <c r="GG562" s="2">
        <v>2</v>
      </c>
      <c r="GH562" s="2">
        <v>1</v>
      </c>
      <c r="GI562" s="2">
        <v>-2</v>
      </c>
      <c r="GJ562" s="2">
        <v>0</v>
      </c>
      <c r="GK562" s="2">
        <f>ROUND(R562*(R12)/100,2)</f>
        <v>4.1100000000000003</v>
      </c>
      <c r="GL562" s="2">
        <f t="shared" si="486"/>
        <v>0</v>
      </c>
      <c r="GM562" s="2">
        <f t="shared" si="487"/>
        <v>26.25</v>
      </c>
      <c r="GN562" s="2">
        <f t="shared" si="488"/>
        <v>26.25</v>
      </c>
      <c r="GO562" s="2">
        <f t="shared" si="489"/>
        <v>0</v>
      </c>
      <c r="GP562" s="2">
        <f t="shared" si="490"/>
        <v>0</v>
      </c>
      <c r="GQ562" s="2"/>
      <c r="GR562" s="2">
        <v>0</v>
      </c>
      <c r="GS562" s="2">
        <v>0</v>
      </c>
      <c r="GT562" s="2">
        <v>0</v>
      </c>
      <c r="GU562" s="2" t="s">
        <v>3</v>
      </c>
      <c r="GV562" s="2">
        <f t="shared" si="491"/>
        <v>0</v>
      </c>
      <c r="GW562" s="2">
        <v>1</v>
      </c>
      <c r="GX562" s="2">
        <f t="shared" si="492"/>
        <v>0</v>
      </c>
      <c r="GY562" s="2"/>
      <c r="GZ562" s="2"/>
      <c r="HA562" s="2">
        <v>0</v>
      </c>
      <c r="HB562" s="2">
        <v>0</v>
      </c>
      <c r="HC562" s="2">
        <f t="shared" si="493"/>
        <v>0</v>
      </c>
      <c r="HD562" s="2"/>
      <c r="HE562" s="2" t="s">
        <v>3</v>
      </c>
      <c r="HF562" s="2" t="s">
        <v>3</v>
      </c>
      <c r="HG562" s="2"/>
      <c r="HH562" s="2"/>
      <c r="HI562" s="2"/>
      <c r="HJ562" s="2"/>
      <c r="HK562" s="2"/>
      <c r="HL562" s="2"/>
      <c r="HM562" s="2" t="s">
        <v>3</v>
      </c>
      <c r="HN562" s="2" t="s">
        <v>3</v>
      </c>
      <c r="HO562" s="2" t="s">
        <v>3</v>
      </c>
      <c r="HP562" s="2" t="s">
        <v>3</v>
      </c>
      <c r="HQ562" s="2" t="s">
        <v>3</v>
      </c>
      <c r="HR562" s="2"/>
      <c r="HS562" s="2"/>
      <c r="HT562" s="2"/>
      <c r="HU562" s="2"/>
      <c r="HV562" s="2"/>
      <c r="HW562" s="2"/>
      <c r="HX562" s="2"/>
      <c r="HY562" s="2"/>
      <c r="HZ562" s="2"/>
      <c r="IA562" s="2"/>
      <c r="IB562" s="2"/>
      <c r="IC562" s="2"/>
      <c r="ID562" s="2"/>
      <c r="IE562" s="2"/>
      <c r="IF562" s="2"/>
      <c r="IG562" s="2"/>
      <c r="IH562" s="2"/>
      <c r="II562" s="2"/>
      <c r="IJ562" s="2"/>
      <c r="IK562" s="2">
        <v>0</v>
      </c>
      <c r="IL562" s="2"/>
      <c r="IM562" s="2"/>
      <c r="IN562" s="2"/>
      <c r="IO562" s="2"/>
      <c r="IP562" s="2"/>
      <c r="IQ562" s="2"/>
      <c r="IR562" s="2"/>
      <c r="IS562" s="2"/>
      <c r="IT562" s="2"/>
      <c r="IU562" s="2"/>
    </row>
    <row r="563" spans="1:255" x14ac:dyDescent="0.2">
      <c r="A563">
        <v>17</v>
      </c>
      <c r="B563">
        <v>1</v>
      </c>
      <c r="C563">
        <f>ROW(SmtRes!A608)</f>
        <v>608</v>
      </c>
      <c r="D563">
        <f>ROW(EtalonRes!A600)</f>
        <v>600</v>
      </c>
      <c r="E563" t="s">
        <v>202</v>
      </c>
      <c r="F563" t="s">
        <v>519</v>
      </c>
      <c r="G563" t="s">
        <v>520</v>
      </c>
      <c r="H563" t="s">
        <v>515</v>
      </c>
      <c r="I563">
        <v>0.46500000000000002</v>
      </c>
      <c r="J563">
        <v>0</v>
      </c>
      <c r="K563">
        <v>0.46500000000000002</v>
      </c>
      <c r="O563">
        <f t="shared" si="463"/>
        <v>263.24</v>
      </c>
      <c r="P563">
        <f t="shared" si="464"/>
        <v>2.94</v>
      </c>
      <c r="Q563">
        <f>(ROUND((ROUND((((ET563*1.25))*AV563*I563),2)*BB563),2)+ROUND((ROUND(((AE563-((EU563*1.25)))*AV563*I563),2)*BS563),2))</f>
        <v>122.99</v>
      </c>
      <c r="R563">
        <f t="shared" si="465"/>
        <v>68.22</v>
      </c>
      <c r="S563">
        <f t="shared" si="466"/>
        <v>137.31</v>
      </c>
      <c r="T563">
        <f t="shared" si="467"/>
        <v>0</v>
      </c>
      <c r="U563">
        <f t="shared" si="468"/>
        <v>0.45453749999999998</v>
      </c>
      <c r="V563">
        <f t="shared" si="469"/>
        <v>0</v>
      </c>
      <c r="W563">
        <f t="shared" si="470"/>
        <v>0</v>
      </c>
      <c r="X563">
        <f t="shared" si="471"/>
        <v>102.98</v>
      </c>
      <c r="Y563">
        <f t="shared" si="472"/>
        <v>56.3</v>
      </c>
      <c r="AA563">
        <v>129761633</v>
      </c>
      <c r="AB563">
        <f t="shared" si="473"/>
        <v>31.262499999999999</v>
      </c>
      <c r="AC563">
        <f t="shared" si="474"/>
        <v>1.06</v>
      </c>
      <c r="AD563">
        <f>ROUND(((((ET563*1.25))-((EU563*1.25)))+AE563),6)</f>
        <v>20.024999999999999</v>
      </c>
      <c r="AE563">
        <f>ROUND(((EU563*1.25)),6)</f>
        <v>5.0625</v>
      </c>
      <c r="AF563">
        <f>ROUND(((EV563*1.15)),6)</f>
        <v>10.1775</v>
      </c>
      <c r="AG563">
        <f t="shared" si="475"/>
        <v>0</v>
      </c>
      <c r="AH563">
        <f>((EW563*1.15))</f>
        <v>0.97749999999999992</v>
      </c>
      <c r="AI563">
        <f>((EX563*1.25))</f>
        <v>0</v>
      </c>
      <c r="AJ563">
        <f t="shared" si="476"/>
        <v>0</v>
      </c>
      <c r="AK563">
        <v>25.93</v>
      </c>
      <c r="AL563">
        <v>1.06</v>
      </c>
      <c r="AM563">
        <v>16.02</v>
      </c>
      <c r="AN563">
        <v>4.05</v>
      </c>
      <c r="AO563">
        <v>8.85</v>
      </c>
      <c r="AP563">
        <v>0</v>
      </c>
      <c r="AQ563">
        <v>0.85</v>
      </c>
      <c r="AR563">
        <v>0</v>
      </c>
      <c r="AS563">
        <v>0</v>
      </c>
      <c r="AT563">
        <v>75</v>
      </c>
      <c r="AU563">
        <v>41</v>
      </c>
      <c r="AV563">
        <v>1</v>
      </c>
      <c r="AW563">
        <v>1</v>
      </c>
      <c r="AZ563">
        <v>1</v>
      </c>
      <c r="BA563">
        <v>29.03</v>
      </c>
      <c r="BB563">
        <v>13.21</v>
      </c>
      <c r="BC563">
        <v>6.01</v>
      </c>
      <c r="BD563" t="s">
        <v>3</v>
      </c>
      <c r="BE563" t="s">
        <v>3</v>
      </c>
      <c r="BF563" t="s">
        <v>3</v>
      </c>
      <c r="BG563" t="s">
        <v>3</v>
      </c>
      <c r="BH563">
        <v>0</v>
      </c>
      <c r="BI563">
        <v>1</v>
      </c>
      <c r="BJ563" t="s">
        <v>521</v>
      </c>
      <c r="BM563">
        <v>64</v>
      </c>
      <c r="BN563">
        <v>0</v>
      </c>
      <c r="BO563" t="s">
        <v>519</v>
      </c>
      <c r="BP563">
        <v>1</v>
      </c>
      <c r="BQ563">
        <v>30</v>
      </c>
      <c r="BR563">
        <v>0</v>
      </c>
      <c r="BS563">
        <v>29.03</v>
      </c>
      <c r="BT563">
        <v>1</v>
      </c>
      <c r="BU563">
        <v>1</v>
      </c>
      <c r="BV563">
        <v>1</v>
      </c>
      <c r="BW563">
        <v>1</v>
      </c>
      <c r="BX563">
        <v>1</v>
      </c>
      <c r="BY563" t="s">
        <v>3</v>
      </c>
      <c r="BZ563">
        <v>75</v>
      </c>
      <c r="CA563">
        <v>41</v>
      </c>
      <c r="CB563" t="s">
        <v>3</v>
      </c>
      <c r="CE563">
        <v>30</v>
      </c>
      <c r="CF563">
        <v>0</v>
      </c>
      <c r="CG563">
        <v>0</v>
      </c>
      <c r="CM563">
        <v>0</v>
      </c>
      <c r="CN563" t="s">
        <v>1559</v>
      </c>
      <c r="CO563">
        <v>0</v>
      </c>
      <c r="CP563">
        <f t="shared" si="477"/>
        <v>263.24</v>
      </c>
      <c r="CQ563">
        <f t="shared" si="478"/>
        <v>6.37</v>
      </c>
      <c r="CR563">
        <f>(ROUND((ROUND((((ET563*1.25))*AV563*1),2)*BB563),2)+ROUND((ROUND(((AE563-((EU563*1.25)))*AV563*1),2)*BS563),2))</f>
        <v>264.60000000000002</v>
      </c>
      <c r="CS563">
        <f t="shared" si="479"/>
        <v>146.88999999999999</v>
      </c>
      <c r="CT563">
        <f t="shared" si="480"/>
        <v>295.52999999999997</v>
      </c>
      <c r="CU563">
        <f t="shared" si="481"/>
        <v>0</v>
      </c>
      <c r="CV563">
        <f t="shared" si="482"/>
        <v>0.97749999999999992</v>
      </c>
      <c r="CW563">
        <f t="shared" si="483"/>
        <v>0</v>
      </c>
      <c r="CX563">
        <f t="shared" si="484"/>
        <v>0</v>
      </c>
      <c r="CY563">
        <f>S563*(BZ563/100)</f>
        <v>102.9825</v>
      </c>
      <c r="CZ563">
        <f>S563*(CA563/100)</f>
        <v>56.2971</v>
      </c>
      <c r="DC563" t="s">
        <v>3</v>
      </c>
      <c r="DD563" t="s">
        <v>3</v>
      </c>
      <c r="DE563" t="s">
        <v>86</v>
      </c>
      <c r="DF563" t="s">
        <v>86</v>
      </c>
      <c r="DG563" t="s">
        <v>87</v>
      </c>
      <c r="DH563" t="s">
        <v>3</v>
      </c>
      <c r="DI563" t="s">
        <v>87</v>
      </c>
      <c r="DJ563" t="s">
        <v>86</v>
      </c>
      <c r="DK563" t="s">
        <v>3</v>
      </c>
      <c r="DL563" t="s">
        <v>3</v>
      </c>
      <c r="DM563" t="s">
        <v>3</v>
      </c>
      <c r="DN563">
        <v>91</v>
      </c>
      <c r="DO563">
        <v>70</v>
      </c>
      <c r="DP563">
        <v>1</v>
      </c>
      <c r="DQ563">
        <v>1</v>
      </c>
      <c r="DU563">
        <v>1013</v>
      </c>
      <c r="DV563" t="s">
        <v>515</v>
      </c>
      <c r="DW563" t="s">
        <v>515</v>
      </c>
      <c r="DX563">
        <v>1</v>
      </c>
      <c r="DZ563" t="s">
        <v>3</v>
      </c>
      <c r="EA563" t="s">
        <v>3</v>
      </c>
      <c r="EB563" t="s">
        <v>3</v>
      </c>
      <c r="EC563" t="s">
        <v>3</v>
      </c>
      <c r="EE563">
        <v>126051525</v>
      </c>
      <c r="EF563">
        <v>30</v>
      </c>
      <c r="EG563" t="s">
        <v>23</v>
      </c>
      <c r="EH563">
        <v>0</v>
      </c>
      <c r="EI563" t="s">
        <v>3</v>
      </c>
      <c r="EJ563">
        <v>1</v>
      </c>
      <c r="EK563">
        <v>64</v>
      </c>
      <c r="EL563" t="s">
        <v>517</v>
      </c>
      <c r="EM563" t="s">
        <v>518</v>
      </c>
      <c r="EO563" t="s">
        <v>90</v>
      </c>
      <c r="EQ563">
        <v>131072</v>
      </c>
      <c r="ER563">
        <v>25.93</v>
      </c>
      <c r="ES563">
        <v>1.06</v>
      </c>
      <c r="ET563">
        <v>16.02</v>
      </c>
      <c r="EU563">
        <v>4.05</v>
      </c>
      <c r="EV563">
        <v>8.85</v>
      </c>
      <c r="EW563">
        <v>0.85</v>
      </c>
      <c r="EX563">
        <v>0</v>
      </c>
      <c r="EY563">
        <v>0</v>
      </c>
      <c r="FQ563">
        <v>0</v>
      </c>
      <c r="FR563">
        <f t="shared" si="485"/>
        <v>0</v>
      </c>
      <c r="FS563">
        <v>0</v>
      </c>
      <c r="FX563">
        <v>91</v>
      </c>
      <c r="FY563">
        <v>70</v>
      </c>
      <c r="GA563" t="s">
        <v>3</v>
      </c>
      <c r="GD563">
        <v>0</v>
      </c>
      <c r="GF563">
        <v>-1346104101</v>
      </c>
      <c r="GG563">
        <v>2</v>
      </c>
      <c r="GH563">
        <v>1</v>
      </c>
      <c r="GI563">
        <v>2</v>
      </c>
      <c r="GJ563">
        <v>0</v>
      </c>
      <c r="GK563">
        <f>ROUND(R563*(S12)/100,2)</f>
        <v>109.15</v>
      </c>
      <c r="GL563">
        <f t="shared" si="486"/>
        <v>0</v>
      </c>
      <c r="GM563">
        <f t="shared" si="487"/>
        <v>531.66999999999996</v>
      </c>
      <c r="GN563">
        <f t="shared" si="488"/>
        <v>531.66999999999996</v>
      </c>
      <c r="GO563">
        <f t="shared" si="489"/>
        <v>0</v>
      </c>
      <c r="GP563">
        <f t="shared" si="490"/>
        <v>0</v>
      </c>
      <c r="GR563">
        <v>0</v>
      </c>
      <c r="GS563">
        <v>3</v>
      </c>
      <c r="GT563">
        <v>0</v>
      </c>
      <c r="GU563" t="s">
        <v>3</v>
      </c>
      <c r="GV563">
        <f t="shared" si="491"/>
        <v>0</v>
      </c>
      <c r="GW563">
        <v>1</v>
      </c>
      <c r="GX563">
        <f t="shared" si="492"/>
        <v>0</v>
      </c>
      <c r="HA563">
        <v>0</v>
      </c>
      <c r="HB563">
        <v>0</v>
      </c>
      <c r="HC563">
        <f t="shared" si="493"/>
        <v>0</v>
      </c>
      <c r="HE563" t="s">
        <v>3</v>
      </c>
      <c r="HF563" t="s">
        <v>3</v>
      </c>
      <c r="HM563" t="s">
        <v>3</v>
      </c>
      <c r="HN563" t="s">
        <v>3</v>
      </c>
      <c r="HO563" t="s">
        <v>3</v>
      </c>
      <c r="HP563" t="s">
        <v>3</v>
      </c>
      <c r="HQ563" t="s">
        <v>3</v>
      </c>
      <c r="IK563">
        <v>0</v>
      </c>
    </row>
    <row r="564" spans="1:255" x14ac:dyDescent="0.2">
      <c r="A564" s="2">
        <v>18</v>
      </c>
      <c r="B564" s="2">
        <v>1</v>
      </c>
      <c r="C564" s="2">
        <v>602</v>
      </c>
      <c r="D564" s="2"/>
      <c r="E564" s="2" t="s">
        <v>209</v>
      </c>
      <c r="F564" s="2" t="s">
        <v>522</v>
      </c>
      <c r="G564" s="2" t="s">
        <v>523</v>
      </c>
      <c r="H564" s="2" t="s">
        <v>94</v>
      </c>
      <c r="I564" s="2">
        <f>I562*J564</f>
        <v>0.53474999999999995</v>
      </c>
      <c r="J564" s="2">
        <v>1.1499999999999999</v>
      </c>
      <c r="K564" s="2">
        <v>1.1499999999999999</v>
      </c>
      <c r="L564" s="2"/>
      <c r="M564" s="2"/>
      <c r="N564" s="2"/>
      <c r="O564" s="2">
        <f t="shared" si="463"/>
        <v>105.62</v>
      </c>
      <c r="P564" s="2">
        <f t="shared" si="464"/>
        <v>105.62</v>
      </c>
      <c r="Q564" s="2">
        <f>(ROUND((ROUND(((ET564)*AV564*I564),2)*BB564),2)+ROUND((ROUND(((AE564-(EU564))*AV564*I564),2)*BS564),2))</f>
        <v>0</v>
      </c>
      <c r="R564" s="2">
        <f t="shared" si="465"/>
        <v>0</v>
      </c>
      <c r="S564" s="2">
        <f t="shared" si="466"/>
        <v>0</v>
      </c>
      <c r="T564" s="2">
        <f t="shared" si="467"/>
        <v>0</v>
      </c>
      <c r="U564" s="2">
        <f t="shared" si="468"/>
        <v>0</v>
      </c>
      <c r="V564" s="2">
        <f t="shared" si="469"/>
        <v>0</v>
      </c>
      <c r="W564" s="2">
        <f t="shared" si="470"/>
        <v>0</v>
      </c>
      <c r="X564" s="2">
        <f t="shared" si="471"/>
        <v>0</v>
      </c>
      <c r="Y564" s="2">
        <f t="shared" si="472"/>
        <v>0</v>
      </c>
      <c r="Z564" s="2"/>
      <c r="AA564" s="2">
        <v>129761636</v>
      </c>
      <c r="AB564" s="2">
        <f t="shared" si="473"/>
        <v>197.51</v>
      </c>
      <c r="AC564" s="2">
        <f t="shared" si="474"/>
        <v>197.51</v>
      </c>
      <c r="AD564" s="2">
        <f>ROUND((((ET564)-(EU564))+AE564),6)</f>
        <v>0</v>
      </c>
      <c r="AE564" s="2">
        <f>ROUND((EU564),6)</f>
        <v>0</v>
      </c>
      <c r="AF564" s="2">
        <f>ROUND((EV564),6)</f>
        <v>0</v>
      </c>
      <c r="AG564" s="2">
        <f t="shared" si="475"/>
        <v>0</v>
      </c>
      <c r="AH564" s="2">
        <f>(EW564)</f>
        <v>0</v>
      </c>
      <c r="AI564" s="2">
        <f>(EX564)</f>
        <v>0</v>
      </c>
      <c r="AJ564" s="2">
        <f t="shared" si="476"/>
        <v>0</v>
      </c>
      <c r="AK564" s="2">
        <v>197.51</v>
      </c>
      <c r="AL564" s="2">
        <v>197.51</v>
      </c>
      <c r="AM564" s="2">
        <v>0</v>
      </c>
      <c r="AN564" s="2">
        <v>0</v>
      </c>
      <c r="AO564" s="2">
        <v>0</v>
      </c>
      <c r="AP564" s="2">
        <v>0</v>
      </c>
      <c r="AQ564" s="2">
        <v>0</v>
      </c>
      <c r="AR564" s="2">
        <v>0</v>
      </c>
      <c r="AS564" s="2">
        <v>0</v>
      </c>
      <c r="AT564" s="2">
        <v>91</v>
      </c>
      <c r="AU564" s="2">
        <v>70</v>
      </c>
      <c r="AV564" s="2">
        <v>1</v>
      </c>
      <c r="AW564" s="2">
        <v>1</v>
      </c>
      <c r="AX564" s="2"/>
      <c r="AY564" s="2"/>
      <c r="AZ564" s="2">
        <v>1</v>
      </c>
      <c r="BA564" s="2">
        <v>1</v>
      </c>
      <c r="BB564" s="2">
        <v>1</v>
      </c>
      <c r="BC564" s="2">
        <v>1</v>
      </c>
      <c r="BD564" s="2" t="s">
        <v>3</v>
      </c>
      <c r="BE564" s="2" t="s">
        <v>3</v>
      </c>
      <c r="BF564" s="2" t="s">
        <v>3</v>
      </c>
      <c r="BG564" s="2" t="s">
        <v>3</v>
      </c>
      <c r="BH564" s="2">
        <v>3</v>
      </c>
      <c r="BI564" s="2">
        <v>1</v>
      </c>
      <c r="BJ564" s="2" t="s">
        <v>524</v>
      </c>
      <c r="BK564" s="2"/>
      <c r="BL564" s="2"/>
      <c r="BM564" s="2">
        <v>64</v>
      </c>
      <c r="BN564" s="2">
        <v>0</v>
      </c>
      <c r="BO564" s="2" t="s">
        <v>3</v>
      </c>
      <c r="BP564" s="2">
        <v>0</v>
      </c>
      <c r="BQ564" s="2">
        <v>30</v>
      </c>
      <c r="BR564" s="2">
        <v>0</v>
      </c>
      <c r="BS564" s="2">
        <v>1</v>
      </c>
      <c r="BT564" s="2">
        <v>1</v>
      </c>
      <c r="BU564" s="2">
        <v>1</v>
      </c>
      <c r="BV564" s="2">
        <v>1</v>
      </c>
      <c r="BW564" s="2">
        <v>1</v>
      </c>
      <c r="BX564" s="2">
        <v>1</v>
      </c>
      <c r="BY564" s="2" t="s">
        <v>3</v>
      </c>
      <c r="BZ564" s="2">
        <v>91</v>
      </c>
      <c r="CA564" s="2">
        <v>70</v>
      </c>
      <c r="CB564" s="2" t="s">
        <v>3</v>
      </c>
      <c r="CC564" s="2"/>
      <c r="CD564" s="2"/>
      <c r="CE564" s="2">
        <v>30</v>
      </c>
      <c r="CF564" s="2">
        <v>0</v>
      </c>
      <c r="CG564" s="2">
        <v>0</v>
      </c>
      <c r="CH564" s="2"/>
      <c r="CI564" s="2"/>
      <c r="CJ564" s="2"/>
      <c r="CK564" s="2"/>
      <c r="CL564" s="2"/>
      <c r="CM564" s="2">
        <v>0</v>
      </c>
      <c r="CN564" s="2" t="s">
        <v>3</v>
      </c>
      <c r="CO564" s="2">
        <v>0</v>
      </c>
      <c r="CP564" s="2">
        <f t="shared" si="477"/>
        <v>105.62</v>
      </c>
      <c r="CQ564" s="2">
        <f t="shared" si="478"/>
        <v>197.51</v>
      </c>
      <c r="CR564" s="2">
        <f>(ROUND((ROUND(((ET564)*AV564*1),2)*BB564),2)+ROUND((ROUND(((AE564-(EU564))*AV564*1),2)*BS564),2))</f>
        <v>0</v>
      </c>
      <c r="CS564" s="2">
        <f t="shared" si="479"/>
        <v>0</v>
      </c>
      <c r="CT564" s="2">
        <f t="shared" si="480"/>
        <v>0</v>
      </c>
      <c r="CU564" s="2">
        <f t="shared" si="481"/>
        <v>0</v>
      </c>
      <c r="CV564" s="2">
        <f t="shared" si="482"/>
        <v>0</v>
      </c>
      <c r="CW564" s="2">
        <f t="shared" si="483"/>
        <v>0</v>
      </c>
      <c r="CX564" s="2">
        <f t="shared" si="484"/>
        <v>0</v>
      </c>
      <c r="CY564" s="2">
        <f>((S564*BZ564)/100)</f>
        <v>0</v>
      </c>
      <c r="CZ564" s="2">
        <f>((S564*CA564)/100)</f>
        <v>0</v>
      </c>
      <c r="DA564" s="2"/>
      <c r="DB564" s="2"/>
      <c r="DC564" s="2" t="s">
        <v>3</v>
      </c>
      <c r="DD564" s="2" t="s">
        <v>3</v>
      </c>
      <c r="DE564" s="2" t="s">
        <v>3</v>
      </c>
      <c r="DF564" s="2" t="s">
        <v>3</v>
      </c>
      <c r="DG564" s="2" t="s">
        <v>3</v>
      </c>
      <c r="DH564" s="2" t="s">
        <v>3</v>
      </c>
      <c r="DI564" s="2" t="s">
        <v>3</v>
      </c>
      <c r="DJ564" s="2" t="s">
        <v>3</v>
      </c>
      <c r="DK564" s="2" t="s">
        <v>3</v>
      </c>
      <c r="DL564" s="2" t="s">
        <v>3</v>
      </c>
      <c r="DM564" s="2" t="s">
        <v>3</v>
      </c>
      <c r="DN564" s="2">
        <v>0</v>
      </c>
      <c r="DO564" s="2">
        <v>0</v>
      </c>
      <c r="DP564" s="2">
        <v>1</v>
      </c>
      <c r="DQ564" s="2">
        <v>1</v>
      </c>
      <c r="DR564" s="2"/>
      <c r="DS564" s="2"/>
      <c r="DT564" s="2"/>
      <c r="DU564" s="2">
        <v>1007</v>
      </c>
      <c r="DV564" s="2" t="s">
        <v>94</v>
      </c>
      <c r="DW564" s="2" t="s">
        <v>94</v>
      </c>
      <c r="DX564" s="2">
        <v>1</v>
      </c>
      <c r="DY564" s="2"/>
      <c r="DZ564" s="2" t="s">
        <v>3</v>
      </c>
      <c r="EA564" s="2" t="s">
        <v>3</v>
      </c>
      <c r="EB564" s="2" t="s">
        <v>3</v>
      </c>
      <c r="EC564" s="2" t="s">
        <v>3</v>
      </c>
      <c r="ED564" s="2"/>
      <c r="EE564" s="2">
        <v>126051525</v>
      </c>
      <c r="EF564" s="2">
        <v>30</v>
      </c>
      <c r="EG564" s="2" t="s">
        <v>23</v>
      </c>
      <c r="EH564" s="2">
        <v>0</v>
      </c>
      <c r="EI564" s="2" t="s">
        <v>3</v>
      </c>
      <c r="EJ564" s="2">
        <v>1</v>
      </c>
      <c r="EK564" s="2">
        <v>64</v>
      </c>
      <c r="EL564" s="2" t="s">
        <v>517</v>
      </c>
      <c r="EM564" s="2" t="s">
        <v>518</v>
      </c>
      <c r="EN564" s="2"/>
      <c r="EO564" s="2" t="s">
        <v>3</v>
      </c>
      <c r="EP564" s="2"/>
      <c r="EQ564" s="2">
        <v>0</v>
      </c>
      <c r="ER564" s="2">
        <v>197.51</v>
      </c>
      <c r="ES564" s="2">
        <v>197.51</v>
      </c>
      <c r="ET564" s="2">
        <v>0</v>
      </c>
      <c r="EU564" s="2">
        <v>0</v>
      </c>
      <c r="EV564" s="2">
        <v>0</v>
      </c>
      <c r="EW564" s="2">
        <v>0</v>
      </c>
      <c r="EX564" s="2">
        <v>0</v>
      </c>
      <c r="EY564" s="2"/>
      <c r="EZ564" s="2"/>
      <c r="FA564" s="2"/>
      <c r="FB564" s="2"/>
      <c r="FC564" s="2"/>
      <c r="FD564" s="2"/>
      <c r="FE564" s="2"/>
      <c r="FF564" s="2"/>
      <c r="FG564" s="2"/>
      <c r="FH564" s="2"/>
      <c r="FI564" s="2"/>
      <c r="FJ564" s="2"/>
      <c r="FK564" s="2"/>
      <c r="FL564" s="2"/>
      <c r="FM564" s="2"/>
      <c r="FN564" s="2"/>
      <c r="FO564" s="2"/>
      <c r="FP564" s="2"/>
      <c r="FQ564" s="2">
        <v>0</v>
      </c>
      <c r="FR564" s="2">
        <f t="shared" si="485"/>
        <v>0</v>
      </c>
      <c r="FS564" s="2">
        <v>0</v>
      </c>
      <c r="FT564" s="2"/>
      <c r="FU564" s="2"/>
      <c r="FV564" s="2"/>
      <c r="FW564" s="2"/>
      <c r="FX564" s="2">
        <v>91</v>
      </c>
      <c r="FY564" s="2">
        <v>70</v>
      </c>
      <c r="FZ564" s="2"/>
      <c r="GA564" s="2" t="s">
        <v>3</v>
      </c>
      <c r="GB564" s="2"/>
      <c r="GC564" s="2"/>
      <c r="GD564" s="2">
        <v>0</v>
      </c>
      <c r="GE564" s="2"/>
      <c r="GF564" s="2">
        <v>-1946291914</v>
      </c>
      <c r="GG564" s="2">
        <v>2</v>
      </c>
      <c r="GH564" s="2">
        <v>1</v>
      </c>
      <c r="GI564" s="2">
        <v>-2</v>
      </c>
      <c r="GJ564" s="2">
        <v>0</v>
      </c>
      <c r="GK564" s="2">
        <f>ROUND(R564*(R12)/100,2)</f>
        <v>0</v>
      </c>
      <c r="GL564" s="2">
        <f t="shared" si="486"/>
        <v>0</v>
      </c>
      <c r="GM564" s="2">
        <f t="shared" si="487"/>
        <v>105.62</v>
      </c>
      <c r="GN564" s="2">
        <f t="shared" si="488"/>
        <v>105.62</v>
      </c>
      <c r="GO564" s="2">
        <f t="shared" si="489"/>
        <v>0</v>
      </c>
      <c r="GP564" s="2">
        <f t="shared" si="490"/>
        <v>0</v>
      </c>
      <c r="GQ564" s="2"/>
      <c r="GR564" s="2">
        <v>0</v>
      </c>
      <c r="GS564" s="2">
        <v>0</v>
      </c>
      <c r="GT564" s="2">
        <v>0</v>
      </c>
      <c r="GU564" s="2" t="s">
        <v>3</v>
      </c>
      <c r="GV564" s="2">
        <f t="shared" si="491"/>
        <v>0</v>
      </c>
      <c r="GW564" s="2">
        <v>1</v>
      </c>
      <c r="GX564" s="2">
        <f t="shared" si="492"/>
        <v>0</v>
      </c>
      <c r="GY564" s="2"/>
      <c r="GZ564" s="2"/>
      <c r="HA564" s="2">
        <v>0</v>
      </c>
      <c r="HB564" s="2">
        <v>0</v>
      </c>
      <c r="HC564" s="2">
        <f t="shared" si="493"/>
        <v>0</v>
      </c>
      <c r="HD564" s="2"/>
      <c r="HE564" s="2" t="s">
        <v>3</v>
      </c>
      <c r="HF564" s="2" t="s">
        <v>3</v>
      </c>
      <c r="HG564" s="2"/>
      <c r="HH564" s="2"/>
      <c r="HI564" s="2"/>
      <c r="HJ564" s="2"/>
      <c r="HK564" s="2"/>
      <c r="HL564" s="2"/>
      <c r="HM564" s="2" t="s">
        <v>3</v>
      </c>
      <c r="HN564" s="2" t="s">
        <v>3</v>
      </c>
      <c r="HO564" s="2" t="s">
        <v>3</v>
      </c>
      <c r="HP564" s="2" t="s">
        <v>3</v>
      </c>
      <c r="HQ564" s="2" t="s">
        <v>3</v>
      </c>
      <c r="HR564" s="2"/>
      <c r="HS564" s="2"/>
      <c r="HT564" s="2"/>
      <c r="HU564" s="2"/>
      <c r="HV564" s="2"/>
      <c r="HW564" s="2"/>
      <c r="HX564" s="2"/>
      <c r="HY564" s="2"/>
      <c r="HZ564" s="2"/>
      <c r="IA564" s="2"/>
      <c r="IB564" s="2"/>
      <c r="IC564" s="2"/>
      <c r="ID564" s="2"/>
      <c r="IE564" s="2"/>
      <c r="IF564" s="2"/>
      <c r="IG564" s="2"/>
      <c r="IH564" s="2"/>
      <c r="II564" s="2"/>
      <c r="IJ564" s="2"/>
      <c r="IK564" s="2">
        <v>0</v>
      </c>
      <c r="IL564" s="2"/>
      <c r="IM564" s="2"/>
      <c r="IN564" s="2"/>
      <c r="IO564" s="2"/>
      <c r="IP564" s="2"/>
      <c r="IQ564" s="2"/>
      <c r="IR564" s="2"/>
      <c r="IS564" s="2"/>
      <c r="IT564" s="2"/>
      <c r="IU564" s="2"/>
    </row>
    <row r="565" spans="1:255" x14ac:dyDescent="0.2">
      <c r="A565">
        <v>18</v>
      </c>
      <c r="B565">
        <v>1</v>
      </c>
      <c r="C565">
        <v>608</v>
      </c>
      <c r="E565" t="s">
        <v>209</v>
      </c>
      <c r="F565" t="s">
        <v>522</v>
      </c>
      <c r="G565" t="s">
        <v>523</v>
      </c>
      <c r="H565" t="s">
        <v>94</v>
      </c>
      <c r="I565">
        <f>I563*J565</f>
        <v>0.53474999999999995</v>
      </c>
      <c r="J565">
        <v>1.1499999999999999</v>
      </c>
      <c r="K565">
        <v>1.1499999999999999</v>
      </c>
      <c r="O565">
        <f t="shared" si="463"/>
        <v>1122.74</v>
      </c>
      <c r="P565">
        <f t="shared" si="464"/>
        <v>1122.74</v>
      </c>
      <c r="Q565">
        <f>(ROUND((ROUND(((ET565)*AV565*I565),2)*BB565),2)+ROUND((ROUND(((AE565-(EU565))*AV565*I565),2)*BS565),2))</f>
        <v>0</v>
      </c>
      <c r="R565">
        <f t="shared" si="465"/>
        <v>0</v>
      </c>
      <c r="S565">
        <f t="shared" si="466"/>
        <v>0</v>
      </c>
      <c r="T565">
        <f t="shared" si="467"/>
        <v>0</v>
      </c>
      <c r="U565">
        <f t="shared" si="468"/>
        <v>0</v>
      </c>
      <c r="V565">
        <f t="shared" si="469"/>
        <v>0</v>
      </c>
      <c r="W565">
        <f t="shared" si="470"/>
        <v>0</v>
      </c>
      <c r="X565">
        <f t="shared" si="471"/>
        <v>0</v>
      </c>
      <c r="Y565">
        <f t="shared" si="472"/>
        <v>0</v>
      </c>
      <c r="AA565">
        <v>129761633</v>
      </c>
      <c r="AB565">
        <f t="shared" si="473"/>
        <v>197.51</v>
      </c>
      <c r="AC565">
        <f t="shared" si="474"/>
        <v>197.51</v>
      </c>
      <c r="AD565">
        <f>ROUND((((ET565)-(EU565))+AE565),6)</f>
        <v>0</v>
      </c>
      <c r="AE565">
        <f>ROUND((EU565),6)</f>
        <v>0</v>
      </c>
      <c r="AF565">
        <f>ROUND((EV565),6)</f>
        <v>0</v>
      </c>
      <c r="AG565">
        <f t="shared" si="475"/>
        <v>0</v>
      </c>
      <c r="AH565">
        <f>(EW565)</f>
        <v>0</v>
      </c>
      <c r="AI565">
        <f>(EX565)</f>
        <v>0</v>
      </c>
      <c r="AJ565">
        <f t="shared" si="476"/>
        <v>0</v>
      </c>
      <c r="AK565">
        <v>197.51</v>
      </c>
      <c r="AL565">
        <v>197.51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1</v>
      </c>
      <c r="AW565">
        <v>1</v>
      </c>
      <c r="AZ565">
        <v>1</v>
      </c>
      <c r="BA565">
        <v>1</v>
      </c>
      <c r="BB565">
        <v>1</v>
      </c>
      <c r="BC565">
        <v>10.63</v>
      </c>
      <c r="BD565" t="s">
        <v>3</v>
      </c>
      <c r="BE565" t="s">
        <v>3</v>
      </c>
      <c r="BF565" t="s">
        <v>3</v>
      </c>
      <c r="BG565" t="s">
        <v>3</v>
      </c>
      <c r="BH565">
        <v>3</v>
      </c>
      <c r="BI565">
        <v>1</v>
      </c>
      <c r="BJ565" t="s">
        <v>524</v>
      </c>
      <c r="BM565">
        <v>64</v>
      </c>
      <c r="BN565">
        <v>0</v>
      </c>
      <c r="BO565" t="s">
        <v>522</v>
      </c>
      <c r="BP565">
        <v>1</v>
      </c>
      <c r="BQ565">
        <v>30</v>
      </c>
      <c r="BR565">
        <v>0</v>
      </c>
      <c r="BS565">
        <v>1</v>
      </c>
      <c r="BT565">
        <v>1</v>
      </c>
      <c r="BU565">
        <v>1</v>
      </c>
      <c r="BV565">
        <v>1</v>
      </c>
      <c r="BW565">
        <v>1</v>
      </c>
      <c r="BX565">
        <v>1</v>
      </c>
      <c r="BY565" t="s">
        <v>3</v>
      </c>
      <c r="BZ565">
        <v>0</v>
      </c>
      <c r="CA565">
        <v>0</v>
      </c>
      <c r="CB565" t="s">
        <v>3</v>
      </c>
      <c r="CE565">
        <v>30</v>
      </c>
      <c r="CF565">
        <v>0</v>
      </c>
      <c r="CG565">
        <v>0</v>
      </c>
      <c r="CM565">
        <v>0</v>
      </c>
      <c r="CN565" t="s">
        <v>3</v>
      </c>
      <c r="CO565">
        <v>0</v>
      </c>
      <c r="CP565">
        <f t="shared" si="477"/>
        <v>1122.74</v>
      </c>
      <c r="CQ565">
        <f t="shared" si="478"/>
        <v>2099.5300000000002</v>
      </c>
      <c r="CR565">
        <f>(ROUND((ROUND(((ET565)*AV565*1),2)*BB565),2)+ROUND((ROUND(((AE565-(EU565))*AV565*1),2)*BS565),2))</f>
        <v>0</v>
      </c>
      <c r="CS565">
        <f t="shared" si="479"/>
        <v>0</v>
      </c>
      <c r="CT565">
        <f t="shared" si="480"/>
        <v>0</v>
      </c>
      <c r="CU565">
        <f t="shared" si="481"/>
        <v>0</v>
      </c>
      <c r="CV565">
        <f t="shared" si="482"/>
        <v>0</v>
      </c>
      <c r="CW565">
        <f t="shared" si="483"/>
        <v>0</v>
      </c>
      <c r="CX565">
        <f t="shared" si="484"/>
        <v>0</v>
      </c>
      <c r="CY565">
        <f>S565*(BZ565/100)</f>
        <v>0</v>
      </c>
      <c r="CZ565">
        <f>S565*(CA565/100)</f>
        <v>0</v>
      </c>
      <c r="DC565" t="s">
        <v>3</v>
      </c>
      <c r="DD565" t="s">
        <v>3</v>
      </c>
      <c r="DE565" t="s">
        <v>3</v>
      </c>
      <c r="DF565" t="s">
        <v>3</v>
      </c>
      <c r="DG565" t="s">
        <v>3</v>
      </c>
      <c r="DH565" t="s">
        <v>3</v>
      </c>
      <c r="DI565" t="s">
        <v>3</v>
      </c>
      <c r="DJ565" t="s">
        <v>3</v>
      </c>
      <c r="DK565" t="s">
        <v>3</v>
      </c>
      <c r="DL565" t="s">
        <v>3</v>
      </c>
      <c r="DM565" t="s">
        <v>3</v>
      </c>
      <c r="DN565">
        <v>91</v>
      </c>
      <c r="DO565">
        <v>70</v>
      </c>
      <c r="DP565">
        <v>1</v>
      </c>
      <c r="DQ565">
        <v>1</v>
      </c>
      <c r="DU565">
        <v>1007</v>
      </c>
      <c r="DV565" t="s">
        <v>94</v>
      </c>
      <c r="DW565" t="s">
        <v>94</v>
      </c>
      <c r="DX565">
        <v>1</v>
      </c>
      <c r="DZ565" t="s">
        <v>3</v>
      </c>
      <c r="EA565" t="s">
        <v>3</v>
      </c>
      <c r="EB565" t="s">
        <v>3</v>
      </c>
      <c r="EC565" t="s">
        <v>3</v>
      </c>
      <c r="EE565">
        <v>126051525</v>
      </c>
      <c r="EF565">
        <v>30</v>
      </c>
      <c r="EG565" t="s">
        <v>23</v>
      </c>
      <c r="EH565">
        <v>0</v>
      </c>
      <c r="EI565" t="s">
        <v>3</v>
      </c>
      <c r="EJ565">
        <v>1</v>
      </c>
      <c r="EK565">
        <v>64</v>
      </c>
      <c r="EL565" t="s">
        <v>517</v>
      </c>
      <c r="EM565" t="s">
        <v>518</v>
      </c>
      <c r="EO565" t="s">
        <v>3</v>
      </c>
      <c r="EQ565">
        <v>0</v>
      </c>
      <c r="ER565">
        <v>197.51</v>
      </c>
      <c r="ES565">
        <v>197.51</v>
      </c>
      <c r="ET565">
        <v>0</v>
      </c>
      <c r="EU565">
        <v>0</v>
      </c>
      <c r="EV565">
        <v>0</v>
      </c>
      <c r="EW565">
        <v>0</v>
      </c>
      <c r="EX565">
        <v>0</v>
      </c>
      <c r="FQ565">
        <v>0</v>
      </c>
      <c r="FR565">
        <f t="shared" si="485"/>
        <v>0</v>
      </c>
      <c r="FS565">
        <v>0</v>
      </c>
      <c r="FX565">
        <v>91</v>
      </c>
      <c r="FY565">
        <v>70</v>
      </c>
      <c r="GA565" t="s">
        <v>3</v>
      </c>
      <c r="GD565">
        <v>0</v>
      </c>
      <c r="GF565">
        <v>-1946291914</v>
      </c>
      <c r="GG565">
        <v>2</v>
      </c>
      <c r="GH565">
        <v>1</v>
      </c>
      <c r="GI565">
        <v>2</v>
      </c>
      <c r="GJ565">
        <v>0</v>
      </c>
      <c r="GK565">
        <f>ROUND(R565*(S12)/100,2)</f>
        <v>0</v>
      </c>
      <c r="GL565">
        <f t="shared" si="486"/>
        <v>0</v>
      </c>
      <c r="GM565">
        <f t="shared" si="487"/>
        <v>1122.74</v>
      </c>
      <c r="GN565">
        <f t="shared" si="488"/>
        <v>1122.74</v>
      </c>
      <c r="GO565">
        <f t="shared" si="489"/>
        <v>0</v>
      </c>
      <c r="GP565">
        <f t="shared" si="490"/>
        <v>0</v>
      </c>
      <c r="GR565">
        <v>0</v>
      </c>
      <c r="GS565">
        <v>3</v>
      </c>
      <c r="GT565">
        <v>0</v>
      </c>
      <c r="GU565" t="s">
        <v>3</v>
      </c>
      <c r="GV565">
        <f t="shared" si="491"/>
        <v>0</v>
      </c>
      <c r="GW565">
        <v>1</v>
      </c>
      <c r="GX565">
        <f t="shared" si="492"/>
        <v>0</v>
      </c>
      <c r="HA565">
        <v>0</v>
      </c>
      <c r="HB565">
        <v>0</v>
      </c>
      <c r="HC565">
        <f t="shared" si="493"/>
        <v>0</v>
      </c>
      <c r="HE565" t="s">
        <v>3</v>
      </c>
      <c r="HF565" t="s">
        <v>3</v>
      </c>
      <c r="HM565" t="s">
        <v>3</v>
      </c>
      <c r="HN565" t="s">
        <v>3</v>
      </c>
      <c r="HO565" t="s">
        <v>3</v>
      </c>
      <c r="HP565" t="s">
        <v>3</v>
      </c>
      <c r="HQ565" t="s">
        <v>3</v>
      </c>
      <c r="IK565">
        <v>0</v>
      </c>
    </row>
    <row r="566" spans="1:255" x14ac:dyDescent="0.2">
      <c r="A566" s="2">
        <v>17</v>
      </c>
      <c r="B566" s="2">
        <v>1</v>
      </c>
      <c r="C566" s="2">
        <f>ROW(SmtRes!A624)</f>
        <v>624</v>
      </c>
      <c r="D566" s="2">
        <f>ROW(EtalonRes!A616)</f>
        <v>616</v>
      </c>
      <c r="E566" s="2" t="s">
        <v>212</v>
      </c>
      <c r="F566" s="2" t="s">
        <v>525</v>
      </c>
      <c r="G566" s="2" t="s">
        <v>526</v>
      </c>
      <c r="H566" s="2" t="s">
        <v>527</v>
      </c>
      <c r="I566" s="2">
        <v>5.3E-3</v>
      </c>
      <c r="J566" s="2">
        <v>0</v>
      </c>
      <c r="K566" s="2">
        <v>5.3E-3</v>
      </c>
      <c r="L566" s="2"/>
      <c r="M566" s="2"/>
      <c r="N566" s="2"/>
      <c r="O566" s="2">
        <f t="shared" ref="O566:O577" si="501">ROUND(CP566,2)</f>
        <v>28.7</v>
      </c>
      <c r="P566" s="2">
        <f t="shared" ref="P566:P577" si="502">ROUND((ROUND((AC566*AW566*I566),2)*BC566),2)</f>
        <v>9.5399999999999991</v>
      </c>
      <c r="Q566" s="2">
        <f>(ROUND((ROUND((((ET566*1.25))*AV566*I566),2)*BB566),2)+ROUND((ROUND(((AE566-((EU566*1.25)))*AV566*I566),2)*BS566),2))</f>
        <v>6.96</v>
      </c>
      <c r="R566" s="2">
        <f t="shared" ref="R566:R577" si="503">ROUND((ROUND((AE566*AV566*I566),2)*BS566),2)</f>
        <v>0.28999999999999998</v>
      </c>
      <c r="S566" s="2">
        <f t="shared" ref="S566:S577" si="504">ROUND((ROUND((AF566*AV566*I566),2)*BA566),2)</f>
        <v>12.2</v>
      </c>
      <c r="T566" s="2">
        <f t="shared" ref="T566:T577" si="505">ROUND(CU566*I566,2)</f>
        <v>0</v>
      </c>
      <c r="U566" s="2">
        <f t="shared" ref="U566:U577" si="506">CV566*I566</f>
        <v>1.091005</v>
      </c>
      <c r="V566" s="2">
        <f t="shared" ref="V566:V577" si="507">CW566*I566</f>
        <v>0</v>
      </c>
      <c r="W566" s="2">
        <f t="shared" ref="W566:W577" si="508">ROUND(CX566*I566,2)</f>
        <v>0</v>
      </c>
      <c r="X566" s="2">
        <f t="shared" ref="X566:X577" si="509">ROUND(CY566,2)</f>
        <v>10.37</v>
      </c>
      <c r="Y566" s="2">
        <f t="shared" ref="Y566:Y577" si="510">ROUND(CZ566,2)</f>
        <v>8.5399999999999991</v>
      </c>
      <c r="Z566" s="2"/>
      <c r="AA566" s="2">
        <v>129761636</v>
      </c>
      <c r="AB566" s="2">
        <f t="shared" ref="AB566:AB577" si="511">ROUND((AC566+AD566+AF566),6)</f>
        <v>5415.2455</v>
      </c>
      <c r="AC566" s="2">
        <f t="shared" ref="AC566:AC577" si="512">ROUND((ES566),6)</f>
        <v>1800.88</v>
      </c>
      <c r="AD566" s="2">
        <f>ROUND(((((ET566*1.25))-((EU566*1.25)))+AE566),6)</f>
        <v>1312.9625000000001</v>
      </c>
      <c r="AE566" s="2">
        <f>ROUND(((EU566*1.25)),6)</f>
        <v>53.95</v>
      </c>
      <c r="AF566" s="2">
        <f>ROUND(((EV566*1.15)),6)</f>
        <v>2301.4029999999998</v>
      </c>
      <c r="AG566" s="2">
        <f t="shared" ref="AG566:AG577" si="513">ROUND((AP566),6)</f>
        <v>0</v>
      </c>
      <c r="AH566" s="2">
        <f>((EW566*1.15))</f>
        <v>205.85</v>
      </c>
      <c r="AI566" s="2">
        <f>((EX566*1.25))</f>
        <v>0</v>
      </c>
      <c r="AJ566" s="2">
        <f t="shared" ref="AJ566:AJ577" si="514">(AS566)</f>
        <v>0</v>
      </c>
      <c r="AK566" s="2">
        <v>4852.47</v>
      </c>
      <c r="AL566" s="2">
        <v>1800.88</v>
      </c>
      <c r="AM566" s="2">
        <v>1050.3699999999999</v>
      </c>
      <c r="AN566" s="2">
        <v>43.16</v>
      </c>
      <c r="AO566" s="2">
        <v>2001.22</v>
      </c>
      <c r="AP566" s="2">
        <v>0</v>
      </c>
      <c r="AQ566" s="2">
        <v>179</v>
      </c>
      <c r="AR566" s="2">
        <v>0</v>
      </c>
      <c r="AS566" s="2">
        <v>0</v>
      </c>
      <c r="AT566" s="2">
        <v>85</v>
      </c>
      <c r="AU566" s="2">
        <v>70</v>
      </c>
      <c r="AV566" s="2">
        <v>1</v>
      </c>
      <c r="AW566" s="2">
        <v>1</v>
      </c>
      <c r="AX566" s="2"/>
      <c r="AY566" s="2"/>
      <c r="AZ566" s="2">
        <v>1</v>
      </c>
      <c r="BA566" s="2">
        <v>1</v>
      </c>
      <c r="BB566" s="2">
        <v>1</v>
      </c>
      <c r="BC566" s="2">
        <v>1</v>
      </c>
      <c r="BD566" s="2" t="s">
        <v>3</v>
      </c>
      <c r="BE566" s="2" t="s">
        <v>3</v>
      </c>
      <c r="BF566" s="2" t="s">
        <v>3</v>
      </c>
      <c r="BG566" s="2" t="s">
        <v>3</v>
      </c>
      <c r="BH566" s="2">
        <v>0</v>
      </c>
      <c r="BI566" s="2">
        <v>1</v>
      </c>
      <c r="BJ566" s="2" t="s">
        <v>528</v>
      </c>
      <c r="BK566" s="2"/>
      <c r="BL566" s="2"/>
      <c r="BM566" s="2">
        <v>47</v>
      </c>
      <c r="BN566" s="2">
        <v>0</v>
      </c>
      <c r="BO566" s="2" t="s">
        <v>3</v>
      </c>
      <c r="BP566" s="2">
        <v>0</v>
      </c>
      <c r="BQ566" s="2">
        <v>30</v>
      </c>
      <c r="BR566" s="2">
        <v>0</v>
      </c>
      <c r="BS566" s="2">
        <v>1</v>
      </c>
      <c r="BT566" s="2">
        <v>1</v>
      </c>
      <c r="BU566" s="2">
        <v>1</v>
      </c>
      <c r="BV566" s="2">
        <v>1</v>
      </c>
      <c r="BW566" s="2">
        <v>1</v>
      </c>
      <c r="BX566" s="2">
        <v>1</v>
      </c>
      <c r="BY566" s="2" t="s">
        <v>3</v>
      </c>
      <c r="BZ566" s="2">
        <v>85</v>
      </c>
      <c r="CA566" s="2">
        <v>70</v>
      </c>
      <c r="CB566" s="2" t="s">
        <v>3</v>
      </c>
      <c r="CC566" s="2"/>
      <c r="CD566" s="2"/>
      <c r="CE566" s="2">
        <v>30</v>
      </c>
      <c r="CF566" s="2">
        <v>0</v>
      </c>
      <c r="CG566" s="2">
        <v>0</v>
      </c>
      <c r="CH566" s="2"/>
      <c r="CI566" s="2"/>
      <c r="CJ566" s="2"/>
      <c r="CK566" s="2"/>
      <c r="CL566" s="2"/>
      <c r="CM566" s="2">
        <v>0</v>
      </c>
      <c r="CN566" s="2" t="s">
        <v>1559</v>
      </c>
      <c r="CO566" s="2">
        <v>0</v>
      </c>
      <c r="CP566" s="2">
        <f t="shared" ref="CP566:CP577" si="515">(P566+Q566+S566)</f>
        <v>28.7</v>
      </c>
      <c r="CQ566" s="2">
        <f t="shared" ref="CQ566:CQ577" si="516">ROUND((ROUND((AC566*AW566*1),2)*BC566),2)</f>
        <v>1800.88</v>
      </c>
      <c r="CR566" s="2">
        <f>(ROUND((ROUND((((ET566*1.25))*AV566*1),2)*BB566),2)+ROUND((ROUND(((AE566-((EU566*1.25)))*AV566*1),2)*BS566),2))</f>
        <v>1312.96</v>
      </c>
      <c r="CS566" s="2">
        <f t="shared" ref="CS566:CS577" si="517">ROUND((ROUND((AE566*AV566*1),2)*BS566),2)</f>
        <v>53.95</v>
      </c>
      <c r="CT566" s="2">
        <f t="shared" ref="CT566:CT577" si="518">ROUND((ROUND((AF566*AV566*1),2)*BA566),2)</f>
        <v>2301.4</v>
      </c>
      <c r="CU566" s="2">
        <f t="shared" ref="CU566:CU577" si="519">AG566</f>
        <v>0</v>
      </c>
      <c r="CV566" s="2">
        <f t="shared" ref="CV566:CV577" si="520">(AH566*AV566)</f>
        <v>205.85</v>
      </c>
      <c r="CW566" s="2">
        <f t="shared" ref="CW566:CW577" si="521">AI566</f>
        <v>0</v>
      </c>
      <c r="CX566" s="2">
        <f t="shared" ref="CX566:CX577" si="522">AJ566</f>
        <v>0</v>
      </c>
      <c r="CY566" s="2">
        <f>((S566*BZ566)/100)</f>
        <v>10.37</v>
      </c>
      <c r="CZ566" s="2">
        <f>((S566*CA566)/100)</f>
        <v>8.5399999999999991</v>
      </c>
      <c r="DA566" s="2"/>
      <c r="DB566" s="2"/>
      <c r="DC566" s="2" t="s">
        <v>3</v>
      </c>
      <c r="DD566" s="2" t="s">
        <v>3</v>
      </c>
      <c r="DE566" s="2" t="s">
        <v>86</v>
      </c>
      <c r="DF566" s="2" t="s">
        <v>86</v>
      </c>
      <c r="DG566" s="2" t="s">
        <v>87</v>
      </c>
      <c r="DH566" s="2" t="s">
        <v>3</v>
      </c>
      <c r="DI566" s="2" t="s">
        <v>87</v>
      </c>
      <c r="DJ566" s="2" t="s">
        <v>86</v>
      </c>
      <c r="DK566" s="2" t="s">
        <v>3</v>
      </c>
      <c r="DL566" s="2" t="s">
        <v>3</v>
      </c>
      <c r="DM566" s="2" t="s">
        <v>3</v>
      </c>
      <c r="DN566" s="2">
        <v>0</v>
      </c>
      <c r="DO566" s="2">
        <v>0</v>
      </c>
      <c r="DP566" s="2">
        <v>1</v>
      </c>
      <c r="DQ566" s="2">
        <v>1</v>
      </c>
      <c r="DR566" s="2"/>
      <c r="DS566" s="2"/>
      <c r="DT566" s="2"/>
      <c r="DU566" s="2">
        <v>1013</v>
      </c>
      <c r="DV566" s="2" t="s">
        <v>527</v>
      </c>
      <c r="DW566" s="2" t="s">
        <v>527</v>
      </c>
      <c r="DX566" s="2">
        <v>1</v>
      </c>
      <c r="DY566" s="2"/>
      <c r="DZ566" s="2" t="s">
        <v>3</v>
      </c>
      <c r="EA566" s="2" t="s">
        <v>3</v>
      </c>
      <c r="EB566" s="2" t="s">
        <v>3</v>
      </c>
      <c r="EC566" s="2" t="s">
        <v>3</v>
      </c>
      <c r="ED566" s="2"/>
      <c r="EE566" s="2">
        <v>126051508</v>
      </c>
      <c r="EF566" s="2">
        <v>30</v>
      </c>
      <c r="EG566" s="2" t="s">
        <v>23</v>
      </c>
      <c r="EH566" s="2">
        <v>0</v>
      </c>
      <c r="EI566" s="2" t="s">
        <v>3</v>
      </c>
      <c r="EJ566" s="2">
        <v>1</v>
      </c>
      <c r="EK566" s="2">
        <v>47</v>
      </c>
      <c r="EL566" s="2" t="s">
        <v>529</v>
      </c>
      <c r="EM566" s="2" t="s">
        <v>530</v>
      </c>
      <c r="EN566" s="2"/>
      <c r="EO566" s="2" t="s">
        <v>90</v>
      </c>
      <c r="EP566" s="2"/>
      <c r="EQ566" s="2">
        <v>131072</v>
      </c>
      <c r="ER566" s="2">
        <v>4852.47</v>
      </c>
      <c r="ES566" s="2">
        <v>1800.88</v>
      </c>
      <c r="ET566" s="2">
        <v>1050.3699999999999</v>
      </c>
      <c r="EU566" s="2">
        <v>43.16</v>
      </c>
      <c r="EV566" s="2">
        <v>2001.22</v>
      </c>
      <c r="EW566" s="2">
        <v>179</v>
      </c>
      <c r="EX566" s="2">
        <v>0</v>
      </c>
      <c r="EY566" s="2">
        <v>0</v>
      </c>
      <c r="EZ566" s="2"/>
      <c r="FA566" s="2"/>
      <c r="FB566" s="2"/>
      <c r="FC566" s="2"/>
      <c r="FD566" s="2"/>
      <c r="FE566" s="2"/>
      <c r="FF566" s="2"/>
      <c r="FG566" s="2"/>
      <c r="FH566" s="2"/>
      <c r="FI566" s="2"/>
      <c r="FJ566" s="2"/>
      <c r="FK566" s="2"/>
      <c r="FL566" s="2"/>
      <c r="FM566" s="2"/>
      <c r="FN566" s="2"/>
      <c r="FO566" s="2"/>
      <c r="FP566" s="2"/>
      <c r="FQ566" s="2">
        <v>0</v>
      </c>
      <c r="FR566" s="2">
        <f t="shared" ref="FR566:FR577" si="523">ROUND(IF(AND(BH566=3,BI566=3),P566,0),2)</f>
        <v>0</v>
      </c>
      <c r="FS566" s="2">
        <v>0</v>
      </c>
      <c r="FT566" s="2"/>
      <c r="FU566" s="2"/>
      <c r="FV566" s="2"/>
      <c r="FW566" s="2"/>
      <c r="FX566" s="2">
        <v>85</v>
      </c>
      <c r="FY566" s="2">
        <v>70</v>
      </c>
      <c r="FZ566" s="2"/>
      <c r="GA566" s="2" t="s">
        <v>3</v>
      </c>
      <c r="GB566" s="2"/>
      <c r="GC566" s="2"/>
      <c r="GD566" s="2">
        <v>0</v>
      </c>
      <c r="GE566" s="2"/>
      <c r="GF566" s="2">
        <v>1260946012</v>
      </c>
      <c r="GG566" s="2">
        <v>2</v>
      </c>
      <c r="GH566" s="2">
        <v>1</v>
      </c>
      <c r="GI566" s="2">
        <v>-2</v>
      </c>
      <c r="GJ566" s="2">
        <v>0</v>
      </c>
      <c r="GK566" s="2">
        <f>ROUND(R566*(R12)/100,2)</f>
        <v>0.51</v>
      </c>
      <c r="GL566" s="2">
        <f t="shared" ref="GL566:GL577" si="524">ROUND(IF(AND(BH566=3,BI566=3,FS566&lt;&gt;0),P566,0),2)</f>
        <v>0</v>
      </c>
      <c r="GM566" s="2">
        <f t="shared" ref="GM566:GM577" si="525">ROUND(O566+X566+Y566+GK566,2)+GX566</f>
        <v>48.12</v>
      </c>
      <c r="GN566" s="2">
        <f t="shared" ref="GN566:GN577" si="526">IF(OR(BI566=0,BI566=1),ROUND(O566+X566+Y566+GK566,2),0)</f>
        <v>48.12</v>
      </c>
      <c r="GO566" s="2">
        <f t="shared" ref="GO566:GO577" si="527">IF(BI566=2,ROUND(O566+X566+Y566+GK566,2),0)</f>
        <v>0</v>
      </c>
      <c r="GP566" s="2">
        <f t="shared" ref="GP566:GP577" si="528">IF(BI566=4,ROUND(O566+X566+Y566+GK566,2)+GX566,0)</f>
        <v>0</v>
      </c>
      <c r="GQ566" s="2"/>
      <c r="GR566" s="2">
        <v>0</v>
      </c>
      <c r="GS566" s="2">
        <v>0</v>
      </c>
      <c r="GT566" s="2">
        <v>0</v>
      </c>
      <c r="GU566" s="2" t="s">
        <v>3</v>
      </c>
      <c r="GV566" s="2">
        <f t="shared" ref="GV566:GV577" si="529">ROUND((GT566),6)</f>
        <v>0</v>
      </c>
      <c r="GW566" s="2">
        <v>1</v>
      </c>
      <c r="GX566" s="2">
        <f t="shared" ref="GX566:GX577" si="530">ROUND(HC566*I566,2)</f>
        <v>0</v>
      </c>
      <c r="GY566" s="2"/>
      <c r="GZ566" s="2"/>
      <c r="HA566" s="2">
        <v>0</v>
      </c>
      <c r="HB566" s="2">
        <v>0</v>
      </c>
      <c r="HC566" s="2">
        <f t="shared" ref="HC566:HC577" si="531">GV566*GW566</f>
        <v>0</v>
      </c>
      <c r="HD566" s="2"/>
      <c r="HE566" s="2" t="s">
        <v>3</v>
      </c>
      <c r="HF566" s="2" t="s">
        <v>3</v>
      </c>
      <c r="HG566" s="2"/>
      <c r="HH566" s="2"/>
      <c r="HI566" s="2"/>
      <c r="HJ566" s="2"/>
      <c r="HK566" s="2"/>
      <c r="HL566" s="2"/>
      <c r="HM566" s="2" t="s">
        <v>3</v>
      </c>
      <c r="HN566" s="2" t="s">
        <v>3</v>
      </c>
      <c r="HO566" s="2" t="s">
        <v>3</v>
      </c>
      <c r="HP566" s="2" t="s">
        <v>3</v>
      </c>
      <c r="HQ566" s="2" t="s">
        <v>3</v>
      </c>
      <c r="HR566" s="2"/>
      <c r="HS566" s="2"/>
      <c r="HT566" s="2"/>
      <c r="HU566" s="2"/>
      <c r="HV566" s="2"/>
      <c r="HW566" s="2"/>
      <c r="HX566" s="2"/>
      <c r="HY566" s="2"/>
      <c r="HZ566" s="2"/>
      <c r="IA566" s="2"/>
      <c r="IB566" s="2"/>
      <c r="IC566" s="2"/>
      <c r="ID566" s="2"/>
      <c r="IE566" s="2"/>
      <c r="IF566" s="2"/>
      <c r="IG566" s="2"/>
      <c r="IH566" s="2"/>
      <c r="II566" s="2"/>
      <c r="IJ566" s="2"/>
      <c r="IK566" s="2">
        <v>0</v>
      </c>
      <c r="IL566" s="2"/>
      <c r="IM566" s="2"/>
      <c r="IN566" s="2"/>
      <c r="IO566" s="2"/>
      <c r="IP566" s="2"/>
      <c r="IQ566" s="2"/>
      <c r="IR566" s="2"/>
      <c r="IS566" s="2"/>
      <c r="IT566" s="2"/>
      <c r="IU566" s="2"/>
    </row>
    <row r="567" spans="1:255" x14ac:dyDescent="0.2">
      <c r="A567">
        <v>17</v>
      </c>
      <c r="B567">
        <v>1</v>
      </c>
      <c r="C567">
        <f>ROW(SmtRes!A640)</f>
        <v>640</v>
      </c>
      <c r="D567">
        <f>ROW(EtalonRes!A632)</f>
        <v>632</v>
      </c>
      <c r="E567" t="s">
        <v>212</v>
      </c>
      <c r="F567" t="s">
        <v>525</v>
      </c>
      <c r="G567" t="s">
        <v>526</v>
      </c>
      <c r="H567" t="s">
        <v>527</v>
      </c>
      <c r="I567">
        <v>5.3E-3</v>
      </c>
      <c r="J567">
        <v>0</v>
      </c>
      <c r="K567">
        <v>5.3E-3</v>
      </c>
      <c r="O567">
        <f t="shared" si="501"/>
        <v>566.4</v>
      </c>
      <c r="P567">
        <f t="shared" si="502"/>
        <v>140.05000000000001</v>
      </c>
      <c r="Q567">
        <f>(ROUND((ROUND((((ET567*1.25))*AV567*I567),2)*BB567),2)+ROUND((ROUND(((AE567-((EU567*1.25)))*AV567*I567),2)*BS567),2))</f>
        <v>72.180000000000007</v>
      </c>
      <c r="R567">
        <f t="shared" si="503"/>
        <v>8.42</v>
      </c>
      <c r="S567">
        <f t="shared" si="504"/>
        <v>354.17</v>
      </c>
      <c r="T567">
        <f t="shared" si="505"/>
        <v>0</v>
      </c>
      <c r="U567">
        <f t="shared" si="506"/>
        <v>1.091005</v>
      </c>
      <c r="V567">
        <f t="shared" si="507"/>
        <v>0</v>
      </c>
      <c r="W567">
        <f t="shared" si="508"/>
        <v>0</v>
      </c>
      <c r="X567">
        <f t="shared" si="509"/>
        <v>247.92</v>
      </c>
      <c r="Y567">
        <f t="shared" si="510"/>
        <v>145.21</v>
      </c>
      <c r="AA567">
        <v>129761633</v>
      </c>
      <c r="AB567">
        <f t="shared" si="511"/>
        <v>5415.2455</v>
      </c>
      <c r="AC567">
        <f t="shared" si="512"/>
        <v>1800.88</v>
      </c>
      <c r="AD567">
        <f>ROUND(((((ET567*1.25))-((EU567*1.25)))+AE567),6)</f>
        <v>1312.9625000000001</v>
      </c>
      <c r="AE567">
        <f>ROUND(((EU567*1.25)),6)</f>
        <v>53.95</v>
      </c>
      <c r="AF567">
        <f>ROUND(((EV567*1.15)),6)</f>
        <v>2301.4029999999998</v>
      </c>
      <c r="AG567">
        <f t="shared" si="513"/>
        <v>0</v>
      </c>
      <c r="AH567">
        <f>((EW567*1.15))</f>
        <v>205.85</v>
      </c>
      <c r="AI567">
        <f>((EX567*1.25))</f>
        <v>0</v>
      </c>
      <c r="AJ567">
        <f t="shared" si="514"/>
        <v>0</v>
      </c>
      <c r="AK567">
        <v>4852.47</v>
      </c>
      <c r="AL567">
        <v>1800.88</v>
      </c>
      <c r="AM567">
        <v>1050.3699999999999</v>
      </c>
      <c r="AN567">
        <v>43.16</v>
      </c>
      <c r="AO567">
        <v>2001.22</v>
      </c>
      <c r="AP567">
        <v>0</v>
      </c>
      <c r="AQ567">
        <v>179</v>
      </c>
      <c r="AR567">
        <v>0</v>
      </c>
      <c r="AS567">
        <v>0</v>
      </c>
      <c r="AT567">
        <v>70</v>
      </c>
      <c r="AU567">
        <v>41</v>
      </c>
      <c r="AV567">
        <v>1</v>
      </c>
      <c r="AW567">
        <v>1</v>
      </c>
      <c r="AZ567">
        <v>1</v>
      </c>
      <c r="BA567">
        <v>29.03</v>
      </c>
      <c r="BB567">
        <v>10.37</v>
      </c>
      <c r="BC567">
        <v>14.68</v>
      </c>
      <c r="BD567" t="s">
        <v>3</v>
      </c>
      <c r="BE567" t="s">
        <v>3</v>
      </c>
      <c r="BF567" t="s">
        <v>3</v>
      </c>
      <c r="BG567" t="s">
        <v>3</v>
      </c>
      <c r="BH567">
        <v>0</v>
      </c>
      <c r="BI567">
        <v>1</v>
      </c>
      <c r="BJ567" t="s">
        <v>528</v>
      </c>
      <c r="BM567">
        <v>47</v>
      </c>
      <c r="BN567">
        <v>0</v>
      </c>
      <c r="BO567" t="s">
        <v>525</v>
      </c>
      <c r="BP567">
        <v>1</v>
      </c>
      <c r="BQ567">
        <v>30</v>
      </c>
      <c r="BR567">
        <v>0</v>
      </c>
      <c r="BS567">
        <v>29.03</v>
      </c>
      <c r="BT567">
        <v>1</v>
      </c>
      <c r="BU567">
        <v>1</v>
      </c>
      <c r="BV567">
        <v>1</v>
      </c>
      <c r="BW567">
        <v>1</v>
      </c>
      <c r="BX567">
        <v>1</v>
      </c>
      <c r="BY567" t="s">
        <v>3</v>
      </c>
      <c r="BZ567">
        <v>70</v>
      </c>
      <c r="CA567">
        <v>41</v>
      </c>
      <c r="CB567" t="s">
        <v>3</v>
      </c>
      <c r="CE567">
        <v>30</v>
      </c>
      <c r="CF567">
        <v>0</v>
      </c>
      <c r="CG567">
        <v>0</v>
      </c>
      <c r="CM567">
        <v>0</v>
      </c>
      <c r="CN567" t="s">
        <v>1559</v>
      </c>
      <c r="CO567">
        <v>0</v>
      </c>
      <c r="CP567">
        <f t="shared" si="515"/>
        <v>566.40000000000009</v>
      </c>
      <c r="CQ567">
        <f t="shared" si="516"/>
        <v>26436.92</v>
      </c>
      <c r="CR567">
        <f>(ROUND((ROUND((((ET567*1.25))*AV567*1),2)*BB567),2)+ROUND((ROUND(((AE567-((EU567*1.25)))*AV567*1),2)*BS567),2))</f>
        <v>13615.4</v>
      </c>
      <c r="CS567">
        <f t="shared" si="517"/>
        <v>1566.17</v>
      </c>
      <c r="CT567">
        <f t="shared" si="518"/>
        <v>66809.64</v>
      </c>
      <c r="CU567">
        <f t="shared" si="519"/>
        <v>0</v>
      </c>
      <c r="CV567">
        <f t="shared" si="520"/>
        <v>205.85</v>
      </c>
      <c r="CW567">
        <f t="shared" si="521"/>
        <v>0</v>
      </c>
      <c r="CX567">
        <f t="shared" si="522"/>
        <v>0</v>
      </c>
      <c r="CY567">
        <f>S567*(BZ567/100)</f>
        <v>247.91899999999998</v>
      </c>
      <c r="CZ567">
        <f>S567*(CA567/100)</f>
        <v>145.2097</v>
      </c>
      <c r="DC567" t="s">
        <v>3</v>
      </c>
      <c r="DD567" t="s">
        <v>3</v>
      </c>
      <c r="DE567" t="s">
        <v>86</v>
      </c>
      <c r="DF567" t="s">
        <v>86</v>
      </c>
      <c r="DG567" t="s">
        <v>87</v>
      </c>
      <c r="DH567" t="s">
        <v>3</v>
      </c>
      <c r="DI567" t="s">
        <v>87</v>
      </c>
      <c r="DJ567" t="s">
        <v>86</v>
      </c>
      <c r="DK567" t="s">
        <v>3</v>
      </c>
      <c r="DL567" t="s">
        <v>3</v>
      </c>
      <c r="DM567" t="s">
        <v>3</v>
      </c>
      <c r="DN567">
        <v>85</v>
      </c>
      <c r="DO567">
        <v>70</v>
      </c>
      <c r="DP567">
        <v>1</v>
      </c>
      <c r="DQ567">
        <v>1</v>
      </c>
      <c r="DU567">
        <v>1013</v>
      </c>
      <c r="DV567" t="s">
        <v>527</v>
      </c>
      <c r="DW567" t="s">
        <v>527</v>
      </c>
      <c r="DX567">
        <v>1</v>
      </c>
      <c r="DZ567" t="s">
        <v>3</v>
      </c>
      <c r="EA567" t="s">
        <v>3</v>
      </c>
      <c r="EB567" t="s">
        <v>3</v>
      </c>
      <c r="EC567" t="s">
        <v>3</v>
      </c>
      <c r="EE567">
        <v>126051508</v>
      </c>
      <c r="EF567">
        <v>30</v>
      </c>
      <c r="EG567" t="s">
        <v>23</v>
      </c>
      <c r="EH567">
        <v>0</v>
      </c>
      <c r="EI567" t="s">
        <v>3</v>
      </c>
      <c r="EJ567">
        <v>1</v>
      </c>
      <c r="EK567">
        <v>47</v>
      </c>
      <c r="EL567" t="s">
        <v>529</v>
      </c>
      <c r="EM567" t="s">
        <v>530</v>
      </c>
      <c r="EO567" t="s">
        <v>90</v>
      </c>
      <c r="EQ567">
        <v>131072</v>
      </c>
      <c r="ER567">
        <v>4852.47</v>
      </c>
      <c r="ES567">
        <v>1800.88</v>
      </c>
      <c r="ET567">
        <v>1050.3699999999999</v>
      </c>
      <c r="EU567">
        <v>43.16</v>
      </c>
      <c r="EV567">
        <v>2001.22</v>
      </c>
      <c r="EW567">
        <v>179</v>
      </c>
      <c r="EX567">
        <v>0</v>
      </c>
      <c r="EY567">
        <v>0</v>
      </c>
      <c r="FQ567">
        <v>0</v>
      </c>
      <c r="FR567">
        <f t="shared" si="523"/>
        <v>0</v>
      </c>
      <c r="FS567">
        <v>0</v>
      </c>
      <c r="FX567">
        <v>85</v>
      </c>
      <c r="FY567">
        <v>70</v>
      </c>
      <c r="GA567" t="s">
        <v>3</v>
      </c>
      <c r="GD567">
        <v>0</v>
      </c>
      <c r="GF567">
        <v>1260946012</v>
      </c>
      <c r="GG567">
        <v>2</v>
      </c>
      <c r="GH567">
        <v>1</v>
      </c>
      <c r="GI567">
        <v>2</v>
      </c>
      <c r="GJ567">
        <v>0</v>
      </c>
      <c r="GK567">
        <f>ROUND(R567*(S12)/100,2)</f>
        <v>13.47</v>
      </c>
      <c r="GL567">
        <f t="shared" si="524"/>
        <v>0</v>
      </c>
      <c r="GM567">
        <f t="shared" si="525"/>
        <v>973</v>
      </c>
      <c r="GN567">
        <f t="shared" si="526"/>
        <v>973</v>
      </c>
      <c r="GO567">
        <f t="shared" si="527"/>
        <v>0</v>
      </c>
      <c r="GP567">
        <f t="shared" si="528"/>
        <v>0</v>
      </c>
      <c r="GR567">
        <v>0</v>
      </c>
      <c r="GS567">
        <v>3</v>
      </c>
      <c r="GT567">
        <v>0</v>
      </c>
      <c r="GU567" t="s">
        <v>3</v>
      </c>
      <c r="GV567">
        <f t="shared" si="529"/>
        <v>0</v>
      </c>
      <c r="GW567">
        <v>1</v>
      </c>
      <c r="GX567">
        <f t="shared" si="530"/>
        <v>0</v>
      </c>
      <c r="HA567">
        <v>0</v>
      </c>
      <c r="HB567">
        <v>0</v>
      </c>
      <c r="HC567">
        <f t="shared" si="531"/>
        <v>0</v>
      </c>
      <c r="HE567" t="s">
        <v>3</v>
      </c>
      <c r="HF567" t="s">
        <v>3</v>
      </c>
      <c r="HM567" t="s">
        <v>3</v>
      </c>
      <c r="HN567" t="s">
        <v>3</v>
      </c>
      <c r="HO567" t="s">
        <v>3</v>
      </c>
      <c r="HP567" t="s">
        <v>3</v>
      </c>
      <c r="HQ567" t="s">
        <v>3</v>
      </c>
      <c r="IK567">
        <v>0</v>
      </c>
    </row>
    <row r="568" spans="1:255" x14ac:dyDescent="0.2">
      <c r="A568" s="2">
        <v>18</v>
      </c>
      <c r="B568" s="2">
        <v>1</v>
      </c>
      <c r="C568" s="2">
        <v>623</v>
      </c>
      <c r="D568" s="2"/>
      <c r="E568" s="2" t="s">
        <v>596</v>
      </c>
      <c r="F568" s="2" t="s">
        <v>597</v>
      </c>
      <c r="G568" s="2" t="s">
        <v>598</v>
      </c>
      <c r="H568" s="2" t="s">
        <v>114</v>
      </c>
      <c r="I568" s="2">
        <f>I566*J568</f>
        <v>4.2929999999999996E-2</v>
      </c>
      <c r="J568" s="2">
        <v>8.1</v>
      </c>
      <c r="K568" s="2">
        <v>8.1</v>
      </c>
      <c r="L568" s="2"/>
      <c r="M568" s="2"/>
      <c r="N568" s="2"/>
      <c r="O568" s="2">
        <f t="shared" si="501"/>
        <v>246.95</v>
      </c>
      <c r="P568" s="2">
        <f t="shared" si="502"/>
        <v>246.95</v>
      </c>
      <c r="Q568" s="2">
        <f>(ROUND((ROUND(((ET568)*AV568*I568),2)*BB568),2)+ROUND((ROUND(((AE568-(EU568))*AV568*I568),2)*BS568),2))</f>
        <v>0</v>
      </c>
      <c r="R568" s="2">
        <f t="shared" si="503"/>
        <v>0</v>
      </c>
      <c r="S568" s="2">
        <f t="shared" si="504"/>
        <v>0</v>
      </c>
      <c r="T568" s="2">
        <f t="shared" si="505"/>
        <v>0</v>
      </c>
      <c r="U568" s="2">
        <f t="shared" si="506"/>
        <v>0</v>
      </c>
      <c r="V568" s="2">
        <f t="shared" si="507"/>
        <v>0</v>
      </c>
      <c r="W568" s="2">
        <f t="shared" si="508"/>
        <v>0</v>
      </c>
      <c r="X568" s="2">
        <f t="shared" si="509"/>
        <v>0</v>
      </c>
      <c r="Y568" s="2">
        <f t="shared" si="510"/>
        <v>0</v>
      </c>
      <c r="Z568" s="2"/>
      <c r="AA568" s="2">
        <v>129761636</v>
      </c>
      <c r="AB568" s="2">
        <f t="shared" si="511"/>
        <v>5752.41</v>
      </c>
      <c r="AC568" s="2">
        <f t="shared" si="512"/>
        <v>5752.41</v>
      </c>
      <c r="AD568" s="2">
        <f>ROUND((((ET568)-(EU568))+AE568),6)</f>
        <v>0</v>
      </c>
      <c r="AE568" s="2">
        <f t="shared" ref="AE568:AF571" si="532">ROUND((EU568),6)</f>
        <v>0</v>
      </c>
      <c r="AF568" s="2">
        <f t="shared" si="532"/>
        <v>0</v>
      </c>
      <c r="AG568" s="2">
        <f t="shared" si="513"/>
        <v>0</v>
      </c>
      <c r="AH568" s="2">
        <f t="shared" ref="AH568:AI571" si="533">(EW568)</f>
        <v>0</v>
      </c>
      <c r="AI568" s="2">
        <f t="shared" si="533"/>
        <v>0</v>
      </c>
      <c r="AJ568" s="2">
        <f t="shared" si="514"/>
        <v>0</v>
      </c>
      <c r="AK568" s="2">
        <v>5752.41</v>
      </c>
      <c r="AL568" s="2">
        <v>5752.41</v>
      </c>
      <c r="AM568" s="2">
        <v>0</v>
      </c>
      <c r="AN568" s="2">
        <v>0</v>
      </c>
      <c r="AO568" s="2">
        <v>0</v>
      </c>
      <c r="AP568" s="2">
        <v>0</v>
      </c>
      <c r="AQ568" s="2">
        <v>0</v>
      </c>
      <c r="AR568" s="2">
        <v>0</v>
      </c>
      <c r="AS568" s="2">
        <v>0</v>
      </c>
      <c r="AT568" s="2">
        <v>85</v>
      </c>
      <c r="AU568" s="2">
        <v>70</v>
      </c>
      <c r="AV568" s="2">
        <v>1</v>
      </c>
      <c r="AW568" s="2">
        <v>1</v>
      </c>
      <c r="AX568" s="2"/>
      <c r="AY568" s="2"/>
      <c r="AZ568" s="2">
        <v>1</v>
      </c>
      <c r="BA568" s="2">
        <v>1</v>
      </c>
      <c r="BB568" s="2">
        <v>1</v>
      </c>
      <c r="BC568" s="2">
        <v>1</v>
      </c>
      <c r="BD568" s="2" t="s">
        <v>3</v>
      </c>
      <c r="BE568" s="2" t="s">
        <v>3</v>
      </c>
      <c r="BF568" s="2" t="s">
        <v>3</v>
      </c>
      <c r="BG568" s="2" t="s">
        <v>3</v>
      </c>
      <c r="BH568" s="2">
        <v>3</v>
      </c>
      <c r="BI568" s="2">
        <v>1</v>
      </c>
      <c r="BJ568" s="2" t="s">
        <v>599</v>
      </c>
      <c r="BK568" s="2"/>
      <c r="BL568" s="2"/>
      <c r="BM568" s="2">
        <v>47</v>
      </c>
      <c r="BN568" s="2">
        <v>0</v>
      </c>
      <c r="BO568" s="2" t="s">
        <v>3</v>
      </c>
      <c r="BP568" s="2">
        <v>0</v>
      </c>
      <c r="BQ568" s="2">
        <v>30</v>
      </c>
      <c r="BR568" s="2">
        <v>0</v>
      </c>
      <c r="BS568" s="2">
        <v>1</v>
      </c>
      <c r="BT568" s="2">
        <v>1</v>
      </c>
      <c r="BU568" s="2">
        <v>1</v>
      </c>
      <c r="BV568" s="2">
        <v>1</v>
      </c>
      <c r="BW568" s="2">
        <v>1</v>
      </c>
      <c r="BX568" s="2">
        <v>1</v>
      </c>
      <c r="BY568" s="2" t="s">
        <v>3</v>
      </c>
      <c r="BZ568" s="2">
        <v>85</v>
      </c>
      <c r="CA568" s="2">
        <v>70</v>
      </c>
      <c r="CB568" s="2" t="s">
        <v>3</v>
      </c>
      <c r="CC568" s="2"/>
      <c r="CD568" s="2"/>
      <c r="CE568" s="2">
        <v>30</v>
      </c>
      <c r="CF568" s="2">
        <v>0</v>
      </c>
      <c r="CG568" s="2">
        <v>0</v>
      </c>
      <c r="CH568" s="2"/>
      <c r="CI568" s="2"/>
      <c r="CJ568" s="2"/>
      <c r="CK568" s="2"/>
      <c r="CL568" s="2"/>
      <c r="CM568" s="2">
        <v>0</v>
      </c>
      <c r="CN568" s="2" t="s">
        <v>3</v>
      </c>
      <c r="CO568" s="2">
        <v>0</v>
      </c>
      <c r="CP568" s="2">
        <f t="shared" si="515"/>
        <v>246.95</v>
      </c>
      <c r="CQ568" s="2">
        <f t="shared" si="516"/>
        <v>5752.41</v>
      </c>
      <c r="CR568" s="2">
        <f>(ROUND((ROUND(((ET568)*AV568*1),2)*BB568),2)+ROUND((ROUND(((AE568-(EU568))*AV568*1),2)*BS568),2))</f>
        <v>0</v>
      </c>
      <c r="CS568" s="2">
        <f t="shared" si="517"/>
        <v>0</v>
      </c>
      <c r="CT568" s="2">
        <f t="shared" si="518"/>
        <v>0</v>
      </c>
      <c r="CU568" s="2">
        <f t="shared" si="519"/>
        <v>0</v>
      </c>
      <c r="CV568" s="2">
        <f t="shared" si="520"/>
        <v>0</v>
      </c>
      <c r="CW568" s="2">
        <f t="shared" si="521"/>
        <v>0</v>
      </c>
      <c r="CX568" s="2">
        <f t="shared" si="522"/>
        <v>0</v>
      </c>
      <c r="CY568" s="2">
        <f>((S568*BZ568)/100)</f>
        <v>0</v>
      </c>
      <c r="CZ568" s="2">
        <f>((S568*CA568)/100)</f>
        <v>0</v>
      </c>
      <c r="DA568" s="2"/>
      <c r="DB568" s="2"/>
      <c r="DC568" s="2" t="s">
        <v>3</v>
      </c>
      <c r="DD568" s="2" t="s">
        <v>3</v>
      </c>
      <c r="DE568" s="2" t="s">
        <v>3</v>
      </c>
      <c r="DF568" s="2" t="s">
        <v>3</v>
      </c>
      <c r="DG568" s="2" t="s">
        <v>3</v>
      </c>
      <c r="DH568" s="2" t="s">
        <v>3</v>
      </c>
      <c r="DI568" s="2" t="s">
        <v>3</v>
      </c>
      <c r="DJ568" s="2" t="s">
        <v>3</v>
      </c>
      <c r="DK568" s="2" t="s">
        <v>3</v>
      </c>
      <c r="DL568" s="2" t="s">
        <v>3</v>
      </c>
      <c r="DM568" s="2" t="s">
        <v>3</v>
      </c>
      <c r="DN568" s="2">
        <v>0</v>
      </c>
      <c r="DO568" s="2">
        <v>0</v>
      </c>
      <c r="DP568" s="2">
        <v>1</v>
      </c>
      <c r="DQ568" s="2">
        <v>1</v>
      </c>
      <c r="DR568" s="2"/>
      <c r="DS568" s="2"/>
      <c r="DT568" s="2"/>
      <c r="DU568" s="2">
        <v>1009</v>
      </c>
      <c r="DV568" s="2" t="s">
        <v>114</v>
      </c>
      <c r="DW568" s="2" t="s">
        <v>114</v>
      </c>
      <c r="DX568" s="2">
        <v>1000</v>
      </c>
      <c r="DY568" s="2"/>
      <c r="DZ568" s="2" t="s">
        <v>3</v>
      </c>
      <c r="EA568" s="2" t="s">
        <v>3</v>
      </c>
      <c r="EB568" s="2" t="s">
        <v>3</v>
      </c>
      <c r="EC568" s="2" t="s">
        <v>3</v>
      </c>
      <c r="ED568" s="2"/>
      <c r="EE568" s="2">
        <v>126051508</v>
      </c>
      <c r="EF568" s="2">
        <v>30</v>
      </c>
      <c r="EG568" s="2" t="s">
        <v>23</v>
      </c>
      <c r="EH568" s="2">
        <v>0</v>
      </c>
      <c r="EI568" s="2" t="s">
        <v>3</v>
      </c>
      <c r="EJ568" s="2">
        <v>1</v>
      </c>
      <c r="EK568" s="2">
        <v>47</v>
      </c>
      <c r="EL568" s="2" t="s">
        <v>529</v>
      </c>
      <c r="EM568" s="2" t="s">
        <v>530</v>
      </c>
      <c r="EN568" s="2"/>
      <c r="EO568" s="2" t="s">
        <v>3</v>
      </c>
      <c r="EP568" s="2"/>
      <c r="EQ568" s="2">
        <v>0</v>
      </c>
      <c r="ER568" s="2">
        <v>5752.41</v>
      </c>
      <c r="ES568" s="2">
        <v>5752.41</v>
      </c>
      <c r="ET568" s="2">
        <v>0</v>
      </c>
      <c r="EU568" s="2">
        <v>0</v>
      </c>
      <c r="EV568" s="2">
        <v>0</v>
      </c>
      <c r="EW568" s="2">
        <v>0</v>
      </c>
      <c r="EX568" s="2">
        <v>0</v>
      </c>
      <c r="EY568" s="2"/>
      <c r="EZ568" s="2"/>
      <c r="FA568" s="2"/>
      <c r="FB568" s="2"/>
      <c r="FC568" s="2"/>
      <c r="FD568" s="2"/>
      <c r="FE568" s="2"/>
      <c r="FF568" s="2"/>
      <c r="FG568" s="2"/>
      <c r="FH568" s="2"/>
      <c r="FI568" s="2"/>
      <c r="FJ568" s="2"/>
      <c r="FK568" s="2"/>
      <c r="FL568" s="2"/>
      <c r="FM568" s="2"/>
      <c r="FN568" s="2"/>
      <c r="FO568" s="2"/>
      <c r="FP568" s="2"/>
      <c r="FQ568" s="2">
        <v>0</v>
      </c>
      <c r="FR568" s="2">
        <f t="shared" si="523"/>
        <v>0</v>
      </c>
      <c r="FS568" s="2">
        <v>0</v>
      </c>
      <c r="FT568" s="2"/>
      <c r="FU568" s="2"/>
      <c r="FV568" s="2"/>
      <c r="FW568" s="2"/>
      <c r="FX568" s="2">
        <v>85</v>
      </c>
      <c r="FY568" s="2">
        <v>70</v>
      </c>
      <c r="FZ568" s="2"/>
      <c r="GA568" s="2" t="s">
        <v>3</v>
      </c>
      <c r="GB568" s="2"/>
      <c r="GC568" s="2"/>
      <c r="GD568" s="2">
        <v>0</v>
      </c>
      <c r="GE568" s="2"/>
      <c r="GF568" s="2">
        <v>-162930227</v>
      </c>
      <c r="GG568" s="2">
        <v>2</v>
      </c>
      <c r="GH568" s="2">
        <v>1</v>
      </c>
      <c r="GI568" s="2">
        <v>-2</v>
      </c>
      <c r="GJ568" s="2">
        <v>0</v>
      </c>
      <c r="GK568" s="2">
        <f>ROUND(R568*(R12)/100,2)</f>
        <v>0</v>
      </c>
      <c r="GL568" s="2">
        <f t="shared" si="524"/>
        <v>0</v>
      </c>
      <c r="GM568" s="2">
        <f t="shared" si="525"/>
        <v>246.95</v>
      </c>
      <c r="GN568" s="2">
        <f t="shared" si="526"/>
        <v>246.95</v>
      </c>
      <c r="GO568" s="2">
        <f t="shared" si="527"/>
        <v>0</v>
      </c>
      <c r="GP568" s="2">
        <f t="shared" si="528"/>
        <v>0</v>
      </c>
      <c r="GQ568" s="2"/>
      <c r="GR568" s="2">
        <v>0</v>
      </c>
      <c r="GS568" s="2">
        <v>0</v>
      </c>
      <c r="GT568" s="2">
        <v>0</v>
      </c>
      <c r="GU568" s="2" t="s">
        <v>3</v>
      </c>
      <c r="GV568" s="2">
        <f t="shared" si="529"/>
        <v>0</v>
      </c>
      <c r="GW568" s="2">
        <v>1</v>
      </c>
      <c r="GX568" s="2">
        <f t="shared" si="530"/>
        <v>0</v>
      </c>
      <c r="GY568" s="2"/>
      <c r="GZ568" s="2"/>
      <c r="HA568" s="2">
        <v>0</v>
      </c>
      <c r="HB568" s="2">
        <v>0</v>
      </c>
      <c r="HC568" s="2">
        <f t="shared" si="531"/>
        <v>0</v>
      </c>
      <c r="HD568" s="2"/>
      <c r="HE568" s="2" t="s">
        <v>3</v>
      </c>
      <c r="HF568" s="2" t="s">
        <v>3</v>
      </c>
      <c r="HG568" s="2"/>
      <c r="HH568" s="2"/>
      <c r="HI568" s="2"/>
      <c r="HJ568" s="2"/>
      <c r="HK568" s="2"/>
      <c r="HL568" s="2"/>
      <c r="HM568" s="2" t="s">
        <v>3</v>
      </c>
      <c r="HN568" s="2" t="s">
        <v>3</v>
      </c>
      <c r="HO568" s="2" t="s">
        <v>3</v>
      </c>
      <c r="HP568" s="2" t="s">
        <v>3</v>
      </c>
      <c r="HQ568" s="2" t="s">
        <v>3</v>
      </c>
      <c r="HR568" s="2"/>
      <c r="HS568" s="2"/>
      <c r="HT568" s="2"/>
      <c r="HU568" s="2"/>
      <c r="HV568" s="2"/>
      <c r="HW568" s="2"/>
      <c r="HX568" s="2"/>
      <c r="HY568" s="2"/>
      <c r="HZ568" s="2"/>
      <c r="IA568" s="2"/>
      <c r="IB568" s="2"/>
      <c r="IC568" s="2"/>
      <c r="ID568" s="2"/>
      <c r="IE568" s="2"/>
      <c r="IF568" s="2"/>
      <c r="IG568" s="2"/>
      <c r="IH568" s="2"/>
      <c r="II568" s="2"/>
      <c r="IJ568" s="2"/>
      <c r="IK568" s="2">
        <v>0</v>
      </c>
      <c r="IL568" s="2"/>
      <c r="IM568" s="2"/>
      <c r="IN568" s="2"/>
      <c r="IO568" s="2"/>
      <c r="IP568" s="2"/>
      <c r="IQ568" s="2"/>
      <c r="IR568" s="2"/>
      <c r="IS568" s="2"/>
      <c r="IT568" s="2"/>
      <c r="IU568" s="2"/>
    </row>
    <row r="569" spans="1:255" x14ac:dyDescent="0.2">
      <c r="A569">
        <v>18</v>
      </c>
      <c r="B569">
        <v>1</v>
      </c>
      <c r="C569">
        <v>639</v>
      </c>
      <c r="E569" t="s">
        <v>596</v>
      </c>
      <c r="F569" t="s">
        <v>597</v>
      </c>
      <c r="G569" t="s">
        <v>598</v>
      </c>
      <c r="H569" t="s">
        <v>114</v>
      </c>
      <c r="I569">
        <f>I567*J569</f>
        <v>4.2929999999999996E-2</v>
      </c>
      <c r="J569">
        <v>8.1</v>
      </c>
      <c r="K569">
        <v>8.1</v>
      </c>
      <c r="O569">
        <f t="shared" si="501"/>
        <v>3017.73</v>
      </c>
      <c r="P569">
        <f t="shared" si="502"/>
        <v>3017.73</v>
      </c>
      <c r="Q569">
        <f>(ROUND((ROUND(((ET569)*AV569*I569),2)*BB569),2)+ROUND((ROUND(((AE569-(EU569))*AV569*I569),2)*BS569),2))</f>
        <v>0</v>
      </c>
      <c r="R569">
        <f t="shared" si="503"/>
        <v>0</v>
      </c>
      <c r="S569">
        <f t="shared" si="504"/>
        <v>0</v>
      </c>
      <c r="T569">
        <f t="shared" si="505"/>
        <v>0</v>
      </c>
      <c r="U569">
        <f t="shared" si="506"/>
        <v>0</v>
      </c>
      <c r="V569">
        <f t="shared" si="507"/>
        <v>0</v>
      </c>
      <c r="W569">
        <f t="shared" si="508"/>
        <v>0</v>
      </c>
      <c r="X569">
        <f t="shared" si="509"/>
        <v>0</v>
      </c>
      <c r="Y569">
        <f t="shared" si="510"/>
        <v>0</v>
      </c>
      <c r="AA569">
        <v>129761633</v>
      </c>
      <c r="AB569">
        <f t="shared" si="511"/>
        <v>5752.41</v>
      </c>
      <c r="AC569">
        <f t="shared" si="512"/>
        <v>5752.41</v>
      </c>
      <c r="AD569">
        <f>ROUND((((ET569)-(EU569))+AE569),6)</f>
        <v>0</v>
      </c>
      <c r="AE569">
        <f t="shared" si="532"/>
        <v>0</v>
      </c>
      <c r="AF569">
        <f t="shared" si="532"/>
        <v>0</v>
      </c>
      <c r="AG569">
        <f t="shared" si="513"/>
        <v>0</v>
      </c>
      <c r="AH569">
        <f t="shared" si="533"/>
        <v>0</v>
      </c>
      <c r="AI569">
        <f t="shared" si="533"/>
        <v>0</v>
      </c>
      <c r="AJ569">
        <f t="shared" si="514"/>
        <v>0</v>
      </c>
      <c r="AK569">
        <v>5752.41</v>
      </c>
      <c r="AL569">
        <v>5752.41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1</v>
      </c>
      <c r="AW569">
        <v>1</v>
      </c>
      <c r="AZ569">
        <v>1</v>
      </c>
      <c r="BA569">
        <v>1</v>
      </c>
      <c r="BB569">
        <v>1</v>
      </c>
      <c r="BC569">
        <v>12.22</v>
      </c>
      <c r="BD569" t="s">
        <v>3</v>
      </c>
      <c r="BE569" t="s">
        <v>3</v>
      </c>
      <c r="BF569" t="s">
        <v>3</v>
      </c>
      <c r="BG569" t="s">
        <v>3</v>
      </c>
      <c r="BH569">
        <v>3</v>
      </c>
      <c r="BI569">
        <v>1</v>
      </c>
      <c r="BJ569" t="s">
        <v>599</v>
      </c>
      <c r="BM569">
        <v>47</v>
      </c>
      <c r="BN569">
        <v>0</v>
      </c>
      <c r="BO569" t="s">
        <v>597</v>
      </c>
      <c r="BP569">
        <v>1</v>
      </c>
      <c r="BQ569">
        <v>30</v>
      </c>
      <c r="BR569">
        <v>0</v>
      </c>
      <c r="BS569">
        <v>1</v>
      </c>
      <c r="BT569">
        <v>1</v>
      </c>
      <c r="BU569">
        <v>1</v>
      </c>
      <c r="BV569">
        <v>1</v>
      </c>
      <c r="BW569">
        <v>1</v>
      </c>
      <c r="BX569">
        <v>1</v>
      </c>
      <c r="BY569" t="s">
        <v>3</v>
      </c>
      <c r="BZ569">
        <v>0</v>
      </c>
      <c r="CA569">
        <v>0</v>
      </c>
      <c r="CB569" t="s">
        <v>3</v>
      </c>
      <c r="CE569">
        <v>30</v>
      </c>
      <c r="CF569">
        <v>0</v>
      </c>
      <c r="CG569">
        <v>0</v>
      </c>
      <c r="CM569">
        <v>0</v>
      </c>
      <c r="CN569" t="s">
        <v>3</v>
      </c>
      <c r="CO569">
        <v>0</v>
      </c>
      <c r="CP569">
        <f t="shared" si="515"/>
        <v>3017.73</v>
      </c>
      <c r="CQ569">
        <f t="shared" si="516"/>
        <v>70294.45</v>
      </c>
      <c r="CR569">
        <f>(ROUND((ROUND(((ET569)*AV569*1),2)*BB569),2)+ROUND((ROUND(((AE569-(EU569))*AV569*1),2)*BS569),2))</f>
        <v>0</v>
      </c>
      <c r="CS569">
        <f t="shared" si="517"/>
        <v>0</v>
      </c>
      <c r="CT569">
        <f t="shared" si="518"/>
        <v>0</v>
      </c>
      <c r="CU569">
        <f t="shared" si="519"/>
        <v>0</v>
      </c>
      <c r="CV569">
        <f t="shared" si="520"/>
        <v>0</v>
      </c>
      <c r="CW569">
        <f t="shared" si="521"/>
        <v>0</v>
      </c>
      <c r="CX569">
        <f t="shared" si="522"/>
        <v>0</v>
      </c>
      <c r="CY569">
        <f>S569*(BZ569/100)</f>
        <v>0</v>
      </c>
      <c r="CZ569">
        <f>S569*(CA569/100)</f>
        <v>0</v>
      </c>
      <c r="DC569" t="s">
        <v>3</v>
      </c>
      <c r="DD569" t="s">
        <v>3</v>
      </c>
      <c r="DE569" t="s">
        <v>3</v>
      </c>
      <c r="DF569" t="s">
        <v>3</v>
      </c>
      <c r="DG569" t="s">
        <v>3</v>
      </c>
      <c r="DH569" t="s">
        <v>3</v>
      </c>
      <c r="DI569" t="s">
        <v>3</v>
      </c>
      <c r="DJ569" t="s">
        <v>3</v>
      </c>
      <c r="DK569" t="s">
        <v>3</v>
      </c>
      <c r="DL569" t="s">
        <v>3</v>
      </c>
      <c r="DM569" t="s">
        <v>3</v>
      </c>
      <c r="DN569">
        <v>85</v>
      </c>
      <c r="DO569">
        <v>70</v>
      </c>
      <c r="DP569">
        <v>1</v>
      </c>
      <c r="DQ569">
        <v>1</v>
      </c>
      <c r="DU569">
        <v>1009</v>
      </c>
      <c r="DV569" t="s">
        <v>114</v>
      </c>
      <c r="DW569" t="s">
        <v>114</v>
      </c>
      <c r="DX569">
        <v>1000</v>
      </c>
      <c r="DZ569" t="s">
        <v>3</v>
      </c>
      <c r="EA569" t="s">
        <v>3</v>
      </c>
      <c r="EB569" t="s">
        <v>3</v>
      </c>
      <c r="EC569" t="s">
        <v>3</v>
      </c>
      <c r="EE569">
        <v>126051508</v>
      </c>
      <c r="EF569">
        <v>30</v>
      </c>
      <c r="EG569" t="s">
        <v>23</v>
      </c>
      <c r="EH569">
        <v>0</v>
      </c>
      <c r="EI569" t="s">
        <v>3</v>
      </c>
      <c r="EJ569">
        <v>1</v>
      </c>
      <c r="EK569">
        <v>47</v>
      </c>
      <c r="EL569" t="s">
        <v>529</v>
      </c>
      <c r="EM569" t="s">
        <v>530</v>
      </c>
      <c r="EO569" t="s">
        <v>3</v>
      </c>
      <c r="EQ569">
        <v>0</v>
      </c>
      <c r="ER569">
        <v>5752.41</v>
      </c>
      <c r="ES569">
        <v>5752.41</v>
      </c>
      <c r="ET569">
        <v>0</v>
      </c>
      <c r="EU569">
        <v>0</v>
      </c>
      <c r="EV569">
        <v>0</v>
      </c>
      <c r="EW569">
        <v>0</v>
      </c>
      <c r="EX569">
        <v>0</v>
      </c>
      <c r="FQ569">
        <v>0</v>
      </c>
      <c r="FR569">
        <f t="shared" si="523"/>
        <v>0</v>
      </c>
      <c r="FS569">
        <v>0</v>
      </c>
      <c r="FX569">
        <v>85</v>
      </c>
      <c r="FY569">
        <v>70</v>
      </c>
      <c r="GA569" t="s">
        <v>3</v>
      </c>
      <c r="GD569">
        <v>0</v>
      </c>
      <c r="GF569">
        <v>-162930227</v>
      </c>
      <c r="GG569">
        <v>2</v>
      </c>
      <c r="GH569">
        <v>1</v>
      </c>
      <c r="GI569">
        <v>2</v>
      </c>
      <c r="GJ569">
        <v>0</v>
      </c>
      <c r="GK569">
        <f>ROUND(R569*(S12)/100,2)</f>
        <v>0</v>
      </c>
      <c r="GL569">
        <f t="shared" si="524"/>
        <v>0</v>
      </c>
      <c r="GM569">
        <f t="shared" si="525"/>
        <v>3017.73</v>
      </c>
      <c r="GN569">
        <f t="shared" si="526"/>
        <v>3017.73</v>
      </c>
      <c r="GO569">
        <f t="shared" si="527"/>
        <v>0</v>
      </c>
      <c r="GP569">
        <f t="shared" si="528"/>
        <v>0</v>
      </c>
      <c r="GR569">
        <v>0</v>
      </c>
      <c r="GS569">
        <v>3</v>
      </c>
      <c r="GT569">
        <v>0</v>
      </c>
      <c r="GU569" t="s">
        <v>3</v>
      </c>
      <c r="GV569">
        <f t="shared" si="529"/>
        <v>0</v>
      </c>
      <c r="GW569">
        <v>1</v>
      </c>
      <c r="GX569">
        <f t="shared" si="530"/>
        <v>0</v>
      </c>
      <c r="HA569">
        <v>0</v>
      </c>
      <c r="HB569">
        <v>0</v>
      </c>
      <c r="HC569">
        <f t="shared" si="531"/>
        <v>0</v>
      </c>
      <c r="HE569" t="s">
        <v>3</v>
      </c>
      <c r="HF569" t="s">
        <v>3</v>
      </c>
      <c r="HM569" t="s">
        <v>3</v>
      </c>
      <c r="HN569" t="s">
        <v>3</v>
      </c>
      <c r="HO569" t="s">
        <v>3</v>
      </c>
      <c r="HP569" t="s">
        <v>3</v>
      </c>
      <c r="HQ569" t="s">
        <v>3</v>
      </c>
      <c r="IK569">
        <v>0</v>
      </c>
    </row>
    <row r="570" spans="1:255" x14ac:dyDescent="0.2">
      <c r="A570" s="2">
        <v>18</v>
      </c>
      <c r="B570" s="2">
        <v>1</v>
      </c>
      <c r="C570" s="2">
        <v>622</v>
      </c>
      <c r="D570" s="2"/>
      <c r="E570" s="2" t="s">
        <v>600</v>
      </c>
      <c r="F570" s="2" t="s">
        <v>537</v>
      </c>
      <c r="G570" s="2" t="s">
        <v>538</v>
      </c>
      <c r="H570" s="2" t="s">
        <v>94</v>
      </c>
      <c r="I570" s="2">
        <f>I566*J570</f>
        <v>0.53795000000000004</v>
      </c>
      <c r="J570" s="2">
        <v>101.5</v>
      </c>
      <c r="K570" s="2">
        <v>101.5</v>
      </c>
      <c r="L570" s="2"/>
      <c r="M570" s="2"/>
      <c r="N570" s="2"/>
      <c r="O570" s="2">
        <f t="shared" si="501"/>
        <v>391.26</v>
      </c>
      <c r="P570" s="2">
        <f t="shared" si="502"/>
        <v>391.26</v>
      </c>
      <c r="Q570" s="2">
        <f>(ROUND((ROUND(((ET570)*AV570*I570),2)*BB570),2)+ROUND((ROUND(((AE570-(EU570))*AV570*I570),2)*BS570),2))</f>
        <v>0</v>
      </c>
      <c r="R570" s="2">
        <f t="shared" si="503"/>
        <v>0</v>
      </c>
      <c r="S570" s="2">
        <f t="shared" si="504"/>
        <v>0</v>
      </c>
      <c r="T570" s="2">
        <f t="shared" si="505"/>
        <v>0</v>
      </c>
      <c r="U570" s="2">
        <f t="shared" si="506"/>
        <v>0</v>
      </c>
      <c r="V570" s="2">
        <f t="shared" si="507"/>
        <v>0</v>
      </c>
      <c r="W570" s="2">
        <f t="shared" si="508"/>
        <v>0</v>
      </c>
      <c r="X570" s="2">
        <f t="shared" si="509"/>
        <v>0</v>
      </c>
      <c r="Y570" s="2">
        <f t="shared" si="510"/>
        <v>0</v>
      </c>
      <c r="Z570" s="2"/>
      <c r="AA570" s="2">
        <v>129761636</v>
      </c>
      <c r="AB570" s="2">
        <f t="shared" si="511"/>
        <v>727.31</v>
      </c>
      <c r="AC570" s="2">
        <f t="shared" si="512"/>
        <v>727.31</v>
      </c>
      <c r="AD570" s="2">
        <f>ROUND((((ET570)-(EU570))+AE570),6)</f>
        <v>0</v>
      </c>
      <c r="AE570" s="2">
        <f t="shared" si="532"/>
        <v>0</v>
      </c>
      <c r="AF570" s="2">
        <f t="shared" si="532"/>
        <v>0</v>
      </c>
      <c r="AG570" s="2">
        <f t="shared" si="513"/>
        <v>0</v>
      </c>
      <c r="AH570" s="2">
        <f t="shared" si="533"/>
        <v>0</v>
      </c>
      <c r="AI570" s="2">
        <f t="shared" si="533"/>
        <v>0</v>
      </c>
      <c r="AJ570" s="2">
        <f t="shared" si="514"/>
        <v>0</v>
      </c>
      <c r="AK570" s="2">
        <v>727.31</v>
      </c>
      <c r="AL570" s="2">
        <v>727.31</v>
      </c>
      <c r="AM570" s="2">
        <v>0</v>
      </c>
      <c r="AN570" s="2">
        <v>0</v>
      </c>
      <c r="AO570" s="2">
        <v>0</v>
      </c>
      <c r="AP570" s="2">
        <v>0</v>
      </c>
      <c r="AQ570" s="2">
        <v>0</v>
      </c>
      <c r="AR570" s="2">
        <v>0</v>
      </c>
      <c r="AS570" s="2">
        <v>0</v>
      </c>
      <c r="AT570" s="2">
        <v>85</v>
      </c>
      <c r="AU570" s="2">
        <v>70</v>
      </c>
      <c r="AV570" s="2">
        <v>1</v>
      </c>
      <c r="AW570" s="2">
        <v>1</v>
      </c>
      <c r="AX570" s="2"/>
      <c r="AY570" s="2"/>
      <c r="AZ570" s="2">
        <v>1</v>
      </c>
      <c r="BA570" s="2">
        <v>1</v>
      </c>
      <c r="BB570" s="2">
        <v>1</v>
      </c>
      <c r="BC570" s="2">
        <v>1</v>
      </c>
      <c r="BD570" s="2" t="s">
        <v>3</v>
      </c>
      <c r="BE570" s="2" t="s">
        <v>3</v>
      </c>
      <c r="BF570" s="2" t="s">
        <v>3</v>
      </c>
      <c r="BG570" s="2" t="s">
        <v>3</v>
      </c>
      <c r="BH570" s="2">
        <v>3</v>
      </c>
      <c r="BI570" s="2">
        <v>1</v>
      </c>
      <c r="BJ570" s="2" t="s">
        <v>601</v>
      </c>
      <c r="BK570" s="2"/>
      <c r="BL570" s="2"/>
      <c r="BM570" s="2">
        <v>47</v>
      </c>
      <c r="BN570" s="2">
        <v>0</v>
      </c>
      <c r="BO570" s="2" t="s">
        <v>3</v>
      </c>
      <c r="BP570" s="2">
        <v>0</v>
      </c>
      <c r="BQ570" s="2">
        <v>30</v>
      </c>
      <c r="BR570" s="2">
        <v>0</v>
      </c>
      <c r="BS570" s="2">
        <v>1</v>
      </c>
      <c r="BT570" s="2">
        <v>1</v>
      </c>
      <c r="BU570" s="2">
        <v>1</v>
      </c>
      <c r="BV570" s="2">
        <v>1</v>
      </c>
      <c r="BW570" s="2">
        <v>1</v>
      </c>
      <c r="BX570" s="2">
        <v>1</v>
      </c>
      <c r="BY570" s="2" t="s">
        <v>3</v>
      </c>
      <c r="BZ570" s="2">
        <v>85</v>
      </c>
      <c r="CA570" s="2">
        <v>70</v>
      </c>
      <c r="CB570" s="2" t="s">
        <v>3</v>
      </c>
      <c r="CC570" s="2"/>
      <c r="CD570" s="2"/>
      <c r="CE570" s="2">
        <v>30</v>
      </c>
      <c r="CF570" s="2">
        <v>0</v>
      </c>
      <c r="CG570" s="2">
        <v>0</v>
      </c>
      <c r="CH570" s="2"/>
      <c r="CI570" s="2"/>
      <c r="CJ570" s="2"/>
      <c r="CK570" s="2"/>
      <c r="CL570" s="2"/>
      <c r="CM570" s="2">
        <v>0</v>
      </c>
      <c r="CN570" s="2" t="s">
        <v>3</v>
      </c>
      <c r="CO570" s="2">
        <v>0</v>
      </c>
      <c r="CP570" s="2">
        <f t="shared" si="515"/>
        <v>391.26</v>
      </c>
      <c r="CQ570" s="2">
        <f t="shared" si="516"/>
        <v>727.31</v>
      </c>
      <c r="CR570" s="2">
        <f>(ROUND((ROUND(((ET570)*AV570*1),2)*BB570),2)+ROUND((ROUND(((AE570-(EU570))*AV570*1),2)*BS570),2))</f>
        <v>0</v>
      </c>
      <c r="CS570" s="2">
        <f t="shared" si="517"/>
        <v>0</v>
      </c>
      <c r="CT570" s="2">
        <f t="shared" si="518"/>
        <v>0</v>
      </c>
      <c r="CU570" s="2">
        <f t="shared" si="519"/>
        <v>0</v>
      </c>
      <c r="CV570" s="2">
        <f t="shared" si="520"/>
        <v>0</v>
      </c>
      <c r="CW570" s="2">
        <f t="shared" si="521"/>
        <v>0</v>
      </c>
      <c r="CX570" s="2">
        <f t="shared" si="522"/>
        <v>0</v>
      </c>
      <c r="CY570" s="2">
        <f>((S570*BZ570)/100)</f>
        <v>0</v>
      </c>
      <c r="CZ570" s="2">
        <f>((S570*CA570)/100)</f>
        <v>0</v>
      </c>
      <c r="DA570" s="2"/>
      <c r="DB570" s="2"/>
      <c r="DC570" s="2" t="s">
        <v>3</v>
      </c>
      <c r="DD570" s="2" t="s">
        <v>3</v>
      </c>
      <c r="DE570" s="2" t="s">
        <v>3</v>
      </c>
      <c r="DF570" s="2" t="s">
        <v>3</v>
      </c>
      <c r="DG570" s="2" t="s">
        <v>3</v>
      </c>
      <c r="DH570" s="2" t="s">
        <v>3</v>
      </c>
      <c r="DI570" s="2" t="s">
        <v>3</v>
      </c>
      <c r="DJ570" s="2" t="s">
        <v>3</v>
      </c>
      <c r="DK570" s="2" t="s">
        <v>3</v>
      </c>
      <c r="DL570" s="2" t="s">
        <v>3</v>
      </c>
      <c r="DM570" s="2" t="s">
        <v>3</v>
      </c>
      <c r="DN570" s="2">
        <v>0</v>
      </c>
      <c r="DO570" s="2">
        <v>0</v>
      </c>
      <c r="DP570" s="2">
        <v>1</v>
      </c>
      <c r="DQ570" s="2">
        <v>1</v>
      </c>
      <c r="DR570" s="2"/>
      <c r="DS570" s="2"/>
      <c r="DT570" s="2"/>
      <c r="DU570" s="2">
        <v>1007</v>
      </c>
      <c r="DV570" s="2" t="s">
        <v>94</v>
      </c>
      <c r="DW570" s="2" t="s">
        <v>94</v>
      </c>
      <c r="DX570" s="2">
        <v>1</v>
      </c>
      <c r="DY570" s="2"/>
      <c r="DZ570" s="2" t="s">
        <v>3</v>
      </c>
      <c r="EA570" s="2" t="s">
        <v>3</v>
      </c>
      <c r="EB570" s="2" t="s">
        <v>3</v>
      </c>
      <c r="EC570" s="2" t="s">
        <v>3</v>
      </c>
      <c r="ED570" s="2"/>
      <c r="EE570" s="2">
        <v>126051508</v>
      </c>
      <c r="EF570" s="2">
        <v>30</v>
      </c>
      <c r="EG570" s="2" t="s">
        <v>23</v>
      </c>
      <c r="EH570" s="2">
        <v>0</v>
      </c>
      <c r="EI570" s="2" t="s">
        <v>3</v>
      </c>
      <c r="EJ570" s="2">
        <v>1</v>
      </c>
      <c r="EK570" s="2">
        <v>47</v>
      </c>
      <c r="EL570" s="2" t="s">
        <v>529</v>
      </c>
      <c r="EM570" s="2" t="s">
        <v>530</v>
      </c>
      <c r="EN570" s="2"/>
      <c r="EO570" s="2" t="s">
        <v>3</v>
      </c>
      <c r="EP570" s="2"/>
      <c r="EQ570" s="2">
        <v>0</v>
      </c>
      <c r="ER570" s="2">
        <v>727.31</v>
      </c>
      <c r="ES570" s="2">
        <v>727.31</v>
      </c>
      <c r="ET570" s="2">
        <v>0</v>
      </c>
      <c r="EU570" s="2">
        <v>0</v>
      </c>
      <c r="EV570" s="2">
        <v>0</v>
      </c>
      <c r="EW570" s="2">
        <v>0</v>
      </c>
      <c r="EX570" s="2">
        <v>0</v>
      </c>
      <c r="EY570" s="2"/>
      <c r="EZ570" s="2"/>
      <c r="FA570" s="2"/>
      <c r="FB570" s="2"/>
      <c r="FC570" s="2"/>
      <c r="FD570" s="2"/>
      <c r="FE570" s="2"/>
      <c r="FF570" s="2"/>
      <c r="FG570" s="2"/>
      <c r="FH570" s="2"/>
      <c r="FI570" s="2"/>
      <c r="FJ570" s="2"/>
      <c r="FK570" s="2"/>
      <c r="FL570" s="2"/>
      <c r="FM570" s="2"/>
      <c r="FN570" s="2"/>
      <c r="FO570" s="2"/>
      <c r="FP570" s="2"/>
      <c r="FQ570" s="2">
        <v>0</v>
      </c>
      <c r="FR570" s="2">
        <f t="shared" si="523"/>
        <v>0</v>
      </c>
      <c r="FS570" s="2">
        <v>0</v>
      </c>
      <c r="FT570" s="2"/>
      <c r="FU570" s="2"/>
      <c r="FV570" s="2"/>
      <c r="FW570" s="2"/>
      <c r="FX570" s="2">
        <v>85</v>
      </c>
      <c r="FY570" s="2">
        <v>70</v>
      </c>
      <c r="FZ570" s="2"/>
      <c r="GA570" s="2" t="s">
        <v>3</v>
      </c>
      <c r="GB570" s="2"/>
      <c r="GC570" s="2"/>
      <c r="GD570" s="2">
        <v>0</v>
      </c>
      <c r="GE570" s="2"/>
      <c r="GF570" s="2">
        <v>1936379870</v>
      </c>
      <c r="GG570" s="2">
        <v>2</v>
      </c>
      <c r="GH570" s="2">
        <v>1</v>
      </c>
      <c r="GI570" s="2">
        <v>-2</v>
      </c>
      <c r="GJ570" s="2">
        <v>0</v>
      </c>
      <c r="GK570" s="2">
        <f>ROUND(R570*(R12)/100,2)</f>
        <v>0</v>
      </c>
      <c r="GL570" s="2">
        <f t="shared" si="524"/>
        <v>0</v>
      </c>
      <c r="GM570" s="2">
        <f t="shared" si="525"/>
        <v>391.26</v>
      </c>
      <c r="GN570" s="2">
        <f t="shared" si="526"/>
        <v>391.26</v>
      </c>
      <c r="GO570" s="2">
        <f t="shared" si="527"/>
        <v>0</v>
      </c>
      <c r="GP570" s="2">
        <f t="shared" si="528"/>
        <v>0</v>
      </c>
      <c r="GQ570" s="2"/>
      <c r="GR570" s="2">
        <v>0</v>
      </c>
      <c r="GS570" s="2">
        <v>0</v>
      </c>
      <c r="GT570" s="2">
        <v>0</v>
      </c>
      <c r="GU570" s="2" t="s">
        <v>3</v>
      </c>
      <c r="GV570" s="2">
        <f t="shared" si="529"/>
        <v>0</v>
      </c>
      <c r="GW570" s="2">
        <v>1</v>
      </c>
      <c r="GX570" s="2">
        <f t="shared" si="530"/>
        <v>0</v>
      </c>
      <c r="GY570" s="2"/>
      <c r="GZ570" s="2"/>
      <c r="HA570" s="2">
        <v>0</v>
      </c>
      <c r="HB570" s="2">
        <v>0</v>
      </c>
      <c r="HC570" s="2">
        <f t="shared" si="531"/>
        <v>0</v>
      </c>
      <c r="HD570" s="2"/>
      <c r="HE570" s="2" t="s">
        <v>3</v>
      </c>
      <c r="HF570" s="2" t="s">
        <v>3</v>
      </c>
      <c r="HG570" s="2"/>
      <c r="HH570" s="2"/>
      <c r="HI570" s="2"/>
      <c r="HJ570" s="2"/>
      <c r="HK570" s="2"/>
      <c r="HL570" s="2"/>
      <c r="HM570" s="2" t="s">
        <v>3</v>
      </c>
      <c r="HN570" s="2" t="s">
        <v>3</v>
      </c>
      <c r="HO570" s="2" t="s">
        <v>3</v>
      </c>
      <c r="HP570" s="2" t="s">
        <v>3</v>
      </c>
      <c r="HQ570" s="2" t="s">
        <v>3</v>
      </c>
      <c r="HR570" s="2"/>
      <c r="HS570" s="2"/>
      <c r="HT570" s="2"/>
      <c r="HU570" s="2"/>
      <c r="HV570" s="2"/>
      <c r="HW570" s="2"/>
      <c r="HX570" s="2"/>
      <c r="HY570" s="2"/>
      <c r="HZ570" s="2"/>
      <c r="IA570" s="2"/>
      <c r="IB570" s="2"/>
      <c r="IC570" s="2"/>
      <c r="ID570" s="2"/>
      <c r="IE570" s="2"/>
      <c r="IF570" s="2"/>
      <c r="IG570" s="2"/>
      <c r="IH570" s="2"/>
      <c r="II570" s="2"/>
      <c r="IJ570" s="2"/>
      <c r="IK570" s="2">
        <v>0</v>
      </c>
      <c r="IL570" s="2"/>
      <c r="IM570" s="2"/>
      <c r="IN570" s="2"/>
      <c r="IO570" s="2"/>
      <c r="IP570" s="2"/>
      <c r="IQ570" s="2"/>
      <c r="IR570" s="2"/>
      <c r="IS570" s="2"/>
      <c r="IT570" s="2"/>
      <c r="IU570" s="2"/>
    </row>
    <row r="571" spans="1:255" x14ac:dyDescent="0.2">
      <c r="A571">
        <v>18</v>
      </c>
      <c r="B571">
        <v>1</v>
      </c>
      <c r="C571">
        <v>638</v>
      </c>
      <c r="E571" t="s">
        <v>600</v>
      </c>
      <c r="F571" t="s">
        <v>537</v>
      </c>
      <c r="G571" t="s">
        <v>538</v>
      </c>
      <c r="H571" t="s">
        <v>94</v>
      </c>
      <c r="I571">
        <f>I567*J571</f>
        <v>0.53795000000000004</v>
      </c>
      <c r="J571">
        <v>101.5</v>
      </c>
      <c r="K571">
        <v>101.5</v>
      </c>
      <c r="O571">
        <f t="shared" si="501"/>
        <v>3110.52</v>
      </c>
      <c r="P571">
        <f t="shared" si="502"/>
        <v>3110.52</v>
      </c>
      <c r="Q571">
        <f>(ROUND((ROUND(((ET571)*AV571*I571),2)*BB571),2)+ROUND((ROUND(((AE571-(EU571))*AV571*I571),2)*BS571),2))</f>
        <v>0</v>
      </c>
      <c r="R571">
        <f t="shared" si="503"/>
        <v>0</v>
      </c>
      <c r="S571">
        <f t="shared" si="504"/>
        <v>0</v>
      </c>
      <c r="T571">
        <f t="shared" si="505"/>
        <v>0</v>
      </c>
      <c r="U571">
        <f t="shared" si="506"/>
        <v>0</v>
      </c>
      <c r="V571">
        <f t="shared" si="507"/>
        <v>0</v>
      </c>
      <c r="W571">
        <f t="shared" si="508"/>
        <v>0</v>
      </c>
      <c r="X571">
        <f t="shared" si="509"/>
        <v>0</v>
      </c>
      <c r="Y571">
        <f t="shared" si="510"/>
        <v>0</v>
      </c>
      <c r="AA571">
        <v>129761633</v>
      </c>
      <c r="AB571">
        <f t="shared" si="511"/>
        <v>727.31</v>
      </c>
      <c r="AC571">
        <f t="shared" si="512"/>
        <v>727.31</v>
      </c>
      <c r="AD571">
        <f>ROUND((((ET571)-(EU571))+AE571),6)</f>
        <v>0</v>
      </c>
      <c r="AE571">
        <f t="shared" si="532"/>
        <v>0</v>
      </c>
      <c r="AF571">
        <f t="shared" si="532"/>
        <v>0</v>
      </c>
      <c r="AG571">
        <f t="shared" si="513"/>
        <v>0</v>
      </c>
      <c r="AH571">
        <f t="shared" si="533"/>
        <v>0</v>
      </c>
      <c r="AI571">
        <f t="shared" si="533"/>
        <v>0</v>
      </c>
      <c r="AJ571">
        <f t="shared" si="514"/>
        <v>0</v>
      </c>
      <c r="AK571">
        <v>727.31</v>
      </c>
      <c r="AL571">
        <v>727.31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1</v>
      </c>
      <c r="AW571">
        <v>1</v>
      </c>
      <c r="AZ571">
        <v>1</v>
      </c>
      <c r="BA571">
        <v>1</v>
      </c>
      <c r="BB571">
        <v>1</v>
      </c>
      <c r="BC571">
        <v>7.95</v>
      </c>
      <c r="BD571" t="s">
        <v>3</v>
      </c>
      <c r="BE571" t="s">
        <v>3</v>
      </c>
      <c r="BF571" t="s">
        <v>3</v>
      </c>
      <c r="BG571" t="s">
        <v>3</v>
      </c>
      <c r="BH571">
        <v>3</v>
      </c>
      <c r="BI571">
        <v>1</v>
      </c>
      <c r="BJ571" t="s">
        <v>601</v>
      </c>
      <c r="BM571">
        <v>47</v>
      </c>
      <c r="BN571">
        <v>0</v>
      </c>
      <c r="BO571" t="s">
        <v>537</v>
      </c>
      <c r="BP571">
        <v>1</v>
      </c>
      <c r="BQ571">
        <v>30</v>
      </c>
      <c r="BR571">
        <v>0</v>
      </c>
      <c r="BS571">
        <v>1</v>
      </c>
      <c r="BT571">
        <v>1</v>
      </c>
      <c r="BU571">
        <v>1</v>
      </c>
      <c r="BV571">
        <v>1</v>
      </c>
      <c r="BW571">
        <v>1</v>
      </c>
      <c r="BX571">
        <v>1</v>
      </c>
      <c r="BY571" t="s">
        <v>3</v>
      </c>
      <c r="BZ571">
        <v>0</v>
      </c>
      <c r="CA571">
        <v>0</v>
      </c>
      <c r="CB571" t="s">
        <v>3</v>
      </c>
      <c r="CE571">
        <v>30</v>
      </c>
      <c r="CF571">
        <v>0</v>
      </c>
      <c r="CG571">
        <v>0</v>
      </c>
      <c r="CM571">
        <v>0</v>
      </c>
      <c r="CN571" t="s">
        <v>3</v>
      </c>
      <c r="CO571">
        <v>0</v>
      </c>
      <c r="CP571">
        <f t="shared" si="515"/>
        <v>3110.52</v>
      </c>
      <c r="CQ571">
        <f t="shared" si="516"/>
        <v>5782.11</v>
      </c>
      <c r="CR571">
        <f>(ROUND((ROUND(((ET571)*AV571*1),2)*BB571),2)+ROUND((ROUND(((AE571-(EU571))*AV571*1),2)*BS571),2))</f>
        <v>0</v>
      </c>
      <c r="CS571">
        <f t="shared" si="517"/>
        <v>0</v>
      </c>
      <c r="CT571">
        <f t="shared" si="518"/>
        <v>0</v>
      </c>
      <c r="CU571">
        <f t="shared" si="519"/>
        <v>0</v>
      </c>
      <c r="CV571">
        <f t="shared" si="520"/>
        <v>0</v>
      </c>
      <c r="CW571">
        <f t="shared" si="521"/>
        <v>0</v>
      </c>
      <c r="CX571">
        <f t="shared" si="522"/>
        <v>0</v>
      </c>
      <c r="CY571">
        <f>S571*(BZ571/100)</f>
        <v>0</v>
      </c>
      <c r="CZ571">
        <f>S571*(CA571/100)</f>
        <v>0</v>
      </c>
      <c r="DC571" t="s">
        <v>3</v>
      </c>
      <c r="DD571" t="s">
        <v>3</v>
      </c>
      <c r="DE571" t="s">
        <v>3</v>
      </c>
      <c r="DF571" t="s">
        <v>3</v>
      </c>
      <c r="DG571" t="s">
        <v>3</v>
      </c>
      <c r="DH571" t="s">
        <v>3</v>
      </c>
      <c r="DI571" t="s">
        <v>3</v>
      </c>
      <c r="DJ571" t="s">
        <v>3</v>
      </c>
      <c r="DK571" t="s">
        <v>3</v>
      </c>
      <c r="DL571" t="s">
        <v>3</v>
      </c>
      <c r="DM571" t="s">
        <v>3</v>
      </c>
      <c r="DN571">
        <v>85</v>
      </c>
      <c r="DO571">
        <v>70</v>
      </c>
      <c r="DP571">
        <v>1</v>
      </c>
      <c r="DQ571">
        <v>1</v>
      </c>
      <c r="DU571">
        <v>1007</v>
      </c>
      <c r="DV571" t="s">
        <v>94</v>
      </c>
      <c r="DW571" t="s">
        <v>94</v>
      </c>
      <c r="DX571">
        <v>1</v>
      </c>
      <c r="DZ571" t="s">
        <v>3</v>
      </c>
      <c r="EA571" t="s">
        <v>3</v>
      </c>
      <c r="EB571" t="s">
        <v>3</v>
      </c>
      <c r="EC571" t="s">
        <v>3</v>
      </c>
      <c r="EE571">
        <v>126051508</v>
      </c>
      <c r="EF571">
        <v>30</v>
      </c>
      <c r="EG571" t="s">
        <v>23</v>
      </c>
      <c r="EH571">
        <v>0</v>
      </c>
      <c r="EI571" t="s">
        <v>3</v>
      </c>
      <c r="EJ571">
        <v>1</v>
      </c>
      <c r="EK571">
        <v>47</v>
      </c>
      <c r="EL571" t="s">
        <v>529</v>
      </c>
      <c r="EM571" t="s">
        <v>530</v>
      </c>
      <c r="EO571" t="s">
        <v>3</v>
      </c>
      <c r="EQ571">
        <v>0</v>
      </c>
      <c r="ER571">
        <v>727.31</v>
      </c>
      <c r="ES571">
        <v>727.31</v>
      </c>
      <c r="ET571">
        <v>0</v>
      </c>
      <c r="EU571">
        <v>0</v>
      </c>
      <c r="EV571">
        <v>0</v>
      </c>
      <c r="EW571">
        <v>0</v>
      </c>
      <c r="EX571">
        <v>0</v>
      </c>
      <c r="FQ571">
        <v>0</v>
      </c>
      <c r="FR571">
        <f t="shared" si="523"/>
        <v>0</v>
      </c>
      <c r="FS571">
        <v>0</v>
      </c>
      <c r="FX571">
        <v>85</v>
      </c>
      <c r="FY571">
        <v>70</v>
      </c>
      <c r="GA571" t="s">
        <v>3</v>
      </c>
      <c r="GD571">
        <v>0</v>
      </c>
      <c r="GF571">
        <v>1936379870</v>
      </c>
      <c r="GG571">
        <v>2</v>
      </c>
      <c r="GH571">
        <v>1</v>
      </c>
      <c r="GI571">
        <v>2</v>
      </c>
      <c r="GJ571">
        <v>0</v>
      </c>
      <c r="GK571">
        <f>ROUND(R571*(S12)/100,2)</f>
        <v>0</v>
      </c>
      <c r="GL571">
        <f t="shared" si="524"/>
        <v>0</v>
      </c>
      <c r="GM571">
        <f t="shared" si="525"/>
        <v>3110.52</v>
      </c>
      <c r="GN571">
        <f t="shared" si="526"/>
        <v>3110.52</v>
      </c>
      <c r="GO571">
        <f t="shared" si="527"/>
        <v>0</v>
      </c>
      <c r="GP571">
        <f t="shared" si="528"/>
        <v>0</v>
      </c>
      <c r="GR571">
        <v>0</v>
      </c>
      <c r="GS571">
        <v>3</v>
      </c>
      <c r="GT571">
        <v>0</v>
      </c>
      <c r="GU571" t="s">
        <v>3</v>
      </c>
      <c r="GV571">
        <f t="shared" si="529"/>
        <v>0</v>
      </c>
      <c r="GW571">
        <v>1</v>
      </c>
      <c r="GX571">
        <f t="shared" si="530"/>
        <v>0</v>
      </c>
      <c r="HA571">
        <v>0</v>
      </c>
      <c r="HB571">
        <v>0</v>
      </c>
      <c r="HC571">
        <f t="shared" si="531"/>
        <v>0</v>
      </c>
      <c r="HE571" t="s">
        <v>3</v>
      </c>
      <c r="HF571" t="s">
        <v>3</v>
      </c>
      <c r="HM571" t="s">
        <v>3</v>
      </c>
      <c r="HN571" t="s">
        <v>3</v>
      </c>
      <c r="HO571" t="s">
        <v>3</v>
      </c>
      <c r="HP571" t="s">
        <v>3</v>
      </c>
      <c r="HQ571" t="s">
        <v>3</v>
      </c>
      <c r="IK571">
        <v>0</v>
      </c>
    </row>
    <row r="572" spans="1:255" x14ac:dyDescent="0.2">
      <c r="A572" s="2">
        <v>17</v>
      </c>
      <c r="B572" s="2">
        <v>1</v>
      </c>
      <c r="C572" s="2">
        <f>ROW(SmtRes!A645)</f>
        <v>645</v>
      </c>
      <c r="D572" s="2">
        <f>ROW(EtalonRes!A637)</f>
        <v>637</v>
      </c>
      <c r="E572" s="2" t="s">
        <v>218</v>
      </c>
      <c r="F572" s="2" t="s">
        <v>602</v>
      </c>
      <c r="G572" s="2" t="s">
        <v>603</v>
      </c>
      <c r="H572" s="2" t="s">
        <v>148</v>
      </c>
      <c r="I572" s="2">
        <v>0.38800000000000001</v>
      </c>
      <c r="J572" s="2">
        <v>0</v>
      </c>
      <c r="K572" s="2">
        <v>0.38800000000000001</v>
      </c>
      <c r="L572" s="2"/>
      <c r="M572" s="2"/>
      <c r="N572" s="2"/>
      <c r="O572" s="2">
        <f t="shared" si="501"/>
        <v>46.88</v>
      </c>
      <c r="P572" s="2">
        <f t="shared" si="502"/>
        <v>3.67</v>
      </c>
      <c r="Q572" s="2">
        <f>(ROUND((ROUND((((ET572*1.25))*AV572*I572),2)*BB572),2)+ROUND((ROUND(((AE572-((EU572*1.25)))*AV572*I572),2)*BS572),2))</f>
        <v>10.130000000000001</v>
      </c>
      <c r="R572" s="2">
        <f t="shared" si="503"/>
        <v>0.91</v>
      </c>
      <c r="S572" s="2">
        <f t="shared" si="504"/>
        <v>33.08</v>
      </c>
      <c r="T572" s="2">
        <f t="shared" si="505"/>
        <v>0</v>
      </c>
      <c r="U572" s="2">
        <f t="shared" si="506"/>
        <v>2.3693219999999995</v>
      </c>
      <c r="V572" s="2">
        <f t="shared" si="507"/>
        <v>0</v>
      </c>
      <c r="W572" s="2">
        <f t="shared" si="508"/>
        <v>0</v>
      </c>
      <c r="X572" s="2">
        <f t="shared" si="509"/>
        <v>33.08</v>
      </c>
      <c r="Y572" s="2">
        <f t="shared" si="510"/>
        <v>21.17</v>
      </c>
      <c r="Z572" s="2"/>
      <c r="AA572" s="2">
        <v>129761636</v>
      </c>
      <c r="AB572" s="2">
        <f t="shared" si="511"/>
        <v>120.822</v>
      </c>
      <c r="AC572" s="2">
        <f t="shared" si="512"/>
        <v>9.4600000000000009</v>
      </c>
      <c r="AD572" s="2">
        <f>ROUND(((((ET572*1.25))-((EU572*1.25)))+AE572),6)</f>
        <v>26.112500000000001</v>
      </c>
      <c r="AE572" s="2">
        <f>ROUND(((EU572*1.25)),6)</f>
        <v>2.3374999999999999</v>
      </c>
      <c r="AF572" s="2">
        <f>ROUND(((EV572*1.15)),6)</f>
        <v>85.249499999999998</v>
      </c>
      <c r="AG572" s="2">
        <f t="shared" si="513"/>
        <v>0</v>
      </c>
      <c r="AH572" s="2">
        <f>((EW572*1.15))</f>
        <v>6.1064999999999987</v>
      </c>
      <c r="AI572" s="2">
        <f>((EX572*1.25))</f>
        <v>0</v>
      </c>
      <c r="AJ572" s="2">
        <f t="shared" si="514"/>
        <v>0</v>
      </c>
      <c r="AK572" s="2">
        <v>104.48</v>
      </c>
      <c r="AL572" s="2">
        <v>9.4600000000000009</v>
      </c>
      <c r="AM572" s="2">
        <v>20.89</v>
      </c>
      <c r="AN572" s="2">
        <v>1.87</v>
      </c>
      <c r="AO572" s="2">
        <v>74.13</v>
      </c>
      <c r="AP572" s="2">
        <v>0</v>
      </c>
      <c r="AQ572" s="2">
        <v>5.31</v>
      </c>
      <c r="AR572" s="2">
        <v>0</v>
      </c>
      <c r="AS572" s="2">
        <v>0</v>
      </c>
      <c r="AT572" s="2">
        <v>100</v>
      </c>
      <c r="AU572" s="2">
        <v>64</v>
      </c>
      <c r="AV572" s="2">
        <v>1</v>
      </c>
      <c r="AW572" s="2">
        <v>1</v>
      </c>
      <c r="AX572" s="2"/>
      <c r="AY572" s="2"/>
      <c r="AZ572" s="2">
        <v>1</v>
      </c>
      <c r="BA572" s="2">
        <v>1</v>
      </c>
      <c r="BB572" s="2">
        <v>1</v>
      </c>
      <c r="BC572" s="2">
        <v>1</v>
      </c>
      <c r="BD572" s="2" t="s">
        <v>3</v>
      </c>
      <c r="BE572" s="2" t="s">
        <v>3</v>
      </c>
      <c r="BF572" s="2" t="s">
        <v>3</v>
      </c>
      <c r="BG572" s="2" t="s">
        <v>3</v>
      </c>
      <c r="BH572" s="2">
        <v>0</v>
      </c>
      <c r="BI572" s="2">
        <v>1</v>
      </c>
      <c r="BJ572" s="2" t="s">
        <v>604</v>
      </c>
      <c r="BK572" s="2"/>
      <c r="BL572" s="2"/>
      <c r="BM572" s="2">
        <v>97</v>
      </c>
      <c r="BN572" s="2">
        <v>0</v>
      </c>
      <c r="BO572" s="2" t="s">
        <v>3</v>
      </c>
      <c r="BP572" s="2">
        <v>0</v>
      </c>
      <c r="BQ572" s="2">
        <v>30</v>
      </c>
      <c r="BR572" s="2">
        <v>0</v>
      </c>
      <c r="BS572" s="2">
        <v>1</v>
      </c>
      <c r="BT572" s="2">
        <v>1</v>
      </c>
      <c r="BU572" s="2">
        <v>1</v>
      </c>
      <c r="BV572" s="2">
        <v>1</v>
      </c>
      <c r="BW572" s="2">
        <v>1</v>
      </c>
      <c r="BX572" s="2">
        <v>1</v>
      </c>
      <c r="BY572" s="2" t="s">
        <v>3</v>
      </c>
      <c r="BZ572" s="2">
        <v>100</v>
      </c>
      <c r="CA572" s="2">
        <v>64</v>
      </c>
      <c r="CB572" s="2" t="s">
        <v>3</v>
      </c>
      <c r="CC572" s="2"/>
      <c r="CD572" s="2"/>
      <c r="CE572" s="2">
        <v>30</v>
      </c>
      <c r="CF572" s="2">
        <v>0</v>
      </c>
      <c r="CG572" s="2">
        <v>0</v>
      </c>
      <c r="CH572" s="2"/>
      <c r="CI572" s="2"/>
      <c r="CJ572" s="2"/>
      <c r="CK572" s="2"/>
      <c r="CL572" s="2"/>
      <c r="CM572" s="2">
        <v>0</v>
      </c>
      <c r="CN572" s="2" t="s">
        <v>1559</v>
      </c>
      <c r="CO572" s="2">
        <v>0</v>
      </c>
      <c r="CP572" s="2">
        <f t="shared" si="515"/>
        <v>46.879999999999995</v>
      </c>
      <c r="CQ572" s="2">
        <f t="shared" si="516"/>
        <v>9.4600000000000009</v>
      </c>
      <c r="CR572" s="2">
        <f>(ROUND((ROUND((((ET572*1.25))*AV572*1),2)*BB572),2)+ROUND((ROUND(((AE572-((EU572*1.25)))*AV572*1),2)*BS572),2))</f>
        <v>26.11</v>
      </c>
      <c r="CS572" s="2">
        <f t="shared" si="517"/>
        <v>2.34</v>
      </c>
      <c r="CT572" s="2">
        <f t="shared" si="518"/>
        <v>85.25</v>
      </c>
      <c r="CU572" s="2">
        <f t="shared" si="519"/>
        <v>0</v>
      </c>
      <c r="CV572" s="2">
        <f t="shared" si="520"/>
        <v>6.1064999999999987</v>
      </c>
      <c r="CW572" s="2">
        <f t="shared" si="521"/>
        <v>0</v>
      </c>
      <c r="CX572" s="2">
        <f t="shared" si="522"/>
        <v>0</v>
      </c>
      <c r="CY572" s="2">
        <f>((S572*BZ572)/100)</f>
        <v>33.08</v>
      </c>
      <c r="CZ572" s="2">
        <f>((S572*CA572)/100)</f>
        <v>21.171199999999999</v>
      </c>
      <c r="DA572" s="2"/>
      <c r="DB572" s="2"/>
      <c r="DC572" s="2" t="s">
        <v>3</v>
      </c>
      <c r="DD572" s="2" t="s">
        <v>3</v>
      </c>
      <c r="DE572" s="2" t="s">
        <v>86</v>
      </c>
      <c r="DF572" s="2" t="s">
        <v>86</v>
      </c>
      <c r="DG572" s="2" t="s">
        <v>87</v>
      </c>
      <c r="DH572" s="2" t="s">
        <v>3</v>
      </c>
      <c r="DI572" s="2" t="s">
        <v>87</v>
      </c>
      <c r="DJ572" s="2" t="s">
        <v>86</v>
      </c>
      <c r="DK572" s="2" t="s">
        <v>3</v>
      </c>
      <c r="DL572" s="2" t="s">
        <v>3</v>
      </c>
      <c r="DM572" s="2" t="s">
        <v>3</v>
      </c>
      <c r="DN572" s="2">
        <v>0</v>
      </c>
      <c r="DO572" s="2">
        <v>0</v>
      </c>
      <c r="DP572" s="2">
        <v>1</v>
      </c>
      <c r="DQ572" s="2">
        <v>1</v>
      </c>
      <c r="DR572" s="2"/>
      <c r="DS572" s="2"/>
      <c r="DT572" s="2"/>
      <c r="DU572" s="2">
        <v>1005</v>
      </c>
      <c r="DV572" s="2" t="s">
        <v>148</v>
      </c>
      <c r="DW572" s="2" t="s">
        <v>148</v>
      </c>
      <c r="DX572" s="2">
        <v>100</v>
      </c>
      <c r="DY572" s="2"/>
      <c r="DZ572" s="2" t="s">
        <v>3</v>
      </c>
      <c r="EA572" s="2" t="s">
        <v>3</v>
      </c>
      <c r="EB572" s="2" t="s">
        <v>3</v>
      </c>
      <c r="EC572" s="2" t="s">
        <v>3</v>
      </c>
      <c r="ED572" s="2"/>
      <c r="EE572" s="2">
        <v>126051558</v>
      </c>
      <c r="EF572" s="2">
        <v>30</v>
      </c>
      <c r="EG572" s="2" t="s">
        <v>23</v>
      </c>
      <c r="EH572" s="2">
        <v>0</v>
      </c>
      <c r="EI572" s="2" t="s">
        <v>3</v>
      </c>
      <c r="EJ572" s="2">
        <v>1</v>
      </c>
      <c r="EK572" s="2">
        <v>97</v>
      </c>
      <c r="EL572" s="2" t="s">
        <v>605</v>
      </c>
      <c r="EM572" s="2" t="s">
        <v>606</v>
      </c>
      <c r="EN572" s="2"/>
      <c r="EO572" s="2" t="s">
        <v>90</v>
      </c>
      <c r="EP572" s="2"/>
      <c r="EQ572" s="2">
        <v>131072</v>
      </c>
      <c r="ER572" s="2">
        <v>104.48</v>
      </c>
      <c r="ES572" s="2">
        <v>9.4600000000000009</v>
      </c>
      <c r="ET572" s="2">
        <v>20.89</v>
      </c>
      <c r="EU572" s="2">
        <v>1.87</v>
      </c>
      <c r="EV572" s="2">
        <v>74.13</v>
      </c>
      <c r="EW572" s="2">
        <v>5.31</v>
      </c>
      <c r="EX572" s="2">
        <v>0</v>
      </c>
      <c r="EY572" s="2">
        <v>0</v>
      </c>
      <c r="EZ572" s="2"/>
      <c r="FA572" s="2"/>
      <c r="FB572" s="2"/>
      <c r="FC572" s="2"/>
      <c r="FD572" s="2"/>
      <c r="FE572" s="2"/>
      <c r="FF572" s="2"/>
      <c r="FG572" s="2"/>
      <c r="FH572" s="2"/>
      <c r="FI572" s="2"/>
      <c r="FJ572" s="2"/>
      <c r="FK572" s="2"/>
      <c r="FL572" s="2"/>
      <c r="FM572" s="2"/>
      <c r="FN572" s="2"/>
      <c r="FO572" s="2"/>
      <c r="FP572" s="2"/>
      <c r="FQ572" s="2">
        <v>0</v>
      </c>
      <c r="FR572" s="2">
        <f t="shared" si="523"/>
        <v>0</v>
      </c>
      <c r="FS572" s="2">
        <v>0</v>
      </c>
      <c r="FT572" s="2"/>
      <c r="FU572" s="2"/>
      <c r="FV572" s="2"/>
      <c r="FW572" s="2"/>
      <c r="FX572" s="2">
        <v>100</v>
      </c>
      <c r="FY572" s="2">
        <v>64</v>
      </c>
      <c r="FZ572" s="2"/>
      <c r="GA572" s="2" t="s">
        <v>3</v>
      </c>
      <c r="GB572" s="2"/>
      <c r="GC572" s="2"/>
      <c r="GD572" s="2">
        <v>0</v>
      </c>
      <c r="GE572" s="2"/>
      <c r="GF572" s="2">
        <v>1686603062</v>
      </c>
      <c r="GG572" s="2">
        <v>2</v>
      </c>
      <c r="GH572" s="2">
        <v>1</v>
      </c>
      <c r="GI572" s="2">
        <v>-2</v>
      </c>
      <c r="GJ572" s="2">
        <v>0</v>
      </c>
      <c r="GK572" s="2">
        <f>ROUND(R572*(R12)/100,2)</f>
        <v>1.59</v>
      </c>
      <c r="GL572" s="2">
        <f t="shared" si="524"/>
        <v>0</v>
      </c>
      <c r="GM572" s="2">
        <f t="shared" si="525"/>
        <v>102.72</v>
      </c>
      <c r="GN572" s="2">
        <f t="shared" si="526"/>
        <v>102.72</v>
      </c>
      <c r="GO572" s="2">
        <f t="shared" si="527"/>
        <v>0</v>
      </c>
      <c r="GP572" s="2">
        <f t="shared" si="528"/>
        <v>0</v>
      </c>
      <c r="GQ572" s="2"/>
      <c r="GR572" s="2">
        <v>0</v>
      </c>
      <c r="GS572" s="2">
        <v>0</v>
      </c>
      <c r="GT572" s="2">
        <v>0</v>
      </c>
      <c r="GU572" s="2" t="s">
        <v>3</v>
      </c>
      <c r="GV572" s="2">
        <f t="shared" si="529"/>
        <v>0</v>
      </c>
      <c r="GW572" s="2">
        <v>1</v>
      </c>
      <c r="GX572" s="2">
        <f t="shared" si="530"/>
        <v>0</v>
      </c>
      <c r="GY572" s="2"/>
      <c r="GZ572" s="2"/>
      <c r="HA572" s="2">
        <v>0</v>
      </c>
      <c r="HB572" s="2">
        <v>0</v>
      </c>
      <c r="HC572" s="2">
        <f t="shared" si="531"/>
        <v>0</v>
      </c>
      <c r="HD572" s="2"/>
      <c r="HE572" s="2" t="s">
        <v>3</v>
      </c>
      <c r="HF572" s="2" t="s">
        <v>3</v>
      </c>
      <c r="HG572" s="2"/>
      <c r="HH572" s="2"/>
      <c r="HI572" s="2"/>
      <c r="HJ572" s="2"/>
      <c r="HK572" s="2"/>
      <c r="HL572" s="2"/>
      <c r="HM572" s="2" t="s">
        <v>3</v>
      </c>
      <c r="HN572" s="2" t="s">
        <v>3</v>
      </c>
      <c r="HO572" s="2" t="s">
        <v>3</v>
      </c>
      <c r="HP572" s="2" t="s">
        <v>3</v>
      </c>
      <c r="HQ572" s="2" t="s">
        <v>3</v>
      </c>
      <c r="HR572" s="2"/>
      <c r="HS572" s="2"/>
      <c r="HT572" s="2"/>
      <c r="HU572" s="2"/>
      <c r="HV572" s="2"/>
      <c r="HW572" s="2"/>
      <c r="HX572" s="2"/>
      <c r="HY572" s="2"/>
      <c r="HZ572" s="2"/>
      <c r="IA572" s="2"/>
      <c r="IB572" s="2"/>
      <c r="IC572" s="2"/>
      <c r="ID572" s="2"/>
      <c r="IE572" s="2"/>
      <c r="IF572" s="2"/>
      <c r="IG572" s="2"/>
      <c r="IH572" s="2"/>
      <c r="II572" s="2"/>
      <c r="IJ572" s="2"/>
      <c r="IK572" s="2">
        <v>0</v>
      </c>
      <c r="IL572" s="2"/>
      <c r="IM572" s="2"/>
      <c r="IN572" s="2"/>
      <c r="IO572" s="2"/>
      <c r="IP572" s="2"/>
      <c r="IQ572" s="2"/>
      <c r="IR572" s="2"/>
      <c r="IS572" s="2"/>
      <c r="IT572" s="2"/>
      <c r="IU572" s="2"/>
    </row>
    <row r="573" spans="1:255" x14ac:dyDescent="0.2">
      <c r="A573">
        <v>17</v>
      </c>
      <c r="B573">
        <v>1</v>
      </c>
      <c r="C573">
        <f>ROW(SmtRes!A650)</f>
        <v>650</v>
      </c>
      <c r="D573">
        <f>ROW(EtalonRes!A642)</f>
        <v>642</v>
      </c>
      <c r="E573" t="s">
        <v>218</v>
      </c>
      <c r="F573" t="s">
        <v>602</v>
      </c>
      <c r="G573" t="s">
        <v>603</v>
      </c>
      <c r="H573" t="s">
        <v>148</v>
      </c>
      <c r="I573">
        <v>0.38800000000000001</v>
      </c>
      <c r="J573">
        <v>0</v>
      </c>
      <c r="K573">
        <v>0.38800000000000001</v>
      </c>
      <c r="O573">
        <f t="shared" si="501"/>
        <v>1125.4000000000001</v>
      </c>
      <c r="P573">
        <f t="shared" si="502"/>
        <v>70.680000000000007</v>
      </c>
      <c r="Q573">
        <f>(ROUND((ROUND((((ET573*1.25))*AV573*I573),2)*BB573),2)+ROUND((ROUND(((AE573-((EU573*1.25)))*AV573*I573),2)*BS573),2))</f>
        <v>94.41</v>
      </c>
      <c r="R573">
        <f t="shared" si="503"/>
        <v>26.42</v>
      </c>
      <c r="S573">
        <f t="shared" si="504"/>
        <v>960.31</v>
      </c>
      <c r="T573">
        <f t="shared" si="505"/>
        <v>0</v>
      </c>
      <c r="U573">
        <f t="shared" si="506"/>
        <v>2.3693219999999995</v>
      </c>
      <c r="V573">
        <f t="shared" si="507"/>
        <v>0</v>
      </c>
      <c r="W573">
        <f t="shared" si="508"/>
        <v>0</v>
      </c>
      <c r="X573">
        <f t="shared" si="509"/>
        <v>797.06</v>
      </c>
      <c r="Y573">
        <f t="shared" si="510"/>
        <v>393.73</v>
      </c>
      <c r="AA573">
        <v>129761633</v>
      </c>
      <c r="AB573">
        <f t="shared" si="511"/>
        <v>120.822</v>
      </c>
      <c r="AC573">
        <f t="shared" si="512"/>
        <v>9.4600000000000009</v>
      </c>
      <c r="AD573">
        <f>ROUND(((((ET573*1.25))-((EU573*1.25)))+AE573),6)</f>
        <v>26.112500000000001</v>
      </c>
      <c r="AE573">
        <f>ROUND(((EU573*1.25)),6)</f>
        <v>2.3374999999999999</v>
      </c>
      <c r="AF573">
        <f>ROUND(((EV573*1.15)),6)</f>
        <v>85.249499999999998</v>
      </c>
      <c r="AG573">
        <f t="shared" si="513"/>
        <v>0</v>
      </c>
      <c r="AH573">
        <f>((EW573*1.15))</f>
        <v>6.1064999999999987</v>
      </c>
      <c r="AI573">
        <f>((EX573*1.25))</f>
        <v>0</v>
      </c>
      <c r="AJ573">
        <f t="shared" si="514"/>
        <v>0</v>
      </c>
      <c r="AK573">
        <v>104.48</v>
      </c>
      <c r="AL573">
        <v>9.4600000000000009</v>
      </c>
      <c r="AM573">
        <v>20.89</v>
      </c>
      <c r="AN573">
        <v>1.87</v>
      </c>
      <c r="AO573">
        <v>74.13</v>
      </c>
      <c r="AP573">
        <v>0</v>
      </c>
      <c r="AQ573">
        <v>5.31</v>
      </c>
      <c r="AR573">
        <v>0</v>
      </c>
      <c r="AS573">
        <v>0</v>
      </c>
      <c r="AT573">
        <v>83</v>
      </c>
      <c r="AU573">
        <v>41</v>
      </c>
      <c r="AV573">
        <v>1</v>
      </c>
      <c r="AW573">
        <v>1</v>
      </c>
      <c r="AZ573">
        <v>1</v>
      </c>
      <c r="BA573">
        <v>29.03</v>
      </c>
      <c r="BB573">
        <v>9.32</v>
      </c>
      <c r="BC573">
        <v>19.260000000000002</v>
      </c>
      <c r="BD573" t="s">
        <v>3</v>
      </c>
      <c r="BE573" t="s">
        <v>3</v>
      </c>
      <c r="BF573" t="s">
        <v>3</v>
      </c>
      <c r="BG573" t="s">
        <v>3</v>
      </c>
      <c r="BH573">
        <v>0</v>
      </c>
      <c r="BI573">
        <v>1</v>
      </c>
      <c r="BJ573" t="s">
        <v>604</v>
      </c>
      <c r="BM573">
        <v>97</v>
      </c>
      <c r="BN573">
        <v>0</v>
      </c>
      <c r="BO573" t="s">
        <v>602</v>
      </c>
      <c r="BP573">
        <v>1</v>
      </c>
      <c r="BQ573">
        <v>30</v>
      </c>
      <c r="BR573">
        <v>0</v>
      </c>
      <c r="BS573">
        <v>29.03</v>
      </c>
      <c r="BT573">
        <v>1</v>
      </c>
      <c r="BU573">
        <v>1</v>
      </c>
      <c r="BV573">
        <v>1</v>
      </c>
      <c r="BW573">
        <v>1</v>
      </c>
      <c r="BX573">
        <v>1</v>
      </c>
      <c r="BY573" t="s">
        <v>3</v>
      </c>
      <c r="BZ573">
        <v>83</v>
      </c>
      <c r="CA573">
        <v>41</v>
      </c>
      <c r="CB573" t="s">
        <v>3</v>
      </c>
      <c r="CE573">
        <v>30</v>
      </c>
      <c r="CF573">
        <v>0</v>
      </c>
      <c r="CG573">
        <v>0</v>
      </c>
      <c r="CM573">
        <v>0</v>
      </c>
      <c r="CN573" t="s">
        <v>1559</v>
      </c>
      <c r="CO573">
        <v>0</v>
      </c>
      <c r="CP573">
        <f t="shared" si="515"/>
        <v>1125.3999999999999</v>
      </c>
      <c r="CQ573">
        <f t="shared" si="516"/>
        <v>182.2</v>
      </c>
      <c r="CR573">
        <f>(ROUND((ROUND((((ET573*1.25))*AV573*1),2)*BB573),2)+ROUND((ROUND(((AE573-((EU573*1.25)))*AV573*1),2)*BS573),2))</f>
        <v>243.35</v>
      </c>
      <c r="CS573">
        <f t="shared" si="517"/>
        <v>67.930000000000007</v>
      </c>
      <c r="CT573">
        <f t="shared" si="518"/>
        <v>2474.81</v>
      </c>
      <c r="CU573">
        <f t="shared" si="519"/>
        <v>0</v>
      </c>
      <c r="CV573">
        <f t="shared" si="520"/>
        <v>6.1064999999999987</v>
      </c>
      <c r="CW573">
        <f t="shared" si="521"/>
        <v>0</v>
      </c>
      <c r="CX573">
        <f t="shared" si="522"/>
        <v>0</v>
      </c>
      <c r="CY573">
        <f>S573*(BZ573/100)</f>
        <v>797.05729999999994</v>
      </c>
      <c r="CZ573">
        <f>S573*(CA573/100)</f>
        <v>393.72709999999995</v>
      </c>
      <c r="DC573" t="s">
        <v>3</v>
      </c>
      <c r="DD573" t="s">
        <v>3</v>
      </c>
      <c r="DE573" t="s">
        <v>86</v>
      </c>
      <c r="DF573" t="s">
        <v>86</v>
      </c>
      <c r="DG573" t="s">
        <v>87</v>
      </c>
      <c r="DH573" t="s">
        <v>3</v>
      </c>
      <c r="DI573" t="s">
        <v>87</v>
      </c>
      <c r="DJ573" t="s">
        <v>86</v>
      </c>
      <c r="DK573" t="s">
        <v>3</v>
      </c>
      <c r="DL573" t="s">
        <v>3</v>
      </c>
      <c r="DM573" t="s">
        <v>3</v>
      </c>
      <c r="DN573">
        <v>100</v>
      </c>
      <c r="DO573">
        <v>64</v>
      </c>
      <c r="DP573">
        <v>1</v>
      </c>
      <c r="DQ573">
        <v>1</v>
      </c>
      <c r="DU573">
        <v>1005</v>
      </c>
      <c r="DV573" t="s">
        <v>148</v>
      </c>
      <c r="DW573" t="s">
        <v>148</v>
      </c>
      <c r="DX573">
        <v>100</v>
      </c>
      <c r="DZ573" t="s">
        <v>3</v>
      </c>
      <c r="EA573" t="s">
        <v>3</v>
      </c>
      <c r="EB573" t="s">
        <v>3</v>
      </c>
      <c r="EC573" t="s">
        <v>3</v>
      </c>
      <c r="EE573">
        <v>126051558</v>
      </c>
      <c r="EF573">
        <v>30</v>
      </c>
      <c r="EG573" t="s">
        <v>23</v>
      </c>
      <c r="EH573">
        <v>0</v>
      </c>
      <c r="EI573" t="s">
        <v>3</v>
      </c>
      <c r="EJ573">
        <v>1</v>
      </c>
      <c r="EK573">
        <v>97</v>
      </c>
      <c r="EL573" t="s">
        <v>605</v>
      </c>
      <c r="EM573" t="s">
        <v>606</v>
      </c>
      <c r="EO573" t="s">
        <v>90</v>
      </c>
      <c r="EQ573">
        <v>131072</v>
      </c>
      <c r="ER573">
        <v>104.48</v>
      </c>
      <c r="ES573">
        <v>9.4600000000000009</v>
      </c>
      <c r="ET573">
        <v>20.89</v>
      </c>
      <c r="EU573">
        <v>1.87</v>
      </c>
      <c r="EV573">
        <v>74.13</v>
      </c>
      <c r="EW573">
        <v>5.31</v>
      </c>
      <c r="EX573">
        <v>0</v>
      </c>
      <c r="EY573">
        <v>0</v>
      </c>
      <c r="FQ573">
        <v>0</v>
      </c>
      <c r="FR573">
        <f t="shared" si="523"/>
        <v>0</v>
      </c>
      <c r="FS573">
        <v>0</v>
      </c>
      <c r="FX573">
        <v>100</v>
      </c>
      <c r="FY573">
        <v>64</v>
      </c>
      <c r="GA573" t="s">
        <v>3</v>
      </c>
      <c r="GD573">
        <v>0</v>
      </c>
      <c r="GF573">
        <v>1686603062</v>
      </c>
      <c r="GG573">
        <v>2</v>
      </c>
      <c r="GH573">
        <v>1</v>
      </c>
      <c r="GI573">
        <v>2</v>
      </c>
      <c r="GJ573">
        <v>0</v>
      </c>
      <c r="GK573">
        <f>ROUND(R573*(S12)/100,2)</f>
        <v>42.27</v>
      </c>
      <c r="GL573">
        <f t="shared" si="524"/>
        <v>0</v>
      </c>
      <c r="GM573">
        <f t="shared" si="525"/>
        <v>2358.46</v>
      </c>
      <c r="GN573">
        <f t="shared" si="526"/>
        <v>2358.46</v>
      </c>
      <c r="GO573">
        <f t="shared" si="527"/>
        <v>0</v>
      </c>
      <c r="GP573">
        <f t="shared" si="528"/>
        <v>0</v>
      </c>
      <c r="GR573">
        <v>0</v>
      </c>
      <c r="GS573">
        <v>3</v>
      </c>
      <c r="GT573">
        <v>0</v>
      </c>
      <c r="GU573" t="s">
        <v>3</v>
      </c>
      <c r="GV573">
        <f t="shared" si="529"/>
        <v>0</v>
      </c>
      <c r="GW573">
        <v>1</v>
      </c>
      <c r="GX573">
        <f t="shared" si="530"/>
        <v>0</v>
      </c>
      <c r="HA573">
        <v>0</v>
      </c>
      <c r="HB573">
        <v>0</v>
      </c>
      <c r="HC573">
        <f t="shared" si="531"/>
        <v>0</v>
      </c>
      <c r="HE573" t="s">
        <v>3</v>
      </c>
      <c r="HF573" t="s">
        <v>3</v>
      </c>
      <c r="HM573" t="s">
        <v>3</v>
      </c>
      <c r="HN573" t="s">
        <v>3</v>
      </c>
      <c r="HO573" t="s">
        <v>3</v>
      </c>
      <c r="HP573" t="s">
        <v>3</v>
      </c>
      <c r="HQ573" t="s">
        <v>3</v>
      </c>
      <c r="IK573">
        <v>0</v>
      </c>
    </row>
    <row r="574" spans="1:255" x14ac:dyDescent="0.2">
      <c r="A574" s="2">
        <v>18</v>
      </c>
      <c r="B574" s="2">
        <v>1</v>
      </c>
      <c r="C574" s="2">
        <v>644</v>
      </c>
      <c r="D574" s="2"/>
      <c r="E574" s="2" t="s">
        <v>225</v>
      </c>
      <c r="F574" s="2" t="s">
        <v>607</v>
      </c>
      <c r="G574" s="2" t="s">
        <v>608</v>
      </c>
      <c r="H574" s="2" t="s">
        <v>114</v>
      </c>
      <c r="I574" s="2">
        <f>I572*J574</f>
        <v>3.4919999999999999E-3</v>
      </c>
      <c r="J574" s="2">
        <v>8.9999999999999993E-3</v>
      </c>
      <c r="K574" s="2">
        <v>8.9999999999999993E-3</v>
      </c>
      <c r="L574" s="2"/>
      <c r="M574" s="2"/>
      <c r="N574" s="2"/>
      <c r="O574" s="2">
        <f t="shared" si="501"/>
        <v>65.16</v>
      </c>
      <c r="P574" s="2">
        <f t="shared" si="502"/>
        <v>65.16</v>
      </c>
      <c r="Q574" s="2">
        <f>(ROUND((ROUND(((ET574)*AV574*I574),2)*BB574),2)+ROUND((ROUND(((AE574-(EU574))*AV574*I574),2)*BS574),2))</f>
        <v>0</v>
      </c>
      <c r="R574" s="2">
        <f t="shared" si="503"/>
        <v>0</v>
      </c>
      <c r="S574" s="2">
        <f t="shared" si="504"/>
        <v>0</v>
      </c>
      <c r="T574" s="2">
        <f t="shared" si="505"/>
        <v>0</v>
      </c>
      <c r="U574" s="2">
        <f t="shared" si="506"/>
        <v>0</v>
      </c>
      <c r="V574" s="2">
        <f t="shared" si="507"/>
        <v>0</v>
      </c>
      <c r="W574" s="2">
        <f t="shared" si="508"/>
        <v>0</v>
      </c>
      <c r="X574" s="2">
        <f t="shared" si="509"/>
        <v>0</v>
      </c>
      <c r="Y574" s="2">
        <f t="shared" si="510"/>
        <v>0</v>
      </c>
      <c r="Z574" s="2"/>
      <c r="AA574" s="2">
        <v>129761636</v>
      </c>
      <c r="AB574" s="2">
        <f t="shared" si="511"/>
        <v>18660.61</v>
      </c>
      <c r="AC574" s="2">
        <f t="shared" si="512"/>
        <v>18660.61</v>
      </c>
      <c r="AD574" s="2">
        <f>ROUND((((ET574)-(EU574))+AE574),6)</f>
        <v>0</v>
      </c>
      <c r="AE574" s="2">
        <f>ROUND((EU574),6)</f>
        <v>0</v>
      </c>
      <c r="AF574" s="2">
        <f>ROUND((EV574),6)</f>
        <v>0</v>
      </c>
      <c r="AG574" s="2">
        <f t="shared" si="513"/>
        <v>0</v>
      </c>
      <c r="AH574" s="2">
        <f>(EW574)</f>
        <v>0</v>
      </c>
      <c r="AI574" s="2">
        <f>(EX574)</f>
        <v>0</v>
      </c>
      <c r="AJ574" s="2">
        <f t="shared" si="514"/>
        <v>0</v>
      </c>
      <c r="AK574" s="2">
        <v>18660.61</v>
      </c>
      <c r="AL574" s="2">
        <v>18660.61</v>
      </c>
      <c r="AM574" s="2">
        <v>0</v>
      </c>
      <c r="AN574" s="2">
        <v>0</v>
      </c>
      <c r="AO574" s="2">
        <v>0</v>
      </c>
      <c r="AP574" s="2">
        <v>0</v>
      </c>
      <c r="AQ574" s="2">
        <v>0</v>
      </c>
      <c r="AR574" s="2">
        <v>0</v>
      </c>
      <c r="AS574" s="2">
        <v>0</v>
      </c>
      <c r="AT574" s="2">
        <v>100</v>
      </c>
      <c r="AU574" s="2">
        <v>64</v>
      </c>
      <c r="AV574" s="2">
        <v>1</v>
      </c>
      <c r="AW574" s="2">
        <v>1</v>
      </c>
      <c r="AX574" s="2"/>
      <c r="AY574" s="2"/>
      <c r="AZ574" s="2">
        <v>1</v>
      </c>
      <c r="BA574" s="2">
        <v>1</v>
      </c>
      <c r="BB574" s="2">
        <v>1</v>
      </c>
      <c r="BC574" s="2">
        <v>1</v>
      </c>
      <c r="BD574" s="2" t="s">
        <v>3</v>
      </c>
      <c r="BE574" s="2" t="s">
        <v>3</v>
      </c>
      <c r="BF574" s="2" t="s">
        <v>3</v>
      </c>
      <c r="BG574" s="2" t="s">
        <v>3</v>
      </c>
      <c r="BH574" s="2">
        <v>3</v>
      </c>
      <c r="BI574" s="2">
        <v>1</v>
      </c>
      <c r="BJ574" s="2" t="s">
        <v>609</v>
      </c>
      <c r="BK574" s="2"/>
      <c r="BL574" s="2"/>
      <c r="BM574" s="2">
        <v>97</v>
      </c>
      <c r="BN574" s="2">
        <v>0</v>
      </c>
      <c r="BO574" s="2" t="s">
        <v>3</v>
      </c>
      <c r="BP574" s="2">
        <v>0</v>
      </c>
      <c r="BQ574" s="2">
        <v>30</v>
      </c>
      <c r="BR574" s="2">
        <v>0</v>
      </c>
      <c r="BS574" s="2">
        <v>1</v>
      </c>
      <c r="BT574" s="2">
        <v>1</v>
      </c>
      <c r="BU574" s="2">
        <v>1</v>
      </c>
      <c r="BV574" s="2">
        <v>1</v>
      </c>
      <c r="BW574" s="2">
        <v>1</v>
      </c>
      <c r="BX574" s="2">
        <v>1</v>
      </c>
      <c r="BY574" s="2" t="s">
        <v>3</v>
      </c>
      <c r="BZ574" s="2">
        <v>100</v>
      </c>
      <c r="CA574" s="2">
        <v>64</v>
      </c>
      <c r="CB574" s="2" t="s">
        <v>3</v>
      </c>
      <c r="CC574" s="2"/>
      <c r="CD574" s="2"/>
      <c r="CE574" s="2">
        <v>30</v>
      </c>
      <c r="CF574" s="2">
        <v>0</v>
      </c>
      <c r="CG574" s="2">
        <v>0</v>
      </c>
      <c r="CH574" s="2"/>
      <c r="CI574" s="2"/>
      <c r="CJ574" s="2"/>
      <c r="CK574" s="2"/>
      <c r="CL574" s="2"/>
      <c r="CM574" s="2">
        <v>0</v>
      </c>
      <c r="CN574" s="2" t="s">
        <v>3</v>
      </c>
      <c r="CO574" s="2">
        <v>0</v>
      </c>
      <c r="CP574" s="2">
        <f t="shared" si="515"/>
        <v>65.16</v>
      </c>
      <c r="CQ574" s="2">
        <f t="shared" si="516"/>
        <v>18660.61</v>
      </c>
      <c r="CR574" s="2">
        <f>(ROUND((ROUND(((ET574)*AV574*1),2)*BB574),2)+ROUND((ROUND(((AE574-(EU574))*AV574*1),2)*BS574),2))</f>
        <v>0</v>
      </c>
      <c r="CS574" s="2">
        <f t="shared" si="517"/>
        <v>0</v>
      </c>
      <c r="CT574" s="2">
        <f t="shared" si="518"/>
        <v>0</v>
      </c>
      <c r="CU574" s="2">
        <f t="shared" si="519"/>
        <v>0</v>
      </c>
      <c r="CV574" s="2">
        <f t="shared" si="520"/>
        <v>0</v>
      </c>
      <c r="CW574" s="2">
        <f t="shared" si="521"/>
        <v>0</v>
      </c>
      <c r="CX574" s="2">
        <f t="shared" si="522"/>
        <v>0</v>
      </c>
      <c r="CY574" s="2">
        <f>((S574*BZ574)/100)</f>
        <v>0</v>
      </c>
      <c r="CZ574" s="2">
        <f>((S574*CA574)/100)</f>
        <v>0</v>
      </c>
      <c r="DA574" s="2"/>
      <c r="DB574" s="2"/>
      <c r="DC574" s="2" t="s">
        <v>3</v>
      </c>
      <c r="DD574" s="2" t="s">
        <v>3</v>
      </c>
      <c r="DE574" s="2" t="s">
        <v>3</v>
      </c>
      <c r="DF574" s="2" t="s">
        <v>3</v>
      </c>
      <c r="DG574" s="2" t="s">
        <v>3</v>
      </c>
      <c r="DH574" s="2" t="s">
        <v>3</v>
      </c>
      <c r="DI574" s="2" t="s">
        <v>3</v>
      </c>
      <c r="DJ574" s="2" t="s">
        <v>3</v>
      </c>
      <c r="DK574" s="2" t="s">
        <v>3</v>
      </c>
      <c r="DL574" s="2" t="s">
        <v>3</v>
      </c>
      <c r="DM574" s="2" t="s">
        <v>3</v>
      </c>
      <c r="DN574" s="2">
        <v>0</v>
      </c>
      <c r="DO574" s="2">
        <v>0</v>
      </c>
      <c r="DP574" s="2">
        <v>1</v>
      </c>
      <c r="DQ574" s="2">
        <v>1</v>
      </c>
      <c r="DR574" s="2"/>
      <c r="DS574" s="2"/>
      <c r="DT574" s="2"/>
      <c r="DU574" s="2">
        <v>1009</v>
      </c>
      <c r="DV574" s="2" t="s">
        <v>114</v>
      </c>
      <c r="DW574" s="2" t="s">
        <v>114</v>
      </c>
      <c r="DX574" s="2">
        <v>1000</v>
      </c>
      <c r="DY574" s="2"/>
      <c r="DZ574" s="2" t="s">
        <v>3</v>
      </c>
      <c r="EA574" s="2" t="s">
        <v>3</v>
      </c>
      <c r="EB574" s="2" t="s">
        <v>3</v>
      </c>
      <c r="EC574" s="2" t="s">
        <v>3</v>
      </c>
      <c r="ED574" s="2"/>
      <c r="EE574" s="2">
        <v>126051558</v>
      </c>
      <c r="EF574" s="2">
        <v>30</v>
      </c>
      <c r="EG574" s="2" t="s">
        <v>23</v>
      </c>
      <c r="EH574" s="2">
        <v>0</v>
      </c>
      <c r="EI574" s="2" t="s">
        <v>3</v>
      </c>
      <c r="EJ574" s="2">
        <v>1</v>
      </c>
      <c r="EK574" s="2">
        <v>97</v>
      </c>
      <c r="EL574" s="2" t="s">
        <v>605</v>
      </c>
      <c r="EM574" s="2" t="s">
        <v>606</v>
      </c>
      <c r="EN574" s="2"/>
      <c r="EO574" s="2" t="s">
        <v>3</v>
      </c>
      <c r="EP574" s="2"/>
      <c r="EQ574" s="2">
        <v>0</v>
      </c>
      <c r="ER574" s="2">
        <v>18660.61</v>
      </c>
      <c r="ES574" s="2">
        <v>18660.61</v>
      </c>
      <c r="ET574" s="2">
        <v>0</v>
      </c>
      <c r="EU574" s="2">
        <v>0</v>
      </c>
      <c r="EV574" s="2">
        <v>0</v>
      </c>
      <c r="EW574" s="2">
        <v>0</v>
      </c>
      <c r="EX574" s="2">
        <v>0</v>
      </c>
      <c r="EY574" s="2"/>
      <c r="EZ574" s="2"/>
      <c r="FA574" s="2"/>
      <c r="FB574" s="2"/>
      <c r="FC574" s="2"/>
      <c r="FD574" s="2"/>
      <c r="FE574" s="2"/>
      <c r="FF574" s="2"/>
      <c r="FG574" s="2"/>
      <c r="FH574" s="2"/>
      <c r="FI574" s="2"/>
      <c r="FJ574" s="2"/>
      <c r="FK574" s="2"/>
      <c r="FL574" s="2"/>
      <c r="FM574" s="2"/>
      <c r="FN574" s="2"/>
      <c r="FO574" s="2"/>
      <c r="FP574" s="2"/>
      <c r="FQ574" s="2">
        <v>0</v>
      </c>
      <c r="FR574" s="2">
        <f t="shared" si="523"/>
        <v>0</v>
      </c>
      <c r="FS574" s="2">
        <v>0</v>
      </c>
      <c r="FT574" s="2"/>
      <c r="FU574" s="2"/>
      <c r="FV574" s="2"/>
      <c r="FW574" s="2"/>
      <c r="FX574" s="2">
        <v>100</v>
      </c>
      <c r="FY574" s="2">
        <v>64</v>
      </c>
      <c r="FZ574" s="2"/>
      <c r="GA574" s="2" t="s">
        <v>3</v>
      </c>
      <c r="GB574" s="2"/>
      <c r="GC574" s="2"/>
      <c r="GD574" s="2">
        <v>0</v>
      </c>
      <c r="GE574" s="2"/>
      <c r="GF574" s="2">
        <v>1943683001</v>
      </c>
      <c r="GG574" s="2">
        <v>2</v>
      </c>
      <c r="GH574" s="2">
        <v>1</v>
      </c>
      <c r="GI574" s="2">
        <v>-2</v>
      </c>
      <c r="GJ574" s="2">
        <v>0</v>
      </c>
      <c r="GK574" s="2">
        <f>ROUND(R574*(R12)/100,2)</f>
        <v>0</v>
      </c>
      <c r="GL574" s="2">
        <f t="shared" si="524"/>
        <v>0</v>
      </c>
      <c r="GM574" s="2">
        <f t="shared" si="525"/>
        <v>65.16</v>
      </c>
      <c r="GN574" s="2">
        <f t="shared" si="526"/>
        <v>65.16</v>
      </c>
      <c r="GO574" s="2">
        <f t="shared" si="527"/>
        <v>0</v>
      </c>
      <c r="GP574" s="2">
        <f t="shared" si="528"/>
        <v>0</v>
      </c>
      <c r="GQ574" s="2"/>
      <c r="GR574" s="2">
        <v>0</v>
      </c>
      <c r="GS574" s="2">
        <v>0</v>
      </c>
      <c r="GT574" s="2">
        <v>0</v>
      </c>
      <c r="GU574" s="2" t="s">
        <v>3</v>
      </c>
      <c r="GV574" s="2">
        <f t="shared" si="529"/>
        <v>0</v>
      </c>
      <c r="GW574" s="2">
        <v>1</v>
      </c>
      <c r="GX574" s="2">
        <f t="shared" si="530"/>
        <v>0</v>
      </c>
      <c r="GY574" s="2"/>
      <c r="GZ574" s="2"/>
      <c r="HA574" s="2">
        <v>0</v>
      </c>
      <c r="HB574" s="2">
        <v>0</v>
      </c>
      <c r="HC574" s="2">
        <f t="shared" si="531"/>
        <v>0</v>
      </c>
      <c r="HD574" s="2"/>
      <c r="HE574" s="2" t="s">
        <v>3</v>
      </c>
      <c r="HF574" s="2" t="s">
        <v>3</v>
      </c>
      <c r="HG574" s="2"/>
      <c r="HH574" s="2"/>
      <c r="HI574" s="2"/>
      <c r="HJ574" s="2"/>
      <c r="HK574" s="2"/>
      <c r="HL574" s="2"/>
      <c r="HM574" s="2" t="s">
        <v>3</v>
      </c>
      <c r="HN574" s="2" t="s">
        <v>3</v>
      </c>
      <c r="HO574" s="2" t="s">
        <v>3</v>
      </c>
      <c r="HP574" s="2" t="s">
        <v>3</v>
      </c>
      <c r="HQ574" s="2" t="s">
        <v>3</v>
      </c>
      <c r="HR574" s="2"/>
      <c r="HS574" s="2"/>
      <c r="HT574" s="2"/>
      <c r="HU574" s="2"/>
      <c r="HV574" s="2"/>
      <c r="HW574" s="2"/>
      <c r="HX574" s="2"/>
      <c r="HY574" s="2"/>
      <c r="HZ574" s="2"/>
      <c r="IA574" s="2"/>
      <c r="IB574" s="2"/>
      <c r="IC574" s="2"/>
      <c r="ID574" s="2"/>
      <c r="IE574" s="2"/>
      <c r="IF574" s="2"/>
      <c r="IG574" s="2"/>
      <c r="IH574" s="2"/>
      <c r="II574" s="2"/>
      <c r="IJ574" s="2"/>
      <c r="IK574" s="2">
        <v>0</v>
      </c>
      <c r="IL574" s="2"/>
      <c r="IM574" s="2"/>
      <c r="IN574" s="2"/>
      <c r="IO574" s="2"/>
      <c r="IP574" s="2"/>
      <c r="IQ574" s="2"/>
      <c r="IR574" s="2"/>
      <c r="IS574" s="2"/>
      <c r="IT574" s="2"/>
      <c r="IU574" s="2"/>
    </row>
    <row r="575" spans="1:255" x14ac:dyDescent="0.2">
      <c r="A575">
        <v>18</v>
      </c>
      <c r="B575">
        <v>1</v>
      </c>
      <c r="C575">
        <v>649</v>
      </c>
      <c r="E575" t="s">
        <v>225</v>
      </c>
      <c r="F575" t="s">
        <v>607</v>
      </c>
      <c r="G575" t="s">
        <v>608</v>
      </c>
      <c r="H575" t="s">
        <v>114</v>
      </c>
      <c r="I575">
        <f>I573*J575</f>
        <v>3.4919999999999999E-3</v>
      </c>
      <c r="J575">
        <v>8.9999999999999993E-3</v>
      </c>
      <c r="K575">
        <v>8.9999999999999993E-3</v>
      </c>
      <c r="O575">
        <f t="shared" si="501"/>
        <v>241.09</v>
      </c>
      <c r="P575">
        <f t="shared" si="502"/>
        <v>241.09</v>
      </c>
      <c r="Q575">
        <f>(ROUND((ROUND(((ET575)*AV575*I575),2)*BB575),2)+ROUND((ROUND(((AE575-(EU575))*AV575*I575),2)*BS575),2))</f>
        <v>0</v>
      </c>
      <c r="R575">
        <f t="shared" si="503"/>
        <v>0</v>
      </c>
      <c r="S575">
        <f t="shared" si="504"/>
        <v>0</v>
      </c>
      <c r="T575">
        <f t="shared" si="505"/>
        <v>0</v>
      </c>
      <c r="U575">
        <f t="shared" si="506"/>
        <v>0</v>
      </c>
      <c r="V575">
        <f t="shared" si="507"/>
        <v>0</v>
      </c>
      <c r="W575">
        <f t="shared" si="508"/>
        <v>0</v>
      </c>
      <c r="X575">
        <f t="shared" si="509"/>
        <v>0</v>
      </c>
      <c r="Y575">
        <f t="shared" si="510"/>
        <v>0</v>
      </c>
      <c r="AA575">
        <v>129761633</v>
      </c>
      <c r="AB575">
        <f t="shared" si="511"/>
        <v>18660.61</v>
      </c>
      <c r="AC575">
        <f t="shared" si="512"/>
        <v>18660.61</v>
      </c>
      <c r="AD575">
        <f>ROUND((((ET575)-(EU575))+AE575),6)</f>
        <v>0</v>
      </c>
      <c r="AE575">
        <f>ROUND((EU575),6)</f>
        <v>0</v>
      </c>
      <c r="AF575">
        <f>ROUND((EV575),6)</f>
        <v>0</v>
      </c>
      <c r="AG575">
        <f t="shared" si="513"/>
        <v>0</v>
      </c>
      <c r="AH575">
        <f>(EW575)</f>
        <v>0</v>
      </c>
      <c r="AI575">
        <f>(EX575)</f>
        <v>0</v>
      </c>
      <c r="AJ575">
        <f t="shared" si="514"/>
        <v>0</v>
      </c>
      <c r="AK575">
        <v>18660.61</v>
      </c>
      <c r="AL575">
        <v>18660.61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1</v>
      </c>
      <c r="AW575">
        <v>1</v>
      </c>
      <c r="AZ575">
        <v>1</v>
      </c>
      <c r="BA575">
        <v>1</v>
      </c>
      <c r="BB575">
        <v>1</v>
      </c>
      <c r="BC575">
        <v>3.7</v>
      </c>
      <c r="BD575" t="s">
        <v>3</v>
      </c>
      <c r="BE575" t="s">
        <v>3</v>
      </c>
      <c r="BF575" t="s">
        <v>3</v>
      </c>
      <c r="BG575" t="s">
        <v>3</v>
      </c>
      <c r="BH575">
        <v>3</v>
      </c>
      <c r="BI575">
        <v>1</v>
      </c>
      <c r="BJ575" t="s">
        <v>609</v>
      </c>
      <c r="BM575">
        <v>97</v>
      </c>
      <c r="BN575">
        <v>0</v>
      </c>
      <c r="BO575" t="s">
        <v>607</v>
      </c>
      <c r="BP575">
        <v>1</v>
      </c>
      <c r="BQ575">
        <v>30</v>
      </c>
      <c r="BR575">
        <v>0</v>
      </c>
      <c r="BS575">
        <v>1</v>
      </c>
      <c r="BT575">
        <v>1</v>
      </c>
      <c r="BU575">
        <v>1</v>
      </c>
      <c r="BV575">
        <v>1</v>
      </c>
      <c r="BW575">
        <v>1</v>
      </c>
      <c r="BX575">
        <v>1</v>
      </c>
      <c r="BY575" t="s">
        <v>3</v>
      </c>
      <c r="BZ575">
        <v>0</v>
      </c>
      <c r="CA575">
        <v>0</v>
      </c>
      <c r="CB575" t="s">
        <v>3</v>
      </c>
      <c r="CE575">
        <v>30</v>
      </c>
      <c r="CF575">
        <v>0</v>
      </c>
      <c r="CG575">
        <v>0</v>
      </c>
      <c r="CM575">
        <v>0</v>
      </c>
      <c r="CN575" t="s">
        <v>3</v>
      </c>
      <c r="CO575">
        <v>0</v>
      </c>
      <c r="CP575">
        <f t="shared" si="515"/>
        <v>241.09</v>
      </c>
      <c r="CQ575">
        <f t="shared" si="516"/>
        <v>69044.259999999995</v>
      </c>
      <c r="CR575">
        <f>(ROUND((ROUND(((ET575)*AV575*1),2)*BB575),2)+ROUND((ROUND(((AE575-(EU575))*AV575*1),2)*BS575),2))</f>
        <v>0</v>
      </c>
      <c r="CS575">
        <f t="shared" si="517"/>
        <v>0</v>
      </c>
      <c r="CT575">
        <f t="shared" si="518"/>
        <v>0</v>
      </c>
      <c r="CU575">
        <f t="shared" si="519"/>
        <v>0</v>
      </c>
      <c r="CV575">
        <f t="shared" si="520"/>
        <v>0</v>
      </c>
      <c r="CW575">
        <f t="shared" si="521"/>
        <v>0</v>
      </c>
      <c r="CX575">
        <f t="shared" si="522"/>
        <v>0</v>
      </c>
      <c r="CY575">
        <f>S575*(BZ575/100)</f>
        <v>0</v>
      </c>
      <c r="CZ575">
        <f>S575*(CA575/100)</f>
        <v>0</v>
      </c>
      <c r="DC575" t="s">
        <v>3</v>
      </c>
      <c r="DD575" t="s">
        <v>3</v>
      </c>
      <c r="DE575" t="s">
        <v>3</v>
      </c>
      <c r="DF575" t="s">
        <v>3</v>
      </c>
      <c r="DG575" t="s">
        <v>3</v>
      </c>
      <c r="DH575" t="s">
        <v>3</v>
      </c>
      <c r="DI575" t="s">
        <v>3</v>
      </c>
      <c r="DJ575" t="s">
        <v>3</v>
      </c>
      <c r="DK575" t="s">
        <v>3</v>
      </c>
      <c r="DL575" t="s">
        <v>3</v>
      </c>
      <c r="DM575" t="s">
        <v>3</v>
      </c>
      <c r="DN575">
        <v>100</v>
      </c>
      <c r="DO575">
        <v>64</v>
      </c>
      <c r="DP575">
        <v>1</v>
      </c>
      <c r="DQ575">
        <v>1</v>
      </c>
      <c r="DU575">
        <v>1009</v>
      </c>
      <c r="DV575" t="s">
        <v>114</v>
      </c>
      <c r="DW575" t="s">
        <v>114</v>
      </c>
      <c r="DX575">
        <v>1000</v>
      </c>
      <c r="DZ575" t="s">
        <v>3</v>
      </c>
      <c r="EA575" t="s">
        <v>3</v>
      </c>
      <c r="EB575" t="s">
        <v>3</v>
      </c>
      <c r="EC575" t="s">
        <v>3</v>
      </c>
      <c r="EE575">
        <v>126051558</v>
      </c>
      <c r="EF575">
        <v>30</v>
      </c>
      <c r="EG575" t="s">
        <v>23</v>
      </c>
      <c r="EH575">
        <v>0</v>
      </c>
      <c r="EI575" t="s">
        <v>3</v>
      </c>
      <c r="EJ575">
        <v>1</v>
      </c>
      <c r="EK575">
        <v>97</v>
      </c>
      <c r="EL575" t="s">
        <v>605</v>
      </c>
      <c r="EM575" t="s">
        <v>606</v>
      </c>
      <c r="EO575" t="s">
        <v>3</v>
      </c>
      <c r="EQ575">
        <v>0</v>
      </c>
      <c r="ER575">
        <v>18660.61</v>
      </c>
      <c r="ES575">
        <v>18660.61</v>
      </c>
      <c r="ET575">
        <v>0</v>
      </c>
      <c r="EU575">
        <v>0</v>
      </c>
      <c r="EV575">
        <v>0</v>
      </c>
      <c r="EW575">
        <v>0</v>
      </c>
      <c r="EX575">
        <v>0</v>
      </c>
      <c r="FQ575">
        <v>0</v>
      </c>
      <c r="FR575">
        <f t="shared" si="523"/>
        <v>0</v>
      </c>
      <c r="FS575">
        <v>0</v>
      </c>
      <c r="FX575">
        <v>100</v>
      </c>
      <c r="FY575">
        <v>64</v>
      </c>
      <c r="GA575" t="s">
        <v>3</v>
      </c>
      <c r="GD575">
        <v>0</v>
      </c>
      <c r="GF575">
        <v>1943683001</v>
      </c>
      <c r="GG575">
        <v>2</v>
      </c>
      <c r="GH575">
        <v>1</v>
      </c>
      <c r="GI575">
        <v>2</v>
      </c>
      <c r="GJ575">
        <v>0</v>
      </c>
      <c r="GK575">
        <f>ROUND(R575*(S12)/100,2)</f>
        <v>0</v>
      </c>
      <c r="GL575">
        <f t="shared" si="524"/>
        <v>0</v>
      </c>
      <c r="GM575">
        <f t="shared" si="525"/>
        <v>241.09</v>
      </c>
      <c r="GN575">
        <f t="shared" si="526"/>
        <v>241.09</v>
      </c>
      <c r="GO575">
        <f t="shared" si="527"/>
        <v>0</v>
      </c>
      <c r="GP575">
        <f t="shared" si="528"/>
        <v>0</v>
      </c>
      <c r="GR575">
        <v>0</v>
      </c>
      <c r="GS575">
        <v>3</v>
      </c>
      <c r="GT575">
        <v>0</v>
      </c>
      <c r="GU575" t="s">
        <v>3</v>
      </c>
      <c r="GV575">
        <f t="shared" si="529"/>
        <v>0</v>
      </c>
      <c r="GW575">
        <v>1</v>
      </c>
      <c r="GX575">
        <f t="shared" si="530"/>
        <v>0</v>
      </c>
      <c r="HA575">
        <v>0</v>
      </c>
      <c r="HB575">
        <v>0</v>
      </c>
      <c r="HC575">
        <f t="shared" si="531"/>
        <v>0</v>
      </c>
      <c r="HE575" t="s">
        <v>3</v>
      </c>
      <c r="HF575" t="s">
        <v>3</v>
      </c>
      <c r="HM575" t="s">
        <v>3</v>
      </c>
      <c r="HN575" t="s">
        <v>3</v>
      </c>
      <c r="HO575" t="s">
        <v>3</v>
      </c>
      <c r="HP575" t="s">
        <v>3</v>
      </c>
      <c r="HQ575" t="s">
        <v>3</v>
      </c>
      <c r="IK575">
        <v>0</v>
      </c>
    </row>
    <row r="576" spans="1:255" x14ac:dyDescent="0.2">
      <c r="A576" s="2">
        <v>17</v>
      </c>
      <c r="B576" s="2">
        <v>1</v>
      </c>
      <c r="C576" s="2">
        <f>ROW(SmtRes!A655)</f>
        <v>655</v>
      </c>
      <c r="D576" s="2">
        <f>ROW(EtalonRes!A647)</f>
        <v>647</v>
      </c>
      <c r="E576" s="2" t="s">
        <v>228</v>
      </c>
      <c r="F576" s="2" t="s">
        <v>610</v>
      </c>
      <c r="G576" s="2" t="s">
        <v>611</v>
      </c>
      <c r="H576" s="2" t="s">
        <v>148</v>
      </c>
      <c r="I576" s="2">
        <v>0.38800000000000001</v>
      </c>
      <c r="J576" s="2">
        <v>0</v>
      </c>
      <c r="K576" s="2">
        <v>0.38800000000000001</v>
      </c>
      <c r="L576" s="2"/>
      <c r="M576" s="2"/>
      <c r="N576" s="2"/>
      <c r="O576" s="2">
        <f t="shared" si="501"/>
        <v>123.65</v>
      </c>
      <c r="P576" s="2">
        <f t="shared" si="502"/>
        <v>111.61</v>
      </c>
      <c r="Q576" s="2">
        <f>(ROUND((ROUND((((ET576*1.25))*AV576*I576),2)*BB576),2)+ROUND((ROUND(((AE576-((EU576*1.25)))*AV576*I576),2)*BS576),2))</f>
        <v>0.73</v>
      </c>
      <c r="R576" s="2">
        <f t="shared" si="503"/>
        <v>0.15</v>
      </c>
      <c r="S576" s="2">
        <f t="shared" si="504"/>
        <v>11.31</v>
      </c>
      <c r="T576" s="2">
        <f t="shared" si="505"/>
        <v>0</v>
      </c>
      <c r="U576" s="2">
        <f t="shared" si="506"/>
        <v>0.95040599999999986</v>
      </c>
      <c r="V576" s="2">
        <f t="shared" si="507"/>
        <v>0</v>
      </c>
      <c r="W576" s="2">
        <f t="shared" si="508"/>
        <v>0</v>
      </c>
      <c r="X576" s="2">
        <f t="shared" si="509"/>
        <v>11.31</v>
      </c>
      <c r="Y576" s="2">
        <f t="shared" si="510"/>
        <v>7.24</v>
      </c>
      <c r="Z576" s="2"/>
      <c r="AA576" s="2">
        <v>129761636</v>
      </c>
      <c r="AB576" s="2">
        <f t="shared" si="511"/>
        <v>318.67750000000001</v>
      </c>
      <c r="AC576" s="2">
        <f t="shared" si="512"/>
        <v>287.64999999999998</v>
      </c>
      <c r="AD576" s="2">
        <f>ROUND(((((ET576*1.25))-((EU576*1.25)))+AE576),6)</f>
        <v>1.875</v>
      </c>
      <c r="AE576" s="2">
        <f>ROUND(((EU576*1.25)),6)</f>
        <v>0.38750000000000001</v>
      </c>
      <c r="AF576" s="2">
        <f>ROUND(((EV576*1.15)),6)</f>
        <v>29.1525</v>
      </c>
      <c r="AG576" s="2">
        <f t="shared" si="513"/>
        <v>0</v>
      </c>
      <c r="AH576" s="2">
        <f>((EW576*1.15))</f>
        <v>2.4494999999999996</v>
      </c>
      <c r="AI576" s="2">
        <f>((EX576*1.25))</f>
        <v>0</v>
      </c>
      <c r="AJ576" s="2">
        <f t="shared" si="514"/>
        <v>0</v>
      </c>
      <c r="AK576" s="2">
        <v>314.5</v>
      </c>
      <c r="AL576" s="2">
        <v>287.64999999999998</v>
      </c>
      <c r="AM576" s="2">
        <v>1.5</v>
      </c>
      <c r="AN576" s="2">
        <v>0.31</v>
      </c>
      <c r="AO576" s="2">
        <v>25.35</v>
      </c>
      <c r="AP576" s="2">
        <v>0</v>
      </c>
      <c r="AQ576" s="2">
        <v>2.13</v>
      </c>
      <c r="AR576" s="2">
        <v>0</v>
      </c>
      <c r="AS576" s="2">
        <v>0</v>
      </c>
      <c r="AT576" s="2">
        <v>100</v>
      </c>
      <c r="AU576" s="2">
        <v>64</v>
      </c>
      <c r="AV576" s="2">
        <v>1</v>
      </c>
      <c r="AW576" s="2">
        <v>1</v>
      </c>
      <c r="AX576" s="2"/>
      <c r="AY576" s="2"/>
      <c r="AZ576" s="2">
        <v>1</v>
      </c>
      <c r="BA576" s="2">
        <v>1</v>
      </c>
      <c r="BB576" s="2">
        <v>1</v>
      </c>
      <c r="BC576" s="2">
        <v>1</v>
      </c>
      <c r="BD576" s="2" t="s">
        <v>3</v>
      </c>
      <c r="BE576" s="2" t="s">
        <v>3</v>
      </c>
      <c r="BF576" s="2" t="s">
        <v>3</v>
      </c>
      <c r="BG576" s="2" t="s">
        <v>3</v>
      </c>
      <c r="BH576" s="2">
        <v>0</v>
      </c>
      <c r="BI576" s="2">
        <v>1</v>
      </c>
      <c r="BJ576" s="2" t="s">
        <v>612</v>
      </c>
      <c r="BK576" s="2"/>
      <c r="BL576" s="2"/>
      <c r="BM576" s="2">
        <v>1369</v>
      </c>
      <c r="BN576" s="2">
        <v>0</v>
      </c>
      <c r="BO576" s="2" t="s">
        <v>3</v>
      </c>
      <c r="BP576" s="2">
        <v>0</v>
      </c>
      <c r="BQ576" s="2">
        <v>30</v>
      </c>
      <c r="BR576" s="2">
        <v>0</v>
      </c>
      <c r="BS576" s="2">
        <v>1</v>
      </c>
      <c r="BT576" s="2">
        <v>1</v>
      </c>
      <c r="BU576" s="2">
        <v>1</v>
      </c>
      <c r="BV576" s="2">
        <v>1</v>
      </c>
      <c r="BW576" s="2">
        <v>1</v>
      </c>
      <c r="BX576" s="2">
        <v>1</v>
      </c>
      <c r="BY576" s="2" t="s">
        <v>3</v>
      </c>
      <c r="BZ576" s="2">
        <v>100</v>
      </c>
      <c r="CA576" s="2">
        <v>64</v>
      </c>
      <c r="CB576" s="2" t="s">
        <v>3</v>
      </c>
      <c r="CC576" s="2"/>
      <c r="CD576" s="2"/>
      <c r="CE576" s="2">
        <v>30</v>
      </c>
      <c r="CF576" s="2">
        <v>0</v>
      </c>
      <c r="CG576" s="2">
        <v>0</v>
      </c>
      <c r="CH576" s="2"/>
      <c r="CI576" s="2"/>
      <c r="CJ576" s="2"/>
      <c r="CK576" s="2"/>
      <c r="CL576" s="2"/>
      <c r="CM576" s="2">
        <v>0</v>
      </c>
      <c r="CN576" s="2" t="s">
        <v>1559</v>
      </c>
      <c r="CO576" s="2">
        <v>0</v>
      </c>
      <c r="CP576" s="2">
        <f t="shared" si="515"/>
        <v>123.65</v>
      </c>
      <c r="CQ576" s="2">
        <f t="shared" si="516"/>
        <v>287.64999999999998</v>
      </c>
      <c r="CR576" s="2">
        <f>(ROUND((ROUND((((ET576*1.25))*AV576*1),2)*BB576),2)+ROUND((ROUND(((AE576-((EU576*1.25)))*AV576*1),2)*BS576),2))</f>
        <v>1.88</v>
      </c>
      <c r="CS576" s="2">
        <f t="shared" si="517"/>
        <v>0.39</v>
      </c>
      <c r="CT576" s="2">
        <f t="shared" si="518"/>
        <v>29.15</v>
      </c>
      <c r="CU576" s="2">
        <f t="shared" si="519"/>
        <v>0</v>
      </c>
      <c r="CV576" s="2">
        <f t="shared" si="520"/>
        <v>2.4494999999999996</v>
      </c>
      <c r="CW576" s="2">
        <f t="shared" si="521"/>
        <v>0</v>
      </c>
      <c r="CX576" s="2">
        <f t="shared" si="522"/>
        <v>0</v>
      </c>
      <c r="CY576" s="2">
        <f>((S576*BZ576)/100)</f>
        <v>11.31</v>
      </c>
      <c r="CZ576" s="2">
        <f>((S576*CA576)/100)</f>
        <v>7.2384000000000004</v>
      </c>
      <c r="DA576" s="2"/>
      <c r="DB576" s="2"/>
      <c r="DC576" s="2" t="s">
        <v>3</v>
      </c>
      <c r="DD576" s="2" t="s">
        <v>3</v>
      </c>
      <c r="DE576" s="2" t="s">
        <v>86</v>
      </c>
      <c r="DF576" s="2" t="s">
        <v>86</v>
      </c>
      <c r="DG576" s="2" t="s">
        <v>87</v>
      </c>
      <c r="DH576" s="2" t="s">
        <v>3</v>
      </c>
      <c r="DI576" s="2" t="s">
        <v>87</v>
      </c>
      <c r="DJ576" s="2" t="s">
        <v>86</v>
      </c>
      <c r="DK576" s="2" t="s">
        <v>3</v>
      </c>
      <c r="DL576" s="2" t="s">
        <v>3</v>
      </c>
      <c r="DM576" s="2" t="s">
        <v>3</v>
      </c>
      <c r="DN576" s="2">
        <v>0</v>
      </c>
      <c r="DO576" s="2">
        <v>0</v>
      </c>
      <c r="DP576" s="2">
        <v>1</v>
      </c>
      <c r="DQ576" s="2">
        <v>1</v>
      </c>
      <c r="DR576" s="2"/>
      <c r="DS576" s="2"/>
      <c r="DT576" s="2"/>
      <c r="DU576" s="2">
        <v>1005</v>
      </c>
      <c r="DV576" s="2" t="s">
        <v>148</v>
      </c>
      <c r="DW576" s="2" t="s">
        <v>148</v>
      </c>
      <c r="DX576" s="2">
        <v>100</v>
      </c>
      <c r="DY576" s="2"/>
      <c r="DZ576" s="2" t="s">
        <v>3</v>
      </c>
      <c r="EA576" s="2" t="s">
        <v>3</v>
      </c>
      <c r="EB576" s="2" t="s">
        <v>3</v>
      </c>
      <c r="EC576" s="2" t="s">
        <v>3</v>
      </c>
      <c r="ED576" s="2"/>
      <c r="EE576" s="2">
        <v>126052830</v>
      </c>
      <c r="EF576" s="2">
        <v>30</v>
      </c>
      <c r="EG576" s="2" t="s">
        <v>23</v>
      </c>
      <c r="EH576" s="2">
        <v>0</v>
      </c>
      <c r="EI576" s="2" t="s">
        <v>3</v>
      </c>
      <c r="EJ576" s="2">
        <v>1</v>
      </c>
      <c r="EK576" s="2">
        <v>1369</v>
      </c>
      <c r="EL576" s="2" t="s">
        <v>613</v>
      </c>
      <c r="EM576" s="2" t="s">
        <v>614</v>
      </c>
      <c r="EN576" s="2"/>
      <c r="EO576" s="2" t="s">
        <v>90</v>
      </c>
      <c r="EP576" s="2"/>
      <c r="EQ576" s="2">
        <v>131072</v>
      </c>
      <c r="ER576" s="2">
        <v>314.5</v>
      </c>
      <c r="ES576" s="2">
        <v>287.64999999999998</v>
      </c>
      <c r="ET576" s="2">
        <v>1.5</v>
      </c>
      <c r="EU576" s="2">
        <v>0.31</v>
      </c>
      <c r="EV576" s="2">
        <v>25.35</v>
      </c>
      <c r="EW576" s="2">
        <v>2.13</v>
      </c>
      <c r="EX576" s="2">
        <v>0</v>
      </c>
      <c r="EY576" s="2">
        <v>0</v>
      </c>
      <c r="EZ576" s="2"/>
      <c r="FA576" s="2"/>
      <c r="FB576" s="2"/>
      <c r="FC576" s="2"/>
      <c r="FD576" s="2"/>
      <c r="FE576" s="2"/>
      <c r="FF576" s="2"/>
      <c r="FG576" s="2"/>
      <c r="FH576" s="2"/>
      <c r="FI576" s="2"/>
      <c r="FJ576" s="2"/>
      <c r="FK576" s="2"/>
      <c r="FL576" s="2"/>
      <c r="FM576" s="2"/>
      <c r="FN576" s="2"/>
      <c r="FO576" s="2"/>
      <c r="FP576" s="2"/>
      <c r="FQ576" s="2">
        <v>0</v>
      </c>
      <c r="FR576" s="2">
        <f t="shared" si="523"/>
        <v>0</v>
      </c>
      <c r="FS576" s="2">
        <v>0</v>
      </c>
      <c r="FT576" s="2"/>
      <c r="FU576" s="2"/>
      <c r="FV576" s="2"/>
      <c r="FW576" s="2"/>
      <c r="FX576" s="2">
        <v>100</v>
      </c>
      <c r="FY576" s="2">
        <v>64</v>
      </c>
      <c r="FZ576" s="2"/>
      <c r="GA576" s="2" t="s">
        <v>3</v>
      </c>
      <c r="GB576" s="2"/>
      <c r="GC576" s="2"/>
      <c r="GD576" s="2">
        <v>0</v>
      </c>
      <c r="GE576" s="2"/>
      <c r="GF576" s="2">
        <v>-1326803469</v>
      </c>
      <c r="GG576" s="2">
        <v>2</v>
      </c>
      <c r="GH576" s="2">
        <v>1</v>
      </c>
      <c r="GI576" s="2">
        <v>-2</v>
      </c>
      <c r="GJ576" s="2">
        <v>0</v>
      </c>
      <c r="GK576" s="2">
        <f>ROUND(R576*(R12)/100,2)</f>
        <v>0.26</v>
      </c>
      <c r="GL576" s="2">
        <f t="shared" si="524"/>
        <v>0</v>
      </c>
      <c r="GM576" s="2">
        <f t="shared" si="525"/>
        <v>142.46</v>
      </c>
      <c r="GN576" s="2">
        <f t="shared" si="526"/>
        <v>142.46</v>
      </c>
      <c r="GO576" s="2">
        <f t="shared" si="527"/>
        <v>0</v>
      </c>
      <c r="GP576" s="2">
        <f t="shared" si="528"/>
        <v>0</v>
      </c>
      <c r="GQ576" s="2"/>
      <c r="GR576" s="2">
        <v>0</v>
      </c>
      <c r="GS576" s="2">
        <v>0</v>
      </c>
      <c r="GT576" s="2">
        <v>0</v>
      </c>
      <c r="GU576" s="2" t="s">
        <v>3</v>
      </c>
      <c r="GV576" s="2">
        <f t="shared" si="529"/>
        <v>0</v>
      </c>
      <c r="GW576" s="2">
        <v>1</v>
      </c>
      <c r="GX576" s="2">
        <f t="shared" si="530"/>
        <v>0</v>
      </c>
      <c r="GY576" s="2"/>
      <c r="GZ576" s="2"/>
      <c r="HA576" s="2">
        <v>0</v>
      </c>
      <c r="HB576" s="2">
        <v>0</v>
      </c>
      <c r="HC576" s="2">
        <f t="shared" si="531"/>
        <v>0</v>
      </c>
      <c r="HD576" s="2"/>
      <c r="HE576" s="2" t="s">
        <v>3</v>
      </c>
      <c r="HF576" s="2" t="s">
        <v>3</v>
      </c>
      <c r="HG576" s="2"/>
      <c r="HH576" s="2"/>
      <c r="HI576" s="2"/>
      <c r="HJ576" s="2"/>
      <c r="HK576" s="2"/>
      <c r="HL576" s="2"/>
      <c r="HM576" s="2" t="s">
        <v>3</v>
      </c>
      <c r="HN576" s="2" t="s">
        <v>3</v>
      </c>
      <c r="HO576" s="2" t="s">
        <v>3</v>
      </c>
      <c r="HP576" s="2" t="s">
        <v>3</v>
      </c>
      <c r="HQ576" s="2" t="s">
        <v>3</v>
      </c>
      <c r="HR576" s="2"/>
      <c r="HS576" s="2"/>
      <c r="HT576" s="2"/>
      <c r="HU576" s="2"/>
      <c r="HV576" s="2"/>
      <c r="HW576" s="2"/>
      <c r="HX576" s="2"/>
      <c r="HY576" s="2"/>
      <c r="HZ576" s="2"/>
      <c r="IA576" s="2"/>
      <c r="IB576" s="2"/>
      <c r="IC576" s="2"/>
      <c r="ID576" s="2"/>
      <c r="IE576" s="2"/>
      <c r="IF576" s="2"/>
      <c r="IG576" s="2"/>
      <c r="IH576" s="2"/>
      <c r="II576" s="2"/>
      <c r="IJ576" s="2"/>
      <c r="IK576" s="2">
        <v>0</v>
      </c>
      <c r="IL576" s="2"/>
      <c r="IM576" s="2"/>
      <c r="IN576" s="2"/>
      <c r="IO576" s="2"/>
      <c r="IP576" s="2"/>
      <c r="IQ576" s="2"/>
      <c r="IR576" s="2"/>
      <c r="IS576" s="2"/>
      <c r="IT576" s="2"/>
      <c r="IU576" s="2"/>
    </row>
    <row r="577" spans="1:245" x14ac:dyDescent="0.2">
      <c r="A577">
        <v>17</v>
      </c>
      <c r="B577">
        <v>1</v>
      </c>
      <c r="C577">
        <f>ROW(SmtRes!A660)</f>
        <v>660</v>
      </c>
      <c r="D577">
        <f>ROW(EtalonRes!A652)</f>
        <v>652</v>
      </c>
      <c r="E577" t="s">
        <v>228</v>
      </c>
      <c r="F577" t="s">
        <v>610</v>
      </c>
      <c r="G577" t="s">
        <v>611</v>
      </c>
      <c r="H577" t="s">
        <v>148</v>
      </c>
      <c r="I577">
        <v>0.38800000000000001</v>
      </c>
      <c r="J577">
        <v>0</v>
      </c>
      <c r="K577">
        <v>0.38800000000000001</v>
      </c>
      <c r="O577">
        <f t="shared" si="501"/>
        <v>644.82000000000005</v>
      </c>
      <c r="P577">
        <f t="shared" si="502"/>
        <v>308.04000000000002</v>
      </c>
      <c r="Q577">
        <f>(ROUND((ROUND((((ET577*1.25))*AV577*I577),2)*BB577),2)+ROUND((ROUND(((AE577-((EU577*1.25)))*AV577*I577),2)*BS577),2))</f>
        <v>8.4499999999999993</v>
      </c>
      <c r="R577">
        <f t="shared" si="503"/>
        <v>4.3499999999999996</v>
      </c>
      <c r="S577">
        <f t="shared" si="504"/>
        <v>328.33</v>
      </c>
      <c r="T577">
        <f t="shared" si="505"/>
        <v>0</v>
      </c>
      <c r="U577">
        <f t="shared" si="506"/>
        <v>0.95040599999999986</v>
      </c>
      <c r="V577">
        <f t="shared" si="507"/>
        <v>0</v>
      </c>
      <c r="W577">
        <f t="shared" si="508"/>
        <v>0</v>
      </c>
      <c r="X577">
        <f t="shared" si="509"/>
        <v>272.51</v>
      </c>
      <c r="Y577">
        <f t="shared" si="510"/>
        <v>134.62</v>
      </c>
      <c r="AA577">
        <v>129761633</v>
      </c>
      <c r="AB577">
        <f t="shared" si="511"/>
        <v>318.67750000000001</v>
      </c>
      <c r="AC577">
        <f t="shared" si="512"/>
        <v>287.64999999999998</v>
      </c>
      <c r="AD577">
        <f>ROUND(((((ET577*1.25))-((EU577*1.25)))+AE577),6)</f>
        <v>1.875</v>
      </c>
      <c r="AE577">
        <f>ROUND(((EU577*1.25)),6)</f>
        <v>0.38750000000000001</v>
      </c>
      <c r="AF577">
        <f>ROUND(((EV577*1.15)),6)</f>
        <v>29.1525</v>
      </c>
      <c r="AG577">
        <f t="shared" si="513"/>
        <v>0</v>
      </c>
      <c r="AH577">
        <f>((EW577*1.15))</f>
        <v>2.4494999999999996</v>
      </c>
      <c r="AI577">
        <f>((EX577*1.25))</f>
        <v>0</v>
      </c>
      <c r="AJ577">
        <f t="shared" si="514"/>
        <v>0</v>
      </c>
      <c r="AK577">
        <v>314.5</v>
      </c>
      <c r="AL577">
        <v>287.64999999999998</v>
      </c>
      <c r="AM577">
        <v>1.5</v>
      </c>
      <c r="AN577">
        <v>0.31</v>
      </c>
      <c r="AO577">
        <v>25.35</v>
      </c>
      <c r="AP577">
        <v>0</v>
      </c>
      <c r="AQ577">
        <v>2.13</v>
      </c>
      <c r="AR577">
        <v>0</v>
      </c>
      <c r="AS577">
        <v>0</v>
      </c>
      <c r="AT577">
        <v>83</v>
      </c>
      <c r="AU577">
        <v>41</v>
      </c>
      <c r="AV577">
        <v>1</v>
      </c>
      <c r="AW577">
        <v>1</v>
      </c>
      <c r="AZ577">
        <v>1</v>
      </c>
      <c r="BA577">
        <v>29.03</v>
      </c>
      <c r="BB577">
        <v>11.57</v>
      </c>
      <c r="BC577">
        <v>2.76</v>
      </c>
      <c r="BD577" t="s">
        <v>3</v>
      </c>
      <c r="BE577" t="s">
        <v>3</v>
      </c>
      <c r="BF577" t="s">
        <v>3</v>
      </c>
      <c r="BG577" t="s">
        <v>3</v>
      </c>
      <c r="BH577">
        <v>0</v>
      </c>
      <c r="BI577">
        <v>1</v>
      </c>
      <c r="BJ577" t="s">
        <v>612</v>
      </c>
      <c r="BM577">
        <v>1369</v>
      </c>
      <c r="BN577">
        <v>0</v>
      </c>
      <c r="BO577" t="s">
        <v>610</v>
      </c>
      <c r="BP577">
        <v>1</v>
      </c>
      <c r="BQ577">
        <v>30</v>
      </c>
      <c r="BR577">
        <v>0</v>
      </c>
      <c r="BS577">
        <v>29.03</v>
      </c>
      <c r="BT577">
        <v>1</v>
      </c>
      <c r="BU577">
        <v>1</v>
      </c>
      <c r="BV577">
        <v>1</v>
      </c>
      <c r="BW577">
        <v>1</v>
      </c>
      <c r="BX577">
        <v>1</v>
      </c>
      <c r="BY577" t="s">
        <v>3</v>
      </c>
      <c r="BZ577">
        <v>83</v>
      </c>
      <c r="CA577">
        <v>41</v>
      </c>
      <c r="CB577" t="s">
        <v>3</v>
      </c>
      <c r="CE577">
        <v>30</v>
      </c>
      <c r="CF577">
        <v>0</v>
      </c>
      <c r="CG577">
        <v>0</v>
      </c>
      <c r="CM577">
        <v>0</v>
      </c>
      <c r="CN577" t="s">
        <v>1559</v>
      </c>
      <c r="CO577">
        <v>0</v>
      </c>
      <c r="CP577">
        <f t="shared" si="515"/>
        <v>644.81999999999994</v>
      </c>
      <c r="CQ577">
        <f t="shared" si="516"/>
        <v>793.91</v>
      </c>
      <c r="CR577">
        <f>(ROUND((ROUND((((ET577*1.25))*AV577*1),2)*BB577),2)+ROUND((ROUND(((AE577-((EU577*1.25)))*AV577*1),2)*BS577),2))</f>
        <v>21.75</v>
      </c>
      <c r="CS577">
        <f t="shared" si="517"/>
        <v>11.32</v>
      </c>
      <c r="CT577">
        <f t="shared" si="518"/>
        <v>846.22</v>
      </c>
      <c r="CU577">
        <f t="shared" si="519"/>
        <v>0</v>
      </c>
      <c r="CV577">
        <f t="shared" si="520"/>
        <v>2.4494999999999996</v>
      </c>
      <c r="CW577">
        <f t="shared" si="521"/>
        <v>0</v>
      </c>
      <c r="CX577">
        <f t="shared" si="522"/>
        <v>0</v>
      </c>
      <c r="CY577">
        <f>S577*(BZ577/100)</f>
        <v>272.51389999999998</v>
      </c>
      <c r="CZ577">
        <f>S577*(CA577/100)</f>
        <v>134.61529999999999</v>
      </c>
      <c r="DC577" t="s">
        <v>3</v>
      </c>
      <c r="DD577" t="s">
        <v>3</v>
      </c>
      <c r="DE577" t="s">
        <v>86</v>
      </c>
      <c r="DF577" t="s">
        <v>86</v>
      </c>
      <c r="DG577" t="s">
        <v>87</v>
      </c>
      <c r="DH577" t="s">
        <v>3</v>
      </c>
      <c r="DI577" t="s">
        <v>87</v>
      </c>
      <c r="DJ577" t="s">
        <v>86</v>
      </c>
      <c r="DK577" t="s">
        <v>3</v>
      </c>
      <c r="DL577" t="s">
        <v>3</v>
      </c>
      <c r="DM577" t="s">
        <v>3</v>
      </c>
      <c r="DN577">
        <v>100</v>
      </c>
      <c r="DO577">
        <v>64</v>
      </c>
      <c r="DP577">
        <v>1</v>
      </c>
      <c r="DQ577">
        <v>1</v>
      </c>
      <c r="DU577">
        <v>1005</v>
      </c>
      <c r="DV577" t="s">
        <v>148</v>
      </c>
      <c r="DW577" t="s">
        <v>148</v>
      </c>
      <c r="DX577">
        <v>100</v>
      </c>
      <c r="DZ577" t="s">
        <v>3</v>
      </c>
      <c r="EA577" t="s">
        <v>3</v>
      </c>
      <c r="EB577" t="s">
        <v>3</v>
      </c>
      <c r="EC577" t="s">
        <v>3</v>
      </c>
      <c r="EE577">
        <v>126052830</v>
      </c>
      <c r="EF577">
        <v>30</v>
      </c>
      <c r="EG577" t="s">
        <v>23</v>
      </c>
      <c r="EH577">
        <v>0</v>
      </c>
      <c r="EI577" t="s">
        <v>3</v>
      </c>
      <c r="EJ577">
        <v>1</v>
      </c>
      <c r="EK577">
        <v>1369</v>
      </c>
      <c r="EL577" t="s">
        <v>613</v>
      </c>
      <c r="EM577" t="s">
        <v>614</v>
      </c>
      <c r="EO577" t="s">
        <v>90</v>
      </c>
      <c r="EQ577">
        <v>131072</v>
      </c>
      <c r="ER577">
        <v>314.5</v>
      </c>
      <c r="ES577">
        <v>287.64999999999998</v>
      </c>
      <c r="ET577">
        <v>1.5</v>
      </c>
      <c r="EU577">
        <v>0.31</v>
      </c>
      <c r="EV577">
        <v>25.35</v>
      </c>
      <c r="EW577">
        <v>2.13</v>
      </c>
      <c r="EX577">
        <v>0</v>
      </c>
      <c r="EY577">
        <v>0</v>
      </c>
      <c r="FQ577">
        <v>0</v>
      </c>
      <c r="FR577">
        <f t="shared" si="523"/>
        <v>0</v>
      </c>
      <c r="FS577">
        <v>0</v>
      </c>
      <c r="FX577">
        <v>100</v>
      </c>
      <c r="FY577">
        <v>64</v>
      </c>
      <c r="GA577" t="s">
        <v>3</v>
      </c>
      <c r="GD577">
        <v>0</v>
      </c>
      <c r="GF577">
        <v>-1326803469</v>
      </c>
      <c r="GG577">
        <v>2</v>
      </c>
      <c r="GH577">
        <v>1</v>
      </c>
      <c r="GI577">
        <v>2</v>
      </c>
      <c r="GJ577">
        <v>0</v>
      </c>
      <c r="GK577">
        <f>ROUND(R577*(S12)/100,2)</f>
        <v>6.96</v>
      </c>
      <c r="GL577">
        <f t="shared" si="524"/>
        <v>0</v>
      </c>
      <c r="GM577">
        <f t="shared" si="525"/>
        <v>1058.9100000000001</v>
      </c>
      <c r="GN577">
        <f t="shared" si="526"/>
        <v>1058.9100000000001</v>
      </c>
      <c r="GO577">
        <f t="shared" si="527"/>
        <v>0</v>
      </c>
      <c r="GP577">
        <f t="shared" si="528"/>
        <v>0</v>
      </c>
      <c r="GR577">
        <v>0</v>
      </c>
      <c r="GS577">
        <v>3</v>
      </c>
      <c r="GT577">
        <v>0</v>
      </c>
      <c r="GU577" t="s">
        <v>3</v>
      </c>
      <c r="GV577">
        <f t="shared" si="529"/>
        <v>0</v>
      </c>
      <c r="GW577">
        <v>1</v>
      </c>
      <c r="GX577">
        <f t="shared" si="530"/>
        <v>0</v>
      </c>
      <c r="HA577">
        <v>0</v>
      </c>
      <c r="HB577">
        <v>0</v>
      </c>
      <c r="HC577">
        <f t="shared" si="531"/>
        <v>0</v>
      </c>
      <c r="HE577" t="s">
        <v>3</v>
      </c>
      <c r="HF577" t="s">
        <v>3</v>
      </c>
      <c r="HM577" t="s">
        <v>3</v>
      </c>
      <c r="HN577" t="s">
        <v>3</v>
      </c>
      <c r="HO577" t="s">
        <v>3</v>
      </c>
      <c r="HP577" t="s">
        <v>3</v>
      </c>
      <c r="HQ577" t="s">
        <v>3</v>
      </c>
      <c r="IK577">
        <v>0</v>
      </c>
    </row>
    <row r="579" spans="1:245" x14ac:dyDescent="0.2">
      <c r="A579" s="3">
        <v>51</v>
      </c>
      <c r="B579" s="3">
        <f>B498</f>
        <v>1</v>
      </c>
      <c r="C579" s="3">
        <f>A498</f>
        <v>4</v>
      </c>
      <c r="D579" s="3">
        <f>ROW(A498)</f>
        <v>498</v>
      </c>
      <c r="E579" s="3"/>
      <c r="F579" s="3" t="str">
        <f>IF(F498&lt;&gt;"",F498,"")</f>
        <v>Новый раздел</v>
      </c>
      <c r="G579" s="3" t="str">
        <f>IF(G498&lt;&gt;"",G498,"")</f>
        <v>Монтажные работы</v>
      </c>
      <c r="H579" s="3">
        <v>0</v>
      </c>
      <c r="I579" s="3"/>
      <c r="J579" s="3"/>
      <c r="K579" s="3"/>
      <c r="L579" s="3"/>
      <c r="M579" s="3"/>
      <c r="N579" s="3"/>
      <c r="O579" s="3">
        <f t="shared" ref="O579:T579" si="534">ROUND(AB579,2)</f>
        <v>4126.26</v>
      </c>
      <c r="P579" s="3">
        <f t="shared" si="534"/>
        <v>3141.46</v>
      </c>
      <c r="Q579" s="3">
        <f t="shared" si="534"/>
        <v>374.09</v>
      </c>
      <c r="R579" s="3">
        <f t="shared" si="534"/>
        <v>46.39</v>
      </c>
      <c r="S579" s="3">
        <f t="shared" si="534"/>
        <v>610.71</v>
      </c>
      <c r="T579" s="3">
        <f t="shared" si="534"/>
        <v>0</v>
      </c>
      <c r="U579" s="3">
        <f>AH579</f>
        <v>48.871595999999997</v>
      </c>
      <c r="V579" s="3">
        <f>AI579</f>
        <v>0</v>
      </c>
      <c r="W579" s="3">
        <f>ROUND(AJ579,2)</f>
        <v>0</v>
      </c>
      <c r="X579" s="3">
        <f>ROUND(AK579,2)</f>
        <v>528.77</v>
      </c>
      <c r="Y579" s="3">
        <f>ROUND(AL579,2)</f>
        <v>424.84</v>
      </c>
      <c r="Z579" s="3"/>
      <c r="AA579" s="3"/>
      <c r="AB579" s="3">
        <f>ROUND(SUMIF(AA502:AA577,"=129761636",O502:O577),2)</f>
        <v>4126.26</v>
      </c>
      <c r="AC579" s="3">
        <f>ROUND(SUMIF(AA502:AA577,"=129761636",P502:P577),2)</f>
        <v>3141.46</v>
      </c>
      <c r="AD579" s="3">
        <f>ROUND(SUMIF(AA502:AA577,"=129761636",Q502:Q577),2)</f>
        <v>374.09</v>
      </c>
      <c r="AE579" s="3">
        <f>ROUND(SUMIF(AA502:AA577,"=129761636",R502:R577),2)</f>
        <v>46.39</v>
      </c>
      <c r="AF579" s="3">
        <f>ROUND(SUMIF(AA502:AA577,"=129761636",S502:S577),2)</f>
        <v>610.71</v>
      </c>
      <c r="AG579" s="3">
        <f>ROUND(SUMIF(AA502:AA577,"=129761636",T502:T577),2)</f>
        <v>0</v>
      </c>
      <c r="AH579" s="3">
        <f>SUMIF(AA502:AA577,"=129761636",U502:U577)</f>
        <v>48.871595999999997</v>
      </c>
      <c r="AI579" s="3">
        <f>SUMIF(AA502:AA577,"=129761636",V502:V577)</f>
        <v>0</v>
      </c>
      <c r="AJ579" s="3">
        <f>ROUND(SUMIF(AA502:AA577,"=129761636",W502:W577),2)</f>
        <v>0</v>
      </c>
      <c r="AK579" s="3">
        <f>ROUND(SUMIF(AA502:AA577,"=129761636",X502:X577),2)</f>
        <v>528.77</v>
      </c>
      <c r="AL579" s="3">
        <f>ROUND(SUMIF(AA502:AA577,"=129761636",Y502:Y577),2)</f>
        <v>424.84</v>
      </c>
      <c r="AM579" s="3"/>
      <c r="AN579" s="3"/>
      <c r="AO579" s="3">
        <f t="shared" ref="AO579:BD579" si="535">ROUND(BX579,2)</f>
        <v>0</v>
      </c>
      <c r="AP579" s="3">
        <f t="shared" si="535"/>
        <v>0</v>
      </c>
      <c r="AQ579" s="3">
        <f t="shared" si="535"/>
        <v>0</v>
      </c>
      <c r="AR579" s="3">
        <f t="shared" si="535"/>
        <v>5161.05</v>
      </c>
      <c r="AS579" s="3">
        <f t="shared" si="535"/>
        <v>5161.05</v>
      </c>
      <c r="AT579" s="3">
        <f t="shared" si="535"/>
        <v>0</v>
      </c>
      <c r="AU579" s="3">
        <f t="shared" si="535"/>
        <v>0</v>
      </c>
      <c r="AV579" s="3">
        <f t="shared" si="535"/>
        <v>3141.46</v>
      </c>
      <c r="AW579" s="3">
        <f t="shared" si="535"/>
        <v>3141.46</v>
      </c>
      <c r="AX579" s="3">
        <f t="shared" si="535"/>
        <v>0</v>
      </c>
      <c r="AY579" s="3">
        <f t="shared" si="535"/>
        <v>3141.46</v>
      </c>
      <c r="AZ579" s="3">
        <f t="shared" si="535"/>
        <v>0</v>
      </c>
      <c r="BA579" s="3">
        <f t="shared" si="535"/>
        <v>0</v>
      </c>
      <c r="BB579" s="3">
        <f t="shared" si="535"/>
        <v>0</v>
      </c>
      <c r="BC579" s="3">
        <f t="shared" si="535"/>
        <v>0</v>
      </c>
      <c r="BD579" s="3">
        <f t="shared" si="535"/>
        <v>0</v>
      </c>
      <c r="BE579" s="3"/>
      <c r="BF579" s="3"/>
      <c r="BG579" s="3"/>
      <c r="BH579" s="3"/>
      <c r="BI579" s="3"/>
      <c r="BJ579" s="3"/>
      <c r="BK579" s="3"/>
      <c r="BL579" s="3"/>
      <c r="BM579" s="3"/>
      <c r="BN579" s="3"/>
      <c r="BO579" s="3"/>
      <c r="BP579" s="3"/>
      <c r="BQ579" s="3"/>
      <c r="BR579" s="3"/>
      <c r="BS579" s="3"/>
      <c r="BT579" s="3"/>
      <c r="BU579" s="3"/>
      <c r="BV579" s="3"/>
      <c r="BW579" s="3"/>
      <c r="BX579" s="3">
        <f>ROUND(SUMIF(AA502:AA577,"=129761636",FQ502:FQ577),2)</f>
        <v>0</v>
      </c>
      <c r="BY579" s="3">
        <f>ROUND(SUMIF(AA502:AA577,"=129761636",FR502:FR577),2)</f>
        <v>0</v>
      </c>
      <c r="BZ579" s="3">
        <f>ROUND(SUMIF(AA502:AA577,"=129761636",GL502:GL577),2)</f>
        <v>0</v>
      </c>
      <c r="CA579" s="3">
        <f>ROUND(SUMIF(AA502:AA577,"=129761636",GM502:GM577),2)</f>
        <v>5161.05</v>
      </c>
      <c r="CB579" s="3">
        <f>ROUND(SUMIF(AA502:AA577,"=129761636",GN502:GN577),2)</f>
        <v>5161.05</v>
      </c>
      <c r="CC579" s="3">
        <f>ROUND(SUMIF(AA502:AA577,"=129761636",GO502:GO577),2)</f>
        <v>0</v>
      </c>
      <c r="CD579" s="3">
        <f>ROUND(SUMIF(AA502:AA577,"=129761636",GP502:GP577),2)</f>
        <v>0</v>
      </c>
      <c r="CE579" s="3">
        <f>AC579-BX579</f>
        <v>3141.46</v>
      </c>
      <c r="CF579" s="3">
        <f>AC579-BY579</f>
        <v>3141.46</v>
      </c>
      <c r="CG579" s="3">
        <f>BX579-BZ579</f>
        <v>0</v>
      </c>
      <c r="CH579" s="3">
        <f>AC579-BX579-BY579+BZ579</f>
        <v>3141.46</v>
      </c>
      <c r="CI579" s="3">
        <f>BY579-BZ579</f>
        <v>0</v>
      </c>
      <c r="CJ579" s="3">
        <f>ROUND(SUMIF(AA502:AA577,"=129761636",GX502:GX577),2)</f>
        <v>0</v>
      </c>
      <c r="CK579" s="3">
        <f>ROUND(SUMIF(AA502:AA577,"=129761636",GY502:GY577),2)</f>
        <v>0</v>
      </c>
      <c r="CL579" s="3">
        <f>ROUND(SUMIF(AA502:AA577,"=129761636",GZ502:GZ577),2)</f>
        <v>0</v>
      </c>
      <c r="CM579" s="3">
        <f>ROUND(SUMIF(AA502:AA577,"=129761636",HD502:HD577),2)</f>
        <v>0</v>
      </c>
      <c r="CN579" s="3"/>
      <c r="CO579" s="3"/>
      <c r="CP579" s="3"/>
      <c r="CQ579" s="3"/>
      <c r="CR579" s="3"/>
      <c r="CS579" s="3"/>
      <c r="CT579" s="3"/>
      <c r="CU579" s="3"/>
      <c r="CV579" s="3"/>
      <c r="CW579" s="3"/>
      <c r="CX579" s="3"/>
      <c r="CY579" s="3"/>
      <c r="CZ579" s="3"/>
      <c r="DA579" s="3"/>
      <c r="DB579" s="3"/>
      <c r="DC579" s="3"/>
      <c r="DD579" s="3"/>
      <c r="DE579" s="3"/>
      <c r="DF579" s="3"/>
      <c r="DG579" s="4">
        <f t="shared" ref="DG579:DL579" si="536">ROUND(DT579,2)</f>
        <v>137467.87</v>
      </c>
      <c r="DH579" s="4">
        <f t="shared" si="536"/>
        <v>115600.74</v>
      </c>
      <c r="DI579" s="4">
        <f t="shared" si="536"/>
        <v>4138.22</v>
      </c>
      <c r="DJ579" s="4">
        <f t="shared" si="536"/>
        <v>1346.72</v>
      </c>
      <c r="DK579" s="4">
        <f t="shared" si="536"/>
        <v>17728.91</v>
      </c>
      <c r="DL579" s="4">
        <f t="shared" si="536"/>
        <v>0</v>
      </c>
      <c r="DM579" s="4">
        <f>DZ579</f>
        <v>48.871595999999997</v>
      </c>
      <c r="DN579" s="4">
        <f>EA579</f>
        <v>0</v>
      </c>
      <c r="DO579" s="4">
        <f>ROUND(EB579,2)</f>
        <v>0</v>
      </c>
      <c r="DP579" s="4">
        <f>ROUND(EC579,2)</f>
        <v>12650.69</v>
      </c>
      <c r="DQ579" s="4">
        <f>ROUND(ED579,2)</f>
        <v>7268.87</v>
      </c>
      <c r="DR579" s="4"/>
      <c r="DS579" s="4"/>
      <c r="DT579" s="4">
        <f>ROUND(SUMIF(AA502:AA577,"=129761633",O502:O577),2)</f>
        <v>137467.87</v>
      </c>
      <c r="DU579" s="4">
        <f>ROUND(SUMIF(AA502:AA577,"=129761633",P502:P577),2)</f>
        <v>115600.74</v>
      </c>
      <c r="DV579" s="4">
        <f>ROUND(SUMIF(AA502:AA577,"=129761633",Q502:Q577),2)</f>
        <v>4138.22</v>
      </c>
      <c r="DW579" s="4">
        <f>ROUND(SUMIF(AA502:AA577,"=129761633",R502:R577),2)</f>
        <v>1346.72</v>
      </c>
      <c r="DX579" s="4">
        <f>ROUND(SUMIF(AA502:AA577,"=129761633",S502:S577),2)</f>
        <v>17728.91</v>
      </c>
      <c r="DY579" s="4">
        <f>ROUND(SUMIF(AA502:AA577,"=129761633",T502:T577),2)</f>
        <v>0</v>
      </c>
      <c r="DZ579" s="4">
        <f>SUMIF(AA502:AA577,"=129761633",U502:U577)</f>
        <v>48.871595999999997</v>
      </c>
      <c r="EA579" s="4">
        <f>SUMIF(AA502:AA577,"=129761633",V502:V577)</f>
        <v>0</v>
      </c>
      <c r="EB579" s="4">
        <f>ROUND(SUMIF(AA502:AA577,"=129761633",W502:W577),2)</f>
        <v>0</v>
      </c>
      <c r="EC579" s="4">
        <f>ROUND(SUMIF(AA502:AA577,"=129761633",X502:X577),2)</f>
        <v>12650.69</v>
      </c>
      <c r="ED579" s="4">
        <f>ROUND(SUMIF(AA502:AA577,"=129761633",Y502:Y577),2)</f>
        <v>7268.87</v>
      </c>
      <c r="EE579" s="4"/>
      <c r="EF579" s="4"/>
      <c r="EG579" s="4">
        <f t="shared" ref="EG579:EV579" si="537">ROUND(FP579,2)</f>
        <v>0</v>
      </c>
      <c r="EH579" s="4">
        <f t="shared" si="537"/>
        <v>0</v>
      </c>
      <c r="EI579" s="4">
        <f t="shared" si="537"/>
        <v>0</v>
      </c>
      <c r="EJ579" s="4">
        <f t="shared" si="537"/>
        <v>159542.17000000001</v>
      </c>
      <c r="EK579" s="4">
        <f t="shared" si="537"/>
        <v>159542.17000000001</v>
      </c>
      <c r="EL579" s="4">
        <f t="shared" si="537"/>
        <v>0</v>
      </c>
      <c r="EM579" s="4">
        <f t="shared" si="537"/>
        <v>0</v>
      </c>
      <c r="EN579" s="4">
        <f t="shared" si="537"/>
        <v>115600.74</v>
      </c>
      <c r="EO579" s="4">
        <f t="shared" si="537"/>
        <v>115600.74</v>
      </c>
      <c r="EP579" s="4">
        <f t="shared" si="537"/>
        <v>0</v>
      </c>
      <c r="EQ579" s="4">
        <f t="shared" si="537"/>
        <v>115600.74</v>
      </c>
      <c r="ER579" s="4">
        <f t="shared" si="537"/>
        <v>0</v>
      </c>
      <c r="ES579" s="4">
        <f t="shared" si="537"/>
        <v>0</v>
      </c>
      <c r="ET579" s="4">
        <f t="shared" si="537"/>
        <v>0</v>
      </c>
      <c r="EU579" s="4">
        <f t="shared" si="537"/>
        <v>0</v>
      </c>
      <c r="EV579" s="4">
        <f t="shared" si="537"/>
        <v>0</v>
      </c>
      <c r="EW579" s="4"/>
      <c r="EX579" s="4"/>
      <c r="EY579" s="4"/>
      <c r="EZ579" s="4"/>
      <c r="FA579" s="4"/>
      <c r="FB579" s="4"/>
      <c r="FC579" s="4"/>
      <c r="FD579" s="4"/>
      <c r="FE579" s="4"/>
      <c r="FF579" s="4"/>
      <c r="FG579" s="4"/>
      <c r="FH579" s="4"/>
      <c r="FI579" s="4"/>
      <c r="FJ579" s="4"/>
      <c r="FK579" s="4"/>
      <c r="FL579" s="4"/>
      <c r="FM579" s="4"/>
      <c r="FN579" s="4"/>
      <c r="FO579" s="4"/>
      <c r="FP579" s="4">
        <f>ROUND(SUMIF(AA502:AA577,"=129761633",FQ502:FQ577),2)</f>
        <v>0</v>
      </c>
      <c r="FQ579" s="4">
        <f>ROUND(SUMIF(AA502:AA577,"=129761633",FR502:FR577),2)</f>
        <v>0</v>
      </c>
      <c r="FR579" s="4">
        <f>ROUND(SUMIF(AA502:AA577,"=129761633",GL502:GL577),2)</f>
        <v>0</v>
      </c>
      <c r="FS579" s="4">
        <f>ROUND(SUMIF(AA502:AA577,"=129761633",GM502:GM577),2)</f>
        <v>159542.17000000001</v>
      </c>
      <c r="FT579" s="4">
        <f>ROUND(SUMIF(AA502:AA577,"=129761633",GN502:GN577),2)</f>
        <v>159542.17000000001</v>
      </c>
      <c r="FU579" s="4">
        <f>ROUND(SUMIF(AA502:AA577,"=129761633",GO502:GO577),2)</f>
        <v>0</v>
      </c>
      <c r="FV579" s="4">
        <f>ROUND(SUMIF(AA502:AA577,"=129761633",GP502:GP577),2)</f>
        <v>0</v>
      </c>
      <c r="FW579" s="4">
        <f>DU579-FP579</f>
        <v>115600.74</v>
      </c>
      <c r="FX579" s="4">
        <f>DU579-FQ579</f>
        <v>115600.74</v>
      </c>
      <c r="FY579" s="4">
        <f>FP579-FR579</f>
        <v>0</v>
      </c>
      <c r="FZ579" s="4">
        <f>DU579-FP579-FQ579+FR579</f>
        <v>115600.74</v>
      </c>
      <c r="GA579" s="4">
        <f>FQ579-FR579</f>
        <v>0</v>
      </c>
      <c r="GB579" s="4">
        <f>ROUND(SUMIF(AA502:AA577,"=129761633",GX502:GX577),2)</f>
        <v>0</v>
      </c>
      <c r="GC579" s="4">
        <f>ROUND(SUMIF(AA502:AA577,"=129761633",GY502:GY577),2)</f>
        <v>0</v>
      </c>
      <c r="GD579" s="4">
        <f>ROUND(SUMIF(AA502:AA577,"=129761633",GZ502:GZ577),2)</f>
        <v>0</v>
      </c>
      <c r="GE579" s="4">
        <f>ROUND(SUMIF(AA502:AA577,"=129761633",HD502:HD577),2)</f>
        <v>0</v>
      </c>
      <c r="GF579" s="4"/>
      <c r="GG579" s="4"/>
      <c r="GH579" s="4"/>
      <c r="GI579" s="4"/>
      <c r="GJ579" s="4"/>
      <c r="GK579" s="4"/>
      <c r="GL579" s="4"/>
      <c r="GM579" s="4"/>
      <c r="GN579" s="4"/>
      <c r="GO579" s="4"/>
      <c r="GP579" s="4"/>
      <c r="GQ579" s="4"/>
      <c r="GR579" s="4"/>
      <c r="GS579" s="4"/>
      <c r="GT579" s="4"/>
      <c r="GU579" s="4"/>
      <c r="GV579" s="4"/>
      <c r="GW579" s="4"/>
      <c r="GX579" s="4">
        <v>0</v>
      </c>
    </row>
    <row r="581" spans="1:245" x14ac:dyDescent="0.2">
      <c r="A581" s="5">
        <v>50</v>
      </c>
      <c r="B581" s="5">
        <v>0</v>
      </c>
      <c r="C581" s="5">
        <v>0</v>
      </c>
      <c r="D581" s="5">
        <v>1</v>
      </c>
      <c r="E581" s="5">
        <v>201</v>
      </c>
      <c r="F581" s="5">
        <f>ROUND(Source!O579,O581)</f>
        <v>4126.26</v>
      </c>
      <c r="G581" s="5" t="s">
        <v>26</v>
      </c>
      <c r="H581" s="5" t="s">
        <v>27</v>
      </c>
      <c r="I581" s="5"/>
      <c r="J581" s="5"/>
      <c r="K581" s="5">
        <v>201</v>
      </c>
      <c r="L581" s="5">
        <v>1</v>
      </c>
      <c r="M581" s="5">
        <v>3</v>
      </c>
      <c r="N581" s="5" t="s">
        <v>3</v>
      </c>
      <c r="O581" s="5">
        <v>2</v>
      </c>
      <c r="P581" s="5">
        <f>ROUND(Source!DG579,O581)</f>
        <v>137467.87</v>
      </c>
      <c r="Q581" s="5"/>
      <c r="R581" s="5"/>
      <c r="S581" s="5"/>
      <c r="T581" s="5"/>
      <c r="U581" s="5"/>
      <c r="V581" s="5"/>
      <c r="W581" s="5">
        <v>4126.26</v>
      </c>
      <c r="X581" s="5">
        <v>1</v>
      </c>
      <c r="Y581" s="5">
        <v>4126.26</v>
      </c>
      <c r="Z581" s="5">
        <v>137467.87</v>
      </c>
      <c r="AA581" s="5">
        <v>1</v>
      </c>
      <c r="AB581" s="5">
        <v>137467.87</v>
      </c>
    </row>
    <row r="582" spans="1:245" x14ac:dyDescent="0.2">
      <c r="A582" s="5">
        <v>50</v>
      </c>
      <c r="B582" s="5">
        <v>0</v>
      </c>
      <c r="C582" s="5">
        <v>0</v>
      </c>
      <c r="D582" s="5">
        <v>1</v>
      </c>
      <c r="E582" s="5">
        <v>202</v>
      </c>
      <c r="F582" s="5">
        <f>ROUND(Source!P579,O582)</f>
        <v>3141.46</v>
      </c>
      <c r="G582" s="5" t="s">
        <v>28</v>
      </c>
      <c r="H582" s="5" t="s">
        <v>29</v>
      </c>
      <c r="I582" s="5"/>
      <c r="J582" s="5"/>
      <c r="K582" s="5">
        <v>202</v>
      </c>
      <c r="L582" s="5">
        <v>2</v>
      </c>
      <c r="M582" s="5">
        <v>3</v>
      </c>
      <c r="N582" s="5" t="s">
        <v>3</v>
      </c>
      <c r="O582" s="5">
        <v>2</v>
      </c>
      <c r="P582" s="5">
        <f>ROUND(Source!DH579,O582)</f>
        <v>115600.74</v>
      </c>
      <c r="Q582" s="5"/>
      <c r="R582" s="5"/>
      <c r="S582" s="5"/>
      <c r="T582" s="5"/>
      <c r="U582" s="5"/>
      <c r="V582" s="5"/>
      <c r="W582" s="5">
        <v>3141.46</v>
      </c>
      <c r="X582" s="5">
        <v>1</v>
      </c>
      <c r="Y582" s="5">
        <v>3141.46</v>
      </c>
      <c r="Z582" s="5">
        <v>115600.74</v>
      </c>
      <c r="AA582" s="5">
        <v>1</v>
      </c>
      <c r="AB582" s="5">
        <v>115600.74</v>
      </c>
    </row>
    <row r="583" spans="1:245" x14ac:dyDescent="0.2">
      <c r="A583" s="5">
        <v>50</v>
      </c>
      <c r="B583" s="5">
        <v>0</v>
      </c>
      <c r="C583" s="5">
        <v>0</v>
      </c>
      <c r="D583" s="5">
        <v>1</v>
      </c>
      <c r="E583" s="5">
        <v>222</v>
      </c>
      <c r="F583" s="5">
        <f>ROUND(Source!AO579,O583)</f>
        <v>0</v>
      </c>
      <c r="G583" s="5" t="s">
        <v>30</v>
      </c>
      <c r="H583" s="5" t="s">
        <v>31</v>
      </c>
      <c r="I583" s="5"/>
      <c r="J583" s="5"/>
      <c r="K583" s="5">
        <v>222</v>
      </c>
      <c r="L583" s="5">
        <v>3</v>
      </c>
      <c r="M583" s="5">
        <v>3</v>
      </c>
      <c r="N583" s="5" t="s">
        <v>3</v>
      </c>
      <c r="O583" s="5">
        <v>2</v>
      </c>
      <c r="P583" s="5">
        <f>ROUND(Source!EG579,O583)</f>
        <v>0</v>
      </c>
      <c r="Q583" s="5"/>
      <c r="R583" s="5"/>
      <c r="S583" s="5"/>
      <c r="T583" s="5"/>
      <c r="U583" s="5"/>
      <c r="V583" s="5"/>
      <c r="W583" s="5">
        <v>0</v>
      </c>
      <c r="X583" s="5">
        <v>1</v>
      </c>
      <c r="Y583" s="5">
        <v>0</v>
      </c>
      <c r="Z583" s="5">
        <v>0</v>
      </c>
      <c r="AA583" s="5">
        <v>1</v>
      </c>
      <c r="AB583" s="5">
        <v>0</v>
      </c>
    </row>
    <row r="584" spans="1:245" x14ac:dyDescent="0.2">
      <c r="A584" s="5">
        <v>50</v>
      </c>
      <c r="B584" s="5">
        <v>0</v>
      </c>
      <c r="C584" s="5">
        <v>0</v>
      </c>
      <c r="D584" s="5">
        <v>1</v>
      </c>
      <c r="E584" s="5">
        <v>225</v>
      </c>
      <c r="F584" s="5">
        <f>ROUND(Source!AV579,O584)</f>
        <v>3141.46</v>
      </c>
      <c r="G584" s="5" t="s">
        <v>32</v>
      </c>
      <c r="H584" s="5" t="s">
        <v>33</v>
      </c>
      <c r="I584" s="5"/>
      <c r="J584" s="5"/>
      <c r="K584" s="5">
        <v>225</v>
      </c>
      <c r="L584" s="5">
        <v>4</v>
      </c>
      <c r="M584" s="5">
        <v>3</v>
      </c>
      <c r="N584" s="5" t="s">
        <v>3</v>
      </c>
      <c r="O584" s="5">
        <v>2</v>
      </c>
      <c r="P584" s="5">
        <f>ROUND(Source!EN579,O584)</f>
        <v>115600.74</v>
      </c>
      <c r="Q584" s="5"/>
      <c r="R584" s="5"/>
      <c r="S584" s="5"/>
      <c r="T584" s="5"/>
      <c r="U584" s="5"/>
      <c r="V584" s="5"/>
      <c r="W584" s="5">
        <v>3141.46</v>
      </c>
      <c r="X584" s="5">
        <v>1</v>
      </c>
      <c r="Y584" s="5">
        <v>3141.46</v>
      </c>
      <c r="Z584" s="5">
        <v>115600.74</v>
      </c>
      <c r="AA584" s="5">
        <v>1</v>
      </c>
      <c r="AB584" s="5">
        <v>115600.74</v>
      </c>
    </row>
    <row r="585" spans="1:245" x14ac:dyDescent="0.2">
      <c r="A585" s="5">
        <v>50</v>
      </c>
      <c r="B585" s="5">
        <v>0</v>
      </c>
      <c r="C585" s="5">
        <v>0</v>
      </c>
      <c r="D585" s="5">
        <v>1</v>
      </c>
      <c r="E585" s="5">
        <v>226</v>
      </c>
      <c r="F585" s="5">
        <f>ROUND(Source!AW579,O585)</f>
        <v>3141.46</v>
      </c>
      <c r="G585" s="5" t="s">
        <v>34</v>
      </c>
      <c r="H585" s="5" t="s">
        <v>35</v>
      </c>
      <c r="I585" s="5"/>
      <c r="J585" s="5"/>
      <c r="K585" s="5">
        <v>226</v>
      </c>
      <c r="L585" s="5">
        <v>5</v>
      </c>
      <c r="M585" s="5">
        <v>3</v>
      </c>
      <c r="N585" s="5" t="s">
        <v>3</v>
      </c>
      <c r="O585" s="5">
        <v>2</v>
      </c>
      <c r="P585" s="5">
        <f>ROUND(Source!EO579,O585)</f>
        <v>115600.74</v>
      </c>
      <c r="Q585" s="5"/>
      <c r="R585" s="5"/>
      <c r="S585" s="5"/>
      <c r="T585" s="5"/>
      <c r="U585" s="5"/>
      <c r="V585" s="5"/>
      <c r="W585" s="5">
        <v>3141.46</v>
      </c>
      <c r="X585" s="5">
        <v>1</v>
      </c>
      <c r="Y585" s="5">
        <v>3141.46</v>
      </c>
      <c r="Z585" s="5">
        <v>115600.74</v>
      </c>
      <c r="AA585" s="5">
        <v>1</v>
      </c>
      <c r="AB585" s="5">
        <v>115600.74</v>
      </c>
    </row>
    <row r="586" spans="1:245" x14ac:dyDescent="0.2">
      <c r="A586" s="5">
        <v>50</v>
      </c>
      <c r="B586" s="5">
        <v>0</v>
      </c>
      <c r="C586" s="5">
        <v>0</v>
      </c>
      <c r="D586" s="5">
        <v>1</v>
      </c>
      <c r="E586" s="5">
        <v>227</v>
      </c>
      <c r="F586" s="5">
        <f>ROUND(Source!AX579,O586)</f>
        <v>0</v>
      </c>
      <c r="G586" s="5" t="s">
        <v>36</v>
      </c>
      <c r="H586" s="5" t="s">
        <v>37</v>
      </c>
      <c r="I586" s="5"/>
      <c r="J586" s="5"/>
      <c r="K586" s="5">
        <v>227</v>
      </c>
      <c r="L586" s="5">
        <v>6</v>
      </c>
      <c r="M586" s="5">
        <v>3</v>
      </c>
      <c r="N586" s="5" t="s">
        <v>3</v>
      </c>
      <c r="O586" s="5">
        <v>2</v>
      </c>
      <c r="P586" s="5">
        <f>ROUND(Source!EP579,O586)</f>
        <v>0</v>
      </c>
      <c r="Q586" s="5"/>
      <c r="R586" s="5"/>
      <c r="S586" s="5"/>
      <c r="T586" s="5"/>
      <c r="U586" s="5"/>
      <c r="V586" s="5"/>
      <c r="W586" s="5">
        <v>0</v>
      </c>
      <c r="X586" s="5">
        <v>1</v>
      </c>
      <c r="Y586" s="5">
        <v>0</v>
      </c>
      <c r="Z586" s="5">
        <v>0</v>
      </c>
      <c r="AA586" s="5">
        <v>1</v>
      </c>
      <c r="AB586" s="5">
        <v>0</v>
      </c>
    </row>
    <row r="587" spans="1:245" x14ac:dyDescent="0.2">
      <c r="A587" s="5">
        <v>50</v>
      </c>
      <c r="B587" s="5">
        <v>0</v>
      </c>
      <c r="C587" s="5">
        <v>0</v>
      </c>
      <c r="D587" s="5">
        <v>1</v>
      </c>
      <c r="E587" s="5">
        <v>228</v>
      </c>
      <c r="F587" s="5">
        <f>ROUND(Source!AY579,O587)</f>
        <v>3141.46</v>
      </c>
      <c r="G587" s="5" t="s">
        <v>38</v>
      </c>
      <c r="H587" s="5" t="s">
        <v>39</v>
      </c>
      <c r="I587" s="5"/>
      <c r="J587" s="5"/>
      <c r="K587" s="5">
        <v>228</v>
      </c>
      <c r="L587" s="5">
        <v>7</v>
      </c>
      <c r="M587" s="5">
        <v>3</v>
      </c>
      <c r="N587" s="5" t="s">
        <v>3</v>
      </c>
      <c r="O587" s="5">
        <v>2</v>
      </c>
      <c r="P587" s="5">
        <f>ROUND(Source!EQ579,O587)</f>
        <v>115600.74</v>
      </c>
      <c r="Q587" s="5"/>
      <c r="R587" s="5"/>
      <c r="S587" s="5"/>
      <c r="T587" s="5"/>
      <c r="U587" s="5"/>
      <c r="V587" s="5"/>
      <c r="W587" s="5">
        <v>3141.46</v>
      </c>
      <c r="X587" s="5">
        <v>1</v>
      </c>
      <c r="Y587" s="5">
        <v>3141.46</v>
      </c>
      <c r="Z587" s="5">
        <v>115600.74</v>
      </c>
      <c r="AA587" s="5">
        <v>1</v>
      </c>
      <c r="AB587" s="5">
        <v>115600.74</v>
      </c>
    </row>
    <row r="588" spans="1:245" x14ac:dyDescent="0.2">
      <c r="A588" s="5">
        <v>50</v>
      </c>
      <c r="B588" s="5">
        <v>0</v>
      </c>
      <c r="C588" s="5">
        <v>0</v>
      </c>
      <c r="D588" s="5">
        <v>1</v>
      </c>
      <c r="E588" s="5">
        <v>216</v>
      </c>
      <c r="F588" s="5">
        <f>ROUND(Source!AP579,O588)</f>
        <v>0</v>
      </c>
      <c r="G588" s="5" t="s">
        <v>40</v>
      </c>
      <c r="H588" s="5" t="s">
        <v>41</v>
      </c>
      <c r="I588" s="5"/>
      <c r="J588" s="5"/>
      <c r="K588" s="5">
        <v>216</v>
      </c>
      <c r="L588" s="5">
        <v>8</v>
      </c>
      <c r="M588" s="5">
        <v>3</v>
      </c>
      <c r="N588" s="5" t="s">
        <v>3</v>
      </c>
      <c r="O588" s="5">
        <v>2</v>
      </c>
      <c r="P588" s="5">
        <f>ROUND(Source!EH579,O588)</f>
        <v>0</v>
      </c>
      <c r="Q588" s="5"/>
      <c r="R588" s="5"/>
      <c r="S588" s="5"/>
      <c r="T588" s="5"/>
      <c r="U588" s="5"/>
      <c r="V588" s="5"/>
      <c r="W588" s="5">
        <v>0</v>
      </c>
      <c r="X588" s="5">
        <v>1</v>
      </c>
      <c r="Y588" s="5">
        <v>0</v>
      </c>
      <c r="Z588" s="5">
        <v>0</v>
      </c>
      <c r="AA588" s="5">
        <v>1</v>
      </c>
      <c r="AB588" s="5">
        <v>0</v>
      </c>
    </row>
    <row r="589" spans="1:245" x14ac:dyDescent="0.2">
      <c r="A589" s="5">
        <v>50</v>
      </c>
      <c r="B589" s="5">
        <v>0</v>
      </c>
      <c r="C589" s="5">
        <v>0</v>
      </c>
      <c r="D589" s="5">
        <v>1</v>
      </c>
      <c r="E589" s="5">
        <v>223</v>
      </c>
      <c r="F589" s="5">
        <f>ROUND(Source!AQ579,O589)</f>
        <v>0</v>
      </c>
      <c r="G589" s="5" t="s">
        <v>42</v>
      </c>
      <c r="H589" s="5" t="s">
        <v>43</v>
      </c>
      <c r="I589" s="5"/>
      <c r="J589" s="5"/>
      <c r="K589" s="5">
        <v>223</v>
      </c>
      <c r="L589" s="5">
        <v>9</v>
      </c>
      <c r="M589" s="5">
        <v>3</v>
      </c>
      <c r="N589" s="5" t="s">
        <v>3</v>
      </c>
      <c r="O589" s="5">
        <v>2</v>
      </c>
      <c r="P589" s="5">
        <f>ROUND(Source!EI579,O589)</f>
        <v>0</v>
      </c>
      <c r="Q589" s="5"/>
      <c r="R589" s="5"/>
      <c r="S589" s="5"/>
      <c r="T589" s="5"/>
      <c r="U589" s="5"/>
      <c r="V589" s="5"/>
      <c r="W589" s="5">
        <v>0</v>
      </c>
      <c r="X589" s="5">
        <v>1</v>
      </c>
      <c r="Y589" s="5">
        <v>0</v>
      </c>
      <c r="Z589" s="5">
        <v>0</v>
      </c>
      <c r="AA589" s="5">
        <v>1</v>
      </c>
      <c r="AB589" s="5">
        <v>0</v>
      </c>
    </row>
    <row r="590" spans="1:245" x14ac:dyDescent="0.2">
      <c r="A590" s="5">
        <v>50</v>
      </c>
      <c r="B590" s="5">
        <v>0</v>
      </c>
      <c r="C590" s="5">
        <v>0</v>
      </c>
      <c r="D590" s="5">
        <v>1</v>
      </c>
      <c r="E590" s="5">
        <v>229</v>
      </c>
      <c r="F590" s="5">
        <f>ROUND(Source!AZ579,O590)</f>
        <v>0</v>
      </c>
      <c r="G590" s="5" t="s">
        <v>44</v>
      </c>
      <c r="H590" s="5" t="s">
        <v>45</v>
      </c>
      <c r="I590" s="5"/>
      <c r="J590" s="5"/>
      <c r="K590" s="5">
        <v>229</v>
      </c>
      <c r="L590" s="5">
        <v>10</v>
      </c>
      <c r="M590" s="5">
        <v>3</v>
      </c>
      <c r="N590" s="5" t="s">
        <v>3</v>
      </c>
      <c r="O590" s="5">
        <v>2</v>
      </c>
      <c r="P590" s="5">
        <f>ROUND(Source!ER579,O590)</f>
        <v>0</v>
      </c>
      <c r="Q590" s="5"/>
      <c r="R590" s="5"/>
      <c r="S590" s="5"/>
      <c r="T590" s="5"/>
      <c r="U590" s="5"/>
      <c r="V590" s="5"/>
      <c r="W590" s="5">
        <v>0</v>
      </c>
      <c r="X590" s="5">
        <v>1</v>
      </c>
      <c r="Y590" s="5">
        <v>0</v>
      </c>
      <c r="Z590" s="5">
        <v>0</v>
      </c>
      <c r="AA590" s="5">
        <v>1</v>
      </c>
      <c r="AB590" s="5">
        <v>0</v>
      </c>
    </row>
    <row r="591" spans="1:245" x14ac:dyDescent="0.2">
      <c r="A591" s="5">
        <v>50</v>
      </c>
      <c r="B591" s="5">
        <v>0</v>
      </c>
      <c r="C591" s="5">
        <v>0</v>
      </c>
      <c r="D591" s="5">
        <v>1</v>
      </c>
      <c r="E591" s="5">
        <v>203</v>
      </c>
      <c r="F591" s="5">
        <f>ROUND(Source!Q579,O591)</f>
        <v>374.09</v>
      </c>
      <c r="G591" s="5" t="s">
        <v>46</v>
      </c>
      <c r="H591" s="5" t="s">
        <v>47</v>
      </c>
      <c r="I591" s="5"/>
      <c r="J591" s="5"/>
      <c r="K591" s="5">
        <v>203</v>
      </c>
      <c r="L591" s="5">
        <v>11</v>
      </c>
      <c r="M591" s="5">
        <v>3</v>
      </c>
      <c r="N591" s="5" t="s">
        <v>3</v>
      </c>
      <c r="O591" s="5">
        <v>2</v>
      </c>
      <c r="P591" s="5">
        <f>ROUND(Source!DI579,O591)</f>
        <v>4138.22</v>
      </c>
      <c r="Q591" s="5"/>
      <c r="R591" s="5"/>
      <c r="S591" s="5"/>
      <c r="T591" s="5"/>
      <c r="U591" s="5"/>
      <c r="V591" s="5"/>
      <c r="W591" s="5">
        <v>374.09</v>
      </c>
      <c r="X591" s="5">
        <v>1</v>
      </c>
      <c r="Y591" s="5">
        <v>374.09</v>
      </c>
      <c r="Z591" s="5">
        <v>4138.22</v>
      </c>
      <c r="AA591" s="5">
        <v>1</v>
      </c>
      <c r="AB591" s="5">
        <v>4138.22</v>
      </c>
    </row>
    <row r="592" spans="1:245" x14ac:dyDescent="0.2">
      <c r="A592" s="5">
        <v>50</v>
      </c>
      <c r="B592" s="5">
        <v>0</v>
      </c>
      <c r="C592" s="5">
        <v>0</v>
      </c>
      <c r="D592" s="5">
        <v>1</v>
      </c>
      <c r="E592" s="5">
        <v>231</v>
      </c>
      <c r="F592" s="5">
        <f>ROUND(Source!BB579,O592)</f>
        <v>0</v>
      </c>
      <c r="G592" s="5" t="s">
        <v>48</v>
      </c>
      <c r="H592" s="5" t="s">
        <v>49</v>
      </c>
      <c r="I592" s="5"/>
      <c r="J592" s="5"/>
      <c r="K592" s="5">
        <v>231</v>
      </c>
      <c r="L592" s="5">
        <v>12</v>
      </c>
      <c r="M592" s="5">
        <v>3</v>
      </c>
      <c r="N592" s="5" t="s">
        <v>3</v>
      </c>
      <c r="O592" s="5">
        <v>2</v>
      </c>
      <c r="P592" s="5">
        <f>ROUND(Source!ET579,O592)</f>
        <v>0</v>
      </c>
      <c r="Q592" s="5"/>
      <c r="R592" s="5"/>
      <c r="S592" s="5"/>
      <c r="T592" s="5"/>
      <c r="U592" s="5"/>
      <c r="V592" s="5"/>
      <c r="W592" s="5">
        <v>0</v>
      </c>
      <c r="X592" s="5">
        <v>1</v>
      </c>
      <c r="Y592" s="5">
        <v>0</v>
      </c>
      <c r="Z592" s="5">
        <v>0</v>
      </c>
      <c r="AA592" s="5">
        <v>1</v>
      </c>
      <c r="AB592" s="5">
        <v>0</v>
      </c>
    </row>
    <row r="593" spans="1:28" x14ac:dyDescent="0.2">
      <c r="A593" s="5">
        <v>50</v>
      </c>
      <c r="B593" s="5">
        <v>0</v>
      </c>
      <c r="C593" s="5">
        <v>0</v>
      </c>
      <c r="D593" s="5">
        <v>1</v>
      </c>
      <c r="E593" s="5">
        <v>204</v>
      </c>
      <c r="F593" s="5">
        <f>ROUND(Source!R579,O593)</f>
        <v>46.39</v>
      </c>
      <c r="G593" s="5" t="s">
        <v>50</v>
      </c>
      <c r="H593" s="5" t="s">
        <v>51</v>
      </c>
      <c r="I593" s="5"/>
      <c r="J593" s="5"/>
      <c r="K593" s="5">
        <v>204</v>
      </c>
      <c r="L593" s="5">
        <v>13</v>
      </c>
      <c r="M593" s="5">
        <v>3</v>
      </c>
      <c r="N593" s="5" t="s">
        <v>3</v>
      </c>
      <c r="O593" s="5">
        <v>2</v>
      </c>
      <c r="P593" s="5">
        <f>ROUND(Source!DJ579,O593)</f>
        <v>1346.72</v>
      </c>
      <c r="Q593" s="5"/>
      <c r="R593" s="5"/>
      <c r="S593" s="5"/>
      <c r="T593" s="5"/>
      <c r="U593" s="5"/>
      <c r="V593" s="5"/>
      <c r="W593" s="5">
        <v>46.39</v>
      </c>
      <c r="X593" s="5">
        <v>1</v>
      </c>
      <c r="Y593" s="5">
        <v>46.39</v>
      </c>
      <c r="Z593" s="5">
        <v>1346.72</v>
      </c>
      <c r="AA593" s="5">
        <v>1</v>
      </c>
      <c r="AB593" s="5">
        <v>1346.72</v>
      </c>
    </row>
    <row r="594" spans="1:28" x14ac:dyDescent="0.2">
      <c r="A594" s="5">
        <v>50</v>
      </c>
      <c r="B594" s="5">
        <v>0</v>
      </c>
      <c r="C594" s="5">
        <v>0</v>
      </c>
      <c r="D594" s="5">
        <v>1</v>
      </c>
      <c r="E594" s="5">
        <v>205</v>
      </c>
      <c r="F594" s="5">
        <f>ROUND(Source!S579,O594)</f>
        <v>610.71</v>
      </c>
      <c r="G594" s="5" t="s">
        <v>52</v>
      </c>
      <c r="H594" s="5" t="s">
        <v>53</v>
      </c>
      <c r="I594" s="5"/>
      <c r="J594" s="5"/>
      <c r="K594" s="5">
        <v>205</v>
      </c>
      <c r="L594" s="5">
        <v>14</v>
      </c>
      <c r="M594" s="5">
        <v>3</v>
      </c>
      <c r="N594" s="5" t="s">
        <v>3</v>
      </c>
      <c r="O594" s="5">
        <v>2</v>
      </c>
      <c r="P594" s="5">
        <f>ROUND(Source!DK579,O594)</f>
        <v>17728.91</v>
      </c>
      <c r="Q594" s="5"/>
      <c r="R594" s="5"/>
      <c r="S594" s="5"/>
      <c r="T594" s="5"/>
      <c r="U594" s="5"/>
      <c r="V594" s="5"/>
      <c r="W594" s="5">
        <v>610.71</v>
      </c>
      <c r="X594" s="5">
        <v>1</v>
      </c>
      <c r="Y594" s="5">
        <v>610.71</v>
      </c>
      <c r="Z594" s="5">
        <v>17728.91</v>
      </c>
      <c r="AA594" s="5">
        <v>1</v>
      </c>
      <c r="AB594" s="5">
        <v>17728.91</v>
      </c>
    </row>
    <row r="595" spans="1:28" x14ac:dyDescent="0.2">
      <c r="A595" s="5">
        <v>50</v>
      </c>
      <c r="B595" s="5">
        <v>0</v>
      </c>
      <c r="C595" s="5">
        <v>0</v>
      </c>
      <c r="D595" s="5">
        <v>1</v>
      </c>
      <c r="E595" s="5">
        <v>232</v>
      </c>
      <c r="F595" s="5">
        <f>ROUND(Source!BC579,O595)</f>
        <v>0</v>
      </c>
      <c r="G595" s="5" t="s">
        <v>54</v>
      </c>
      <c r="H595" s="5" t="s">
        <v>55</v>
      </c>
      <c r="I595" s="5"/>
      <c r="J595" s="5"/>
      <c r="K595" s="5">
        <v>232</v>
      </c>
      <c r="L595" s="5">
        <v>15</v>
      </c>
      <c r="M595" s="5">
        <v>3</v>
      </c>
      <c r="N595" s="5" t="s">
        <v>3</v>
      </c>
      <c r="O595" s="5">
        <v>2</v>
      </c>
      <c r="P595" s="5">
        <f>ROUND(Source!EU579,O595)</f>
        <v>0</v>
      </c>
      <c r="Q595" s="5"/>
      <c r="R595" s="5"/>
      <c r="S595" s="5"/>
      <c r="T595" s="5"/>
      <c r="U595" s="5"/>
      <c r="V595" s="5"/>
      <c r="W595" s="5">
        <v>0</v>
      </c>
      <c r="X595" s="5">
        <v>1</v>
      </c>
      <c r="Y595" s="5">
        <v>0</v>
      </c>
      <c r="Z595" s="5">
        <v>0</v>
      </c>
      <c r="AA595" s="5">
        <v>1</v>
      </c>
      <c r="AB595" s="5">
        <v>0</v>
      </c>
    </row>
    <row r="596" spans="1:28" x14ac:dyDescent="0.2">
      <c r="A596" s="5">
        <v>50</v>
      </c>
      <c r="B596" s="5">
        <v>0</v>
      </c>
      <c r="C596" s="5">
        <v>0</v>
      </c>
      <c r="D596" s="5">
        <v>1</v>
      </c>
      <c r="E596" s="5">
        <v>214</v>
      </c>
      <c r="F596" s="5">
        <f>ROUND(Source!AS579,O596)</f>
        <v>5161.05</v>
      </c>
      <c r="G596" s="5" t="s">
        <v>56</v>
      </c>
      <c r="H596" s="5" t="s">
        <v>57</v>
      </c>
      <c r="I596" s="5"/>
      <c r="J596" s="5"/>
      <c r="K596" s="5">
        <v>214</v>
      </c>
      <c r="L596" s="5">
        <v>16</v>
      </c>
      <c r="M596" s="5">
        <v>3</v>
      </c>
      <c r="N596" s="5" t="s">
        <v>3</v>
      </c>
      <c r="O596" s="5">
        <v>2</v>
      </c>
      <c r="P596" s="5">
        <f>ROUND(Source!EK579,O596)</f>
        <v>159542.17000000001</v>
      </c>
      <c r="Q596" s="5"/>
      <c r="R596" s="5"/>
      <c r="S596" s="5"/>
      <c r="T596" s="5"/>
      <c r="U596" s="5"/>
      <c r="V596" s="5"/>
      <c r="W596" s="5">
        <v>5161.05</v>
      </c>
      <c r="X596" s="5">
        <v>1</v>
      </c>
      <c r="Y596" s="5">
        <v>5161.05</v>
      </c>
      <c r="Z596" s="5">
        <v>159542.17000000001</v>
      </c>
      <c r="AA596" s="5">
        <v>1</v>
      </c>
      <c r="AB596" s="5">
        <v>159542.17000000001</v>
      </c>
    </row>
    <row r="597" spans="1:28" x14ac:dyDescent="0.2">
      <c r="A597" s="5">
        <v>50</v>
      </c>
      <c r="B597" s="5">
        <v>0</v>
      </c>
      <c r="C597" s="5">
        <v>0</v>
      </c>
      <c r="D597" s="5">
        <v>1</v>
      </c>
      <c r="E597" s="5">
        <v>215</v>
      </c>
      <c r="F597" s="5">
        <f>ROUND(Source!AT579,O597)</f>
        <v>0</v>
      </c>
      <c r="G597" s="5" t="s">
        <v>58</v>
      </c>
      <c r="H597" s="5" t="s">
        <v>59</v>
      </c>
      <c r="I597" s="5"/>
      <c r="J597" s="5"/>
      <c r="K597" s="5">
        <v>215</v>
      </c>
      <c r="L597" s="5">
        <v>17</v>
      </c>
      <c r="M597" s="5">
        <v>3</v>
      </c>
      <c r="N597" s="5" t="s">
        <v>3</v>
      </c>
      <c r="O597" s="5">
        <v>2</v>
      </c>
      <c r="P597" s="5">
        <f>ROUND(Source!EL579,O597)</f>
        <v>0</v>
      </c>
      <c r="Q597" s="5"/>
      <c r="R597" s="5"/>
      <c r="S597" s="5"/>
      <c r="T597" s="5"/>
      <c r="U597" s="5"/>
      <c r="V597" s="5"/>
      <c r="W597" s="5">
        <v>0</v>
      </c>
      <c r="X597" s="5">
        <v>1</v>
      </c>
      <c r="Y597" s="5">
        <v>0</v>
      </c>
      <c r="Z597" s="5">
        <v>0</v>
      </c>
      <c r="AA597" s="5">
        <v>1</v>
      </c>
      <c r="AB597" s="5">
        <v>0</v>
      </c>
    </row>
    <row r="598" spans="1:28" x14ac:dyDescent="0.2">
      <c r="A598" s="5">
        <v>50</v>
      </c>
      <c r="B598" s="5">
        <v>0</v>
      </c>
      <c r="C598" s="5">
        <v>0</v>
      </c>
      <c r="D598" s="5">
        <v>1</v>
      </c>
      <c r="E598" s="5">
        <v>217</v>
      </c>
      <c r="F598" s="5">
        <f>ROUND(Source!AU579,O598)</f>
        <v>0</v>
      </c>
      <c r="G598" s="5" t="s">
        <v>60</v>
      </c>
      <c r="H598" s="5" t="s">
        <v>61</v>
      </c>
      <c r="I598" s="5"/>
      <c r="J598" s="5"/>
      <c r="K598" s="5">
        <v>217</v>
      </c>
      <c r="L598" s="5">
        <v>18</v>
      </c>
      <c r="M598" s="5">
        <v>3</v>
      </c>
      <c r="N598" s="5" t="s">
        <v>3</v>
      </c>
      <c r="O598" s="5">
        <v>2</v>
      </c>
      <c r="P598" s="5">
        <f>ROUND(Source!EM579,O598)</f>
        <v>0</v>
      </c>
      <c r="Q598" s="5"/>
      <c r="R598" s="5"/>
      <c r="S598" s="5"/>
      <c r="T598" s="5"/>
      <c r="U598" s="5"/>
      <c r="V598" s="5"/>
      <c r="W598" s="5">
        <v>0</v>
      </c>
      <c r="X598" s="5">
        <v>1</v>
      </c>
      <c r="Y598" s="5">
        <v>0</v>
      </c>
      <c r="Z598" s="5">
        <v>0</v>
      </c>
      <c r="AA598" s="5">
        <v>1</v>
      </c>
      <c r="AB598" s="5">
        <v>0</v>
      </c>
    </row>
    <row r="599" spans="1:28" x14ac:dyDescent="0.2">
      <c r="A599" s="5">
        <v>50</v>
      </c>
      <c r="B599" s="5">
        <v>0</v>
      </c>
      <c r="C599" s="5">
        <v>0</v>
      </c>
      <c r="D599" s="5">
        <v>1</v>
      </c>
      <c r="E599" s="5">
        <v>230</v>
      </c>
      <c r="F599" s="5">
        <f>ROUND(Source!BA579,O599)</f>
        <v>0</v>
      </c>
      <c r="G599" s="5" t="s">
        <v>62</v>
      </c>
      <c r="H599" s="5" t="s">
        <v>63</v>
      </c>
      <c r="I599" s="5"/>
      <c r="J599" s="5"/>
      <c r="K599" s="5">
        <v>230</v>
      </c>
      <c r="L599" s="5">
        <v>19</v>
      </c>
      <c r="M599" s="5">
        <v>3</v>
      </c>
      <c r="N599" s="5" t="s">
        <v>3</v>
      </c>
      <c r="O599" s="5">
        <v>2</v>
      </c>
      <c r="P599" s="5">
        <f>ROUND(Source!ES579,O599)</f>
        <v>0</v>
      </c>
      <c r="Q599" s="5"/>
      <c r="R599" s="5"/>
      <c r="S599" s="5"/>
      <c r="T599" s="5"/>
      <c r="U599" s="5"/>
      <c r="V599" s="5"/>
      <c r="W599" s="5">
        <v>0</v>
      </c>
      <c r="X599" s="5">
        <v>1</v>
      </c>
      <c r="Y599" s="5">
        <v>0</v>
      </c>
      <c r="Z599" s="5">
        <v>0</v>
      </c>
      <c r="AA599" s="5">
        <v>1</v>
      </c>
      <c r="AB599" s="5">
        <v>0</v>
      </c>
    </row>
    <row r="600" spans="1:28" x14ac:dyDescent="0.2">
      <c r="A600" s="5">
        <v>50</v>
      </c>
      <c r="B600" s="5">
        <v>0</v>
      </c>
      <c r="C600" s="5">
        <v>0</v>
      </c>
      <c r="D600" s="5">
        <v>1</v>
      </c>
      <c r="E600" s="5">
        <v>206</v>
      </c>
      <c r="F600" s="5">
        <f>ROUND(Source!T579,O600)</f>
        <v>0</v>
      </c>
      <c r="G600" s="5" t="s">
        <v>64</v>
      </c>
      <c r="H600" s="5" t="s">
        <v>65</v>
      </c>
      <c r="I600" s="5"/>
      <c r="J600" s="5"/>
      <c r="K600" s="5">
        <v>206</v>
      </c>
      <c r="L600" s="5">
        <v>20</v>
      </c>
      <c r="M600" s="5">
        <v>3</v>
      </c>
      <c r="N600" s="5" t="s">
        <v>3</v>
      </c>
      <c r="O600" s="5">
        <v>2</v>
      </c>
      <c r="P600" s="5">
        <f>ROUND(Source!DL579,O600)</f>
        <v>0</v>
      </c>
      <c r="Q600" s="5"/>
      <c r="R600" s="5"/>
      <c r="S600" s="5"/>
      <c r="T600" s="5"/>
      <c r="U600" s="5"/>
      <c r="V600" s="5"/>
      <c r="W600" s="5">
        <v>0</v>
      </c>
      <c r="X600" s="5">
        <v>1</v>
      </c>
      <c r="Y600" s="5">
        <v>0</v>
      </c>
      <c r="Z600" s="5">
        <v>0</v>
      </c>
      <c r="AA600" s="5">
        <v>1</v>
      </c>
      <c r="AB600" s="5">
        <v>0</v>
      </c>
    </row>
    <row r="601" spans="1:28" x14ac:dyDescent="0.2">
      <c r="A601" s="5">
        <v>50</v>
      </c>
      <c r="B601" s="5">
        <v>0</v>
      </c>
      <c r="C601" s="5">
        <v>0</v>
      </c>
      <c r="D601" s="5">
        <v>1</v>
      </c>
      <c r="E601" s="5">
        <v>207</v>
      </c>
      <c r="F601" s="5">
        <f>Source!U579</f>
        <v>48.871595999999997</v>
      </c>
      <c r="G601" s="5" t="s">
        <v>66</v>
      </c>
      <c r="H601" s="5" t="s">
        <v>67</v>
      </c>
      <c r="I601" s="5"/>
      <c r="J601" s="5"/>
      <c r="K601" s="5">
        <v>207</v>
      </c>
      <c r="L601" s="5">
        <v>21</v>
      </c>
      <c r="M601" s="5">
        <v>3</v>
      </c>
      <c r="N601" s="5" t="s">
        <v>3</v>
      </c>
      <c r="O601" s="5">
        <v>-1</v>
      </c>
      <c r="P601" s="5">
        <f>Source!DM579</f>
        <v>48.871595999999997</v>
      </c>
      <c r="Q601" s="5"/>
      <c r="R601" s="5"/>
      <c r="S601" s="5"/>
      <c r="T601" s="5"/>
      <c r="U601" s="5"/>
      <c r="V601" s="5"/>
      <c r="W601" s="5">
        <v>48.871595999999997</v>
      </c>
      <c r="X601" s="5">
        <v>1</v>
      </c>
      <c r="Y601" s="5">
        <v>48.871595999999997</v>
      </c>
      <c r="Z601" s="5">
        <v>48.871595999999997</v>
      </c>
      <c r="AA601" s="5">
        <v>1</v>
      </c>
      <c r="AB601" s="5">
        <v>48.871595999999997</v>
      </c>
    </row>
    <row r="602" spans="1:28" x14ac:dyDescent="0.2">
      <c r="A602" s="5">
        <v>50</v>
      </c>
      <c r="B602" s="5">
        <v>0</v>
      </c>
      <c r="C602" s="5">
        <v>0</v>
      </c>
      <c r="D602" s="5">
        <v>1</v>
      </c>
      <c r="E602" s="5">
        <v>208</v>
      </c>
      <c r="F602" s="5">
        <f>Source!V579</f>
        <v>0</v>
      </c>
      <c r="G602" s="5" t="s">
        <v>68</v>
      </c>
      <c r="H602" s="5" t="s">
        <v>69</v>
      </c>
      <c r="I602" s="5"/>
      <c r="J602" s="5"/>
      <c r="K602" s="5">
        <v>208</v>
      </c>
      <c r="L602" s="5">
        <v>22</v>
      </c>
      <c r="M602" s="5">
        <v>3</v>
      </c>
      <c r="N602" s="5" t="s">
        <v>3</v>
      </c>
      <c r="O602" s="5">
        <v>-1</v>
      </c>
      <c r="P602" s="5">
        <f>Source!DN579</f>
        <v>0</v>
      </c>
      <c r="Q602" s="5"/>
      <c r="R602" s="5"/>
      <c r="S602" s="5"/>
      <c r="T602" s="5"/>
      <c r="U602" s="5"/>
      <c r="V602" s="5"/>
      <c r="W602" s="5">
        <v>0</v>
      </c>
      <c r="X602" s="5">
        <v>1</v>
      </c>
      <c r="Y602" s="5">
        <v>0</v>
      </c>
      <c r="Z602" s="5">
        <v>0</v>
      </c>
      <c r="AA602" s="5">
        <v>1</v>
      </c>
      <c r="AB602" s="5">
        <v>0</v>
      </c>
    </row>
    <row r="603" spans="1:28" x14ac:dyDescent="0.2">
      <c r="A603" s="5">
        <v>50</v>
      </c>
      <c r="B603" s="5">
        <v>0</v>
      </c>
      <c r="C603" s="5">
        <v>0</v>
      </c>
      <c r="D603" s="5">
        <v>1</v>
      </c>
      <c r="E603" s="5">
        <v>209</v>
      </c>
      <c r="F603" s="5">
        <f>ROUND(Source!W579,O603)</f>
        <v>0</v>
      </c>
      <c r="G603" s="5" t="s">
        <v>70</v>
      </c>
      <c r="H603" s="5" t="s">
        <v>71</v>
      </c>
      <c r="I603" s="5"/>
      <c r="J603" s="5"/>
      <c r="K603" s="5">
        <v>209</v>
      </c>
      <c r="L603" s="5">
        <v>23</v>
      </c>
      <c r="M603" s="5">
        <v>3</v>
      </c>
      <c r="N603" s="5" t="s">
        <v>3</v>
      </c>
      <c r="O603" s="5">
        <v>2</v>
      </c>
      <c r="P603" s="5">
        <f>ROUND(Source!DO579,O603)</f>
        <v>0</v>
      </c>
      <c r="Q603" s="5"/>
      <c r="R603" s="5"/>
      <c r="S603" s="5"/>
      <c r="T603" s="5"/>
      <c r="U603" s="5"/>
      <c r="V603" s="5"/>
      <c r="W603" s="5">
        <v>0</v>
      </c>
      <c r="X603" s="5">
        <v>1</v>
      </c>
      <c r="Y603" s="5">
        <v>0</v>
      </c>
      <c r="Z603" s="5">
        <v>0</v>
      </c>
      <c r="AA603" s="5">
        <v>1</v>
      </c>
      <c r="AB603" s="5">
        <v>0</v>
      </c>
    </row>
    <row r="604" spans="1:28" x14ac:dyDescent="0.2">
      <c r="A604" s="5">
        <v>50</v>
      </c>
      <c r="B604" s="5">
        <v>0</v>
      </c>
      <c r="C604" s="5">
        <v>0</v>
      </c>
      <c r="D604" s="5">
        <v>1</v>
      </c>
      <c r="E604" s="5">
        <v>233</v>
      </c>
      <c r="F604" s="5">
        <f>ROUND(Source!BD579,O604)</f>
        <v>0</v>
      </c>
      <c r="G604" s="5" t="s">
        <v>72</v>
      </c>
      <c r="H604" s="5" t="s">
        <v>73</v>
      </c>
      <c r="I604" s="5"/>
      <c r="J604" s="5"/>
      <c r="K604" s="5">
        <v>233</v>
      </c>
      <c r="L604" s="5">
        <v>24</v>
      </c>
      <c r="M604" s="5">
        <v>3</v>
      </c>
      <c r="N604" s="5" t="s">
        <v>3</v>
      </c>
      <c r="O604" s="5">
        <v>2</v>
      </c>
      <c r="P604" s="5">
        <f>ROUND(Source!EV579,O604)</f>
        <v>0</v>
      </c>
      <c r="Q604" s="5"/>
      <c r="R604" s="5"/>
      <c r="S604" s="5"/>
      <c r="T604" s="5"/>
      <c r="U604" s="5"/>
      <c r="V604" s="5"/>
      <c r="W604" s="5">
        <v>0</v>
      </c>
      <c r="X604" s="5">
        <v>1</v>
      </c>
      <c r="Y604" s="5">
        <v>0</v>
      </c>
      <c r="Z604" s="5">
        <v>0</v>
      </c>
      <c r="AA604" s="5">
        <v>1</v>
      </c>
      <c r="AB604" s="5">
        <v>0</v>
      </c>
    </row>
    <row r="605" spans="1:28" x14ac:dyDescent="0.2">
      <c r="A605" s="5">
        <v>50</v>
      </c>
      <c r="B605" s="5">
        <v>0</v>
      </c>
      <c r="C605" s="5">
        <v>0</v>
      </c>
      <c r="D605" s="5">
        <v>1</v>
      </c>
      <c r="E605" s="5">
        <v>210</v>
      </c>
      <c r="F605" s="5">
        <f>ROUND(Source!X579,O605)</f>
        <v>528.77</v>
      </c>
      <c r="G605" s="5" t="s">
        <v>74</v>
      </c>
      <c r="H605" s="5" t="s">
        <v>75</v>
      </c>
      <c r="I605" s="5"/>
      <c r="J605" s="5"/>
      <c r="K605" s="5">
        <v>210</v>
      </c>
      <c r="L605" s="5">
        <v>25</v>
      </c>
      <c r="M605" s="5">
        <v>3</v>
      </c>
      <c r="N605" s="5" t="s">
        <v>3</v>
      </c>
      <c r="O605" s="5">
        <v>2</v>
      </c>
      <c r="P605" s="5">
        <f>ROUND(Source!DP579,O605)</f>
        <v>12650.69</v>
      </c>
      <c r="Q605" s="5"/>
      <c r="R605" s="5"/>
      <c r="S605" s="5"/>
      <c r="T605" s="5"/>
      <c r="U605" s="5"/>
      <c r="V605" s="5"/>
      <c r="W605" s="5">
        <v>528.77</v>
      </c>
      <c r="X605" s="5">
        <v>1</v>
      </c>
      <c r="Y605" s="5">
        <v>528.77</v>
      </c>
      <c r="Z605" s="5">
        <v>12650.69</v>
      </c>
      <c r="AA605" s="5">
        <v>1</v>
      </c>
      <c r="AB605" s="5">
        <v>12650.69</v>
      </c>
    </row>
    <row r="606" spans="1:28" x14ac:dyDescent="0.2">
      <c r="A606" s="5">
        <v>50</v>
      </c>
      <c r="B606" s="5">
        <v>0</v>
      </c>
      <c r="C606" s="5">
        <v>0</v>
      </c>
      <c r="D606" s="5">
        <v>1</v>
      </c>
      <c r="E606" s="5">
        <v>211</v>
      </c>
      <c r="F606" s="5">
        <f>ROUND(Source!Y579,O606)</f>
        <v>424.84</v>
      </c>
      <c r="G606" s="5" t="s">
        <v>76</v>
      </c>
      <c r="H606" s="5" t="s">
        <v>77</v>
      </c>
      <c r="I606" s="5"/>
      <c r="J606" s="5"/>
      <c r="K606" s="5">
        <v>211</v>
      </c>
      <c r="L606" s="5">
        <v>26</v>
      </c>
      <c r="M606" s="5">
        <v>3</v>
      </c>
      <c r="N606" s="5" t="s">
        <v>3</v>
      </c>
      <c r="O606" s="5">
        <v>2</v>
      </c>
      <c r="P606" s="5">
        <f>ROUND(Source!DQ579,O606)</f>
        <v>7268.87</v>
      </c>
      <c r="Q606" s="5"/>
      <c r="R606" s="5"/>
      <c r="S606" s="5"/>
      <c r="T606" s="5"/>
      <c r="U606" s="5"/>
      <c r="V606" s="5"/>
      <c r="W606" s="5">
        <v>424.84</v>
      </c>
      <c r="X606" s="5">
        <v>1</v>
      </c>
      <c r="Y606" s="5">
        <v>424.84</v>
      </c>
      <c r="Z606" s="5">
        <v>7268.87</v>
      </c>
      <c r="AA606" s="5">
        <v>1</v>
      </c>
      <c r="AB606" s="5">
        <v>7268.87</v>
      </c>
    </row>
    <row r="607" spans="1:28" x14ac:dyDescent="0.2">
      <c r="A607" s="5">
        <v>50</v>
      </c>
      <c r="B607" s="5">
        <v>0</v>
      </c>
      <c r="C607" s="5">
        <v>0</v>
      </c>
      <c r="D607" s="5">
        <v>1</v>
      </c>
      <c r="E607" s="5">
        <v>224</v>
      </c>
      <c r="F607" s="5">
        <f>ROUND(Source!AR579,O607)</f>
        <v>5161.05</v>
      </c>
      <c r="G607" s="5" t="s">
        <v>78</v>
      </c>
      <c r="H607" s="5" t="s">
        <v>79</v>
      </c>
      <c r="I607" s="5"/>
      <c r="J607" s="5"/>
      <c r="K607" s="5">
        <v>224</v>
      </c>
      <c r="L607" s="5">
        <v>27</v>
      </c>
      <c r="M607" s="5">
        <v>3</v>
      </c>
      <c r="N607" s="5" t="s">
        <v>3</v>
      </c>
      <c r="O607" s="5">
        <v>2</v>
      </c>
      <c r="P607" s="5">
        <f>ROUND(Source!EJ579,O607)</f>
        <v>159542.17000000001</v>
      </c>
      <c r="Q607" s="5"/>
      <c r="R607" s="5"/>
      <c r="S607" s="5"/>
      <c r="T607" s="5"/>
      <c r="U607" s="5"/>
      <c r="V607" s="5"/>
      <c r="W607" s="5">
        <v>5161.05</v>
      </c>
      <c r="X607" s="5">
        <v>1</v>
      </c>
      <c r="Y607" s="5">
        <v>5161.05</v>
      </c>
      <c r="Z607" s="5">
        <v>159542.17000000001</v>
      </c>
      <c r="AA607" s="5">
        <v>1</v>
      </c>
      <c r="AB607" s="5">
        <v>159542.17000000001</v>
      </c>
    </row>
    <row r="609" spans="1:206" x14ac:dyDescent="0.2">
      <c r="A609" s="3">
        <v>51</v>
      </c>
      <c r="B609" s="3">
        <f>B451</f>
        <v>1</v>
      </c>
      <c r="C609" s="3">
        <f>A451</f>
        <v>3</v>
      </c>
      <c r="D609" s="3">
        <f>ROW(A451)</f>
        <v>451</v>
      </c>
      <c r="E609" s="3"/>
      <c r="F609" s="3" t="str">
        <f>IF(F451&lt;&gt;"",F451,"")</f>
        <v>02-01-03</v>
      </c>
      <c r="G609" s="3" t="str">
        <f>IF(G451&lt;&gt;"",G451,"")</f>
        <v>Конструктивные решения</v>
      </c>
      <c r="H609" s="3">
        <v>0</v>
      </c>
      <c r="I609" s="3"/>
      <c r="J609" s="3"/>
      <c r="K609" s="3"/>
      <c r="L609" s="3"/>
      <c r="M609" s="3"/>
      <c r="N609" s="3"/>
      <c r="O609" s="3">
        <f t="shared" ref="O609:T609" si="538">ROUND(O468+O579+AB609,2)</f>
        <v>5620.64</v>
      </c>
      <c r="P609" s="3">
        <f t="shared" si="538"/>
        <v>3215.68</v>
      </c>
      <c r="Q609" s="3">
        <f t="shared" si="538"/>
        <v>970.41</v>
      </c>
      <c r="R609" s="3">
        <f t="shared" si="538"/>
        <v>199.89</v>
      </c>
      <c r="S609" s="3">
        <f t="shared" si="538"/>
        <v>1434.55</v>
      </c>
      <c r="T609" s="3">
        <f t="shared" si="538"/>
        <v>0</v>
      </c>
      <c r="U609" s="3">
        <f>U468+U579+AH609</f>
        <v>117.15504630000001</v>
      </c>
      <c r="V609" s="3">
        <f>V468+V579+AI609</f>
        <v>0</v>
      </c>
      <c r="W609" s="3">
        <f>ROUND(W468+W579+AJ609,2)</f>
        <v>0</v>
      </c>
      <c r="X609" s="3">
        <f>ROUND(X468+X579+AK609,2)</f>
        <v>1216.67</v>
      </c>
      <c r="Y609" s="3">
        <f>ROUND(Y468+Y579+AL609,2)</f>
        <v>964.44</v>
      </c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>
        <f t="shared" ref="AO609:BD609" si="539">ROUND(AO468+AO579+BX609,2)</f>
        <v>0</v>
      </c>
      <c r="AP609" s="3">
        <f t="shared" si="539"/>
        <v>0</v>
      </c>
      <c r="AQ609" s="3">
        <f t="shared" si="539"/>
        <v>0</v>
      </c>
      <c r="AR609" s="3">
        <f t="shared" si="539"/>
        <v>8151.56</v>
      </c>
      <c r="AS609" s="3">
        <f t="shared" si="539"/>
        <v>8151.56</v>
      </c>
      <c r="AT609" s="3">
        <f t="shared" si="539"/>
        <v>0</v>
      </c>
      <c r="AU609" s="3">
        <f t="shared" si="539"/>
        <v>0</v>
      </c>
      <c r="AV609" s="3">
        <f t="shared" si="539"/>
        <v>3215.68</v>
      </c>
      <c r="AW609" s="3">
        <f t="shared" si="539"/>
        <v>3215.68</v>
      </c>
      <c r="AX609" s="3">
        <f t="shared" si="539"/>
        <v>0</v>
      </c>
      <c r="AY609" s="3">
        <f t="shared" si="539"/>
        <v>3215.68</v>
      </c>
      <c r="AZ609" s="3">
        <f t="shared" si="539"/>
        <v>0</v>
      </c>
      <c r="BA609" s="3">
        <f t="shared" si="539"/>
        <v>0</v>
      </c>
      <c r="BB609" s="3">
        <f t="shared" si="539"/>
        <v>0</v>
      </c>
      <c r="BC609" s="3">
        <f t="shared" si="539"/>
        <v>0</v>
      </c>
      <c r="BD609" s="3">
        <f t="shared" si="539"/>
        <v>0</v>
      </c>
      <c r="BE609" s="3"/>
      <c r="BF609" s="3"/>
      <c r="BG609" s="3"/>
      <c r="BH609" s="3"/>
      <c r="BI609" s="3"/>
      <c r="BJ609" s="3"/>
      <c r="BK609" s="3"/>
      <c r="BL609" s="3"/>
      <c r="BM609" s="3"/>
      <c r="BN609" s="3"/>
      <c r="BO609" s="3"/>
      <c r="BP609" s="3"/>
      <c r="BQ609" s="3"/>
      <c r="BR609" s="3"/>
      <c r="BS609" s="3"/>
      <c r="BT609" s="3"/>
      <c r="BU609" s="3"/>
      <c r="BV609" s="3"/>
      <c r="BW609" s="3"/>
      <c r="BX609" s="3"/>
      <c r="BY609" s="3"/>
      <c r="BZ609" s="3"/>
      <c r="CA609" s="3"/>
      <c r="CB609" s="3"/>
      <c r="CC609" s="3"/>
      <c r="CD609" s="3"/>
      <c r="CE609" s="3"/>
      <c r="CF609" s="3"/>
      <c r="CG609" s="3"/>
      <c r="CH609" s="3"/>
      <c r="CI609" s="3"/>
      <c r="CJ609" s="3"/>
      <c r="CK609" s="3"/>
      <c r="CL609" s="3"/>
      <c r="CM609" s="3"/>
      <c r="CN609" s="3"/>
      <c r="CO609" s="3"/>
      <c r="CP609" s="3"/>
      <c r="CQ609" s="3"/>
      <c r="CR609" s="3"/>
      <c r="CS609" s="3"/>
      <c r="CT609" s="3"/>
      <c r="CU609" s="3"/>
      <c r="CV609" s="3"/>
      <c r="CW609" s="3"/>
      <c r="CX609" s="3"/>
      <c r="CY609" s="3"/>
      <c r="CZ609" s="3"/>
      <c r="DA609" s="3"/>
      <c r="DB609" s="3"/>
      <c r="DC609" s="3"/>
      <c r="DD609" s="3"/>
      <c r="DE609" s="3"/>
      <c r="DF609" s="3"/>
      <c r="DG609" s="4">
        <f t="shared" ref="DG609:DL609" si="540">ROUND(DG468+DG579+DT609,2)</f>
        <v>171952.43</v>
      </c>
      <c r="DH609" s="4">
        <f t="shared" si="540"/>
        <v>117105.18</v>
      </c>
      <c r="DI609" s="4">
        <f t="shared" si="540"/>
        <v>13202.26</v>
      </c>
      <c r="DJ609" s="4">
        <f t="shared" si="540"/>
        <v>5802.83</v>
      </c>
      <c r="DK609" s="4">
        <f t="shared" si="540"/>
        <v>41644.99</v>
      </c>
      <c r="DL609" s="4">
        <f t="shared" si="540"/>
        <v>0</v>
      </c>
      <c r="DM609" s="4">
        <f>DM468+DM579+DZ609</f>
        <v>117.15504630000001</v>
      </c>
      <c r="DN609" s="4">
        <f>DN468+DN579+EA609</f>
        <v>0</v>
      </c>
      <c r="DO609" s="4">
        <f>ROUND(DO468+DO579+EB609,2)</f>
        <v>0</v>
      </c>
      <c r="DP609" s="4">
        <f>ROUND(DP468+DP579+EC609,2)</f>
        <v>29391.94</v>
      </c>
      <c r="DQ609" s="4">
        <f>ROUND(DQ468+DQ579+ED609,2)</f>
        <v>17074.46</v>
      </c>
      <c r="DR609" s="4"/>
      <c r="DS609" s="4"/>
      <c r="DT609" s="4"/>
      <c r="DU609" s="4"/>
      <c r="DV609" s="4"/>
      <c r="DW609" s="4"/>
      <c r="DX609" s="4"/>
      <c r="DY609" s="4"/>
      <c r="DZ609" s="4"/>
      <c r="EA609" s="4"/>
      <c r="EB609" s="4"/>
      <c r="EC609" s="4"/>
      <c r="ED609" s="4"/>
      <c r="EE609" s="4"/>
      <c r="EF609" s="4"/>
      <c r="EG609" s="4">
        <f t="shared" ref="EG609:EV609" si="541">ROUND(EG468+EG579+FP609,2)</f>
        <v>0</v>
      </c>
      <c r="EH609" s="4">
        <f t="shared" si="541"/>
        <v>0</v>
      </c>
      <c r="EI609" s="4">
        <f t="shared" si="541"/>
        <v>0</v>
      </c>
      <c r="EJ609" s="4">
        <f t="shared" si="541"/>
        <v>227703.35</v>
      </c>
      <c r="EK609" s="4">
        <f t="shared" si="541"/>
        <v>227703.35</v>
      </c>
      <c r="EL609" s="4">
        <f t="shared" si="541"/>
        <v>0</v>
      </c>
      <c r="EM609" s="4">
        <f t="shared" si="541"/>
        <v>0</v>
      </c>
      <c r="EN609" s="4">
        <f t="shared" si="541"/>
        <v>117105.18</v>
      </c>
      <c r="EO609" s="4">
        <f t="shared" si="541"/>
        <v>117105.18</v>
      </c>
      <c r="EP609" s="4">
        <f t="shared" si="541"/>
        <v>0</v>
      </c>
      <c r="EQ609" s="4">
        <f t="shared" si="541"/>
        <v>117105.18</v>
      </c>
      <c r="ER609" s="4">
        <f t="shared" si="541"/>
        <v>0</v>
      </c>
      <c r="ES609" s="4">
        <f t="shared" si="541"/>
        <v>0</v>
      </c>
      <c r="ET609" s="4">
        <f t="shared" si="541"/>
        <v>0</v>
      </c>
      <c r="EU609" s="4">
        <f t="shared" si="541"/>
        <v>0</v>
      </c>
      <c r="EV609" s="4">
        <f t="shared" si="541"/>
        <v>0</v>
      </c>
      <c r="EW609" s="4"/>
      <c r="EX609" s="4"/>
      <c r="EY609" s="4"/>
      <c r="EZ609" s="4"/>
      <c r="FA609" s="4"/>
      <c r="FB609" s="4"/>
      <c r="FC609" s="4"/>
      <c r="FD609" s="4"/>
      <c r="FE609" s="4"/>
      <c r="FF609" s="4"/>
      <c r="FG609" s="4"/>
      <c r="FH609" s="4"/>
      <c r="FI609" s="4"/>
      <c r="FJ609" s="4"/>
      <c r="FK609" s="4"/>
      <c r="FL609" s="4"/>
      <c r="FM609" s="4"/>
      <c r="FN609" s="4"/>
      <c r="FO609" s="4"/>
      <c r="FP609" s="4"/>
      <c r="FQ609" s="4"/>
      <c r="FR609" s="4"/>
      <c r="FS609" s="4"/>
      <c r="FT609" s="4"/>
      <c r="FU609" s="4"/>
      <c r="FV609" s="4"/>
      <c r="FW609" s="4"/>
      <c r="FX609" s="4"/>
      <c r="FY609" s="4"/>
      <c r="FZ609" s="4"/>
      <c r="GA609" s="4"/>
      <c r="GB609" s="4"/>
      <c r="GC609" s="4"/>
      <c r="GD609" s="4"/>
      <c r="GE609" s="4"/>
      <c r="GF609" s="4"/>
      <c r="GG609" s="4"/>
      <c r="GH609" s="4"/>
      <c r="GI609" s="4"/>
      <c r="GJ609" s="4"/>
      <c r="GK609" s="4"/>
      <c r="GL609" s="4"/>
      <c r="GM609" s="4"/>
      <c r="GN609" s="4"/>
      <c r="GO609" s="4"/>
      <c r="GP609" s="4"/>
      <c r="GQ609" s="4"/>
      <c r="GR609" s="4"/>
      <c r="GS609" s="4"/>
      <c r="GT609" s="4"/>
      <c r="GU609" s="4"/>
      <c r="GV609" s="4"/>
      <c r="GW609" s="4"/>
      <c r="GX609" s="4">
        <v>0</v>
      </c>
    </row>
    <row r="611" spans="1:206" x14ac:dyDescent="0.2">
      <c r="A611" s="5">
        <v>50</v>
      </c>
      <c r="B611" s="5">
        <v>0</v>
      </c>
      <c r="C611" s="5">
        <v>0</v>
      </c>
      <c r="D611" s="5">
        <v>1</v>
      </c>
      <c r="E611" s="5">
        <v>201</v>
      </c>
      <c r="F611" s="5">
        <f>ROUND(Source!O609,O611)</f>
        <v>5620.64</v>
      </c>
      <c r="G611" s="5" t="s">
        <v>26</v>
      </c>
      <c r="H611" s="5" t="s">
        <v>27</v>
      </c>
      <c r="I611" s="5"/>
      <c r="J611" s="5"/>
      <c r="K611" s="5">
        <v>201</v>
      </c>
      <c r="L611" s="5">
        <v>1</v>
      </c>
      <c r="M611" s="5">
        <v>3</v>
      </c>
      <c r="N611" s="5" t="s">
        <v>3</v>
      </c>
      <c r="O611" s="5">
        <v>2</v>
      </c>
      <c r="P611" s="5">
        <f>ROUND(Source!DG609,O611)</f>
        <v>171952.43</v>
      </c>
      <c r="Q611" s="5"/>
      <c r="R611" s="5"/>
      <c r="S611" s="5"/>
      <c r="T611" s="5"/>
      <c r="U611" s="5"/>
      <c r="V611" s="5"/>
      <c r="W611" s="5">
        <v>5620.64</v>
      </c>
      <c r="X611" s="5">
        <v>1</v>
      </c>
      <c r="Y611" s="5">
        <v>5620.64</v>
      </c>
      <c r="Z611" s="5">
        <v>171952.43</v>
      </c>
      <c r="AA611" s="5">
        <v>1</v>
      </c>
      <c r="AB611" s="5">
        <v>171952.43</v>
      </c>
    </row>
    <row r="612" spans="1:206" x14ac:dyDescent="0.2">
      <c r="A612" s="5">
        <v>50</v>
      </c>
      <c r="B612" s="5">
        <v>0</v>
      </c>
      <c r="C612" s="5">
        <v>0</v>
      </c>
      <c r="D612" s="5">
        <v>1</v>
      </c>
      <c r="E612" s="5">
        <v>202</v>
      </c>
      <c r="F612" s="5">
        <f>ROUND(Source!P609,O612)</f>
        <v>3215.68</v>
      </c>
      <c r="G612" s="5" t="s">
        <v>28</v>
      </c>
      <c r="H612" s="5" t="s">
        <v>29</v>
      </c>
      <c r="I612" s="5"/>
      <c r="J612" s="5"/>
      <c r="K612" s="5">
        <v>202</v>
      </c>
      <c r="L612" s="5">
        <v>2</v>
      </c>
      <c r="M612" s="5">
        <v>3</v>
      </c>
      <c r="N612" s="5" t="s">
        <v>3</v>
      </c>
      <c r="O612" s="5">
        <v>2</v>
      </c>
      <c r="P612" s="5">
        <f>ROUND(Source!DH609,O612)</f>
        <v>117105.18</v>
      </c>
      <c r="Q612" s="5"/>
      <c r="R612" s="5"/>
      <c r="S612" s="5"/>
      <c r="T612" s="5"/>
      <c r="U612" s="5"/>
      <c r="V612" s="5"/>
      <c r="W612" s="5">
        <v>3215.68</v>
      </c>
      <c r="X612" s="5">
        <v>1</v>
      </c>
      <c r="Y612" s="5">
        <v>3215.68</v>
      </c>
      <c r="Z612" s="5">
        <v>117105.18</v>
      </c>
      <c r="AA612" s="5">
        <v>1</v>
      </c>
      <c r="AB612" s="5">
        <v>117105.18</v>
      </c>
    </row>
    <row r="613" spans="1:206" x14ac:dyDescent="0.2">
      <c r="A613" s="5">
        <v>50</v>
      </c>
      <c r="B613" s="5">
        <v>0</v>
      </c>
      <c r="C613" s="5">
        <v>0</v>
      </c>
      <c r="D613" s="5">
        <v>1</v>
      </c>
      <c r="E613" s="5">
        <v>222</v>
      </c>
      <c r="F613" s="5">
        <f>ROUND(Source!AO609,O613)</f>
        <v>0</v>
      </c>
      <c r="G613" s="5" t="s">
        <v>30</v>
      </c>
      <c r="H613" s="5" t="s">
        <v>31</v>
      </c>
      <c r="I613" s="5"/>
      <c r="J613" s="5"/>
      <c r="K613" s="5">
        <v>222</v>
      </c>
      <c r="L613" s="5">
        <v>3</v>
      </c>
      <c r="M613" s="5">
        <v>3</v>
      </c>
      <c r="N613" s="5" t="s">
        <v>3</v>
      </c>
      <c r="O613" s="5">
        <v>2</v>
      </c>
      <c r="P613" s="5">
        <f>ROUND(Source!EG609,O613)</f>
        <v>0</v>
      </c>
      <c r="Q613" s="5"/>
      <c r="R613" s="5"/>
      <c r="S613" s="5"/>
      <c r="T613" s="5"/>
      <c r="U613" s="5"/>
      <c r="V613" s="5"/>
      <c r="W613" s="5">
        <v>0</v>
      </c>
      <c r="X613" s="5">
        <v>1</v>
      </c>
      <c r="Y613" s="5">
        <v>0</v>
      </c>
      <c r="Z613" s="5">
        <v>0</v>
      </c>
      <c r="AA613" s="5">
        <v>1</v>
      </c>
      <c r="AB613" s="5">
        <v>0</v>
      </c>
    </row>
    <row r="614" spans="1:206" x14ac:dyDescent="0.2">
      <c r="A614" s="5">
        <v>50</v>
      </c>
      <c r="B614" s="5">
        <v>0</v>
      </c>
      <c r="C614" s="5">
        <v>0</v>
      </c>
      <c r="D614" s="5">
        <v>1</v>
      </c>
      <c r="E614" s="5">
        <v>225</v>
      </c>
      <c r="F614" s="5">
        <f>ROUND(Source!AV609,O614)</f>
        <v>3215.68</v>
      </c>
      <c r="G614" s="5" t="s">
        <v>32</v>
      </c>
      <c r="H614" s="5" t="s">
        <v>33</v>
      </c>
      <c r="I614" s="5"/>
      <c r="J614" s="5"/>
      <c r="K614" s="5">
        <v>225</v>
      </c>
      <c r="L614" s="5">
        <v>4</v>
      </c>
      <c r="M614" s="5">
        <v>3</v>
      </c>
      <c r="N614" s="5" t="s">
        <v>3</v>
      </c>
      <c r="O614" s="5">
        <v>2</v>
      </c>
      <c r="P614" s="5">
        <f>ROUND(Source!EN609,O614)</f>
        <v>117105.18</v>
      </c>
      <c r="Q614" s="5"/>
      <c r="R614" s="5"/>
      <c r="S614" s="5"/>
      <c r="T614" s="5"/>
      <c r="U614" s="5"/>
      <c r="V614" s="5"/>
      <c r="W614" s="5">
        <v>3215.68</v>
      </c>
      <c r="X614" s="5">
        <v>1</v>
      </c>
      <c r="Y614" s="5">
        <v>3215.68</v>
      </c>
      <c r="Z614" s="5">
        <v>117105.18</v>
      </c>
      <c r="AA614" s="5">
        <v>1</v>
      </c>
      <c r="AB614" s="5">
        <v>117105.18</v>
      </c>
    </row>
    <row r="615" spans="1:206" x14ac:dyDescent="0.2">
      <c r="A615" s="5">
        <v>50</v>
      </c>
      <c r="B615" s="5">
        <v>0</v>
      </c>
      <c r="C615" s="5">
        <v>0</v>
      </c>
      <c r="D615" s="5">
        <v>1</v>
      </c>
      <c r="E615" s="5">
        <v>226</v>
      </c>
      <c r="F615" s="5">
        <f>ROUND(Source!AW609,O615)</f>
        <v>3215.68</v>
      </c>
      <c r="G615" s="5" t="s">
        <v>34</v>
      </c>
      <c r="H615" s="5" t="s">
        <v>35</v>
      </c>
      <c r="I615" s="5"/>
      <c r="J615" s="5"/>
      <c r="K615" s="5">
        <v>226</v>
      </c>
      <c r="L615" s="5">
        <v>5</v>
      </c>
      <c r="M615" s="5">
        <v>3</v>
      </c>
      <c r="N615" s="5" t="s">
        <v>3</v>
      </c>
      <c r="O615" s="5">
        <v>2</v>
      </c>
      <c r="P615" s="5">
        <f>ROUND(Source!EO609,O615)</f>
        <v>117105.18</v>
      </c>
      <c r="Q615" s="5"/>
      <c r="R615" s="5"/>
      <c r="S615" s="5"/>
      <c r="T615" s="5"/>
      <c r="U615" s="5"/>
      <c r="V615" s="5"/>
      <c r="W615" s="5">
        <v>3215.68</v>
      </c>
      <c r="X615" s="5">
        <v>1</v>
      </c>
      <c r="Y615" s="5">
        <v>3215.68</v>
      </c>
      <c r="Z615" s="5">
        <v>117105.18</v>
      </c>
      <c r="AA615" s="5">
        <v>1</v>
      </c>
      <c r="AB615" s="5">
        <v>117105.18</v>
      </c>
    </row>
    <row r="616" spans="1:206" x14ac:dyDescent="0.2">
      <c r="A616" s="5">
        <v>50</v>
      </c>
      <c r="B616" s="5">
        <v>0</v>
      </c>
      <c r="C616" s="5">
        <v>0</v>
      </c>
      <c r="D616" s="5">
        <v>1</v>
      </c>
      <c r="E616" s="5">
        <v>227</v>
      </c>
      <c r="F616" s="5">
        <f>ROUND(Source!AX609,O616)</f>
        <v>0</v>
      </c>
      <c r="G616" s="5" t="s">
        <v>36</v>
      </c>
      <c r="H616" s="5" t="s">
        <v>37</v>
      </c>
      <c r="I616" s="5"/>
      <c r="J616" s="5"/>
      <c r="K616" s="5">
        <v>227</v>
      </c>
      <c r="L616" s="5">
        <v>6</v>
      </c>
      <c r="M616" s="5">
        <v>3</v>
      </c>
      <c r="N616" s="5" t="s">
        <v>3</v>
      </c>
      <c r="O616" s="5">
        <v>2</v>
      </c>
      <c r="P616" s="5">
        <f>ROUND(Source!EP609,O616)</f>
        <v>0</v>
      </c>
      <c r="Q616" s="5"/>
      <c r="R616" s="5"/>
      <c r="S616" s="5"/>
      <c r="T616" s="5"/>
      <c r="U616" s="5"/>
      <c r="V616" s="5"/>
      <c r="W616" s="5">
        <v>0</v>
      </c>
      <c r="X616" s="5">
        <v>1</v>
      </c>
      <c r="Y616" s="5">
        <v>0</v>
      </c>
      <c r="Z616" s="5">
        <v>0</v>
      </c>
      <c r="AA616" s="5">
        <v>1</v>
      </c>
      <c r="AB616" s="5">
        <v>0</v>
      </c>
    </row>
    <row r="617" spans="1:206" x14ac:dyDescent="0.2">
      <c r="A617" s="5">
        <v>50</v>
      </c>
      <c r="B617" s="5">
        <v>0</v>
      </c>
      <c r="C617" s="5">
        <v>0</v>
      </c>
      <c r="D617" s="5">
        <v>1</v>
      </c>
      <c r="E617" s="5">
        <v>228</v>
      </c>
      <c r="F617" s="5">
        <f>ROUND(Source!AY609,O617)</f>
        <v>3215.68</v>
      </c>
      <c r="G617" s="5" t="s">
        <v>38</v>
      </c>
      <c r="H617" s="5" t="s">
        <v>39</v>
      </c>
      <c r="I617" s="5"/>
      <c r="J617" s="5"/>
      <c r="K617" s="5">
        <v>228</v>
      </c>
      <c r="L617" s="5">
        <v>7</v>
      </c>
      <c r="M617" s="5">
        <v>3</v>
      </c>
      <c r="N617" s="5" t="s">
        <v>3</v>
      </c>
      <c r="O617" s="5">
        <v>2</v>
      </c>
      <c r="P617" s="5">
        <f>ROUND(Source!EQ609,O617)</f>
        <v>117105.18</v>
      </c>
      <c r="Q617" s="5"/>
      <c r="R617" s="5"/>
      <c r="S617" s="5"/>
      <c r="T617" s="5"/>
      <c r="U617" s="5"/>
      <c r="V617" s="5"/>
      <c r="W617" s="5">
        <v>3215.68</v>
      </c>
      <c r="X617" s="5">
        <v>1</v>
      </c>
      <c r="Y617" s="5">
        <v>3215.68</v>
      </c>
      <c r="Z617" s="5">
        <v>117105.18</v>
      </c>
      <c r="AA617" s="5">
        <v>1</v>
      </c>
      <c r="AB617" s="5">
        <v>117105.18</v>
      </c>
    </row>
    <row r="618" spans="1:206" x14ac:dyDescent="0.2">
      <c r="A618" s="5">
        <v>50</v>
      </c>
      <c r="B618" s="5">
        <v>0</v>
      </c>
      <c r="C618" s="5">
        <v>0</v>
      </c>
      <c r="D618" s="5">
        <v>1</v>
      </c>
      <c r="E618" s="5">
        <v>216</v>
      </c>
      <c r="F618" s="5">
        <f>ROUND(Source!AP609,O618)</f>
        <v>0</v>
      </c>
      <c r="G618" s="5" t="s">
        <v>40</v>
      </c>
      <c r="H618" s="5" t="s">
        <v>41</v>
      </c>
      <c r="I618" s="5"/>
      <c r="J618" s="5"/>
      <c r="K618" s="5">
        <v>216</v>
      </c>
      <c r="L618" s="5">
        <v>8</v>
      </c>
      <c r="M618" s="5">
        <v>3</v>
      </c>
      <c r="N618" s="5" t="s">
        <v>3</v>
      </c>
      <c r="O618" s="5">
        <v>2</v>
      </c>
      <c r="P618" s="5">
        <f>ROUND(Source!EH609,O618)</f>
        <v>0</v>
      </c>
      <c r="Q618" s="5"/>
      <c r="R618" s="5"/>
      <c r="S618" s="5"/>
      <c r="T618" s="5"/>
      <c r="U618" s="5"/>
      <c r="V618" s="5"/>
      <c r="W618" s="5">
        <v>0</v>
      </c>
      <c r="X618" s="5">
        <v>1</v>
      </c>
      <c r="Y618" s="5">
        <v>0</v>
      </c>
      <c r="Z618" s="5">
        <v>0</v>
      </c>
      <c r="AA618" s="5">
        <v>1</v>
      </c>
      <c r="AB618" s="5">
        <v>0</v>
      </c>
    </row>
    <row r="619" spans="1:206" x14ac:dyDescent="0.2">
      <c r="A619" s="5">
        <v>50</v>
      </c>
      <c r="B619" s="5">
        <v>0</v>
      </c>
      <c r="C619" s="5">
        <v>0</v>
      </c>
      <c r="D619" s="5">
        <v>1</v>
      </c>
      <c r="E619" s="5">
        <v>223</v>
      </c>
      <c r="F619" s="5">
        <f>ROUND(Source!AQ609,O619)</f>
        <v>0</v>
      </c>
      <c r="G619" s="5" t="s">
        <v>42</v>
      </c>
      <c r="H619" s="5" t="s">
        <v>43</v>
      </c>
      <c r="I619" s="5"/>
      <c r="J619" s="5"/>
      <c r="K619" s="5">
        <v>223</v>
      </c>
      <c r="L619" s="5">
        <v>9</v>
      </c>
      <c r="M619" s="5">
        <v>3</v>
      </c>
      <c r="N619" s="5" t="s">
        <v>3</v>
      </c>
      <c r="O619" s="5">
        <v>2</v>
      </c>
      <c r="P619" s="5">
        <f>ROUND(Source!EI609,O619)</f>
        <v>0</v>
      </c>
      <c r="Q619" s="5"/>
      <c r="R619" s="5"/>
      <c r="S619" s="5"/>
      <c r="T619" s="5"/>
      <c r="U619" s="5"/>
      <c r="V619" s="5"/>
      <c r="W619" s="5">
        <v>0</v>
      </c>
      <c r="X619" s="5">
        <v>1</v>
      </c>
      <c r="Y619" s="5">
        <v>0</v>
      </c>
      <c r="Z619" s="5">
        <v>0</v>
      </c>
      <c r="AA619" s="5">
        <v>1</v>
      </c>
      <c r="AB619" s="5">
        <v>0</v>
      </c>
    </row>
    <row r="620" spans="1:206" x14ac:dyDescent="0.2">
      <c r="A620" s="5">
        <v>50</v>
      </c>
      <c r="B620" s="5">
        <v>0</v>
      </c>
      <c r="C620" s="5">
        <v>0</v>
      </c>
      <c r="D620" s="5">
        <v>1</v>
      </c>
      <c r="E620" s="5">
        <v>229</v>
      </c>
      <c r="F620" s="5">
        <f>ROUND(Source!AZ609,O620)</f>
        <v>0</v>
      </c>
      <c r="G620" s="5" t="s">
        <v>44</v>
      </c>
      <c r="H620" s="5" t="s">
        <v>45</v>
      </c>
      <c r="I620" s="5"/>
      <c r="J620" s="5"/>
      <c r="K620" s="5">
        <v>229</v>
      </c>
      <c r="L620" s="5">
        <v>10</v>
      </c>
      <c r="M620" s="5">
        <v>3</v>
      </c>
      <c r="N620" s="5" t="s">
        <v>3</v>
      </c>
      <c r="O620" s="5">
        <v>2</v>
      </c>
      <c r="P620" s="5">
        <f>ROUND(Source!ER609,O620)</f>
        <v>0</v>
      </c>
      <c r="Q620" s="5"/>
      <c r="R620" s="5"/>
      <c r="S620" s="5"/>
      <c r="T620" s="5"/>
      <c r="U620" s="5"/>
      <c r="V620" s="5"/>
      <c r="W620" s="5">
        <v>0</v>
      </c>
      <c r="X620" s="5">
        <v>1</v>
      </c>
      <c r="Y620" s="5">
        <v>0</v>
      </c>
      <c r="Z620" s="5">
        <v>0</v>
      </c>
      <c r="AA620" s="5">
        <v>1</v>
      </c>
      <c r="AB620" s="5">
        <v>0</v>
      </c>
    </row>
    <row r="621" spans="1:206" x14ac:dyDescent="0.2">
      <c r="A621" s="5">
        <v>50</v>
      </c>
      <c r="B621" s="5">
        <v>0</v>
      </c>
      <c r="C621" s="5">
        <v>0</v>
      </c>
      <c r="D621" s="5">
        <v>1</v>
      </c>
      <c r="E621" s="5">
        <v>203</v>
      </c>
      <c r="F621" s="5">
        <f>ROUND(Source!Q609,O621)</f>
        <v>970.41</v>
      </c>
      <c r="G621" s="5" t="s">
        <v>46</v>
      </c>
      <c r="H621" s="5" t="s">
        <v>47</v>
      </c>
      <c r="I621" s="5"/>
      <c r="J621" s="5"/>
      <c r="K621" s="5">
        <v>203</v>
      </c>
      <c r="L621" s="5">
        <v>11</v>
      </c>
      <c r="M621" s="5">
        <v>3</v>
      </c>
      <c r="N621" s="5" t="s">
        <v>3</v>
      </c>
      <c r="O621" s="5">
        <v>2</v>
      </c>
      <c r="P621" s="5">
        <f>ROUND(Source!DI609,O621)</f>
        <v>13202.26</v>
      </c>
      <c r="Q621" s="5"/>
      <c r="R621" s="5"/>
      <c r="S621" s="5"/>
      <c r="T621" s="5"/>
      <c r="U621" s="5"/>
      <c r="V621" s="5"/>
      <c r="W621" s="5">
        <v>970.41</v>
      </c>
      <c r="X621" s="5">
        <v>1</v>
      </c>
      <c r="Y621" s="5">
        <v>970.41</v>
      </c>
      <c r="Z621" s="5">
        <v>13202.26</v>
      </c>
      <c r="AA621" s="5">
        <v>1</v>
      </c>
      <c r="AB621" s="5">
        <v>13202.26</v>
      </c>
    </row>
    <row r="622" spans="1:206" x14ac:dyDescent="0.2">
      <c r="A622" s="5">
        <v>50</v>
      </c>
      <c r="B622" s="5">
        <v>0</v>
      </c>
      <c r="C622" s="5">
        <v>0</v>
      </c>
      <c r="D622" s="5">
        <v>1</v>
      </c>
      <c r="E622" s="5">
        <v>231</v>
      </c>
      <c r="F622" s="5">
        <f>ROUND(Source!BB609,O622)</f>
        <v>0</v>
      </c>
      <c r="G622" s="5" t="s">
        <v>48</v>
      </c>
      <c r="H622" s="5" t="s">
        <v>49</v>
      </c>
      <c r="I622" s="5"/>
      <c r="J622" s="5"/>
      <c r="K622" s="5">
        <v>231</v>
      </c>
      <c r="L622" s="5">
        <v>12</v>
      </c>
      <c r="M622" s="5">
        <v>3</v>
      </c>
      <c r="N622" s="5" t="s">
        <v>3</v>
      </c>
      <c r="O622" s="5">
        <v>2</v>
      </c>
      <c r="P622" s="5">
        <f>ROUND(Source!ET609,O622)</f>
        <v>0</v>
      </c>
      <c r="Q622" s="5"/>
      <c r="R622" s="5"/>
      <c r="S622" s="5"/>
      <c r="T622" s="5"/>
      <c r="U622" s="5"/>
      <c r="V622" s="5"/>
      <c r="W622" s="5">
        <v>0</v>
      </c>
      <c r="X622" s="5">
        <v>1</v>
      </c>
      <c r="Y622" s="5">
        <v>0</v>
      </c>
      <c r="Z622" s="5">
        <v>0</v>
      </c>
      <c r="AA622" s="5">
        <v>1</v>
      </c>
      <c r="AB622" s="5">
        <v>0</v>
      </c>
    </row>
    <row r="623" spans="1:206" x14ac:dyDescent="0.2">
      <c r="A623" s="5">
        <v>50</v>
      </c>
      <c r="B623" s="5">
        <v>0</v>
      </c>
      <c r="C623" s="5">
        <v>0</v>
      </c>
      <c r="D623" s="5">
        <v>1</v>
      </c>
      <c r="E623" s="5">
        <v>204</v>
      </c>
      <c r="F623" s="5">
        <f>ROUND(Source!R609,O623)</f>
        <v>199.89</v>
      </c>
      <c r="G623" s="5" t="s">
        <v>50</v>
      </c>
      <c r="H623" s="5" t="s">
        <v>51</v>
      </c>
      <c r="I623" s="5"/>
      <c r="J623" s="5"/>
      <c r="K623" s="5">
        <v>204</v>
      </c>
      <c r="L623" s="5">
        <v>13</v>
      </c>
      <c r="M623" s="5">
        <v>3</v>
      </c>
      <c r="N623" s="5" t="s">
        <v>3</v>
      </c>
      <c r="O623" s="5">
        <v>2</v>
      </c>
      <c r="P623" s="5">
        <f>ROUND(Source!DJ609,O623)</f>
        <v>5802.83</v>
      </c>
      <c r="Q623" s="5"/>
      <c r="R623" s="5"/>
      <c r="S623" s="5"/>
      <c r="T623" s="5"/>
      <c r="U623" s="5"/>
      <c r="V623" s="5"/>
      <c r="W623" s="5">
        <v>199.89</v>
      </c>
      <c r="X623" s="5">
        <v>1</v>
      </c>
      <c r="Y623" s="5">
        <v>199.89</v>
      </c>
      <c r="Z623" s="5">
        <v>5802.83</v>
      </c>
      <c r="AA623" s="5">
        <v>1</v>
      </c>
      <c r="AB623" s="5">
        <v>5802.83</v>
      </c>
    </row>
    <row r="624" spans="1:206" x14ac:dyDescent="0.2">
      <c r="A624" s="5">
        <v>50</v>
      </c>
      <c r="B624" s="5">
        <v>0</v>
      </c>
      <c r="C624" s="5">
        <v>0</v>
      </c>
      <c r="D624" s="5">
        <v>1</v>
      </c>
      <c r="E624" s="5">
        <v>205</v>
      </c>
      <c r="F624" s="5">
        <f>ROUND(Source!S609,O624)</f>
        <v>1434.55</v>
      </c>
      <c r="G624" s="5" t="s">
        <v>52</v>
      </c>
      <c r="H624" s="5" t="s">
        <v>53</v>
      </c>
      <c r="I624" s="5"/>
      <c r="J624" s="5"/>
      <c r="K624" s="5">
        <v>205</v>
      </c>
      <c r="L624" s="5">
        <v>14</v>
      </c>
      <c r="M624" s="5">
        <v>3</v>
      </c>
      <c r="N624" s="5" t="s">
        <v>3</v>
      </c>
      <c r="O624" s="5">
        <v>2</v>
      </c>
      <c r="P624" s="5">
        <f>ROUND(Source!DK609,O624)</f>
        <v>41644.99</v>
      </c>
      <c r="Q624" s="5"/>
      <c r="R624" s="5"/>
      <c r="S624" s="5"/>
      <c r="T624" s="5"/>
      <c r="U624" s="5"/>
      <c r="V624" s="5"/>
      <c r="W624" s="5">
        <v>1434.55</v>
      </c>
      <c r="X624" s="5">
        <v>1</v>
      </c>
      <c r="Y624" s="5">
        <v>1434.55</v>
      </c>
      <c r="Z624" s="5">
        <v>41644.99</v>
      </c>
      <c r="AA624" s="5">
        <v>1</v>
      </c>
      <c r="AB624" s="5">
        <v>41644.99</v>
      </c>
    </row>
    <row r="625" spans="1:95" x14ac:dyDescent="0.2">
      <c r="A625" s="5">
        <v>50</v>
      </c>
      <c r="B625" s="5">
        <v>0</v>
      </c>
      <c r="C625" s="5">
        <v>0</v>
      </c>
      <c r="D625" s="5">
        <v>1</v>
      </c>
      <c r="E625" s="5">
        <v>232</v>
      </c>
      <c r="F625" s="5">
        <f>ROUND(Source!BC609,O625)</f>
        <v>0</v>
      </c>
      <c r="G625" s="5" t="s">
        <v>54</v>
      </c>
      <c r="H625" s="5" t="s">
        <v>55</v>
      </c>
      <c r="I625" s="5"/>
      <c r="J625" s="5"/>
      <c r="K625" s="5">
        <v>232</v>
      </c>
      <c r="L625" s="5">
        <v>15</v>
      </c>
      <c r="M625" s="5">
        <v>3</v>
      </c>
      <c r="N625" s="5" t="s">
        <v>3</v>
      </c>
      <c r="O625" s="5">
        <v>2</v>
      </c>
      <c r="P625" s="5">
        <f>ROUND(Source!EU609,O625)</f>
        <v>0</v>
      </c>
      <c r="Q625" s="5"/>
      <c r="R625" s="5"/>
      <c r="S625" s="5"/>
      <c r="T625" s="5"/>
      <c r="U625" s="5"/>
      <c r="V625" s="5"/>
      <c r="W625" s="5">
        <v>0</v>
      </c>
      <c r="X625" s="5">
        <v>1</v>
      </c>
      <c r="Y625" s="5">
        <v>0</v>
      </c>
      <c r="Z625" s="5">
        <v>0</v>
      </c>
      <c r="AA625" s="5">
        <v>1</v>
      </c>
      <c r="AB625" s="5">
        <v>0</v>
      </c>
    </row>
    <row r="626" spans="1:95" x14ac:dyDescent="0.2">
      <c r="A626" s="5">
        <v>50</v>
      </c>
      <c r="B626" s="5">
        <v>0</v>
      </c>
      <c r="C626" s="5">
        <v>0</v>
      </c>
      <c r="D626" s="5">
        <v>1</v>
      </c>
      <c r="E626" s="5">
        <v>214</v>
      </c>
      <c r="F626" s="5">
        <f>ROUND(Source!AS609,O626)</f>
        <v>8151.56</v>
      </c>
      <c r="G626" s="5" t="s">
        <v>56</v>
      </c>
      <c r="H626" s="5" t="s">
        <v>57</v>
      </c>
      <c r="I626" s="5"/>
      <c r="J626" s="5"/>
      <c r="K626" s="5">
        <v>214</v>
      </c>
      <c r="L626" s="5">
        <v>16</v>
      </c>
      <c r="M626" s="5">
        <v>3</v>
      </c>
      <c r="N626" s="5" t="s">
        <v>3</v>
      </c>
      <c r="O626" s="5">
        <v>2</v>
      </c>
      <c r="P626" s="5">
        <f>ROUND(Source!EK609,O626)</f>
        <v>227703.35</v>
      </c>
      <c r="Q626" s="5"/>
      <c r="R626" s="5"/>
      <c r="S626" s="5"/>
      <c r="T626" s="5"/>
      <c r="U626" s="5"/>
      <c r="V626" s="5"/>
      <c r="W626" s="5">
        <v>8151.56</v>
      </c>
      <c r="X626" s="5">
        <v>1</v>
      </c>
      <c r="Y626" s="5">
        <v>8151.56</v>
      </c>
      <c r="Z626" s="5">
        <v>227703.35</v>
      </c>
      <c r="AA626" s="5">
        <v>1</v>
      </c>
      <c r="AB626" s="5">
        <v>227703.35</v>
      </c>
    </row>
    <row r="627" spans="1:95" x14ac:dyDescent="0.2">
      <c r="A627" s="5">
        <v>50</v>
      </c>
      <c r="B627" s="5">
        <v>0</v>
      </c>
      <c r="C627" s="5">
        <v>0</v>
      </c>
      <c r="D627" s="5">
        <v>1</v>
      </c>
      <c r="E627" s="5">
        <v>215</v>
      </c>
      <c r="F627" s="5">
        <f>ROUND(Source!AT609,O627)</f>
        <v>0</v>
      </c>
      <c r="G627" s="5" t="s">
        <v>58</v>
      </c>
      <c r="H627" s="5" t="s">
        <v>59</v>
      </c>
      <c r="I627" s="5"/>
      <c r="J627" s="5"/>
      <c r="K627" s="5">
        <v>215</v>
      </c>
      <c r="L627" s="5">
        <v>17</v>
      </c>
      <c r="M627" s="5">
        <v>3</v>
      </c>
      <c r="N627" s="5" t="s">
        <v>3</v>
      </c>
      <c r="O627" s="5">
        <v>2</v>
      </c>
      <c r="P627" s="5">
        <f>ROUND(Source!EL609,O627)</f>
        <v>0</v>
      </c>
      <c r="Q627" s="5"/>
      <c r="R627" s="5"/>
      <c r="S627" s="5"/>
      <c r="T627" s="5"/>
      <c r="U627" s="5"/>
      <c r="V627" s="5"/>
      <c r="W627" s="5">
        <v>0</v>
      </c>
      <c r="X627" s="5">
        <v>1</v>
      </c>
      <c r="Y627" s="5">
        <v>0</v>
      </c>
      <c r="Z627" s="5">
        <v>0</v>
      </c>
      <c r="AA627" s="5">
        <v>1</v>
      </c>
      <c r="AB627" s="5">
        <v>0</v>
      </c>
    </row>
    <row r="628" spans="1:95" x14ac:dyDescent="0.2">
      <c r="A628" s="5">
        <v>50</v>
      </c>
      <c r="B628" s="5">
        <v>0</v>
      </c>
      <c r="C628" s="5">
        <v>0</v>
      </c>
      <c r="D628" s="5">
        <v>1</v>
      </c>
      <c r="E628" s="5">
        <v>217</v>
      </c>
      <c r="F628" s="5">
        <f>ROUND(Source!AU609,O628)</f>
        <v>0</v>
      </c>
      <c r="G628" s="5" t="s">
        <v>60</v>
      </c>
      <c r="H628" s="5" t="s">
        <v>61</v>
      </c>
      <c r="I628" s="5"/>
      <c r="J628" s="5"/>
      <c r="K628" s="5">
        <v>217</v>
      </c>
      <c r="L628" s="5">
        <v>18</v>
      </c>
      <c r="M628" s="5">
        <v>3</v>
      </c>
      <c r="N628" s="5" t="s">
        <v>3</v>
      </c>
      <c r="O628" s="5">
        <v>2</v>
      </c>
      <c r="P628" s="5">
        <f>ROUND(Source!EM609,O628)</f>
        <v>0</v>
      </c>
      <c r="Q628" s="5"/>
      <c r="R628" s="5"/>
      <c r="S628" s="5"/>
      <c r="T628" s="5"/>
      <c r="U628" s="5"/>
      <c r="V628" s="5"/>
      <c r="W628" s="5">
        <v>0</v>
      </c>
      <c r="X628" s="5">
        <v>1</v>
      </c>
      <c r="Y628" s="5">
        <v>0</v>
      </c>
      <c r="Z628" s="5">
        <v>0</v>
      </c>
      <c r="AA628" s="5">
        <v>1</v>
      </c>
      <c r="AB628" s="5">
        <v>0</v>
      </c>
    </row>
    <row r="629" spans="1:95" x14ac:dyDescent="0.2">
      <c r="A629" s="5">
        <v>50</v>
      </c>
      <c r="B629" s="5">
        <v>0</v>
      </c>
      <c r="C629" s="5">
        <v>0</v>
      </c>
      <c r="D629" s="5">
        <v>1</v>
      </c>
      <c r="E629" s="5">
        <v>230</v>
      </c>
      <c r="F629" s="5">
        <f>ROUND(Source!BA609,O629)</f>
        <v>0</v>
      </c>
      <c r="G629" s="5" t="s">
        <v>62</v>
      </c>
      <c r="H629" s="5" t="s">
        <v>63</v>
      </c>
      <c r="I629" s="5"/>
      <c r="J629" s="5"/>
      <c r="K629" s="5">
        <v>230</v>
      </c>
      <c r="L629" s="5">
        <v>19</v>
      </c>
      <c r="M629" s="5">
        <v>3</v>
      </c>
      <c r="N629" s="5" t="s">
        <v>3</v>
      </c>
      <c r="O629" s="5">
        <v>2</v>
      </c>
      <c r="P629" s="5">
        <f>ROUND(Source!ES609,O629)</f>
        <v>0</v>
      </c>
      <c r="Q629" s="5"/>
      <c r="R629" s="5"/>
      <c r="S629" s="5"/>
      <c r="T629" s="5"/>
      <c r="U629" s="5"/>
      <c r="V629" s="5"/>
      <c r="W629" s="5">
        <v>0</v>
      </c>
      <c r="X629" s="5">
        <v>1</v>
      </c>
      <c r="Y629" s="5">
        <v>0</v>
      </c>
      <c r="Z629" s="5">
        <v>0</v>
      </c>
      <c r="AA629" s="5">
        <v>1</v>
      </c>
      <c r="AB629" s="5">
        <v>0</v>
      </c>
    </row>
    <row r="630" spans="1:95" x14ac:dyDescent="0.2">
      <c r="A630" s="5">
        <v>50</v>
      </c>
      <c r="B630" s="5">
        <v>0</v>
      </c>
      <c r="C630" s="5">
        <v>0</v>
      </c>
      <c r="D630" s="5">
        <v>1</v>
      </c>
      <c r="E630" s="5">
        <v>206</v>
      </c>
      <c r="F630" s="5">
        <f>ROUND(Source!T609,O630)</f>
        <v>0</v>
      </c>
      <c r="G630" s="5" t="s">
        <v>64</v>
      </c>
      <c r="H630" s="5" t="s">
        <v>65</v>
      </c>
      <c r="I630" s="5"/>
      <c r="J630" s="5"/>
      <c r="K630" s="5">
        <v>206</v>
      </c>
      <c r="L630" s="5">
        <v>20</v>
      </c>
      <c r="M630" s="5">
        <v>3</v>
      </c>
      <c r="N630" s="5" t="s">
        <v>3</v>
      </c>
      <c r="O630" s="5">
        <v>2</v>
      </c>
      <c r="P630" s="5">
        <f>ROUND(Source!DL609,O630)</f>
        <v>0</v>
      </c>
      <c r="Q630" s="5"/>
      <c r="R630" s="5"/>
      <c r="S630" s="5"/>
      <c r="T630" s="5"/>
      <c r="U630" s="5"/>
      <c r="V630" s="5"/>
      <c r="W630" s="5">
        <v>0</v>
      </c>
      <c r="X630" s="5">
        <v>1</v>
      </c>
      <c r="Y630" s="5">
        <v>0</v>
      </c>
      <c r="Z630" s="5">
        <v>0</v>
      </c>
      <c r="AA630" s="5">
        <v>1</v>
      </c>
      <c r="AB630" s="5">
        <v>0</v>
      </c>
    </row>
    <row r="631" spans="1:95" x14ac:dyDescent="0.2">
      <c r="A631" s="5">
        <v>50</v>
      </c>
      <c r="B631" s="5">
        <v>0</v>
      </c>
      <c r="C631" s="5">
        <v>0</v>
      </c>
      <c r="D631" s="5">
        <v>1</v>
      </c>
      <c r="E631" s="5">
        <v>207</v>
      </c>
      <c r="F631" s="5">
        <f>Source!U609</f>
        <v>117.15504630000001</v>
      </c>
      <c r="G631" s="5" t="s">
        <v>66</v>
      </c>
      <c r="H631" s="5" t="s">
        <v>67</v>
      </c>
      <c r="I631" s="5"/>
      <c r="J631" s="5"/>
      <c r="K631" s="5">
        <v>207</v>
      </c>
      <c r="L631" s="5">
        <v>21</v>
      </c>
      <c r="M631" s="5">
        <v>3</v>
      </c>
      <c r="N631" s="5" t="s">
        <v>3</v>
      </c>
      <c r="O631" s="5">
        <v>-1</v>
      </c>
      <c r="P631" s="5">
        <f>Source!DM609</f>
        <v>117.15504630000001</v>
      </c>
      <c r="Q631" s="5"/>
      <c r="R631" s="5"/>
      <c r="S631" s="5"/>
      <c r="T631" s="5"/>
      <c r="U631" s="5"/>
      <c r="V631" s="5"/>
      <c r="W631" s="5">
        <v>117.15504629999998</v>
      </c>
      <c r="X631" s="5">
        <v>1</v>
      </c>
      <c r="Y631" s="5">
        <v>117.15504629999998</v>
      </c>
      <c r="Z631" s="5">
        <v>117.15504629999998</v>
      </c>
      <c r="AA631" s="5">
        <v>1</v>
      </c>
      <c r="AB631" s="5">
        <v>117.15504629999998</v>
      </c>
    </row>
    <row r="632" spans="1:95" x14ac:dyDescent="0.2">
      <c r="A632" s="5">
        <v>50</v>
      </c>
      <c r="B632" s="5">
        <v>0</v>
      </c>
      <c r="C632" s="5">
        <v>0</v>
      </c>
      <c r="D632" s="5">
        <v>1</v>
      </c>
      <c r="E632" s="5">
        <v>208</v>
      </c>
      <c r="F632" s="5">
        <f>Source!V609</f>
        <v>0</v>
      </c>
      <c r="G632" s="5" t="s">
        <v>68</v>
      </c>
      <c r="H632" s="5" t="s">
        <v>69</v>
      </c>
      <c r="I632" s="5"/>
      <c r="J632" s="5"/>
      <c r="K632" s="5">
        <v>208</v>
      </c>
      <c r="L632" s="5">
        <v>22</v>
      </c>
      <c r="M632" s="5">
        <v>3</v>
      </c>
      <c r="N632" s="5" t="s">
        <v>3</v>
      </c>
      <c r="O632" s="5">
        <v>-1</v>
      </c>
      <c r="P632" s="5">
        <f>Source!DN609</f>
        <v>0</v>
      </c>
      <c r="Q632" s="5"/>
      <c r="R632" s="5"/>
      <c r="S632" s="5"/>
      <c r="T632" s="5"/>
      <c r="U632" s="5"/>
      <c r="V632" s="5"/>
      <c r="W632" s="5">
        <v>0</v>
      </c>
      <c r="X632" s="5">
        <v>1</v>
      </c>
      <c r="Y632" s="5">
        <v>0</v>
      </c>
      <c r="Z632" s="5">
        <v>0</v>
      </c>
      <c r="AA632" s="5">
        <v>1</v>
      </c>
      <c r="AB632" s="5">
        <v>0</v>
      </c>
    </row>
    <row r="633" spans="1:95" x14ac:dyDescent="0.2">
      <c r="A633" s="5">
        <v>50</v>
      </c>
      <c r="B633" s="5">
        <v>0</v>
      </c>
      <c r="C633" s="5">
        <v>0</v>
      </c>
      <c r="D633" s="5">
        <v>1</v>
      </c>
      <c r="E633" s="5">
        <v>209</v>
      </c>
      <c r="F633" s="5">
        <f>ROUND(Source!W609,O633)</f>
        <v>0</v>
      </c>
      <c r="G633" s="5" t="s">
        <v>70</v>
      </c>
      <c r="H633" s="5" t="s">
        <v>71</v>
      </c>
      <c r="I633" s="5"/>
      <c r="J633" s="5"/>
      <c r="K633" s="5">
        <v>209</v>
      </c>
      <c r="L633" s="5">
        <v>23</v>
      </c>
      <c r="M633" s="5">
        <v>3</v>
      </c>
      <c r="N633" s="5" t="s">
        <v>3</v>
      </c>
      <c r="O633" s="5">
        <v>2</v>
      </c>
      <c r="P633" s="5">
        <f>ROUND(Source!DO609,O633)</f>
        <v>0</v>
      </c>
      <c r="Q633" s="5"/>
      <c r="R633" s="5"/>
      <c r="S633" s="5"/>
      <c r="T633" s="5"/>
      <c r="U633" s="5"/>
      <c r="V633" s="5"/>
      <c r="W633" s="5">
        <v>0</v>
      </c>
      <c r="X633" s="5">
        <v>1</v>
      </c>
      <c r="Y633" s="5">
        <v>0</v>
      </c>
      <c r="Z633" s="5">
        <v>0</v>
      </c>
      <c r="AA633" s="5">
        <v>1</v>
      </c>
      <c r="AB633" s="5">
        <v>0</v>
      </c>
    </row>
    <row r="634" spans="1:95" x14ac:dyDescent="0.2">
      <c r="A634" s="5">
        <v>50</v>
      </c>
      <c r="B634" s="5">
        <v>0</v>
      </c>
      <c r="C634" s="5">
        <v>0</v>
      </c>
      <c r="D634" s="5">
        <v>1</v>
      </c>
      <c r="E634" s="5">
        <v>233</v>
      </c>
      <c r="F634" s="5">
        <f>ROUND(Source!BD609,O634)</f>
        <v>0</v>
      </c>
      <c r="G634" s="5" t="s">
        <v>72</v>
      </c>
      <c r="H634" s="5" t="s">
        <v>73</v>
      </c>
      <c r="I634" s="5"/>
      <c r="J634" s="5"/>
      <c r="K634" s="5">
        <v>233</v>
      </c>
      <c r="L634" s="5">
        <v>24</v>
      </c>
      <c r="M634" s="5">
        <v>3</v>
      </c>
      <c r="N634" s="5" t="s">
        <v>3</v>
      </c>
      <c r="O634" s="5">
        <v>2</v>
      </c>
      <c r="P634" s="5">
        <f>ROUND(Source!EV609,O634)</f>
        <v>0</v>
      </c>
      <c r="Q634" s="5"/>
      <c r="R634" s="5"/>
      <c r="S634" s="5"/>
      <c r="T634" s="5"/>
      <c r="U634" s="5"/>
      <c r="V634" s="5"/>
      <c r="W634" s="5">
        <v>0</v>
      </c>
      <c r="X634" s="5">
        <v>1</v>
      </c>
      <c r="Y634" s="5">
        <v>0</v>
      </c>
      <c r="Z634" s="5">
        <v>0</v>
      </c>
      <c r="AA634" s="5">
        <v>1</v>
      </c>
      <c r="AB634" s="5">
        <v>0</v>
      </c>
    </row>
    <row r="635" spans="1:95" x14ac:dyDescent="0.2">
      <c r="A635" s="5">
        <v>50</v>
      </c>
      <c r="B635" s="5">
        <v>0</v>
      </c>
      <c r="C635" s="5">
        <v>0</v>
      </c>
      <c r="D635" s="5">
        <v>1</v>
      </c>
      <c r="E635" s="5">
        <v>210</v>
      </c>
      <c r="F635" s="5">
        <f>ROUND(Source!X609,O635)</f>
        <v>1216.67</v>
      </c>
      <c r="G635" s="5" t="s">
        <v>74</v>
      </c>
      <c r="H635" s="5" t="s">
        <v>75</v>
      </c>
      <c r="I635" s="5"/>
      <c r="J635" s="5"/>
      <c r="K635" s="5">
        <v>210</v>
      </c>
      <c r="L635" s="5">
        <v>25</v>
      </c>
      <c r="M635" s="5">
        <v>3</v>
      </c>
      <c r="N635" s="5" t="s">
        <v>3</v>
      </c>
      <c r="O635" s="5">
        <v>2</v>
      </c>
      <c r="P635" s="5">
        <f>ROUND(Source!DP609,O635)</f>
        <v>29391.94</v>
      </c>
      <c r="Q635" s="5"/>
      <c r="R635" s="5"/>
      <c r="S635" s="5"/>
      <c r="T635" s="5"/>
      <c r="U635" s="5"/>
      <c r="V635" s="5"/>
      <c r="W635" s="5">
        <v>1216.67</v>
      </c>
      <c r="X635" s="5">
        <v>1</v>
      </c>
      <c r="Y635" s="5">
        <v>1216.67</v>
      </c>
      <c r="Z635" s="5">
        <v>29391.94</v>
      </c>
      <c r="AA635" s="5">
        <v>1</v>
      </c>
      <c r="AB635" s="5">
        <v>29391.94</v>
      </c>
    </row>
    <row r="636" spans="1:95" x14ac:dyDescent="0.2">
      <c r="A636" s="5">
        <v>50</v>
      </c>
      <c r="B636" s="5">
        <v>0</v>
      </c>
      <c r="C636" s="5">
        <v>0</v>
      </c>
      <c r="D636" s="5">
        <v>1</v>
      </c>
      <c r="E636" s="5">
        <v>211</v>
      </c>
      <c r="F636" s="5">
        <f>ROUND(Source!Y609,O636)</f>
        <v>964.44</v>
      </c>
      <c r="G636" s="5" t="s">
        <v>76</v>
      </c>
      <c r="H636" s="5" t="s">
        <v>77</v>
      </c>
      <c r="I636" s="5"/>
      <c r="J636" s="5"/>
      <c r="K636" s="5">
        <v>211</v>
      </c>
      <c r="L636" s="5">
        <v>26</v>
      </c>
      <c r="M636" s="5">
        <v>3</v>
      </c>
      <c r="N636" s="5" t="s">
        <v>3</v>
      </c>
      <c r="O636" s="5">
        <v>2</v>
      </c>
      <c r="P636" s="5">
        <f>ROUND(Source!DQ609,O636)</f>
        <v>17074.46</v>
      </c>
      <c r="Q636" s="5"/>
      <c r="R636" s="5"/>
      <c r="S636" s="5"/>
      <c r="T636" s="5"/>
      <c r="U636" s="5"/>
      <c r="V636" s="5"/>
      <c r="W636" s="5">
        <v>964.44</v>
      </c>
      <c r="X636" s="5">
        <v>1</v>
      </c>
      <c r="Y636" s="5">
        <v>964.44</v>
      </c>
      <c r="Z636" s="5">
        <v>17074.46</v>
      </c>
      <c r="AA636" s="5">
        <v>1</v>
      </c>
      <c r="AB636" s="5">
        <v>17074.46</v>
      </c>
    </row>
    <row r="637" spans="1:95" x14ac:dyDescent="0.2">
      <c r="A637" s="5">
        <v>50</v>
      </c>
      <c r="B637" s="5">
        <v>0</v>
      </c>
      <c r="C637" s="5">
        <v>0</v>
      </c>
      <c r="D637" s="5">
        <v>1</v>
      </c>
      <c r="E637" s="5">
        <v>224</v>
      </c>
      <c r="F637" s="5">
        <f>ROUND(Source!AR609,O637)</f>
        <v>8151.56</v>
      </c>
      <c r="G637" s="5" t="s">
        <v>78</v>
      </c>
      <c r="H637" s="5" t="s">
        <v>79</v>
      </c>
      <c r="I637" s="5"/>
      <c r="J637" s="5"/>
      <c r="K637" s="5">
        <v>224</v>
      </c>
      <c r="L637" s="5">
        <v>27</v>
      </c>
      <c r="M637" s="5">
        <v>3</v>
      </c>
      <c r="N637" s="5" t="s">
        <v>3</v>
      </c>
      <c r="O637" s="5">
        <v>2</v>
      </c>
      <c r="P637" s="5">
        <f>ROUND(Source!EJ609,O637)</f>
        <v>227703.35</v>
      </c>
      <c r="Q637" s="5"/>
      <c r="R637" s="5"/>
      <c r="S637" s="5"/>
      <c r="T637" s="5"/>
      <c r="U637" s="5"/>
      <c r="V637" s="5"/>
      <c r="W637" s="5">
        <v>8151.56</v>
      </c>
      <c r="X637" s="5">
        <v>1</v>
      </c>
      <c r="Y637" s="5">
        <v>8151.56</v>
      </c>
      <c r="Z637" s="5">
        <v>227703.35</v>
      </c>
      <c r="AA637" s="5">
        <v>1</v>
      </c>
      <c r="AB637" s="5">
        <v>227703.35</v>
      </c>
    </row>
    <row r="639" spans="1:95" x14ac:dyDescent="0.2">
      <c r="A639" s="1">
        <v>3</v>
      </c>
      <c r="B639" s="1">
        <v>1</v>
      </c>
      <c r="C639" s="1"/>
      <c r="D639" s="1">
        <f>ROW(A789)</f>
        <v>789</v>
      </c>
      <c r="E639" s="1"/>
      <c r="F639" s="1" t="s">
        <v>615</v>
      </c>
      <c r="G639" s="1" t="s">
        <v>616</v>
      </c>
      <c r="H639" s="1" t="s">
        <v>3</v>
      </c>
      <c r="I639" s="1">
        <v>0</v>
      </c>
      <c r="J639" s="1" t="s">
        <v>3</v>
      </c>
      <c r="K639" s="1">
        <v>-1</v>
      </c>
      <c r="L639" s="1" t="s">
        <v>3</v>
      </c>
      <c r="M639" s="1" t="s">
        <v>3</v>
      </c>
      <c r="N639" s="1"/>
      <c r="O639" s="1"/>
      <c r="P639" s="1"/>
      <c r="Q639" s="1"/>
      <c r="R639" s="1"/>
      <c r="S639" s="1">
        <v>0</v>
      </c>
      <c r="T639" s="1">
        <v>0</v>
      </c>
      <c r="U639" s="1" t="s">
        <v>3</v>
      </c>
      <c r="V639" s="1">
        <v>0</v>
      </c>
      <c r="W639" s="1"/>
      <c r="X639" s="1"/>
      <c r="Y639" s="1"/>
      <c r="Z639" s="1"/>
      <c r="AA639" s="1"/>
      <c r="AB639" s="1" t="s">
        <v>3</v>
      </c>
      <c r="AC639" s="1" t="s">
        <v>3</v>
      </c>
      <c r="AD639" s="1" t="s">
        <v>3</v>
      </c>
      <c r="AE639" s="1" t="s">
        <v>3</v>
      </c>
      <c r="AF639" s="1" t="s">
        <v>3</v>
      </c>
      <c r="AG639" s="1" t="s">
        <v>3</v>
      </c>
      <c r="AH639" s="1"/>
      <c r="AI639" s="1"/>
      <c r="AJ639" s="1"/>
      <c r="AK639" s="1"/>
      <c r="AL639" s="1"/>
      <c r="AM639" s="1"/>
      <c r="AN639" s="1"/>
      <c r="AO639" s="1"/>
      <c r="AP639" s="1" t="s">
        <v>3</v>
      </c>
      <c r="AQ639" s="1" t="s">
        <v>3</v>
      </c>
      <c r="AR639" s="1" t="s">
        <v>3</v>
      </c>
      <c r="AS639" s="1"/>
      <c r="AT639" s="1"/>
      <c r="AU639" s="1"/>
      <c r="AV639" s="1"/>
      <c r="AW639" s="1"/>
      <c r="AX639" s="1"/>
      <c r="AY639" s="1"/>
      <c r="AZ639" s="1" t="s">
        <v>3</v>
      </c>
      <c r="BA639" s="1"/>
      <c r="BB639" s="1" t="s">
        <v>3</v>
      </c>
      <c r="BC639" s="1" t="s">
        <v>3</v>
      </c>
      <c r="BD639" s="1" t="s">
        <v>3</v>
      </c>
      <c r="BE639" s="1" t="s">
        <v>3</v>
      </c>
      <c r="BF639" s="1" t="s">
        <v>3</v>
      </c>
      <c r="BG639" s="1" t="s">
        <v>3</v>
      </c>
      <c r="BH639" s="1" t="s">
        <v>3</v>
      </c>
      <c r="BI639" s="1" t="s">
        <v>3</v>
      </c>
      <c r="BJ639" s="1" t="s">
        <v>3</v>
      </c>
      <c r="BK639" s="1" t="s">
        <v>3</v>
      </c>
      <c r="BL639" s="1" t="s">
        <v>3</v>
      </c>
      <c r="BM639" s="1" t="s">
        <v>3</v>
      </c>
      <c r="BN639" s="1" t="s">
        <v>3</v>
      </c>
      <c r="BO639" s="1" t="s">
        <v>3</v>
      </c>
      <c r="BP639" s="1" t="s">
        <v>3</v>
      </c>
      <c r="BQ639" s="1"/>
      <c r="BR639" s="1"/>
      <c r="BS639" s="1"/>
      <c r="BT639" s="1"/>
      <c r="BU639" s="1"/>
      <c r="BV639" s="1"/>
      <c r="BW639" s="1"/>
      <c r="BX639" s="1">
        <v>0</v>
      </c>
      <c r="BY639" s="1"/>
      <c r="BZ639" s="1"/>
      <c r="CA639" s="1"/>
      <c r="CB639" s="1"/>
      <c r="CC639" s="1"/>
      <c r="CD639" s="1"/>
      <c r="CE639" s="1"/>
      <c r="CF639" s="1">
        <v>0</v>
      </c>
      <c r="CG639" s="1">
        <v>0</v>
      </c>
      <c r="CH639" s="1"/>
      <c r="CI639" s="1" t="s">
        <v>3</v>
      </c>
      <c r="CJ639" s="1" t="s">
        <v>3</v>
      </c>
      <c r="CK639" t="s">
        <v>3</v>
      </c>
      <c r="CL639" t="s">
        <v>3</v>
      </c>
      <c r="CM639" t="s">
        <v>3</v>
      </c>
      <c r="CN639" t="s">
        <v>3</v>
      </c>
      <c r="CO639" t="s">
        <v>3</v>
      </c>
      <c r="CP639" t="s">
        <v>3</v>
      </c>
      <c r="CQ639" t="s">
        <v>3</v>
      </c>
    </row>
    <row r="641" spans="1:255" x14ac:dyDescent="0.2">
      <c r="A641" s="3">
        <v>52</v>
      </c>
      <c r="B641" s="3">
        <f t="shared" ref="B641:G641" si="542">B789</f>
        <v>1</v>
      </c>
      <c r="C641" s="3">
        <f t="shared" si="542"/>
        <v>3</v>
      </c>
      <c r="D641" s="3">
        <f t="shared" si="542"/>
        <v>639</v>
      </c>
      <c r="E641" s="3">
        <f t="shared" si="542"/>
        <v>0</v>
      </c>
      <c r="F641" s="3" t="str">
        <f t="shared" si="542"/>
        <v>02-01-04</v>
      </c>
      <c r="G641" s="3" t="str">
        <f t="shared" si="542"/>
        <v>Система связи</v>
      </c>
      <c r="H641" s="3"/>
      <c r="I641" s="3"/>
      <c r="J641" s="3"/>
      <c r="K641" s="3"/>
      <c r="L641" s="3"/>
      <c r="M641" s="3"/>
      <c r="N641" s="3"/>
      <c r="O641" s="3">
        <f t="shared" ref="O641:AT641" si="543">O789</f>
        <v>16240.55</v>
      </c>
      <c r="P641" s="3">
        <f t="shared" si="543"/>
        <v>15179.26</v>
      </c>
      <c r="Q641" s="3">
        <f t="shared" si="543"/>
        <v>160.71</v>
      </c>
      <c r="R641" s="3">
        <f t="shared" si="543"/>
        <v>23.89</v>
      </c>
      <c r="S641" s="3">
        <f t="shared" si="543"/>
        <v>900.58</v>
      </c>
      <c r="T641" s="3">
        <f t="shared" si="543"/>
        <v>0</v>
      </c>
      <c r="U641" s="3">
        <f t="shared" si="543"/>
        <v>69.082899999999995</v>
      </c>
      <c r="V641" s="3">
        <f t="shared" si="543"/>
        <v>0</v>
      </c>
      <c r="W641" s="3">
        <f t="shared" si="543"/>
        <v>0</v>
      </c>
      <c r="X641" s="3">
        <f t="shared" si="543"/>
        <v>1025.6500000000001</v>
      </c>
      <c r="Y641" s="3">
        <f t="shared" si="543"/>
        <v>603.5</v>
      </c>
      <c r="Z641" s="3">
        <f t="shared" si="543"/>
        <v>0</v>
      </c>
      <c r="AA641" s="3">
        <f t="shared" si="543"/>
        <v>0</v>
      </c>
      <c r="AB641" s="3">
        <f t="shared" si="543"/>
        <v>0</v>
      </c>
      <c r="AC641" s="3">
        <f t="shared" si="543"/>
        <v>0</v>
      </c>
      <c r="AD641" s="3">
        <f t="shared" si="543"/>
        <v>0</v>
      </c>
      <c r="AE641" s="3">
        <f t="shared" si="543"/>
        <v>0</v>
      </c>
      <c r="AF641" s="3">
        <f t="shared" si="543"/>
        <v>0</v>
      </c>
      <c r="AG641" s="3">
        <f t="shared" si="543"/>
        <v>0</v>
      </c>
      <c r="AH641" s="3">
        <f t="shared" si="543"/>
        <v>0</v>
      </c>
      <c r="AI641" s="3">
        <f t="shared" si="543"/>
        <v>0</v>
      </c>
      <c r="AJ641" s="3">
        <f t="shared" si="543"/>
        <v>0</v>
      </c>
      <c r="AK641" s="3">
        <f t="shared" si="543"/>
        <v>0</v>
      </c>
      <c r="AL641" s="3">
        <f t="shared" si="543"/>
        <v>0</v>
      </c>
      <c r="AM641" s="3">
        <f t="shared" si="543"/>
        <v>0</v>
      </c>
      <c r="AN641" s="3">
        <f t="shared" si="543"/>
        <v>0</v>
      </c>
      <c r="AO641" s="3">
        <f t="shared" si="543"/>
        <v>0</v>
      </c>
      <c r="AP641" s="3">
        <f t="shared" si="543"/>
        <v>1752.36</v>
      </c>
      <c r="AQ641" s="3">
        <f t="shared" si="543"/>
        <v>0</v>
      </c>
      <c r="AR641" s="3">
        <f t="shared" si="543"/>
        <v>17911.53</v>
      </c>
      <c r="AS641" s="3">
        <f t="shared" si="543"/>
        <v>11529.32</v>
      </c>
      <c r="AT641" s="3">
        <f t="shared" si="543"/>
        <v>4629.8500000000004</v>
      </c>
      <c r="AU641" s="3">
        <f t="shared" ref="AU641:BZ641" si="544">AU789</f>
        <v>0</v>
      </c>
      <c r="AV641" s="3">
        <f t="shared" si="544"/>
        <v>15179.26</v>
      </c>
      <c r="AW641" s="3">
        <f t="shared" si="544"/>
        <v>13426.9</v>
      </c>
      <c r="AX641" s="3">
        <f t="shared" si="544"/>
        <v>0</v>
      </c>
      <c r="AY641" s="3">
        <f t="shared" si="544"/>
        <v>13426.9</v>
      </c>
      <c r="AZ641" s="3">
        <f t="shared" si="544"/>
        <v>1752.36</v>
      </c>
      <c r="BA641" s="3">
        <f t="shared" si="544"/>
        <v>0</v>
      </c>
      <c r="BB641" s="3">
        <f t="shared" si="544"/>
        <v>0</v>
      </c>
      <c r="BC641" s="3">
        <f t="shared" si="544"/>
        <v>0</v>
      </c>
      <c r="BD641" s="3">
        <f t="shared" si="544"/>
        <v>0</v>
      </c>
      <c r="BE641" s="3">
        <f t="shared" si="544"/>
        <v>0</v>
      </c>
      <c r="BF641" s="3">
        <f t="shared" si="544"/>
        <v>0</v>
      </c>
      <c r="BG641" s="3">
        <f t="shared" si="544"/>
        <v>0</v>
      </c>
      <c r="BH641" s="3">
        <f t="shared" si="544"/>
        <v>0</v>
      </c>
      <c r="BI641" s="3">
        <f t="shared" si="544"/>
        <v>0</v>
      </c>
      <c r="BJ641" s="3">
        <f t="shared" si="544"/>
        <v>0</v>
      </c>
      <c r="BK641" s="3">
        <f t="shared" si="544"/>
        <v>0</v>
      </c>
      <c r="BL641" s="3">
        <f t="shared" si="544"/>
        <v>0</v>
      </c>
      <c r="BM641" s="3">
        <f t="shared" si="544"/>
        <v>0</v>
      </c>
      <c r="BN641" s="3">
        <f t="shared" si="544"/>
        <v>0</v>
      </c>
      <c r="BO641" s="3">
        <f t="shared" si="544"/>
        <v>0</v>
      </c>
      <c r="BP641" s="3">
        <f t="shared" si="544"/>
        <v>0</v>
      </c>
      <c r="BQ641" s="3">
        <f t="shared" si="544"/>
        <v>0</v>
      </c>
      <c r="BR641" s="3">
        <f t="shared" si="544"/>
        <v>0</v>
      </c>
      <c r="BS641" s="3">
        <f t="shared" si="544"/>
        <v>0</v>
      </c>
      <c r="BT641" s="3">
        <f t="shared" si="544"/>
        <v>0</v>
      </c>
      <c r="BU641" s="3">
        <f t="shared" si="544"/>
        <v>0</v>
      </c>
      <c r="BV641" s="3">
        <f t="shared" si="544"/>
        <v>0</v>
      </c>
      <c r="BW641" s="3">
        <f t="shared" si="544"/>
        <v>0</v>
      </c>
      <c r="BX641" s="3">
        <f t="shared" si="544"/>
        <v>0</v>
      </c>
      <c r="BY641" s="3">
        <f t="shared" si="544"/>
        <v>0</v>
      </c>
      <c r="BZ641" s="3">
        <f t="shared" si="544"/>
        <v>0</v>
      </c>
      <c r="CA641" s="3">
        <f t="shared" ref="CA641:DF641" si="545">CA789</f>
        <v>0</v>
      </c>
      <c r="CB641" s="3">
        <f t="shared" si="545"/>
        <v>0</v>
      </c>
      <c r="CC641" s="3">
        <f t="shared" si="545"/>
        <v>0</v>
      </c>
      <c r="CD641" s="3">
        <f t="shared" si="545"/>
        <v>0</v>
      </c>
      <c r="CE641" s="3">
        <f t="shared" si="545"/>
        <v>0</v>
      </c>
      <c r="CF641" s="3">
        <f t="shared" si="545"/>
        <v>0</v>
      </c>
      <c r="CG641" s="3">
        <f t="shared" si="545"/>
        <v>0</v>
      </c>
      <c r="CH641" s="3">
        <f t="shared" si="545"/>
        <v>0</v>
      </c>
      <c r="CI641" s="3">
        <f t="shared" si="545"/>
        <v>0</v>
      </c>
      <c r="CJ641" s="3">
        <f t="shared" si="545"/>
        <v>0</v>
      </c>
      <c r="CK641" s="3">
        <f t="shared" si="545"/>
        <v>0</v>
      </c>
      <c r="CL641" s="3">
        <f t="shared" si="545"/>
        <v>0</v>
      </c>
      <c r="CM641" s="3">
        <f t="shared" si="545"/>
        <v>0</v>
      </c>
      <c r="CN641" s="3">
        <f t="shared" si="545"/>
        <v>0</v>
      </c>
      <c r="CO641" s="3">
        <f t="shared" si="545"/>
        <v>0</v>
      </c>
      <c r="CP641" s="3">
        <f t="shared" si="545"/>
        <v>0</v>
      </c>
      <c r="CQ641" s="3">
        <f t="shared" si="545"/>
        <v>0</v>
      </c>
      <c r="CR641" s="3">
        <f t="shared" si="545"/>
        <v>0</v>
      </c>
      <c r="CS641" s="3">
        <f t="shared" si="545"/>
        <v>0</v>
      </c>
      <c r="CT641" s="3">
        <f t="shared" si="545"/>
        <v>0</v>
      </c>
      <c r="CU641" s="3">
        <f t="shared" si="545"/>
        <v>0</v>
      </c>
      <c r="CV641" s="3">
        <f t="shared" si="545"/>
        <v>0</v>
      </c>
      <c r="CW641" s="3">
        <f t="shared" si="545"/>
        <v>0</v>
      </c>
      <c r="CX641" s="3">
        <f t="shared" si="545"/>
        <v>0</v>
      </c>
      <c r="CY641" s="3">
        <f t="shared" si="545"/>
        <v>0</v>
      </c>
      <c r="CZ641" s="3">
        <f t="shared" si="545"/>
        <v>0</v>
      </c>
      <c r="DA641" s="3">
        <f t="shared" si="545"/>
        <v>0</v>
      </c>
      <c r="DB641" s="3">
        <f t="shared" si="545"/>
        <v>0</v>
      </c>
      <c r="DC641" s="3">
        <f t="shared" si="545"/>
        <v>0</v>
      </c>
      <c r="DD641" s="3">
        <f t="shared" si="545"/>
        <v>0</v>
      </c>
      <c r="DE641" s="3">
        <f t="shared" si="545"/>
        <v>0</v>
      </c>
      <c r="DF641" s="3">
        <f t="shared" si="545"/>
        <v>0</v>
      </c>
      <c r="DG641" s="4">
        <f t="shared" ref="DG641:EL641" si="546">DG789</f>
        <v>132862.19</v>
      </c>
      <c r="DH641" s="4">
        <f t="shared" si="546"/>
        <v>104969.87</v>
      </c>
      <c r="DI641" s="4">
        <f t="shared" si="546"/>
        <v>1748.47</v>
      </c>
      <c r="DJ641" s="4">
        <f t="shared" si="546"/>
        <v>693.53</v>
      </c>
      <c r="DK641" s="4">
        <f t="shared" si="546"/>
        <v>26143.85</v>
      </c>
      <c r="DL641" s="4">
        <f t="shared" si="546"/>
        <v>0</v>
      </c>
      <c r="DM641" s="4">
        <f t="shared" si="546"/>
        <v>69.082899999999995</v>
      </c>
      <c r="DN641" s="4">
        <f t="shared" si="546"/>
        <v>0</v>
      </c>
      <c r="DO641" s="4">
        <f t="shared" si="546"/>
        <v>0</v>
      </c>
      <c r="DP641" s="4">
        <f t="shared" si="546"/>
        <v>20644.57</v>
      </c>
      <c r="DQ641" s="4">
        <f t="shared" si="546"/>
        <v>10718.97</v>
      </c>
      <c r="DR641" s="4">
        <f t="shared" si="546"/>
        <v>0</v>
      </c>
      <c r="DS641" s="4">
        <f t="shared" si="546"/>
        <v>0</v>
      </c>
      <c r="DT641" s="4">
        <f t="shared" si="546"/>
        <v>0</v>
      </c>
      <c r="DU641" s="4">
        <f t="shared" si="546"/>
        <v>0</v>
      </c>
      <c r="DV641" s="4">
        <f t="shared" si="546"/>
        <v>0</v>
      </c>
      <c r="DW641" s="4">
        <f t="shared" si="546"/>
        <v>0</v>
      </c>
      <c r="DX641" s="4">
        <f t="shared" si="546"/>
        <v>0</v>
      </c>
      <c r="DY641" s="4">
        <f t="shared" si="546"/>
        <v>0</v>
      </c>
      <c r="DZ641" s="4">
        <f t="shared" si="546"/>
        <v>0</v>
      </c>
      <c r="EA641" s="4">
        <f t="shared" si="546"/>
        <v>0</v>
      </c>
      <c r="EB641" s="4">
        <f t="shared" si="546"/>
        <v>0</v>
      </c>
      <c r="EC641" s="4">
        <f t="shared" si="546"/>
        <v>0</v>
      </c>
      <c r="ED641" s="4">
        <f t="shared" si="546"/>
        <v>0</v>
      </c>
      <c r="EE641" s="4">
        <f t="shared" si="546"/>
        <v>0</v>
      </c>
      <c r="EF641" s="4">
        <f t="shared" si="546"/>
        <v>0</v>
      </c>
      <c r="EG641" s="4">
        <f t="shared" si="546"/>
        <v>0</v>
      </c>
      <c r="EH641" s="4">
        <f t="shared" si="546"/>
        <v>14211.64</v>
      </c>
      <c r="EI641" s="4">
        <f t="shared" si="546"/>
        <v>0</v>
      </c>
      <c r="EJ641" s="4">
        <f t="shared" si="546"/>
        <v>165335.35999999999</v>
      </c>
      <c r="EK641" s="4">
        <f t="shared" si="546"/>
        <v>74830.78</v>
      </c>
      <c r="EL641" s="4">
        <f t="shared" si="546"/>
        <v>76292.94</v>
      </c>
      <c r="EM641" s="4">
        <f t="shared" ref="EM641:FR641" si="547">EM789</f>
        <v>0</v>
      </c>
      <c r="EN641" s="4">
        <f t="shared" si="547"/>
        <v>104969.87</v>
      </c>
      <c r="EO641" s="4">
        <f t="shared" si="547"/>
        <v>90758.23</v>
      </c>
      <c r="EP641" s="4">
        <f t="shared" si="547"/>
        <v>0</v>
      </c>
      <c r="EQ641" s="4">
        <f t="shared" si="547"/>
        <v>90758.23</v>
      </c>
      <c r="ER641" s="4">
        <f t="shared" si="547"/>
        <v>14211.64</v>
      </c>
      <c r="ES641" s="4">
        <f t="shared" si="547"/>
        <v>0</v>
      </c>
      <c r="ET641" s="4">
        <f t="shared" si="547"/>
        <v>0</v>
      </c>
      <c r="EU641" s="4">
        <f t="shared" si="547"/>
        <v>0</v>
      </c>
      <c r="EV641" s="4">
        <f t="shared" si="547"/>
        <v>0</v>
      </c>
      <c r="EW641" s="4">
        <f t="shared" si="547"/>
        <v>0</v>
      </c>
      <c r="EX641" s="4">
        <f t="shared" si="547"/>
        <v>0</v>
      </c>
      <c r="EY641" s="4">
        <f t="shared" si="547"/>
        <v>0</v>
      </c>
      <c r="EZ641" s="4">
        <f t="shared" si="547"/>
        <v>0</v>
      </c>
      <c r="FA641" s="4">
        <f t="shared" si="547"/>
        <v>0</v>
      </c>
      <c r="FB641" s="4">
        <f t="shared" si="547"/>
        <v>0</v>
      </c>
      <c r="FC641" s="4">
        <f t="shared" si="547"/>
        <v>0</v>
      </c>
      <c r="FD641" s="4">
        <f t="shared" si="547"/>
        <v>0</v>
      </c>
      <c r="FE641" s="4">
        <f t="shared" si="547"/>
        <v>0</v>
      </c>
      <c r="FF641" s="4">
        <f t="shared" si="547"/>
        <v>0</v>
      </c>
      <c r="FG641" s="4">
        <f t="shared" si="547"/>
        <v>0</v>
      </c>
      <c r="FH641" s="4">
        <f t="shared" si="547"/>
        <v>0</v>
      </c>
      <c r="FI641" s="4">
        <f t="shared" si="547"/>
        <v>0</v>
      </c>
      <c r="FJ641" s="4">
        <f t="shared" si="547"/>
        <v>0</v>
      </c>
      <c r="FK641" s="4">
        <f t="shared" si="547"/>
        <v>0</v>
      </c>
      <c r="FL641" s="4">
        <f t="shared" si="547"/>
        <v>0</v>
      </c>
      <c r="FM641" s="4">
        <f t="shared" si="547"/>
        <v>0</v>
      </c>
      <c r="FN641" s="4">
        <f t="shared" si="547"/>
        <v>0</v>
      </c>
      <c r="FO641" s="4">
        <f t="shared" si="547"/>
        <v>0</v>
      </c>
      <c r="FP641" s="4">
        <f t="shared" si="547"/>
        <v>0</v>
      </c>
      <c r="FQ641" s="4">
        <f t="shared" si="547"/>
        <v>0</v>
      </c>
      <c r="FR641" s="4">
        <f t="shared" si="547"/>
        <v>0</v>
      </c>
      <c r="FS641" s="4">
        <f t="shared" ref="FS641:GX641" si="548">FS789</f>
        <v>0</v>
      </c>
      <c r="FT641" s="4">
        <f t="shared" si="548"/>
        <v>0</v>
      </c>
      <c r="FU641" s="4">
        <f t="shared" si="548"/>
        <v>0</v>
      </c>
      <c r="FV641" s="4">
        <f t="shared" si="548"/>
        <v>0</v>
      </c>
      <c r="FW641" s="4">
        <f t="shared" si="548"/>
        <v>0</v>
      </c>
      <c r="FX641" s="4">
        <f t="shared" si="548"/>
        <v>0</v>
      </c>
      <c r="FY641" s="4">
        <f t="shared" si="548"/>
        <v>0</v>
      </c>
      <c r="FZ641" s="4">
        <f t="shared" si="548"/>
        <v>0</v>
      </c>
      <c r="GA641" s="4">
        <f t="shared" si="548"/>
        <v>0</v>
      </c>
      <c r="GB641" s="4">
        <f t="shared" si="548"/>
        <v>0</v>
      </c>
      <c r="GC641" s="4">
        <f t="shared" si="548"/>
        <v>0</v>
      </c>
      <c r="GD641" s="4">
        <f t="shared" si="548"/>
        <v>0</v>
      </c>
      <c r="GE641" s="4">
        <f t="shared" si="548"/>
        <v>0</v>
      </c>
      <c r="GF641" s="4">
        <f t="shared" si="548"/>
        <v>0</v>
      </c>
      <c r="GG641" s="4">
        <f t="shared" si="548"/>
        <v>0</v>
      </c>
      <c r="GH641" s="4">
        <f t="shared" si="548"/>
        <v>0</v>
      </c>
      <c r="GI641" s="4">
        <f t="shared" si="548"/>
        <v>0</v>
      </c>
      <c r="GJ641" s="4">
        <f t="shared" si="548"/>
        <v>0</v>
      </c>
      <c r="GK641" s="4">
        <f t="shared" si="548"/>
        <v>0</v>
      </c>
      <c r="GL641" s="4">
        <f t="shared" si="548"/>
        <v>0</v>
      </c>
      <c r="GM641" s="4">
        <f t="shared" si="548"/>
        <v>0</v>
      </c>
      <c r="GN641" s="4">
        <f t="shared" si="548"/>
        <v>0</v>
      </c>
      <c r="GO641" s="4">
        <f t="shared" si="548"/>
        <v>0</v>
      </c>
      <c r="GP641" s="4">
        <f t="shared" si="548"/>
        <v>0</v>
      </c>
      <c r="GQ641" s="4">
        <f t="shared" si="548"/>
        <v>0</v>
      </c>
      <c r="GR641" s="4">
        <f t="shared" si="548"/>
        <v>0</v>
      </c>
      <c r="GS641" s="4">
        <f t="shared" si="548"/>
        <v>0</v>
      </c>
      <c r="GT641" s="4">
        <f t="shared" si="548"/>
        <v>0</v>
      </c>
      <c r="GU641" s="4">
        <f t="shared" si="548"/>
        <v>0</v>
      </c>
      <c r="GV641" s="4">
        <f t="shared" si="548"/>
        <v>0</v>
      </c>
      <c r="GW641" s="4">
        <f t="shared" si="548"/>
        <v>0</v>
      </c>
      <c r="GX641" s="4">
        <f t="shared" si="548"/>
        <v>0</v>
      </c>
    </row>
    <row r="643" spans="1:255" x14ac:dyDescent="0.2">
      <c r="A643" s="1">
        <v>4</v>
      </c>
      <c r="B643" s="1">
        <v>1</v>
      </c>
      <c r="C643" s="1"/>
      <c r="D643" s="1">
        <f>ROW(A702)</f>
        <v>702</v>
      </c>
      <c r="E643" s="1"/>
      <c r="F643" s="1" t="s">
        <v>16</v>
      </c>
      <c r="G643" s="1" t="s">
        <v>80</v>
      </c>
      <c r="H643" s="1" t="s">
        <v>3</v>
      </c>
      <c r="I643" s="1">
        <v>0</v>
      </c>
      <c r="J643" s="1"/>
      <c r="K643" s="1">
        <v>0</v>
      </c>
      <c r="L643" s="1"/>
      <c r="M643" s="1" t="s">
        <v>3</v>
      </c>
      <c r="N643" s="1"/>
      <c r="O643" s="1"/>
      <c r="P643" s="1"/>
      <c r="Q643" s="1"/>
      <c r="R643" s="1"/>
      <c r="S643" s="1">
        <v>0</v>
      </c>
      <c r="T643" s="1">
        <v>0</v>
      </c>
      <c r="U643" s="1" t="s">
        <v>3</v>
      </c>
      <c r="V643" s="1">
        <v>0</v>
      </c>
      <c r="W643" s="1"/>
      <c r="X643" s="1"/>
      <c r="Y643" s="1"/>
      <c r="Z643" s="1"/>
      <c r="AA643" s="1"/>
      <c r="AB643" s="1" t="s">
        <v>3</v>
      </c>
      <c r="AC643" s="1" t="s">
        <v>3</v>
      </c>
      <c r="AD643" s="1" t="s">
        <v>3</v>
      </c>
      <c r="AE643" s="1" t="s">
        <v>3</v>
      </c>
      <c r="AF643" s="1" t="s">
        <v>3</v>
      </c>
      <c r="AG643" s="1" t="s">
        <v>3</v>
      </c>
      <c r="AH643" s="1"/>
      <c r="AI643" s="1"/>
      <c r="AJ643" s="1"/>
      <c r="AK643" s="1"/>
      <c r="AL643" s="1"/>
      <c r="AM643" s="1"/>
      <c r="AN643" s="1"/>
      <c r="AO643" s="1"/>
      <c r="AP643" s="1" t="s">
        <v>3</v>
      </c>
      <c r="AQ643" s="1" t="s">
        <v>3</v>
      </c>
      <c r="AR643" s="1" t="s">
        <v>3</v>
      </c>
      <c r="AS643" s="1"/>
      <c r="AT643" s="1"/>
      <c r="AU643" s="1"/>
      <c r="AV643" s="1"/>
      <c r="AW643" s="1"/>
      <c r="AX643" s="1"/>
      <c r="AY643" s="1"/>
      <c r="AZ643" s="1" t="s">
        <v>3</v>
      </c>
      <c r="BA643" s="1"/>
      <c r="BB643" s="1" t="s">
        <v>3</v>
      </c>
      <c r="BC643" s="1" t="s">
        <v>3</v>
      </c>
      <c r="BD643" s="1" t="s">
        <v>3</v>
      </c>
      <c r="BE643" s="1" t="s">
        <v>3</v>
      </c>
      <c r="BF643" s="1" t="s">
        <v>3</v>
      </c>
      <c r="BG643" s="1" t="s">
        <v>3</v>
      </c>
      <c r="BH643" s="1" t="s">
        <v>3</v>
      </c>
      <c r="BI643" s="1" t="s">
        <v>3</v>
      </c>
      <c r="BJ643" s="1" t="s">
        <v>3</v>
      </c>
      <c r="BK643" s="1" t="s">
        <v>3</v>
      </c>
      <c r="BL643" s="1" t="s">
        <v>3</v>
      </c>
      <c r="BM643" s="1" t="s">
        <v>3</v>
      </c>
      <c r="BN643" s="1" t="s">
        <v>3</v>
      </c>
      <c r="BO643" s="1" t="s">
        <v>3</v>
      </c>
      <c r="BP643" s="1" t="s">
        <v>3</v>
      </c>
      <c r="BQ643" s="1"/>
      <c r="BR643" s="1"/>
      <c r="BS643" s="1"/>
      <c r="BT643" s="1"/>
      <c r="BU643" s="1"/>
      <c r="BV643" s="1"/>
      <c r="BW643" s="1"/>
      <c r="BX643" s="1">
        <v>0</v>
      </c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>
        <v>0</v>
      </c>
    </row>
    <row r="645" spans="1:255" x14ac:dyDescent="0.2">
      <c r="A645" s="3">
        <v>52</v>
      </c>
      <c r="B645" s="3">
        <f t="shared" ref="B645:G645" si="549">B702</f>
        <v>1</v>
      </c>
      <c r="C645" s="3">
        <f t="shared" si="549"/>
        <v>4</v>
      </c>
      <c r="D645" s="3">
        <f t="shared" si="549"/>
        <v>643</v>
      </c>
      <c r="E645" s="3">
        <f t="shared" si="549"/>
        <v>0</v>
      </c>
      <c r="F645" s="3" t="str">
        <f t="shared" si="549"/>
        <v>Новый раздел</v>
      </c>
      <c r="G645" s="3" t="str">
        <f t="shared" si="549"/>
        <v>Монтажные работы</v>
      </c>
      <c r="H645" s="3"/>
      <c r="I645" s="3"/>
      <c r="J645" s="3"/>
      <c r="K645" s="3"/>
      <c r="L645" s="3"/>
      <c r="M645" s="3"/>
      <c r="N645" s="3"/>
      <c r="O645" s="3">
        <f t="shared" ref="O645:AT645" si="550">O702</f>
        <v>3179.72</v>
      </c>
      <c r="P645" s="3">
        <f t="shared" si="550"/>
        <v>2118.4299999999998</v>
      </c>
      <c r="Q645" s="3">
        <f t="shared" si="550"/>
        <v>160.71</v>
      </c>
      <c r="R645" s="3">
        <f t="shared" si="550"/>
        <v>23.89</v>
      </c>
      <c r="S645" s="3">
        <f t="shared" si="550"/>
        <v>900.58</v>
      </c>
      <c r="T645" s="3">
        <f t="shared" si="550"/>
        <v>0</v>
      </c>
      <c r="U645" s="3">
        <f t="shared" si="550"/>
        <v>69.082899999999995</v>
      </c>
      <c r="V645" s="3">
        <f t="shared" si="550"/>
        <v>0</v>
      </c>
      <c r="W645" s="3">
        <f t="shared" si="550"/>
        <v>0</v>
      </c>
      <c r="X645" s="3">
        <f t="shared" si="550"/>
        <v>1025.6500000000001</v>
      </c>
      <c r="Y645" s="3">
        <f t="shared" si="550"/>
        <v>603.5</v>
      </c>
      <c r="Z645" s="3">
        <f t="shared" si="550"/>
        <v>0</v>
      </c>
      <c r="AA645" s="3">
        <f t="shared" si="550"/>
        <v>0</v>
      </c>
      <c r="AB645" s="3">
        <f t="shared" si="550"/>
        <v>3179.72</v>
      </c>
      <c r="AC645" s="3">
        <f t="shared" si="550"/>
        <v>2118.4299999999998</v>
      </c>
      <c r="AD645" s="3">
        <f t="shared" si="550"/>
        <v>160.71</v>
      </c>
      <c r="AE645" s="3">
        <f t="shared" si="550"/>
        <v>23.89</v>
      </c>
      <c r="AF645" s="3">
        <f t="shared" si="550"/>
        <v>900.58</v>
      </c>
      <c r="AG645" s="3">
        <f t="shared" si="550"/>
        <v>0</v>
      </c>
      <c r="AH645" s="3">
        <f t="shared" si="550"/>
        <v>69.082899999999995</v>
      </c>
      <c r="AI645" s="3">
        <f t="shared" si="550"/>
        <v>0</v>
      </c>
      <c r="AJ645" s="3">
        <f t="shared" si="550"/>
        <v>0</v>
      </c>
      <c r="AK645" s="3">
        <f t="shared" si="550"/>
        <v>1025.6500000000001</v>
      </c>
      <c r="AL645" s="3">
        <f t="shared" si="550"/>
        <v>603.5</v>
      </c>
      <c r="AM645" s="3">
        <f t="shared" si="550"/>
        <v>0</v>
      </c>
      <c r="AN645" s="3">
        <f t="shared" si="550"/>
        <v>0</v>
      </c>
      <c r="AO645" s="3">
        <f t="shared" si="550"/>
        <v>0</v>
      </c>
      <c r="AP645" s="3">
        <f t="shared" si="550"/>
        <v>0</v>
      </c>
      <c r="AQ645" s="3">
        <f t="shared" si="550"/>
        <v>0</v>
      </c>
      <c r="AR645" s="3">
        <f t="shared" si="550"/>
        <v>4850.7</v>
      </c>
      <c r="AS645" s="3">
        <f t="shared" si="550"/>
        <v>220.85</v>
      </c>
      <c r="AT645" s="3">
        <f t="shared" si="550"/>
        <v>4629.8500000000004</v>
      </c>
      <c r="AU645" s="3">
        <f t="shared" ref="AU645:BZ645" si="551">AU702</f>
        <v>0</v>
      </c>
      <c r="AV645" s="3">
        <f t="shared" si="551"/>
        <v>2118.4299999999998</v>
      </c>
      <c r="AW645" s="3">
        <f t="shared" si="551"/>
        <v>2118.4299999999998</v>
      </c>
      <c r="AX645" s="3">
        <f t="shared" si="551"/>
        <v>0</v>
      </c>
      <c r="AY645" s="3">
        <f t="shared" si="551"/>
        <v>2118.4299999999998</v>
      </c>
      <c r="AZ645" s="3">
        <f t="shared" si="551"/>
        <v>0</v>
      </c>
      <c r="BA645" s="3">
        <f t="shared" si="551"/>
        <v>0</v>
      </c>
      <c r="BB645" s="3">
        <f t="shared" si="551"/>
        <v>0</v>
      </c>
      <c r="BC645" s="3">
        <f t="shared" si="551"/>
        <v>0</v>
      </c>
      <c r="BD645" s="3">
        <f t="shared" si="551"/>
        <v>0</v>
      </c>
      <c r="BE645" s="3">
        <f t="shared" si="551"/>
        <v>0</v>
      </c>
      <c r="BF645" s="3">
        <f t="shared" si="551"/>
        <v>0</v>
      </c>
      <c r="BG645" s="3">
        <f t="shared" si="551"/>
        <v>0</v>
      </c>
      <c r="BH645" s="3">
        <f t="shared" si="551"/>
        <v>0</v>
      </c>
      <c r="BI645" s="3">
        <f t="shared" si="551"/>
        <v>0</v>
      </c>
      <c r="BJ645" s="3">
        <f t="shared" si="551"/>
        <v>0</v>
      </c>
      <c r="BK645" s="3">
        <f t="shared" si="551"/>
        <v>0</v>
      </c>
      <c r="BL645" s="3">
        <f t="shared" si="551"/>
        <v>0</v>
      </c>
      <c r="BM645" s="3">
        <f t="shared" si="551"/>
        <v>0</v>
      </c>
      <c r="BN645" s="3">
        <f t="shared" si="551"/>
        <v>0</v>
      </c>
      <c r="BO645" s="3">
        <f t="shared" si="551"/>
        <v>0</v>
      </c>
      <c r="BP645" s="3">
        <f t="shared" si="551"/>
        <v>0</v>
      </c>
      <c r="BQ645" s="3">
        <f t="shared" si="551"/>
        <v>0</v>
      </c>
      <c r="BR645" s="3">
        <f t="shared" si="551"/>
        <v>0</v>
      </c>
      <c r="BS645" s="3">
        <f t="shared" si="551"/>
        <v>0</v>
      </c>
      <c r="BT645" s="3">
        <f t="shared" si="551"/>
        <v>0</v>
      </c>
      <c r="BU645" s="3">
        <f t="shared" si="551"/>
        <v>0</v>
      </c>
      <c r="BV645" s="3">
        <f t="shared" si="551"/>
        <v>0</v>
      </c>
      <c r="BW645" s="3">
        <f t="shared" si="551"/>
        <v>0</v>
      </c>
      <c r="BX645" s="3">
        <f t="shared" si="551"/>
        <v>0</v>
      </c>
      <c r="BY645" s="3">
        <f t="shared" si="551"/>
        <v>0</v>
      </c>
      <c r="BZ645" s="3">
        <f t="shared" si="551"/>
        <v>0</v>
      </c>
      <c r="CA645" s="3">
        <f t="shared" ref="CA645:DF645" si="552">CA702</f>
        <v>4850.7</v>
      </c>
      <c r="CB645" s="3">
        <f t="shared" si="552"/>
        <v>220.85</v>
      </c>
      <c r="CC645" s="3">
        <f t="shared" si="552"/>
        <v>4629.8500000000004</v>
      </c>
      <c r="CD645" s="3">
        <f t="shared" si="552"/>
        <v>0</v>
      </c>
      <c r="CE645" s="3">
        <f t="shared" si="552"/>
        <v>2118.4299999999998</v>
      </c>
      <c r="CF645" s="3">
        <f t="shared" si="552"/>
        <v>2118.4299999999998</v>
      </c>
      <c r="CG645" s="3">
        <f t="shared" si="552"/>
        <v>0</v>
      </c>
      <c r="CH645" s="3">
        <f t="shared" si="552"/>
        <v>2118.4299999999998</v>
      </c>
      <c r="CI645" s="3">
        <f t="shared" si="552"/>
        <v>0</v>
      </c>
      <c r="CJ645" s="3">
        <f t="shared" si="552"/>
        <v>0</v>
      </c>
      <c r="CK645" s="3">
        <f t="shared" si="552"/>
        <v>0</v>
      </c>
      <c r="CL645" s="3">
        <f t="shared" si="552"/>
        <v>0</v>
      </c>
      <c r="CM645" s="3">
        <f t="shared" si="552"/>
        <v>0</v>
      </c>
      <c r="CN645" s="3">
        <f t="shared" si="552"/>
        <v>0</v>
      </c>
      <c r="CO645" s="3">
        <f t="shared" si="552"/>
        <v>0</v>
      </c>
      <c r="CP645" s="3">
        <f t="shared" si="552"/>
        <v>0</v>
      </c>
      <c r="CQ645" s="3">
        <f t="shared" si="552"/>
        <v>0</v>
      </c>
      <c r="CR645" s="3">
        <f t="shared" si="552"/>
        <v>0</v>
      </c>
      <c r="CS645" s="3">
        <f t="shared" si="552"/>
        <v>0</v>
      </c>
      <c r="CT645" s="3">
        <f t="shared" si="552"/>
        <v>0</v>
      </c>
      <c r="CU645" s="3">
        <f t="shared" si="552"/>
        <v>0</v>
      </c>
      <c r="CV645" s="3">
        <f t="shared" si="552"/>
        <v>0</v>
      </c>
      <c r="CW645" s="3">
        <f t="shared" si="552"/>
        <v>0</v>
      </c>
      <c r="CX645" s="3">
        <f t="shared" si="552"/>
        <v>0</v>
      </c>
      <c r="CY645" s="3">
        <f t="shared" si="552"/>
        <v>0</v>
      </c>
      <c r="CZ645" s="3">
        <f t="shared" si="552"/>
        <v>0</v>
      </c>
      <c r="DA645" s="3">
        <f t="shared" si="552"/>
        <v>0</v>
      </c>
      <c r="DB645" s="3">
        <f t="shared" si="552"/>
        <v>0</v>
      </c>
      <c r="DC645" s="3">
        <f t="shared" si="552"/>
        <v>0</v>
      </c>
      <c r="DD645" s="3">
        <f t="shared" si="552"/>
        <v>0</v>
      </c>
      <c r="DE645" s="3">
        <f t="shared" si="552"/>
        <v>0</v>
      </c>
      <c r="DF645" s="3">
        <f t="shared" si="552"/>
        <v>0</v>
      </c>
      <c r="DG645" s="4">
        <f t="shared" ref="DG645:EL645" si="553">DG702</f>
        <v>45919.37</v>
      </c>
      <c r="DH645" s="4">
        <f t="shared" si="553"/>
        <v>18027.05</v>
      </c>
      <c r="DI645" s="4">
        <f t="shared" si="553"/>
        <v>1748.47</v>
      </c>
      <c r="DJ645" s="4">
        <f t="shared" si="553"/>
        <v>693.53</v>
      </c>
      <c r="DK645" s="4">
        <f t="shared" si="553"/>
        <v>26143.85</v>
      </c>
      <c r="DL645" s="4">
        <f t="shared" si="553"/>
        <v>0</v>
      </c>
      <c r="DM645" s="4">
        <f t="shared" si="553"/>
        <v>69.082899999999995</v>
      </c>
      <c r="DN645" s="4">
        <f t="shared" si="553"/>
        <v>0</v>
      </c>
      <c r="DO645" s="4">
        <f t="shared" si="553"/>
        <v>0</v>
      </c>
      <c r="DP645" s="4">
        <f t="shared" si="553"/>
        <v>20644.57</v>
      </c>
      <c r="DQ645" s="4">
        <f t="shared" si="553"/>
        <v>10718.97</v>
      </c>
      <c r="DR645" s="4">
        <f t="shared" si="553"/>
        <v>0</v>
      </c>
      <c r="DS645" s="4">
        <f t="shared" si="553"/>
        <v>0</v>
      </c>
      <c r="DT645" s="4">
        <f t="shared" si="553"/>
        <v>45919.37</v>
      </c>
      <c r="DU645" s="4">
        <f t="shared" si="553"/>
        <v>18027.05</v>
      </c>
      <c r="DV645" s="4">
        <f t="shared" si="553"/>
        <v>1748.47</v>
      </c>
      <c r="DW645" s="4">
        <f t="shared" si="553"/>
        <v>693.53</v>
      </c>
      <c r="DX645" s="4">
        <f t="shared" si="553"/>
        <v>26143.85</v>
      </c>
      <c r="DY645" s="4">
        <f t="shared" si="553"/>
        <v>0</v>
      </c>
      <c r="DZ645" s="4">
        <f t="shared" si="553"/>
        <v>69.082899999999995</v>
      </c>
      <c r="EA645" s="4">
        <f t="shared" si="553"/>
        <v>0</v>
      </c>
      <c r="EB645" s="4">
        <f t="shared" si="553"/>
        <v>0</v>
      </c>
      <c r="EC645" s="4">
        <f t="shared" si="553"/>
        <v>20644.57</v>
      </c>
      <c r="ED645" s="4">
        <f t="shared" si="553"/>
        <v>10718.97</v>
      </c>
      <c r="EE645" s="4">
        <f t="shared" si="553"/>
        <v>0</v>
      </c>
      <c r="EF645" s="4">
        <f t="shared" si="553"/>
        <v>0</v>
      </c>
      <c r="EG645" s="4">
        <f t="shared" si="553"/>
        <v>0</v>
      </c>
      <c r="EH645" s="4">
        <f t="shared" si="553"/>
        <v>0</v>
      </c>
      <c r="EI645" s="4">
        <f t="shared" si="553"/>
        <v>0</v>
      </c>
      <c r="EJ645" s="4">
        <f t="shared" si="553"/>
        <v>78392.539999999994</v>
      </c>
      <c r="EK645" s="4">
        <f t="shared" si="553"/>
        <v>2099.6</v>
      </c>
      <c r="EL645" s="4">
        <f t="shared" si="553"/>
        <v>76292.94</v>
      </c>
      <c r="EM645" s="4">
        <f t="shared" ref="EM645:FR645" si="554">EM702</f>
        <v>0</v>
      </c>
      <c r="EN645" s="4">
        <f t="shared" si="554"/>
        <v>18027.05</v>
      </c>
      <c r="EO645" s="4">
        <f t="shared" si="554"/>
        <v>18027.05</v>
      </c>
      <c r="EP645" s="4">
        <f t="shared" si="554"/>
        <v>0</v>
      </c>
      <c r="EQ645" s="4">
        <f t="shared" si="554"/>
        <v>18027.05</v>
      </c>
      <c r="ER645" s="4">
        <f t="shared" si="554"/>
        <v>0</v>
      </c>
      <c r="ES645" s="4">
        <f t="shared" si="554"/>
        <v>0</v>
      </c>
      <c r="ET645" s="4">
        <f t="shared" si="554"/>
        <v>0</v>
      </c>
      <c r="EU645" s="4">
        <f t="shared" si="554"/>
        <v>0</v>
      </c>
      <c r="EV645" s="4">
        <f t="shared" si="554"/>
        <v>0</v>
      </c>
      <c r="EW645" s="4">
        <f t="shared" si="554"/>
        <v>0</v>
      </c>
      <c r="EX645" s="4">
        <f t="shared" si="554"/>
        <v>0</v>
      </c>
      <c r="EY645" s="4">
        <f t="shared" si="554"/>
        <v>0</v>
      </c>
      <c r="EZ645" s="4">
        <f t="shared" si="554"/>
        <v>0</v>
      </c>
      <c r="FA645" s="4">
        <f t="shared" si="554"/>
        <v>0</v>
      </c>
      <c r="FB645" s="4">
        <f t="shared" si="554"/>
        <v>0</v>
      </c>
      <c r="FC645" s="4">
        <f t="shared" si="554"/>
        <v>0</v>
      </c>
      <c r="FD645" s="4">
        <f t="shared" si="554"/>
        <v>0</v>
      </c>
      <c r="FE645" s="4">
        <f t="shared" si="554"/>
        <v>0</v>
      </c>
      <c r="FF645" s="4">
        <f t="shared" si="554"/>
        <v>0</v>
      </c>
      <c r="FG645" s="4">
        <f t="shared" si="554"/>
        <v>0</v>
      </c>
      <c r="FH645" s="4">
        <f t="shared" si="554"/>
        <v>0</v>
      </c>
      <c r="FI645" s="4">
        <f t="shared" si="554"/>
        <v>0</v>
      </c>
      <c r="FJ645" s="4">
        <f t="shared" si="554"/>
        <v>0</v>
      </c>
      <c r="FK645" s="4">
        <f t="shared" si="554"/>
        <v>0</v>
      </c>
      <c r="FL645" s="4">
        <f t="shared" si="554"/>
        <v>0</v>
      </c>
      <c r="FM645" s="4">
        <f t="shared" si="554"/>
        <v>0</v>
      </c>
      <c r="FN645" s="4">
        <f t="shared" si="554"/>
        <v>0</v>
      </c>
      <c r="FO645" s="4">
        <f t="shared" si="554"/>
        <v>0</v>
      </c>
      <c r="FP645" s="4">
        <f t="shared" si="554"/>
        <v>0</v>
      </c>
      <c r="FQ645" s="4">
        <f t="shared" si="554"/>
        <v>0</v>
      </c>
      <c r="FR645" s="4">
        <f t="shared" si="554"/>
        <v>0</v>
      </c>
      <c r="FS645" s="4">
        <f t="shared" ref="FS645:GX645" si="555">FS702</f>
        <v>78392.539999999994</v>
      </c>
      <c r="FT645" s="4">
        <f t="shared" si="555"/>
        <v>2099.6</v>
      </c>
      <c r="FU645" s="4">
        <f t="shared" si="555"/>
        <v>76292.94</v>
      </c>
      <c r="FV645" s="4">
        <f t="shared" si="555"/>
        <v>0</v>
      </c>
      <c r="FW645" s="4">
        <f t="shared" si="555"/>
        <v>18027.05</v>
      </c>
      <c r="FX645" s="4">
        <f t="shared" si="555"/>
        <v>18027.05</v>
      </c>
      <c r="FY645" s="4">
        <f t="shared" si="555"/>
        <v>0</v>
      </c>
      <c r="FZ645" s="4">
        <f t="shared" si="555"/>
        <v>18027.05</v>
      </c>
      <c r="GA645" s="4">
        <f t="shared" si="555"/>
        <v>0</v>
      </c>
      <c r="GB645" s="4">
        <f t="shared" si="555"/>
        <v>0</v>
      </c>
      <c r="GC645" s="4">
        <f t="shared" si="555"/>
        <v>0</v>
      </c>
      <c r="GD645" s="4">
        <f t="shared" si="555"/>
        <v>0</v>
      </c>
      <c r="GE645" s="4">
        <f t="shared" si="555"/>
        <v>0</v>
      </c>
      <c r="GF645" s="4">
        <f t="shared" si="555"/>
        <v>0</v>
      </c>
      <c r="GG645" s="4">
        <f t="shared" si="555"/>
        <v>0</v>
      </c>
      <c r="GH645" s="4">
        <f t="shared" si="555"/>
        <v>0</v>
      </c>
      <c r="GI645" s="4">
        <f t="shared" si="555"/>
        <v>0</v>
      </c>
      <c r="GJ645" s="4">
        <f t="shared" si="555"/>
        <v>0</v>
      </c>
      <c r="GK645" s="4">
        <f t="shared" si="555"/>
        <v>0</v>
      </c>
      <c r="GL645" s="4">
        <f t="shared" si="555"/>
        <v>0</v>
      </c>
      <c r="GM645" s="4">
        <f t="shared" si="555"/>
        <v>0</v>
      </c>
      <c r="GN645" s="4">
        <f t="shared" si="555"/>
        <v>0</v>
      </c>
      <c r="GO645" s="4">
        <f t="shared" si="555"/>
        <v>0</v>
      </c>
      <c r="GP645" s="4">
        <f t="shared" si="555"/>
        <v>0</v>
      </c>
      <c r="GQ645" s="4">
        <f t="shared" si="555"/>
        <v>0</v>
      </c>
      <c r="GR645" s="4">
        <f t="shared" si="555"/>
        <v>0</v>
      </c>
      <c r="GS645" s="4">
        <f t="shared" si="555"/>
        <v>0</v>
      </c>
      <c r="GT645" s="4">
        <f t="shared" si="555"/>
        <v>0</v>
      </c>
      <c r="GU645" s="4">
        <f t="shared" si="555"/>
        <v>0</v>
      </c>
      <c r="GV645" s="4">
        <f t="shared" si="555"/>
        <v>0</v>
      </c>
      <c r="GW645" s="4">
        <f t="shared" si="555"/>
        <v>0</v>
      </c>
      <c r="GX645" s="4">
        <f t="shared" si="555"/>
        <v>0</v>
      </c>
    </row>
    <row r="647" spans="1:255" x14ac:dyDescent="0.2">
      <c r="A647" s="2">
        <v>17</v>
      </c>
      <c r="B647" s="2">
        <v>1</v>
      </c>
      <c r="C647" s="2">
        <f>ROW(SmtRes!A661)</f>
        <v>661</v>
      </c>
      <c r="D647" s="2">
        <f>ROW(EtalonRes!A653)</f>
        <v>653</v>
      </c>
      <c r="E647" s="2" t="s">
        <v>18</v>
      </c>
      <c r="F647" s="2" t="s">
        <v>617</v>
      </c>
      <c r="G647" s="2" t="s">
        <v>618</v>
      </c>
      <c r="H647" s="2" t="s">
        <v>619</v>
      </c>
      <c r="I647" s="2">
        <v>0.1</v>
      </c>
      <c r="J647" s="2">
        <v>0</v>
      </c>
      <c r="K647" s="2">
        <v>0.1</v>
      </c>
      <c r="L647" s="2"/>
      <c r="M647" s="2"/>
      <c r="N647" s="2"/>
      <c r="O647" s="2">
        <f t="shared" ref="O647:O678" si="556">ROUND(CP647,2)</f>
        <v>45.14</v>
      </c>
      <c r="P647" s="2">
        <f t="shared" ref="P647:P678" si="557">ROUND((ROUND((AC647*AW647*I647),2)*BC647),2)</f>
        <v>4.25</v>
      </c>
      <c r="Q647" s="2">
        <f t="shared" ref="Q647:Q658" si="558">(ROUND((ROUND(((ET647)*AV647*I647),2)*BB647),2)+ROUND((ROUND(((AE647-(EU647))*AV647*I647),2)*BS647),2))</f>
        <v>0.38</v>
      </c>
      <c r="R647" s="2">
        <f t="shared" ref="R647:R678" si="559">ROUND((ROUND((AE647*AV647*I647),2)*BS647),2)</f>
        <v>0.04</v>
      </c>
      <c r="S647" s="2">
        <f t="shared" ref="S647:S678" si="560">ROUND((ROUND((AF647*AV647*I647),2)*BA647),2)</f>
        <v>40.51</v>
      </c>
      <c r="T647" s="2">
        <f t="shared" ref="T647:T678" si="561">ROUND(CU647*I647,2)</f>
        <v>0</v>
      </c>
      <c r="U647" s="2">
        <f t="shared" ref="U647:U678" si="562">CV647*I647</f>
        <v>2.556</v>
      </c>
      <c r="V647" s="2">
        <f t="shared" ref="V647:V678" si="563">CW647*I647</f>
        <v>0</v>
      </c>
      <c r="W647" s="2">
        <f t="shared" ref="W647:W678" si="564">ROUND(CX647*I647,2)</f>
        <v>0</v>
      </c>
      <c r="X647" s="2">
        <f t="shared" ref="X647:X678" si="565">ROUND(CY647,2)</f>
        <v>46.18</v>
      </c>
      <c r="Y647" s="2">
        <f t="shared" ref="Y647:Y678" si="566">ROUND(CZ647,2)</f>
        <v>27.14</v>
      </c>
      <c r="Z647" s="2"/>
      <c r="AA647" s="2">
        <v>129761636</v>
      </c>
      <c r="AB647" s="2">
        <f t="shared" ref="AB647:AB678" si="567">ROUND((AC647+AD647+AF647),6)</f>
        <v>451.44</v>
      </c>
      <c r="AC647" s="2">
        <f t="shared" ref="AC647:AC678" si="568">ROUND((ES647),6)</f>
        <v>42.51</v>
      </c>
      <c r="AD647" s="2">
        <f t="shared" ref="AD647:AD658" si="569">ROUND((((ET647)-(EU647))+AE647),6)</f>
        <v>3.84</v>
      </c>
      <c r="AE647" s="2">
        <f t="shared" ref="AE647:AE658" si="570">ROUND((EU647),6)</f>
        <v>0.35</v>
      </c>
      <c r="AF647" s="2">
        <f t="shared" ref="AF647:AF658" si="571">ROUND((EV647),6)</f>
        <v>405.09</v>
      </c>
      <c r="AG647" s="2">
        <f t="shared" ref="AG647:AG678" si="572">ROUND((AP647),6)</f>
        <v>0</v>
      </c>
      <c r="AH647" s="2">
        <f t="shared" ref="AH647:AH658" si="573">(EW647)</f>
        <v>25.56</v>
      </c>
      <c r="AI647" s="2">
        <f t="shared" ref="AI647:AI658" si="574">(EX647)</f>
        <v>0</v>
      </c>
      <c r="AJ647" s="2">
        <f t="shared" ref="AJ647:AJ678" si="575">(AS647)</f>
        <v>0</v>
      </c>
      <c r="AK647" s="2">
        <v>451.44</v>
      </c>
      <c r="AL647" s="2">
        <v>42.51</v>
      </c>
      <c r="AM647" s="2">
        <v>3.84</v>
      </c>
      <c r="AN647" s="2">
        <v>0.35</v>
      </c>
      <c r="AO647" s="2">
        <v>405.09</v>
      </c>
      <c r="AP647" s="2">
        <v>0</v>
      </c>
      <c r="AQ647" s="2">
        <v>25.56</v>
      </c>
      <c r="AR647" s="2">
        <v>0</v>
      </c>
      <c r="AS647" s="2">
        <v>0</v>
      </c>
      <c r="AT647" s="2">
        <v>114</v>
      </c>
      <c r="AU647" s="2">
        <v>67</v>
      </c>
      <c r="AV647" s="2">
        <v>1</v>
      </c>
      <c r="AW647" s="2">
        <v>1</v>
      </c>
      <c r="AX647" s="2"/>
      <c r="AY647" s="2"/>
      <c r="AZ647" s="2">
        <v>1</v>
      </c>
      <c r="BA647" s="2">
        <v>1</v>
      </c>
      <c r="BB647" s="2">
        <v>1</v>
      </c>
      <c r="BC647" s="2">
        <v>1</v>
      </c>
      <c r="BD647" s="2" t="s">
        <v>3</v>
      </c>
      <c r="BE647" s="2" t="s">
        <v>3</v>
      </c>
      <c r="BF647" s="2" t="s">
        <v>3</v>
      </c>
      <c r="BG647" s="2" t="s">
        <v>3</v>
      </c>
      <c r="BH647" s="2">
        <v>0</v>
      </c>
      <c r="BI647" s="2">
        <v>2</v>
      </c>
      <c r="BJ647" s="2" t="s">
        <v>620</v>
      </c>
      <c r="BK647" s="2"/>
      <c r="BL647" s="2"/>
      <c r="BM647" s="2">
        <v>1670</v>
      </c>
      <c r="BN647" s="2">
        <v>0</v>
      </c>
      <c r="BO647" s="2" t="s">
        <v>3</v>
      </c>
      <c r="BP647" s="2">
        <v>0</v>
      </c>
      <c r="BQ647" s="2">
        <v>40</v>
      </c>
      <c r="BR647" s="2">
        <v>0</v>
      </c>
      <c r="BS647" s="2">
        <v>1</v>
      </c>
      <c r="BT647" s="2">
        <v>1</v>
      </c>
      <c r="BU647" s="2">
        <v>1</v>
      </c>
      <c r="BV647" s="2">
        <v>1</v>
      </c>
      <c r="BW647" s="2">
        <v>1</v>
      </c>
      <c r="BX647" s="2">
        <v>1</v>
      </c>
      <c r="BY647" s="2" t="s">
        <v>3</v>
      </c>
      <c r="BZ647" s="2">
        <v>114</v>
      </c>
      <c r="CA647" s="2">
        <v>67</v>
      </c>
      <c r="CB647" s="2" t="s">
        <v>3</v>
      </c>
      <c r="CC647" s="2"/>
      <c r="CD647" s="2"/>
      <c r="CE647" s="2">
        <v>30</v>
      </c>
      <c r="CF647" s="2">
        <v>0</v>
      </c>
      <c r="CG647" s="2">
        <v>0</v>
      </c>
      <c r="CH647" s="2"/>
      <c r="CI647" s="2"/>
      <c r="CJ647" s="2"/>
      <c r="CK647" s="2"/>
      <c r="CL647" s="2"/>
      <c r="CM647" s="2">
        <v>0</v>
      </c>
      <c r="CN647" s="2" t="s">
        <v>3</v>
      </c>
      <c r="CO647" s="2">
        <v>0</v>
      </c>
      <c r="CP647" s="2">
        <f t="shared" ref="CP647:CP678" si="576">(P647+Q647+S647)</f>
        <v>45.14</v>
      </c>
      <c r="CQ647" s="2">
        <f t="shared" ref="CQ647:CQ678" si="577">ROUND((ROUND((AC647*AW647*1),2)*BC647),2)</f>
        <v>42.51</v>
      </c>
      <c r="CR647" s="2">
        <f t="shared" ref="CR647:CR658" si="578">(ROUND((ROUND(((ET647)*AV647*1),2)*BB647),2)+ROUND((ROUND(((AE647-(EU647))*AV647*1),2)*BS647),2))</f>
        <v>3.84</v>
      </c>
      <c r="CS647" s="2">
        <f t="shared" ref="CS647:CS678" si="579">ROUND((ROUND((AE647*AV647*1),2)*BS647),2)</f>
        <v>0.35</v>
      </c>
      <c r="CT647" s="2">
        <f t="shared" ref="CT647:CT678" si="580">ROUND((ROUND((AF647*AV647*1),2)*BA647),2)</f>
        <v>405.09</v>
      </c>
      <c r="CU647" s="2">
        <f t="shared" ref="CU647:CU678" si="581">AG647</f>
        <v>0</v>
      </c>
      <c r="CV647" s="2">
        <f t="shared" ref="CV647:CV678" si="582">(AH647*AV647)</f>
        <v>25.56</v>
      </c>
      <c r="CW647" s="2">
        <f t="shared" ref="CW647:CW678" si="583">AI647</f>
        <v>0</v>
      </c>
      <c r="CX647" s="2">
        <f t="shared" ref="CX647:CX678" si="584">AJ647</f>
        <v>0</v>
      </c>
      <c r="CY647" s="2">
        <f>((S647*BZ647)/100)</f>
        <v>46.181399999999996</v>
      </c>
      <c r="CZ647" s="2">
        <f>((S647*CA647)/100)</f>
        <v>27.1417</v>
      </c>
      <c r="DA647" s="2"/>
      <c r="DB647" s="2"/>
      <c r="DC647" s="2" t="s">
        <v>3</v>
      </c>
      <c r="DD647" s="2" t="s">
        <v>3</v>
      </c>
      <c r="DE647" s="2" t="s">
        <v>3</v>
      </c>
      <c r="DF647" s="2" t="s">
        <v>3</v>
      </c>
      <c r="DG647" s="2" t="s">
        <v>3</v>
      </c>
      <c r="DH647" s="2" t="s">
        <v>3</v>
      </c>
      <c r="DI647" s="2" t="s">
        <v>3</v>
      </c>
      <c r="DJ647" s="2" t="s">
        <v>3</v>
      </c>
      <c r="DK647" s="2" t="s">
        <v>3</v>
      </c>
      <c r="DL647" s="2" t="s">
        <v>3</v>
      </c>
      <c r="DM647" s="2" t="s">
        <v>3</v>
      </c>
      <c r="DN647" s="2">
        <v>0</v>
      </c>
      <c r="DO647" s="2">
        <v>0</v>
      </c>
      <c r="DP647" s="2">
        <v>1</v>
      </c>
      <c r="DQ647" s="2">
        <v>1</v>
      </c>
      <c r="DR647" s="2"/>
      <c r="DS647" s="2"/>
      <c r="DT647" s="2"/>
      <c r="DU647" s="2">
        <v>1010</v>
      </c>
      <c r="DV647" s="2" t="s">
        <v>619</v>
      </c>
      <c r="DW647" s="2" t="s">
        <v>619</v>
      </c>
      <c r="DX647" s="2">
        <v>10</v>
      </c>
      <c r="DY647" s="2"/>
      <c r="DZ647" s="2" t="s">
        <v>3</v>
      </c>
      <c r="EA647" s="2" t="s">
        <v>3</v>
      </c>
      <c r="EB647" s="2" t="s">
        <v>3</v>
      </c>
      <c r="EC647" s="2" t="s">
        <v>3</v>
      </c>
      <c r="ED647" s="2"/>
      <c r="EE647" s="2">
        <v>126053131</v>
      </c>
      <c r="EF647" s="2">
        <v>40</v>
      </c>
      <c r="EG647" s="2" t="s">
        <v>621</v>
      </c>
      <c r="EH647" s="2">
        <v>0</v>
      </c>
      <c r="EI647" s="2" t="s">
        <v>3</v>
      </c>
      <c r="EJ647" s="2">
        <v>2</v>
      </c>
      <c r="EK647" s="2">
        <v>1670</v>
      </c>
      <c r="EL647" s="2" t="s">
        <v>622</v>
      </c>
      <c r="EM647" s="2" t="s">
        <v>623</v>
      </c>
      <c r="EN647" s="2"/>
      <c r="EO647" s="2" t="s">
        <v>3</v>
      </c>
      <c r="EP647" s="2"/>
      <c r="EQ647" s="2">
        <v>131072</v>
      </c>
      <c r="ER647" s="2">
        <v>451.44</v>
      </c>
      <c r="ES647" s="2">
        <v>42.51</v>
      </c>
      <c r="ET647" s="2">
        <v>3.84</v>
      </c>
      <c r="EU647" s="2">
        <v>0.35</v>
      </c>
      <c r="EV647" s="2">
        <v>405.09</v>
      </c>
      <c r="EW647" s="2">
        <v>25.56</v>
      </c>
      <c r="EX647" s="2">
        <v>0</v>
      </c>
      <c r="EY647" s="2">
        <v>0</v>
      </c>
      <c r="EZ647" s="2"/>
      <c r="FA647" s="2"/>
      <c r="FB647" s="2"/>
      <c r="FC647" s="2"/>
      <c r="FD647" s="2"/>
      <c r="FE647" s="2"/>
      <c r="FF647" s="2"/>
      <c r="FG647" s="2"/>
      <c r="FH647" s="2"/>
      <c r="FI647" s="2"/>
      <c r="FJ647" s="2"/>
      <c r="FK647" s="2"/>
      <c r="FL647" s="2"/>
      <c r="FM647" s="2"/>
      <c r="FN647" s="2"/>
      <c r="FO647" s="2"/>
      <c r="FP647" s="2"/>
      <c r="FQ647" s="2">
        <v>0</v>
      </c>
      <c r="FR647" s="2">
        <f t="shared" ref="FR647:FR678" si="585">ROUND(IF(AND(BH647=3,BI647=3),P647,0),2)</f>
        <v>0</v>
      </c>
      <c r="FS647" s="2">
        <v>0</v>
      </c>
      <c r="FT647" s="2"/>
      <c r="FU647" s="2"/>
      <c r="FV647" s="2"/>
      <c r="FW647" s="2"/>
      <c r="FX647" s="2">
        <v>114</v>
      </c>
      <c r="FY647" s="2">
        <v>67</v>
      </c>
      <c r="FZ647" s="2"/>
      <c r="GA647" s="2" t="s">
        <v>3</v>
      </c>
      <c r="GB647" s="2"/>
      <c r="GC647" s="2"/>
      <c r="GD647" s="2">
        <v>0</v>
      </c>
      <c r="GE647" s="2"/>
      <c r="GF647" s="2">
        <v>-1336563950</v>
      </c>
      <c r="GG647" s="2">
        <v>2</v>
      </c>
      <c r="GH647" s="2">
        <v>1</v>
      </c>
      <c r="GI647" s="2">
        <v>-2</v>
      </c>
      <c r="GJ647" s="2">
        <v>0</v>
      </c>
      <c r="GK647" s="2">
        <f>ROUND(R647*(R12)/100,2)</f>
        <v>7.0000000000000007E-2</v>
      </c>
      <c r="GL647" s="2">
        <f t="shared" ref="GL647:GL678" si="586">ROUND(IF(AND(BH647=3,BI647=3,FS647&lt;&gt;0),P647,0),2)</f>
        <v>0</v>
      </c>
      <c r="GM647" s="2">
        <f t="shared" ref="GM647:GM678" si="587">ROUND(O647+X647+Y647+GK647,2)+GX647</f>
        <v>118.53</v>
      </c>
      <c r="GN647" s="2">
        <f t="shared" ref="GN647:GN678" si="588">IF(OR(BI647=0,BI647=1),ROUND(O647+X647+Y647+GK647,2),0)</f>
        <v>0</v>
      </c>
      <c r="GO647" s="2">
        <f t="shared" ref="GO647:GO678" si="589">IF(BI647=2,ROUND(O647+X647+Y647+GK647,2),0)</f>
        <v>118.53</v>
      </c>
      <c r="GP647" s="2">
        <f t="shared" ref="GP647:GP678" si="590">IF(BI647=4,ROUND(O647+X647+Y647+GK647,2)+GX647,0)</f>
        <v>0</v>
      </c>
      <c r="GQ647" s="2"/>
      <c r="GR647" s="2">
        <v>0</v>
      </c>
      <c r="GS647" s="2">
        <v>0</v>
      </c>
      <c r="GT647" s="2">
        <v>0</v>
      </c>
      <c r="GU647" s="2" t="s">
        <v>3</v>
      </c>
      <c r="GV647" s="2">
        <f t="shared" ref="GV647:GV678" si="591">ROUND((GT647),6)</f>
        <v>0</v>
      </c>
      <c r="GW647" s="2">
        <v>1</v>
      </c>
      <c r="GX647" s="2">
        <f t="shared" ref="GX647:GX678" si="592">ROUND(HC647*I647,2)</f>
        <v>0</v>
      </c>
      <c r="GY647" s="2"/>
      <c r="GZ647" s="2"/>
      <c r="HA647" s="2">
        <v>0</v>
      </c>
      <c r="HB647" s="2">
        <v>0</v>
      </c>
      <c r="HC647" s="2">
        <f t="shared" ref="HC647:HC678" si="593">GV647*GW647</f>
        <v>0</v>
      </c>
      <c r="HD647" s="2"/>
      <c r="HE647" s="2" t="s">
        <v>3</v>
      </c>
      <c r="HF647" s="2" t="s">
        <v>3</v>
      </c>
      <c r="HG647" s="2"/>
      <c r="HH647" s="2"/>
      <c r="HI647" s="2"/>
      <c r="HJ647" s="2"/>
      <c r="HK647" s="2"/>
      <c r="HL647" s="2"/>
      <c r="HM647" s="2" t="s">
        <v>3</v>
      </c>
      <c r="HN647" s="2" t="s">
        <v>3</v>
      </c>
      <c r="HO647" s="2" t="s">
        <v>3</v>
      </c>
      <c r="HP647" s="2" t="s">
        <v>3</v>
      </c>
      <c r="HQ647" s="2" t="s">
        <v>3</v>
      </c>
      <c r="HR647" s="2"/>
      <c r="HS647" s="2"/>
      <c r="HT647" s="2"/>
      <c r="HU647" s="2"/>
      <c r="HV647" s="2"/>
      <c r="HW647" s="2"/>
      <c r="HX647" s="2"/>
      <c r="HY647" s="2"/>
      <c r="HZ647" s="2"/>
      <c r="IA647" s="2"/>
      <c r="IB647" s="2"/>
      <c r="IC647" s="2"/>
      <c r="ID647" s="2"/>
      <c r="IE647" s="2"/>
      <c r="IF647" s="2"/>
      <c r="IG647" s="2"/>
      <c r="IH647" s="2"/>
      <c r="II647" s="2"/>
      <c r="IJ647" s="2"/>
      <c r="IK647" s="2">
        <v>0</v>
      </c>
      <c r="IL647" s="2"/>
      <c r="IM647" s="2"/>
      <c r="IN647" s="2"/>
      <c r="IO647" s="2"/>
      <c r="IP647" s="2"/>
      <c r="IQ647" s="2"/>
      <c r="IR647" s="2"/>
      <c r="IS647" s="2"/>
      <c r="IT647" s="2"/>
      <c r="IU647" s="2"/>
    </row>
    <row r="648" spans="1:255" x14ac:dyDescent="0.2">
      <c r="A648">
        <v>17</v>
      </c>
      <c r="B648">
        <v>1</v>
      </c>
      <c r="C648">
        <f>ROW(SmtRes!A662)</f>
        <v>662</v>
      </c>
      <c r="D648">
        <f>ROW(EtalonRes!A654)</f>
        <v>654</v>
      </c>
      <c r="E648" t="s">
        <v>18</v>
      </c>
      <c r="F648" t="s">
        <v>617</v>
      </c>
      <c r="G648" t="s">
        <v>618</v>
      </c>
      <c r="H648" t="s">
        <v>619</v>
      </c>
      <c r="I648">
        <v>0.1</v>
      </c>
      <c r="J648">
        <v>0</v>
      </c>
      <c r="K648">
        <v>0.1</v>
      </c>
      <c r="O648">
        <f t="shared" si="556"/>
        <v>1187.6500000000001</v>
      </c>
      <c r="P648">
        <f t="shared" si="557"/>
        <v>8.16</v>
      </c>
      <c r="Q648">
        <f t="shared" si="558"/>
        <v>3.48</v>
      </c>
      <c r="R648">
        <f t="shared" si="559"/>
        <v>1.1599999999999999</v>
      </c>
      <c r="S648">
        <f t="shared" si="560"/>
        <v>1176.01</v>
      </c>
      <c r="T648">
        <f t="shared" si="561"/>
        <v>0</v>
      </c>
      <c r="U648">
        <f t="shared" si="562"/>
        <v>2.556</v>
      </c>
      <c r="V648">
        <f t="shared" si="563"/>
        <v>0</v>
      </c>
      <c r="W648">
        <f t="shared" si="564"/>
        <v>0</v>
      </c>
      <c r="X648">
        <f t="shared" si="565"/>
        <v>929.05</v>
      </c>
      <c r="Y648">
        <f t="shared" si="566"/>
        <v>482.16</v>
      </c>
      <c r="AA648">
        <v>129761633</v>
      </c>
      <c r="AB648">
        <f t="shared" si="567"/>
        <v>451.44</v>
      </c>
      <c r="AC648">
        <f t="shared" si="568"/>
        <v>42.51</v>
      </c>
      <c r="AD648">
        <f t="shared" si="569"/>
        <v>3.84</v>
      </c>
      <c r="AE648">
        <f t="shared" si="570"/>
        <v>0.35</v>
      </c>
      <c r="AF648">
        <f t="shared" si="571"/>
        <v>405.09</v>
      </c>
      <c r="AG648">
        <f t="shared" si="572"/>
        <v>0</v>
      </c>
      <c r="AH648">
        <f t="shared" si="573"/>
        <v>25.56</v>
      </c>
      <c r="AI648">
        <f t="shared" si="574"/>
        <v>0</v>
      </c>
      <c r="AJ648">
        <f t="shared" si="575"/>
        <v>0</v>
      </c>
      <c r="AK648">
        <v>451.44</v>
      </c>
      <c r="AL648">
        <v>42.51</v>
      </c>
      <c r="AM648">
        <v>3.84</v>
      </c>
      <c r="AN648">
        <v>0.35</v>
      </c>
      <c r="AO648">
        <v>405.09</v>
      </c>
      <c r="AP648">
        <v>0</v>
      </c>
      <c r="AQ648">
        <v>25.56</v>
      </c>
      <c r="AR648">
        <v>0</v>
      </c>
      <c r="AS648">
        <v>0</v>
      </c>
      <c r="AT648">
        <v>79</v>
      </c>
      <c r="AU648">
        <v>41</v>
      </c>
      <c r="AV648">
        <v>1</v>
      </c>
      <c r="AW648">
        <v>1</v>
      </c>
      <c r="AZ648">
        <v>1</v>
      </c>
      <c r="BA648">
        <v>29.03</v>
      </c>
      <c r="BB648">
        <v>9.15</v>
      </c>
      <c r="BC648">
        <v>1.92</v>
      </c>
      <c r="BD648" t="s">
        <v>3</v>
      </c>
      <c r="BE648" t="s">
        <v>3</v>
      </c>
      <c r="BF648" t="s">
        <v>3</v>
      </c>
      <c r="BG648" t="s">
        <v>3</v>
      </c>
      <c r="BH648">
        <v>0</v>
      </c>
      <c r="BI648">
        <v>2</v>
      </c>
      <c r="BJ648" t="s">
        <v>620</v>
      </c>
      <c r="BM648">
        <v>1670</v>
      </c>
      <c r="BN648">
        <v>0</v>
      </c>
      <c r="BO648" t="s">
        <v>617</v>
      </c>
      <c r="BP648">
        <v>1</v>
      </c>
      <c r="BQ648">
        <v>40</v>
      </c>
      <c r="BR648">
        <v>0</v>
      </c>
      <c r="BS648">
        <v>29.03</v>
      </c>
      <c r="BT648">
        <v>1</v>
      </c>
      <c r="BU648">
        <v>1</v>
      </c>
      <c r="BV648">
        <v>1</v>
      </c>
      <c r="BW648">
        <v>1</v>
      </c>
      <c r="BX648">
        <v>1</v>
      </c>
      <c r="BY648" t="s">
        <v>3</v>
      </c>
      <c r="BZ648">
        <v>79</v>
      </c>
      <c r="CA648">
        <v>41</v>
      </c>
      <c r="CB648" t="s">
        <v>3</v>
      </c>
      <c r="CE648">
        <v>30</v>
      </c>
      <c r="CF648">
        <v>0</v>
      </c>
      <c r="CG648">
        <v>0</v>
      </c>
      <c r="CM648">
        <v>0</v>
      </c>
      <c r="CN648" t="s">
        <v>3</v>
      </c>
      <c r="CO648">
        <v>0</v>
      </c>
      <c r="CP648">
        <f t="shared" si="576"/>
        <v>1187.6500000000001</v>
      </c>
      <c r="CQ648">
        <f t="shared" si="577"/>
        <v>81.62</v>
      </c>
      <c r="CR648">
        <f t="shared" si="578"/>
        <v>35.14</v>
      </c>
      <c r="CS648">
        <f t="shared" si="579"/>
        <v>10.16</v>
      </c>
      <c r="CT648">
        <f t="shared" si="580"/>
        <v>11759.76</v>
      </c>
      <c r="CU648">
        <f t="shared" si="581"/>
        <v>0</v>
      </c>
      <c r="CV648">
        <f t="shared" si="582"/>
        <v>25.56</v>
      </c>
      <c r="CW648">
        <f t="shared" si="583"/>
        <v>0</v>
      </c>
      <c r="CX648">
        <f t="shared" si="584"/>
        <v>0</v>
      </c>
      <c r="CY648">
        <f>S648*(BZ648/100)</f>
        <v>929.04790000000003</v>
      </c>
      <c r="CZ648">
        <f>S648*(CA648/100)</f>
        <v>482.16409999999996</v>
      </c>
      <c r="DC648" t="s">
        <v>3</v>
      </c>
      <c r="DD648" t="s">
        <v>3</v>
      </c>
      <c r="DE648" t="s">
        <v>3</v>
      </c>
      <c r="DF648" t="s">
        <v>3</v>
      </c>
      <c r="DG648" t="s">
        <v>3</v>
      </c>
      <c r="DH648" t="s">
        <v>3</v>
      </c>
      <c r="DI648" t="s">
        <v>3</v>
      </c>
      <c r="DJ648" t="s">
        <v>3</v>
      </c>
      <c r="DK648" t="s">
        <v>3</v>
      </c>
      <c r="DL648" t="s">
        <v>3</v>
      </c>
      <c r="DM648" t="s">
        <v>3</v>
      </c>
      <c r="DN648">
        <v>114</v>
      </c>
      <c r="DO648">
        <v>67</v>
      </c>
      <c r="DP648">
        <v>1</v>
      </c>
      <c r="DQ648">
        <v>1</v>
      </c>
      <c r="DU648">
        <v>1010</v>
      </c>
      <c r="DV648" t="s">
        <v>619</v>
      </c>
      <c r="DW648" t="s">
        <v>619</v>
      </c>
      <c r="DX648">
        <v>10</v>
      </c>
      <c r="DZ648" t="s">
        <v>3</v>
      </c>
      <c r="EA648" t="s">
        <v>3</v>
      </c>
      <c r="EB648" t="s">
        <v>3</v>
      </c>
      <c r="EC648" t="s">
        <v>3</v>
      </c>
      <c r="EE648">
        <v>126053131</v>
      </c>
      <c r="EF648">
        <v>40</v>
      </c>
      <c r="EG648" t="s">
        <v>621</v>
      </c>
      <c r="EH648">
        <v>0</v>
      </c>
      <c r="EI648" t="s">
        <v>3</v>
      </c>
      <c r="EJ648">
        <v>2</v>
      </c>
      <c r="EK648">
        <v>1670</v>
      </c>
      <c r="EL648" t="s">
        <v>622</v>
      </c>
      <c r="EM648" t="s">
        <v>623</v>
      </c>
      <c r="EO648" t="s">
        <v>3</v>
      </c>
      <c r="EQ648">
        <v>131072</v>
      </c>
      <c r="ER648">
        <v>451.44</v>
      </c>
      <c r="ES648">
        <v>42.51</v>
      </c>
      <c r="ET648">
        <v>3.84</v>
      </c>
      <c r="EU648">
        <v>0.35</v>
      </c>
      <c r="EV648">
        <v>405.09</v>
      </c>
      <c r="EW648">
        <v>25.56</v>
      </c>
      <c r="EX648">
        <v>0</v>
      </c>
      <c r="EY648">
        <v>0</v>
      </c>
      <c r="FQ648">
        <v>0</v>
      </c>
      <c r="FR648">
        <f t="shared" si="585"/>
        <v>0</v>
      </c>
      <c r="FS648">
        <v>0</v>
      </c>
      <c r="FX648">
        <v>114</v>
      </c>
      <c r="FY648">
        <v>67</v>
      </c>
      <c r="GA648" t="s">
        <v>3</v>
      </c>
      <c r="GD648">
        <v>0</v>
      </c>
      <c r="GF648">
        <v>-1336563950</v>
      </c>
      <c r="GG648">
        <v>2</v>
      </c>
      <c r="GH648">
        <v>1</v>
      </c>
      <c r="GI648">
        <v>2</v>
      </c>
      <c r="GJ648">
        <v>0</v>
      </c>
      <c r="GK648">
        <f>ROUND(R648*(S12)/100,2)</f>
        <v>1.86</v>
      </c>
      <c r="GL648">
        <f t="shared" si="586"/>
        <v>0</v>
      </c>
      <c r="GM648">
        <f t="shared" si="587"/>
        <v>2600.7199999999998</v>
      </c>
      <c r="GN648">
        <f t="shared" si="588"/>
        <v>0</v>
      </c>
      <c r="GO648">
        <f t="shared" si="589"/>
        <v>2600.7199999999998</v>
      </c>
      <c r="GP648">
        <f t="shared" si="590"/>
        <v>0</v>
      </c>
      <c r="GR648">
        <v>0</v>
      </c>
      <c r="GS648">
        <v>3</v>
      </c>
      <c r="GT648">
        <v>0</v>
      </c>
      <c r="GU648" t="s">
        <v>3</v>
      </c>
      <c r="GV648">
        <f t="shared" si="591"/>
        <v>0</v>
      </c>
      <c r="GW648">
        <v>1</v>
      </c>
      <c r="GX648">
        <f t="shared" si="592"/>
        <v>0</v>
      </c>
      <c r="HA648">
        <v>0</v>
      </c>
      <c r="HB648">
        <v>0</v>
      </c>
      <c r="HC648">
        <f t="shared" si="593"/>
        <v>0</v>
      </c>
      <c r="HE648" t="s">
        <v>3</v>
      </c>
      <c r="HF648" t="s">
        <v>3</v>
      </c>
      <c r="HM648" t="s">
        <v>3</v>
      </c>
      <c r="HN648" t="s">
        <v>3</v>
      </c>
      <c r="HO648" t="s">
        <v>3</v>
      </c>
      <c r="HP648" t="s">
        <v>3</v>
      </c>
      <c r="HQ648" t="s">
        <v>3</v>
      </c>
      <c r="IK648">
        <v>0</v>
      </c>
    </row>
    <row r="649" spans="1:255" x14ac:dyDescent="0.2">
      <c r="A649" s="2">
        <v>17</v>
      </c>
      <c r="B649" s="2">
        <v>1</v>
      </c>
      <c r="C649" s="2">
        <f>ROW(SmtRes!A663)</f>
        <v>663</v>
      </c>
      <c r="D649" s="2">
        <f>ROW(EtalonRes!A655)</f>
        <v>655</v>
      </c>
      <c r="E649" s="2" t="s">
        <v>81</v>
      </c>
      <c r="F649" s="2" t="s">
        <v>624</v>
      </c>
      <c r="G649" s="2" t="s">
        <v>625</v>
      </c>
      <c r="H649" s="2" t="s">
        <v>231</v>
      </c>
      <c r="I649" s="2">
        <v>1</v>
      </c>
      <c r="J649" s="2">
        <v>0</v>
      </c>
      <c r="K649" s="2">
        <v>1</v>
      </c>
      <c r="L649" s="2"/>
      <c r="M649" s="2"/>
      <c r="N649" s="2"/>
      <c r="O649" s="2">
        <f t="shared" si="556"/>
        <v>22.38</v>
      </c>
      <c r="P649" s="2">
        <f t="shared" si="557"/>
        <v>0.88</v>
      </c>
      <c r="Q649" s="2">
        <f t="shared" si="558"/>
        <v>0.85</v>
      </c>
      <c r="R649" s="2">
        <f t="shared" si="559"/>
        <v>0.19</v>
      </c>
      <c r="S649" s="2">
        <f t="shared" si="560"/>
        <v>20.65</v>
      </c>
      <c r="T649" s="2">
        <f t="shared" si="561"/>
        <v>0</v>
      </c>
      <c r="U649" s="2">
        <f t="shared" si="562"/>
        <v>1.35</v>
      </c>
      <c r="V649" s="2">
        <f t="shared" si="563"/>
        <v>0</v>
      </c>
      <c r="W649" s="2">
        <f t="shared" si="564"/>
        <v>0</v>
      </c>
      <c r="X649" s="2">
        <f t="shared" si="565"/>
        <v>23.54</v>
      </c>
      <c r="Y649" s="2">
        <f t="shared" si="566"/>
        <v>13.84</v>
      </c>
      <c r="Z649" s="2"/>
      <c r="AA649" s="2">
        <v>129761636</v>
      </c>
      <c r="AB649" s="2">
        <f t="shared" si="567"/>
        <v>22.38</v>
      </c>
      <c r="AC649" s="2">
        <f t="shared" si="568"/>
        <v>0.88</v>
      </c>
      <c r="AD649" s="2">
        <f t="shared" si="569"/>
        <v>0.85</v>
      </c>
      <c r="AE649" s="2">
        <f t="shared" si="570"/>
        <v>0.19</v>
      </c>
      <c r="AF649" s="2">
        <f t="shared" si="571"/>
        <v>20.65</v>
      </c>
      <c r="AG649" s="2">
        <f t="shared" si="572"/>
        <v>0</v>
      </c>
      <c r="AH649" s="2">
        <f t="shared" si="573"/>
        <v>1.35</v>
      </c>
      <c r="AI649" s="2">
        <f t="shared" si="574"/>
        <v>0</v>
      </c>
      <c r="AJ649" s="2">
        <f t="shared" si="575"/>
        <v>0</v>
      </c>
      <c r="AK649" s="2">
        <v>22.38</v>
      </c>
      <c r="AL649" s="2">
        <v>0.88</v>
      </c>
      <c r="AM649" s="2">
        <v>0.85</v>
      </c>
      <c r="AN649" s="2">
        <v>0.19</v>
      </c>
      <c r="AO649" s="2">
        <v>20.65</v>
      </c>
      <c r="AP649" s="2">
        <v>0</v>
      </c>
      <c r="AQ649" s="2">
        <v>1.35</v>
      </c>
      <c r="AR649" s="2">
        <v>0</v>
      </c>
      <c r="AS649" s="2">
        <v>0</v>
      </c>
      <c r="AT649" s="2">
        <v>114</v>
      </c>
      <c r="AU649" s="2">
        <v>67</v>
      </c>
      <c r="AV649" s="2">
        <v>1</v>
      </c>
      <c r="AW649" s="2">
        <v>1</v>
      </c>
      <c r="AX649" s="2"/>
      <c r="AY649" s="2"/>
      <c r="AZ649" s="2">
        <v>1</v>
      </c>
      <c r="BA649" s="2">
        <v>1</v>
      </c>
      <c r="BB649" s="2">
        <v>1</v>
      </c>
      <c r="BC649" s="2">
        <v>1</v>
      </c>
      <c r="BD649" s="2" t="s">
        <v>3</v>
      </c>
      <c r="BE649" s="2" t="s">
        <v>3</v>
      </c>
      <c r="BF649" s="2" t="s">
        <v>3</v>
      </c>
      <c r="BG649" s="2" t="s">
        <v>3</v>
      </c>
      <c r="BH649" s="2">
        <v>0</v>
      </c>
      <c r="BI649" s="2">
        <v>2</v>
      </c>
      <c r="BJ649" s="2" t="s">
        <v>626</v>
      </c>
      <c r="BK649" s="2"/>
      <c r="BL649" s="2"/>
      <c r="BM649" s="2">
        <v>1738</v>
      </c>
      <c r="BN649" s="2">
        <v>0</v>
      </c>
      <c r="BO649" s="2" t="s">
        <v>3</v>
      </c>
      <c r="BP649" s="2">
        <v>0</v>
      </c>
      <c r="BQ649" s="2">
        <v>40</v>
      </c>
      <c r="BR649" s="2">
        <v>0</v>
      </c>
      <c r="BS649" s="2">
        <v>1</v>
      </c>
      <c r="BT649" s="2">
        <v>1</v>
      </c>
      <c r="BU649" s="2">
        <v>1</v>
      </c>
      <c r="BV649" s="2">
        <v>1</v>
      </c>
      <c r="BW649" s="2">
        <v>1</v>
      </c>
      <c r="BX649" s="2">
        <v>1</v>
      </c>
      <c r="BY649" s="2" t="s">
        <v>3</v>
      </c>
      <c r="BZ649" s="2">
        <v>114</v>
      </c>
      <c r="CA649" s="2">
        <v>67</v>
      </c>
      <c r="CB649" s="2" t="s">
        <v>3</v>
      </c>
      <c r="CC649" s="2"/>
      <c r="CD649" s="2"/>
      <c r="CE649" s="2">
        <v>30</v>
      </c>
      <c r="CF649" s="2">
        <v>0</v>
      </c>
      <c r="CG649" s="2">
        <v>0</v>
      </c>
      <c r="CH649" s="2"/>
      <c r="CI649" s="2"/>
      <c r="CJ649" s="2"/>
      <c r="CK649" s="2"/>
      <c r="CL649" s="2"/>
      <c r="CM649" s="2">
        <v>0</v>
      </c>
      <c r="CN649" s="2" t="s">
        <v>3</v>
      </c>
      <c r="CO649" s="2">
        <v>0</v>
      </c>
      <c r="CP649" s="2">
        <f t="shared" si="576"/>
        <v>22.38</v>
      </c>
      <c r="CQ649" s="2">
        <f t="shared" si="577"/>
        <v>0.88</v>
      </c>
      <c r="CR649" s="2">
        <f t="shared" si="578"/>
        <v>0.85</v>
      </c>
      <c r="CS649" s="2">
        <f t="shared" si="579"/>
        <v>0.19</v>
      </c>
      <c r="CT649" s="2">
        <f t="shared" si="580"/>
        <v>20.65</v>
      </c>
      <c r="CU649" s="2">
        <f t="shared" si="581"/>
        <v>0</v>
      </c>
      <c r="CV649" s="2">
        <f t="shared" si="582"/>
        <v>1.35</v>
      </c>
      <c r="CW649" s="2">
        <f t="shared" si="583"/>
        <v>0</v>
      </c>
      <c r="CX649" s="2">
        <f t="shared" si="584"/>
        <v>0</v>
      </c>
      <c r="CY649" s="2">
        <f>((S649*BZ649)/100)</f>
        <v>23.541</v>
      </c>
      <c r="CZ649" s="2">
        <f>((S649*CA649)/100)</f>
        <v>13.8355</v>
      </c>
      <c r="DA649" s="2"/>
      <c r="DB649" s="2"/>
      <c r="DC649" s="2" t="s">
        <v>3</v>
      </c>
      <c r="DD649" s="2" t="s">
        <v>3</v>
      </c>
      <c r="DE649" s="2" t="s">
        <v>3</v>
      </c>
      <c r="DF649" s="2" t="s">
        <v>3</v>
      </c>
      <c r="DG649" s="2" t="s">
        <v>3</v>
      </c>
      <c r="DH649" s="2" t="s">
        <v>3</v>
      </c>
      <c r="DI649" s="2" t="s">
        <v>3</v>
      </c>
      <c r="DJ649" s="2" t="s">
        <v>3</v>
      </c>
      <c r="DK649" s="2" t="s">
        <v>3</v>
      </c>
      <c r="DL649" s="2" t="s">
        <v>3</v>
      </c>
      <c r="DM649" s="2" t="s">
        <v>3</v>
      </c>
      <c r="DN649" s="2">
        <v>0</v>
      </c>
      <c r="DO649" s="2">
        <v>0</v>
      </c>
      <c r="DP649" s="2">
        <v>1</v>
      </c>
      <c r="DQ649" s="2">
        <v>1</v>
      </c>
      <c r="DR649" s="2"/>
      <c r="DS649" s="2"/>
      <c r="DT649" s="2"/>
      <c r="DU649" s="2">
        <v>1013</v>
      </c>
      <c r="DV649" s="2" t="s">
        <v>231</v>
      </c>
      <c r="DW649" s="2" t="s">
        <v>231</v>
      </c>
      <c r="DX649" s="2">
        <v>1</v>
      </c>
      <c r="DY649" s="2"/>
      <c r="DZ649" s="2" t="s">
        <v>3</v>
      </c>
      <c r="EA649" s="2" t="s">
        <v>3</v>
      </c>
      <c r="EB649" s="2" t="s">
        <v>3</v>
      </c>
      <c r="EC649" s="2" t="s">
        <v>3</v>
      </c>
      <c r="ED649" s="2"/>
      <c r="EE649" s="2">
        <v>126053199</v>
      </c>
      <c r="EF649" s="2">
        <v>40</v>
      </c>
      <c r="EG649" s="2" t="s">
        <v>621</v>
      </c>
      <c r="EH649" s="2">
        <v>0</v>
      </c>
      <c r="EI649" s="2" t="s">
        <v>3</v>
      </c>
      <c r="EJ649" s="2">
        <v>2</v>
      </c>
      <c r="EK649" s="2">
        <v>1738</v>
      </c>
      <c r="EL649" s="2" t="s">
        <v>627</v>
      </c>
      <c r="EM649" s="2" t="s">
        <v>628</v>
      </c>
      <c r="EN649" s="2"/>
      <c r="EO649" s="2" t="s">
        <v>3</v>
      </c>
      <c r="EP649" s="2"/>
      <c r="EQ649" s="2">
        <v>131072</v>
      </c>
      <c r="ER649" s="2">
        <v>22.38</v>
      </c>
      <c r="ES649" s="2">
        <v>0.88</v>
      </c>
      <c r="ET649" s="2">
        <v>0.85</v>
      </c>
      <c r="EU649" s="2">
        <v>0.19</v>
      </c>
      <c r="EV649" s="2">
        <v>20.65</v>
      </c>
      <c r="EW649" s="2">
        <v>1.35</v>
      </c>
      <c r="EX649" s="2">
        <v>0</v>
      </c>
      <c r="EY649" s="2">
        <v>0</v>
      </c>
      <c r="EZ649" s="2"/>
      <c r="FA649" s="2"/>
      <c r="FB649" s="2"/>
      <c r="FC649" s="2"/>
      <c r="FD649" s="2"/>
      <c r="FE649" s="2"/>
      <c r="FF649" s="2"/>
      <c r="FG649" s="2"/>
      <c r="FH649" s="2"/>
      <c r="FI649" s="2"/>
      <c r="FJ649" s="2"/>
      <c r="FK649" s="2"/>
      <c r="FL649" s="2"/>
      <c r="FM649" s="2"/>
      <c r="FN649" s="2"/>
      <c r="FO649" s="2"/>
      <c r="FP649" s="2"/>
      <c r="FQ649" s="2">
        <v>0</v>
      </c>
      <c r="FR649" s="2">
        <f t="shared" si="585"/>
        <v>0</v>
      </c>
      <c r="FS649" s="2">
        <v>0</v>
      </c>
      <c r="FT649" s="2"/>
      <c r="FU649" s="2"/>
      <c r="FV649" s="2"/>
      <c r="FW649" s="2"/>
      <c r="FX649" s="2">
        <v>114</v>
      </c>
      <c r="FY649" s="2">
        <v>67</v>
      </c>
      <c r="FZ649" s="2"/>
      <c r="GA649" s="2" t="s">
        <v>3</v>
      </c>
      <c r="GB649" s="2"/>
      <c r="GC649" s="2"/>
      <c r="GD649" s="2">
        <v>0</v>
      </c>
      <c r="GE649" s="2"/>
      <c r="GF649" s="2">
        <v>366691270</v>
      </c>
      <c r="GG649" s="2">
        <v>2</v>
      </c>
      <c r="GH649" s="2">
        <v>1</v>
      </c>
      <c r="GI649" s="2">
        <v>-2</v>
      </c>
      <c r="GJ649" s="2">
        <v>0</v>
      </c>
      <c r="GK649" s="2">
        <f>ROUND(R649*(R12)/100,2)</f>
        <v>0.33</v>
      </c>
      <c r="GL649" s="2">
        <f t="shared" si="586"/>
        <v>0</v>
      </c>
      <c r="GM649" s="2">
        <f t="shared" si="587"/>
        <v>60.09</v>
      </c>
      <c r="GN649" s="2">
        <f t="shared" si="588"/>
        <v>0</v>
      </c>
      <c r="GO649" s="2">
        <f t="shared" si="589"/>
        <v>60.09</v>
      </c>
      <c r="GP649" s="2">
        <f t="shared" si="590"/>
        <v>0</v>
      </c>
      <c r="GQ649" s="2"/>
      <c r="GR649" s="2">
        <v>0</v>
      </c>
      <c r="GS649" s="2">
        <v>0</v>
      </c>
      <c r="GT649" s="2">
        <v>0</v>
      </c>
      <c r="GU649" s="2" t="s">
        <v>3</v>
      </c>
      <c r="GV649" s="2">
        <f t="shared" si="591"/>
        <v>0</v>
      </c>
      <c r="GW649" s="2">
        <v>1</v>
      </c>
      <c r="GX649" s="2">
        <f t="shared" si="592"/>
        <v>0</v>
      </c>
      <c r="GY649" s="2"/>
      <c r="GZ649" s="2"/>
      <c r="HA649" s="2">
        <v>0</v>
      </c>
      <c r="HB649" s="2">
        <v>0</v>
      </c>
      <c r="HC649" s="2">
        <f t="shared" si="593"/>
        <v>0</v>
      </c>
      <c r="HD649" s="2"/>
      <c r="HE649" s="2" t="s">
        <v>3</v>
      </c>
      <c r="HF649" s="2" t="s">
        <v>3</v>
      </c>
      <c r="HG649" s="2"/>
      <c r="HH649" s="2"/>
      <c r="HI649" s="2"/>
      <c r="HJ649" s="2"/>
      <c r="HK649" s="2"/>
      <c r="HL649" s="2"/>
      <c r="HM649" s="2" t="s">
        <v>3</v>
      </c>
      <c r="HN649" s="2" t="s">
        <v>3</v>
      </c>
      <c r="HO649" s="2" t="s">
        <v>3</v>
      </c>
      <c r="HP649" s="2" t="s">
        <v>3</v>
      </c>
      <c r="HQ649" s="2" t="s">
        <v>3</v>
      </c>
      <c r="HR649" s="2"/>
      <c r="HS649" s="2"/>
      <c r="HT649" s="2"/>
      <c r="HU649" s="2"/>
      <c r="HV649" s="2"/>
      <c r="HW649" s="2"/>
      <c r="HX649" s="2"/>
      <c r="HY649" s="2"/>
      <c r="HZ649" s="2"/>
      <c r="IA649" s="2"/>
      <c r="IB649" s="2"/>
      <c r="IC649" s="2"/>
      <c r="ID649" s="2"/>
      <c r="IE649" s="2"/>
      <c r="IF649" s="2"/>
      <c r="IG649" s="2"/>
      <c r="IH649" s="2"/>
      <c r="II649" s="2"/>
      <c r="IJ649" s="2"/>
      <c r="IK649" s="2">
        <v>0</v>
      </c>
      <c r="IL649" s="2"/>
      <c r="IM649" s="2"/>
      <c r="IN649" s="2"/>
      <c r="IO649" s="2"/>
      <c r="IP649" s="2"/>
      <c r="IQ649" s="2"/>
      <c r="IR649" s="2"/>
      <c r="IS649" s="2"/>
      <c r="IT649" s="2"/>
      <c r="IU649" s="2"/>
    </row>
    <row r="650" spans="1:255" x14ac:dyDescent="0.2">
      <c r="A650">
        <v>17</v>
      </c>
      <c r="B650">
        <v>1</v>
      </c>
      <c r="C650">
        <f>ROW(SmtRes!A664)</f>
        <v>664</v>
      </c>
      <c r="D650">
        <f>ROW(EtalonRes!A656)</f>
        <v>656</v>
      </c>
      <c r="E650" t="s">
        <v>81</v>
      </c>
      <c r="F650" t="s">
        <v>624</v>
      </c>
      <c r="G650" t="s">
        <v>625</v>
      </c>
      <c r="H650" t="s">
        <v>231</v>
      </c>
      <c r="I650">
        <v>1</v>
      </c>
      <c r="J650">
        <v>0</v>
      </c>
      <c r="K650">
        <v>1</v>
      </c>
      <c r="O650">
        <f t="shared" si="556"/>
        <v>629.14</v>
      </c>
      <c r="P650">
        <f t="shared" si="557"/>
        <v>20.02</v>
      </c>
      <c r="Q650">
        <f t="shared" si="558"/>
        <v>9.65</v>
      </c>
      <c r="R650">
        <f t="shared" si="559"/>
        <v>5.52</v>
      </c>
      <c r="S650">
        <f t="shared" si="560"/>
        <v>599.47</v>
      </c>
      <c r="T650">
        <f t="shared" si="561"/>
        <v>0</v>
      </c>
      <c r="U650">
        <f t="shared" si="562"/>
        <v>1.35</v>
      </c>
      <c r="V650">
        <f t="shared" si="563"/>
        <v>0</v>
      </c>
      <c r="W650">
        <f t="shared" si="564"/>
        <v>0</v>
      </c>
      <c r="X650">
        <f t="shared" si="565"/>
        <v>473.58</v>
      </c>
      <c r="Y650">
        <f t="shared" si="566"/>
        <v>245.78</v>
      </c>
      <c r="AA650">
        <v>129761633</v>
      </c>
      <c r="AB650">
        <f t="shared" si="567"/>
        <v>22.38</v>
      </c>
      <c r="AC650">
        <f t="shared" si="568"/>
        <v>0.88</v>
      </c>
      <c r="AD650">
        <f t="shared" si="569"/>
        <v>0.85</v>
      </c>
      <c r="AE650">
        <f t="shared" si="570"/>
        <v>0.19</v>
      </c>
      <c r="AF650">
        <f t="shared" si="571"/>
        <v>20.65</v>
      </c>
      <c r="AG650">
        <f t="shared" si="572"/>
        <v>0</v>
      </c>
      <c r="AH650">
        <f t="shared" si="573"/>
        <v>1.35</v>
      </c>
      <c r="AI650">
        <f t="shared" si="574"/>
        <v>0</v>
      </c>
      <c r="AJ650">
        <f t="shared" si="575"/>
        <v>0</v>
      </c>
      <c r="AK650">
        <v>22.38</v>
      </c>
      <c r="AL650">
        <v>0.88</v>
      </c>
      <c r="AM650">
        <v>0.85</v>
      </c>
      <c r="AN650">
        <v>0.19</v>
      </c>
      <c r="AO650">
        <v>20.65</v>
      </c>
      <c r="AP650">
        <v>0</v>
      </c>
      <c r="AQ650">
        <v>1.35</v>
      </c>
      <c r="AR650">
        <v>0</v>
      </c>
      <c r="AS650">
        <v>0</v>
      </c>
      <c r="AT650">
        <v>79</v>
      </c>
      <c r="AU650">
        <v>41</v>
      </c>
      <c r="AV650">
        <v>1</v>
      </c>
      <c r="AW650">
        <v>1</v>
      </c>
      <c r="AZ650">
        <v>1</v>
      </c>
      <c r="BA650">
        <v>29.03</v>
      </c>
      <c r="BB650">
        <v>11.35</v>
      </c>
      <c r="BC650">
        <v>22.75</v>
      </c>
      <c r="BD650" t="s">
        <v>3</v>
      </c>
      <c r="BE650" t="s">
        <v>3</v>
      </c>
      <c r="BF650" t="s">
        <v>3</v>
      </c>
      <c r="BG650" t="s">
        <v>3</v>
      </c>
      <c r="BH650">
        <v>0</v>
      </c>
      <c r="BI650">
        <v>2</v>
      </c>
      <c r="BJ650" t="s">
        <v>626</v>
      </c>
      <c r="BM650">
        <v>1738</v>
      </c>
      <c r="BN650">
        <v>0</v>
      </c>
      <c r="BO650" t="s">
        <v>624</v>
      </c>
      <c r="BP650">
        <v>1</v>
      </c>
      <c r="BQ650">
        <v>40</v>
      </c>
      <c r="BR650">
        <v>0</v>
      </c>
      <c r="BS650">
        <v>29.03</v>
      </c>
      <c r="BT650">
        <v>1</v>
      </c>
      <c r="BU650">
        <v>1</v>
      </c>
      <c r="BV650">
        <v>1</v>
      </c>
      <c r="BW650">
        <v>1</v>
      </c>
      <c r="BX650">
        <v>1</v>
      </c>
      <c r="BY650" t="s">
        <v>3</v>
      </c>
      <c r="BZ650">
        <v>79</v>
      </c>
      <c r="CA650">
        <v>41</v>
      </c>
      <c r="CB650" t="s">
        <v>3</v>
      </c>
      <c r="CE650">
        <v>30</v>
      </c>
      <c r="CF650">
        <v>0</v>
      </c>
      <c r="CG650">
        <v>0</v>
      </c>
      <c r="CM650">
        <v>0</v>
      </c>
      <c r="CN650" t="s">
        <v>3</v>
      </c>
      <c r="CO650">
        <v>0</v>
      </c>
      <c r="CP650">
        <f t="shared" si="576"/>
        <v>629.14</v>
      </c>
      <c r="CQ650">
        <f t="shared" si="577"/>
        <v>20.02</v>
      </c>
      <c r="CR650">
        <f t="shared" si="578"/>
        <v>9.65</v>
      </c>
      <c r="CS650">
        <f t="shared" si="579"/>
        <v>5.52</v>
      </c>
      <c r="CT650">
        <f t="shared" si="580"/>
        <v>599.47</v>
      </c>
      <c r="CU650">
        <f t="shared" si="581"/>
        <v>0</v>
      </c>
      <c r="CV650">
        <f t="shared" si="582"/>
        <v>1.35</v>
      </c>
      <c r="CW650">
        <f t="shared" si="583"/>
        <v>0</v>
      </c>
      <c r="CX650">
        <f t="shared" si="584"/>
        <v>0</v>
      </c>
      <c r="CY650">
        <f>S650*(BZ650/100)</f>
        <v>473.58130000000006</v>
      </c>
      <c r="CZ650">
        <f>S650*(CA650/100)</f>
        <v>245.78270000000001</v>
      </c>
      <c r="DC650" t="s">
        <v>3</v>
      </c>
      <c r="DD650" t="s">
        <v>3</v>
      </c>
      <c r="DE650" t="s">
        <v>3</v>
      </c>
      <c r="DF650" t="s">
        <v>3</v>
      </c>
      <c r="DG650" t="s">
        <v>3</v>
      </c>
      <c r="DH650" t="s">
        <v>3</v>
      </c>
      <c r="DI650" t="s">
        <v>3</v>
      </c>
      <c r="DJ650" t="s">
        <v>3</v>
      </c>
      <c r="DK650" t="s">
        <v>3</v>
      </c>
      <c r="DL650" t="s">
        <v>3</v>
      </c>
      <c r="DM650" t="s">
        <v>3</v>
      </c>
      <c r="DN650">
        <v>114</v>
      </c>
      <c r="DO650">
        <v>67</v>
      </c>
      <c r="DP650">
        <v>1</v>
      </c>
      <c r="DQ650">
        <v>1</v>
      </c>
      <c r="DU650">
        <v>1013</v>
      </c>
      <c r="DV650" t="s">
        <v>231</v>
      </c>
      <c r="DW650" t="s">
        <v>231</v>
      </c>
      <c r="DX650">
        <v>1</v>
      </c>
      <c r="DZ650" t="s">
        <v>3</v>
      </c>
      <c r="EA650" t="s">
        <v>3</v>
      </c>
      <c r="EB650" t="s">
        <v>3</v>
      </c>
      <c r="EC650" t="s">
        <v>3</v>
      </c>
      <c r="EE650">
        <v>126053199</v>
      </c>
      <c r="EF650">
        <v>40</v>
      </c>
      <c r="EG650" t="s">
        <v>621</v>
      </c>
      <c r="EH650">
        <v>0</v>
      </c>
      <c r="EI650" t="s">
        <v>3</v>
      </c>
      <c r="EJ650">
        <v>2</v>
      </c>
      <c r="EK650">
        <v>1738</v>
      </c>
      <c r="EL650" t="s">
        <v>627</v>
      </c>
      <c r="EM650" t="s">
        <v>628</v>
      </c>
      <c r="EO650" t="s">
        <v>3</v>
      </c>
      <c r="EQ650">
        <v>131072</v>
      </c>
      <c r="ER650">
        <v>22.38</v>
      </c>
      <c r="ES650">
        <v>0.88</v>
      </c>
      <c r="ET650">
        <v>0.85</v>
      </c>
      <c r="EU650">
        <v>0.19</v>
      </c>
      <c r="EV650">
        <v>20.65</v>
      </c>
      <c r="EW650">
        <v>1.35</v>
      </c>
      <c r="EX650">
        <v>0</v>
      </c>
      <c r="EY650">
        <v>0</v>
      </c>
      <c r="FQ650">
        <v>0</v>
      </c>
      <c r="FR650">
        <f t="shared" si="585"/>
        <v>0</v>
      </c>
      <c r="FS650">
        <v>0</v>
      </c>
      <c r="FX650">
        <v>114</v>
      </c>
      <c r="FY650">
        <v>67</v>
      </c>
      <c r="GA650" t="s">
        <v>3</v>
      </c>
      <c r="GD650">
        <v>0</v>
      </c>
      <c r="GF650">
        <v>366691270</v>
      </c>
      <c r="GG650">
        <v>2</v>
      </c>
      <c r="GH650">
        <v>1</v>
      </c>
      <c r="GI650">
        <v>2</v>
      </c>
      <c r="GJ650">
        <v>0</v>
      </c>
      <c r="GK650">
        <f>ROUND(R650*(S12)/100,2)</f>
        <v>8.83</v>
      </c>
      <c r="GL650">
        <f t="shared" si="586"/>
        <v>0</v>
      </c>
      <c r="GM650">
        <f t="shared" si="587"/>
        <v>1357.33</v>
      </c>
      <c r="GN650">
        <f t="shared" si="588"/>
        <v>0</v>
      </c>
      <c r="GO650">
        <f t="shared" si="589"/>
        <v>1357.33</v>
      </c>
      <c r="GP650">
        <f t="shared" si="590"/>
        <v>0</v>
      </c>
      <c r="GR650">
        <v>0</v>
      </c>
      <c r="GS650">
        <v>3</v>
      </c>
      <c r="GT650">
        <v>0</v>
      </c>
      <c r="GU650" t="s">
        <v>3</v>
      </c>
      <c r="GV650">
        <f t="shared" si="591"/>
        <v>0</v>
      </c>
      <c r="GW650">
        <v>1</v>
      </c>
      <c r="GX650">
        <f t="shared" si="592"/>
        <v>0</v>
      </c>
      <c r="HA650">
        <v>0</v>
      </c>
      <c r="HB650">
        <v>0</v>
      </c>
      <c r="HC650">
        <f t="shared" si="593"/>
        <v>0</v>
      </c>
      <c r="HE650" t="s">
        <v>3</v>
      </c>
      <c r="HF650" t="s">
        <v>3</v>
      </c>
      <c r="HM650" t="s">
        <v>3</v>
      </c>
      <c r="HN650" t="s">
        <v>3</v>
      </c>
      <c r="HO650" t="s">
        <v>3</v>
      </c>
      <c r="HP650" t="s">
        <v>3</v>
      </c>
      <c r="HQ650" t="s">
        <v>3</v>
      </c>
      <c r="IK650">
        <v>0</v>
      </c>
    </row>
    <row r="651" spans="1:255" x14ac:dyDescent="0.2">
      <c r="A651" s="2">
        <v>17</v>
      </c>
      <c r="B651" s="2">
        <v>1</v>
      </c>
      <c r="C651" s="2">
        <f>ROW(SmtRes!A666)</f>
        <v>666</v>
      </c>
      <c r="D651" s="2">
        <f>ROW(EtalonRes!A658)</f>
        <v>658</v>
      </c>
      <c r="E651" s="2" t="s">
        <v>96</v>
      </c>
      <c r="F651" s="2" t="s">
        <v>629</v>
      </c>
      <c r="G651" s="2" t="s">
        <v>630</v>
      </c>
      <c r="H651" s="2" t="s">
        <v>231</v>
      </c>
      <c r="I651" s="2">
        <v>1</v>
      </c>
      <c r="J651" s="2">
        <v>0</v>
      </c>
      <c r="K651" s="2">
        <v>1</v>
      </c>
      <c r="L651" s="2"/>
      <c r="M651" s="2"/>
      <c r="N651" s="2"/>
      <c r="O651" s="2">
        <f t="shared" si="556"/>
        <v>169.53</v>
      </c>
      <c r="P651" s="2">
        <f t="shared" si="557"/>
        <v>5.1100000000000003</v>
      </c>
      <c r="Q651" s="2">
        <f t="shared" si="558"/>
        <v>29.2</v>
      </c>
      <c r="R651" s="2">
        <f t="shared" si="559"/>
        <v>6.76</v>
      </c>
      <c r="S651" s="2">
        <f t="shared" si="560"/>
        <v>135.22</v>
      </c>
      <c r="T651" s="2">
        <f t="shared" si="561"/>
        <v>0</v>
      </c>
      <c r="U651" s="2">
        <f t="shared" si="562"/>
        <v>9.3000000000000007</v>
      </c>
      <c r="V651" s="2">
        <f t="shared" si="563"/>
        <v>0</v>
      </c>
      <c r="W651" s="2">
        <f t="shared" si="564"/>
        <v>0</v>
      </c>
      <c r="X651" s="2">
        <f t="shared" si="565"/>
        <v>154.15</v>
      </c>
      <c r="Y651" s="2">
        <f t="shared" si="566"/>
        <v>90.6</v>
      </c>
      <c r="Z651" s="2"/>
      <c r="AA651" s="2">
        <v>129761636</v>
      </c>
      <c r="AB651" s="2">
        <f t="shared" si="567"/>
        <v>169.53</v>
      </c>
      <c r="AC651" s="2">
        <f t="shared" si="568"/>
        <v>5.1100000000000003</v>
      </c>
      <c r="AD651" s="2">
        <f t="shared" si="569"/>
        <v>29.2</v>
      </c>
      <c r="AE651" s="2">
        <f t="shared" si="570"/>
        <v>6.76</v>
      </c>
      <c r="AF651" s="2">
        <f t="shared" si="571"/>
        <v>135.22</v>
      </c>
      <c r="AG651" s="2">
        <f t="shared" si="572"/>
        <v>0</v>
      </c>
      <c r="AH651" s="2">
        <f t="shared" si="573"/>
        <v>9.3000000000000007</v>
      </c>
      <c r="AI651" s="2">
        <f t="shared" si="574"/>
        <v>0</v>
      </c>
      <c r="AJ651" s="2">
        <f t="shared" si="575"/>
        <v>0</v>
      </c>
      <c r="AK651" s="2">
        <v>169.53</v>
      </c>
      <c r="AL651" s="2">
        <v>5.1100000000000003</v>
      </c>
      <c r="AM651" s="2">
        <v>29.2</v>
      </c>
      <c r="AN651" s="2">
        <v>6.76</v>
      </c>
      <c r="AO651" s="2">
        <v>135.22</v>
      </c>
      <c r="AP651" s="2">
        <v>0</v>
      </c>
      <c r="AQ651" s="2">
        <v>9.3000000000000007</v>
      </c>
      <c r="AR651" s="2">
        <v>0</v>
      </c>
      <c r="AS651" s="2">
        <v>0</v>
      </c>
      <c r="AT651" s="2">
        <v>114</v>
      </c>
      <c r="AU651" s="2">
        <v>67</v>
      </c>
      <c r="AV651" s="2">
        <v>1</v>
      </c>
      <c r="AW651" s="2">
        <v>1</v>
      </c>
      <c r="AX651" s="2"/>
      <c r="AY651" s="2"/>
      <c r="AZ651" s="2">
        <v>1</v>
      </c>
      <c r="BA651" s="2">
        <v>1</v>
      </c>
      <c r="BB651" s="2">
        <v>1</v>
      </c>
      <c r="BC651" s="2">
        <v>1</v>
      </c>
      <c r="BD651" s="2" t="s">
        <v>3</v>
      </c>
      <c r="BE651" s="2" t="s">
        <v>3</v>
      </c>
      <c r="BF651" s="2" t="s">
        <v>3</v>
      </c>
      <c r="BG651" s="2" t="s">
        <v>3</v>
      </c>
      <c r="BH651" s="2">
        <v>0</v>
      </c>
      <c r="BI651" s="2">
        <v>2</v>
      </c>
      <c r="BJ651" s="2" t="s">
        <v>631</v>
      </c>
      <c r="BK651" s="2"/>
      <c r="BL651" s="2"/>
      <c r="BM651" s="2">
        <v>336</v>
      </c>
      <c r="BN651" s="2">
        <v>0</v>
      </c>
      <c r="BO651" s="2" t="s">
        <v>3</v>
      </c>
      <c r="BP651" s="2">
        <v>0</v>
      </c>
      <c r="BQ651" s="2">
        <v>40</v>
      </c>
      <c r="BR651" s="2">
        <v>0</v>
      </c>
      <c r="BS651" s="2">
        <v>1</v>
      </c>
      <c r="BT651" s="2">
        <v>1</v>
      </c>
      <c r="BU651" s="2">
        <v>1</v>
      </c>
      <c r="BV651" s="2">
        <v>1</v>
      </c>
      <c r="BW651" s="2">
        <v>1</v>
      </c>
      <c r="BX651" s="2">
        <v>1</v>
      </c>
      <c r="BY651" s="2" t="s">
        <v>3</v>
      </c>
      <c r="BZ651" s="2">
        <v>114</v>
      </c>
      <c r="CA651" s="2">
        <v>67</v>
      </c>
      <c r="CB651" s="2" t="s">
        <v>3</v>
      </c>
      <c r="CC651" s="2"/>
      <c r="CD651" s="2"/>
      <c r="CE651" s="2">
        <v>30</v>
      </c>
      <c r="CF651" s="2">
        <v>0</v>
      </c>
      <c r="CG651" s="2">
        <v>0</v>
      </c>
      <c r="CH651" s="2"/>
      <c r="CI651" s="2"/>
      <c r="CJ651" s="2"/>
      <c r="CK651" s="2"/>
      <c r="CL651" s="2"/>
      <c r="CM651" s="2">
        <v>0</v>
      </c>
      <c r="CN651" s="2" t="s">
        <v>3</v>
      </c>
      <c r="CO651" s="2">
        <v>0</v>
      </c>
      <c r="CP651" s="2">
        <f t="shared" si="576"/>
        <v>169.53</v>
      </c>
      <c r="CQ651" s="2">
        <f t="shared" si="577"/>
        <v>5.1100000000000003</v>
      </c>
      <c r="CR651" s="2">
        <f t="shared" si="578"/>
        <v>29.2</v>
      </c>
      <c r="CS651" s="2">
        <f t="shared" si="579"/>
        <v>6.76</v>
      </c>
      <c r="CT651" s="2">
        <f t="shared" si="580"/>
        <v>135.22</v>
      </c>
      <c r="CU651" s="2">
        <f t="shared" si="581"/>
        <v>0</v>
      </c>
      <c r="CV651" s="2">
        <f t="shared" si="582"/>
        <v>9.3000000000000007</v>
      </c>
      <c r="CW651" s="2">
        <f t="shared" si="583"/>
        <v>0</v>
      </c>
      <c r="CX651" s="2">
        <f t="shared" si="584"/>
        <v>0</v>
      </c>
      <c r="CY651" s="2">
        <f>((S651*BZ651)/100)</f>
        <v>154.1508</v>
      </c>
      <c r="CZ651" s="2">
        <f>((S651*CA651)/100)</f>
        <v>90.597399999999993</v>
      </c>
      <c r="DA651" s="2"/>
      <c r="DB651" s="2"/>
      <c r="DC651" s="2" t="s">
        <v>3</v>
      </c>
      <c r="DD651" s="2" t="s">
        <v>3</v>
      </c>
      <c r="DE651" s="2" t="s">
        <v>3</v>
      </c>
      <c r="DF651" s="2" t="s">
        <v>3</v>
      </c>
      <c r="DG651" s="2" t="s">
        <v>3</v>
      </c>
      <c r="DH651" s="2" t="s">
        <v>3</v>
      </c>
      <c r="DI651" s="2" t="s">
        <v>3</v>
      </c>
      <c r="DJ651" s="2" t="s">
        <v>3</v>
      </c>
      <c r="DK651" s="2" t="s">
        <v>3</v>
      </c>
      <c r="DL651" s="2" t="s">
        <v>3</v>
      </c>
      <c r="DM651" s="2" t="s">
        <v>3</v>
      </c>
      <c r="DN651" s="2">
        <v>0</v>
      </c>
      <c r="DO651" s="2">
        <v>0</v>
      </c>
      <c r="DP651" s="2">
        <v>1</v>
      </c>
      <c r="DQ651" s="2">
        <v>1</v>
      </c>
      <c r="DR651" s="2"/>
      <c r="DS651" s="2"/>
      <c r="DT651" s="2"/>
      <c r="DU651" s="2">
        <v>1013</v>
      </c>
      <c r="DV651" s="2" t="s">
        <v>231</v>
      </c>
      <c r="DW651" s="2" t="s">
        <v>231</v>
      </c>
      <c r="DX651" s="2">
        <v>1</v>
      </c>
      <c r="DY651" s="2"/>
      <c r="DZ651" s="2" t="s">
        <v>3</v>
      </c>
      <c r="EA651" s="2" t="s">
        <v>3</v>
      </c>
      <c r="EB651" s="2" t="s">
        <v>3</v>
      </c>
      <c r="EC651" s="2" t="s">
        <v>3</v>
      </c>
      <c r="ED651" s="2"/>
      <c r="EE651" s="2">
        <v>126051797</v>
      </c>
      <c r="EF651" s="2">
        <v>40</v>
      </c>
      <c r="EG651" s="2" t="s">
        <v>621</v>
      </c>
      <c r="EH651" s="2">
        <v>0</v>
      </c>
      <c r="EI651" s="2" t="s">
        <v>3</v>
      </c>
      <c r="EJ651" s="2">
        <v>2</v>
      </c>
      <c r="EK651" s="2">
        <v>336</v>
      </c>
      <c r="EL651" s="2" t="s">
        <v>632</v>
      </c>
      <c r="EM651" s="2" t="s">
        <v>633</v>
      </c>
      <c r="EN651" s="2"/>
      <c r="EO651" s="2" t="s">
        <v>3</v>
      </c>
      <c r="EP651" s="2"/>
      <c r="EQ651" s="2">
        <v>131072</v>
      </c>
      <c r="ER651" s="2">
        <v>169.53</v>
      </c>
      <c r="ES651" s="2">
        <v>5.1100000000000003</v>
      </c>
      <c r="ET651" s="2">
        <v>29.2</v>
      </c>
      <c r="EU651" s="2">
        <v>6.76</v>
      </c>
      <c r="EV651" s="2">
        <v>135.22</v>
      </c>
      <c r="EW651" s="2">
        <v>9.3000000000000007</v>
      </c>
      <c r="EX651" s="2">
        <v>0</v>
      </c>
      <c r="EY651" s="2">
        <v>0</v>
      </c>
      <c r="EZ651" s="2"/>
      <c r="FA651" s="2"/>
      <c r="FB651" s="2"/>
      <c r="FC651" s="2"/>
      <c r="FD651" s="2"/>
      <c r="FE651" s="2"/>
      <c r="FF651" s="2"/>
      <c r="FG651" s="2"/>
      <c r="FH651" s="2"/>
      <c r="FI651" s="2"/>
      <c r="FJ651" s="2"/>
      <c r="FK651" s="2"/>
      <c r="FL651" s="2"/>
      <c r="FM651" s="2"/>
      <c r="FN651" s="2"/>
      <c r="FO651" s="2"/>
      <c r="FP651" s="2"/>
      <c r="FQ651" s="2">
        <v>0</v>
      </c>
      <c r="FR651" s="2">
        <f t="shared" si="585"/>
        <v>0</v>
      </c>
      <c r="FS651" s="2">
        <v>0</v>
      </c>
      <c r="FT651" s="2"/>
      <c r="FU651" s="2"/>
      <c r="FV651" s="2"/>
      <c r="FW651" s="2"/>
      <c r="FX651" s="2">
        <v>114</v>
      </c>
      <c r="FY651" s="2">
        <v>67</v>
      </c>
      <c r="FZ651" s="2"/>
      <c r="GA651" s="2" t="s">
        <v>3</v>
      </c>
      <c r="GB651" s="2"/>
      <c r="GC651" s="2"/>
      <c r="GD651" s="2">
        <v>0</v>
      </c>
      <c r="GE651" s="2"/>
      <c r="GF651" s="2">
        <v>1307608644</v>
      </c>
      <c r="GG651" s="2">
        <v>2</v>
      </c>
      <c r="GH651" s="2">
        <v>1</v>
      </c>
      <c r="GI651" s="2">
        <v>-2</v>
      </c>
      <c r="GJ651" s="2">
        <v>0</v>
      </c>
      <c r="GK651" s="2">
        <f>ROUND(R651*(R12)/100,2)</f>
        <v>11.83</v>
      </c>
      <c r="GL651" s="2">
        <f t="shared" si="586"/>
        <v>0</v>
      </c>
      <c r="GM651" s="2">
        <f t="shared" si="587"/>
        <v>426.11</v>
      </c>
      <c r="GN651" s="2">
        <f t="shared" si="588"/>
        <v>0</v>
      </c>
      <c r="GO651" s="2">
        <f t="shared" si="589"/>
        <v>426.11</v>
      </c>
      <c r="GP651" s="2">
        <f t="shared" si="590"/>
        <v>0</v>
      </c>
      <c r="GQ651" s="2"/>
      <c r="GR651" s="2">
        <v>0</v>
      </c>
      <c r="GS651" s="2">
        <v>0</v>
      </c>
      <c r="GT651" s="2">
        <v>0</v>
      </c>
      <c r="GU651" s="2" t="s">
        <v>3</v>
      </c>
      <c r="GV651" s="2">
        <f t="shared" si="591"/>
        <v>0</v>
      </c>
      <c r="GW651" s="2">
        <v>1</v>
      </c>
      <c r="GX651" s="2">
        <f t="shared" si="592"/>
        <v>0</v>
      </c>
      <c r="GY651" s="2"/>
      <c r="GZ651" s="2"/>
      <c r="HA651" s="2">
        <v>0</v>
      </c>
      <c r="HB651" s="2">
        <v>0</v>
      </c>
      <c r="HC651" s="2">
        <f t="shared" si="593"/>
        <v>0</v>
      </c>
      <c r="HD651" s="2"/>
      <c r="HE651" s="2" t="s">
        <v>3</v>
      </c>
      <c r="HF651" s="2" t="s">
        <v>3</v>
      </c>
      <c r="HG651" s="2"/>
      <c r="HH651" s="2"/>
      <c r="HI651" s="2"/>
      <c r="HJ651" s="2"/>
      <c r="HK651" s="2"/>
      <c r="HL651" s="2"/>
      <c r="HM651" s="2" t="s">
        <v>3</v>
      </c>
      <c r="HN651" s="2" t="s">
        <v>3</v>
      </c>
      <c r="HO651" s="2" t="s">
        <v>3</v>
      </c>
      <c r="HP651" s="2" t="s">
        <v>3</v>
      </c>
      <c r="HQ651" s="2" t="s">
        <v>3</v>
      </c>
      <c r="HR651" s="2"/>
      <c r="HS651" s="2"/>
      <c r="HT651" s="2"/>
      <c r="HU651" s="2"/>
      <c r="HV651" s="2"/>
      <c r="HW651" s="2"/>
      <c r="HX651" s="2"/>
      <c r="HY651" s="2"/>
      <c r="HZ651" s="2"/>
      <c r="IA651" s="2"/>
      <c r="IB651" s="2"/>
      <c r="IC651" s="2"/>
      <c r="ID651" s="2"/>
      <c r="IE651" s="2"/>
      <c r="IF651" s="2"/>
      <c r="IG651" s="2"/>
      <c r="IH651" s="2"/>
      <c r="II651" s="2"/>
      <c r="IJ651" s="2"/>
      <c r="IK651" s="2">
        <v>0</v>
      </c>
      <c r="IL651" s="2"/>
      <c r="IM651" s="2"/>
      <c r="IN651" s="2"/>
      <c r="IO651" s="2"/>
      <c r="IP651" s="2"/>
      <c r="IQ651" s="2"/>
      <c r="IR651" s="2"/>
      <c r="IS651" s="2"/>
      <c r="IT651" s="2"/>
      <c r="IU651" s="2"/>
    </row>
    <row r="652" spans="1:255" x14ac:dyDescent="0.2">
      <c r="A652">
        <v>17</v>
      </c>
      <c r="B652">
        <v>1</v>
      </c>
      <c r="C652">
        <f>ROW(SmtRes!A668)</f>
        <v>668</v>
      </c>
      <c r="D652">
        <f>ROW(EtalonRes!A660)</f>
        <v>660</v>
      </c>
      <c r="E652" t="s">
        <v>96</v>
      </c>
      <c r="F652" t="s">
        <v>629</v>
      </c>
      <c r="G652" t="s">
        <v>630</v>
      </c>
      <c r="H652" t="s">
        <v>231</v>
      </c>
      <c r="I652">
        <v>1</v>
      </c>
      <c r="J652">
        <v>0</v>
      </c>
      <c r="K652">
        <v>1</v>
      </c>
      <c r="O652">
        <f t="shared" si="556"/>
        <v>4301.51</v>
      </c>
      <c r="P652">
        <f t="shared" si="557"/>
        <v>45.53</v>
      </c>
      <c r="Q652">
        <f t="shared" si="558"/>
        <v>330.54</v>
      </c>
      <c r="R652">
        <f t="shared" si="559"/>
        <v>196.24</v>
      </c>
      <c r="S652">
        <f t="shared" si="560"/>
        <v>3925.44</v>
      </c>
      <c r="T652">
        <f t="shared" si="561"/>
        <v>0</v>
      </c>
      <c r="U652">
        <f t="shared" si="562"/>
        <v>9.3000000000000007</v>
      </c>
      <c r="V652">
        <f t="shared" si="563"/>
        <v>0</v>
      </c>
      <c r="W652">
        <f t="shared" si="564"/>
        <v>0</v>
      </c>
      <c r="X652">
        <f t="shared" si="565"/>
        <v>3101.1</v>
      </c>
      <c r="Y652">
        <f t="shared" si="566"/>
        <v>1609.43</v>
      </c>
      <c r="AA652">
        <v>129761633</v>
      </c>
      <c r="AB652">
        <f t="shared" si="567"/>
        <v>169.53</v>
      </c>
      <c r="AC652">
        <f t="shared" si="568"/>
        <v>5.1100000000000003</v>
      </c>
      <c r="AD652">
        <f t="shared" si="569"/>
        <v>29.2</v>
      </c>
      <c r="AE652">
        <f t="shared" si="570"/>
        <v>6.76</v>
      </c>
      <c r="AF652">
        <f t="shared" si="571"/>
        <v>135.22</v>
      </c>
      <c r="AG652">
        <f t="shared" si="572"/>
        <v>0</v>
      </c>
      <c r="AH652">
        <f t="shared" si="573"/>
        <v>9.3000000000000007</v>
      </c>
      <c r="AI652">
        <f t="shared" si="574"/>
        <v>0</v>
      </c>
      <c r="AJ652">
        <f t="shared" si="575"/>
        <v>0</v>
      </c>
      <c r="AK652">
        <v>169.53</v>
      </c>
      <c r="AL652">
        <v>5.1100000000000003</v>
      </c>
      <c r="AM652">
        <v>29.2</v>
      </c>
      <c r="AN652">
        <v>6.76</v>
      </c>
      <c r="AO652">
        <v>135.22</v>
      </c>
      <c r="AP652">
        <v>0</v>
      </c>
      <c r="AQ652">
        <v>9.3000000000000007</v>
      </c>
      <c r="AR652">
        <v>0</v>
      </c>
      <c r="AS652">
        <v>0</v>
      </c>
      <c r="AT652">
        <v>79</v>
      </c>
      <c r="AU652">
        <v>41</v>
      </c>
      <c r="AV652">
        <v>1</v>
      </c>
      <c r="AW652">
        <v>1</v>
      </c>
      <c r="AZ652">
        <v>1</v>
      </c>
      <c r="BA652">
        <v>29.03</v>
      </c>
      <c r="BB652">
        <v>11.32</v>
      </c>
      <c r="BC652">
        <v>8.91</v>
      </c>
      <c r="BD652" t="s">
        <v>3</v>
      </c>
      <c r="BE652" t="s">
        <v>3</v>
      </c>
      <c r="BF652" t="s">
        <v>3</v>
      </c>
      <c r="BG652" t="s">
        <v>3</v>
      </c>
      <c r="BH652">
        <v>0</v>
      </c>
      <c r="BI652">
        <v>2</v>
      </c>
      <c r="BJ652" t="s">
        <v>631</v>
      </c>
      <c r="BM652">
        <v>336</v>
      </c>
      <c r="BN652">
        <v>0</v>
      </c>
      <c r="BO652" t="s">
        <v>629</v>
      </c>
      <c r="BP652">
        <v>1</v>
      </c>
      <c r="BQ652">
        <v>40</v>
      </c>
      <c r="BR652">
        <v>0</v>
      </c>
      <c r="BS652">
        <v>29.03</v>
      </c>
      <c r="BT652">
        <v>1</v>
      </c>
      <c r="BU652">
        <v>1</v>
      </c>
      <c r="BV652">
        <v>1</v>
      </c>
      <c r="BW652">
        <v>1</v>
      </c>
      <c r="BX652">
        <v>1</v>
      </c>
      <c r="BY652" t="s">
        <v>3</v>
      </c>
      <c r="BZ652">
        <v>79</v>
      </c>
      <c r="CA652">
        <v>41</v>
      </c>
      <c r="CB652" t="s">
        <v>3</v>
      </c>
      <c r="CE652">
        <v>30</v>
      </c>
      <c r="CF652">
        <v>0</v>
      </c>
      <c r="CG652">
        <v>0</v>
      </c>
      <c r="CM652">
        <v>0</v>
      </c>
      <c r="CN652" t="s">
        <v>3</v>
      </c>
      <c r="CO652">
        <v>0</v>
      </c>
      <c r="CP652">
        <f t="shared" si="576"/>
        <v>4301.51</v>
      </c>
      <c r="CQ652">
        <f t="shared" si="577"/>
        <v>45.53</v>
      </c>
      <c r="CR652">
        <f t="shared" si="578"/>
        <v>330.54</v>
      </c>
      <c r="CS652">
        <f t="shared" si="579"/>
        <v>196.24</v>
      </c>
      <c r="CT652">
        <f t="shared" si="580"/>
        <v>3925.44</v>
      </c>
      <c r="CU652">
        <f t="shared" si="581"/>
        <v>0</v>
      </c>
      <c r="CV652">
        <f t="shared" si="582"/>
        <v>9.3000000000000007</v>
      </c>
      <c r="CW652">
        <f t="shared" si="583"/>
        <v>0</v>
      </c>
      <c r="CX652">
        <f t="shared" si="584"/>
        <v>0</v>
      </c>
      <c r="CY652">
        <f>S652*(BZ652/100)</f>
        <v>3101.0976000000001</v>
      </c>
      <c r="CZ652">
        <f>S652*(CA652/100)</f>
        <v>1609.4304</v>
      </c>
      <c r="DC652" t="s">
        <v>3</v>
      </c>
      <c r="DD652" t="s">
        <v>3</v>
      </c>
      <c r="DE652" t="s">
        <v>3</v>
      </c>
      <c r="DF652" t="s">
        <v>3</v>
      </c>
      <c r="DG652" t="s">
        <v>3</v>
      </c>
      <c r="DH652" t="s">
        <v>3</v>
      </c>
      <c r="DI652" t="s">
        <v>3</v>
      </c>
      <c r="DJ652" t="s">
        <v>3</v>
      </c>
      <c r="DK652" t="s">
        <v>3</v>
      </c>
      <c r="DL652" t="s">
        <v>3</v>
      </c>
      <c r="DM652" t="s">
        <v>3</v>
      </c>
      <c r="DN652">
        <v>114</v>
      </c>
      <c r="DO652">
        <v>67</v>
      </c>
      <c r="DP652">
        <v>1</v>
      </c>
      <c r="DQ652">
        <v>1</v>
      </c>
      <c r="DU652">
        <v>1013</v>
      </c>
      <c r="DV652" t="s">
        <v>231</v>
      </c>
      <c r="DW652" t="s">
        <v>231</v>
      </c>
      <c r="DX652">
        <v>1</v>
      </c>
      <c r="DZ652" t="s">
        <v>3</v>
      </c>
      <c r="EA652" t="s">
        <v>3</v>
      </c>
      <c r="EB652" t="s">
        <v>3</v>
      </c>
      <c r="EC652" t="s">
        <v>3</v>
      </c>
      <c r="EE652">
        <v>126051797</v>
      </c>
      <c r="EF652">
        <v>40</v>
      </c>
      <c r="EG652" t="s">
        <v>621</v>
      </c>
      <c r="EH652">
        <v>0</v>
      </c>
      <c r="EI652" t="s">
        <v>3</v>
      </c>
      <c r="EJ652">
        <v>2</v>
      </c>
      <c r="EK652">
        <v>336</v>
      </c>
      <c r="EL652" t="s">
        <v>632</v>
      </c>
      <c r="EM652" t="s">
        <v>633</v>
      </c>
      <c r="EO652" t="s">
        <v>3</v>
      </c>
      <c r="EQ652">
        <v>131072</v>
      </c>
      <c r="ER652">
        <v>169.53</v>
      </c>
      <c r="ES652">
        <v>5.1100000000000003</v>
      </c>
      <c r="ET652">
        <v>29.2</v>
      </c>
      <c r="EU652">
        <v>6.76</v>
      </c>
      <c r="EV652">
        <v>135.22</v>
      </c>
      <c r="EW652">
        <v>9.3000000000000007</v>
      </c>
      <c r="EX652">
        <v>0</v>
      </c>
      <c r="EY652">
        <v>0</v>
      </c>
      <c r="FQ652">
        <v>0</v>
      </c>
      <c r="FR652">
        <f t="shared" si="585"/>
        <v>0</v>
      </c>
      <c r="FS652">
        <v>0</v>
      </c>
      <c r="FX652">
        <v>114</v>
      </c>
      <c r="FY652">
        <v>67</v>
      </c>
      <c r="GA652" t="s">
        <v>3</v>
      </c>
      <c r="GD652">
        <v>0</v>
      </c>
      <c r="GF652">
        <v>1307608644</v>
      </c>
      <c r="GG652">
        <v>2</v>
      </c>
      <c r="GH652">
        <v>1</v>
      </c>
      <c r="GI652">
        <v>2</v>
      </c>
      <c r="GJ652">
        <v>0</v>
      </c>
      <c r="GK652">
        <f>ROUND(R652*(S12)/100,2)</f>
        <v>313.98</v>
      </c>
      <c r="GL652">
        <f t="shared" si="586"/>
        <v>0</v>
      </c>
      <c r="GM652">
        <f t="shared" si="587"/>
        <v>9326.02</v>
      </c>
      <c r="GN652">
        <f t="shared" si="588"/>
        <v>0</v>
      </c>
      <c r="GO652">
        <f t="shared" si="589"/>
        <v>9326.02</v>
      </c>
      <c r="GP652">
        <f t="shared" si="590"/>
        <v>0</v>
      </c>
      <c r="GR652">
        <v>0</v>
      </c>
      <c r="GS652">
        <v>3</v>
      </c>
      <c r="GT652">
        <v>0</v>
      </c>
      <c r="GU652" t="s">
        <v>3</v>
      </c>
      <c r="GV652">
        <f t="shared" si="591"/>
        <v>0</v>
      </c>
      <c r="GW652">
        <v>1</v>
      </c>
      <c r="GX652">
        <f t="shared" si="592"/>
        <v>0</v>
      </c>
      <c r="HA652">
        <v>0</v>
      </c>
      <c r="HB652">
        <v>0</v>
      </c>
      <c r="HC652">
        <f t="shared" si="593"/>
        <v>0</v>
      </c>
      <c r="HE652" t="s">
        <v>3</v>
      </c>
      <c r="HF652" t="s">
        <v>3</v>
      </c>
      <c r="HM652" t="s">
        <v>3</v>
      </c>
      <c r="HN652" t="s">
        <v>3</v>
      </c>
      <c r="HO652" t="s">
        <v>3</v>
      </c>
      <c r="HP652" t="s">
        <v>3</v>
      </c>
      <c r="HQ652" t="s">
        <v>3</v>
      </c>
      <c r="IK652">
        <v>0</v>
      </c>
    </row>
    <row r="653" spans="1:255" x14ac:dyDescent="0.2">
      <c r="A653" s="2">
        <v>17</v>
      </c>
      <c r="B653" s="2">
        <v>1</v>
      </c>
      <c r="C653" s="2">
        <f>ROW(SmtRes!A669)</f>
        <v>669</v>
      </c>
      <c r="D653" s="2">
        <f>ROW(EtalonRes!A661)</f>
        <v>661</v>
      </c>
      <c r="E653" s="2" t="s">
        <v>104</v>
      </c>
      <c r="F653" s="2" t="s">
        <v>634</v>
      </c>
      <c r="G653" s="2" t="s">
        <v>635</v>
      </c>
      <c r="H653" s="2" t="s">
        <v>231</v>
      </c>
      <c r="I653" s="2">
        <v>1</v>
      </c>
      <c r="J653" s="2">
        <v>0</v>
      </c>
      <c r="K653" s="2">
        <v>1</v>
      </c>
      <c r="L653" s="2"/>
      <c r="M653" s="2"/>
      <c r="N653" s="2"/>
      <c r="O653" s="2">
        <f t="shared" si="556"/>
        <v>23.57</v>
      </c>
      <c r="P653" s="2">
        <f t="shared" si="557"/>
        <v>0.14000000000000001</v>
      </c>
      <c r="Q653" s="2">
        <f t="shared" si="558"/>
        <v>11.91</v>
      </c>
      <c r="R653" s="2">
        <f t="shared" si="559"/>
        <v>2.81</v>
      </c>
      <c r="S653" s="2">
        <f t="shared" si="560"/>
        <v>11.52</v>
      </c>
      <c r="T653" s="2">
        <f t="shared" si="561"/>
        <v>0</v>
      </c>
      <c r="U653" s="2">
        <f t="shared" si="562"/>
        <v>1.03</v>
      </c>
      <c r="V653" s="2">
        <f t="shared" si="563"/>
        <v>0</v>
      </c>
      <c r="W653" s="2">
        <f t="shared" si="564"/>
        <v>0</v>
      </c>
      <c r="X653" s="2">
        <f t="shared" si="565"/>
        <v>13.13</v>
      </c>
      <c r="Y653" s="2">
        <f t="shared" si="566"/>
        <v>7.72</v>
      </c>
      <c r="Z653" s="2"/>
      <c r="AA653" s="2">
        <v>129761636</v>
      </c>
      <c r="AB653" s="2">
        <f t="shared" si="567"/>
        <v>23.57</v>
      </c>
      <c r="AC653" s="2">
        <f t="shared" si="568"/>
        <v>0.14000000000000001</v>
      </c>
      <c r="AD653" s="2">
        <f t="shared" si="569"/>
        <v>11.91</v>
      </c>
      <c r="AE653" s="2">
        <f t="shared" si="570"/>
        <v>2.81</v>
      </c>
      <c r="AF653" s="2">
        <f t="shared" si="571"/>
        <v>11.52</v>
      </c>
      <c r="AG653" s="2">
        <f t="shared" si="572"/>
        <v>0</v>
      </c>
      <c r="AH653" s="2">
        <f t="shared" si="573"/>
        <v>1.03</v>
      </c>
      <c r="AI653" s="2">
        <f t="shared" si="574"/>
        <v>0</v>
      </c>
      <c r="AJ653" s="2">
        <f t="shared" si="575"/>
        <v>0</v>
      </c>
      <c r="AK653" s="2">
        <v>23.57</v>
      </c>
      <c r="AL653" s="2">
        <v>0.14000000000000001</v>
      </c>
      <c r="AM653" s="2">
        <v>11.91</v>
      </c>
      <c r="AN653" s="2">
        <v>2.81</v>
      </c>
      <c r="AO653" s="2">
        <v>11.52</v>
      </c>
      <c r="AP653" s="2">
        <v>0</v>
      </c>
      <c r="AQ653" s="2">
        <v>1.03</v>
      </c>
      <c r="AR653" s="2">
        <v>0</v>
      </c>
      <c r="AS653" s="2">
        <v>0</v>
      </c>
      <c r="AT653" s="2">
        <v>114</v>
      </c>
      <c r="AU653" s="2">
        <v>67</v>
      </c>
      <c r="AV653" s="2">
        <v>1</v>
      </c>
      <c r="AW653" s="2">
        <v>1</v>
      </c>
      <c r="AX653" s="2"/>
      <c r="AY653" s="2"/>
      <c r="AZ653" s="2">
        <v>1</v>
      </c>
      <c r="BA653" s="2">
        <v>1</v>
      </c>
      <c r="BB653" s="2">
        <v>1</v>
      </c>
      <c r="BC653" s="2">
        <v>1</v>
      </c>
      <c r="BD653" s="2" t="s">
        <v>3</v>
      </c>
      <c r="BE653" s="2" t="s">
        <v>3</v>
      </c>
      <c r="BF653" s="2" t="s">
        <v>3</v>
      </c>
      <c r="BG653" s="2" t="s">
        <v>3</v>
      </c>
      <c r="BH653" s="2">
        <v>0</v>
      </c>
      <c r="BI653" s="2">
        <v>2</v>
      </c>
      <c r="BJ653" s="2" t="s">
        <v>636</v>
      </c>
      <c r="BK653" s="2"/>
      <c r="BL653" s="2"/>
      <c r="BM653" s="2">
        <v>355</v>
      </c>
      <c r="BN653" s="2">
        <v>0</v>
      </c>
      <c r="BO653" s="2" t="s">
        <v>3</v>
      </c>
      <c r="BP653" s="2">
        <v>0</v>
      </c>
      <c r="BQ653" s="2">
        <v>40</v>
      </c>
      <c r="BR653" s="2">
        <v>0</v>
      </c>
      <c r="BS653" s="2">
        <v>1</v>
      </c>
      <c r="BT653" s="2">
        <v>1</v>
      </c>
      <c r="BU653" s="2">
        <v>1</v>
      </c>
      <c r="BV653" s="2">
        <v>1</v>
      </c>
      <c r="BW653" s="2">
        <v>1</v>
      </c>
      <c r="BX653" s="2">
        <v>1</v>
      </c>
      <c r="BY653" s="2" t="s">
        <v>3</v>
      </c>
      <c r="BZ653" s="2">
        <v>114</v>
      </c>
      <c r="CA653" s="2">
        <v>67</v>
      </c>
      <c r="CB653" s="2" t="s">
        <v>3</v>
      </c>
      <c r="CC653" s="2"/>
      <c r="CD653" s="2"/>
      <c r="CE653" s="2">
        <v>30</v>
      </c>
      <c r="CF653" s="2">
        <v>0</v>
      </c>
      <c r="CG653" s="2">
        <v>0</v>
      </c>
      <c r="CH653" s="2"/>
      <c r="CI653" s="2"/>
      <c r="CJ653" s="2"/>
      <c r="CK653" s="2"/>
      <c r="CL653" s="2"/>
      <c r="CM653" s="2">
        <v>0</v>
      </c>
      <c r="CN653" s="2" t="s">
        <v>3</v>
      </c>
      <c r="CO653" s="2">
        <v>0</v>
      </c>
      <c r="CP653" s="2">
        <f t="shared" si="576"/>
        <v>23.57</v>
      </c>
      <c r="CQ653" s="2">
        <f t="shared" si="577"/>
        <v>0.14000000000000001</v>
      </c>
      <c r="CR653" s="2">
        <f t="shared" si="578"/>
        <v>11.91</v>
      </c>
      <c r="CS653" s="2">
        <f t="shared" si="579"/>
        <v>2.81</v>
      </c>
      <c r="CT653" s="2">
        <f t="shared" si="580"/>
        <v>11.52</v>
      </c>
      <c r="CU653" s="2">
        <f t="shared" si="581"/>
        <v>0</v>
      </c>
      <c r="CV653" s="2">
        <f t="shared" si="582"/>
        <v>1.03</v>
      </c>
      <c r="CW653" s="2">
        <f t="shared" si="583"/>
        <v>0</v>
      </c>
      <c r="CX653" s="2">
        <f t="shared" si="584"/>
        <v>0</v>
      </c>
      <c r="CY653" s="2">
        <f>((S653*BZ653)/100)</f>
        <v>13.1328</v>
      </c>
      <c r="CZ653" s="2">
        <f>((S653*CA653)/100)</f>
        <v>7.718399999999999</v>
      </c>
      <c r="DA653" s="2"/>
      <c r="DB653" s="2"/>
      <c r="DC653" s="2" t="s">
        <v>3</v>
      </c>
      <c r="DD653" s="2" t="s">
        <v>3</v>
      </c>
      <c r="DE653" s="2" t="s">
        <v>3</v>
      </c>
      <c r="DF653" s="2" t="s">
        <v>3</v>
      </c>
      <c r="DG653" s="2" t="s">
        <v>3</v>
      </c>
      <c r="DH653" s="2" t="s">
        <v>3</v>
      </c>
      <c r="DI653" s="2" t="s">
        <v>3</v>
      </c>
      <c r="DJ653" s="2" t="s">
        <v>3</v>
      </c>
      <c r="DK653" s="2" t="s">
        <v>3</v>
      </c>
      <c r="DL653" s="2" t="s">
        <v>3</v>
      </c>
      <c r="DM653" s="2" t="s">
        <v>3</v>
      </c>
      <c r="DN653" s="2">
        <v>0</v>
      </c>
      <c r="DO653" s="2">
        <v>0</v>
      </c>
      <c r="DP653" s="2">
        <v>1</v>
      </c>
      <c r="DQ653" s="2">
        <v>1</v>
      </c>
      <c r="DR653" s="2"/>
      <c r="DS653" s="2"/>
      <c r="DT653" s="2"/>
      <c r="DU653" s="2">
        <v>1013</v>
      </c>
      <c r="DV653" s="2" t="s">
        <v>231</v>
      </c>
      <c r="DW653" s="2" t="s">
        <v>231</v>
      </c>
      <c r="DX653" s="2">
        <v>1</v>
      </c>
      <c r="DY653" s="2"/>
      <c r="DZ653" s="2" t="s">
        <v>3</v>
      </c>
      <c r="EA653" s="2" t="s">
        <v>3</v>
      </c>
      <c r="EB653" s="2" t="s">
        <v>3</v>
      </c>
      <c r="EC653" s="2" t="s">
        <v>3</v>
      </c>
      <c r="ED653" s="2"/>
      <c r="EE653" s="2">
        <v>126051816</v>
      </c>
      <c r="EF653" s="2">
        <v>40</v>
      </c>
      <c r="EG653" s="2" t="s">
        <v>621</v>
      </c>
      <c r="EH653" s="2">
        <v>0</v>
      </c>
      <c r="EI653" s="2" t="s">
        <v>3</v>
      </c>
      <c r="EJ653" s="2">
        <v>2</v>
      </c>
      <c r="EK653" s="2">
        <v>355</v>
      </c>
      <c r="EL653" s="2" t="s">
        <v>637</v>
      </c>
      <c r="EM653" s="2" t="s">
        <v>638</v>
      </c>
      <c r="EN653" s="2"/>
      <c r="EO653" s="2" t="s">
        <v>3</v>
      </c>
      <c r="EP653" s="2"/>
      <c r="EQ653" s="2">
        <v>131072</v>
      </c>
      <c r="ER653" s="2">
        <v>23.57</v>
      </c>
      <c r="ES653" s="2">
        <v>0.14000000000000001</v>
      </c>
      <c r="ET653" s="2">
        <v>11.91</v>
      </c>
      <c r="EU653" s="2">
        <v>2.81</v>
      </c>
      <c r="EV653" s="2">
        <v>11.52</v>
      </c>
      <c r="EW653" s="2">
        <v>1.03</v>
      </c>
      <c r="EX653" s="2">
        <v>0</v>
      </c>
      <c r="EY653" s="2">
        <v>0</v>
      </c>
      <c r="EZ653" s="2"/>
      <c r="FA653" s="2"/>
      <c r="FB653" s="2"/>
      <c r="FC653" s="2"/>
      <c r="FD653" s="2"/>
      <c r="FE653" s="2"/>
      <c r="FF653" s="2"/>
      <c r="FG653" s="2"/>
      <c r="FH653" s="2"/>
      <c r="FI653" s="2"/>
      <c r="FJ653" s="2"/>
      <c r="FK653" s="2"/>
      <c r="FL653" s="2"/>
      <c r="FM653" s="2"/>
      <c r="FN653" s="2"/>
      <c r="FO653" s="2"/>
      <c r="FP653" s="2"/>
      <c r="FQ653" s="2">
        <v>0</v>
      </c>
      <c r="FR653" s="2">
        <f t="shared" si="585"/>
        <v>0</v>
      </c>
      <c r="FS653" s="2">
        <v>0</v>
      </c>
      <c r="FT653" s="2"/>
      <c r="FU653" s="2"/>
      <c r="FV653" s="2"/>
      <c r="FW653" s="2"/>
      <c r="FX653" s="2">
        <v>114</v>
      </c>
      <c r="FY653" s="2">
        <v>67</v>
      </c>
      <c r="FZ653" s="2"/>
      <c r="GA653" s="2" t="s">
        <v>3</v>
      </c>
      <c r="GB653" s="2"/>
      <c r="GC653" s="2"/>
      <c r="GD653" s="2">
        <v>0</v>
      </c>
      <c r="GE653" s="2"/>
      <c r="GF653" s="2">
        <v>1608724844</v>
      </c>
      <c r="GG653" s="2">
        <v>2</v>
      </c>
      <c r="GH653" s="2">
        <v>1</v>
      </c>
      <c r="GI653" s="2">
        <v>-2</v>
      </c>
      <c r="GJ653" s="2">
        <v>0</v>
      </c>
      <c r="GK653" s="2">
        <f>ROUND(R653*(R12)/100,2)</f>
        <v>4.92</v>
      </c>
      <c r="GL653" s="2">
        <f t="shared" si="586"/>
        <v>0</v>
      </c>
      <c r="GM653" s="2">
        <f t="shared" si="587"/>
        <v>49.34</v>
      </c>
      <c r="GN653" s="2">
        <f t="shared" si="588"/>
        <v>0</v>
      </c>
      <c r="GO653" s="2">
        <f t="shared" si="589"/>
        <v>49.34</v>
      </c>
      <c r="GP653" s="2">
        <f t="shared" si="590"/>
        <v>0</v>
      </c>
      <c r="GQ653" s="2"/>
      <c r="GR653" s="2">
        <v>0</v>
      </c>
      <c r="GS653" s="2">
        <v>0</v>
      </c>
      <c r="GT653" s="2">
        <v>0</v>
      </c>
      <c r="GU653" s="2" t="s">
        <v>3</v>
      </c>
      <c r="GV653" s="2">
        <f t="shared" si="591"/>
        <v>0</v>
      </c>
      <c r="GW653" s="2">
        <v>1</v>
      </c>
      <c r="GX653" s="2">
        <f t="shared" si="592"/>
        <v>0</v>
      </c>
      <c r="GY653" s="2"/>
      <c r="GZ653" s="2"/>
      <c r="HA653" s="2">
        <v>0</v>
      </c>
      <c r="HB653" s="2">
        <v>0</v>
      </c>
      <c r="HC653" s="2">
        <f t="shared" si="593"/>
        <v>0</v>
      </c>
      <c r="HD653" s="2"/>
      <c r="HE653" s="2" t="s">
        <v>3</v>
      </c>
      <c r="HF653" s="2" t="s">
        <v>3</v>
      </c>
      <c r="HG653" s="2"/>
      <c r="HH653" s="2"/>
      <c r="HI653" s="2"/>
      <c r="HJ653" s="2"/>
      <c r="HK653" s="2"/>
      <c r="HL653" s="2"/>
      <c r="HM653" s="2" t="s">
        <v>3</v>
      </c>
      <c r="HN653" s="2" t="s">
        <v>3</v>
      </c>
      <c r="HO653" s="2" t="s">
        <v>3</v>
      </c>
      <c r="HP653" s="2" t="s">
        <v>3</v>
      </c>
      <c r="HQ653" s="2" t="s">
        <v>3</v>
      </c>
      <c r="HR653" s="2"/>
      <c r="HS653" s="2"/>
      <c r="HT653" s="2"/>
      <c r="HU653" s="2"/>
      <c r="HV653" s="2"/>
      <c r="HW653" s="2"/>
      <c r="HX653" s="2"/>
      <c r="HY653" s="2"/>
      <c r="HZ653" s="2"/>
      <c r="IA653" s="2"/>
      <c r="IB653" s="2"/>
      <c r="IC653" s="2"/>
      <c r="ID653" s="2"/>
      <c r="IE653" s="2"/>
      <c r="IF653" s="2"/>
      <c r="IG653" s="2"/>
      <c r="IH653" s="2"/>
      <c r="II653" s="2"/>
      <c r="IJ653" s="2"/>
      <c r="IK653" s="2">
        <v>0</v>
      </c>
      <c r="IL653" s="2"/>
      <c r="IM653" s="2"/>
      <c r="IN653" s="2"/>
      <c r="IO653" s="2"/>
      <c r="IP653" s="2"/>
      <c r="IQ653" s="2"/>
      <c r="IR653" s="2"/>
      <c r="IS653" s="2"/>
      <c r="IT653" s="2"/>
      <c r="IU653" s="2"/>
    </row>
    <row r="654" spans="1:255" x14ac:dyDescent="0.2">
      <c r="A654">
        <v>17</v>
      </c>
      <c r="B654">
        <v>1</v>
      </c>
      <c r="C654">
        <f>ROW(SmtRes!A670)</f>
        <v>670</v>
      </c>
      <c r="D654">
        <f>ROW(EtalonRes!A662)</f>
        <v>662</v>
      </c>
      <c r="E654" t="s">
        <v>104</v>
      </c>
      <c r="F654" t="s">
        <v>634</v>
      </c>
      <c r="G654" t="s">
        <v>635</v>
      </c>
      <c r="H654" t="s">
        <v>231</v>
      </c>
      <c r="I654">
        <v>1</v>
      </c>
      <c r="J654">
        <v>0</v>
      </c>
      <c r="K654">
        <v>1</v>
      </c>
      <c r="O654">
        <f t="shared" si="556"/>
        <v>470.58</v>
      </c>
      <c r="P654">
        <f t="shared" si="557"/>
        <v>0.14000000000000001</v>
      </c>
      <c r="Q654">
        <f t="shared" si="558"/>
        <v>136.01</v>
      </c>
      <c r="R654">
        <f t="shared" si="559"/>
        <v>81.569999999999993</v>
      </c>
      <c r="S654">
        <f t="shared" si="560"/>
        <v>334.43</v>
      </c>
      <c r="T654">
        <f t="shared" si="561"/>
        <v>0</v>
      </c>
      <c r="U654">
        <f t="shared" si="562"/>
        <v>1.03</v>
      </c>
      <c r="V654">
        <f t="shared" si="563"/>
        <v>0</v>
      </c>
      <c r="W654">
        <f t="shared" si="564"/>
        <v>0</v>
      </c>
      <c r="X654">
        <f t="shared" si="565"/>
        <v>264.2</v>
      </c>
      <c r="Y654">
        <f t="shared" si="566"/>
        <v>137.12</v>
      </c>
      <c r="AA654">
        <v>129761633</v>
      </c>
      <c r="AB654">
        <f t="shared" si="567"/>
        <v>23.57</v>
      </c>
      <c r="AC654">
        <f t="shared" si="568"/>
        <v>0.14000000000000001</v>
      </c>
      <c r="AD654">
        <f t="shared" si="569"/>
        <v>11.91</v>
      </c>
      <c r="AE654">
        <f t="shared" si="570"/>
        <v>2.81</v>
      </c>
      <c r="AF654">
        <f t="shared" si="571"/>
        <v>11.52</v>
      </c>
      <c r="AG654">
        <f t="shared" si="572"/>
        <v>0</v>
      </c>
      <c r="AH654">
        <f t="shared" si="573"/>
        <v>1.03</v>
      </c>
      <c r="AI654">
        <f t="shared" si="574"/>
        <v>0</v>
      </c>
      <c r="AJ654">
        <f t="shared" si="575"/>
        <v>0</v>
      </c>
      <c r="AK654">
        <v>23.57</v>
      </c>
      <c r="AL654">
        <v>0.14000000000000001</v>
      </c>
      <c r="AM654">
        <v>11.91</v>
      </c>
      <c r="AN654">
        <v>2.81</v>
      </c>
      <c r="AO654">
        <v>11.52</v>
      </c>
      <c r="AP654">
        <v>0</v>
      </c>
      <c r="AQ654">
        <v>1.03</v>
      </c>
      <c r="AR654">
        <v>0</v>
      </c>
      <c r="AS654">
        <v>0</v>
      </c>
      <c r="AT654">
        <v>79</v>
      </c>
      <c r="AU654">
        <v>41</v>
      </c>
      <c r="AV654">
        <v>1</v>
      </c>
      <c r="AW654">
        <v>1</v>
      </c>
      <c r="AZ654">
        <v>1</v>
      </c>
      <c r="BA654">
        <v>29.03</v>
      </c>
      <c r="BB654">
        <v>11.42</v>
      </c>
      <c r="BC654">
        <v>1</v>
      </c>
      <c r="BD654" t="s">
        <v>3</v>
      </c>
      <c r="BE654" t="s">
        <v>3</v>
      </c>
      <c r="BF654" t="s">
        <v>3</v>
      </c>
      <c r="BG654" t="s">
        <v>3</v>
      </c>
      <c r="BH654">
        <v>0</v>
      </c>
      <c r="BI654">
        <v>2</v>
      </c>
      <c r="BJ654" t="s">
        <v>636</v>
      </c>
      <c r="BM654">
        <v>355</v>
      </c>
      <c r="BN654">
        <v>0</v>
      </c>
      <c r="BO654" t="s">
        <v>634</v>
      </c>
      <c r="BP654">
        <v>1</v>
      </c>
      <c r="BQ654">
        <v>40</v>
      </c>
      <c r="BR654">
        <v>0</v>
      </c>
      <c r="BS654">
        <v>29.03</v>
      </c>
      <c r="BT654">
        <v>1</v>
      </c>
      <c r="BU654">
        <v>1</v>
      </c>
      <c r="BV654">
        <v>1</v>
      </c>
      <c r="BW654">
        <v>1</v>
      </c>
      <c r="BX654">
        <v>1</v>
      </c>
      <c r="BY654" t="s">
        <v>3</v>
      </c>
      <c r="BZ654">
        <v>79</v>
      </c>
      <c r="CA654">
        <v>41</v>
      </c>
      <c r="CB654" t="s">
        <v>3</v>
      </c>
      <c r="CE654">
        <v>30</v>
      </c>
      <c r="CF654">
        <v>0</v>
      </c>
      <c r="CG654">
        <v>0</v>
      </c>
      <c r="CM654">
        <v>0</v>
      </c>
      <c r="CN654" t="s">
        <v>3</v>
      </c>
      <c r="CO654">
        <v>0</v>
      </c>
      <c r="CP654">
        <f t="shared" si="576"/>
        <v>470.58</v>
      </c>
      <c r="CQ654">
        <f t="shared" si="577"/>
        <v>0.14000000000000001</v>
      </c>
      <c r="CR654">
        <f t="shared" si="578"/>
        <v>136.01</v>
      </c>
      <c r="CS654">
        <f t="shared" si="579"/>
        <v>81.569999999999993</v>
      </c>
      <c r="CT654">
        <f t="shared" si="580"/>
        <v>334.43</v>
      </c>
      <c r="CU654">
        <f t="shared" si="581"/>
        <v>0</v>
      </c>
      <c r="CV654">
        <f t="shared" si="582"/>
        <v>1.03</v>
      </c>
      <c r="CW654">
        <f t="shared" si="583"/>
        <v>0</v>
      </c>
      <c r="CX654">
        <f t="shared" si="584"/>
        <v>0</v>
      </c>
      <c r="CY654">
        <f>S654*(BZ654/100)</f>
        <v>264.19970000000001</v>
      </c>
      <c r="CZ654">
        <f>S654*(CA654/100)</f>
        <v>137.1163</v>
      </c>
      <c r="DC654" t="s">
        <v>3</v>
      </c>
      <c r="DD654" t="s">
        <v>3</v>
      </c>
      <c r="DE654" t="s">
        <v>3</v>
      </c>
      <c r="DF654" t="s">
        <v>3</v>
      </c>
      <c r="DG654" t="s">
        <v>3</v>
      </c>
      <c r="DH654" t="s">
        <v>3</v>
      </c>
      <c r="DI654" t="s">
        <v>3</v>
      </c>
      <c r="DJ654" t="s">
        <v>3</v>
      </c>
      <c r="DK654" t="s">
        <v>3</v>
      </c>
      <c r="DL654" t="s">
        <v>3</v>
      </c>
      <c r="DM654" t="s">
        <v>3</v>
      </c>
      <c r="DN654">
        <v>114</v>
      </c>
      <c r="DO654">
        <v>67</v>
      </c>
      <c r="DP654">
        <v>1</v>
      </c>
      <c r="DQ654">
        <v>1</v>
      </c>
      <c r="DU654">
        <v>1013</v>
      </c>
      <c r="DV654" t="s">
        <v>231</v>
      </c>
      <c r="DW654" t="s">
        <v>231</v>
      </c>
      <c r="DX654">
        <v>1</v>
      </c>
      <c r="DZ654" t="s">
        <v>3</v>
      </c>
      <c r="EA654" t="s">
        <v>3</v>
      </c>
      <c r="EB654" t="s">
        <v>3</v>
      </c>
      <c r="EC654" t="s">
        <v>3</v>
      </c>
      <c r="EE654">
        <v>126051816</v>
      </c>
      <c r="EF654">
        <v>40</v>
      </c>
      <c r="EG654" t="s">
        <v>621</v>
      </c>
      <c r="EH654">
        <v>0</v>
      </c>
      <c r="EI654" t="s">
        <v>3</v>
      </c>
      <c r="EJ654">
        <v>2</v>
      </c>
      <c r="EK654">
        <v>355</v>
      </c>
      <c r="EL654" t="s">
        <v>637</v>
      </c>
      <c r="EM654" t="s">
        <v>638</v>
      </c>
      <c r="EO654" t="s">
        <v>3</v>
      </c>
      <c r="EQ654">
        <v>131072</v>
      </c>
      <c r="ER654">
        <v>23.57</v>
      </c>
      <c r="ES654">
        <v>0.14000000000000001</v>
      </c>
      <c r="ET654">
        <v>11.91</v>
      </c>
      <c r="EU654">
        <v>2.81</v>
      </c>
      <c r="EV654">
        <v>11.52</v>
      </c>
      <c r="EW654">
        <v>1.03</v>
      </c>
      <c r="EX654">
        <v>0</v>
      </c>
      <c r="EY654">
        <v>0</v>
      </c>
      <c r="FQ654">
        <v>0</v>
      </c>
      <c r="FR654">
        <f t="shared" si="585"/>
        <v>0</v>
      </c>
      <c r="FS654">
        <v>0</v>
      </c>
      <c r="FX654">
        <v>114</v>
      </c>
      <c r="FY654">
        <v>67</v>
      </c>
      <c r="GA654" t="s">
        <v>3</v>
      </c>
      <c r="GD654">
        <v>0</v>
      </c>
      <c r="GF654">
        <v>1608724844</v>
      </c>
      <c r="GG654">
        <v>2</v>
      </c>
      <c r="GH654">
        <v>1</v>
      </c>
      <c r="GI654">
        <v>2</v>
      </c>
      <c r="GJ654">
        <v>0</v>
      </c>
      <c r="GK654">
        <f>ROUND(R654*(S12)/100,2)</f>
        <v>130.51</v>
      </c>
      <c r="GL654">
        <f t="shared" si="586"/>
        <v>0</v>
      </c>
      <c r="GM654">
        <f t="shared" si="587"/>
        <v>1002.41</v>
      </c>
      <c r="GN654">
        <f t="shared" si="588"/>
        <v>0</v>
      </c>
      <c r="GO654">
        <f t="shared" si="589"/>
        <v>1002.41</v>
      </c>
      <c r="GP654">
        <f t="shared" si="590"/>
        <v>0</v>
      </c>
      <c r="GR654">
        <v>0</v>
      </c>
      <c r="GS654">
        <v>3</v>
      </c>
      <c r="GT654">
        <v>0</v>
      </c>
      <c r="GU654" t="s">
        <v>3</v>
      </c>
      <c r="GV654">
        <f t="shared" si="591"/>
        <v>0</v>
      </c>
      <c r="GW654">
        <v>1</v>
      </c>
      <c r="GX654">
        <f t="shared" si="592"/>
        <v>0</v>
      </c>
      <c r="HA654">
        <v>0</v>
      </c>
      <c r="HB654">
        <v>0</v>
      </c>
      <c r="HC654">
        <f t="shared" si="593"/>
        <v>0</v>
      </c>
      <c r="HE654" t="s">
        <v>3</v>
      </c>
      <c r="HF654" t="s">
        <v>3</v>
      </c>
      <c r="HM654" t="s">
        <v>3</v>
      </c>
      <c r="HN654" t="s">
        <v>3</v>
      </c>
      <c r="HO654" t="s">
        <v>3</v>
      </c>
      <c r="HP654" t="s">
        <v>3</v>
      </c>
      <c r="HQ654" t="s">
        <v>3</v>
      </c>
      <c r="IK654">
        <v>0</v>
      </c>
    </row>
    <row r="655" spans="1:255" x14ac:dyDescent="0.2">
      <c r="A655" s="2">
        <v>17</v>
      </c>
      <c r="B655" s="2">
        <v>1</v>
      </c>
      <c r="C655" s="2">
        <f>ROW(SmtRes!A671)</f>
        <v>671</v>
      </c>
      <c r="D655" s="2">
        <f>ROW(EtalonRes!A663)</f>
        <v>663</v>
      </c>
      <c r="E655" s="2" t="s">
        <v>116</v>
      </c>
      <c r="F655" s="2" t="s">
        <v>639</v>
      </c>
      <c r="G655" s="2" t="s">
        <v>640</v>
      </c>
      <c r="H655" s="2" t="s">
        <v>231</v>
      </c>
      <c r="I655" s="2">
        <v>1</v>
      </c>
      <c r="J655" s="2">
        <v>0</v>
      </c>
      <c r="K655" s="2">
        <v>1</v>
      </c>
      <c r="L655" s="2"/>
      <c r="M655" s="2"/>
      <c r="N655" s="2"/>
      <c r="O655" s="2">
        <f t="shared" si="556"/>
        <v>106.12</v>
      </c>
      <c r="P655" s="2">
        <f t="shared" si="557"/>
        <v>4.6900000000000004</v>
      </c>
      <c r="Q655" s="2">
        <f t="shared" si="558"/>
        <v>0.05</v>
      </c>
      <c r="R655" s="2">
        <f t="shared" si="559"/>
        <v>0.01</v>
      </c>
      <c r="S655" s="2">
        <f t="shared" si="560"/>
        <v>101.38</v>
      </c>
      <c r="T655" s="2">
        <f t="shared" si="561"/>
        <v>0</v>
      </c>
      <c r="U655" s="2">
        <f t="shared" si="562"/>
        <v>7.92</v>
      </c>
      <c r="V655" s="2">
        <f t="shared" si="563"/>
        <v>0</v>
      </c>
      <c r="W655" s="2">
        <f t="shared" si="564"/>
        <v>0</v>
      </c>
      <c r="X655" s="2">
        <f t="shared" si="565"/>
        <v>115.57</v>
      </c>
      <c r="Y655" s="2">
        <f t="shared" si="566"/>
        <v>67.92</v>
      </c>
      <c r="Z655" s="2"/>
      <c r="AA655" s="2">
        <v>129761636</v>
      </c>
      <c r="AB655" s="2">
        <f t="shared" si="567"/>
        <v>106.12</v>
      </c>
      <c r="AC655" s="2">
        <f t="shared" si="568"/>
        <v>4.6900000000000004</v>
      </c>
      <c r="AD655" s="2">
        <f t="shared" si="569"/>
        <v>0.05</v>
      </c>
      <c r="AE655" s="2">
        <f t="shared" si="570"/>
        <v>0.01</v>
      </c>
      <c r="AF655" s="2">
        <f t="shared" si="571"/>
        <v>101.38</v>
      </c>
      <c r="AG655" s="2">
        <f t="shared" si="572"/>
        <v>0</v>
      </c>
      <c r="AH655" s="2">
        <f t="shared" si="573"/>
        <v>7.92</v>
      </c>
      <c r="AI655" s="2">
        <f t="shared" si="574"/>
        <v>0</v>
      </c>
      <c r="AJ655" s="2">
        <f t="shared" si="575"/>
        <v>0</v>
      </c>
      <c r="AK655" s="2">
        <v>106.12</v>
      </c>
      <c r="AL655" s="2">
        <v>4.6900000000000004</v>
      </c>
      <c r="AM655" s="2">
        <v>0.05</v>
      </c>
      <c r="AN655" s="2">
        <v>0.01</v>
      </c>
      <c r="AO655" s="2">
        <v>101.38</v>
      </c>
      <c r="AP655" s="2">
        <v>0</v>
      </c>
      <c r="AQ655" s="2">
        <v>7.92</v>
      </c>
      <c r="AR655" s="2">
        <v>0</v>
      </c>
      <c r="AS655" s="2">
        <v>0</v>
      </c>
      <c r="AT655" s="2">
        <v>114</v>
      </c>
      <c r="AU655" s="2">
        <v>67</v>
      </c>
      <c r="AV655" s="2">
        <v>1</v>
      </c>
      <c r="AW655" s="2">
        <v>1</v>
      </c>
      <c r="AX655" s="2"/>
      <c r="AY655" s="2"/>
      <c r="AZ655" s="2">
        <v>1</v>
      </c>
      <c r="BA655" s="2">
        <v>1</v>
      </c>
      <c r="BB655" s="2">
        <v>1</v>
      </c>
      <c r="BC655" s="2">
        <v>1</v>
      </c>
      <c r="BD655" s="2" t="s">
        <v>3</v>
      </c>
      <c r="BE655" s="2" t="s">
        <v>3</v>
      </c>
      <c r="BF655" s="2" t="s">
        <v>3</v>
      </c>
      <c r="BG655" s="2" t="s">
        <v>3</v>
      </c>
      <c r="BH655" s="2">
        <v>0</v>
      </c>
      <c r="BI655" s="2">
        <v>2</v>
      </c>
      <c r="BJ655" s="2" t="s">
        <v>641</v>
      </c>
      <c r="BK655" s="2"/>
      <c r="BL655" s="2"/>
      <c r="BM655" s="2">
        <v>336</v>
      </c>
      <c r="BN655" s="2">
        <v>0</v>
      </c>
      <c r="BO655" s="2" t="s">
        <v>3</v>
      </c>
      <c r="BP655" s="2">
        <v>0</v>
      </c>
      <c r="BQ655" s="2">
        <v>40</v>
      </c>
      <c r="BR655" s="2">
        <v>0</v>
      </c>
      <c r="BS655" s="2">
        <v>1</v>
      </c>
      <c r="BT655" s="2">
        <v>1</v>
      </c>
      <c r="BU655" s="2">
        <v>1</v>
      </c>
      <c r="BV655" s="2">
        <v>1</v>
      </c>
      <c r="BW655" s="2">
        <v>1</v>
      </c>
      <c r="BX655" s="2">
        <v>1</v>
      </c>
      <c r="BY655" s="2" t="s">
        <v>3</v>
      </c>
      <c r="BZ655" s="2">
        <v>114</v>
      </c>
      <c r="CA655" s="2">
        <v>67</v>
      </c>
      <c r="CB655" s="2" t="s">
        <v>3</v>
      </c>
      <c r="CC655" s="2"/>
      <c r="CD655" s="2"/>
      <c r="CE655" s="2">
        <v>30</v>
      </c>
      <c r="CF655" s="2">
        <v>0</v>
      </c>
      <c r="CG655" s="2">
        <v>0</v>
      </c>
      <c r="CH655" s="2"/>
      <c r="CI655" s="2"/>
      <c r="CJ655" s="2"/>
      <c r="CK655" s="2"/>
      <c r="CL655" s="2"/>
      <c r="CM655" s="2">
        <v>0</v>
      </c>
      <c r="CN655" s="2" t="s">
        <v>3</v>
      </c>
      <c r="CO655" s="2">
        <v>0</v>
      </c>
      <c r="CP655" s="2">
        <f t="shared" si="576"/>
        <v>106.11999999999999</v>
      </c>
      <c r="CQ655" s="2">
        <f t="shared" si="577"/>
        <v>4.6900000000000004</v>
      </c>
      <c r="CR655" s="2">
        <f t="shared" si="578"/>
        <v>0.05</v>
      </c>
      <c r="CS655" s="2">
        <f t="shared" si="579"/>
        <v>0.01</v>
      </c>
      <c r="CT655" s="2">
        <f t="shared" si="580"/>
        <v>101.38</v>
      </c>
      <c r="CU655" s="2">
        <f t="shared" si="581"/>
        <v>0</v>
      </c>
      <c r="CV655" s="2">
        <f t="shared" si="582"/>
        <v>7.92</v>
      </c>
      <c r="CW655" s="2">
        <f t="shared" si="583"/>
        <v>0</v>
      </c>
      <c r="CX655" s="2">
        <f t="shared" si="584"/>
        <v>0</v>
      </c>
      <c r="CY655" s="2">
        <f>((S655*BZ655)/100)</f>
        <v>115.5732</v>
      </c>
      <c r="CZ655" s="2">
        <f>((S655*CA655)/100)</f>
        <v>67.924599999999998</v>
      </c>
      <c r="DA655" s="2"/>
      <c r="DB655" s="2"/>
      <c r="DC655" s="2" t="s">
        <v>3</v>
      </c>
      <c r="DD655" s="2" t="s">
        <v>3</v>
      </c>
      <c r="DE655" s="2" t="s">
        <v>3</v>
      </c>
      <c r="DF655" s="2" t="s">
        <v>3</v>
      </c>
      <c r="DG655" s="2" t="s">
        <v>3</v>
      </c>
      <c r="DH655" s="2" t="s">
        <v>3</v>
      </c>
      <c r="DI655" s="2" t="s">
        <v>3</v>
      </c>
      <c r="DJ655" s="2" t="s">
        <v>3</v>
      </c>
      <c r="DK655" s="2" t="s">
        <v>3</v>
      </c>
      <c r="DL655" s="2" t="s">
        <v>3</v>
      </c>
      <c r="DM655" s="2" t="s">
        <v>3</v>
      </c>
      <c r="DN655" s="2">
        <v>0</v>
      </c>
      <c r="DO655" s="2">
        <v>0</v>
      </c>
      <c r="DP655" s="2">
        <v>1</v>
      </c>
      <c r="DQ655" s="2">
        <v>1</v>
      </c>
      <c r="DR655" s="2"/>
      <c r="DS655" s="2"/>
      <c r="DT655" s="2"/>
      <c r="DU655" s="2">
        <v>1013</v>
      </c>
      <c r="DV655" s="2" t="s">
        <v>231</v>
      </c>
      <c r="DW655" s="2" t="s">
        <v>231</v>
      </c>
      <c r="DX655" s="2">
        <v>1</v>
      </c>
      <c r="DY655" s="2"/>
      <c r="DZ655" s="2" t="s">
        <v>3</v>
      </c>
      <c r="EA655" s="2" t="s">
        <v>3</v>
      </c>
      <c r="EB655" s="2" t="s">
        <v>3</v>
      </c>
      <c r="EC655" s="2" t="s">
        <v>3</v>
      </c>
      <c r="ED655" s="2"/>
      <c r="EE655" s="2">
        <v>126051797</v>
      </c>
      <c r="EF655" s="2">
        <v>40</v>
      </c>
      <c r="EG655" s="2" t="s">
        <v>621</v>
      </c>
      <c r="EH655" s="2">
        <v>0</v>
      </c>
      <c r="EI655" s="2" t="s">
        <v>3</v>
      </c>
      <c r="EJ655" s="2">
        <v>2</v>
      </c>
      <c r="EK655" s="2">
        <v>336</v>
      </c>
      <c r="EL655" s="2" t="s">
        <v>632</v>
      </c>
      <c r="EM655" s="2" t="s">
        <v>633</v>
      </c>
      <c r="EN655" s="2"/>
      <c r="EO655" s="2" t="s">
        <v>3</v>
      </c>
      <c r="EP655" s="2"/>
      <c r="EQ655" s="2">
        <v>131072</v>
      </c>
      <c r="ER655" s="2">
        <v>106.12</v>
      </c>
      <c r="ES655" s="2">
        <v>4.6900000000000004</v>
      </c>
      <c r="ET655" s="2">
        <v>0.05</v>
      </c>
      <c r="EU655" s="2">
        <v>0.01</v>
      </c>
      <c r="EV655" s="2">
        <v>101.38</v>
      </c>
      <c r="EW655" s="2">
        <v>7.92</v>
      </c>
      <c r="EX655" s="2">
        <v>0</v>
      </c>
      <c r="EY655" s="2">
        <v>0</v>
      </c>
      <c r="EZ655" s="2"/>
      <c r="FA655" s="2"/>
      <c r="FB655" s="2"/>
      <c r="FC655" s="2"/>
      <c r="FD655" s="2"/>
      <c r="FE655" s="2"/>
      <c r="FF655" s="2"/>
      <c r="FG655" s="2"/>
      <c r="FH655" s="2"/>
      <c r="FI655" s="2"/>
      <c r="FJ655" s="2"/>
      <c r="FK655" s="2"/>
      <c r="FL655" s="2"/>
      <c r="FM655" s="2"/>
      <c r="FN655" s="2"/>
      <c r="FO655" s="2"/>
      <c r="FP655" s="2"/>
      <c r="FQ655" s="2">
        <v>0</v>
      </c>
      <c r="FR655" s="2">
        <f t="shared" si="585"/>
        <v>0</v>
      </c>
      <c r="FS655" s="2">
        <v>0</v>
      </c>
      <c r="FT655" s="2"/>
      <c r="FU655" s="2"/>
      <c r="FV655" s="2"/>
      <c r="FW655" s="2"/>
      <c r="FX655" s="2">
        <v>114</v>
      </c>
      <c r="FY655" s="2">
        <v>67</v>
      </c>
      <c r="FZ655" s="2"/>
      <c r="GA655" s="2" t="s">
        <v>3</v>
      </c>
      <c r="GB655" s="2"/>
      <c r="GC655" s="2"/>
      <c r="GD655" s="2">
        <v>0</v>
      </c>
      <c r="GE655" s="2"/>
      <c r="GF655" s="2">
        <v>-1805015896</v>
      </c>
      <c r="GG655" s="2">
        <v>2</v>
      </c>
      <c r="GH655" s="2">
        <v>1</v>
      </c>
      <c r="GI655" s="2">
        <v>-2</v>
      </c>
      <c r="GJ655" s="2">
        <v>0</v>
      </c>
      <c r="GK655" s="2">
        <f>ROUND(R655*(R12)/100,2)</f>
        <v>0.02</v>
      </c>
      <c r="GL655" s="2">
        <f t="shared" si="586"/>
        <v>0</v>
      </c>
      <c r="GM655" s="2">
        <f t="shared" si="587"/>
        <v>289.63</v>
      </c>
      <c r="GN655" s="2">
        <f t="shared" si="588"/>
        <v>0</v>
      </c>
      <c r="GO655" s="2">
        <f t="shared" si="589"/>
        <v>289.63</v>
      </c>
      <c r="GP655" s="2">
        <f t="shared" si="590"/>
        <v>0</v>
      </c>
      <c r="GQ655" s="2"/>
      <c r="GR655" s="2">
        <v>0</v>
      </c>
      <c r="GS655" s="2">
        <v>0</v>
      </c>
      <c r="GT655" s="2">
        <v>0</v>
      </c>
      <c r="GU655" s="2" t="s">
        <v>3</v>
      </c>
      <c r="GV655" s="2">
        <f t="shared" si="591"/>
        <v>0</v>
      </c>
      <c r="GW655" s="2">
        <v>1</v>
      </c>
      <c r="GX655" s="2">
        <f t="shared" si="592"/>
        <v>0</v>
      </c>
      <c r="GY655" s="2"/>
      <c r="GZ655" s="2"/>
      <c r="HA655" s="2">
        <v>0</v>
      </c>
      <c r="HB655" s="2">
        <v>0</v>
      </c>
      <c r="HC655" s="2">
        <f t="shared" si="593"/>
        <v>0</v>
      </c>
      <c r="HD655" s="2"/>
      <c r="HE655" s="2" t="s">
        <v>3</v>
      </c>
      <c r="HF655" s="2" t="s">
        <v>3</v>
      </c>
      <c r="HG655" s="2"/>
      <c r="HH655" s="2"/>
      <c r="HI655" s="2"/>
      <c r="HJ655" s="2"/>
      <c r="HK655" s="2"/>
      <c r="HL655" s="2"/>
      <c r="HM655" s="2" t="s">
        <v>3</v>
      </c>
      <c r="HN655" s="2" t="s">
        <v>3</v>
      </c>
      <c r="HO655" s="2" t="s">
        <v>3</v>
      </c>
      <c r="HP655" s="2" t="s">
        <v>3</v>
      </c>
      <c r="HQ655" s="2" t="s">
        <v>3</v>
      </c>
      <c r="HR655" s="2"/>
      <c r="HS655" s="2"/>
      <c r="HT655" s="2"/>
      <c r="HU655" s="2"/>
      <c r="HV655" s="2"/>
      <c r="HW655" s="2"/>
      <c r="HX655" s="2"/>
      <c r="HY655" s="2"/>
      <c r="HZ655" s="2"/>
      <c r="IA655" s="2"/>
      <c r="IB655" s="2"/>
      <c r="IC655" s="2"/>
      <c r="ID655" s="2"/>
      <c r="IE655" s="2"/>
      <c r="IF655" s="2"/>
      <c r="IG655" s="2"/>
      <c r="IH655" s="2"/>
      <c r="II655" s="2"/>
      <c r="IJ655" s="2"/>
      <c r="IK655" s="2">
        <v>0</v>
      </c>
      <c r="IL655" s="2"/>
      <c r="IM655" s="2"/>
      <c r="IN655" s="2"/>
      <c r="IO655" s="2"/>
      <c r="IP655" s="2"/>
      <c r="IQ655" s="2"/>
      <c r="IR655" s="2"/>
      <c r="IS655" s="2"/>
      <c r="IT655" s="2"/>
      <c r="IU655" s="2"/>
    </row>
    <row r="656" spans="1:255" x14ac:dyDescent="0.2">
      <c r="A656">
        <v>17</v>
      </c>
      <c r="B656">
        <v>1</v>
      </c>
      <c r="C656">
        <f>ROW(SmtRes!A672)</f>
        <v>672</v>
      </c>
      <c r="D656">
        <f>ROW(EtalonRes!A664)</f>
        <v>664</v>
      </c>
      <c r="E656" t="s">
        <v>116</v>
      </c>
      <c r="F656" t="s">
        <v>639</v>
      </c>
      <c r="G656" t="s">
        <v>640</v>
      </c>
      <c r="H656" t="s">
        <v>231</v>
      </c>
      <c r="I656">
        <v>1</v>
      </c>
      <c r="J656">
        <v>0</v>
      </c>
      <c r="K656">
        <v>1</v>
      </c>
      <c r="O656">
        <f t="shared" si="556"/>
        <v>2985.3</v>
      </c>
      <c r="P656">
        <f t="shared" si="557"/>
        <v>41.6</v>
      </c>
      <c r="Q656">
        <f t="shared" si="558"/>
        <v>0.64</v>
      </c>
      <c r="R656">
        <f t="shared" si="559"/>
        <v>0.28999999999999998</v>
      </c>
      <c r="S656">
        <f t="shared" si="560"/>
        <v>2943.06</v>
      </c>
      <c r="T656">
        <f t="shared" si="561"/>
        <v>0</v>
      </c>
      <c r="U656">
        <f t="shared" si="562"/>
        <v>7.92</v>
      </c>
      <c r="V656">
        <f t="shared" si="563"/>
        <v>0</v>
      </c>
      <c r="W656">
        <f t="shared" si="564"/>
        <v>0</v>
      </c>
      <c r="X656">
        <f t="shared" si="565"/>
        <v>2325.02</v>
      </c>
      <c r="Y656">
        <f t="shared" si="566"/>
        <v>1206.6500000000001</v>
      </c>
      <c r="AA656">
        <v>129761633</v>
      </c>
      <c r="AB656">
        <f t="shared" si="567"/>
        <v>106.12</v>
      </c>
      <c r="AC656">
        <f t="shared" si="568"/>
        <v>4.6900000000000004</v>
      </c>
      <c r="AD656">
        <f t="shared" si="569"/>
        <v>0.05</v>
      </c>
      <c r="AE656">
        <f t="shared" si="570"/>
        <v>0.01</v>
      </c>
      <c r="AF656">
        <f t="shared" si="571"/>
        <v>101.38</v>
      </c>
      <c r="AG656">
        <f t="shared" si="572"/>
        <v>0</v>
      </c>
      <c r="AH656">
        <f t="shared" si="573"/>
        <v>7.92</v>
      </c>
      <c r="AI656">
        <f t="shared" si="574"/>
        <v>0</v>
      </c>
      <c r="AJ656">
        <f t="shared" si="575"/>
        <v>0</v>
      </c>
      <c r="AK656">
        <v>106.12</v>
      </c>
      <c r="AL656">
        <v>4.6900000000000004</v>
      </c>
      <c r="AM656">
        <v>0.05</v>
      </c>
      <c r="AN656">
        <v>0.01</v>
      </c>
      <c r="AO656">
        <v>101.38</v>
      </c>
      <c r="AP656">
        <v>0</v>
      </c>
      <c r="AQ656">
        <v>7.92</v>
      </c>
      <c r="AR656">
        <v>0</v>
      </c>
      <c r="AS656">
        <v>0</v>
      </c>
      <c r="AT656">
        <v>79</v>
      </c>
      <c r="AU656">
        <v>41</v>
      </c>
      <c r="AV656">
        <v>1</v>
      </c>
      <c r="AW656">
        <v>1</v>
      </c>
      <c r="AZ656">
        <v>1</v>
      </c>
      <c r="BA656">
        <v>29.03</v>
      </c>
      <c r="BB656">
        <v>12.8</v>
      </c>
      <c r="BC656">
        <v>8.8699999999999992</v>
      </c>
      <c r="BD656" t="s">
        <v>3</v>
      </c>
      <c r="BE656" t="s">
        <v>3</v>
      </c>
      <c r="BF656" t="s">
        <v>3</v>
      </c>
      <c r="BG656" t="s">
        <v>3</v>
      </c>
      <c r="BH656">
        <v>0</v>
      </c>
      <c r="BI656">
        <v>2</v>
      </c>
      <c r="BJ656" t="s">
        <v>641</v>
      </c>
      <c r="BM656">
        <v>336</v>
      </c>
      <c r="BN656">
        <v>0</v>
      </c>
      <c r="BO656" t="s">
        <v>639</v>
      </c>
      <c r="BP656">
        <v>1</v>
      </c>
      <c r="BQ656">
        <v>40</v>
      </c>
      <c r="BR656">
        <v>0</v>
      </c>
      <c r="BS656">
        <v>29.03</v>
      </c>
      <c r="BT656">
        <v>1</v>
      </c>
      <c r="BU656">
        <v>1</v>
      </c>
      <c r="BV656">
        <v>1</v>
      </c>
      <c r="BW656">
        <v>1</v>
      </c>
      <c r="BX656">
        <v>1</v>
      </c>
      <c r="BY656" t="s">
        <v>3</v>
      </c>
      <c r="BZ656">
        <v>79</v>
      </c>
      <c r="CA656">
        <v>41</v>
      </c>
      <c r="CB656" t="s">
        <v>3</v>
      </c>
      <c r="CE656">
        <v>30</v>
      </c>
      <c r="CF656">
        <v>0</v>
      </c>
      <c r="CG656">
        <v>0</v>
      </c>
      <c r="CM656">
        <v>0</v>
      </c>
      <c r="CN656" t="s">
        <v>3</v>
      </c>
      <c r="CO656">
        <v>0</v>
      </c>
      <c r="CP656">
        <f t="shared" si="576"/>
        <v>2985.2999999999997</v>
      </c>
      <c r="CQ656">
        <f t="shared" si="577"/>
        <v>41.6</v>
      </c>
      <c r="CR656">
        <f t="shared" si="578"/>
        <v>0.64</v>
      </c>
      <c r="CS656">
        <f t="shared" si="579"/>
        <v>0.28999999999999998</v>
      </c>
      <c r="CT656">
        <f t="shared" si="580"/>
        <v>2943.06</v>
      </c>
      <c r="CU656">
        <f t="shared" si="581"/>
        <v>0</v>
      </c>
      <c r="CV656">
        <f t="shared" si="582"/>
        <v>7.92</v>
      </c>
      <c r="CW656">
        <f t="shared" si="583"/>
        <v>0</v>
      </c>
      <c r="CX656">
        <f t="shared" si="584"/>
        <v>0</v>
      </c>
      <c r="CY656">
        <f>S656*(BZ656/100)</f>
        <v>2325.0174000000002</v>
      </c>
      <c r="CZ656">
        <f>S656*(CA656/100)</f>
        <v>1206.6545999999998</v>
      </c>
      <c r="DC656" t="s">
        <v>3</v>
      </c>
      <c r="DD656" t="s">
        <v>3</v>
      </c>
      <c r="DE656" t="s">
        <v>3</v>
      </c>
      <c r="DF656" t="s">
        <v>3</v>
      </c>
      <c r="DG656" t="s">
        <v>3</v>
      </c>
      <c r="DH656" t="s">
        <v>3</v>
      </c>
      <c r="DI656" t="s">
        <v>3</v>
      </c>
      <c r="DJ656" t="s">
        <v>3</v>
      </c>
      <c r="DK656" t="s">
        <v>3</v>
      </c>
      <c r="DL656" t="s">
        <v>3</v>
      </c>
      <c r="DM656" t="s">
        <v>3</v>
      </c>
      <c r="DN656">
        <v>114</v>
      </c>
      <c r="DO656">
        <v>67</v>
      </c>
      <c r="DP656">
        <v>1</v>
      </c>
      <c r="DQ656">
        <v>1</v>
      </c>
      <c r="DU656">
        <v>1013</v>
      </c>
      <c r="DV656" t="s">
        <v>231</v>
      </c>
      <c r="DW656" t="s">
        <v>231</v>
      </c>
      <c r="DX656">
        <v>1</v>
      </c>
      <c r="DZ656" t="s">
        <v>3</v>
      </c>
      <c r="EA656" t="s">
        <v>3</v>
      </c>
      <c r="EB656" t="s">
        <v>3</v>
      </c>
      <c r="EC656" t="s">
        <v>3</v>
      </c>
      <c r="EE656">
        <v>126051797</v>
      </c>
      <c r="EF656">
        <v>40</v>
      </c>
      <c r="EG656" t="s">
        <v>621</v>
      </c>
      <c r="EH656">
        <v>0</v>
      </c>
      <c r="EI656" t="s">
        <v>3</v>
      </c>
      <c r="EJ656">
        <v>2</v>
      </c>
      <c r="EK656">
        <v>336</v>
      </c>
      <c r="EL656" t="s">
        <v>632</v>
      </c>
      <c r="EM656" t="s">
        <v>633</v>
      </c>
      <c r="EO656" t="s">
        <v>3</v>
      </c>
      <c r="EQ656">
        <v>131072</v>
      </c>
      <c r="ER656">
        <v>106.12</v>
      </c>
      <c r="ES656">
        <v>4.6900000000000004</v>
      </c>
      <c r="ET656">
        <v>0.05</v>
      </c>
      <c r="EU656">
        <v>0.01</v>
      </c>
      <c r="EV656">
        <v>101.38</v>
      </c>
      <c r="EW656">
        <v>7.92</v>
      </c>
      <c r="EX656">
        <v>0</v>
      </c>
      <c r="EY656">
        <v>0</v>
      </c>
      <c r="FQ656">
        <v>0</v>
      </c>
      <c r="FR656">
        <f t="shared" si="585"/>
        <v>0</v>
      </c>
      <c r="FS656">
        <v>0</v>
      </c>
      <c r="FX656">
        <v>114</v>
      </c>
      <c r="FY656">
        <v>67</v>
      </c>
      <c r="GA656" t="s">
        <v>3</v>
      </c>
      <c r="GD656">
        <v>0</v>
      </c>
      <c r="GF656">
        <v>-1805015896</v>
      </c>
      <c r="GG656">
        <v>2</v>
      </c>
      <c r="GH656">
        <v>1</v>
      </c>
      <c r="GI656">
        <v>2</v>
      </c>
      <c r="GJ656">
        <v>0</v>
      </c>
      <c r="GK656">
        <f>ROUND(R656*(S12)/100,2)</f>
        <v>0.46</v>
      </c>
      <c r="GL656">
        <f t="shared" si="586"/>
        <v>0</v>
      </c>
      <c r="GM656">
        <f t="shared" si="587"/>
        <v>6517.43</v>
      </c>
      <c r="GN656">
        <f t="shared" si="588"/>
        <v>0</v>
      </c>
      <c r="GO656">
        <f t="shared" si="589"/>
        <v>6517.43</v>
      </c>
      <c r="GP656">
        <f t="shared" si="590"/>
        <v>0</v>
      </c>
      <c r="GR656">
        <v>0</v>
      </c>
      <c r="GS656">
        <v>3</v>
      </c>
      <c r="GT656">
        <v>0</v>
      </c>
      <c r="GU656" t="s">
        <v>3</v>
      </c>
      <c r="GV656">
        <f t="shared" si="591"/>
        <v>0</v>
      </c>
      <c r="GW656">
        <v>1</v>
      </c>
      <c r="GX656">
        <f t="shared" si="592"/>
        <v>0</v>
      </c>
      <c r="HA656">
        <v>0</v>
      </c>
      <c r="HB656">
        <v>0</v>
      </c>
      <c r="HC656">
        <f t="shared" si="593"/>
        <v>0</v>
      </c>
      <c r="HE656" t="s">
        <v>3</v>
      </c>
      <c r="HF656" t="s">
        <v>3</v>
      </c>
      <c r="HM656" t="s">
        <v>3</v>
      </c>
      <c r="HN656" t="s">
        <v>3</v>
      </c>
      <c r="HO656" t="s">
        <v>3</v>
      </c>
      <c r="HP656" t="s">
        <v>3</v>
      </c>
      <c r="HQ656" t="s">
        <v>3</v>
      </c>
      <c r="IK656">
        <v>0</v>
      </c>
    </row>
    <row r="657" spans="1:255" x14ac:dyDescent="0.2">
      <c r="A657" s="2">
        <v>17</v>
      </c>
      <c r="B657" s="2">
        <v>1</v>
      </c>
      <c r="C657" s="2">
        <f>ROW(SmtRes!A673)</f>
        <v>673</v>
      </c>
      <c r="D657" s="2">
        <f>ROW(EtalonRes!A665)</f>
        <v>665</v>
      </c>
      <c r="E657" s="2" t="s">
        <v>124</v>
      </c>
      <c r="F657" s="2" t="s">
        <v>642</v>
      </c>
      <c r="G657" s="2" t="s">
        <v>643</v>
      </c>
      <c r="H657" s="2" t="s">
        <v>231</v>
      </c>
      <c r="I657" s="2">
        <v>2</v>
      </c>
      <c r="J657" s="2">
        <v>0</v>
      </c>
      <c r="K657" s="2">
        <v>2</v>
      </c>
      <c r="L657" s="2"/>
      <c r="M657" s="2"/>
      <c r="N657" s="2"/>
      <c r="O657" s="2">
        <f t="shared" si="556"/>
        <v>49.42</v>
      </c>
      <c r="P657" s="2">
        <f t="shared" si="557"/>
        <v>1.82</v>
      </c>
      <c r="Q657" s="2">
        <f t="shared" si="558"/>
        <v>0</v>
      </c>
      <c r="R657" s="2">
        <f t="shared" si="559"/>
        <v>0</v>
      </c>
      <c r="S657" s="2">
        <f t="shared" si="560"/>
        <v>47.6</v>
      </c>
      <c r="T657" s="2">
        <f t="shared" si="561"/>
        <v>0</v>
      </c>
      <c r="U657" s="2">
        <f t="shared" si="562"/>
        <v>4</v>
      </c>
      <c r="V657" s="2">
        <f t="shared" si="563"/>
        <v>0</v>
      </c>
      <c r="W657" s="2">
        <f t="shared" si="564"/>
        <v>0</v>
      </c>
      <c r="X657" s="2">
        <f t="shared" si="565"/>
        <v>54.26</v>
      </c>
      <c r="Y657" s="2">
        <f t="shared" si="566"/>
        <v>31.89</v>
      </c>
      <c r="Z657" s="2"/>
      <c r="AA657" s="2">
        <v>129761636</v>
      </c>
      <c r="AB657" s="2">
        <f t="shared" si="567"/>
        <v>24.71</v>
      </c>
      <c r="AC657" s="2">
        <f t="shared" si="568"/>
        <v>0.91</v>
      </c>
      <c r="AD657" s="2">
        <f t="shared" si="569"/>
        <v>0</v>
      </c>
      <c r="AE657" s="2">
        <f t="shared" si="570"/>
        <v>0</v>
      </c>
      <c r="AF657" s="2">
        <f t="shared" si="571"/>
        <v>23.8</v>
      </c>
      <c r="AG657" s="2">
        <f t="shared" si="572"/>
        <v>0</v>
      </c>
      <c r="AH657" s="2">
        <f t="shared" si="573"/>
        <v>2</v>
      </c>
      <c r="AI657" s="2">
        <f t="shared" si="574"/>
        <v>0</v>
      </c>
      <c r="AJ657" s="2">
        <f t="shared" si="575"/>
        <v>0</v>
      </c>
      <c r="AK657" s="2">
        <v>24.71</v>
      </c>
      <c r="AL657" s="2">
        <v>0.91</v>
      </c>
      <c r="AM657" s="2">
        <v>0</v>
      </c>
      <c r="AN657" s="2">
        <v>0</v>
      </c>
      <c r="AO657" s="2">
        <v>23.8</v>
      </c>
      <c r="AP657" s="2">
        <v>0</v>
      </c>
      <c r="AQ657" s="2">
        <v>2</v>
      </c>
      <c r="AR657" s="2">
        <v>0</v>
      </c>
      <c r="AS657" s="2">
        <v>0</v>
      </c>
      <c r="AT657" s="2">
        <v>114</v>
      </c>
      <c r="AU657" s="2">
        <v>67</v>
      </c>
      <c r="AV657" s="2">
        <v>1</v>
      </c>
      <c r="AW657" s="2">
        <v>1</v>
      </c>
      <c r="AX657" s="2"/>
      <c r="AY657" s="2"/>
      <c r="AZ657" s="2">
        <v>1</v>
      </c>
      <c r="BA657" s="2">
        <v>1</v>
      </c>
      <c r="BB657" s="2">
        <v>1</v>
      </c>
      <c r="BC657" s="2">
        <v>1</v>
      </c>
      <c r="BD657" s="2" t="s">
        <v>3</v>
      </c>
      <c r="BE657" s="2" t="s">
        <v>3</v>
      </c>
      <c r="BF657" s="2" t="s">
        <v>3</v>
      </c>
      <c r="BG657" s="2" t="s">
        <v>3</v>
      </c>
      <c r="BH657" s="2">
        <v>0</v>
      </c>
      <c r="BI657" s="2">
        <v>2</v>
      </c>
      <c r="BJ657" s="2" t="s">
        <v>644</v>
      </c>
      <c r="BK657" s="2"/>
      <c r="BL657" s="2"/>
      <c r="BM657" s="2">
        <v>336</v>
      </c>
      <c r="BN657" s="2">
        <v>0</v>
      </c>
      <c r="BO657" s="2" t="s">
        <v>3</v>
      </c>
      <c r="BP657" s="2">
        <v>0</v>
      </c>
      <c r="BQ657" s="2">
        <v>40</v>
      </c>
      <c r="BR657" s="2">
        <v>0</v>
      </c>
      <c r="BS657" s="2">
        <v>1</v>
      </c>
      <c r="BT657" s="2">
        <v>1</v>
      </c>
      <c r="BU657" s="2">
        <v>1</v>
      </c>
      <c r="BV657" s="2">
        <v>1</v>
      </c>
      <c r="BW657" s="2">
        <v>1</v>
      </c>
      <c r="BX657" s="2">
        <v>1</v>
      </c>
      <c r="BY657" s="2" t="s">
        <v>3</v>
      </c>
      <c r="BZ657" s="2">
        <v>114</v>
      </c>
      <c r="CA657" s="2">
        <v>67</v>
      </c>
      <c r="CB657" s="2" t="s">
        <v>3</v>
      </c>
      <c r="CC657" s="2"/>
      <c r="CD657" s="2"/>
      <c r="CE657" s="2">
        <v>30</v>
      </c>
      <c r="CF657" s="2">
        <v>0</v>
      </c>
      <c r="CG657" s="2">
        <v>0</v>
      </c>
      <c r="CH657" s="2"/>
      <c r="CI657" s="2"/>
      <c r="CJ657" s="2"/>
      <c r="CK657" s="2"/>
      <c r="CL657" s="2"/>
      <c r="CM657" s="2">
        <v>0</v>
      </c>
      <c r="CN657" s="2" t="s">
        <v>3</v>
      </c>
      <c r="CO657" s="2">
        <v>0</v>
      </c>
      <c r="CP657" s="2">
        <f t="shared" si="576"/>
        <v>49.42</v>
      </c>
      <c r="CQ657" s="2">
        <f t="shared" si="577"/>
        <v>0.91</v>
      </c>
      <c r="CR657" s="2">
        <f t="shared" si="578"/>
        <v>0</v>
      </c>
      <c r="CS657" s="2">
        <f t="shared" si="579"/>
        <v>0</v>
      </c>
      <c r="CT657" s="2">
        <f t="shared" si="580"/>
        <v>23.8</v>
      </c>
      <c r="CU657" s="2">
        <f t="shared" si="581"/>
        <v>0</v>
      </c>
      <c r="CV657" s="2">
        <f t="shared" si="582"/>
        <v>2</v>
      </c>
      <c r="CW657" s="2">
        <f t="shared" si="583"/>
        <v>0</v>
      </c>
      <c r="CX657" s="2">
        <f t="shared" si="584"/>
        <v>0</v>
      </c>
      <c r="CY657" s="2">
        <f>((S657*BZ657)/100)</f>
        <v>54.264000000000003</v>
      </c>
      <c r="CZ657" s="2">
        <f>((S657*CA657)/100)</f>
        <v>31.892000000000003</v>
      </c>
      <c r="DA657" s="2"/>
      <c r="DB657" s="2"/>
      <c r="DC657" s="2" t="s">
        <v>3</v>
      </c>
      <c r="DD657" s="2" t="s">
        <v>3</v>
      </c>
      <c r="DE657" s="2" t="s">
        <v>3</v>
      </c>
      <c r="DF657" s="2" t="s">
        <v>3</v>
      </c>
      <c r="DG657" s="2" t="s">
        <v>3</v>
      </c>
      <c r="DH657" s="2" t="s">
        <v>3</v>
      </c>
      <c r="DI657" s="2" t="s">
        <v>3</v>
      </c>
      <c r="DJ657" s="2" t="s">
        <v>3</v>
      </c>
      <c r="DK657" s="2" t="s">
        <v>3</v>
      </c>
      <c r="DL657" s="2" t="s">
        <v>3</v>
      </c>
      <c r="DM657" s="2" t="s">
        <v>3</v>
      </c>
      <c r="DN657" s="2">
        <v>0</v>
      </c>
      <c r="DO657" s="2">
        <v>0</v>
      </c>
      <c r="DP657" s="2">
        <v>1</v>
      </c>
      <c r="DQ657" s="2">
        <v>1</v>
      </c>
      <c r="DR657" s="2"/>
      <c r="DS657" s="2"/>
      <c r="DT657" s="2"/>
      <c r="DU657" s="2">
        <v>1013</v>
      </c>
      <c r="DV657" s="2" t="s">
        <v>231</v>
      </c>
      <c r="DW657" s="2" t="s">
        <v>231</v>
      </c>
      <c r="DX657" s="2">
        <v>1</v>
      </c>
      <c r="DY657" s="2"/>
      <c r="DZ657" s="2" t="s">
        <v>3</v>
      </c>
      <c r="EA657" s="2" t="s">
        <v>3</v>
      </c>
      <c r="EB657" s="2" t="s">
        <v>3</v>
      </c>
      <c r="EC657" s="2" t="s">
        <v>3</v>
      </c>
      <c r="ED657" s="2"/>
      <c r="EE657" s="2">
        <v>126051797</v>
      </c>
      <c r="EF657" s="2">
        <v>40</v>
      </c>
      <c r="EG657" s="2" t="s">
        <v>621</v>
      </c>
      <c r="EH657" s="2">
        <v>0</v>
      </c>
      <c r="EI657" s="2" t="s">
        <v>3</v>
      </c>
      <c r="EJ657" s="2">
        <v>2</v>
      </c>
      <c r="EK657" s="2">
        <v>336</v>
      </c>
      <c r="EL657" s="2" t="s">
        <v>632</v>
      </c>
      <c r="EM657" s="2" t="s">
        <v>633</v>
      </c>
      <c r="EN657" s="2"/>
      <c r="EO657" s="2" t="s">
        <v>3</v>
      </c>
      <c r="EP657" s="2"/>
      <c r="EQ657" s="2">
        <v>131072</v>
      </c>
      <c r="ER657" s="2">
        <v>24.71</v>
      </c>
      <c r="ES657" s="2">
        <v>0.91</v>
      </c>
      <c r="ET657" s="2">
        <v>0</v>
      </c>
      <c r="EU657" s="2">
        <v>0</v>
      </c>
      <c r="EV657" s="2">
        <v>23.8</v>
      </c>
      <c r="EW657" s="2">
        <v>2</v>
      </c>
      <c r="EX657" s="2">
        <v>0</v>
      </c>
      <c r="EY657" s="2">
        <v>0</v>
      </c>
      <c r="EZ657" s="2"/>
      <c r="FA657" s="2"/>
      <c r="FB657" s="2"/>
      <c r="FC657" s="2"/>
      <c r="FD657" s="2"/>
      <c r="FE657" s="2"/>
      <c r="FF657" s="2"/>
      <c r="FG657" s="2"/>
      <c r="FH657" s="2"/>
      <c r="FI657" s="2"/>
      <c r="FJ657" s="2"/>
      <c r="FK657" s="2"/>
      <c r="FL657" s="2"/>
      <c r="FM657" s="2"/>
      <c r="FN657" s="2"/>
      <c r="FO657" s="2"/>
      <c r="FP657" s="2"/>
      <c r="FQ657" s="2">
        <v>0</v>
      </c>
      <c r="FR657" s="2">
        <f t="shared" si="585"/>
        <v>0</v>
      </c>
      <c r="FS657" s="2">
        <v>0</v>
      </c>
      <c r="FT657" s="2"/>
      <c r="FU657" s="2"/>
      <c r="FV657" s="2"/>
      <c r="FW657" s="2"/>
      <c r="FX657" s="2">
        <v>114</v>
      </c>
      <c r="FY657" s="2">
        <v>67</v>
      </c>
      <c r="FZ657" s="2"/>
      <c r="GA657" s="2" t="s">
        <v>3</v>
      </c>
      <c r="GB657" s="2"/>
      <c r="GC657" s="2"/>
      <c r="GD657" s="2">
        <v>0</v>
      </c>
      <c r="GE657" s="2"/>
      <c r="GF657" s="2">
        <v>-632217048</v>
      </c>
      <c r="GG657" s="2">
        <v>2</v>
      </c>
      <c r="GH657" s="2">
        <v>1</v>
      </c>
      <c r="GI657" s="2">
        <v>-2</v>
      </c>
      <c r="GJ657" s="2">
        <v>0</v>
      </c>
      <c r="GK657" s="2">
        <f>ROUND(R657*(R12)/100,2)</f>
        <v>0</v>
      </c>
      <c r="GL657" s="2">
        <f t="shared" si="586"/>
        <v>0</v>
      </c>
      <c r="GM657" s="2">
        <f t="shared" si="587"/>
        <v>135.57</v>
      </c>
      <c r="GN657" s="2">
        <f t="shared" si="588"/>
        <v>0</v>
      </c>
      <c r="GO657" s="2">
        <f t="shared" si="589"/>
        <v>135.57</v>
      </c>
      <c r="GP657" s="2">
        <f t="shared" si="590"/>
        <v>0</v>
      </c>
      <c r="GQ657" s="2"/>
      <c r="GR657" s="2">
        <v>0</v>
      </c>
      <c r="GS657" s="2">
        <v>0</v>
      </c>
      <c r="GT657" s="2">
        <v>0</v>
      </c>
      <c r="GU657" s="2" t="s">
        <v>3</v>
      </c>
      <c r="GV657" s="2">
        <f t="shared" si="591"/>
        <v>0</v>
      </c>
      <c r="GW657" s="2">
        <v>1</v>
      </c>
      <c r="GX657" s="2">
        <f t="shared" si="592"/>
        <v>0</v>
      </c>
      <c r="GY657" s="2"/>
      <c r="GZ657" s="2"/>
      <c r="HA657" s="2">
        <v>0</v>
      </c>
      <c r="HB657" s="2">
        <v>0</v>
      </c>
      <c r="HC657" s="2">
        <f t="shared" si="593"/>
        <v>0</v>
      </c>
      <c r="HD657" s="2"/>
      <c r="HE657" s="2" t="s">
        <v>3</v>
      </c>
      <c r="HF657" s="2" t="s">
        <v>3</v>
      </c>
      <c r="HG657" s="2"/>
      <c r="HH657" s="2"/>
      <c r="HI657" s="2"/>
      <c r="HJ657" s="2"/>
      <c r="HK657" s="2"/>
      <c r="HL657" s="2"/>
      <c r="HM657" s="2" t="s">
        <v>3</v>
      </c>
      <c r="HN657" s="2" t="s">
        <v>3</v>
      </c>
      <c r="HO657" s="2" t="s">
        <v>3</v>
      </c>
      <c r="HP657" s="2" t="s">
        <v>3</v>
      </c>
      <c r="HQ657" s="2" t="s">
        <v>3</v>
      </c>
      <c r="HR657" s="2"/>
      <c r="HS657" s="2"/>
      <c r="HT657" s="2"/>
      <c r="HU657" s="2"/>
      <c r="HV657" s="2"/>
      <c r="HW657" s="2"/>
      <c r="HX657" s="2"/>
      <c r="HY657" s="2"/>
      <c r="HZ657" s="2"/>
      <c r="IA657" s="2"/>
      <c r="IB657" s="2"/>
      <c r="IC657" s="2"/>
      <c r="ID657" s="2"/>
      <c r="IE657" s="2"/>
      <c r="IF657" s="2"/>
      <c r="IG657" s="2"/>
      <c r="IH657" s="2"/>
      <c r="II657" s="2"/>
      <c r="IJ657" s="2"/>
      <c r="IK657" s="2">
        <v>0</v>
      </c>
      <c r="IL657" s="2"/>
      <c r="IM657" s="2"/>
      <c r="IN657" s="2"/>
      <c r="IO657" s="2"/>
      <c r="IP657" s="2"/>
      <c r="IQ657" s="2"/>
      <c r="IR657" s="2"/>
      <c r="IS657" s="2"/>
      <c r="IT657" s="2"/>
      <c r="IU657" s="2"/>
    </row>
    <row r="658" spans="1:255" x14ac:dyDescent="0.2">
      <c r="A658">
        <v>17</v>
      </c>
      <c r="B658">
        <v>1</v>
      </c>
      <c r="C658">
        <f>ROW(SmtRes!A674)</f>
        <v>674</v>
      </c>
      <c r="D658">
        <f>ROW(EtalonRes!A666)</f>
        <v>666</v>
      </c>
      <c r="E658" t="s">
        <v>124</v>
      </c>
      <c r="F658" t="s">
        <v>642</v>
      </c>
      <c r="G658" t="s">
        <v>643</v>
      </c>
      <c r="H658" t="s">
        <v>231</v>
      </c>
      <c r="I658">
        <v>2</v>
      </c>
      <c r="J658">
        <v>0</v>
      </c>
      <c r="K658">
        <v>2</v>
      </c>
      <c r="O658">
        <f t="shared" si="556"/>
        <v>1397.52</v>
      </c>
      <c r="P658">
        <f t="shared" si="557"/>
        <v>15.69</v>
      </c>
      <c r="Q658">
        <f t="shared" si="558"/>
        <v>0</v>
      </c>
      <c r="R658">
        <f t="shared" si="559"/>
        <v>0</v>
      </c>
      <c r="S658">
        <f t="shared" si="560"/>
        <v>1381.83</v>
      </c>
      <c r="T658">
        <f t="shared" si="561"/>
        <v>0</v>
      </c>
      <c r="U658">
        <f t="shared" si="562"/>
        <v>4</v>
      </c>
      <c r="V658">
        <f t="shared" si="563"/>
        <v>0</v>
      </c>
      <c r="W658">
        <f t="shared" si="564"/>
        <v>0</v>
      </c>
      <c r="X658">
        <f t="shared" si="565"/>
        <v>1091.6500000000001</v>
      </c>
      <c r="Y658">
        <f t="shared" si="566"/>
        <v>566.54999999999995</v>
      </c>
      <c r="AA658">
        <v>129761633</v>
      </c>
      <c r="AB658">
        <f t="shared" si="567"/>
        <v>24.71</v>
      </c>
      <c r="AC658">
        <f t="shared" si="568"/>
        <v>0.91</v>
      </c>
      <c r="AD658">
        <f t="shared" si="569"/>
        <v>0</v>
      </c>
      <c r="AE658">
        <f t="shared" si="570"/>
        <v>0</v>
      </c>
      <c r="AF658">
        <f t="shared" si="571"/>
        <v>23.8</v>
      </c>
      <c r="AG658">
        <f t="shared" si="572"/>
        <v>0</v>
      </c>
      <c r="AH658">
        <f t="shared" si="573"/>
        <v>2</v>
      </c>
      <c r="AI658">
        <f t="shared" si="574"/>
        <v>0</v>
      </c>
      <c r="AJ658">
        <f t="shared" si="575"/>
        <v>0</v>
      </c>
      <c r="AK658">
        <v>24.71</v>
      </c>
      <c r="AL658">
        <v>0.91</v>
      </c>
      <c r="AM658">
        <v>0</v>
      </c>
      <c r="AN658">
        <v>0</v>
      </c>
      <c r="AO658">
        <v>23.8</v>
      </c>
      <c r="AP658">
        <v>0</v>
      </c>
      <c r="AQ658">
        <v>2</v>
      </c>
      <c r="AR658">
        <v>0</v>
      </c>
      <c r="AS658">
        <v>0</v>
      </c>
      <c r="AT658">
        <v>79</v>
      </c>
      <c r="AU658">
        <v>41</v>
      </c>
      <c r="AV658">
        <v>1</v>
      </c>
      <c r="AW658">
        <v>1</v>
      </c>
      <c r="AZ658">
        <v>1</v>
      </c>
      <c r="BA658">
        <v>29.03</v>
      </c>
      <c r="BB658">
        <v>1</v>
      </c>
      <c r="BC658">
        <v>8.6199999999999992</v>
      </c>
      <c r="BD658" t="s">
        <v>3</v>
      </c>
      <c r="BE658" t="s">
        <v>3</v>
      </c>
      <c r="BF658" t="s">
        <v>3</v>
      </c>
      <c r="BG658" t="s">
        <v>3</v>
      </c>
      <c r="BH658">
        <v>0</v>
      </c>
      <c r="BI658">
        <v>2</v>
      </c>
      <c r="BJ658" t="s">
        <v>644</v>
      </c>
      <c r="BM658">
        <v>336</v>
      </c>
      <c r="BN658">
        <v>0</v>
      </c>
      <c r="BO658" t="s">
        <v>642</v>
      </c>
      <c r="BP658">
        <v>1</v>
      </c>
      <c r="BQ658">
        <v>40</v>
      </c>
      <c r="BR658">
        <v>0</v>
      </c>
      <c r="BS658">
        <v>29.03</v>
      </c>
      <c r="BT658">
        <v>1</v>
      </c>
      <c r="BU658">
        <v>1</v>
      </c>
      <c r="BV658">
        <v>1</v>
      </c>
      <c r="BW658">
        <v>1</v>
      </c>
      <c r="BX658">
        <v>1</v>
      </c>
      <c r="BY658" t="s">
        <v>3</v>
      </c>
      <c r="BZ658">
        <v>79</v>
      </c>
      <c r="CA658">
        <v>41</v>
      </c>
      <c r="CB658" t="s">
        <v>3</v>
      </c>
      <c r="CE658">
        <v>30</v>
      </c>
      <c r="CF658">
        <v>0</v>
      </c>
      <c r="CG658">
        <v>0</v>
      </c>
      <c r="CM658">
        <v>0</v>
      </c>
      <c r="CN658" t="s">
        <v>3</v>
      </c>
      <c r="CO658">
        <v>0</v>
      </c>
      <c r="CP658">
        <f t="shared" si="576"/>
        <v>1397.52</v>
      </c>
      <c r="CQ658">
        <f t="shared" si="577"/>
        <v>7.84</v>
      </c>
      <c r="CR658">
        <f t="shared" si="578"/>
        <v>0</v>
      </c>
      <c r="CS658">
        <f t="shared" si="579"/>
        <v>0</v>
      </c>
      <c r="CT658">
        <f t="shared" si="580"/>
        <v>690.91</v>
      </c>
      <c r="CU658">
        <f t="shared" si="581"/>
        <v>0</v>
      </c>
      <c r="CV658">
        <f t="shared" si="582"/>
        <v>2</v>
      </c>
      <c r="CW658">
        <f t="shared" si="583"/>
        <v>0</v>
      </c>
      <c r="CX658">
        <f t="shared" si="584"/>
        <v>0</v>
      </c>
      <c r="CY658">
        <f>S658*(BZ658/100)</f>
        <v>1091.6457</v>
      </c>
      <c r="CZ658">
        <f>S658*(CA658/100)</f>
        <v>566.55029999999999</v>
      </c>
      <c r="DC658" t="s">
        <v>3</v>
      </c>
      <c r="DD658" t="s">
        <v>3</v>
      </c>
      <c r="DE658" t="s">
        <v>3</v>
      </c>
      <c r="DF658" t="s">
        <v>3</v>
      </c>
      <c r="DG658" t="s">
        <v>3</v>
      </c>
      <c r="DH658" t="s">
        <v>3</v>
      </c>
      <c r="DI658" t="s">
        <v>3</v>
      </c>
      <c r="DJ658" t="s">
        <v>3</v>
      </c>
      <c r="DK658" t="s">
        <v>3</v>
      </c>
      <c r="DL658" t="s">
        <v>3</v>
      </c>
      <c r="DM658" t="s">
        <v>3</v>
      </c>
      <c r="DN658">
        <v>114</v>
      </c>
      <c r="DO658">
        <v>67</v>
      </c>
      <c r="DP658">
        <v>1</v>
      </c>
      <c r="DQ658">
        <v>1</v>
      </c>
      <c r="DU658">
        <v>1013</v>
      </c>
      <c r="DV658" t="s">
        <v>231</v>
      </c>
      <c r="DW658" t="s">
        <v>231</v>
      </c>
      <c r="DX658">
        <v>1</v>
      </c>
      <c r="DZ658" t="s">
        <v>3</v>
      </c>
      <c r="EA658" t="s">
        <v>3</v>
      </c>
      <c r="EB658" t="s">
        <v>3</v>
      </c>
      <c r="EC658" t="s">
        <v>3</v>
      </c>
      <c r="EE658">
        <v>126051797</v>
      </c>
      <c r="EF658">
        <v>40</v>
      </c>
      <c r="EG658" t="s">
        <v>621</v>
      </c>
      <c r="EH658">
        <v>0</v>
      </c>
      <c r="EI658" t="s">
        <v>3</v>
      </c>
      <c r="EJ658">
        <v>2</v>
      </c>
      <c r="EK658">
        <v>336</v>
      </c>
      <c r="EL658" t="s">
        <v>632</v>
      </c>
      <c r="EM658" t="s">
        <v>633</v>
      </c>
      <c r="EO658" t="s">
        <v>3</v>
      </c>
      <c r="EQ658">
        <v>131072</v>
      </c>
      <c r="ER658">
        <v>24.71</v>
      </c>
      <c r="ES658">
        <v>0.91</v>
      </c>
      <c r="ET658">
        <v>0</v>
      </c>
      <c r="EU658">
        <v>0</v>
      </c>
      <c r="EV658">
        <v>23.8</v>
      </c>
      <c r="EW658">
        <v>2</v>
      </c>
      <c r="EX658">
        <v>0</v>
      </c>
      <c r="EY658">
        <v>0</v>
      </c>
      <c r="FQ658">
        <v>0</v>
      </c>
      <c r="FR658">
        <f t="shared" si="585"/>
        <v>0</v>
      </c>
      <c r="FS658">
        <v>0</v>
      </c>
      <c r="FX658">
        <v>114</v>
      </c>
      <c r="FY658">
        <v>67</v>
      </c>
      <c r="GA658" t="s">
        <v>3</v>
      </c>
      <c r="GD658">
        <v>0</v>
      </c>
      <c r="GF658">
        <v>-632217048</v>
      </c>
      <c r="GG658">
        <v>2</v>
      </c>
      <c r="GH658">
        <v>1</v>
      </c>
      <c r="GI658">
        <v>2</v>
      </c>
      <c r="GJ658">
        <v>0</v>
      </c>
      <c r="GK658">
        <f>ROUND(R658*(S12)/100,2)</f>
        <v>0</v>
      </c>
      <c r="GL658">
        <f t="shared" si="586"/>
        <v>0</v>
      </c>
      <c r="GM658">
        <f t="shared" si="587"/>
        <v>3055.72</v>
      </c>
      <c r="GN658">
        <f t="shared" si="588"/>
        <v>0</v>
      </c>
      <c r="GO658">
        <f t="shared" si="589"/>
        <v>3055.72</v>
      </c>
      <c r="GP658">
        <f t="shared" si="590"/>
        <v>0</v>
      </c>
      <c r="GR658">
        <v>0</v>
      </c>
      <c r="GS658">
        <v>3</v>
      </c>
      <c r="GT658">
        <v>0</v>
      </c>
      <c r="GU658" t="s">
        <v>3</v>
      </c>
      <c r="GV658">
        <f t="shared" si="591"/>
        <v>0</v>
      </c>
      <c r="GW658">
        <v>1</v>
      </c>
      <c r="GX658">
        <f t="shared" si="592"/>
        <v>0</v>
      </c>
      <c r="HA658">
        <v>0</v>
      </c>
      <c r="HB658">
        <v>0</v>
      </c>
      <c r="HC658">
        <f t="shared" si="593"/>
        <v>0</v>
      </c>
      <c r="HE658" t="s">
        <v>3</v>
      </c>
      <c r="HF658" t="s">
        <v>3</v>
      </c>
      <c r="HM658" t="s">
        <v>3</v>
      </c>
      <c r="HN658" t="s">
        <v>3</v>
      </c>
      <c r="HO658" t="s">
        <v>3</v>
      </c>
      <c r="HP658" t="s">
        <v>3</v>
      </c>
      <c r="HQ658" t="s">
        <v>3</v>
      </c>
      <c r="IK658">
        <v>0</v>
      </c>
    </row>
    <row r="659" spans="1:255" x14ac:dyDescent="0.2">
      <c r="A659" s="2">
        <v>17</v>
      </c>
      <c r="B659" s="2">
        <v>1</v>
      </c>
      <c r="C659" s="2">
        <f>ROW(SmtRes!A678)</f>
        <v>678</v>
      </c>
      <c r="D659" s="2">
        <f>ROW(EtalonRes!A669)</f>
        <v>669</v>
      </c>
      <c r="E659" s="2" t="s">
        <v>176</v>
      </c>
      <c r="F659" s="2" t="s">
        <v>645</v>
      </c>
      <c r="G659" s="2" t="s">
        <v>646</v>
      </c>
      <c r="H659" s="2" t="s">
        <v>231</v>
      </c>
      <c r="I659" s="2">
        <v>2</v>
      </c>
      <c r="J659" s="2">
        <v>0</v>
      </c>
      <c r="K659" s="2">
        <v>2</v>
      </c>
      <c r="L659" s="2"/>
      <c r="M659" s="2"/>
      <c r="N659" s="2"/>
      <c r="O659" s="2">
        <f t="shared" si="556"/>
        <v>2.66</v>
      </c>
      <c r="P659" s="2">
        <f t="shared" si="557"/>
        <v>0.34</v>
      </c>
      <c r="Q659" s="2">
        <f>(ROUND((ROUND((((ET659*1.25))*AV659*I659),2)*BB659),2)+ROUND((ROUND(((AE659-((EU659*1.25)))*AV659*I659),2)*BS659),2))</f>
        <v>0</v>
      </c>
      <c r="R659" s="2">
        <f t="shared" si="559"/>
        <v>0</v>
      </c>
      <c r="S659" s="2">
        <f t="shared" si="560"/>
        <v>2.3199999999999998</v>
      </c>
      <c r="T659" s="2">
        <f t="shared" si="561"/>
        <v>0</v>
      </c>
      <c r="U659" s="2">
        <f t="shared" si="562"/>
        <v>0.20699999999999999</v>
      </c>
      <c r="V659" s="2">
        <f t="shared" si="563"/>
        <v>0</v>
      </c>
      <c r="W659" s="2">
        <f t="shared" si="564"/>
        <v>0</v>
      </c>
      <c r="X659" s="2">
        <f t="shared" si="565"/>
        <v>1.97</v>
      </c>
      <c r="Y659" s="2">
        <f t="shared" si="566"/>
        <v>1.62</v>
      </c>
      <c r="Z659" s="2"/>
      <c r="AA659" s="2">
        <v>129761636</v>
      </c>
      <c r="AB659" s="2">
        <f t="shared" si="567"/>
        <v>1.3314999999999999</v>
      </c>
      <c r="AC659" s="2">
        <f t="shared" si="568"/>
        <v>0.17</v>
      </c>
      <c r="AD659" s="2">
        <f>ROUND(((((ET659*1.25))-((EU659*1.25)))+AE659),6)</f>
        <v>0</v>
      </c>
      <c r="AE659" s="2">
        <f>ROUND(((EU659*1.25)),6)</f>
        <v>0</v>
      </c>
      <c r="AF659" s="2">
        <f>ROUND(((EV659*1.15)),6)</f>
        <v>1.1615</v>
      </c>
      <c r="AG659" s="2">
        <f t="shared" si="572"/>
        <v>0</v>
      </c>
      <c r="AH659" s="2">
        <f>((EW659*1.15))</f>
        <v>0.10349999999999999</v>
      </c>
      <c r="AI659" s="2">
        <f>((EX659*1.25))</f>
        <v>0</v>
      </c>
      <c r="AJ659" s="2">
        <f t="shared" si="575"/>
        <v>0</v>
      </c>
      <c r="AK659" s="2">
        <v>1.18</v>
      </c>
      <c r="AL659" s="2">
        <v>0.17</v>
      </c>
      <c r="AM659" s="2">
        <v>0</v>
      </c>
      <c r="AN659" s="2">
        <v>0</v>
      </c>
      <c r="AO659" s="2">
        <v>1.01</v>
      </c>
      <c r="AP659" s="2">
        <v>0</v>
      </c>
      <c r="AQ659" s="2">
        <v>0.09</v>
      </c>
      <c r="AR659" s="2">
        <v>0</v>
      </c>
      <c r="AS659" s="2">
        <v>0</v>
      </c>
      <c r="AT659" s="2">
        <v>85</v>
      </c>
      <c r="AU659" s="2">
        <v>70</v>
      </c>
      <c r="AV659" s="2">
        <v>1</v>
      </c>
      <c r="AW659" s="2">
        <v>1</v>
      </c>
      <c r="AX659" s="2"/>
      <c r="AY659" s="2"/>
      <c r="AZ659" s="2">
        <v>1</v>
      </c>
      <c r="BA659" s="2">
        <v>1</v>
      </c>
      <c r="BB659" s="2">
        <v>1</v>
      </c>
      <c r="BC659" s="2">
        <v>1</v>
      </c>
      <c r="BD659" s="2" t="s">
        <v>3</v>
      </c>
      <c r="BE659" s="2" t="s">
        <v>3</v>
      </c>
      <c r="BF659" s="2" t="s">
        <v>3</v>
      </c>
      <c r="BG659" s="2" t="s">
        <v>3</v>
      </c>
      <c r="BH659" s="2">
        <v>0</v>
      </c>
      <c r="BI659" s="2">
        <v>1</v>
      </c>
      <c r="BJ659" s="2" t="s">
        <v>647</v>
      </c>
      <c r="BK659" s="2"/>
      <c r="BL659" s="2"/>
      <c r="BM659" s="2">
        <v>80</v>
      </c>
      <c r="BN659" s="2">
        <v>0</v>
      </c>
      <c r="BO659" s="2" t="s">
        <v>3</v>
      </c>
      <c r="BP659" s="2">
        <v>0</v>
      </c>
      <c r="BQ659" s="2">
        <v>30</v>
      </c>
      <c r="BR659" s="2">
        <v>0</v>
      </c>
      <c r="BS659" s="2">
        <v>1</v>
      </c>
      <c r="BT659" s="2">
        <v>1</v>
      </c>
      <c r="BU659" s="2">
        <v>1</v>
      </c>
      <c r="BV659" s="2">
        <v>1</v>
      </c>
      <c r="BW659" s="2">
        <v>1</v>
      </c>
      <c r="BX659" s="2">
        <v>1</v>
      </c>
      <c r="BY659" s="2" t="s">
        <v>3</v>
      </c>
      <c r="BZ659" s="2">
        <v>85</v>
      </c>
      <c r="CA659" s="2">
        <v>70</v>
      </c>
      <c r="CB659" s="2" t="s">
        <v>3</v>
      </c>
      <c r="CC659" s="2"/>
      <c r="CD659" s="2"/>
      <c r="CE659" s="2">
        <v>30</v>
      </c>
      <c r="CF659" s="2">
        <v>0</v>
      </c>
      <c r="CG659" s="2">
        <v>0</v>
      </c>
      <c r="CH659" s="2"/>
      <c r="CI659" s="2"/>
      <c r="CJ659" s="2"/>
      <c r="CK659" s="2"/>
      <c r="CL659" s="2"/>
      <c r="CM659" s="2">
        <v>0</v>
      </c>
      <c r="CN659" s="2" t="s">
        <v>1559</v>
      </c>
      <c r="CO659" s="2">
        <v>0</v>
      </c>
      <c r="CP659" s="2">
        <f t="shared" si="576"/>
        <v>2.6599999999999997</v>
      </c>
      <c r="CQ659" s="2">
        <f t="shared" si="577"/>
        <v>0.17</v>
      </c>
      <c r="CR659" s="2">
        <f>(ROUND((ROUND((((ET659*1.25))*AV659*1),2)*BB659),2)+ROUND((ROUND(((AE659-((EU659*1.25)))*AV659*1),2)*BS659),2))</f>
        <v>0</v>
      </c>
      <c r="CS659" s="2">
        <f t="shared" si="579"/>
        <v>0</v>
      </c>
      <c r="CT659" s="2">
        <f t="shared" si="580"/>
        <v>1.1599999999999999</v>
      </c>
      <c r="CU659" s="2">
        <f t="shared" si="581"/>
        <v>0</v>
      </c>
      <c r="CV659" s="2">
        <f t="shared" si="582"/>
        <v>0.10349999999999999</v>
      </c>
      <c r="CW659" s="2">
        <f t="shared" si="583"/>
        <v>0</v>
      </c>
      <c r="CX659" s="2">
        <f t="shared" si="584"/>
        <v>0</v>
      </c>
      <c r="CY659" s="2">
        <f>((S659*BZ659)/100)</f>
        <v>1.972</v>
      </c>
      <c r="CZ659" s="2">
        <f>((S659*CA659)/100)</f>
        <v>1.6239999999999997</v>
      </c>
      <c r="DA659" s="2"/>
      <c r="DB659" s="2"/>
      <c r="DC659" s="2" t="s">
        <v>3</v>
      </c>
      <c r="DD659" s="2" t="s">
        <v>3</v>
      </c>
      <c r="DE659" s="2" t="s">
        <v>86</v>
      </c>
      <c r="DF659" s="2" t="s">
        <v>86</v>
      </c>
      <c r="DG659" s="2" t="s">
        <v>87</v>
      </c>
      <c r="DH659" s="2" t="s">
        <v>3</v>
      </c>
      <c r="DI659" s="2" t="s">
        <v>87</v>
      </c>
      <c r="DJ659" s="2" t="s">
        <v>86</v>
      </c>
      <c r="DK659" s="2" t="s">
        <v>3</v>
      </c>
      <c r="DL659" s="2" t="s">
        <v>3</v>
      </c>
      <c r="DM659" s="2" t="s">
        <v>3</v>
      </c>
      <c r="DN659" s="2">
        <v>0</v>
      </c>
      <c r="DO659" s="2">
        <v>0</v>
      </c>
      <c r="DP659" s="2">
        <v>1</v>
      </c>
      <c r="DQ659" s="2">
        <v>1</v>
      </c>
      <c r="DR659" s="2"/>
      <c r="DS659" s="2"/>
      <c r="DT659" s="2"/>
      <c r="DU659" s="2">
        <v>1013</v>
      </c>
      <c r="DV659" s="2" t="s">
        <v>231</v>
      </c>
      <c r="DW659" s="2" t="s">
        <v>231</v>
      </c>
      <c r="DX659" s="2">
        <v>1</v>
      </c>
      <c r="DY659" s="2"/>
      <c r="DZ659" s="2" t="s">
        <v>3</v>
      </c>
      <c r="EA659" s="2" t="s">
        <v>3</v>
      </c>
      <c r="EB659" s="2" t="s">
        <v>3</v>
      </c>
      <c r="EC659" s="2" t="s">
        <v>3</v>
      </c>
      <c r="ED659" s="2"/>
      <c r="EE659" s="2">
        <v>126051541</v>
      </c>
      <c r="EF659" s="2">
        <v>30</v>
      </c>
      <c r="EG659" s="2" t="s">
        <v>23</v>
      </c>
      <c r="EH659" s="2">
        <v>0</v>
      </c>
      <c r="EI659" s="2" t="s">
        <v>3</v>
      </c>
      <c r="EJ659" s="2">
        <v>1</v>
      </c>
      <c r="EK659" s="2">
        <v>80</v>
      </c>
      <c r="EL659" s="2" t="s">
        <v>143</v>
      </c>
      <c r="EM659" s="2" t="s">
        <v>144</v>
      </c>
      <c r="EN659" s="2"/>
      <c r="EO659" s="2" t="s">
        <v>90</v>
      </c>
      <c r="EP659" s="2"/>
      <c r="EQ659" s="2">
        <v>131072</v>
      </c>
      <c r="ER659" s="2">
        <v>1.18</v>
      </c>
      <c r="ES659" s="2">
        <v>0.17</v>
      </c>
      <c r="ET659" s="2">
        <v>0</v>
      </c>
      <c r="EU659" s="2">
        <v>0</v>
      </c>
      <c r="EV659" s="2">
        <v>1.01</v>
      </c>
      <c r="EW659" s="2">
        <v>0.09</v>
      </c>
      <c r="EX659" s="2">
        <v>0</v>
      </c>
      <c r="EY659" s="2">
        <v>0</v>
      </c>
      <c r="EZ659" s="2"/>
      <c r="FA659" s="2"/>
      <c r="FB659" s="2"/>
      <c r="FC659" s="2"/>
      <c r="FD659" s="2"/>
      <c r="FE659" s="2"/>
      <c r="FF659" s="2"/>
      <c r="FG659" s="2"/>
      <c r="FH659" s="2"/>
      <c r="FI659" s="2"/>
      <c r="FJ659" s="2"/>
      <c r="FK659" s="2"/>
      <c r="FL659" s="2"/>
      <c r="FM659" s="2"/>
      <c r="FN659" s="2"/>
      <c r="FO659" s="2"/>
      <c r="FP659" s="2"/>
      <c r="FQ659" s="2">
        <v>0</v>
      </c>
      <c r="FR659" s="2">
        <f t="shared" si="585"/>
        <v>0</v>
      </c>
      <c r="FS659" s="2">
        <v>0</v>
      </c>
      <c r="FT659" s="2"/>
      <c r="FU659" s="2"/>
      <c r="FV659" s="2"/>
      <c r="FW659" s="2"/>
      <c r="FX659" s="2">
        <v>85</v>
      </c>
      <c r="FY659" s="2">
        <v>70</v>
      </c>
      <c r="FZ659" s="2"/>
      <c r="GA659" s="2" t="s">
        <v>3</v>
      </c>
      <c r="GB659" s="2"/>
      <c r="GC659" s="2"/>
      <c r="GD659" s="2">
        <v>0</v>
      </c>
      <c r="GE659" s="2"/>
      <c r="GF659" s="2">
        <v>-1734188975</v>
      </c>
      <c r="GG659" s="2">
        <v>2</v>
      </c>
      <c r="GH659" s="2">
        <v>1</v>
      </c>
      <c r="GI659" s="2">
        <v>-2</v>
      </c>
      <c r="GJ659" s="2">
        <v>0</v>
      </c>
      <c r="GK659" s="2">
        <f>ROUND(R659*(R12)/100,2)</f>
        <v>0</v>
      </c>
      <c r="GL659" s="2">
        <f t="shared" si="586"/>
        <v>0</v>
      </c>
      <c r="GM659" s="2">
        <f t="shared" si="587"/>
        <v>6.25</v>
      </c>
      <c r="GN659" s="2">
        <f t="shared" si="588"/>
        <v>6.25</v>
      </c>
      <c r="GO659" s="2">
        <f t="shared" si="589"/>
        <v>0</v>
      </c>
      <c r="GP659" s="2">
        <f t="shared" si="590"/>
        <v>0</v>
      </c>
      <c r="GQ659" s="2"/>
      <c r="GR659" s="2">
        <v>0</v>
      </c>
      <c r="GS659" s="2">
        <v>0</v>
      </c>
      <c r="GT659" s="2">
        <v>0</v>
      </c>
      <c r="GU659" s="2" t="s">
        <v>3</v>
      </c>
      <c r="GV659" s="2">
        <f t="shared" si="591"/>
        <v>0</v>
      </c>
      <c r="GW659" s="2">
        <v>1</v>
      </c>
      <c r="GX659" s="2">
        <f t="shared" si="592"/>
        <v>0</v>
      </c>
      <c r="GY659" s="2"/>
      <c r="GZ659" s="2"/>
      <c r="HA659" s="2">
        <v>0</v>
      </c>
      <c r="HB659" s="2">
        <v>0</v>
      </c>
      <c r="HC659" s="2">
        <f t="shared" si="593"/>
        <v>0</v>
      </c>
      <c r="HD659" s="2"/>
      <c r="HE659" s="2" t="s">
        <v>3</v>
      </c>
      <c r="HF659" s="2" t="s">
        <v>3</v>
      </c>
      <c r="HG659" s="2"/>
      <c r="HH659" s="2"/>
      <c r="HI659" s="2"/>
      <c r="HJ659" s="2"/>
      <c r="HK659" s="2"/>
      <c r="HL659" s="2"/>
      <c r="HM659" s="2" t="s">
        <v>3</v>
      </c>
      <c r="HN659" s="2" t="s">
        <v>3</v>
      </c>
      <c r="HO659" s="2" t="s">
        <v>3</v>
      </c>
      <c r="HP659" s="2" t="s">
        <v>3</v>
      </c>
      <c r="HQ659" s="2" t="s">
        <v>3</v>
      </c>
      <c r="HR659" s="2"/>
      <c r="HS659" s="2"/>
      <c r="HT659" s="2"/>
      <c r="HU659" s="2"/>
      <c r="HV659" s="2"/>
      <c r="HW659" s="2"/>
      <c r="HX659" s="2"/>
      <c r="HY659" s="2"/>
      <c r="HZ659" s="2"/>
      <c r="IA659" s="2"/>
      <c r="IB659" s="2"/>
      <c r="IC659" s="2"/>
      <c r="ID659" s="2"/>
      <c r="IE659" s="2"/>
      <c r="IF659" s="2"/>
      <c r="IG659" s="2"/>
      <c r="IH659" s="2"/>
      <c r="II659" s="2"/>
      <c r="IJ659" s="2"/>
      <c r="IK659" s="2">
        <v>0</v>
      </c>
      <c r="IL659" s="2"/>
      <c r="IM659" s="2"/>
      <c r="IN659" s="2"/>
      <c r="IO659" s="2"/>
      <c r="IP659" s="2"/>
      <c r="IQ659" s="2"/>
      <c r="IR659" s="2"/>
      <c r="IS659" s="2"/>
      <c r="IT659" s="2"/>
      <c r="IU659" s="2"/>
    </row>
    <row r="660" spans="1:255" x14ac:dyDescent="0.2">
      <c r="A660">
        <v>17</v>
      </c>
      <c r="B660">
        <v>1</v>
      </c>
      <c r="C660">
        <f>ROW(SmtRes!A682)</f>
        <v>682</v>
      </c>
      <c r="D660">
        <f>ROW(EtalonRes!A672)</f>
        <v>672</v>
      </c>
      <c r="E660" t="s">
        <v>176</v>
      </c>
      <c r="F660" t="s">
        <v>645</v>
      </c>
      <c r="G660" t="s">
        <v>646</v>
      </c>
      <c r="H660" t="s">
        <v>231</v>
      </c>
      <c r="I660">
        <v>2</v>
      </c>
      <c r="J660">
        <v>0</v>
      </c>
      <c r="K660">
        <v>2</v>
      </c>
      <c r="O660">
        <f t="shared" si="556"/>
        <v>71.349999999999994</v>
      </c>
      <c r="P660">
        <f t="shared" si="557"/>
        <v>4</v>
      </c>
      <c r="Q660">
        <f>(ROUND((ROUND((((ET660*1.25))*AV660*I660),2)*BB660),2)+ROUND((ROUND(((AE660-((EU660*1.25)))*AV660*I660),2)*BS660),2))</f>
        <v>0</v>
      </c>
      <c r="R660">
        <f t="shared" si="559"/>
        <v>0</v>
      </c>
      <c r="S660">
        <f t="shared" si="560"/>
        <v>67.349999999999994</v>
      </c>
      <c r="T660">
        <f t="shared" si="561"/>
        <v>0</v>
      </c>
      <c r="U660">
        <f t="shared" si="562"/>
        <v>0.20699999999999999</v>
      </c>
      <c r="V660">
        <f t="shared" si="563"/>
        <v>0</v>
      </c>
      <c r="W660">
        <f t="shared" si="564"/>
        <v>0</v>
      </c>
      <c r="X660">
        <f t="shared" si="565"/>
        <v>47.15</v>
      </c>
      <c r="Y660">
        <f t="shared" si="566"/>
        <v>27.61</v>
      </c>
      <c r="AA660">
        <v>129761633</v>
      </c>
      <c r="AB660">
        <f t="shared" si="567"/>
        <v>1.3314999999999999</v>
      </c>
      <c r="AC660">
        <f t="shared" si="568"/>
        <v>0.17</v>
      </c>
      <c r="AD660">
        <f>ROUND(((((ET660*1.25))-((EU660*1.25)))+AE660),6)</f>
        <v>0</v>
      </c>
      <c r="AE660">
        <f>ROUND(((EU660*1.25)),6)</f>
        <v>0</v>
      </c>
      <c r="AF660">
        <f>ROUND(((EV660*1.15)),6)</f>
        <v>1.1615</v>
      </c>
      <c r="AG660">
        <f t="shared" si="572"/>
        <v>0</v>
      </c>
      <c r="AH660">
        <f>((EW660*1.15))</f>
        <v>0.10349999999999999</v>
      </c>
      <c r="AI660">
        <f>((EX660*1.25))</f>
        <v>0</v>
      </c>
      <c r="AJ660">
        <f t="shared" si="575"/>
        <v>0</v>
      </c>
      <c r="AK660">
        <v>1.18</v>
      </c>
      <c r="AL660">
        <v>0.17</v>
      </c>
      <c r="AM660">
        <v>0</v>
      </c>
      <c r="AN660">
        <v>0</v>
      </c>
      <c r="AO660">
        <v>1.01</v>
      </c>
      <c r="AP660">
        <v>0</v>
      </c>
      <c r="AQ660">
        <v>0.09</v>
      </c>
      <c r="AR660">
        <v>0</v>
      </c>
      <c r="AS660">
        <v>0</v>
      </c>
      <c r="AT660">
        <v>70</v>
      </c>
      <c r="AU660">
        <v>41</v>
      </c>
      <c r="AV660">
        <v>1</v>
      </c>
      <c r="AW660">
        <v>1</v>
      </c>
      <c r="AZ660">
        <v>1</v>
      </c>
      <c r="BA660">
        <v>29.03</v>
      </c>
      <c r="BB660">
        <v>1</v>
      </c>
      <c r="BC660">
        <v>11.76</v>
      </c>
      <c r="BD660" t="s">
        <v>3</v>
      </c>
      <c r="BE660" t="s">
        <v>3</v>
      </c>
      <c r="BF660" t="s">
        <v>3</v>
      </c>
      <c r="BG660" t="s">
        <v>3</v>
      </c>
      <c r="BH660">
        <v>0</v>
      </c>
      <c r="BI660">
        <v>1</v>
      </c>
      <c r="BJ660" t="s">
        <v>647</v>
      </c>
      <c r="BM660">
        <v>80</v>
      </c>
      <c r="BN660">
        <v>0</v>
      </c>
      <c r="BO660" t="s">
        <v>645</v>
      </c>
      <c r="BP660">
        <v>1</v>
      </c>
      <c r="BQ660">
        <v>30</v>
      </c>
      <c r="BR660">
        <v>0</v>
      </c>
      <c r="BS660">
        <v>29.03</v>
      </c>
      <c r="BT660">
        <v>1</v>
      </c>
      <c r="BU660">
        <v>1</v>
      </c>
      <c r="BV660">
        <v>1</v>
      </c>
      <c r="BW660">
        <v>1</v>
      </c>
      <c r="BX660">
        <v>1</v>
      </c>
      <c r="BY660" t="s">
        <v>3</v>
      </c>
      <c r="BZ660">
        <v>70</v>
      </c>
      <c r="CA660">
        <v>41</v>
      </c>
      <c r="CB660" t="s">
        <v>3</v>
      </c>
      <c r="CE660">
        <v>30</v>
      </c>
      <c r="CF660">
        <v>0</v>
      </c>
      <c r="CG660">
        <v>0</v>
      </c>
      <c r="CM660">
        <v>0</v>
      </c>
      <c r="CN660" t="s">
        <v>1559</v>
      </c>
      <c r="CO660">
        <v>0</v>
      </c>
      <c r="CP660">
        <f t="shared" si="576"/>
        <v>71.349999999999994</v>
      </c>
      <c r="CQ660">
        <f t="shared" si="577"/>
        <v>2</v>
      </c>
      <c r="CR660">
        <f>(ROUND((ROUND((((ET660*1.25))*AV660*1),2)*BB660),2)+ROUND((ROUND(((AE660-((EU660*1.25)))*AV660*1),2)*BS660),2))</f>
        <v>0</v>
      </c>
      <c r="CS660">
        <f t="shared" si="579"/>
        <v>0</v>
      </c>
      <c r="CT660">
        <f t="shared" si="580"/>
        <v>33.67</v>
      </c>
      <c r="CU660">
        <f t="shared" si="581"/>
        <v>0</v>
      </c>
      <c r="CV660">
        <f t="shared" si="582"/>
        <v>0.10349999999999999</v>
      </c>
      <c r="CW660">
        <f t="shared" si="583"/>
        <v>0</v>
      </c>
      <c r="CX660">
        <f t="shared" si="584"/>
        <v>0</v>
      </c>
      <c r="CY660">
        <f>S660*(BZ660/100)</f>
        <v>47.144999999999996</v>
      </c>
      <c r="CZ660">
        <f>S660*(CA660/100)</f>
        <v>27.613499999999995</v>
      </c>
      <c r="DC660" t="s">
        <v>3</v>
      </c>
      <c r="DD660" t="s">
        <v>3</v>
      </c>
      <c r="DE660" t="s">
        <v>86</v>
      </c>
      <c r="DF660" t="s">
        <v>86</v>
      </c>
      <c r="DG660" t="s">
        <v>87</v>
      </c>
      <c r="DH660" t="s">
        <v>3</v>
      </c>
      <c r="DI660" t="s">
        <v>87</v>
      </c>
      <c r="DJ660" t="s">
        <v>86</v>
      </c>
      <c r="DK660" t="s">
        <v>3</v>
      </c>
      <c r="DL660" t="s">
        <v>3</v>
      </c>
      <c r="DM660" t="s">
        <v>3</v>
      </c>
      <c r="DN660">
        <v>85</v>
      </c>
      <c r="DO660">
        <v>70</v>
      </c>
      <c r="DP660">
        <v>1</v>
      </c>
      <c r="DQ660">
        <v>1</v>
      </c>
      <c r="DU660">
        <v>1013</v>
      </c>
      <c r="DV660" t="s">
        <v>231</v>
      </c>
      <c r="DW660" t="s">
        <v>231</v>
      </c>
      <c r="DX660">
        <v>1</v>
      </c>
      <c r="DZ660" t="s">
        <v>3</v>
      </c>
      <c r="EA660" t="s">
        <v>3</v>
      </c>
      <c r="EB660" t="s">
        <v>3</v>
      </c>
      <c r="EC660" t="s">
        <v>3</v>
      </c>
      <c r="EE660">
        <v>126051541</v>
      </c>
      <c r="EF660">
        <v>30</v>
      </c>
      <c r="EG660" t="s">
        <v>23</v>
      </c>
      <c r="EH660">
        <v>0</v>
      </c>
      <c r="EI660" t="s">
        <v>3</v>
      </c>
      <c r="EJ660">
        <v>1</v>
      </c>
      <c r="EK660">
        <v>80</v>
      </c>
      <c r="EL660" t="s">
        <v>143</v>
      </c>
      <c r="EM660" t="s">
        <v>144</v>
      </c>
      <c r="EO660" t="s">
        <v>90</v>
      </c>
      <c r="EQ660">
        <v>131072</v>
      </c>
      <c r="ER660">
        <v>1.18</v>
      </c>
      <c r="ES660">
        <v>0.17</v>
      </c>
      <c r="ET660">
        <v>0</v>
      </c>
      <c r="EU660">
        <v>0</v>
      </c>
      <c r="EV660">
        <v>1.01</v>
      </c>
      <c r="EW660">
        <v>0.09</v>
      </c>
      <c r="EX660">
        <v>0</v>
      </c>
      <c r="EY660">
        <v>0</v>
      </c>
      <c r="FQ660">
        <v>0</v>
      </c>
      <c r="FR660">
        <f t="shared" si="585"/>
        <v>0</v>
      </c>
      <c r="FS660">
        <v>0</v>
      </c>
      <c r="FX660">
        <v>85</v>
      </c>
      <c r="FY660">
        <v>70</v>
      </c>
      <c r="GA660" t="s">
        <v>3</v>
      </c>
      <c r="GD660">
        <v>0</v>
      </c>
      <c r="GF660">
        <v>-1734188975</v>
      </c>
      <c r="GG660">
        <v>2</v>
      </c>
      <c r="GH660">
        <v>1</v>
      </c>
      <c r="GI660">
        <v>2</v>
      </c>
      <c r="GJ660">
        <v>0</v>
      </c>
      <c r="GK660">
        <f>ROUND(R660*(S12)/100,2)</f>
        <v>0</v>
      </c>
      <c r="GL660">
        <f t="shared" si="586"/>
        <v>0</v>
      </c>
      <c r="GM660">
        <f t="shared" si="587"/>
        <v>146.11000000000001</v>
      </c>
      <c r="GN660">
        <f t="shared" si="588"/>
        <v>146.11000000000001</v>
      </c>
      <c r="GO660">
        <f t="shared" si="589"/>
        <v>0</v>
      </c>
      <c r="GP660">
        <f t="shared" si="590"/>
        <v>0</v>
      </c>
      <c r="GR660">
        <v>0</v>
      </c>
      <c r="GS660">
        <v>3</v>
      </c>
      <c r="GT660">
        <v>0</v>
      </c>
      <c r="GU660" t="s">
        <v>3</v>
      </c>
      <c r="GV660">
        <f t="shared" si="591"/>
        <v>0</v>
      </c>
      <c r="GW660">
        <v>1</v>
      </c>
      <c r="GX660">
        <f t="shared" si="592"/>
        <v>0</v>
      </c>
      <c r="HA660">
        <v>0</v>
      </c>
      <c r="HB660">
        <v>0</v>
      </c>
      <c r="HC660">
        <f t="shared" si="593"/>
        <v>0</v>
      </c>
      <c r="HE660" t="s">
        <v>3</v>
      </c>
      <c r="HF660" t="s">
        <v>3</v>
      </c>
      <c r="HM660" t="s">
        <v>3</v>
      </c>
      <c r="HN660" t="s">
        <v>3</v>
      </c>
      <c r="HO660" t="s">
        <v>3</v>
      </c>
      <c r="HP660" t="s">
        <v>3</v>
      </c>
      <c r="HQ660" t="s">
        <v>3</v>
      </c>
      <c r="IK660">
        <v>0</v>
      </c>
    </row>
    <row r="661" spans="1:255" x14ac:dyDescent="0.2">
      <c r="A661" s="2">
        <v>18</v>
      </c>
      <c r="B661" s="2">
        <v>1</v>
      </c>
      <c r="C661" s="2">
        <v>677</v>
      </c>
      <c r="D661" s="2"/>
      <c r="E661" s="2" t="s">
        <v>548</v>
      </c>
      <c r="F661" s="2" t="s">
        <v>648</v>
      </c>
      <c r="G661" s="2" t="s">
        <v>649</v>
      </c>
      <c r="H661" s="2" t="s">
        <v>250</v>
      </c>
      <c r="I661" s="2">
        <f>I659*J661</f>
        <v>2</v>
      </c>
      <c r="J661" s="2">
        <v>1</v>
      </c>
      <c r="K661" s="2">
        <v>1</v>
      </c>
      <c r="L661" s="2"/>
      <c r="M661" s="2"/>
      <c r="N661" s="2"/>
      <c r="O661" s="2">
        <f t="shared" si="556"/>
        <v>30.72</v>
      </c>
      <c r="P661" s="2">
        <f t="shared" si="557"/>
        <v>30.72</v>
      </c>
      <c r="Q661" s="2">
        <f t="shared" ref="Q661:Q668" si="594">(ROUND((ROUND(((ET661)*AV661*I661),2)*BB661),2)+ROUND((ROUND(((AE661-(EU661))*AV661*I661),2)*BS661),2))</f>
        <v>0</v>
      </c>
      <c r="R661" s="2">
        <f t="shared" si="559"/>
        <v>0</v>
      </c>
      <c r="S661" s="2">
        <f t="shared" si="560"/>
        <v>0</v>
      </c>
      <c r="T661" s="2">
        <f t="shared" si="561"/>
        <v>0</v>
      </c>
      <c r="U661" s="2">
        <f t="shared" si="562"/>
        <v>0</v>
      </c>
      <c r="V661" s="2">
        <f t="shared" si="563"/>
        <v>0</v>
      </c>
      <c r="W661" s="2">
        <f t="shared" si="564"/>
        <v>0</v>
      </c>
      <c r="X661" s="2">
        <f t="shared" si="565"/>
        <v>0</v>
      </c>
      <c r="Y661" s="2">
        <f t="shared" si="566"/>
        <v>0</v>
      </c>
      <c r="Z661" s="2"/>
      <c r="AA661" s="2">
        <v>129761636</v>
      </c>
      <c r="AB661" s="2">
        <f t="shared" si="567"/>
        <v>15.36</v>
      </c>
      <c r="AC661" s="2">
        <f t="shared" si="568"/>
        <v>15.36</v>
      </c>
      <c r="AD661" s="2">
        <f t="shared" ref="AD661:AD668" si="595">ROUND((((ET661)-(EU661))+AE661),6)</f>
        <v>0</v>
      </c>
      <c r="AE661" s="2">
        <f t="shared" ref="AE661:AF668" si="596">ROUND((EU661),6)</f>
        <v>0</v>
      </c>
      <c r="AF661" s="2">
        <f t="shared" si="596"/>
        <v>0</v>
      </c>
      <c r="AG661" s="2">
        <f t="shared" si="572"/>
        <v>0</v>
      </c>
      <c r="AH661" s="2">
        <f t="shared" ref="AH661:AI668" si="597">(EW661)</f>
        <v>0</v>
      </c>
      <c r="AI661" s="2">
        <f t="shared" si="597"/>
        <v>0</v>
      </c>
      <c r="AJ661" s="2">
        <f t="shared" si="575"/>
        <v>0</v>
      </c>
      <c r="AK661" s="2">
        <v>15.36</v>
      </c>
      <c r="AL661" s="2">
        <v>15.36</v>
      </c>
      <c r="AM661" s="2">
        <v>0</v>
      </c>
      <c r="AN661" s="2">
        <v>0</v>
      </c>
      <c r="AO661" s="2">
        <v>0</v>
      </c>
      <c r="AP661" s="2">
        <v>0</v>
      </c>
      <c r="AQ661" s="2">
        <v>0</v>
      </c>
      <c r="AR661" s="2">
        <v>0</v>
      </c>
      <c r="AS661" s="2">
        <v>0</v>
      </c>
      <c r="AT661" s="2">
        <v>85</v>
      </c>
      <c r="AU661" s="2">
        <v>70</v>
      </c>
      <c r="AV661" s="2">
        <v>1</v>
      </c>
      <c r="AW661" s="2">
        <v>1</v>
      </c>
      <c r="AX661" s="2"/>
      <c r="AY661" s="2"/>
      <c r="AZ661" s="2">
        <v>1</v>
      </c>
      <c r="BA661" s="2">
        <v>1</v>
      </c>
      <c r="BB661" s="2">
        <v>1</v>
      </c>
      <c r="BC661" s="2">
        <v>1</v>
      </c>
      <c r="BD661" s="2" t="s">
        <v>3</v>
      </c>
      <c r="BE661" s="2" t="s">
        <v>3</v>
      </c>
      <c r="BF661" s="2" t="s">
        <v>3</v>
      </c>
      <c r="BG661" s="2" t="s">
        <v>3</v>
      </c>
      <c r="BH661" s="2">
        <v>3</v>
      </c>
      <c r="BI661" s="2">
        <v>1</v>
      </c>
      <c r="BJ661" s="2" t="s">
        <v>650</v>
      </c>
      <c r="BK661" s="2"/>
      <c r="BL661" s="2"/>
      <c r="BM661" s="2">
        <v>80</v>
      </c>
      <c r="BN661" s="2">
        <v>0</v>
      </c>
      <c r="BO661" s="2" t="s">
        <v>3</v>
      </c>
      <c r="BP661" s="2">
        <v>0</v>
      </c>
      <c r="BQ661" s="2">
        <v>30</v>
      </c>
      <c r="BR661" s="2">
        <v>0</v>
      </c>
      <c r="BS661" s="2">
        <v>1</v>
      </c>
      <c r="BT661" s="2">
        <v>1</v>
      </c>
      <c r="BU661" s="2">
        <v>1</v>
      </c>
      <c r="BV661" s="2">
        <v>1</v>
      </c>
      <c r="BW661" s="2">
        <v>1</v>
      </c>
      <c r="BX661" s="2">
        <v>1</v>
      </c>
      <c r="BY661" s="2" t="s">
        <v>3</v>
      </c>
      <c r="BZ661" s="2">
        <v>85</v>
      </c>
      <c r="CA661" s="2">
        <v>70</v>
      </c>
      <c r="CB661" s="2" t="s">
        <v>3</v>
      </c>
      <c r="CC661" s="2"/>
      <c r="CD661" s="2"/>
      <c r="CE661" s="2">
        <v>30</v>
      </c>
      <c r="CF661" s="2">
        <v>0</v>
      </c>
      <c r="CG661" s="2">
        <v>0</v>
      </c>
      <c r="CH661" s="2"/>
      <c r="CI661" s="2"/>
      <c r="CJ661" s="2"/>
      <c r="CK661" s="2"/>
      <c r="CL661" s="2"/>
      <c r="CM661" s="2">
        <v>0</v>
      </c>
      <c r="CN661" s="2" t="s">
        <v>3</v>
      </c>
      <c r="CO661" s="2">
        <v>0</v>
      </c>
      <c r="CP661" s="2">
        <f t="shared" si="576"/>
        <v>30.72</v>
      </c>
      <c r="CQ661" s="2">
        <f t="shared" si="577"/>
        <v>15.36</v>
      </c>
      <c r="CR661" s="2">
        <f t="shared" ref="CR661:CR668" si="598">(ROUND((ROUND(((ET661)*AV661*1),2)*BB661),2)+ROUND((ROUND(((AE661-(EU661))*AV661*1),2)*BS661),2))</f>
        <v>0</v>
      </c>
      <c r="CS661" s="2">
        <f t="shared" si="579"/>
        <v>0</v>
      </c>
      <c r="CT661" s="2">
        <f t="shared" si="580"/>
        <v>0</v>
      </c>
      <c r="CU661" s="2">
        <f t="shared" si="581"/>
        <v>0</v>
      </c>
      <c r="CV661" s="2">
        <f t="shared" si="582"/>
        <v>0</v>
      </c>
      <c r="CW661" s="2">
        <f t="shared" si="583"/>
        <v>0</v>
      </c>
      <c r="CX661" s="2">
        <f t="shared" si="584"/>
        <v>0</v>
      </c>
      <c r="CY661" s="2">
        <f>((S661*BZ661)/100)</f>
        <v>0</v>
      </c>
      <c r="CZ661" s="2">
        <f>((S661*CA661)/100)</f>
        <v>0</v>
      </c>
      <c r="DA661" s="2"/>
      <c r="DB661" s="2"/>
      <c r="DC661" s="2" t="s">
        <v>3</v>
      </c>
      <c r="DD661" s="2" t="s">
        <v>3</v>
      </c>
      <c r="DE661" s="2" t="s">
        <v>3</v>
      </c>
      <c r="DF661" s="2" t="s">
        <v>3</v>
      </c>
      <c r="DG661" s="2" t="s">
        <v>3</v>
      </c>
      <c r="DH661" s="2" t="s">
        <v>3</v>
      </c>
      <c r="DI661" s="2" t="s">
        <v>3</v>
      </c>
      <c r="DJ661" s="2" t="s">
        <v>3</v>
      </c>
      <c r="DK661" s="2" t="s">
        <v>3</v>
      </c>
      <c r="DL661" s="2" t="s">
        <v>3</v>
      </c>
      <c r="DM661" s="2" t="s">
        <v>3</v>
      </c>
      <c r="DN661" s="2">
        <v>0</v>
      </c>
      <c r="DO661" s="2">
        <v>0</v>
      </c>
      <c r="DP661" s="2">
        <v>1</v>
      </c>
      <c r="DQ661" s="2">
        <v>1</v>
      </c>
      <c r="DR661" s="2"/>
      <c r="DS661" s="2"/>
      <c r="DT661" s="2"/>
      <c r="DU661" s="2">
        <v>1010</v>
      </c>
      <c r="DV661" s="2" t="s">
        <v>250</v>
      </c>
      <c r="DW661" s="2" t="s">
        <v>250</v>
      </c>
      <c r="DX661" s="2">
        <v>1</v>
      </c>
      <c r="DY661" s="2"/>
      <c r="DZ661" s="2" t="s">
        <v>3</v>
      </c>
      <c r="EA661" s="2" t="s">
        <v>3</v>
      </c>
      <c r="EB661" s="2" t="s">
        <v>3</v>
      </c>
      <c r="EC661" s="2" t="s">
        <v>3</v>
      </c>
      <c r="ED661" s="2"/>
      <c r="EE661" s="2">
        <v>126051541</v>
      </c>
      <c r="EF661" s="2">
        <v>30</v>
      </c>
      <c r="EG661" s="2" t="s">
        <v>23</v>
      </c>
      <c r="EH661" s="2">
        <v>0</v>
      </c>
      <c r="EI661" s="2" t="s">
        <v>3</v>
      </c>
      <c r="EJ661" s="2">
        <v>1</v>
      </c>
      <c r="EK661" s="2">
        <v>80</v>
      </c>
      <c r="EL661" s="2" t="s">
        <v>143</v>
      </c>
      <c r="EM661" s="2" t="s">
        <v>144</v>
      </c>
      <c r="EN661" s="2"/>
      <c r="EO661" s="2" t="s">
        <v>3</v>
      </c>
      <c r="EP661" s="2"/>
      <c r="EQ661" s="2">
        <v>0</v>
      </c>
      <c r="ER661" s="2">
        <v>15.36</v>
      </c>
      <c r="ES661" s="2">
        <v>15.36</v>
      </c>
      <c r="ET661" s="2">
        <v>0</v>
      </c>
      <c r="EU661" s="2">
        <v>0</v>
      </c>
      <c r="EV661" s="2">
        <v>0</v>
      </c>
      <c r="EW661" s="2">
        <v>0</v>
      </c>
      <c r="EX661" s="2">
        <v>0</v>
      </c>
      <c r="EY661" s="2"/>
      <c r="EZ661" s="2"/>
      <c r="FA661" s="2"/>
      <c r="FB661" s="2"/>
      <c r="FC661" s="2"/>
      <c r="FD661" s="2"/>
      <c r="FE661" s="2"/>
      <c r="FF661" s="2"/>
      <c r="FG661" s="2"/>
      <c r="FH661" s="2"/>
      <c r="FI661" s="2"/>
      <c r="FJ661" s="2"/>
      <c r="FK661" s="2"/>
      <c r="FL661" s="2"/>
      <c r="FM661" s="2"/>
      <c r="FN661" s="2"/>
      <c r="FO661" s="2"/>
      <c r="FP661" s="2"/>
      <c r="FQ661" s="2">
        <v>0</v>
      </c>
      <c r="FR661" s="2">
        <f t="shared" si="585"/>
        <v>0</v>
      </c>
      <c r="FS661" s="2">
        <v>0</v>
      </c>
      <c r="FT661" s="2"/>
      <c r="FU661" s="2"/>
      <c r="FV661" s="2"/>
      <c r="FW661" s="2"/>
      <c r="FX661" s="2">
        <v>85</v>
      </c>
      <c r="FY661" s="2">
        <v>70</v>
      </c>
      <c r="FZ661" s="2"/>
      <c r="GA661" s="2" t="s">
        <v>3</v>
      </c>
      <c r="GB661" s="2"/>
      <c r="GC661" s="2"/>
      <c r="GD661" s="2">
        <v>0</v>
      </c>
      <c r="GE661" s="2"/>
      <c r="GF661" s="2">
        <v>1588752738</v>
      </c>
      <c r="GG661" s="2">
        <v>2</v>
      </c>
      <c r="GH661" s="2">
        <v>1</v>
      </c>
      <c r="GI661" s="2">
        <v>-2</v>
      </c>
      <c r="GJ661" s="2">
        <v>0</v>
      </c>
      <c r="GK661" s="2">
        <f>ROUND(R661*(R12)/100,2)</f>
        <v>0</v>
      </c>
      <c r="GL661" s="2">
        <f t="shared" si="586"/>
        <v>0</v>
      </c>
      <c r="GM661" s="2">
        <f t="shared" si="587"/>
        <v>30.72</v>
      </c>
      <c r="GN661" s="2">
        <f t="shared" si="588"/>
        <v>30.72</v>
      </c>
      <c r="GO661" s="2">
        <f t="shared" si="589"/>
        <v>0</v>
      </c>
      <c r="GP661" s="2">
        <f t="shared" si="590"/>
        <v>0</v>
      </c>
      <c r="GQ661" s="2"/>
      <c r="GR661" s="2">
        <v>0</v>
      </c>
      <c r="GS661" s="2">
        <v>0</v>
      </c>
      <c r="GT661" s="2">
        <v>0</v>
      </c>
      <c r="GU661" s="2" t="s">
        <v>3</v>
      </c>
      <c r="GV661" s="2">
        <f t="shared" si="591"/>
        <v>0</v>
      </c>
      <c r="GW661" s="2">
        <v>1</v>
      </c>
      <c r="GX661" s="2">
        <f t="shared" si="592"/>
        <v>0</v>
      </c>
      <c r="GY661" s="2"/>
      <c r="GZ661" s="2"/>
      <c r="HA661" s="2">
        <v>0</v>
      </c>
      <c r="HB661" s="2">
        <v>0</v>
      </c>
      <c r="HC661" s="2">
        <f t="shared" si="593"/>
        <v>0</v>
      </c>
      <c r="HD661" s="2"/>
      <c r="HE661" s="2" t="s">
        <v>3</v>
      </c>
      <c r="HF661" s="2" t="s">
        <v>3</v>
      </c>
      <c r="HG661" s="2"/>
      <c r="HH661" s="2"/>
      <c r="HI661" s="2"/>
      <c r="HJ661" s="2"/>
      <c r="HK661" s="2"/>
      <c r="HL661" s="2"/>
      <c r="HM661" s="2" t="s">
        <v>3</v>
      </c>
      <c r="HN661" s="2" t="s">
        <v>3</v>
      </c>
      <c r="HO661" s="2" t="s">
        <v>3</v>
      </c>
      <c r="HP661" s="2" t="s">
        <v>3</v>
      </c>
      <c r="HQ661" s="2" t="s">
        <v>3</v>
      </c>
      <c r="HR661" s="2"/>
      <c r="HS661" s="2"/>
      <c r="HT661" s="2"/>
      <c r="HU661" s="2"/>
      <c r="HV661" s="2"/>
      <c r="HW661" s="2"/>
      <c r="HX661" s="2"/>
      <c r="HY661" s="2"/>
      <c r="HZ661" s="2"/>
      <c r="IA661" s="2"/>
      <c r="IB661" s="2"/>
      <c r="IC661" s="2"/>
      <c r="ID661" s="2"/>
      <c r="IE661" s="2"/>
      <c r="IF661" s="2"/>
      <c r="IG661" s="2"/>
      <c r="IH661" s="2"/>
      <c r="II661" s="2"/>
      <c r="IJ661" s="2"/>
      <c r="IK661" s="2">
        <v>0</v>
      </c>
      <c r="IL661" s="2"/>
      <c r="IM661" s="2"/>
      <c r="IN661" s="2"/>
      <c r="IO661" s="2"/>
      <c r="IP661" s="2"/>
      <c r="IQ661" s="2"/>
      <c r="IR661" s="2"/>
      <c r="IS661" s="2"/>
      <c r="IT661" s="2"/>
      <c r="IU661" s="2"/>
    </row>
    <row r="662" spans="1:255" x14ac:dyDescent="0.2">
      <c r="A662">
        <v>18</v>
      </c>
      <c r="B662">
        <v>1</v>
      </c>
      <c r="C662">
        <v>681</v>
      </c>
      <c r="E662" t="s">
        <v>548</v>
      </c>
      <c r="F662" t="s">
        <v>648</v>
      </c>
      <c r="G662" t="s">
        <v>649</v>
      </c>
      <c r="H662" t="s">
        <v>250</v>
      </c>
      <c r="I662">
        <f>I660*J662</f>
        <v>2</v>
      </c>
      <c r="J662">
        <v>1</v>
      </c>
      <c r="K662">
        <v>1</v>
      </c>
      <c r="O662">
        <f t="shared" si="556"/>
        <v>121.04</v>
      </c>
      <c r="P662">
        <f t="shared" si="557"/>
        <v>121.04</v>
      </c>
      <c r="Q662">
        <f t="shared" si="594"/>
        <v>0</v>
      </c>
      <c r="R662">
        <f t="shared" si="559"/>
        <v>0</v>
      </c>
      <c r="S662">
        <f t="shared" si="560"/>
        <v>0</v>
      </c>
      <c r="T662">
        <f t="shared" si="561"/>
        <v>0</v>
      </c>
      <c r="U662">
        <f t="shared" si="562"/>
        <v>0</v>
      </c>
      <c r="V662">
        <f t="shared" si="563"/>
        <v>0</v>
      </c>
      <c r="W662">
        <f t="shared" si="564"/>
        <v>0</v>
      </c>
      <c r="X662">
        <f t="shared" si="565"/>
        <v>0</v>
      </c>
      <c r="Y662">
        <f t="shared" si="566"/>
        <v>0</v>
      </c>
      <c r="AA662">
        <v>129761633</v>
      </c>
      <c r="AB662">
        <f t="shared" si="567"/>
        <v>15.36</v>
      </c>
      <c r="AC662">
        <f t="shared" si="568"/>
        <v>15.36</v>
      </c>
      <c r="AD662">
        <f t="shared" si="595"/>
        <v>0</v>
      </c>
      <c r="AE662">
        <f t="shared" si="596"/>
        <v>0</v>
      </c>
      <c r="AF662">
        <f t="shared" si="596"/>
        <v>0</v>
      </c>
      <c r="AG662">
        <f t="shared" si="572"/>
        <v>0</v>
      </c>
      <c r="AH662">
        <f t="shared" si="597"/>
        <v>0</v>
      </c>
      <c r="AI662">
        <f t="shared" si="597"/>
        <v>0</v>
      </c>
      <c r="AJ662">
        <f t="shared" si="575"/>
        <v>0</v>
      </c>
      <c r="AK662">
        <v>15.36</v>
      </c>
      <c r="AL662">
        <v>15.36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1</v>
      </c>
      <c r="AW662">
        <v>1</v>
      </c>
      <c r="AZ662">
        <v>1</v>
      </c>
      <c r="BA662">
        <v>1</v>
      </c>
      <c r="BB662">
        <v>1</v>
      </c>
      <c r="BC662">
        <v>3.94</v>
      </c>
      <c r="BD662" t="s">
        <v>3</v>
      </c>
      <c r="BE662" t="s">
        <v>3</v>
      </c>
      <c r="BF662" t="s">
        <v>3</v>
      </c>
      <c r="BG662" t="s">
        <v>3</v>
      </c>
      <c r="BH662">
        <v>3</v>
      </c>
      <c r="BI662">
        <v>1</v>
      </c>
      <c r="BJ662" t="s">
        <v>650</v>
      </c>
      <c r="BM662">
        <v>80</v>
      </c>
      <c r="BN662">
        <v>0</v>
      </c>
      <c r="BO662" t="s">
        <v>648</v>
      </c>
      <c r="BP662">
        <v>1</v>
      </c>
      <c r="BQ662">
        <v>30</v>
      </c>
      <c r="BR662">
        <v>0</v>
      </c>
      <c r="BS662">
        <v>1</v>
      </c>
      <c r="BT662">
        <v>1</v>
      </c>
      <c r="BU662">
        <v>1</v>
      </c>
      <c r="BV662">
        <v>1</v>
      </c>
      <c r="BW662">
        <v>1</v>
      </c>
      <c r="BX662">
        <v>1</v>
      </c>
      <c r="BY662" t="s">
        <v>3</v>
      </c>
      <c r="BZ662">
        <v>0</v>
      </c>
      <c r="CA662">
        <v>0</v>
      </c>
      <c r="CB662" t="s">
        <v>3</v>
      </c>
      <c r="CE662">
        <v>30</v>
      </c>
      <c r="CF662">
        <v>0</v>
      </c>
      <c r="CG662">
        <v>0</v>
      </c>
      <c r="CM662">
        <v>0</v>
      </c>
      <c r="CN662" t="s">
        <v>3</v>
      </c>
      <c r="CO662">
        <v>0</v>
      </c>
      <c r="CP662">
        <f t="shared" si="576"/>
        <v>121.04</v>
      </c>
      <c r="CQ662">
        <f t="shared" si="577"/>
        <v>60.52</v>
      </c>
      <c r="CR662">
        <f t="shared" si="598"/>
        <v>0</v>
      </c>
      <c r="CS662">
        <f t="shared" si="579"/>
        <v>0</v>
      </c>
      <c r="CT662">
        <f t="shared" si="580"/>
        <v>0</v>
      </c>
      <c r="CU662">
        <f t="shared" si="581"/>
        <v>0</v>
      </c>
      <c r="CV662">
        <f t="shared" si="582"/>
        <v>0</v>
      </c>
      <c r="CW662">
        <f t="shared" si="583"/>
        <v>0</v>
      </c>
      <c r="CX662">
        <f t="shared" si="584"/>
        <v>0</v>
      </c>
      <c r="CY662">
        <f>S662*(BZ662/100)</f>
        <v>0</v>
      </c>
      <c r="CZ662">
        <f>S662*(CA662/100)</f>
        <v>0</v>
      </c>
      <c r="DC662" t="s">
        <v>3</v>
      </c>
      <c r="DD662" t="s">
        <v>3</v>
      </c>
      <c r="DE662" t="s">
        <v>3</v>
      </c>
      <c r="DF662" t="s">
        <v>3</v>
      </c>
      <c r="DG662" t="s">
        <v>3</v>
      </c>
      <c r="DH662" t="s">
        <v>3</v>
      </c>
      <c r="DI662" t="s">
        <v>3</v>
      </c>
      <c r="DJ662" t="s">
        <v>3</v>
      </c>
      <c r="DK662" t="s">
        <v>3</v>
      </c>
      <c r="DL662" t="s">
        <v>3</v>
      </c>
      <c r="DM662" t="s">
        <v>3</v>
      </c>
      <c r="DN662">
        <v>85</v>
      </c>
      <c r="DO662">
        <v>70</v>
      </c>
      <c r="DP662">
        <v>1</v>
      </c>
      <c r="DQ662">
        <v>1</v>
      </c>
      <c r="DU662">
        <v>1010</v>
      </c>
      <c r="DV662" t="s">
        <v>250</v>
      </c>
      <c r="DW662" t="s">
        <v>250</v>
      </c>
      <c r="DX662">
        <v>1</v>
      </c>
      <c r="DZ662" t="s">
        <v>3</v>
      </c>
      <c r="EA662" t="s">
        <v>3</v>
      </c>
      <c r="EB662" t="s">
        <v>3</v>
      </c>
      <c r="EC662" t="s">
        <v>3</v>
      </c>
      <c r="EE662">
        <v>126051541</v>
      </c>
      <c r="EF662">
        <v>30</v>
      </c>
      <c r="EG662" t="s">
        <v>23</v>
      </c>
      <c r="EH662">
        <v>0</v>
      </c>
      <c r="EI662" t="s">
        <v>3</v>
      </c>
      <c r="EJ662">
        <v>1</v>
      </c>
      <c r="EK662">
        <v>80</v>
      </c>
      <c r="EL662" t="s">
        <v>143</v>
      </c>
      <c r="EM662" t="s">
        <v>144</v>
      </c>
      <c r="EO662" t="s">
        <v>3</v>
      </c>
      <c r="EQ662">
        <v>0</v>
      </c>
      <c r="ER662">
        <v>15.36</v>
      </c>
      <c r="ES662">
        <v>15.36</v>
      </c>
      <c r="ET662">
        <v>0</v>
      </c>
      <c r="EU662">
        <v>0</v>
      </c>
      <c r="EV662">
        <v>0</v>
      </c>
      <c r="EW662">
        <v>0</v>
      </c>
      <c r="EX662">
        <v>0</v>
      </c>
      <c r="FQ662">
        <v>0</v>
      </c>
      <c r="FR662">
        <f t="shared" si="585"/>
        <v>0</v>
      </c>
      <c r="FS662">
        <v>0</v>
      </c>
      <c r="FX662">
        <v>85</v>
      </c>
      <c r="FY662">
        <v>70</v>
      </c>
      <c r="GA662" t="s">
        <v>3</v>
      </c>
      <c r="GD662">
        <v>0</v>
      </c>
      <c r="GF662">
        <v>1588752738</v>
      </c>
      <c r="GG662">
        <v>2</v>
      </c>
      <c r="GH662">
        <v>1</v>
      </c>
      <c r="GI662">
        <v>2</v>
      </c>
      <c r="GJ662">
        <v>0</v>
      </c>
      <c r="GK662">
        <f>ROUND(R662*(S12)/100,2)</f>
        <v>0</v>
      </c>
      <c r="GL662">
        <f t="shared" si="586"/>
        <v>0</v>
      </c>
      <c r="GM662">
        <f t="shared" si="587"/>
        <v>121.04</v>
      </c>
      <c r="GN662">
        <f t="shared" si="588"/>
        <v>121.04</v>
      </c>
      <c r="GO662">
        <f t="shared" si="589"/>
        <v>0</v>
      </c>
      <c r="GP662">
        <f t="shared" si="590"/>
        <v>0</v>
      </c>
      <c r="GR662">
        <v>0</v>
      </c>
      <c r="GS662">
        <v>3</v>
      </c>
      <c r="GT662">
        <v>0</v>
      </c>
      <c r="GU662" t="s">
        <v>3</v>
      </c>
      <c r="GV662">
        <f t="shared" si="591"/>
        <v>0</v>
      </c>
      <c r="GW662">
        <v>1</v>
      </c>
      <c r="GX662">
        <f t="shared" si="592"/>
        <v>0</v>
      </c>
      <c r="HA662">
        <v>0</v>
      </c>
      <c r="HB662">
        <v>0</v>
      </c>
      <c r="HC662">
        <f t="shared" si="593"/>
        <v>0</v>
      </c>
      <c r="HE662" t="s">
        <v>3</v>
      </c>
      <c r="HF662" t="s">
        <v>3</v>
      </c>
      <c r="HM662" t="s">
        <v>3</v>
      </c>
      <c r="HN662" t="s">
        <v>3</v>
      </c>
      <c r="HO662" t="s">
        <v>3</v>
      </c>
      <c r="HP662" t="s">
        <v>3</v>
      </c>
      <c r="HQ662" t="s">
        <v>3</v>
      </c>
      <c r="IK662">
        <v>0</v>
      </c>
    </row>
    <row r="663" spans="1:255" x14ac:dyDescent="0.2">
      <c r="A663" s="2">
        <v>18</v>
      </c>
      <c r="B663" s="2">
        <v>1</v>
      </c>
      <c r="C663" s="2">
        <v>678</v>
      </c>
      <c r="D663" s="2"/>
      <c r="E663" s="2" t="s">
        <v>552</v>
      </c>
      <c r="F663" s="2" t="s">
        <v>248</v>
      </c>
      <c r="G663" s="2" t="s">
        <v>651</v>
      </c>
      <c r="H663" s="2" t="s">
        <v>250</v>
      </c>
      <c r="I663" s="2">
        <f>I659*J663</f>
        <v>2</v>
      </c>
      <c r="J663" s="2">
        <v>1</v>
      </c>
      <c r="K663" s="2">
        <v>1</v>
      </c>
      <c r="L663" s="2"/>
      <c r="M663" s="2"/>
      <c r="N663" s="2"/>
      <c r="O663" s="2">
        <f t="shared" si="556"/>
        <v>120.5</v>
      </c>
      <c r="P663" s="2">
        <f t="shared" si="557"/>
        <v>120.5</v>
      </c>
      <c r="Q663" s="2">
        <f t="shared" si="594"/>
        <v>0</v>
      </c>
      <c r="R663" s="2">
        <f t="shared" si="559"/>
        <v>0</v>
      </c>
      <c r="S663" s="2">
        <f t="shared" si="560"/>
        <v>0</v>
      </c>
      <c r="T663" s="2">
        <f t="shared" si="561"/>
        <v>0</v>
      </c>
      <c r="U663" s="2">
        <f t="shared" si="562"/>
        <v>0</v>
      </c>
      <c r="V663" s="2">
        <f t="shared" si="563"/>
        <v>0</v>
      </c>
      <c r="W663" s="2">
        <f t="shared" si="564"/>
        <v>0</v>
      </c>
      <c r="X663" s="2">
        <f t="shared" si="565"/>
        <v>0</v>
      </c>
      <c r="Y663" s="2">
        <f t="shared" si="566"/>
        <v>0</v>
      </c>
      <c r="Z663" s="2"/>
      <c r="AA663" s="2">
        <v>129761636</v>
      </c>
      <c r="AB663" s="2">
        <f t="shared" si="567"/>
        <v>60.25</v>
      </c>
      <c r="AC663" s="2">
        <f t="shared" si="568"/>
        <v>60.25</v>
      </c>
      <c r="AD663" s="2">
        <f t="shared" si="595"/>
        <v>0</v>
      </c>
      <c r="AE663" s="2">
        <f t="shared" si="596"/>
        <v>0</v>
      </c>
      <c r="AF663" s="2">
        <f t="shared" si="596"/>
        <v>0</v>
      </c>
      <c r="AG663" s="2">
        <f t="shared" si="572"/>
        <v>0</v>
      </c>
      <c r="AH663" s="2">
        <f t="shared" si="597"/>
        <v>0</v>
      </c>
      <c r="AI663" s="2">
        <f t="shared" si="597"/>
        <v>0</v>
      </c>
      <c r="AJ663" s="2">
        <f t="shared" si="575"/>
        <v>0</v>
      </c>
      <c r="AK663" s="2">
        <v>60.25</v>
      </c>
      <c r="AL663" s="2">
        <v>60.25</v>
      </c>
      <c r="AM663" s="2">
        <v>0</v>
      </c>
      <c r="AN663" s="2">
        <v>0</v>
      </c>
      <c r="AO663" s="2">
        <v>0</v>
      </c>
      <c r="AP663" s="2">
        <v>0</v>
      </c>
      <c r="AQ663" s="2">
        <v>0</v>
      </c>
      <c r="AR663" s="2">
        <v>0</v>
      </c>
      <c r="AS663" s="2">
        <v>0</v>
      </c>
      <c r="AT663" s="2">
        <v>85</v>
      </c>
      <c r="AU663" s="2">
        <v>70</v>
      </c>
      <c r="AV663" s="2">
        <v>1</v>
      </c>
      <c r="AW663" s="2">
        <v>1</v>
      </c>
      <c r="AX663" s="2"/>
      <c r="AY663" s="2"/>
      <c r="AZ663" s="2">
        <v>1</v>
      </c>
      <c r="BA663" s="2">
        <v>1</v>
      </c>
      <c r="BB663" s="2">
        <v>1</v>
      </c>
      <c r="BC663" s="2">
        <v>1</v>
      </c>
      <c r="BD663" s="2" t="s">
        <v>3</v>
      </c>
      <c r="BE663" s="2" t="s">
        <v>3</v>
      </c>
      <c r="BF663" s="2" t="s">
        <v>3</v>
      </c>
      <c r="BG663" s="2" t="s">
        <v>3</v>
      </c>
      <c r="BH663" s="2">
        <v>3</v>
      </c>
      <c r="BI663" s="2">
        <v>1</v>
      </c>
      <c r="BJ663" s="2" t="s">
        <v>3</v>
      </c>
      <c r="BK663" s="2"/>
      <c r="BL663" s="2"/>
      <c r="BM663" s="2">
        <v>80</v>
      </c>
      <c r="BN663" s="2">
        <v>0</v>
      </c>
      <c r="BO663" s="2" t="s">
        <v>3</v>
      </c>
      <c r="BP663" s="2">
        <v>0</v>
      </c>
      <c r="BQ663" s="2">
        <v>30</v>
      </c>
      <c r="BR663" s="2">
        <v>0</v>
      </c>
      <c r="BS663" s="2">
        <v>1</v>
      </c>
      <c r="BT663" s="2">
        <v>1</v>
      </c>
      <c r="BU663" s="2">
        <v>1</v>
      </c>
      <c r="BV663" s="2">
        <v>1</v>
      </c>
      <c r="BW663" s="2">
        <v>1</v>
      </c>
      <c r="BX663" s="2">
        <v>1</v>
      </c>
      <c r="BY663" s="2" t="s">
        <v>3</v>
      </c>
      <c r="BZ663" s="2">
        <v>85</v>
      </c>
      <c r="CA663" s="2">
        <v>70</v>
      </c>
      <c r="CB663" s="2" t="s">
        <v>3</v>
      </c>
      <c r="CC663" s="2"/>
      <c r="CD663" s="2"/>
      <c r="CE663" s="2">
        <v>30</v>
      </c>
      <c r="CF663" s="2">
        <v>0</v>
      </c>
      <c r="CG663" s="2">
        <v>0</v>
      </c>
      <c r="CH663" s="2"/>
      <c r="CI663" s="2"/>
      <c r="CJ663" s="2"/>
      <c r="CK663" s="2"/>
      <c r="CL663" s="2"/>
      <c r="CM663" s="2">
        <v>0</v>
      </c>
      <c r="CN663" s="2" t="s">
        <v>3</v>
      </c>
      <c r="CO663" s="2">
        <v>0</v>
      </c>
      <c r="CP663" s="2">
        <f t="shared" si="576"/>
        <v>120.5</v>
      </c>
      <c r="CQ663" s="2">
        <f t="shared" si="577"/>
        <v>60.25</v>
      </c>
      <c r="CR663" s="2">
        <f t="shared" si="598"/>
        <v>0</v>
      </c>
      <c r="CS663" s="2">
        <f t="shared" si="579"/>
        <v>0</v>
      </c>
      <c r="CT663" s="2">
        <f t="shared" si="580"/>
        <v>0</v>
      </c>
      <c r="CU663" s="2">
        <f t="shared" si="581"/>
        <v>0</v>
      </c>
      <c r="CV663" s="2">
        <f t="shared" si="582"/>
        <v>0</v>
      </c>
      <c r="CW663" s="2">
        <f t="shared" si="583"/>
        <v>0</v>
      </c>
      <c r="CX663" s="2">
        <f t="shared" si="584"/>
        <v>0</v>
      </c>
      <c r="CY663" s="2">
        <f>((S663*BZ663)/100)</f>
        <v>0</v>
      </c>
      <c r="CZ663" s="2">
        <f>((S663*CA663)/100)</f>
        <v>0</v>
      </c>
      <c r="DA663" s="2"/>
      <c r="DB663" s="2"/>
      <c r="DC663" s="2" t="s">
        <v>3</v>
      </c>
      <c r="DD663" s="2" t="s">
        <v>3</v>
      </c>
      <c r="DE663" s="2" t="s">
        <v>3</v>
      </c>
      <c r="DF663" s="2" t="s">
        <v>3</v>
      </c>
      <c r="DG663" s="2" t="s">
        <v>3</v>
      </c>
      <c r="DH663" s="2" t="s">
        <v>3</v>
      </c>
      <c r="DI663" s="2" t="s">
        <v>3</v>
      </c>
      <c r="DJ663" s="2" t="s">
        <v>3</v>
      </c>
      <c r="DK663" s="2" t="s">
        <v>3</v>
      </c>
      <c r="DL663" s="2" t="s">
        <v>3</v>
      </c>
      <c r="DM663" s="2" t="s">
        <v>3</v>
      </c>
      <c r="DN663" s="2">
        <v>0</v>
      </c>
      <c r="DO663" s="2">
        <v>0</v>
      </c>
      <c r="DP663" s="2">
        <v>1</v>
      </c>
      <c r="DQ663" s="2">
        <v>1</v>
      </c>
      <c r="DR663" s="2"/>
      <c r="DS663" s="2"/>
      <c r="DT663" s="2"/>
      <c r="DU663" s="2">
        <v>1010</v>
      </c>
      <c r="DV663" s="2" t="s">
        <v>250</v>
      </c>
      <c r="DW663" s="2" t="s">
        <v>250</v>
      </c>
      <c r="DX663" s="2">
        <v>1</v>
      </c>
      <c r="DY663" s="2"/>
      <c r="DZ663" s="2" t="s">
        <v>3</v>
      </c>
      <c r="EA663" s="2" t="s">
        <v>3</v>
      </c>
      <c r="EB663" s="2" t="s">
        <v>3</v>
      </c>
      <c r="EC663" s="2" t="s">
        <v>3</v>
      </c>
      <c r="ED663" s="2"/>
      <c r="EE663" s="2">
        <v>126051541</v>
      </c>
      <c r="EF663" s="2">
        <v>30</v>
      </c>
      <c r="EG663" s="2" t="s">
        <v>23</v>
      </c>
      <c r="EH663" s="2">
        <v>0</v>
      </c>
      <c r="EI663" s="2" t="s">
        <v>3</v>
      </c>
      <c r="EJ663" s="2">
        <v>1</v>
      </c>
      <c r="EK663" s="2">
        <v>80</v>
      </c>
      <c r="EL663" s="2" t="s">
        <v>143</v>
      </c>
      <c r="EM663" s="2" t="s">
        <v>144</v>
      </c>
      <c r="EN663" s="2"/>
      <c r="EO663" s="2" t="s">
        <v>3</v>
      </c>
      <c r="EP663" s="2"/>
      <c r="EQ663" s="2">
        <v>0</v>
      </c>
      <c r="ER663" s="2">
        <v>60.25</v>
      </c>
      <c r="ES663" s="2">
        <v>60.25</v>
      </c>
      <c r="ET663" s="2">
        <v>0</v>
      </c>
      <c r="EU663" s="2">
        <v>0</v>
      </c>
      <c r="EV663" s="2">
        <v>0</v>
      </c>
      <c r="EW663" s="2">
        <v>0</v>
      </c>
      <c r="EX663" s="2">
        <v>0</v>
      </c>
      <c r="EY663" s="2"/>
      <c r="EZ663" s="2"/>
      <c r="FA663" s="2"/>
      <c r="FB663" s="2"/>
      <c r="FC663" s="2"/>
      <c r="FD663" s="2"/>
      <c r="FE663" s="2"/>
      <c r="FF663" s="2"/>
      <c r="FG663" s="2"/>
      <c r="FH663" s="2"/>
      <c r="FI663" s="2"/>
      <c r="FJ663" s="2"/>
      <c r="FK663" s="2"/>
      <c r="FL663" s="2"/>
      <c r="FM663" s="2"/>
      <c r="FN663" s="2"/>
      <c r="FO663" s="2"/>
      <c r="FP663" s="2"/>
      <c r="FQ663" s="2">
        <v>0</v>
      </c>
      <c r="FR663" s="2">
        <f t="shared" si="585"/>
        <v>0</v>
      </c>
      <c r="FS663" s="2">
        <v>0</v>
      </c>
      <c r="FT663" s="2"/>
      <c r="FU663" s="2"/>
      <c r="FV663" s="2"/>
      <c r="FW663" s="2"/>
      <c r="FX663" s="2">
        <v>85</v>
      </c>
      <c r="FY663" s="2">
        <v>70</v>
      </c>
      <c r="FZ663" s="2"/>
      <c r="GA663" s="2" t="s">
        <v>3</v>
      </c>
      <c r="GB663" s="2"/>
      <c r="GC663" s="2"/>
      <c r="GD663" s="2">
        <v>0</v>
      </c>
      <c r="GE663" s="2"/>
      <c r="GF663" s="2">
        <v>718993463</v>
      </c>
      <c r="GG663" s="2">
        <v>2</v>
      </c>
      <c r="GH663" s="2">
        <v>0</v>
      </c>
      <c r="GI663" s="2">
        <v>-2</v>
      </c>
      <c r="GJ663" s="2">
        <v>0</v>
      </c>
      <c r="GK663" s="2">
        <f>ROUND(R663*(R12)/100,2)</f>
        <v>0</v>
      </c>
      <c r="GL663" s="2">
        <f t="shared" si="586"/>
        <v>0</v>
      </c>
      <c r="GM663" s="2">
        <f t="shared" si="587"/>
        <v>120.5</v>
      </c>
      <c r="GN663" s="2">
        <f t="shared" si="588"/>
        <v>120.5</v>
      </c>
      <c r="GO663" s="2">
        <f t="shared" si="589"/>
        <v>0</v>
      </c>
      <c r="GP663" s="2">
        <f t="shared" si="590"/>
        <v>0</v>
      </c>
      <c r="GQ663" s="2"/>
      <c r="GR663" s="2">
        <v>0</v>
      </c>
      <c r="GS663" s="2">
        <v>0</v>
      </c>
      <c r="GT663" s="2">
        <v>0</v>
      </c>
      <c r="GU663" s="2" t="s">
        <v>3</v>
      </c>
      <c r="GV663" s="2">
        <f t="shared" si="591"/>
        <v>0</v>
      </c>
      <c r="GW663" s="2">
        <v>1</v>
      </c>
      <c r="GX663" s="2">
        <f t="shared" si="592"/>
        <v>0</v>
      </c>
      <c r="GY663" s="2"/>
      <c r="GZ663" s="2"/>
      <c r="HA663" s="2">
        <v>0</v>
      </c>
      <c r="HB663" s="2">
        <v>0</v>
      </c>
      <c r="HC663" s="2">
        <f t="shared" si="593"/>
        <v>0</v>
      </c>
      <c r="HD663" s="2"/>
      <c r="HE663" s="2" t="s">
        <v>3</v>
      </c>
      <c r="HF663" s="2" t="s">
        <v>3</v>
      </c>
      <c r="HG663" s="2"/>
      <c r="HH663" s="2"/>
      <c r="HI663" s="2"/>
      <c r="HJ663" s="2"/>
      <c r="HK663" s="2"/>
      <c r="HL663" s="2"/>
      <c r="HM663" s="2" t="s">
        <v>3</v>
      </c>
      <c r="HN663" s="2" t="s">
        <v>3</v>
      </c>
      <c r="HO663" s="2" t="s">
        <v>3</v>
      </c>
      <c r="HP663" s="2" t="s">
        <v>3</v>
      </c>
      <c r="HQ663" s="2" t="s">
        <v>3</v>
      </c>
      <c r="HR663" s="2"/>
      <c r="HS663" s="2"/>
      <c r="HT663" s="2"/>
      <c r="HU663" s="2"/>
      <c r="HV663" s="2"/>
      <c r="HW663" s="2"/>
      <c r="HX663" s="2"/>
      <c r="HY663" s="2"/>
      <c r="HZ663" s="2"/>
      <c r="IA663" s="2"/>
      <c r="IB663" s="2"/>
      <c r="IC663" s="2"/>
      <c r="ID663" s="2"/>
      <c r="IE663" s="2"/>
      <c r="IF663" s="2"/>
      <c r="IG663" s="2"/>
      <c r="IH663" s="2"/>
      <c r="II663" s="2"/>
      <c r="IJ663" s="2"/>
      <c r="IK663" s="2">
        <v>0</v>
      </c>
      <c r="IL663" s="2"/>
      <c r="IM663" s="2"/>
      <c r="IN663" s="2"/>
      <c r="IO663" s="2"/>
      <c r="IP663" s="2"/>
      <c r="IQ663" s="2"/>
      <c r="IR663" s="2"/>
      <c r="IS663" s="2"/>
      <c r="IT663" s="2"/>
      <c r="IU663" s="2"/>
    </row>
    <row r="664" spans="1:255" x14ac:dyDescent="0.2">
      <c r="A664">
        <v>18</v>
      </c>
      <c r="B664">
        <v>1</v>
      </c>
      <c r="C664">
        <v>682</v>
      </c>
      <c r="E664" t="s">
        <v>552</v>
      </c>
      <c r="F664" t="s">
        <v>248</v>
      </c>
      <c r="G664" t="s">
        <v>651</v>
      </c>
      <c r="H664" t="s">
        <v>250</v>
      </c>
      <c r="I664">
        <f>I660*J664</f>
        <v>2</v>
      </c>
      <c r="J664">
        <v>1</v>
      </c>
      <c r="K664">
        <v>1</v>
      </c>
      <c r="O664">
        <f t="shared" si="556"/>
        <v>1172.94</v>
      </c>
      <c r="P664">
        <f t="shared" si="557"/>
        <v>1172.94</v>
      </c>
      <c r="Q664">
        <f t="shared" si="594"/>
        <v>0</v>
      </c>
      <c r="R664">
        <f t="shared" si="559"/>
        <v>0</v>
      </c>
      <c r="S664">
        <f t="shared" si="560"/>
        <v>0</v>
      </c>
      <c r="T664">
        <f t="shared" si="561"/>
        <v>0</v>
      </c>
      <c r="U664">
        <f t="shared" si="562"/>
        <v>0</v>
      </c>
      <c r="V664">
        <f t="shared" si="563"/>
        <v>0</v>
      </c>
      <c r="W664">
        <f t="shared" si="564"/>
        <v>0</v>
      </c>
      <c r="X664">
        <f t="shared" si="565"/>
        <v>0</v>
      </c>
      <c r="Y664">
        <f t="shared" si="566"/>
        <v>0</v>
      </c>
      <c r="AA664">
        <v>129761633</v>
      </c>
      <c r="AB664">
        <f t="shared" si="567"/>
        <v>67.8</v>
      </c>
      <c r="AC664">
        <f t="shared" si="568"/>
        <v>67.8</v>
      </c>
      <c r="AD664">
        <f t="shared" si="595"/>
        <v>0</v>
      </c>
      <c r="AE664">
        <f t="shared" si="596"/>
        <v>0</v>
      </c>
      <c r="AF664">
        <f t="shared" si="596"/>
        <v>0</v>
      </c>
      <c r="AG664">
        <f t="shared" si="572"/>
        <v>0</v>
      </c>
      <c r="AH664">
        <f t="shared" si="597"/>
        <v>0</v>
      </c>
      <c r="AI664">
        <f t="shared" si="597"/>
        <v>0</v>
      </c>
      <c r="AJ664">
        <f t="shared" si="575"/>
        <v>0</v>
      </c>
      <c r="AK664">
        <v>67.8</v>
      </c>
      <c r="AL664">
        <v>67.8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1</v>
      </c>
      <c r="AW664">
        <v>1</v>
      </c>
      <c r="AZ664">
        <v>1</v>
      </c>
      <c r="BA664">
        <v>1</v>
      </c>
      <c r="BB664">
        <v>1</v>
      </c>
      <c r="BC664">
        <v>8.65</v>
      </c>
      <c r="BD664" t="s">
        <v>3</v>
      </c>
      <c r="BE664" t="s">
        <v>3</v>
      </c>
      <c r="BF664" t="s">
        <v>3</v>
      </c>
      <c r="BG664" t="s">
        <v>3</v>
      </c>
      <c r="BH664">
        <v>3</v>
      </c>
      <c r="BI664">
        <v>1</v>
      </c>
      <c r="BJ664" t="s">
        <v>3</v>
      </c>
      <c r="BM664">
        <v>80</v>
      </c>
      <c r="BN664">
        <v>0</v>
      </c>
      <c r="BO664" t="s">
        <v>3</v>
      </c>
      <c r="BP664">
        <v>0</v>
      </c>
      <c r="BQ664">
        <v>30</v>
      </c>
      <c r="BR664">
        <v>0</v>
      </c>
      <c r="BS664">
        <v>1</v>
      </c>
      <c r="BT664">
        <v>1</v>
      </c>
      <c r="BU664">
        <v>1</v>
      </c>
      <c r="BV664">
        <v>1</v>
      </c>
      <c r="BW664">
        <v>1</v>
      </c>
      <c r="BX664">
        <v>1</v>
      </c>
      <c r="BY664" t="s">
        <v>3</v>
      </c>
      <c r="BZ664">
        <v>0</v>
      </c>
      <c r="CA664">
        <v>0</v>
      </c>
      <c r="CB664" t="s">
        <v>3</v>
      </c>
      <c r="CE664">
        <v>30</v>
      </c>
      <c r="CF664">
        <v>0</v>
      </c>
      <c r="CG664">
        <v>0</v>
      </c>
      <c r="CM664">
        <v>0</v>
      </c>
      <c r="CN664" t="s">
        <v>3</v>
      </c>
      <c r="CO664">
        <v>0</v>
      </c>
      <c r="CP664">
        <f t="shared" si="576"/>
        <v>1172.94</v>
      </c>
      <c r="CQ664">
        <f t="shared" si="577"/>
        <v>586.47</v>
      </c>
      <c r="CR664">
        <f t="shared" si="598"/>
        <v>0</v>
      </c>
      <c r="CS664">
        <f t="shared" si="579"/>
        <v>0</v>
      </c>
      <c r="CT664">
        <f t="shared" si="580"/>
        <v>0</v>
      </c>
      <c r="CU664">
        <f t="shared" si="581"/>
        <v>0</v>
      </c>
      <c r="CV664">
        <f t="shared" si="582"/>
        <v>0</v>
      </c>
      <c r="CW664">
        <f t="shared" si="583"/>
        <v>0</v>
      </c>
      <c r="CX664">
        <f t="shared" si="584"/>
        <v>0</v>
      </c>
      <c r="CY664">
        <f>S664*(BZ664/100)</f>
        <v>0</v>
      </c>
      <c r="CZ664">
        <f>S664*(CA664/100)</f>
        <v>0</v>
      </c>
      <c r="DC664" t="s">
        <v>3</v>
      </c>
      <c r="DD664" t="s">
        <v>3</v>
      </c>
      <c r="DE664" t="s">
        <v>3</v>
      </c>
      <c r="DF664" t="s">
        <v>3</v>
      </c>
      <c r="DG664" t="s">
        <v>3</v>
      </c>
      <c r="DH664" t="s">
        <v>3</v>
      </c>
      <c r="DI664" t="s">
        <v>3</v>
      </c>
      <c r="DJ664" t="s">
        <v>3</v>
      </c>
      <c r="DK664" t="s">
        <v>3</v>
      </c>
      <c r="DL664" t="s">
        <v>3</v>
      </c>
      <c r="DM664" t="s">
        <v>3</v>
      </c>
      <c r="DN664">
        <v>85</v>
      </c>
      <c r="DO664">
        <v>70</v>
      </c>
      <c r="DP664">
        <v>1</v>
      </c>
      <c r="DQ664">
        <v>1</v>
      </c>
      <c r="DU664">
        <v>1010</v>
      </c>
      <c r="DV664" t="s">
        <v>250</v>
      </c>
      <c r="DW664" t="s">
        <v>250</v>
      </c>
      <c r="DX664">
        <v>1</v>
      </c>
      <c r="DZ664" t="s">
        <v>3</v>
      </c>
      <c r="EA664" t="s">
        <v>3</v>
      </c>
      <c r="EB664" t="s">
        <v>3</v>
      </c>
      <c r="EC664" t="s">
        <v>3</v>
      </c>
      <c r="EE664">
        <v>126051541</v>
      </c>
      <c r="EF664">
        <v>30</v>
      </c>
      <c r="EG664" t="s">
        <v>23</v>
      </c>
      <c r="EH664">
        <v>0</v>
      </c>
      <c r="EI664" t="s">
        <v>3</v>
      </c>
      <c r="EJ664">
        <v>1</v>
      </c>
      <c r="EK664">
        <v>80</v>
      </c>
      <c r="EL664" t="s">
        <v>143</v>
      </c>
      <c r="EM664" t="s">
        <v>144</v>
      </c>
      <c r="EO664" t="s">
        <v>3</v>
      </c>
      <c r="EQ664">
        <v>0</v>
      </c>
      <c r="ER664">
        <v>67.8</v>
      </c>
      <c r="ES664">
        <v>67.8</v>
      </c>
      <c r="ET664">
        <v>0</v>
      </c>
      <c r="EU664">
        <v>0</v>
      </c>
      <c r="EV664">
        <v>0</v>
      </c>
      <c r="EW664">
        <v>0</v>
      </c>
      <c r="EX664">
        <v>0</v>
      </c>
      <c r="EZ664">
        <v>5</v>
      </c>
      <c r="FC664">
        <v>1</v>
      </c>
      <c r="FD664">
        <v>18</v>
      </c>
      <c r="FF664">
        <v>690</v>
      </c>
      <c r="FQ664">
        <v>0</v>
      </c>
      <c r="FR664">
        <f t="shared" si="585"/>
        <v>0</v>
      </c>
      <c r="FS664">
        <v>0</v>
      </c>
      <c r="FX664">
        <v>85</v>
      </c>
      <c r="FY664">
        <v>70</v>
      </c>
      <c r="GA664" t="s">
        <v>652</v>
      </c>
      <c r="GD664">
        <v>0</v>
      </c>
      <c r="GF664">
        <v>718993463</v>
      </c>
      <c r="GG664">
        <v>2</v>
      </c>
      <c r="GH664">
        <v>3</v>
      </c>
      <c r="GI664">
        <v>5</v>
      </c>
      <c r="GJ664">
        <v>0</v>
      </c>
      <c r="GK664">
        <f>ROUND(R664*(S12)/100,2)</f>
        <v>0</v>
      </c>
      <c r="GL664">
        <f t="shared" si="586"/>
        <v>0</v>
      </c>
      <c r="GM664">
        <f t="shared" si="587"/>
        <v>1172.94</v>
      </c>
      <c r="GN664">
        <f t="shared" si="588"/>
        <v>1172.94</v>
      </c>
      <c r="GO664">
        <f t="shared" si="589"/>
        <v>0</v>
      </c>
      <c r="GP664">
        <f t="shared" si="590"/>
        <v>0</v>
      </c>
      <c r="GR664">
        <v>1</v>
      </c>
      <c r="GS664">
        <v>1</v>
      </c>
      <c r="GT664">
        <v>0</v>
      </c>
      <c r="GU664" t="s">
        <v>3</v>
      </c>
      <c r="GV664">
        <f t="shared" si="591"/>
        <v>0</v>
      </c>
      <c r="GW664">
        <v>1</v>
      </c>
      <c r="GX664">
        <f t="shared" si="592"/>
        <v>0</v>
      </c>
      <c r="HA664">
        <v>0</v>
      </c>
      <c r="HB664">
        <v>0</v>
      </c>
      <c r="HC664">
        <f t="shared" si="593"/>
        <v>0</v>
      </c>
      <c r="HE664" t="s">
        <v>81</v>
      </c>
      <c r="HF664" t="s">
        <v>252</v>
      </c>
      <c r="HM664" t="s">
        <v>3</v>
      </c>
      <c r="HN664" t="s">
        <v>3</v>
      </c>
      <c r="HO664" t="s">
        <v>3</v>
      </c>
      <c r="HP664" t="s">
        <v>3</v>
      </c>
      <c r="HQ664" t="s">
        <v>3</v>
      </c>
      <c r="IK664">
        <v>0</v>
      </c>
    </row>
    <row r="665" spans="1:255" x14ac:dyDescent="0.2">
      <c r="A665" s="2">
        <v>17</v>
      </c>
      <c r="B665" s="2">
        <v>1</v>
      </c>
      <c r="C665" s="2">
        <f>ROW(SmtRes!A683)</f>
        <v>683</v>
      </c>
      <c r="D665" s="2">
        <f>ROW(EtalonRes!A673)</f>
        <v>673</v>
      </c>
      <c r="E665" s="2" t="s">
        <v>181</v>
      </c>
      <c r="F665" s="2" t="s">
        <v>653</v>
      </c>
      <c r="G665" s="2" t="s">
        <v>654</v>
      </c>
      <c r="H665" s="2" t="s">
        <v>551</v>
      </c>
      <c r="I665" s="2">
        <v>0.01</v>
      </c>
      <c r="J665" s="2">
        <v>0</v>
      </c>
      <c r="K665" s="2">
        <v>0.01</v>
      </c>
      <c r="L665" s="2"/>
      <c r="M665" s="2"/>
      <c r="N665" s="2"/>
      <c r="O665" s="2">
        <f t="shared" si="556"/>
        <v>13.57</v>
      </c>
      <c r="P665" s="2">
        <f t="shared" si="557"/>
        <v>1.17</v>
      </c>
      <c r="Q665" s="2">
        <f t="shared" si="594"/>
        <v>1.39</v>
      </c>
      <c r="R665" s="2">
        <f t="shared" si="559"/>
        <v>0.22</v>
      </c>
      <c r="S665" s="2">
        <f t="shared" si="560"/>
        <v>11.01</v>
      </c>
      <c r="T665" s="2">
        <f t="shared" si="561"/>
        <v>0</v>
      </c>
      <c r="U665" s="2">
        <f t="shared" si="562"/>
        <v>0.84670000000000001</v>
      </c>
      <c r="V665" s="2">
        <f t="shared" si="563"/>
        <v>0</v>
      </c>
      <c r="W665" s="2">
        <f t="shared" si="564"/>
        <v>0</v>
      </c>
      <c r="X665" s="2">
        <f t="shared" si="565"/>
        <v>12.55</v>
      </c>
      <c r="Y665" s="2">
        <f t="shared" si="566"/>
        <v>7.38</v>
      </c>
      <c r="Z665" s="2"/>
      <c r="AA665" s="2">
        <v>129761636</v>
      </c>
      <c r="AB665" s="2">
        <f t="shared" si="567"/>
        <v>1356.92</v>
      </c>
      <c r="AC665" s="2">
        <f t="shared" si="568"/>
        <v>116.9</v>
      </c>
      <c r="AD665" s="2">
        <f t="shared" si="595"/>
        <v>139.31</v>
      </c>
      <c r="AE665" s="2">
        <f t="shared" si="596"/>
        <v>22.46</v>
      </c>
      <c r="AF665" s="2">
        <f t="shared" si="596"/>
        <v>1100.71</v>
      </c>
      <c r="AG665" s="2">
        <f t="shared" si="572"/>
        <v>0</v>
      </c>
      <c r="AH665" s="2">
        <f t="shared" si="597"/>
        <v>84.67</v>
      </c>
      <c r="AI665" s="2">
        <f t="shared" si="597"/>
        <v>0</v>
      </c>
      <c r="AJ665" s="2">
        <f t="shared" si="575"/>
        <v>0</v>
      </c>
      <c r="AK665" s="2">
        <v>1356.92</v>
      </c>
      <c r="AL665" s="2">
        <v>116.9</v>
      </c>
      <c r="AM665" s="2">
        <v>139.31</v>
      </c>
      <c r="AN665" s="2">
        <v>22.46</v>
      </c>
      <c r="AO665" s="2">
        <v>1100.71</v>
      </c>
      <c r="AP665" s="2">
        <v>0</v>
      </c>
      <c r="AQ665" s="2">
        <v>84.67</v>
      </c>
      <c r="AR665" s="2">
        <v>0</v>
      </c>
      <c r="AS665" s="2">
        <v>0</v>
      </c>
      <c r="AT665" s="2">
        <v>114</v>
      </c>
      <c r="AU665" s="2">
        <v>67</v>
      </c>
      <c r="AV665" s="2">
        <v>1</v>
      </c>
      <c r="AW665" s="2">
        <v>1</v>
      </c>
      <c r="AX665" s="2"/>
      <c r="AY665" s="2"/>
      <c r="AZ665" s="2">
        <v>1</v>
      </c>
      <c r="BA665" s="2">
        <v>1</v>
      </c>
      <c r="BB665" s="2">
        <v>1</v>
      </c>
      <c r="BC665" s="2">
        <v>1</v>
      </c>
      <c r="BD665" s="2" t="s">
        <v>3</v>
      </c>
      <c r="BE665" s="2" t="s">
        <v>3</v>
      </c>
      <c r="BF665" s="2" t="s">
        <v>3</v>
      </c>
      <c r="BG665" s="2" t="s">
        <v>3</v>
      </c>
      <c r="BH665" s="2">
        <v>0</v>
      </c>
      <c r="BI665" s="2">
        <v>2</v>
      </c>
      <c r="BJ665" s="2" t="s">
        <v>655</v>
      </c>
      <c r="BK665" s="2"/>
      <c r="BL665" s="2"/>
      <c r="BM665" s="2">
        <v>333</v>
      </c>
      <c r="BN665" s="2">
        <v>0</v>
      </c>
      <c r="BO665" s="2" t="s">
        <v>3</v>
      </c>
      <c r="BP665" s="2">
        <v>0</v>
      </c>
      <c r="BQ665" s="2">
        <v>40</v>
      </c>
      <c r="BR665" s="2">
        <v>0</v>
      </c>
      <c r="BS665" s="2">
        <v>1</v>
      </c>
      <c r="BT665" s="2">
        <v>1</v>
      </c>
      <c r="BU665" s="2">
        <v>1</v>
      </c>
      <c r="BV665" s="2">
        <v>1</v>
      </c>
      <c r="BW665" s="2">
        <v>1</v>
      </c>
      <c r="BX665" s="2">
        <v>1</v>
      </c>
      <c r="BY665" s="2" t="s">
        <v>3</v>
      </c>
      <c r="BZ665" s="2">
        <v>114</v>
      </c>
      <c r="CA665" s="2">
        <v>67</v>
      </c>
      <c r="CB665" s="2" t="s">
        <v>3</v>
      </c>
      <c r="CC665" s="2"/>
      <c r="CD665" s="2"/>
      <c r="CE665" s="2">
        <v>30</v>
      </c>
      <c r="CF665" s="2">
        <v>0</v>
      </c>
      <c r="CG665" s="2">
        <v>0</v>
      </c>
      <c r="CH665" s="2"/>
      <c r="CI665" s="2"/>
      <c r="CJ665" s="2"/>
      <c r="CK665" s="2"/>
      <c r="CL665" s="2"/>
      <c r="CM665" s="2">
        <v>0</v>
      </c>
      <c r="CN665" s="2" t="s">
        <v>3</v>
      </c>
      <c r="CO665" s="2">
        <v>0</v>
      </c>
      <c r="CP665" s="2">
        <f t="shared" si="576"/>
        <v>13.57</v>
      </c>
      <c r="CQ665" s="2">
        <f t="shared" si="577"/>
        <v>116.9</v>
      </c>
      <c r="CR665" s="2">
        <f t="shared" si="598"/>
        <v>139.31</v>
      </c>
      <c r="CS665" s="2">
        <f t="shared" si="579"/>
        <v>22.46</v>
      </c>
      <c r="CT665" s="2">
        <f t="shared" si="580"/>
        <v>1100.71</v>
      </c>
      <c r="CU665" s="2">
        <f t="shared" si="581"/>
        <v>0</v>
      </c>
      <c r="CV665" s="2">
        <f t="shared" si="582"/>
        <v>84.67</v>
      </c>
      <c r="CW665" s="2">
        <f t="shared" si="583"/>
        <v>0</v>
      </c>
      <c r="CX665" s="2">
        <f t="shared" si="584"/>
        <v>0</v>
      </c>
      <c r="CY665" s="2">
        <f>((S665*BZ665)/100)</f>
        <v>12.551399999999999</v>
      </c>
      <c r="CZ665" s="2">
        <f>((S665*CA665)/100)</f>
        <v>7.3766999999999996</v>
      </c>
      <c r="DA665" s="2"/>
      <c r="DB665" s="2"/>
      <c r="DC665" s="2" t="s">
        <v>3</v>
      </c>
      <c r="DD665" s="2" t="s">
        <v>3</v>
      </c>
      <c r="DE665" s="2" t="s">
        <v>3</v>
      </c>
      <c r="DF665" s="2" t="s">
        <v>3</v>
      </c>
      <c r="DG665" s="2" t="s">
        <v>3</v>
      </c>
      <c r="DH665" s="2" t="s">
        <v>3</v>
      </c>
      <c r="DI665" s="2" t="s">
        <v>3</v>
      </c>
      <c r="DJ665" s="2" t="s">
        <v>3</v>
      </c>
      <c r="DK665" s="2" t="s">
        <v>3</v>
      </c>
      <c r="DL665" s="2" t="s">
        <v>3</v>
      </c>
      <c r="DM665" s="2" t="s">
        <v>3</v>
      </c>
      <c r="DN665" s="2">
        <v>0</v>
      </c>
      <c r="DO665" s="2">
        <v>0</v>
      </c>
      <c r="DP665" s="2">
        <v>1</v>
      </c>
      <c r="DQ665" s="2">
        <v>1</v>
      </c>
      <c r="DR665" s="2"/>
      <c r="DS665" s="2"/>
      <c r="DT665" s="2"/>
      <c r="DU665" s="2">
        <v>1010</v>
      </c>
      <c r="DV665" s="2" t="s">
        <v>551</v>
      </c>
      <c r="DW665" s="2" t="s">
        <v>551</v>
      </c>
      <c r="DX665" s="2">
        <v>100</v>
      </c>
      <c r="DY665" s="2"/>
      <c r="DZ665" s="2" t="s">
        <v>3</v>
      </c>
      <c r="EA665" s="2" t="s">
        <v>3</v>
      </c>
      <c r="EB665" s="2" t="s">
        <v>3</v>
      </c>
      <c r="EC665" s="2" t="s">
        <v>3</v>
      </c>
      <c r="ED665" s="2"/>
      <c r="EE665" s="2">
        <v>126051794</v>
      </c>
      <c r="EF665" s="2">
        <v>40</v>
      </c>
      <c r="EG665" s="2" t="s">
        <v>621</v>
      </c>
      <c r="EH665" s="2">
        <v>0</v>
      </c>
      <c r="EI665" s="2" t="s">
        <v>3</v>
      </c>
      <c r="EJ665" s="2">
        <v>2</v>
      </c>
      <c r="EK665" s="2">
        <v>333</v>
      </c>
      <c r="EL665" s="2" t="s">
        <v>656</v>
      </c>
      <c r="EM665" s="2" t="s">
        <v>657</v>
      </c>
      <c r="EN665" s="2"/>
      <c r="EO665" s="2" t="s">
        <v>3</v>
      </c>
      <c r="EP665" s="2"/>
      <c r="EQ665" s="2">
        <v>131072</v>
      </c>
      <c r="ER665" s="2">
        <v>1356.92</v>
      </c>
      <c r="ES665" s="2">
        <v>116.9</v>
      </c>
      <c r="ET665" s="2">
        <v>139.31</v>
      </c>
      <c r="EU665" s="2">
        <v>22.46</v>
      </c>
      <c r="EV665" s="2">
        <v>1100.71</v>
      </c>
      <c r="EW665" s="2">
        <v>84.67</v>
      </c>
      <c r="EX665" s="2">
        <v>0</v>
      </c>
      <c r="EY665" s="2">
        <v>0</v>
      </c>
      <c r="EZ665" s="2"/>
      <c r="FA665" s="2"/>
      <c r="FB665" s="2"/>
      <c r="FC665" s="2"/>
      <c r="FD665" s="2"/>
      <c r="FE665" s="2"/>
      <c r="FF665" s="2"/>
      <c r="FG665" s="2"/>
      <c r="FH665" s="2"/>
      <c r="FI665" s="2"/>
      <c r="FJ665" s="2"/>
      <c r="FK665" s="2"/>
      <c r="FL665" s="2"/>
      <c r="FM665" s="2"/>
      <c r="FN665" s="2"/>
      <c r="FO665" s="2"/>
      <c r="FP665" s="2"/>
      <c r="FQ665" s="2">
        <v>0</v>
      </c>
      <c r="FR665" s="2">
        <f t="shared" si="585"/>
        <v>0</v>
      </c>
      <c r="FS665" s="2">
        <v>0</v>
      </c>
      <c r="FT665" s="2"/>
      <c r="FU665" s="2"/>
      <c r="FV665" s="2"/>
      <c r="FW665" s="2"/>
      <c r="FX665" s="2">
        <v>114</v>
      </c>
      <c r="FY665" s="2">
        <v>67</v>
      </c>
      <c r="FZ665" s="2"/>
      <c r="GA665" s="2" t="s">
        <v>3</v>
      </c>
      <c r="GB665" s="2"/>
      <c r="GC665" s="2"/>
      <c r="GD665" s="2">
        <v>0</v>
      </c>
      <c r="GE665" s="2"/>
      <c r="GF665" s="2">
        <v>-940201519</v>
      </c>
      <c r="GG665" s="2">
        <v>2</v>
      </c>
      <c r="GH665" s="2">
        <v>1</v>
      </c>
      <c r="GI665" s="2">
        <v>-2</v>
      </c>
      <c r="GJ665" s="2">
        <v>0</v>
      </c>
      <c r="GK665" s="2">
        <f>ROUND(R665*(R12)/100,2)</f>
        <v>0.39</v>
      </c>
      <c r="GL665" s="2">
        <f t="shared" si="586"/>
        <v>0</v>
      </c>
      <c r="GM665" s="2">
        <f t="shared" si="587"/>
        <v>33.89</v>
      </c>
      <c r="GN665" s="2">
        <f t="shared" si="588"/>
        <v>0</v>
      </c>
      <c r="GO665" s="2">
        <f t="shared" si="589"/>
        <v>33.89</v>
      </c>
      <c r="GP665" s="2">
        <f t="shared" si="590"/>
        <v>0</v>
      </c>
      <c r="GQ665" s="2"/>
      <c r="GR665" s="2">
        <v>0</v>
      </c>
      <c r="GS665" s="2">
        <v>0</v>
      </c>
      <c r="GT665" s="2">
        <v>0</v>
      </c>
      <c r="GU665" s="2" t="s">
        <v>3</v>
      </c>
      <c r="GV665" s="2">
        <f t="shared" si="591"/>
        <v>0</v>
      </c>
      <c r="GW665" s="2">
        <v>1</v>
      </c>
      <c r="GX665" s="2">
        <f t="shared" si="592"/>
        <v>0</v>
      </c>
      <c r="GY665" s="2"/>
      <c r="GZ665" s="2"/>
      <c r="HA665" s="2">
        <v>0</v>
      </c>
      <c r="HB665" s="2">
        <v>0</v>
      </c>
      <c r="HC665" s="2">
        <f t="shared" si="593"/>
        <v>0</v>
      </c>
      <c r="HD665" s="2"/>
      <c r="HE665" s="2" t="s">
        <v>3</v>
      </c>
      <c r="HF665" s="2" t="s">
        <v>3</v>
      </c>
      <c r="HG665" s="2"/>
      <c r="HH665" s="2"/>
      <c r="HI665" s="2"/>
      <c r="HJ665" s="2"/>
      <c r="HK665" s="2"/>
      <c r="HL665" s="2"/>
      <c r="HM665" s="2" t="s">
        <v>3</v>
      </c>
      <c r="HN665" s="2" t="s">
        <v>3</v>
      </c>
      <c r="HO665" s="2" t="s">
        <v>3</v>
      </c>
      <c r="HP665" s="2" t="s">
        <v>3</v>
      </c>
      <c r="HQ665" s="2" t="s">
        <v>3</v>
      </c>
      <c r="HR665" s="2"/>
      <c r="HS665" s="2"/>
      <c r="HT665" s="2"/>
      <c r="HU665" s="2"/>
      <c r="HV665" s="2"/>
      <c r="HW665" s="2"/>
      <c r="HX665" s="2"/>
      <c r="HY665" s="2"/>
      <c r="HZ665" s="2"/>
      <c r="IA665" s="2"/>
      <c r="IB665" s="2"/>
      <c r="IC665" s="2"/>
      <c r="ID665" s="2"/>
      <c r="IE665" s="2"/>
      <c r="IF665" s="2"/>
      <c r="IG665" s="2"/>
      <c r="IH665" s="2"/>
      <c r="II665" s="2"/>
      <c r="IJ665" s="2"/>
      <c r="IK665" s="2">
        <v>0</v>
      </c>
      <c r="IL665" s="2"/>
      <c r="IM665" s="2"/>
      <c r="IN665" s="2"/>
      <c r="IO665" s="2"/>
      <c r="IP665" s="2"/>
      <c r="IQ665" s="2"/>
      <c r="IR665" s="2"/>
      <c r="IS665" s="2"/>
      <c r="IT665" s="2"/>
      <c r="IU665" s="2"/>
    </row>
    <row r="666" spans="1:255" x14ac:dyDescent="0.2">
      <c r="A666">
        <v>17</v>
      </c>
      <c r="B666">
        <v>1</v>
      </c>
      <c r="C666">
        <f>ROW(SmtRes!A684)</f>
        <v>684</v>
      </c>
      <c r="D666">
        <f>ROW(EtalonRes!A674)</f>
        <v>674</v>
      </c>
      <c r="E666" t="s">
        <v>181</v>
      </c>
      <c r="F666" t="s">
        <v>653</v>
      </c>
      <c r="G666" t="s">
        <v>654</v>
      </c>
      <c r="H666" t="s">
        <v>551</v>
      </c>
      <c r="I666">
        <v>0.01</v>
      </c>
      <c r="J666">
        <v>0</v>
      </c>
      <c r="K666">
        <v>0.01</v>
      </c>
      <c r="O666">
        <f t="shared" si="556"/>
        <v>344.58</v>
      </c>
      <c r="P666">
        <f t="shared" si="557"/>
        <v>9.52</v>
      </c>
      <c r="Q666">
        <f t="shared" si="594"/>
        <v>15.44</v>
      </c>
      <c r="R666">
        <f t="shared" si="559"/>
        <v>6.39</v>
      </c>
      <c r="S666">
        <f t="shared" si="560"/>
        <v>319.62</v>
      </c>
      <c r="T666">
        <f t="shared" si="561"/>
        <v>0</v>
      </c>
      <c r="U666">
        <f t="shared" si="562"/>
        <v>0.84670000000000001</v>
      </c>
      <c r="V666">
        <f t="shared" si="563"/>
        <v>0</v>
      </c>
      <c r="W666">
        <f t="shared" si="564"/>
        <v>0</v>
      </c>
      <c r="X666">
        <f t="shared" si="565"/>
        <v>252.5</v>
      </c>
      <c r="Y666">
        <f t="shared" si="566"/>
        <v>131.04</v>
      </c>
      <c r="AA666">
        <v>129761633</v>
      </c>
      <c r="AB666">
        <f t="shared" si="567"/>
        <v>1356.92</v>
      </c>
      <c r="AC666">
        <f t="shared" si="568"/>
        <v>116.9</v>
      </c>
      <c r="AD666">
        <f t="shared" si="595"/>
        <v>139.31</v>
      </c>
      <c r="AE666">
        <f t="shared" si="596"/>
        <v>22.46</v>
      </c>
      <c r="AF666">
        <f t="shared" si="596"/>
        <v>1100.71</v>
      </c>
      <c r="AG666">
        <f t="shared" si="572"/>
        <v>0</v>
      </c>
      <c r="AH666">
        <f t="shared" si="597"/>
        <v>84.67</v>
      </c>
      <c r="AI666">
        <f t="shared" si="597"/>
        <v>0</v>
      </c>
      <c r="AJ666">
        <f t="shared" si="575"/>
        <v>0</v>
      </c>
      <c r="AK666">
        <v>1356.92</v>
      </c>
      <c r="AL666">
        <v>116.9</v>
      </c>
      <c r="AM666">
        <v>139.31</v>
      </c>
      <c r="AN666">
        <v>22.46</v>
      </c>
      <c r="AO666">
        <v>1100.71</v>
      </c>
      <c r="AP666">
        <v>0</v>
      </c>
      <c r="AQ666">
        <v>84.67</v>
      </c>
      <c r="AR666">
        <v>0</v>
      </c>
      <c r="AS666">
        <v>0</v>
      </c>
      <c r="AT666">
        <v>79</v>
      </c>
      <c r="AU666">
        <v>41</v>
      </c>
      <c r="AV666">
        <v>1</v>
      </c>
      <c r="AW666">
        <v>1</v>
      </c>
      <c r="AZ666">
        <v>1</v>
      </c>
      <c r="BA666">
        <v>29.03</v>
      </c>
      <c r="BB666">
        <v>11.11</v>
      </c>
      <c r="BC666">
        <v>8.14</v>
      </c>
      <c r="BD666" t="s">
        <v>3</v>
      </c>
      <c r="BE666" t="s">
        <v>3</v>
      </c>
      <c r="BF666" t="s">
        <v>3</v>
      </c>
      <c r="BG666" t="s">
        <v>3</v>
      </c>
      <c r="BH666">
        <v>0</v>
      </c>
      <c r="BI666">
        <v>2</v>
      </c>
      <c r="BJ666" t="s">
        <v>655</v>
      </c>
      <c r="BM666">
        <v>333</v>
      </c>
      <c r="BN666">
        <v>0</v>
      </c>
      <c r="BO666" t="s">
        <v>653</v>
      </c>
      <c r="BP666">
        <v>1</v>
      </c>
      <c r="BQ666">
        <v>40</v>
      </c>
      <c r="BR666">
        <v>0</v>
      </c>
      <c r="BS666">
        <v>29.03</v>
      </c>
      <c r="BT666">
        <v>1</v>
      </c>
      <c r="BU666">
        <v>1</v>
      </c>
      <c r="BV666">
        <v>1</v>
      </c>
      <c r="BW666">
        <v>1</v>
      </c>
      <c r="BX666">
        <v>1</v>
      </c>
      <c r="BY666" t="s">
        <v>3</v>
      </c>
      <c r="BZ666">
        <v>79</v>
      </c>
      <c r="CA666">
        <v>41</v>
      </c>
      <c r="CB666" t="s">
        <v>3</v>
      </c>
      <c r="CE666">
        <v>30</v>
      </c>
      <c r="CF666">
        <v>0</v>
      </c>
      <c r="CG666">
        <v>0</v>
      </c>
      <c r="CM666">
        <v>0</v>
      </c>
      <c r="CN666" t="s">
        <v>3</v>
      </c>
      <c r="CO666">
        <v>0</v>
      </c>
      <c r="CP666">
        <f t="shared" si="576"/>
        <v>344.58</v>
      </c>
      <c r="CQ666">
        <f t="shared" si="577"/>
        <v>951.57</v>
      </c>
      <c r="CR666">
        <f t="shared" si="598"/>
        <v>1547.73</v>
      </c>
      <c r="CS666">
        <f t="shared" si="579"/>
        <v>652.01</v>
      </c>
      <c r="CT666">
        <f t="shared" si="580"/>
        <v>31953.61</v>
      </c>
      <c r="CU666">
        <f t="shared" si="581"/>
        <v>0</v>
      </c>
      <c r="CV666">
        <f t="shared" si="582"/>
        <v>84.67</v>
      </c>
      <c r="CW666">
        <f t="shared" si="583"/>
        <v>0</v>
      </c>
      <c r="CX666">
        <f t="shared" si="584"/>
        <v>0</v>
      </c>
      <c r="CY666">
        <f>S666*(BZ666/100)</f>
        <v>252.49980000000002</v>
      </c>
      <c r="CZ666">
        <f>S666*(CA666/100)</f>
        <v>131.04419999999999</v>
      </c>
      <c r="DC666" t="s">
        <v>3</v>
      </c>
      <c r="DD666" t="s">
        <v>3</v>
      </c>
      <c r="DE666" t="s">
        <v>3</v>
      </c>
      <c r="DF666" t="s">
        <v>3</v>
      </c>
      <c r="DG666" t="s">
        <v>3</v>
      </c>
      <c r="DH666" t="s">
        <v>3</v>
      </c>
      <c r="DI666" t="s">
        <v>3</v>
      </c>
      <c r="DJ666" t="s">
        <v>3</v>
      </c>
      <c r="DK666" t="s">
        <v>3</v>
      </c>
      <c r="DL666" t="s">
        <v>3</v>
      </c>
      <c r="DM666" t="s">
        <v>3</v>
      </c>
      <c r="DN666">
        <v>114</v>
      </c>
      <c r="DO666">
        <v>67</v>
      </c>
      <c r="DP666">
        <v>1</v>
      </c>
      <c r="DQ666">
        <v>1</v>
      </c>
      <c r="DU666">
        <v>1010</v>
      </c>
      <c r="DV666" t="s">
        <v>551</v>
      </c>
      <c r="DW666" t="s">
        <v>551</v>
      </c>
      <c r="DX666">
        <v>100</v>
      </c>
      <c r="DZ666" t="s">
        <v>3</v>
      </c>
      <c r="EA666" t="s">
        <v>3</v>
      </c>
      <c r="EB666" t="s">
        <v>3</v>
      </c>
      <c r="EC666" t="s">
        <v>3</v>
      </c>
      <c r="EE666">
        <v>126051794</v>
      </c>
      <c r="EF666">
        <v>40</v>
      </c>
      <c r="EG666" t="s">
        <v>621</v>
      </c>
      <c r="EH666">
        <v>0</v>
      </c>
      <c r="EI666" t="s">
        <v>3</v>
      </c>
      <c r="EJ666">
        <v>2</v>
      </c>
      <c r="EK666">
        <v>333</v>
      </c>
      <c r="EL666" t="s">
        <v>656</v>
      </c>
      <c r="EM666" t="s">
        <v>657</v>
      </c>
      <c r="EO666" t="s">
        <v>3</v>
      </c>
      <c r="EQ666">
        <v>131072</v>
      </c>
      <c r="ER666">
        <v>1356.92</v>
      </c>
      <c r="ES666">
        <v>116.9</v>
      </c>
      <c r="ET666">
        <v>139.31</v>
      </c>
      <c r="EU666">
        <v>22.46</v>
      </c>
      <c r="EV666">
        <v>1100.71</v>
      </c>
      <c r="EW666">
        <v>84.67</v>
      </c>
      <c r="EX666">
        <v>0</v>
      </c>
      <c r="EY666">
        <v>0</v>
      </c>
      <c r="FQ666">
        <v>0</v>
      </c>
      <c r="FR666">
        <f t="shared" si="585"/>
        <v>0</v>
      </c>
      <c r="FS666">
        <v>0</v>
      </c>
      <c r="FX666">
        <v>114</v>
      </c>
      <c r="FY666">
        <v>67</v>
      </c>
      <c r="GA666" t="s">
        <v>3</v>
      </c>
      <c r="GD666">
        <v>0</v>
      </c>
      <c r="GF666">
        <v>-940201519</v>
      </c>
      <c r="GG666">
        <v>2</v>
      </c>
      <c r="GH666">
        <v>1</v>
      </c>
      <c r="GI666">
        <v>2</v>
      </c>
      <c r="GJ666">
        <v>0</v>
      </c>
      <c r="GK666">
        <f>ROUND(R666*(S12)/100,2)</f>
        <v>10.220000000000001</v>
      </c>
      <c r="GL666">
        <f t="shared" si="586"/>
        <v>0</v>
      </c>
      <c r="GM666">
        <f t="shared" si="587"/>
        <v>738.34</v>
      </c>
      <c r="GN666">
        <f t="shared" si="588"/>
        <v>0</v>
      </c>
      <c r="GO666">
        <f t="shared" si="589"/>
        <v>738.34</v>
      </c>
      <c r="GP666">
        <f t="shared" si="590"/>
        <v>0</v>
      </c>
      <c r="GR666">
        <v>0</v>
      </c>
      <c r="GS666">
        <v>3</v>
      </c>
      <c r="GT666">
        <v>0</v>
      </c>
      <c r="GU666" t="s">
        <v>3</v>
      </c>
      <c r="GV666">
        <f t="shared" si="591"/>
        <v>0</v>
      </c>
      <c r="GW666">
        <v>1</v>
      </c>
      <c r="GX666">
        <f t="shared" si="592"/>
        <v>0</v>
      </c>
      <c r="HA666">
        <v>0</v>
      </c>
      <c r="HB666">
        <v>0</v>
      </c>
      <c r="HC666">
        <f t="shared" si="593"/>
        <v>0</v>
      </c>
      <c r="HE666" t="s">
        <v>3</v>
      </c>
      <c r="HF666" t="s">
        <v>3</v>
      </c>
      <c r="HM666" t="s">
        <v>3</v>
      </c>
      <c r="HN666" t="s">
        <v>3</v>
      </c>
      <c r="HO666" t="s">
        <v>3</v>
      </c>
      <c r="HP666" t="s">
        <v>3</v>
      </c>
      <c r="HQ666" t="s">
        <v>3</v>
      </c>
      <c r="IK666">
        <v>0</v>
      </c>
    </row>
    <row r="667" spans="1:255" x14ac:dyDescent="0.2">
      <c r="A667" s="2">
        <v>17</v>
      </c>
      <c r="B667" s="2">
        <v>1</v>
      </c>
      <c r="C667" s="2">
        <f>ROW(SmtRes!A685)</f>
        <v>685</v>
      </c>
      <c r="D667" s="2">
        <f>ROW(EtalonRes!A675)</f>
        <v>675</v>
      </c>
      <c r="E667" s="2" t="s">
        <v>191</v>
      </c>
      <c r="F667" s="2" t="s">
        <v>658</v>
      </c>
      <c r="G667" s="2" t="s">
        <v>659</v>
      </c>
      <c r="H667" s="2" t="s">
        <v>231</v>
      </c>
      <c r="I667" s="2">
        <v>2</v>
      </c>
      <c r="J667" s="2">
        <v>0</v>
      </c>
      <c r="K667" s="2">
        <v>2</v>
      </c>
      <c r="L667" s="2"/>
      <c r="M667" s="2"/>
      <c r="N667" s="2"/>
      <c r="O667" s="2">
        <f t="shared" si="556"/>
        <v>21.54</v>
      </c>
      <c r="P667" s="2">
        <f t="shared" si="557"/>
        <v>0.14000000000000001</v>
      </c>
      <c r="Q667" s="2">
        <f t="shared" si="594"/>
        <v>0</v>
      </c>
      <c r="R667" s="2">
        <f t="shared" si="559"/>
        <v>0</v>
      </c>
      <c r="S667" s="2">
        <f t="shared" si="560"/>
        <v>21.4</v>
      </c>
      <c r="T667" s="2">
        <f t="shared" si="561"/>
        <v>0</v>
      </c>
      <c r="U667" s="2">
        <f t="shared" si="562"/>
        <v>2</v>
      </c>
      <c r="V667" s="2">
        <f t="shared" si="563"/>
        <v>0</v>
      </c>
      <c r="W667" s="2">
        <f t="shared" si="564"/>
        <v>0</v>
      </c>
      <c r="X667" s="2">
        <f t="shared" si="565"/>
        <v>24.4</v>
      </c>
      <c r="Y667" s="2">
        <f t="shared" si="566"/>
        <v>14.34</v>
      </c>
      <c r="Z667" s="2"/>
      <c r="AA667" s="2">
        <v>129761636</v>
      </c>
      <c r="AB667" s="2">
        <f t="shared" si="567"/>
        <v>10.77</v>
      </c>
      <c r="AC667" s="2">
        <f t="shared" si="568"/>
        <v>7.0000000000000007E-2</v>
      </c>
      <c r="AD667" s="2">
        <f t="shared" si="595"/>
        <v>0</v>
      </c>
      <c r="AE667" s="2">
        <f t="shared" si="596"/>
        <v>0</v>
      </c>
      <c r="AF667" s="2">
        <f t="shared" si="596"/>
        <v>10.7</v>
      </c>
      <c r="AG667" s="2">
        <f t="shared" si="572"/>
        <v>0</v>
      </c>
      <c r="AH667" s="2">
        <f t="shared" si="597"/>
        <v>1</v>
      </c>
      <c r="AI667" s="2">
        <f t="shared" si="597"/>
        <v>0</v>
      </c>
      <c r="AJ667" s="2">
        <f t="shared" si="575"/>
        <v>0</v>
      </c>
      <c r="AK667" s="2">
        <v>10.77</v>
      </c>
      <c r="AL667" s="2">
        <v>7.0000000000000007E-2</v>
      </c>
      <c r="AM667" s="2">
        <v>0</v>
      </c>
      <c r="AN667" s="2">
        <v>0</v>
      </c>
      <c r="AO667" s="2">
        <v>10.7</v>
      </c>
      <c r="AP667" s="2">
        <v>0</v>
      </c>
      <c r="AQ667" s="2">
        <v>1</v>
      </c>
      <c r="AR667" s="2">
        <v>0</v>
      </c>
      <c r="AS667" s="2">
        <v>0</v>
      </c>
      <c r="AT667" s="2">
        <v>114</v>
      </c>
      <c r="AU667" s="2">
        <v>67</v>
      </c>
      <c r="AV667" s="2">
        <v>1</v>
      </c>
      <c r="AW667" s="2">
        <v>1</v>
      </c>
      <c r="AX667" s="2"/>
      <c r="AY667" s="2"/>
      <c r="AZ667" s="2">
        <v>1</v>
      </c>
      <c r="BA667" s="2">
        <v>1</v>
      </c>
      <c r="BB667" s="2">
        <v>1</v>
      </c>
      <c r="BC667" s="2">
        <v>1</v>
      </c>
      <c r="BD667" s="2" t="s">
        <v>3</v>
      </c>
      <c r="BE667" s="2" t="s">
        <v>3</v>
      </c>
      <c r="BF667" s="2" t="s">
        <v>3</v>
      </c>
      <c r="BG667" s="2" t="s">
        <v>3</v>
      </c>
      <c r="BH667" s="2">
        <v>0</v>
      </c>
      <c r="BI667" s="2">
        <v>2</v>
      </c>
      <c r="BJ667" s="2" t="s">
        <v>660</v>
      </c>
      <c r="BK667" s="2"/>
      <c r="BL667" s="2"/>
      <c r="BM667" s="2">
        <v>336</v>
      </c>
      <c r="BN667" s="2">
        <v>0</v>
      </c>
      <c r="BO667" s="2" t="s">
        <v>3</v>
      </c>
      <c r="BP667" s="2">
        <v>0</v>
      </c>
      <c r="BQ667" s="2">
        <v>40</v>
      </c>
      <c r="BR667" s="2">
        <v>0</v>
      </c>
      <c r="BS667" s="2">
        <v>1</v>
      </c>
      <c r="BT667" s="2">
        <v>1</v>
      </c>
      <c r="BU667" s="2">
        <v>1</v>
      </c>
      <c r="BV667" s="2">
        <v>1</v>
      </c>
      <c r="BW667" s="2">
        <v>1</v>
      </c>
      <c r="BX667" s="2">
        <v>1</v>
      </c>
      <c r="BY667" s="2" t="s">
        <v>3</v>
      </c>
      <c r="BZ667" s="2">
        <v>114</v>
      </c>
      <c r="CA667" s="2">
        <v>67</v>
      </c>
      <c r="CB667" s="2" t="s">
        <v>3</v>
      </c>
      <c r="CC667" s="2"/>
      <c r="CD667" s="2"/>
      <c r="CE667" s="2">
        <v>30</v>
      </c>
      <c r="CF667" s="2">
        <v>0</v>
      </c>
      <c r="CG667" s="2">
        <v>0</v>
      </c>
      <c r="CH667" s="2"/>
      <c r="CI667" s="2"/>
      <c r="CJ667" s="2"/>
      <c r="CK667" s="2"/>
      <c r="CL667" s="2"/>
      <c r="CM667" s="2">
        <v>0</v>
      </c>
      <c r="CN667" s="2" t="s">
        <v>3</v>
      </c>
      <c r="CO667" s="2">
        <v>0</v>
      </c>
      <c r="CP667" s="2">
        <f t="shared" si="576"/>
        <v>21.54</v>
      </c>
      <c r="CQ667" s="2">
        <f t="shared" si="577"/>
        <v>7.0000000000000007E-2</v>
      </c>
      <c r="CR667" s="2">
        <f t="shared" si="598"/>
        <v>0</v>
      </c>
      <c r="CS667" s="2">
        <f t="shared" si="579"/>
        <v>0</v>
      </c>
      <c r="CT667" s="2">
        <f t="shared" si="580"/>
        <v>10.7</v>
      </c>
      <c r="CU667" s="2">
        <f t="shared" si="581"/>
        <v>0</v>
      </c>
      <c r="CV667" s="2">
        <f t="shared" si="582"/>
        <v>1</v>
      </c>
      <c r="CW667" s="2">
        <f t="shared" si="583"/>
        <v>0</v>
      </c>
      <c r="CX667" s="2">
        <f t="shared" si="584"/>
        <v>0</v>
      </c>
      <c r="CY667" s="2">
        <f>((S667*BZ667)/100)</f>
        <v>24.396000000000001</v>
      </c>
      <c r="CZ667" s="2">
        <f>((S667*CA667)/100)</f>
        <v>14.337999999999999</v>
      </c>
      <c r="DA667" s="2"/>
      <c r="DB667" s="2"/>
      <c r="DC667" s="2" t="s">
        <v>3</v>
      </c>
      <c r="DD667" s="2" t="s">
        <v>3</v>
      </c>
      <c r="DE667" s="2" t="s">
        <v>3</v>
      </c>
      <c r="DF667" s="2" t="s">
        <v>3</v>
      </c>
      <c r="DG667" s="2" t="s">
        <v>3</v>
      </c>
      <c r="DH667" s="2" t="s">
        <v>3</v>
      </c>
      <c r="DI667" s="2" t="s">
        <v>3</v>
      </c>
      <c r="DJ667" s="2" t="s">
        <v>3</v>
      </c>
      <c r="DK667" s="2" t="s">
        <v>3</v>
      </c>
      <c r="DL667" s="2" t="s">
        <v>3</v>
      </c>
      <c r="DM667" s="2" t="s">
        <v>3</v>
      </c>
      <c r="DN667" s="2">
        <v>0</v>
      </c>
      <c r="DO667" s="2">
        <v>0</v>
      </c>
      <c r="DP667" s="2">
        <v>1</v>
      </c>
      <c r="DQ667" s="2">
        <v>1</v>
      </c>
      <c r="DR667" s="2"/>
      <c r="DS667" s="2"/>
      <c r="DT667" s="2"/>
      <c r="DU667" s="2">
        <v>1013</v>
      </c>
      <c r="DV667" s="2" t="s">
        <v>231</v>
      </c>
      <c r="DW667" s="2" t="s">
        <v>231</v>
      </c>
      <c r="DX667" s="2">
        <v>1</v>
      </c>
      <c r="DY667" s="2"/>
      <c r="DZ667" s="2" t="s">
        <v>3</v>
      </c>
      <c r="EA667" s="2" t="s">
        <v>3</v>
      </c>
      <c r="EB667" s="2" t="s">
        <v>3</v>
      </c>
      <c r="EC667" s="2" t="s">
        <v>3</v>
      </c>
      <c r="ED667" s="2"/>
      <c r="EE667" s="2">
        <v>126051797</v>
      </c>
      <c r="EF667" s="2">
        <v>40</v>
      </c>
      <c r="EG667" s="2" t="s">
        <v>621</v>
      </c>
      <c r="EH667" s="2">
        <v>0</v>
      </c>
      <c r="EI667" s="2" t="s">
        <v>3</v>
      </c>
      <c r="EJ667" s="2">
        <v>2</v>
      </c>
      <c r="EK667" s="2">
        <v>336</v>
      </c>
      <c r="EL667" s="2" t="s">
        <v>632</v>
      </c>
      <c r="EM667" s="2" t="s">
        <v>633</v>
      </c>
      <c r="EN667" s="2"/>
      <c r="EO667" s="2" t="s">
        <v>3</v>
      </c>
      <c r="EP667" s="2"/>
      <c r="EQ667" s="2">
        <v>131072</v>
      </c>
      <c r="ER667" s="2">
        <v>10.77</v>
      </c>
      <c r="ES667" s="2">
        <v>7.0000000000000007E-2</v>
      </c>
      <c r="ET667" s="2">
        <v>0</v>
      </c>
      <c r="EU667" s="2">
        <v>0</v>
      </c>
      <c r="EV667" s="2">
        <v>10.7</v>
      </c>
      <c r="EW667" s="2">
        <v>1</v>
      </c>
      <c r="EX667" s="2">
        <v>0</v>
      </c>
      <c r="EY667" s="2">
        <v>0</v>
      </c>
      <c r="EZ667" s="2"/>
      <c r="FA667" s="2"/>
      <c r="FB667" s="2"/>
      <c r="FC667" s="2"/>
      <c r="FD667" s="2"/>
      <c r="FE667" s="2"/>
      <c r="FF667" s="2"/>
      <c r="FG667" s="2"/>
      <c r="FH667" s="2"/>
      <c r="FI667" s="2"/>
      <c r="FJ667" s="2"/>
      <c r="FK667" s="2"/>
      <c r="FL667" s="2"/>
      <c r="FM667" s="2"/>
      <c r="FN667" s="2"/>
      <c r="FO667" s="2"/>
      <c r="FP667" s="2"/>
      <c r="FQ667" s="2">
        <v>0</v>
      </c>
      <c r="FR667" s="2">
        <f t="shared" si="585"/>
        <v>0</v>
      </c>
      <c r="FS667" s="2">
        <v>0</v>
      </c>
      <c r="FT667" s="2"/>
      <c r="FU667" s="2"/>
      <c r="FV667" s="2"/>
      <c r="FW667" s="2"/>
      <c r="FX667" s="2">
        <v>114</v>
      </c>
      <c r="FY667" s="2">
        <v>67</v>
      </c>
      <c r="FZ667" s="2"/>
      <c r="GA667" s="2" t="s">
        <v>3</v>
      </c>
      <c r="GB667" s="2"/>
      <c r="GC667" s="2"/>
      <c r="GD667" s="2">
        <v>0</v>
      </c>
      <c r="GE667" s="2"/>
      <c r="GF667" s="2">
        <v>1973992902</v>
      </c>
      <c r="GG667" s="2">
        <v>2</v>
      </c>
      <c r="GH667" s="2">
        <v>1</v>
      </c>
      <c r="GI667" s="2">
        <v>-2</v>
      </c>
      <c r="GJ667" s="2">
        <v>0</v>
      </c>
      <c r="GK667" s="2">
        <f>ROUND(R667*(R12)/100,2)</f>
        <v>0</v>
      </c>
      <c r="GL667" s="2">
        <f t="shared" si="586"/>
        <v>0</v>
      </c>
      <c r="GM667" s="2">
        <f t="shared" si="587"/>
        <v>60.28</v>
      </c>
      <c r="GN667" s="2">
        <f t="shared" si="588"/>
        <v>0</v>
      </c>
      <c r="GO667" s="2">
        <f t="shared" si="589"/>
        <v>60.28</v>
      </c>
      <c r="GP667" s="2">
        <f t="shared" si="590"/>
        <v>0</v>
      </c>
      <c r="GQ667" s="2"/>
      <c r="GR667" s="2">
        <v>0</v>
      </c>
      <c r="GS667" s="2">
        <v>0</v>
      </c>
      <c r="GT667" s="2">
        <v>0</v>
      </c>
      <c r="GU667" s="2" t="s">
        <v>3</v>
      </c>
      <c r="GV667" s="2">
        <f t="shared" si="591"/>
        <v>0</v>
      </c>
      <c r="GW667" s="2">
        <v>1</v>
      </c>
      <c r="GX667" s="2">
        <f t="shared" si="592"/>
        <v>0</v>
      </c>
      <c r="GY667" s="2"/>
      <c r="GZ667" s="2"/>
      <c r="HA667" s="2">
        <v>0</v>
      </c>
      <c r="HB667" s="2">
        <v>0</v>
      </c>
      <c r="HC667" s="2">
        <f t="shared" si="593"/>
        <v>0</v>
      </c>
      <c r="HD667" s="2"/>
      <c r="HE667" s="2" t="s">
        <v>3</v>
      </c>
      <c r="HF667" s="2" t="s">
        <v>3</v>
      </c>
      <c r="HG667" s="2"/>
      <c r="HH667" s="2"/>
      <c r="HI667" s="2"/>
      <c r="HJ667" s="2"/>
      <c r="HK667" s="2"/>
      <c r="HL667" s="2"/>
      <c r="HM667" s="2" t="s">
        <v>3</v>
      </c>
      <c r="HN667" s="2" t="s">
        <v>3</v>
      </c>
      <c r="HO667" s="2" t="s">
        <v>3</v>
      </c>
      <c r="HP667" s="2" t="s">
        <v>3</v>
      </c>
      <c r="HQ667" s="2" t="s">
        <v>3</v>
      </c>
      <c r="HR667" s="2"/>
      <c r="HS667" s="2"/>
      <c r="HT667" s="2"/>
      <c r="HU667" s="2"/>
      <c r="HV667" s="2"/>
      <c r="HW667" s="2"/>
      <c r="HX667" s="2"/>
      <c r="HY667" s="2"/>
      <c r="HZ667" s="2"/>
      <c r="IA667" s="2"/>
      <c r="IB667" s="2"/>
      <c r="IC667" s="2"/>
      <c r="ID667" s="2"/>
      <c r="IE667" s="2"/>
      <c r="IF667" s="2"/>
      <c r="IG667" s="2"/>
      <c r="IH667" s="2"/>
      <c r="II667" s="2"/>
      <c r="IJ667" s="2"/>
      <c r="IK667" s="2">
        <v>0</v>
      </c>
      <c r="IL667" s="2"/>
      <c r="IM667" s="2"/>
      <c r="IN667" s="2"/>
      <c r="IO667" s="2"/>
      <c r="IP667" s="2"/>
      <c r="IQ667" s="2"/>
      <c r="IR667" s="2"/>
      <c r="IS667" s="2"/>
      <c r="IT667" s="2"/>
      <c r="IU667" s="2"/>
    </row>
    <row r="668" spans="1:255" x14ac:dyDescent="0.2">
      <c r="A668">
        <v>17</v>
      </c>
      <c r="B668">
        <v>1</v>
      </c>
      <c r="C668">
        <f>ROW(SmtRes!A686)</f>
        <v>686</v>
      </c>
      <c r="D668">
        <f>ROW(EtalonRes!A676)</f>
        <v>676</v>
      </c>
      <c r="E668" t="s">
        <v>191</v>
      </c>
      <c r="F668" t="s">
        <v>658</v>
      </c>
      <c r="G668" t="s">
        <v>659</v>
      </c>
      <c r="H668" t="s">
        <v>231</v>
      </c>
      <c r="I668">
        <v>2</v>
      </c>
      <c r="J668">
        <v>0</v>
      </c>
      <c r="K668">
        <v>2</v>
      </c>
      <c r="O668">
        <f t="shared" si="556"/>
        <v>621.38</v>
      </c>
      <c r="P668">
        <f t="shared" si="557"/>
        <v>0.14000000000000001</v>
      </c>
      <c r="Q668">
        <f t="shared" si="594"/>
        <v>0</v>
      </c>
      <c r="R668">
        <f t="shared" si="559"/>
        <v>0</v>
      </c>
      <c r="S668">
        <f t="shared" si="560"/>
        <v>621.24</v>
      </c>
      <c r="T668">
        <f t="shared" si="561"/>
        <v>0</v>
      </c>
      <c r="U668">
        <f t="shared" si="562"/>
        <v>2</v>
      </c>
      <c r="V668">
        <f t="shared" si="563"/>
        <v>0</v>
      </c>
      <c r="W668">
        <f t="shared" si="564"/>
        <v>0</v>
      </c>
      <c r="X668">
        <f t="shared" si="565"/>
        <v>490.78</v>
      </c>
      <c r="Y668">
        <f t="shared" si="566"/>
        <v>254.71</v>
      </c>
      <c r="AA668">
        <v>129761633</v>
      </c>
      <c r="AB668">
        <f t="shared" si="567"/>
        <v>10.77</v>
      </c>
      <c r="AC668">
        <f t="shared" si="568"/>
        <v>7.0000000000000007E-2</v>
      </c>
      <c r="AD668">
        <f t="shared" si="595"/>
        <v>0</v>
      </c>
      <c r="AE668">
        <f t="shared" si="596"/>
        <v>0</v>
      </c>
      <c r="AF668">
        <f t="shared" si="596"/>
        <v>10.7</v>
      </c>
      <c r="AG668">
        <f t="shared" si="572"/>
        <v>0</v>
      </c>
      <c r="AH668">
        <f t="shared" si="597"/>
        <v>1</v>
      </c>
      <c r="AI668">
        <f t="shared" si="597"/>
        <v>0</v>
      </c>
      <c r="AJ668">
        <f t="shared" si="575"/>
        <v>0</v>
      </c>
      <c r="AK668">
        <v>10.77</v>
      </c>
      <c r="AL668">
        <v>7.0000000000000007E-2</v>
      </c>
      <c r="AM668">
        <v>0</v>
      </c>
      <c r="AN668">
        <v>0</v>
      </c>
      <c r="AO668">
        <v>10.7</v>
      </c>
      <c r="AP668">
        <v>0</v>
      </c>
      <c r="AQ668">
        <v>1</v>
      </c>
      <c r="AR668">
        <v>0</v>
      </c>
      <c r="AS668">
        <v>0</v>
      </c>
      <c r="AT668">
        <v>79</v>
      </c>
      <c r="AU668">
        <v>41</v>
      </c>
      <c r="AV668">
        <v>1</v>
      </c>
      <c r="AW668">
        <v>1</v>
      </c>
      <c r="AZ668">
        <v>1</v>
      </c>
      <c r="BA668">
        <v>29.03</v>
      </c>
      <c r="BB668">
        <v>1</v>
      </c>
      <c r="BC668">
        <v>1</v>
      </c>
      <c r="BD668" t="s">
        <v>3</v>
      </c>
      <c r="BE668" t="s">
        <v>3</v>
      </c>
      <c r="BF668" t="s">
        <v>3</v>
      </c>
      <c r="BG668" t="s">
        <v>3</v>
      </c>
      <c r="BH668">
        <v>0</v>
      </c>
      <c r="BI668">
        <v>2</v>
      </c>
      <c r="BJ668" t="s">
        <v>660</v>
      </c>
      <c r="BM668">
        <v>336</v>
      </c>
      <c r="BN668">
        <v>0</v>
      </c>
      <c r="BO668" t="s">
        <v>658</v>
      </c>
      <c r="BP668">
        <v>1</v>
      </c>
      <c r="BQ668">
        <v>40</v>
      </c>
      <c r="BR668">
        <v>0</v>
      </c>
      <c r="BS668">
        <v>29.03</v>
      </c>
      <c r="BT668">
        <v>1</v>
      </c>
      <c r="BU668">
        <v>1</v>
      </c>
      <c r="BV668">
        <v>1</v>
      </c>
      <c r="BW668">
        <v>1</v>
      </c>
      <c r="BX668">
        <v>1</v>
      </c>
      <c r="BY668" t="s">
        <v>3</v>
      </c>
      <c r="BZ668">
        <v>79</v>
      </c>
      <c r="CA668">
        <v>41</v>
      </c>
      <c r="CB668" t="s">
        <v>3</v>
      </c>
      <c r="CE668">
        <v>30</v>
      </c>
      <c r="CF668">
        <v>0</v>
      </c>
      <c r="CG668">
        <v>0</v>
      </c>
      <c r="CM668">
        <v>0</v>
      </c>
      <c r="CN668" t="s">
        <v>3</v>
      </c>
      <c r="CO668">
        <v>0</v>
      </c>
      <c r="CP668">
        <f t="shared" si="576"/>
        <v>621.38</v>
      </c>
      <c r="CQ668">
        <f t="shared" si="577"/>
        <v>7.0000000000000007E-2</v>
      </c>
      <c r="CR668">
        <f t="shared" si="598"/>
        <v>0</v>
      </c>
      <c r="CS668">
        <f t="shared" si="579"/>
        <v>0</v>
      </c>
      <c r="CT668">
        <f t="shared" si="580"/>
        <v>310.62</v>
      </c>
      <c r="CU668">
        <f t="shared" si="581"/>
        <v>0</v>
      </c>
      <c r="CV668">
        <f t="shared" si="582"/>
        <v>1</v>
      </c>
      <c r="CW668">
        <f t="shared" si="583"/>
        <v>0</v>
      </c>
      <c r="CX668">
        <f t="shared" si="584"/>
        <v>0</v>
      </c>
      <c r="CY668">
        <f>S668*(BZ668/100)</f>
        <v>490.77960000000002</v>
      </c>
      <c r="CZ668">
        <f>S668*(CA668/100)</f>
        <v>254.70839999999998</v>
      </c>
      <c r="DC668" t="s">
        <v>3</v>
      </c>
      <c r="DD668" t="s">
        <v>3</v>
      </c>
      <c r="DE668" t="s">
        <v>3</v>
      </c>
      <c r="DF668" t="s">
        <v>3</v>
      </c>
      <c r="DG668" t="s">
        <v>3</v>
      </c>
      <c r="DH668" t="s">
        <v>3</v>
      </c>
      <c r="DI668" t="s">
        <v>3</v>
      </c>
      <c r="DJ668" t="s">
        <v>3</v>
      </c>
      <c r="DK668" t="s">
        <v>3</v>
      </c>
      <c r="DL668" t="s">
        <v>3</v>
      </c>
      <c r="DM668" t="s">
        <v>3</v>
      </c>
      <c r="DN668">
        <v>114</v>
      </c>
      <c r="DO668">
        <v>67</v>
      </c>
      <c r="DP668">
        <v>1</v>
      </c>
      <c r="DQ668">
        <v>1</v>
      </c>
      <c r="DU668">
        <v>1013</v>
      </c>
      <c r="DV668" t="s">
        <v>231</v>
      </c>
      <c r="DW668" t="s">
        <v>231</v>
      </c>
      <c r="DX668">
        <v>1</v>
      </c>
      <c r="DZ668" t="s">
        <v>3</v>
      </c>
      <c r="EA668" t="s">
        <v>3</v>
      </c>
      <c r="EB668" t="s">
        <v>3</v>
      </c>
      <c r="EC668" t="s">
        <v>3</v>
      </c>
      <c r="EE668">
        <v>126051797</v>
      </c>
      <c r="EF668">
        <v>40</v>
      </c>
      <c r="EG668" t="s">
        <v>621</v>
      </c>
      <c r="EH668">
        <v>0</v>
      </c>
      <c r="EI668" t="s">
        <v>3</v>
      </c>
      <c r="EJ668">
        <v>2</v>
      </c>
      <c r="EK668">
        <v>336</v>
      </c>
      <c r="EL668" t="s">
        <v>632</v>
      </c>
      <c r="EM668" t="s">
        <v>633</v>
      </c>
      <c r="EO668" t="s">
        <v>3</v>
      </c>
      <c r="EQ668">
        <v>131072</v>
      </c>
      <c r="ER668">
        <v>10.77</v>
      </c>
      <c r="ES668">
        <v>7.0000000000000007E-2</v>
      </c>
      <c r="ET668">
        <v>0</v>
      </c>
      <c r="EU668">
        <v>0</v>
      </c>
      <c r="EV668">
        <v>10.7</v>
      </c>
      <c r="EW668">
        <v>1</v>
      </c>
      <c r="EX668">
        <v>0</v>
      </c>
      <c r="EY668">
        <v>0</v>
      </c>
      <c r="FQ668">
        <v>0</v>
      </c>
      <c r="FR668">
        <f t="shared" si="585"/>
        <v>0</v>
      </c>
      <c r="FS668">
        <v>0</v>
      </c>
      <c r="FX668">
        <v>114</v>
      </c>
      <c r="FY668">
        <v>67</v>
      </c>
      <c r="GA668" t="s">
        <v>3</v>
      </c>
      <c r="GD668">
        <v>0</v>
      </c>
      <c r="GF668">
        <v>1973992902</v>
      </c>
      <c r="GG668">
        <v>2</v>
      </c>
      <c r="GH668">
        <v>1</v>
      </c>
      <c r="GI668">
        <v>2</v>
      </c>
      <c r="GJ668">
        <v>0</v>
      </c>
      <c r="GK668">
        <f>ROUND(R668*(S12)/100,2)</f>
        <v>0</v>
      </c>
      <c r="GL668">
        <f t="shared" si="586"/>
        <v>0</v>
      </c>
      <c r="GM668">
        <f t="shared" si="587"/>
        <v>1366.87</v>
      </c>
      <c r="GN668">
        <f t="shared" si="588"/>
        <v>0</v>
      </c>
      <c r="GO668">
        <f t="shared" si="589"/>
        <v>1366.87</v>
      </c>
      <c r="GP668">
        <f t="shared" si="590"/>
        <v>0</v>
      </c>
      <c r="GR668">
        <v>0</v>
      </c>
      <c r="GS668">
        <v>3</v>
      </c>
      <c r="GT668">
        <v>0</v>
      </c>
      <c r="GU668" t="s">
        <v>3</v>
      </c>
      <c r="GV668">
        <f t="shared" si="591"/>
        <v>0</v>
      </c>
      <c r="GW668">
        <v>1</v>
      </c>
      <c r="GX668">
        <f t="shared" si="592"/>
        <v>0</v>
      </c>
      <c r="HA668">
        <v>0</v>
      </c>
      <c r="HB668">
        <v>0</v>
      </c>
      <c r="HC668">
        <f t="shared" si="593"/>
        <v>0</v>
      </c>
      <c r="HE668" t="s">
        <v>3</v>
      </c>
      <c r="HF668" t="s">
        <v>3</v>
      </c>
      <c r="HM668" t="s">
        <v>3</v>
      </c>
      <c r="HN668" t="s">
        <v>3</v>
      </c>
      <c r="HO668" t="s">
        <v>3</v>
      </c>
      <c r="HP668" t="s">
        <v>3</v>
      </c>
      <c r="HQ668" t="s">
        <v>3</v>
      </c>
      <c r="IK668">
        <v>0</v>
      </c>
    </row>
    <row r="669" spans="1:255" x14ac:dyDescent="0.2">
      <c r="A669" s="2">
        <v>17</v>
      </c>
      <c r="B669" s="2">
        <v>1</v>
      </c>
      <c r="C669" s="2">
        <f>ROW(SmtRes!A689)</f>
        <v>689</v>
      </c>
      <c r="D669" s="2">
        <f>ROW(EtalonRes!A679)</f>
        <v>679</v>
      </c>
      <c r="E669" s="2" t="s">
        <v>196</v>
      </c>
      <c r="F669" s="2" t="s">
        <v>645</v>
      </c>
      <c r="G669" s="2" t="s">
        <v>646</v>
      </c>
      <c r="H669" s="2" t="s">
        <v>231</v>
      </c>
      <c r="I669" s="2">
        <v>1</v>
      </c>
      <c r="J669" s="2">
        <v>0</v>
      </c>
      <c r="K669" s="2">
        <v>1</v>
      </c>
      <c r="L669" s="2"/>
      <c r="M669" s="2"/>
      <c r="N669" s="2"/>
      <c r="O669" s="2">
        <f t="shared" si="556"/>
        <v>1.33</v>
      </c>
      <c r="P669" s="2">
        <f t="shared" si="557"/>
        <v>0.17</v>
      </c>
      <c r="Q669" s="2">
        <f>(ROUND((ROUND((((ET669*1.25))*AV669*I669),2)*BB669),2)+ROUND((ROUND(((AE669-((EU669*1.25)))*AV669*I669),2)*BS669),2))</f>
        <v>0</v>
      </c>
      <c r="R669" s="2">
        <f t="shared" si="559"/>
        <v>0</v>
      </c>
      <c r="S669" s="2">
        <f t="shared" si="560"/>
        <v>1.1599999999999999</v>
      </c>
      <c r="T669" s="2">
        <f t="shared" si="561"/>
        <v>0</v>
      </c>
      <c r="U669" s="2">
        <f t="shared" si="562"/>
        <v>0.10349999999999999</v>
      </c>
      <c r="V669" s="2">
        <f t="shared" si="563"/>
        <v>0</v>
      </c>
      <c r="W669" s="2">
        <f t="shared" si="564"/>
        <v>0</v>
      </c>
      <c r="X669" s="2">
        <f t="shared" si="565"/>
        <v>0.99</v>
      </c>
      <c r="Y669" s="2">
        <f t="shared" si="566"/>
        <v>0.81</v>
      </c>
      <c r="Z669" s="2"/>
      <c r="AA669" s="2">
        <v>129761636</v>
      </c>
      <c r="AB669" s="2">
        <f t="shared" si="567"/>
        <v>1.3314999999999999</v>
      </c>
      <c r="AC669" s="2">
        <f t="shared" si="568"/>
        <v>0.17</v>
      </c>
      <c r="AD669" s="2">
        <f>ROUND(((((ET669*1.25))-((EU669*1.25)))+AE669),6)</f>
        <v>0</v>
      </c>
      <c r="AE669" s="2">
        <f>ROUND(((EU669*1.25)),6)</f>
        <v>0</v>
      </c>
      <c r="AF669" s="2">
        <f>ROUND(((EV669*1.15)),6)</f>
        <v>1.1615</v>
      </c>
      <c r="AG669" s="2">
        <f t="shared" si="572"/>
        <v>0</v>
      </c>
      <c r="AH669" s="2">
        <f>((EW669*1.15))</f>
        <v>0.10349999999999999</v>
      </c>
      <c r="AI669" s="2">
        <f>((EX669*1.25))</f>
        <v>0</v>
      </c>
      <c r="AJ669" s="2">
        <f t="shared" si="575"/>
        <v>0</v>
      </c>
      <c r="AK669" s="2">
        <v>1.18</v>
      </c>
      <c r="AL669" s="2">
        <v>0.17</v>
      </c>
      <c r="AM669" s="2">
        <v>0</v>
      </c>
      <c r="AN669" s="2">
        <v>0</v>
      </c>
      <c r="AO669" s="2">
        <v>1.01</v>
      </c>
      <c r="AP669" s="2">
        <v>0</v>
      </c>
      <c r="AQ669" s="2">
        <v>0.09</v>
      </c>
      <c r="AR669" s="2">
        <v>0</v>
      </c>
      <c r="AS669" s="2">
        <v>0</v>
      </c>
      <c r="AT669" s="2">
        <v>85</v>
      </c>
      <c r="AU669" s="2">
        <v>70</v>
      </c>
      <c r="AV669" s="2">
        <v>1</v>
      </c>
      <c r="AW669" s="2">
        <v>1</v>
      </c>
      <c r="AX669" s="2"/>
      <c r="AY669" s="2"/>
      <c r="AZ669" s="2">
        <v>1</v>
      </c>
      <c r="BA669" s="2">
        <v>1</v>
      </c>
      <c r="BB669" s="2">
        <v>1</v>
      </c>
      <c r="BC669" s="2">
        <v>1</v>
      </c>
      <c r="BD669" s="2" t="s">
        <v>3</v>
      </c>
      <c r="BE669" s="2" t="s">
        <v>3</v>
      </c>
      <c r="BF669" s="2" t="s">
        <v>3</v>
      </c>
      <c r="BG669" s="2" t="s">
        <v>3</v>
      </c>
      <c r="BH669" s="2">
        <v>0</v>
      </c>
      <c r="BI669" s="2">
        <v>1</v>
      </c>
      <c r="BJ669" s="2" t="s">
        <v>647</v>
      </c>
      <c r="BK669" s="2"/>
      <c r="BL669" s="2"/>
      <c r="BM669" s="2">
        <v>80</v>
      </c>
      <c r="BN669" s="2">
        <v>0</v>
      </c>
      <c r="BO669" s="2" t="s">
        <v>3</v>
      </c>
      <c r="BP669" s="2">
        <v>0</v>
      </c>
      <c r="BQ669" s="2">
        <v>30</v>
      </c>
      <c r="BR669" s="2">
        <v>0</v>
      </c>
      <c r="BS669" s="2">
        <v>1</v>
      </c>
      <c r="BT669" s="2">
        <v>1</v>
      </c>
      <c r="BU669" s="2">
        <v>1</v>
      </c>
      <c r="BV669" s="2">
        <v>1</v>
      </c>
      <c r="BW669" s="2">
        <v>1</v>
      </c>
      <c r="BX669" s="2">
        <v>1</v>
      </c>
      <c r="BY669" s="2" t="s">
        <v>3</v>
      </c>
      <c r="BZ669" s="2">
        <v>85</v>
      </c>
      <c r="CA669" s="2">
        <v>70</v>
      </c>
      <c r="CB669" s="2" t="s">
        <v>3</v>
      </c>
      <c r="CC669" s="2"/>
      <c r="CD669" s="2"/>
      <c r="CE669" s="2">
        <v>30</v>
      </c>
      <c r="CF669" s="2">
        <v>0</v>
      </c>
      <c r="CG669" s="2">
        <v>0</v>
      </c>
      <c r="CH669" s="2"/>
      <c r="CI669" s="2"/>
      <c r="CJ669" s="2"/>
      <c r="CK669" s="2"/>
      <c r="CL669" s="2"/>
      <c r="CM669" s="2">
        <v>0</v>
      </c>
      <c r="CN669" s="2" t="s">
        <v>1559</v>
      </c>
      <c r="CO669" s="2">
        <v>0</v>
      </c>
      <c r="CP669" s="2">
        <f t="shared" si="576"/>
        <v>1.3299999999999998</v>
      </c>
      <c r="CQ669" s="2">
        <f t="shared" si="577"/>
        <v>0.17</v>
      </c>
      <c r="CR669" s="2">
        <f>(ROUND((ROUND((((ET669*1.25))*AV669*1),2)*BB669),2)+ROUND((ROUND(((AE669-((EU669*1.25)))*AV669*1),2)*BS669),2))</f>
        <v>0</v>
      </c>
      <c r="CS669" s="2">
        <f t="shared" si="579"/>
        <v>0</v>
      </c>
      <c r="CT669" s="2">
        <f t="shared" si="580"/>
        <v>1.1599999999999999</v>
      </c>
      <c r="CU669" s="2">
        <f t="shared" si="581"/>
        <v>0</v>
      </c>
      <c r="CV669" s="2">
        <f t="shared" si="582"/>
        <v>0.10349999999999999</v>
      </c>
      <c r="CW669" s="2">
        <f t="shared" si="583"/>
        <v>0</v>
      </c>
      <c r="CX669" s="2">
        <f t="shared" si="584"/>
        <v>0</v>
      </c>
      <c r="CY669" s="2">
        <f>((S669*BZ669)/100)</f>
        <v>0.98599999999999999</v>
      </c>
      <c r="CZ669" s="2">
        <f>((S669*CA669)/100)</f>
        <v>0.81199999999999983</v>
      </c>
      <c r="DA669" s="2"/>
      <c r="DB669" s="2"/>
      <c r="DC669" s="2" t="s">
        <v>3</v>
      </c>
      <c r="DD669" s="2" t="s">
        <v>3</v>
      </c>
      <c r="DE669" s="2" t="s">
        <v>86</v>
      </c>
      <c r="DF669" s="2" t="s">
        <v>86</v>
      </c>
      <c r="DG669" s="2" t="s">
        <v>87</v>
      </c>
      <c r="DH669" s="2" t="s">
        <v>3</v>
      </c>
      <c r="DI669" s="2" t="s">
        <v>87</v>
      </c>
      <c r="DJ669" s="2" t="s">
        <v>86</v>
      </c>
      <c r="DK669" s="2" t="s">
        <v>3</v>
      </c>
      <c r="DL669" s="2" t="s">
        <v>3</v>
      </c>
      <c r="DM669" s="2" t="s">
        <v>3</v>
      </c>
      <c r="DN669" s="2">
        <v>0</v>
      </c>
      <c r="DO669" s="2">
        <v>0</v>
      </c>
      <c r="DP669" s="2">
        <v>1</v>
      </c>
      <c r="DQ669" s="2">
        <v>1</v>
      </c>
      <c r="DR669" s="2"/>
      <c r="DS669" s="2"/>
      <c r="DT669" s="2"/>
      <c r="DU669" s="2">
        <v>1013</v>
      </c>
      <c r="DV669" s="2" t="s">
        <v>231</v>
      </c>
      <c r="DW669" s="2" t="s">
        <v>231</v>
      </c>
      <c r="DX669" s="2">
        <v>1</v>
      </c>
      <c r="DY669" s="2"/>
      <c r="DZ669" s="2" t="s">
        <v>3</v>
      </c>
      <c r="EA669" s="2" t="s">
        <v>3</v>
      </c>
      <c r="EB669" s="2" t="s">
        <v>3</v>
      </c>
      <c r="EC669" s="2" t="s">
        <v>3</v>
      </c>
      <c r="ED669" s="2"/>
      <c r="EE669" s="2">
        <v>126051541</v>
      </c>
      <c r="EF669" s="2">
        <v>30</v>
      </c>
      <c r="EG669" s="2" t="s">
        <v>23</v>
      </c>
      <c r="EH669" s="2">
        <v>0</v>
      </c>
      <c r="EI669" s="2" t="s">
        <v>3</v>
      </c>
      <c r="EJ669" s="2">
        <v>1</v>
      </c>
      <c r="EK669" s="2">
        <v>80</v>
      </c>
      <c r="EL669" s="2" t="s">
        <v>143</v>
      </c>
      <c r="EM669" s="2" t="s">
        <v>144</v>
      </c>
      <c r="EN669" s="2"/>
      <c r="EO669" s="2" t="s">
        <v>90</v>
      </c>
      <c r="EP669" s="2"/>
      <c r="EQ669" s="2">
        <v>131072</v>
      </c>
      <c r="ER669" s="2">
        <v>1.18</v>
      </c>
      <c r="ES669" s="2">
        <v>0.17</v>
      </c>
      <c r="ET669" s="2">
        <v>0</v>
      </c>
      <c r="EU669" s="2">
        <v>0</v>
      </c>
      <c r="EV669" s="2">
        <v>1.01</v>
      </c>
      <c r="EW669" s="2">
        <v>0.09</v>
      </c>
      <c r="EX669" s="2">
        <v>0</v>
      </c>
      <c r="EY669" s="2">
        <v>0</v>
      </c>
      <c r="EZ669" s="2"/>
      <c r="FA669" s="2"/>
      <c r="FB669" s="2"/>
      <c r="FC669" s="2"/>
      <c r="FD669" s="2"/>
      <c r="FE669" s="2"/>
      <c r="FF669" s="2"/>
      <c r="FG669" s="2"/>
      <c r="FH669" s="2"/>
      <c r="FI669" s="2"/>
      <c r="FJ669" s="2"/>
      <c r="FK669" s="2"/>
      <c r="FL669" s="2"/>
      <c r="FM669" s="2"/>
      <c r="FN669" s="2"/>
      <c r="FO669" s="2"/>
      <c r="FP669" s="2"/>
      <c r="FQ669" s="2">
        <v>0</v>
      </c>
      <c r="FR669" s="2">
        <f t="shared" si="585"/>
        <v>0</v>
      </c>
      <c r="FS669" s="2">
        <v>0</v>
      </c>
      <c r="FT669" s="2"/>
      <c r="FU669" s="2"/>
      <c r="FV669" s="2"/>
      <c r="FW669" s="2"/>
      <c r="FX669" s="2">
        <v>85</v>
      </c>
      <c r="FY669" s="2">
        <v>70</v>
      </c>
      <c r="FZ669" s="2"/>
      <c r="GA669" s="2" t="s">
        <v>3</v>
      </c>
      <c r="GB669" s="2"/>
      <c r="GC669" s="2"/>
      <c r="GD669" s="2">
        <v>0</v>
      </c>
      <c r="GE669" s="2"/>
      <c r="GF669" s="2">
        <v>-1734188975</v>
      </c>
      <c r="GG669" s="2">
        <v>2</v>
      </c>
      <c r="GH669" s="2">
        <v>1</v>
      </c>
      <c r="GI669" s="2">
        <v>-2</v>
      </c>
      <c r="GJ669" s="2">
        <v>0</v>
      </c>
      <c r="GK669" s="2">
        <f>ROUND(R669*(R12)/100,2)</f>
        <v>0</v>
      </c>
      <c r="GL669" s="2">
        <f t="shared" si="586"/>
        <v>0</v>
      </c>
      <c r="GM669" s="2">
        <f t="shared" si="587"/>
        <v>3.13</v>
      </c>
      <c r="GN669" s="2">
        <f t="shared" si="588"/>
        <v>3.13</v>
      </c>
      <c r="GO669" s="2">
        <f t="shared" si="589"/>
        <v>0</v>
      </c>
      <c r="GP669" s="2">
        <f t="shared" si="590"/>
        <v>0</v>
      </c>
      <c r="GQ669" s="2"/>
      <c r="GR669" s="2">
        <v>0</v>
      </c>
      <c r="GS669" s="2">
        <v>0</v>
      </c>
      <c r="GT669" s="2">
        <v>0</v>
      </c>
      <c r="GU669" s="2" t="s">
        <v>3</v>
      </c>
      <c r="GV669" s="2">
        <f t="shared" si="591"/>
        <v>0</v>
      </c>
      <c r="GW669" s="2">
        <v>1</v>
      </c>
      <c r="GX669" s="2">
        <f t="shared" si="592"/>
        <v>0</v>
      </c>
      <c r="GY669" s="2"/>
      <c r="GZ669" s="2"/>
      <c r="HA669" s="2">
        <v>0</v>
      </c>
      <c r="HB669" s="2">
        <v>0</v>
      </c>
      <c r="HC669" s="2">
        <f t="shared" si="593"/>
        <v>0</v>
      </c>
      <c r="HD669" s="2"/>
      <c r="HE669" s="2" t="s">
        <v>3</v>
      </c>
      <c r="HF669" s="2" t="s">
        <v>3</v>
      </c>
      <c r="HG669" s="2"/>
      <c r="HH669" s="2"/>
      <c r="HI669" s="2"/>
      <c r="HJ669" s="2"/>
      <c r="HK669" s="2"/>
      <c r="HL669" s="2"/>
      <c r="HM669" s="2" t="s">
        <v>3</v>
      </c>
      <c r="HN669" s="2" t="s">
        <v>3</v>
      </c>
      <c r="HO669" s="2" t="s">
        <v>3</v>
      </c>
      <c r="HP669" s="2" t="s">
        <v>3</v>
      </c>
      <c r="HQ669" s="2" t="s">
        <v>3</v>
      </c>
      <c r="HR669" s="2"/>
      <c r="HS669" s="2"/>
      <c r="HT669" s="2"/>
      <c r="HU669" s="2"/>
      <c r="HV669" s="2"/>
      <c r="HW669" s="2"/>
      <c r="HX669" s="2"/>
      <c r="HY669" s="2"/>
      <c r="HZ669" s="2"/>
      <c r="IA669" s="2"/>
      <c r="IB669" s="2"/>
      <c r="IC669" s="2"/>
      <c r="ID669" s="2"/>
      <c r="IE669" s="2"/>
      <c r="IF669" s="2"/>
      <c r="IG669" s="2"/>
      <c r="IH669" s="2"/>
      <c r="II669" s="2"/>
      <c r="IJ669" s="2"/>
      <c r="IK669" s="2">
        <v>0</v>
      </c>
      <c r="IL669" s="2"/>
      <c r="IM669" s="2"/>
      <c r="IN669" s="2"/>
      <c r="IO669" s="2"/>
      <c r="IP669" s="2"/>
      <c r="IQ669" s="2"/>
      <c r="IR669" s="2"/>
      <c r="IS669" s="2"/>
      <c r="IT669" s="2"/>
      <c r="IU669" s="2"/>
    </row>
    <row r="670" spans="1:255" x14ac:dyDescent="0.2">
      <c r="A670">
        <v>17</v>
      </c>
      <c r="B670">
        <v>1</v>
      </c>
      <c r="C670">
        <f>ROW(SmtRes!A692)</f>
        <v>692</v>
      </c>
      <c r="D670">
        <f>ROW(EtalonRes!A682)</f>
        <v>682</v>
      </c>
      <c r="E670" t="s">
        <v>196</v>
      </c>
      <c r="F670" t="s">
        <v>645</v>
      </c>
      <c r="G670" t="s">
        <v>646</v>
      </c>
      <c r="H670" t="s">
        <v>231</v>
      </c>
      <c r="I670">
        <v>1</v>
      </c>
      <c r="J670">
        <v>0</v>
      </c>
      <c r="K670">
        <v>1</v>
      </c>
      <c r="O670">
        <f t="shared" si="556"/>
        <v>35.67</v>
      </c>
      <c r="P670">
        <f t="shared" si="557"/>
        <v>2</v>
      </c>
      <c r="Q670">
        <f>(ROUND((ROUND((((ET670*1.25))*AV670*I670),2)*BB670),2)+ROUND((ROUND(((AE670-((EU670*1.25)))*AV670*I670),2)*BS670),2))</f>
        <v>0</v>
      </c>
      <c r="R670">
        <f t="shared" si="559"/>
        <v>0</v>
      </c>
      <c r="S670">
        <f t="shared" si="560"/>
        <v>33.67</v>
      </c>
      <c r="T670">
        <f t="shared" si="561"/>
        <v>0</v>
      </c>
      <c r="U670">
        <f t="shared" si="562"/>
        <v>0.10349999999999999</v>
      </c>
      <c r="V670">
        <f t="shared" si="563"/>
        <v>0</v>
      </c>
      <c r="W670">
        <f t="shared" si="564"/>
        <v>0</v>
      </c>
      <c r="X670">
        <f t="shared" si="565"/>
        <v>23.57</v>
      </c>
      <c r="Y670">
        <f t="shared" si="566"/>
        <v>13.8</v>
      </c>
      <c r="AA670">
        <v>129761633</v>
      </c>
      <c r="AB670">
        <f t="shared" si="567"/>
        <v>1.3314999999999999</v>
      </c>
      <c r="AC670">
        <f t="shared" si="568"/>
        <v>0.17</v>
      </c>
      <c r="AD670">
        <f>ROUND(((((ET670*1.25))-((EU670*1.25)))+AE670),6)</f>
        <v>0</v>
      </c>
      <c r="AE670">
        <f>ROUND(((EU670*1.25)),6)</f>
        <v>0</v>
      </c>
      <c r="AF670">
        <f>ROUND(((EV670*1.15)),6)</f>
        <v>1.1615</v>
      </c>
      <c r="AG670">
        <f t="shared" si="572"/>
        <v>0</v>
      </c>
      <c r="AH670">
        <f>((EW670*1.15))</f>
        <v>0.10349999999999999</v>
      </c>
      <c r="AI670">
        <f>((EX670*1.25))</f>
        <v>0</v>
      </c>
      <c r="AJ670">
        <f t="shared" si="575"/>
        <v>0</v>
      </c>
      <c r="AK670">
        <v>1.18</v>
      </c>
      <c r="AL670">
        <v>0.17</v>
      </c>
      <c r="AM670">
        <v>0</v>
      </c>
      <c r="AN670">
        <v>0</v>
      </c>
      <c r="AO670">
        <v>1.01</v>
      </c>
      <c r="AP670">
        <v>0</v>
      </c>
      <c r="AQ670">
        <v>0.09</v>
      </c>
      <c r="AR670">
        <v>0</v>
      </c>
      <c r="AS670">
        <v>0</v>
      </c>
      <c r="AT670">
        <v>70</v>
      </c>
      <c r="AU670">
        <v>41</v>
      </c>
      <c r="AV670">
        <v>1</v>
      </c>
      <c r="AW670">
        <v>1</v>
      </c>
      <c r="AZ670">
        <v>1</v>
      </c>
      <c r="BA670">
        <v>29.03</v>
      </c>
      <c r="BB670">
        <v>1</v>
      </c>
      <c r="BC670">
        <v>11.76</v>
      </c>
      <c r="BD670" t="s">
        <v>3</v>
      </c>
      <c r="BE670" t="s">
        <v>3</v>
      </c>
      <c r="BF670" t="s">
        <v>3</v>
      </c>
      <c r="BG670" t="s">
        <v>3</v>
      </c>
      <c r="BH670">
        <v>0</v>
      </c>
      <c r="BI670">
        <v>1</v>
      </c>
      <c r="BJ670" t="s">
        <v>647</v>
      </c>
      <c r="BM670">
        <v>80</v>
      </c>
      <c r="BN670">
        <v>0</v>
      </c>
      <c r="BO670" t="s">
        <v>645</v>
      </c>
      <c r="BP670">
        <v>1</v>
      </c>
      <c r="BQ670">
        <v>30</v>
      </c>
      <c r="BR670">
        <v>0</v>
      </c>
      <c r="BS670">
        <v>29.03</v>
      </c>
      <c r="BT670">
        <v>1</v>
      </c>
      <c r="BU670">
        <v>1</v>
      </c>
      <c r="BV670">
        <v>1</v>
      </c>
      <c r="BW670">
        <v>1</v>
      </c>
      <c r="BX670">
        <v>1</v>
      </c>
      <c r="BY670" t="s">
        <v>3</v>
      </c>
      <c r="BZ670">
        <v>70</v>
      </c>
      <c r="CA670">
        <v>41</v>
      </c>
      <c r="CB670" t="s">
        <v>3</v>
      </c>
      <c r="CE670">
        <v>30</v>
      </c>
      <c r="CF670">
        <v>0</v>
      </c>
      <c r="CG670">
        <v>0</v>
      </c>
      <c r="CM670">
        <v>0</v>
      </c>
      <c r="CN670" t="s">
        <v>1559</v>
      </c>
      <c r="CO670">
        <v>0</v>
      </c>
      <c r="CP670">
        <f t="shared" si="576"/>
        <v>35.67</v>
      </c>
      <c r="CQ670">
        <f t="shared" si="577"/>
        <v>2</v>
      </c>
      <c r="CR670">
        <f>(ROUND((ROUND((((ET670*1.25))*AV670*1),2)*BB670),2)+ROUND((ROUND(((AE670-((EU670*1.25)))*AV670*1),2)*BS670),2))</f>
        <v>0</v>
      </c>
      <c r="CS670">
        <f t="shared" si="579"/>
        <v>0</v>
      </c>
      <c r="CT670">
        <f t="shared" si="580"/>
        <v>33.67</v>
      </c>
      <c r="CU670">
        <f t="shared" si="581"/>
        <v>0</v>
      </c>
      <c r="CV670">
        <f t="shared" si="582"/>
        <v>0.10349999999999999</v>
      </c>
      <c r="CW670">
        <f t="shared" si="583"/>
        <v>0</v>
      </c>
      <c r="CX670">
        <f t="shared" si="584"/>
        <v>0</v>
      </c>
      <c r="CY670">
        <f>S670*(BZ670/100)</f>
        <v>23.568999999999999</v>
      </c>
      <c r="CZ670">
        <f>S670*(CA670/100)</f>
        <v>13.8047</v>
      </c>
      <c r="DC670" t="s">
        <v>3</v>
      </c>
      <c r="DD670" t="s">
        <v>3</v>
      </c>
      <c r="DE670" t="s">
        <v>86</v>
      </c>
      <c r="DF670" t="s">
        <v>86</v>
      </c>
      <c r="DG670" t="s">
        <v>87</v>
      </c>
      <c r="DH670" t="s">
        <v>3</v>
      </c>
      <c r="DI670" t="s">
        <v>87</v>
      </c>
      <c r="DJ670" t="s">
        <v>86</v>
      </c>
      <c r="DK670" t="s">
        <v>3</v>
      </c>
      <c r="DL670" t="s">
        <v>3</v>
      </c>
      <c r="DM670" t="s">
        <v>3</v>
      </c>
      <c r="DN670">
        <v>85</v>
      </c>
      <c r="DO670">
        <v>70</v>
      </c>
      <c r="DP670">
        <v>1</v>
      </c>
      <c r="DQ670">
        <v>1</v>
      </c>
      <c r="DU670">
        <v>1013</v>
      </c>
      <c r="DV670" t="s">
        <v>231</v>
      </c>
      <c r="DW670" t="s">
        <v>231</v>
      </c>
      <c r="DX670">
        <v>1</v>
      </c>
      <c r="DZ670" t="s">
        <v>3</v>
      </c>
      <c r="EA670" t="s">
        <v>3</v>
      </c>
      <c r="EB670" t="s">
        <v>3</v>
      </c>
      <c r="EC670" t="s">
        <v>3</v>
      </c>
      <c r="EE670">
        <v>126051541</v>
      </c>
      <c r="EF670">
        <v>30</v>
      </c>
      <c r="EG670" t="s">
        <v>23</v>
      </c>
      <c r="EH670">
        <v>0</v>
      </c>
      <c r="EI670" t="s">
        <v>3</v>
      </c>
      <c r="EJ670">
        <v>1</v>
      </c>
      <c r="EK670">
        <v>80</v>
      </c>
      <c r="EL670" t="s">
        <v>143</v>
      </c>
      <c r="EM670" t="s">
        <v>144</v>
      </c>
      <c r="EO670" t="s">
        <v>90</v>
      </c>
      <c r="EQ670">
        <v>131072</v>
      </c>
      <c r="ER670">
        <v>1.18</v>
      </c>
      <c r="ES670">
        <v>0.17</v>
      </c>
      <c r="ET670">
        <v>0</v>
      </c>
      <c r="EU670">
        <v>0</v>
      </c>
      <c r="EV670">
        <v>1.01</v>
      </c>
      <c r="EW670">
        <v>0.09</v>
      </c>
      <c r="EX670">
        <v>0</v>
      </c>
      <c r="EY670">
        <v>0</v>
      </c>
      <c r="FQ670">
        <v>0</v>
      </c>
      <c r="FR670">
        <f t="shared" si="585"/>
        <v>0</v>
      </c>
      <c r="FS670">
        <v>0</v>
      </c>
      <c r="FX670">
        <v>85</v>
      </c>
      <c r="FY670">
        <v>70</v>
      </c>
      <c r="GA670" t="s">
        <v>3</v>
      </c>
      <c r="GD670">
        <v>0</v>
      </c>
      <c r="GF670">
        <v>-1734188975</v>
      </c>
      <c r="GG670">
        <v>2</v>
      </c>
      <c r="GH670">
        <v>1</v>
      </c>
      <c r="GI670">
        <v>2</v>
      </c>
      <c r="GJ670">
        <v>0</v>
      </c>
      <c r="GK670">
        <f>ROUND(R670*(S12)/100,2)</f>
        <v>0</v>
      </c>
      <c r="GL670">
        <f t="shared" si="586"/>
        <v>0</v>
      </c>
      <c r="GM670">
        <f t="shared" si="587"/>
        <v>73.040000000000006</v>
      </c>
      <c r="GN670">
        <f t="shared" si="588"/>
        <v>73.040000000000006</v>
      </c>
      <c r="GO670">
        <f t="shared" si="589"/>
        <v>0</v>
      </c>
      <c r="GP670">
        <f t="shared" si="590"/>
        <v>0</v>
      </c>
      <c r="GR670">
        <v>0</v>
      </c>
      <c r="GS670">
        <v>3</v>
      </c>
      <c r="GT670">
        <v>0</v>
      </c>
      <c r="GU670" t="s">
        <v>3</v>
      </c>
      <c r="GV670">
        <f t="shared" si="591"/>
        <v>0</v>
      </c>
      <c r="GW670">
        <v>1</v>
      </c>
      <c r="GX670">
        <f t="shared" si="592"/>
        <v>0</v>
      </c>
      <c r="HA670">
        <v>0</v>
      </c>
      <c r="HB670">
        <v>0</v>
      </c>
      <c r="HC670">
        <f t="shared" si="593"/>
        <v>0</v>
      </c>
      <c r="HE670" t="s">
        <v>3</v>
      </c>
      <c r="HF670" t="s">
        <v>3</v>
      </c>
      <c r="HM670" t="s">
        <v>3</v>
      </c>
      <c r="HN670" t="s">
        <v>3</v>
      </c>
      <c r="HO670" t="s">
        <v>3</v>
      </c>
      <c r="HP670" t="s">
        <v>3</v>
      </c>
      <c r="HQ670" t="s">
        <v>3</v>
      </c>
      <c r="IK670">
        <v>0</v>
      </c>
    </row>
    <row r="671" spans="1:255" x14ac:dyDescent="0.2">
      <c r="A671" s="2">
        <v>18</v>
      </c>
      <c r="B671" s="2">
        <v>1</v>
      </c>
      <c r="C671" s="2">
        <v>689</v>
      </c>
      <c r="D671" s="2"/>
      <c r="E671" s="2" t="s">
        <v>201</v>
      </c>
      <c r="F671" s="2" t="s">
        <v>248</v>
      </c>
      <c r="G671" s="2" t="s">
        <v>661</v>
      </c>
      <c r="H671" s="2" t="s">
        <v>250</v>
      </c>
      <c r="I671" s="2">
        <f>I669*J671</f>
        <v>1</v>
      </c>
      <c r="J671" s="2">
        <v>1</v>
      </c>
      <c r="K671" s="2">
        <v>1</v>
      </c>
      <c r="L671" s="2"/>
      <c r="M671" s="2"/>
      <c r="N671" s="2"/>
      <c r="O671" s="2">
        <f t="shared" si="556"/>
        <v>60.25</v>
      </c>
      <c r="P671" s="2">
        <f t="shared" si="557"/>
        <v>60.25</v>
      </c>
      <c r="Q671" s="2">
        <f t="shared" ref="Q671:Q700" si="599">(ROUND((ROUND(((ET671)*AV671*I671),2)*BB671),2)+ROUND((ROUND(((AE671-(EU671))*AV671*I671),2)*BS671),2))</f>
        <v>0</v>
      </c>
      <c r="R671" s="2">
        <f t="shared" si="559"/>
        <v>0</v>
      </c>
      <c r="S671" s="2">
        <f t="shared" si="560"/>
        <v>0</v>
      </c>
      <c r="T671" s="2">
        <f t="shared" si="561"/>
        <v>0</v>
      </c>
      <c r="U671" s="2">
        <f t="shared" si="562"/>
        <v>0</v>
      </c>
      <c r="V671" s="2">
        <f t="shared" si="563"/>
        <v>0</v>
      </c>
      <c r="W671" s="2">
        <f t="shared" si="564"/>
        <v>0</v>
      </c>
      <c r="X671" s="2">
        <f t="shared" si="565"/>
        <v>0</v>
      </c>
      <c r="Y671" s="2">
        <f t="shared" si="566"/>
        <v>0</v>
      </c>
      <c r="Z671" s="2"/>
      <c r="AA671" s="2">
        <v>129761636</v>
      </c>
      <c r="AB671" s="2">
        <f t="shared" si="567"/>
        <v>60.25</v>
      </c>
      <c r="AC671" s="2">
        <f t="shared" si="568"/>
        <v>60.25</v>
      </c>
      <c r="AD671" s="2">
        <f t="shared" ref="AD671:AD700" si="600">ROUND((((ET671)-(EU671))+AE671),6)</f>
        <v>0</v>
      </c>
      <c r="AE671" s="2">
        <f t="shared" ref="AE671:AE700" si="601">ROUND((EU671),6)</f>
        <v>0</v>
      </c>
      <c r="AF671" s="2">
        <f t="shared" ref="AF671:AF700" si="602">ROUND((EV671),6)</f>
        <v>0</v>
      </c>
      <c r="AG671" s="2">
        <f t="shared" si="572"/>
        <v>0</v>
      </c>
      <c r="AH671" s="2">
        <f t="shared" ref="AH671:AH700" si="603">(EW671)</f>
        <v>0</v>
      </c>
      <c r="AI671" s="2">
        <f t="shared" ref="AI671:AI700" si="604">(EX671)</f>
        <v>0</v>
      </c>
      <c r="AJ671" s="2">
        <f t="shared" si="575"/>
        <v>0</v>
      </c>
      <c r="AK671" s="2">
        <v>60.25</v>
      </c>
      <c r="AL671" s="2">
        <v>60.25</v>
      </c>
      <c r="AM671" s="2">
        <v>0</v>
      </c>
      <c r="AN671" s="2">
        <v>0</v>
      </c>
      <c r="AO671" s="2">
        <v>0</v>
      </c>
      <c r="AP671" s="2">
        <v>0</v>
      </c>
      <c r="AQ671" s="2">
        <v>0</v>
      </c>
      <c r="AR671" s="2">
        <v>0</v>
      </c>
      <c r="AS671" s="2">
        <v>0</v>
      </c>
      <c r="AT671" s="2">
        <v>85</v>
      </c>
      <c r="AU671" s="2">
        <v>70</v>
      </c>
      <c r="AV671" s="2">
        <v>1</v>
      </c>
      <c r="AW671" s="2">
        <v>1</v>
      </c>
      <c r="AX671" s="2"/>
      <c r="AY671" s="2"/>
      <c r="AZ671" s="2">
        <v>1</v>
      </c>
      <c r="BA671" s="2">
        <v>1</v>
      </c>
      <c r="BB671" s="2">
        <v>1</v>
      </c>
      <c r="BC671" s="2">
        <v>1</v>
      </c>
      <c r="BD671" s="2" t="s">
        <v>3</v>
      </c>
      <c r="BE671" s="2" t="s">
        <v>3</v>
      </c>
      <c r="BF671" s="2" t="s">
        <v>3</v>
      </c>
      <c r="BG671" s="2" t="s">
        <v>3</v>
      </c>
      <c r="BH671" s="2">
        <v>3</v>
      </c>
      <c r="BI671" s="2">
        <v>1</v>
      </c>
      <c r="BJ671" s="2" t="s">
        <v>3</v>
      </c>
      <c r="BK671" s="2"/>
      <c r="BL671" s="2"/>
      <c r="BM671" s="2">
        <v>80</v>
      </c>
      <c r="BN671" s="2">
        <v>0</v>
      </c>
      <c r="BO671" s="2" t="s">
        <v>3</v>
      </c>
      <c r="BP671" s="2">
        <v>0</v>
      </c>
      <c r="BQ671" s="2">
        <v>30</v>
      </c>
      <c r="BR671" s="2">
        <v>0</v>
      </c>
      <c r="BS671" s="2">
        <v>1</v>
      </c>
      <c r="BT671" s="2">
        <v>1</v>
      </c>
      <c r="BU671" s="2">
        <v>1</v>
      </c>
      <c r="BV671" s="2">
        <v>1</v>
      </c>
      <c r="BW671" s="2">
        <v>1</v>
      </c>
      <c r="BX671" s="2">
        <v>1</v>
      </c>
      <c r="BY671" s="2" t="s">
        <v>3</v>
      </c>
      <c r="BZ671" s="2">
        <v>85</v>
      </c>
      <c r="CA671" s="2">
        <v>70</v>
      </c>
      <c r="CB671" s="2" t="s">
        <v>3</v>
      </c>
      <c r="CC671" s="2"/>
      <c r="CD671" s="2"/>
      <c r="CE671" s="2">
        <v>30</v>
      </c>
      <c r="CF671" s="2">
        <v>0</v>
      </c>
      <c r="CG671" s="2">
        <v>0</v>
      </c>
      <c r="CH671" s="2"/>
      <c r="CI671" s="2"/>
      <c r="CJ671" s="2"/>
      <c r="CK671" s="2"/>
      <c r="CL671" s="2"/>
      <c r="CM671" s="2">
        <v>0</v>
      </c>
      <c r="CN671" s="2" t="s">
        <v>3</v>
      </c>
      <c r="CO671" s="2">
        <v>0</v>
      </c>
      <c r="CP671" s="2">
        <f t="shared" si="576"/>
        <v>60.25</v>
      </c>
      <c r="CQ671" s="2">
        <f t="shared" si="577"/>
        <v>60.25</v>
      </c>
      <c r="CR671" s="2">
        <f t="shared" ref="CR671:CR700" si="605">(ROUND((ROUND(((ET671)*AV671*1),2)*BB671),2)+ROUND((ROUND(((AE671-(EU671))*AV671*1),2)*BS671),2))</f>
        <v>0</v>
      </c>
      <c r="CS671" s="2">
        <f t="shared" si="579"/>
        <v>0</v>
      </c>
      <c r="CT671" s="2">
        <f t="shared" si="580"/>
        <v>0</v>
      </c>
      <c r="CU671" s="2">
        <f t="shared" si="581"/>
        <v>0</v>
      </c>
      <c r="CV671" s="2">
        <f t="shared" si="582"/>
        <v>0</v>
      </c>
      <c r="CW671" s="2">
        <f t="shared" si="583"/>
        <v>0</v>
      </c>
      <c r="CX671" s="2">
        <f t="shared" si="584"/>
        <v>0</v>
      </c>
      <c r="CY671" s="2">
        <f>((S671*BZ671)/100)</f>
        <v>0</v>
      </c>
      <c r="CZ671" s="2">
        <f>((S671*CA671)/100)</f>
        <v>0</v>
      </c>
      <c r="DA671" s="2"/>
      <c r="DB671" s="2"/>
      <c r="DC671" s="2" t="s">
        <v>3</v>
      </c>
      <c r="DD671" s="2" t="s">
        <v>3</v>
      </c>
      <c r="DE671" s="2" t="s">
        <v>3</v>
      </c>
      <c r="DF671" s="2" t="s">
        <v>3</v>
      </c>
      <c r="DG671" s="2" t="s">
        <v>3</v>
      </c>
      <c r="DH671" s="2" t="s">
        <v>3</v>
      </c>
      <c r="DI671" s="2" t="s">
        <v>3</v>
      </c>
      <c r="DJ671" s="2" t="s">
        <v>3</v>
      </c>
      <c r="DK671" s="2" t="s">
        <v>3</v>
      </c>
      <c r="DL671" s="2" t="s">
        <v>3</v>
      </c>
      <c r="DM671" s="2" t="s">
        <v>3</v>
      </c>
      <c r="DN671" s="2">
        <v>0</v>
      </c>
      <c r="DO671" s="2">
        <v>0</v>
      </c>
      <c r="DP671" s="2">
        <v>1</v>
      </c>
      <c r="DQ671" s="2">
        <v>1</v>
      </c>
      <c r="DR671" s="2"/>
      <c r="DS671" s="2"/>
      <c r="DT671" s="2"/>
      <c r="DU671" s="2">
        <v>1010</v>
      </c>
      <c r="DV671" s="2" t="s">
        <v>250</v>
      </c>
      <c r="DW671" s="2" t="s">
        <v>250</v>
      </c>
      <c r="DX671" s="2">
        <v>1</v>
      </c>
      <c r="DY671" s="2"/>
      <c r="DZ671" s="2" t="s">
        <v>3</v>
      </c>
      <c r="EA671" s="2" t="s">
        <v>3</v>
      </c>
      <c r="EB671" s="2" t="s">
        <v>3</v>
      </c>
      <c r="EC671" s="2" t="s">
        <v>3</v>
      </c>
      <c r="ED671" s="2"/>
      <c r="EE671" s="2">
        <v>126051541</v>
      </c>
      <c r="EF671" s="2">
        <v>30</v>
      </c>
      <c r="EG671" s="2" t="s">
        <v>23</v>
      </c>
      <c r="EH671" s="2">
        <v>0</v>
      </c>
      <c r="EI671" s="2" t="s">
        <v>3</v>
      </c>
      <c r="EJ671" s="2">
        <v>1</v>
      </c>
      <c r="EK671" s="2">
        <v>80</v>
      </c>
      <c r="EL671" s="2" t="s">
        <v>143</v>
      </c>
      <c r="EM671" s="2" t="s">
        <v>144</v>
      </c>
      <c r="EN671" s="2"/>
      <c r="EO671" s="2" t="s">
        <v>3</v>
      </c>
      <c r="EP671" s="2"/>
      <c r="EQ671" s="2">
        <v>0</v>
      </c>
      <c r="ER671" s="2">
        <v>60.25</v>
      </c>
      <c r="ES671" s="2">
        <v>60.25</v>
      </c>
      <c r="ET671" s="2">
        <v>0</v>
      </c>
      <c r="EU671" s="2">
        <v>0</v>
      </c>
      <c r="EV671" s="2">
        <v>0</v>
      </c>
      <c r="EW671" s="2">
        <v>0</v>
      </c>
      <c r="EX671" s="2">
        <v>0</v>
      </c>
      <c r="EY671" s="2"/>
      <c r="EZ671" s="2"/>
      <c r="FA671" s="2"/>
      <c r="FB671" s="2"/>
      <c r="FC671" s="2"/>
      <c r="FD671" s="2"/>
      <c r="FE671" s="2"/>
      <c r="FF671" s="2"/>
      <c r="FG671" s="2"/>
      <c r="FH671" s="2"/>
      <c r="FI671" s="2"/>
      <c r="FJ671" s="2"/>
      <c r="FK671" s="2"/>
      <c r="FL671" s="2"/>
      <c r="FM671" s="2"/>
      <c r="FN671" s="2"/>
      <c r="FO671" s="2"/>
      <c r="FP671" s="2"/>
      <c r="FQ671" s="2">
        <v>0</v>
      </c>
      <c r="FR671" s="2">
        <f t="shared" si="585"/>
        <v>0</v>
      </c>
      <c r="FS671" s="2">
        <v>0</v>
      </c>
      <c r="FT671" s="2"/>
      <c r="FU671" s="2"/>
      <c r="FV671" s="2"/>
      <c r="FW671" s="2"/>
      <c r="FX671" s="2">
        <v>85</v>
      </c>
      <c r="FY671" s="2">
        <v>70</v>
      </c>
      <c r="FZ671" s="2"/>
      <c r="GA671" s="2" t="s">
        <v>3</v>
      </c>
      <c r="GB671" s="2"/>
      <c r="GC671" s="2"/>
      <c r="GD671" s="2">
        <v>0</v>
      </c>
      <c r="GE671" s="2"/>
      <c r="GF671" s="2">
        <v>745168912</v>
      </c>
      <c r="GG671" s="2">
        <v>2</v>
      </c>
      <c r="GH671" s="2">
        <v>0</v>
      </c>
      <c r="GI671" s="2">
        <v>-2</v>
      </c>
      <c r="GJ671" s="2">
        <v>0</v>
      </c>
      <c r="GK671" s="2">
        <f>ROUND(R671*(R12)/100,2)</f>
        <v>0</v>
      </c>
      <c r="GL671" s="2">
        <f t="shared" si="586"/>
        <v>0</v>
      </c>
      <c r="GM671" s="2">
        <f t="shared" si="587"/>
        <v>60.25</v>
      </c>
      <c r="GN671" s="2">
        <f t="shared" si="588"/>
        <v>60.25</v>
      </c>
      <c r="GO671" s="2">
        <f t="shared" si="589"/>
        <v>0</v>
      </c>
      <c r="GP671" s="2">
        <f t="shared" si="590"/>
        <v>0</v>
      </c>
      <c r="GQ671" s="2"/>
      <c r="GR671" s="2">
        <v>0</v>
      </c>
      <c r="GS671" s="2">
        <v>0</v>
      </c>
      <c r="GT671" s="2">
        <v>0</v>
      </c>
      <c r="GU671" s="2" t="s">
        <v>3</v>
      </c>
      <c r="GV671" s="2">
        <f t="shared" si="591"/>
        <v>0</v>
      </c>
      <c r="GW671" s="2">
        <v>1</v>
      </c>
      <c r="GX671" s="2">
        <f t="shared" si="592"/>
        <v>0</v>
      </c>
      <c r="GY671" s="2"/>
      <c r="GZ671" s="2"/>
      <c r="HA671" s="2">
        <v>0</v>
      </c>
      <c r="HB671" s="2">
        <v>0</v>
      </c>
      <c r="HC671" s="2">
        <f t="shared" si="593"/>
        <v>0</v>
      </c>
      <c r="HD671" s="2"/>
      <c r="HE671" s="2" t="s">
        <v>3</v>
      </c>
      <c r="HF671" s="2" t="s">
        <v>3</v>
      </c>
      <c r="HG671" s="2"/>
      <c r="HH671" s="2"/>
      <c r="HI671" s="2"/>
      <c r="HJ671" s="2"/>
      <c r="HK671" s="2"/>
      <c r="HL671" s="2"/>
      <c r="HM671" s="2" t="s">
        <v>3</v>
      </c>
      <c r="HN671" s="2" t="s">
        <v>3</v>
      </c>
      <c r="HO671" s="2" t="s">
        <v>3</v>
      </c>
      <c r="HP671" s="2" t="s">
        <v>3</v>
      </c>
      <c r="HQ671" s="2" t="s">
        <v>3</v>
      </c>
      <c r="HR671" s="2"/>
      <c r="HS671" s="2"/>
      <c r="HT671" s="2"/>
      <c r="HU671" s="2"/>
      <c r="HV671" s="2"/>
      <c r="HW671" s="2"/>
      <c r="HX671" s="2"/>
      <c r="HY671" s="2"/>
      <c r="HZ671" s="2"/>
      <c r="IA671" s="2"/>
      <c r="IB671" s="2"/>
      <c r="IC671" s="2"/>
      <c r="ID671" s="2"/>
      <c r="IE671" s="2"/>
      <c r="IF671" s="2"/>
      <c r="IG671" s="2"/>
      <c r="IH671" s="2"/>
      <c r="II671" s="2"/>
      <c r="IJ671" s="2"/>
      <c r="IK671" s="2">
        <v>0</v>
      </c>
      <c r="IL671" s="2"/>
      <c r="IM671" s="2"/>
      <c r="IN671" s="2"/>
      <c r="IO671" s="2"/>
      <c r="IP671" s="2"/>
      <c r="IQ671" s="2"/>
      <c r="IR671" s="2"/>
      <c r="IS671" s="2"/>
      <c r="IT671" s="2"/>
      <c r="IU671" s="2"/>
    </row>
    <row r="672" spans="1:255" x14ac:dyDescent="0.2">
      <c r="A672">
        <v>18</v>
      </c>
      <c r="B672">
        <v>1</v>
      </c>
      <c r="C672">
        <v>692</v>
      </c>
      <c r="E672" t="s">
        <v>201</v>
      </c>
      <c r="F672" t="s">
        <v>248</v>
      </c>
      <c r="G672" t="s">
        <v>661</v>
      </c>
      <c r="H672" t="s">
        <v>250</v>
      </c>
      <c r="I672">
        <f>I670*J672</f>
        <v>1</v>
      </c>
      <c r="J672">
        <v>1</v>
      </c>
      <c r="K672">
        <v>1</v>
      </c>
      <c r="O672">
        <f t="shared" si="556"/>
        <v>586.47</v>
      </c>
      <c r="P672">
        <f t="shared" si="557"/>
        <v>586.47</v>
      </c>
      <c r="Q672">
        <f t="shared" si="599"/>
        <v>0</v>
      </c>
      <c r="R672">
        <f t="shared" si="559"/>
        <v>0</v>
      </c>
      <c r="S672">
        <f t="shared" si="560"/>
        <v>0</v>
      </c>
      <c r="T672">
        <f t="shared" si="561"/>
        <v>0</v>
      </c>
      <c r="U672">
        <f t="shared" si="562"/>
        <v>0</v>
      </c>
      <c r="V672">
        <f t="shared" si="563"/>
        <v>0</v>
      </c>
      <c r="W672">
        <f t="shared" si="564"/>
        <v>0</v>
      </c>
      <c r="X672">
        <f t="shared" si="565"/>
        <v>0</v>
      </c>
      <c r="Y672">
        <f t="shared" si="566"/>
        <v>0</v>
      </c>
      <c r="AA672">
        <v>129761633</v>
      </c>
      <c r="AB672">
        <f t="shared" si="567"/>
        <v>67.8</v>
      </c>
      <c r="AC672">
        <f t="shared" si="568"/>
        <v>67.8</v>
      </c>
      <c r="AD672">
        <f t="shared" si="600"/>
        <v>0</v>
      </c>
      <c r="AE672">
        <f t="shared" si="601"/>
        <v>0</v>
      </c>
      <c r="AF672">
        <f t="shared" si="602"/>
        <v>0</v>
      </c>
      <c r="AG672">
        <f t="shared" si="572"/>
        <v>0</v>
      </c>
      <c r="AH672">
        <f t="shared" si="603"/>
        <v>0</v>
      </c>
      <c r="AI672">
        <f t="shared" si="604"/>
        <v>0</v>
      </c>
      <c r="AJ672">
        <f t="shared" si="575"/>
        <v>0</v>
      </c>
      <c r="AK672">
        <v>67.8</v>
      </c>
      <c r="AL672">
        <v>67.8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1</v>
      </c>
      <c r="AW672">
        <v>1</v>
      </c>
      <c r="AZ672">
        <v>1</v>
      </c>
      <c r="BA672">
        <v>1</v>
      </c>
      <c r="BB672">
        <v>1</v>
      </c>
      <c r="BC672">
        <v>8.65</v>
      </c>
      <c r="BD672" t="s">
        <v>3</v>
      </c>
      <c r="BE672" t="s">
        <v>3</v>
      </c>
      <c r="BF672" t="s">
        <v>3</v>
      </c>
      <c r="BG672" t="s">
        <v>3</v>
      </c>
      <c r="BH672">
        <v>3</v>
      </c>
      <c r="BI672">
        <v>1</v>
      </c>
      <c r="BJ672" t="s">
        <v>3</v>
      </c>
      <c r="BM672">
        <v>80</v>
      </c>
      <c r="BN672">
        <v>0</v>
      </c>
      <c r="BO672" t="s">
        <v>3</v>
      </c>
      <c r="BP672">
        <v>0</v>
      </c>
      <c r="BQ672">
        <v>30</v>
      </c>
      <c r="BR672">
        <v>0</v>
      </c>
      <c r="BS672">
        <v>1</v>
      </c>
      <c r="BT672">
        <v>1</v>
      </c>
      <c r="BU672">
        <v>1</v>
      </c>
      <c r="BV672">
        <v>1</v>
      </c>
      <c r="BW672">
        <v>1</v>
      </c>
      <c r="BX672">
        <v>1</v>
      </c>
      <c r="BY672" t="s">
        <v>3</v>
      </c>
      <c r="BZ672">
        <v>0</v>
      </c>
      <c r="CA672">
        <v>0</v>
      </c>
      <c r="CB672" t="s">
        <v>3</v>
      </c>
      <c r="CE672">
        <v>30</v>
      </c>
      <c r="CF672">
        <v>0</v>
      </c>
      <c r="CG672">
        <v>0</v>
      </c>
      <c r="CM672">
        <v>0</v>
      </c>
      <c r="CN672" t="s">
        <v>3</v>
      </c>
      <c r="CO672">
        <v>0</v>
      </c>
      <c r="CP672">
        <f t="shared" si="576"/>
        <v>586.47</v>
      </c>
      <c r="CQ672">
        <f t="shared" si="577"/>
        <v>586.47</v>
      </c>
      <c r="CR672">
        <f t="shared" si="605"/>
        <v>0</v>
      </c>
      <c r="CS672">
        <f t="shared" si="579"/>
        <v>0</v>
      </c>
      <c r="CT672">
        <f t="shared" si="580"/>
        <v>0</v>
      </c>
      <c r="CU672">
        <f t="shared" si="581"/>
        <v>0</v>
      </c>
      <c r="CV672">
        <f t="shared" si="582"/>
        <v>0</v>
      </c>
      <c r="CW672">
        <f t="shared" si="583"/>
        <v>0</v>
      </c>
      <c r="CX672">
        <f t="shared" si="584"/>
        <v>0</v>
      </c>
      <c r="CY672">
        <f>S672*(BZ672/100)</f>
        <v>0</v>
      </c>
      <c r="CZ672">
        <f>S672*(CA672/100)</f>
        <v>0</v>
      </c>
      <c r="DC672" t="s">
        <v>3</v>
      </c>
      <c r="DD672" t="s">
        <v>3</v>
      </c>
      <c r="DE672" t="s">
        <v>3</v>
      </c>
      <c r="DF672" t="s">
        <v>3</v>
      </c>
      <c r="DG672" t="s">
        <v>3</v>
      </c>
      <c r="DH672" t="s">
        <v>3</v>
      </c>
      <c r="DI672" t="s">
        <v>3</v>
      </c>
      <c r="DJ672" t="s">
        <v>3</v>
      </c>
      <c r="DK672" t="s">
        <v>3</v>
      </c>
      <c r="DL672" t="s">
        <v>3</v>
      </c>
      <c r="DM672" t="s">
        <v>3</v>
      </c>
      <c r="DN672">
        <v>85</v>
      </c>
      <c r="DO672">
        <v>70</v>
      </c>
      <c r="DP672">
        <v>1</v>
      </c>
      <c r="DQ672">
        <v>1</v>
      </c>
      <c r="DU672">
        <v>1010</v>
      </c>
      <c r="DV672" t="s">
        <v>250</v>
      </c>
      <c r="DW672" t="s">
        <v>250</v>
      </c>
      <c r="DX672">
        <v>1</v>
      </c>
      <c r="DZ672" t="s">
        <v>3</v>
      </c>
      <c r="EA672" t="s">
        <v>3</v>
      </c>
      <c r="EB672" t="s">
        <v>3</v>
      </c>
      <c r="EC672" t="s">
        <v>3</v>
      </c>
      <c r="EE672">
        <v>126051541</v>
      </c>
      <c r="EF672">
        <v>30</v>
      </c>
      <c r="EG672" t="s">
        <v>23</v>
      </c>
      <c r="EH672">
        <v>0</v>
      </c>
      <c r="EI672" t="s">
        <v>3</v>
      </c>
      <c r="EJ672">
        <v>1</v>
      </c>
      <c r="EK672">
        <v>80</v>
      </c>
      <c r="EL672" t="s">
        <v>143</v>
      </c>
      <c r="EM672" t="s">
        <v>144</v>
      </c>
      <c r="EO672" t="s">
        <v>3</v>
      </c>
      <c r="EQ672">
        <v>0</v>
      </c>
      <c r="ER672">
        <v>67.8</v>
      </c>
      <c r="ES672">
        <v>67.8</v>
      </c>
      <c r="ET672">
        <v>0</v>
      </c>
      <c r="EU672">
        <v>0</v>
      </c>
      <c r="EV672">
        <v>0</v>
      </c>
      <c r="EW672">
        <v>0</v>
      </c>
      <c r="EX672">
        <v>0</v>
      </c>
      <c r="EZ672">
        <v>5</v>
      </c>
      <c r="FC672">
        <v>1</v>
      </c>
      <c r="FD672">
        <v>18</v>
      </c>
      <c r="FF672">
        <v>690</v>
      </c>
      <c r="FQ672">
        <v>0</v>
      </c>
      <c r="FR672">
        <f t="shared" si="585"/>
        <v>0</v>
      </c>
      <c r="FS672">
        <v>0</v>
      </c>
      <c r="FX672">
        <v>85</v>
      </c>
      <c r="FY672">
        <v>70</v>
      </c>
      <c r="GA672" t="s">
        <v>652</v>
      </c>
      <c r="GD672">
        <v>0</v>
      </c>
      <c r="GF672">
        <v>745168912</v>
      </c>
      <c r="GG672">
        <v>2</v>
      </c>
      <c r="GH672">
        <v>3</v>
      </c>
      <c r="GI672">
        <v>5</v>
      </c>
      <c r="GJ672">
        <v>0</v>
      </c>
      <c r="GK672">
        <f>ROUND(R672*(S12)/100,2)</f>
        <v>0</v>
      </c>
      <c r="GL672">
        <f t="shared" si="586"/>
        <v>0</v>
      </c>
      <c r="GM672">
        <f t="shared" si="587"/>
        <v>586.47</v>
      </c>
      <c r="GN672">
        <f t="shared" si="588"/>
        <v>586.47</v>
      </c>
      <c r="GO672">
        <f t="shared" si="589"/>
        <v>0</v>
      </c>
      <c r="GP672">
        <f t="shared" si="590"/>
        <v>0</v>
      </c>
      <c r="GR672">
        <v>1</v>
      </c>
      <c r="GS672">
        <v>1</v>
      </c>
      <c r="GT672">
        <v>0</v>
      </c>
      <c r="GU672" t="s">
        <v>3</v>
      </c>
      <c r="GV672">
        <f t="shared" si="591"/>
        <v>0</v>
      </c>
      <c r="GW672">
        <v>1</v>
      </c>
      <c r="GX672">
        <f t="shared" si="592"/>
        <v>0</v>
      </c>
      <c r="HA672">
        <v>0</v>
      </c>
      <c r="HB672">
        <v>0</v>
      </c>
      <c r="HC672">
        <f t="shared" si="593"/>
        <v>0</v>
      </c>
      <c r="HE672" t="s">
        <v>81</v>
      </c>
      <c r="HF672" t="s">
        <v>252</v>
      </c>
      <c r="HM672" t="s">
        <v>3</v>
      </c>
      <c r="HN672" t="s">
        <v>3</v>
      </c>
      <c r="HO672" t="s">
        <v>3</v>
      </c>
      <c r="HP672" t="s">
        <v>3</v>
      </c>
      <c r="HQ672" t="s">
        <v>3</v>
      </c>
      <c r="IK672">
        <v>0</v>
      </c>
    </row>
    <row r="673" spans="1:255" x14ac:dyDescent="0.2">
      <c r="A673" s="2">
        <v>17</v>
      </c>
      <c r="B673" s="2">
        <v>1</v>
      </c>
      <c r="C673" s="2">
        <f>ROW(SmtRes!A694)</f>
        <v>694</v>
      </c>
      <c r="D673" s="2">
        <f>ROW(EtalonRes!A684)</f>
        <v>684</v>
      </c>
      <c r="E673" s="2" t="s">
        <v>202</v>
      </c>
      <c r="F673" s="2" t="s">
        <v>629</v>
      </c>
      <c r="G673" s="2" t="s">
        <v>630</v>
      </c>
      <c r="H673" s="2" t="s">
        <v>231</v>
      </c>
      <c r="I673" s="2">
        <v>1</v>
      </c>
      <c r="J673" s="2">
        <v>0</v>
      </c>
      <c r="K673" s="2">
        <v>1</v>
      </c>
      <c r="L673" s="2"/>
      <c r="M673" s="2"/>
      <c r="N673" s="2"/>
      <c r="O673" s="2">
        <f t="shared" si="556"/>
        <v>169.53</v>
      </c>
      <c r="P673" s="2">
        <f t="shared" si="557"/>
        <v>5.1100000000000003</v>
      </c>
      <c r="Q673" s="2">
        <f t="shared" si="599"/>
        <v>29.2</v>
      </c>
      <c r="R673" s="2">
        <f t="shared" si="559"/>
        <v>6.76</v>
      </c>
      <c r="S673" s="2">
        <f t="shared" si="560"/>
        <v>135.22</v>
      </c>
      <c r="T673" s="2">
        <f t="shared" si="561"/>
        <v>0</v>
      </c>
      <c r="U673" s="2">
        <f t="shared" si="562"/>
        <v>9.3000000000000007</v>
      </c>
      <c r="V673" s="2">
        <f t="shared" si="563"/>
        <v>0</v>
      </c>
      <c r="W673" s="2">
        <f t="shared" si="564"/>
        <v>0</v>
      </c>
      <c r="X673" s="2">
        <f t="shared" si="565"/>
        <v>154.15</v>
      </c>
      <c r="Y673" s="2">
        <f t="shared" si="566"/>
        <v>90.6</v>
      </c>
      <c r="Z673" s="2"/>
      <c r="AA673" s="2">
        <v>129761636</v>
      </c>
      <c r="AB673" s="2">
        <f t="shared" si="567"/>
        <v>169.53</v>
      </c>
      <c r="AC673" s="2">
        <f t="shared" si="568"/>
        <v>5.1100000000000003</v>
      </c>
      <c r="AD673" s="2">
        <f t="shared" si="600"/>
        <v>29.2</v>
      </c>
      <c r="AE673" s="2">
        <f t="shared" si="601"/>
        <v>6.76</v>
      </c>
      <c r="AF673" s="2">
        <f t="shared" si="602"/>
        <v>135.22</v>
      </c>
      <c r="AG673" s="2">
        <f t="shared" si="572"/>
        <v>0</v>
      </c>
      <c r="AH673" s="2">
        <f t="shared" si="603"/>
        <v>9.3000000000000007</v>
      </c>
      <c r="AI673" s="2">
        <f t="shared" si="604"/>
        <v>0</v>
      </c>
      <c r="AJ673" s="2">
        <f t="shared" si="575"/>
        <v>0</v>
      </c>
      <c r="AK673" s="2">
        <v>169.53</v>
      </c>
      <c r="AL673" s="2">
        <v>5.1100000000000003</v>
      </c>
      <c r="AM673" s="2">
        <v>29.2</v>
      </c>
      <c r="AN673" s="2">
        <v>6.76</v>
      </c>
      <c r="AO673" s="2">
        <v>135.22</v>
      </c>
      <c r="AP673" s="2">
        <v>0</v>
      </c>
      <c r="AQ673" s="2">
        <v>9.3000000000000007</v>
      </c>
      <c r="AR673" s="2">
        <v>0</v>
      </c>
      <c r="AS673" s="2">
        <v>0</v>
      </c>
      <c r="AT673" s="2">
        <v>114</v>
      </c>
      <c r="AU673" s="2">
        <v>67</v>
      </c>
      <c r="AV673" s="2">
        <v>1</v>
      </c>
      <c r="AW673" s="2">
        <v>1</v>
      </c>
      <c r="AX673" s="2"/>
      <c r="AY673" s="2"/>
      <c r="AZ673" s="2">
        <v>1</v>
      </c>
      <c r="BA673" s="2">
        <v>1</v>
      </c>
      <c r="BB673" s="2">
        <v>1</v>
      </c>
      <c r="BC673" s="2">
        <v>1</v>
      </c>
      <c r="BD673" s="2" t="s">
        <v>3</v>
      </c>
      <c r="BE673" s="2" t="s">
        <v>3</v>
      </c>
      <c r="BF673" s="2" t="s">
        <v>3</v>
      </c>
      <c r="BG673" s="2" t="s">
        <v>3</v>
      </c>
      <c r="BH673" s="2">
        <v>0</v>
      </c>
      <c r="BI673" s="2">
        <v>2</v>
      </c>
      <c r="BJ673" s="2" t="s">
        <v>631</v>
      </c>
      <c r="BK673" s="2"/>
      <c r="BL673" s="2"/>
      <c r="BM673" s="2">
        <v>336</v>
      </c>
      <c r="BN673" s="2">
        <v>0</v>
      </c>
      <c r="BO673" s="2" t="s">
        <v>3</v>
      </c>
      <c r="BP673" s="2">
        <v>0</v>
      </c>
      <c r="BQ673" s="2">
        <v>40</v>
      </c>
      <c r="BR673" s="2">
        <v>0</v>
      </c>
      <c r="BS673" s="2">
        <v>1</v>
      </c>
      <c r="BT673" s="2">
        <v>1</v>
      </c>
      <c r="BU673" s="2">
        <v>1</v>
      </c>
      <c r="BV673" s="2">
        <v>1</v>
      </c>
      <c r="BW673" s="2">
        <v>1</v>
      </c>
      <c r="BX673" s="2">
        <v>1</v>
      </c>
      <c r="BY673" s="2" t="s">
        <v>3</v>
      </c>
      <c r="BZ673" s="2">
        <v>114</v>
      </c>
      <c r="CA673" s="2">
        <v>67</v>
      </c>
      <c r="CB673" s="2" t="s">
        <v>3</v>
      </c>
      <c r="CC673" s="2"/>
      <c r="CD673" s="2"/>
      <c r="CE673" s="2">
        <v>30</v>
      </c>
      <c r="CF673" s="2">
        <v>0</v>
      </c>
      <c r="CG673" s="2">
        <v>0</v>
      </c>
      <c r="CH673" s="2"/>
      <c r="CI673" s="2"/>
      <c r="CJ673" s="2"/>
      <c r="CK673" s="2"/>
      <c r="CL673" s="2"/>
      <c r="CM673" s="2">
        <v>0</v>
      </c>
      <c r="CN673" s="2" t="s">
        <v>3</v>
      </c>
      <c r="CO673" s="2">
        <v>0</v>
      </c>
      <c r="CP673" s="2">
        <f t="shared" si="576"/>
        <v>169.53</v>
      </c>
      <c r="CQ673" s="2">
        <f t="shared" si="577"/>
        <v>5.1100000000000003</v>
      </c>
      <c r="CR673" s="2">
        <f t="shared" si="605"/>
        <v>29.2</v>
      </c>
      <c r="CS673" s="2">
        <f t="shared" si="579"/>
        <v>6.76</v>
      </c>
      <c r="CT673" s="2">
        <f t="shared" si="580"/>
        <v>135.22</v>
      </c>
      <c r="CU673" s="2">
        <f t="shared" si="581"/>
        <v>0</v>
      </c>
      <c r="CV673" s="2">
        <f t="shared" si="582"/>
        <v>9.3000000000000007</v>
      </c>
      <c r="CW673" s="2">
        <f t="shared" si="583"/>
        <v>0</v>
      </c>
      <c r="CX673" s="2">
        <f t="shared" si="584"/>
        <v>0</v>
      </c>
      <c r="CY673" s="2">
        <f>((S673*BZ673)/100)</f>
        <v>154.1508</v>
      </c>
      <c r="CZ673" s="2">
        <f>((S673*CA673)/100)</f>
        <v>90.597399999999993</v>
      </c>
      <c r="DA673" s="2"/>
      <c r="DB673" s="2"/>
      <c r="DC673" s="2" t="s">
        <v>3</v>
      </c>
      <c r="DD673" s="2" t="s">
        <v>3</v>
      </c>
      <c r="DE673" s="2" t="s">
        <v>3</v>
      </c>
      <c r="DF673" s="2" t="s">
        <v>3</v>
      </c>
      <c r="DG673" s="2" t="s">
        <v>3</v>
      </c>
      <c r="DH673" s="2" t="s">
        <v>3</v>
      </c>
      <c r="DI673" s="2" t="s">
        <v>3</v>
      </c>
      <c r="DJ673" s="2" t="s">
        <v>3</v>
      </c>
      <c r="DK673" s="2" t="s">
        <v>3</v>
      </c>
      <c r="DL673" s="2" t="s">
        <v>3</v>
      </c>
      <c r="DM673" s="2" t="s">
        <v>3</v>
      </c>
      <c r="DN673" s="2">
        <v>0</v>
      </c>
      <c r="DO673" s="2">
        <v>0</v>
      </c>
      <c r="DP673" s="2">
        <v>1</v>
      </c>
      <c r="DQ673" s="2">
        <v>1</v>
      </c>
      <c r="DR673" s="2"/>
      <c r="DS673" s="2"/>
      <c r="DT673" s="2"/>
      <c r="DU673" s="2">
        <v>1013</v>
      </c>
      <c r="DV673" s="2" t="s">
        <v>231</v>
      </c>
      <c r="DW673" s="2" t="s">
        <v>231</v>
      </c>
      <c r="DX673" s="2">
        <v>1</v>
      </c>
      <c r="DY673" s="2"/>
      <c r="DZ673" s="2" t="s">
        <v>3</v>
      </c>
      <c r="EA673" s="2" t="s">
        <v>3</v>
      </c>
      <c r="EB673" s="2" t="s">
        <v>3</v>
      </c>
      <c r="EC673" s="2" t="s">
        <v>3</v>
      </c>
      <c r="ED673" s="2"/>
      <c r="EE673" s="2">
        <v>126051797</v>
      </c>
      <c r="EF673" s="2">
        <v>40</v>
      </c>
      <c r="EG673" s="2" t="s">
        <v>621</v>
      </c>
      <c r="EH673" s="2">
        <v>0</v>
      </c>
      <c r="EI673" s="2" t="s">
        <v>3</v>
      </c>
      <c r="EJ673" s="2">
        <v>2</v>
      </c>
      <c r="EK673" s="2">
        <v>336</v>
      </c>
      <c r="EL673" s="2" t="s">
        <v>632</v>
      </c>
      <c r="EM673" s="2" t="s">
        <v>633</v>
      </c>
      <c r="EN673" s="2"/>
      <c r="EO673" s="2" t="s">
        <v>3</v>
      </c>
      <c r="EP673" s="2"/>
      <c r="EQ673" s="2">
        <v>131072</v>
      </c>
      <c r="ER673" s="2">
        <v>169.53</v>
      </c>
      <c r="ES673" s="2">
        <v>5.1100000000000003</v>
      </c>
      <c r="ET673" s="2">
        <v>29.2</v>
      </c>
      <c r="EU673" s="2">
        <v>6.76</v>
      </c>
      <c r="EV673" s="2">
        <v>135.22</v>
      </c>
      <c r="EW673" s="2">
        <v>9.3000000000000007</v>
      </c>
      <c r="EX673" s="2">
        <v>0</v>
      </c>
      <c r="EY673" s="2">
        <v>0</v>
      </c>
      <c r="EZ673" s="2"/>
      <c r="FA673" s="2"/>
      <c r="FB673" s="2"/>
      <c r="FC673" s="2"/>
      <c r="FD673" s="2"/>
      <c r="FE673" s="2"/>
      <c r="FF673" s="2"/>
      <c r="FG673" s="2"/>
      <c r="FH673" s="2"/>
      <c r="FI673" s="2"/>
      <c r="FJ673" s="2"/>
      <c r="FK673" s="2"/>
      <c r="FL673" s="2"/>
      <c r="FM673" s="2"/>
      <c r="FN673" s="2"/>
      <c r="FO673" s="2"/>
      <c r="FP673" s="2"/>
      <c r="FQ673" s="2">
        <v>0</v>
      </c>
      <c r="FR673" s="2">
        <f t="shared" si="585"/>
        <v>0</v>
      </c>
      <c r="FS673" s="2">
        <v>0</v>
      </c>
      <c r="FT673" s="2"/>
      <c r="FU673" s="2"/>
      <c r="FV673" s="2"/>
      <c r="FW673" s="2"/>
      <c r="FX673" s="2">
        <v>114</v>
      </c>
      <c r="FY673" s="2">
        <v>67</v>
      </c>
      <c r="FZ673" s="2"/>
      <c r="GA673" s="2" t="s">
        <v>3</v>
      </c>
      <c r="GB673" s="2"/>
      <c r="GC673" s="2"/>
      <c r="GD673" s="2">
        <v>0</v>
      </c>
      <c r="GE673" s="2"/>
      <c r="GF673" s="2">
        <v>1307608644</v>
      </c>
      <c r="GG673" s="2">
        <v>2</v>
      </c>
      <c r="GH673" s="2">
        <v>1</v>
      </c>
      <c r="GI673" s="2">
        <v>-2</v>
      </c>
      <c r="GJ673" s="2">
        <v>0</v>
      </c>
      <c r="GK673" s="2">
        <f>ROUND(R673*(R12)/100,2)</f>
        <v>11.83</v>
      </c>
      <c r="GL673" s="2">
        <f t="shared" si="586"/>
        <v>0</v>
      </c>
      <c r="GM673" s="2">
        <f t="shared" si="587"/>
        <v>426.11</v>
      </c>
      <c r="GN673" s="2">
        <f t="shared" si="588"/>
        <v>0</v>
      </c>
      <c r="GO673" s="2">
        <f t="shared" si="589"/>
        <v>426.11</v>
      </c>
      <c r="GP673" s="2">
        <f t="shared" si="590"/>
        <v>0</v>
      </c>
      <c r="GQ673" s="2"/>
      <c r="GR673" s="2">
        <v>0</v>
      </c>
      <c r="GS673" s="2">
        <v>0</v>
      </c>
      <c r="GT673" s="2">
        <v>0</v>
      </c>
      <c r="GU673" s="2" t="s">
        <v>3</v>
      </c>
      <c r="GV673" s="2">
        <f t="shared" si="591"/>
        <v>0</v>
      </c>
      <c r="GW673" s="2">
        <v>1</v>
      </c>
      <c r="GX673" s="2">
        <f t="shared" si="592"/>
        <v>0</v>
      </c>
      <c r="GY673" s="2"/>
      <c r="GZ673" s="2"/>
      <c r="HA673" s="2">
        <v>0</v>
      </c>
      <c r="HB673" s="2">
        <v>0</v>
      </c>
      <c r="HC673" s="2">
        <f t="shared" si="593"/>
        <v>0</v>
      </c>
      <c r="HD673" s="2"/>
      <c r="HE673" s="2" t="s">
        <v>3</v>
      </c>
      <c r="HF673" s="2" t="s">
        <v>3</v>
      </c>
      <c r="HG673" s="2"/>
      <c r="HH673" s="2"/>
      <c r="HI673" s="2"/>
      <c r="HJ673" s="2"/>
      <c r="HK673" s="2"/>
      <c r="HL673" s="2"/>
      <c r="HM673" s="2" t="s">
        <v>3</v>
      </c>
      <c r="HN673" s="2" t="s">
        <v>3</v>
      </c>
      <c r="HO673" s="2" t="s">
        <v>3</v>
      </c>
      <c r="HP673" s="2" t="s">
        <v>3</v>
      </c>
      <c r="HQ673" s="2" t="s">
        <v>3</v>
      </c>
      <c r="HR673" s="2"/>
      <c r="HS673" s="2"/>
      <c r="HT673" s="2"/>
      <c r="HU673" s="2"/>
      <c r="HV673" s="2"/>
      <c r="HW673" s="2"/>
      <c r="HX673" s="2"/>
      <c r="HY673" s="2"/>
      <c r="HZ673" s="2"/>
      <c r="IA673" s="2"/>
      <c r="IB673" s="2"/>
      <c r="IC673" s="2"/>
      <c r="ID673" s="2"/>
      <c r="IE673" s="2"/>
      <c r="IF673" s="2"/>
      <c r="IG673" s="2"/>
      <c r="IH673" s="2"/>
      <c r="II673" s="2"/>
      <c r="IJ673" s="2"/>
      <c r="IK673" s="2">
        <v>0</v>
      </c>
      <c r="IL673" s="2"/>
      <c r="IM673" s="2"/>
      <c r="IN673" s="2"/>
      <c r="IO673" s="2"/>
      <c r="IP673" s="2"/>
      <c r="IQ673" s="2"/>
      <c r="IR673" s="2"/>
      <c r="IS673" s="2"/>
      <c r="IT673" s="2"/>
      <c r="IU673" s="2"/>
    </row>
    <row r="674" spans="1:255" x14ac:dyDescent="0.2">
      <c r="A674">
        <v>17</v>
      </c>
      <c r="B674">
        <v>1</v>
      </c>
      <c r="C674">
        <f>ROW(SmtRes!A696)</f>
        <v>696</v>
      </c>
      <c r="D674">
        <f>ROW(EtalonRes!A686)</f>
        <v>686</v>
      </c>
      <c r="E674" t="s">
        <v>202</v>
      </c>
      <c r="F674" t="s">
        <v>629</v>
      </c>
      <c r="G674" t="s">
        <v>630</v>
      </c>
      <c r="H674" t="s">
        <v>231</v>
      </c>
      <c r="I674">
        <v>1</v>
      </c>
      <c r="J674">
        <v>0</v>
      </c>
      <c r="K674">
        <v>1</v>
      </c>
      <c r="O674">
        <f t="shared" si="556"/>
        <v>4301.51</v>
      </c>
      <c r="P674">
        <f t="shared" si="557"/>
        <v>45.53</v>
      </c>
      <c r="Q674">
        <f t="shared" si="599"/>
        <v>330.54</v>
      </c>
      <c r="R674">
        <f t="shared" si="559"/>
        <v>196.24</v>
      </c>
      <c r="S674">
        <f t="shared" si="560"/>
        <v>3925.44</v>
      </c>
      <c r="T674">
        <f t="shared" si="561"/>
        <v>0</v>
      </c>
      <c r="U674">
        <f t="shared" si="562"/>
        <v>9.3000000000000007</v>
      </c>
      <c r="V674">
        <f t="shared" si="563"/>
        <v>0</v>
      </c>
      <c r="W674">
        <f t="shared" si="564"/>
        <v>0</v>
      </c>
      <c r="X674">
        <f t="shared" si="565"/>
        <v>3101.1</v>
      </c>
      <c r="Y674">
        <f t="shared" si="566"/>
        <v>1609.43</v>
      </c>
      <c r="AA674">
        <v>129761633</v>
      </c>
      <c r="AB674">
        <f t="shared" si="567"/>
        <v>169.53</v>
      </c>
      <c r="AC674">
        <f t="shared" si="568"/>
        <v>5.1100000000000003</v>
      </c>
      <c r="AD674">
        <f t="shared" si="600"/>
        <v>29.2</v>
      </c>
      <c r="AE674">
        <f t="shared" si="601"/>
        <v>6.76</v>
      </c>
      <c r="AF674">
        <f t="shared" si="602"/>
        <v>135.22</v>
      </c>
      <c r="AG674">
        <f t="shared" si="572"/>
        <v>0</v>
      </c>
      <c r="AH674">
        <f t="shared" si="603"/>
        <v>9.3000000000000007</v>
      </c>
      <c r="AI674">
        <f t="shared" si="604"/>
        <v>0</v>
      </c>
      <c r="AJ674">
        <f t="shared" si="575"/>
        <v>0</v>
      </c>
      <c r="AK674">
        <v>169.53</v>
      </c>
      <c r="AL674">
        <v>5.1100000000000003</v>
      </c>
      <c r="AM674">
        <v>29.2</v>
      </c>
      <c r="AN674">
        <v>6.76</v>
      </c>
      <c r="AO674">
        <v>135.22</v>
      </c>
      <c r="AP674">
        <v>0</v>
      </c>
      <c r="AQ674">
        <v>9.3000000000000007</v>
      </c>
      <c r="AR674">
        <v>0</v>
      </c>
      <c r="AS674">
        <v>0</v>
      </c>
      <c r="AT674">
        <v>79</v>
      </c>
      <c r="AU674">
        <v>41</v>
      </c>
      <c r="AV674">
        <v>1</v>
      </c>
      <c r="AW674">
        <v>1</v>
      </c>
      <c r="AZ674">
        <v>1</v>
      </c>
      <c r="BA674">
        <v>29.03</v>
      </c>
      <c r="BB674">
        <v>11.32</v>
      </c>
      <c r="BC674">
        <v>8.91</v>
      </c>
      <c r="BD674" t="s">
        <v>3</v>
      </c>
      <c r="BE674" t="s">
        <v>3</v>
      </c>
      <c r="BF674" t="s">
        <v>3</v>
      </c>
      <c r="BG674" t="s">
        <v>3</v>
      </c>
      <c r="BH674">
        <v>0</v>
      </c>
      <c r="BI674">
        <v>2</v>
      </c>
      <c r="BJ674" t="s">
        <v>631</v>
      </c>
      <c r="BM674">
        <v>336</v>
      </c>
      <c r="BN674">
        <v>0</v>
      </c>
      <c r="BO674" t="s">
        <v>629</v>
      </c>
      <c r="BP674">
        <v>1</v>
      </c>
      <c r="BQ674">
        <v>40</v>
      </c>
      <c r="BR674">
        <v>0</v>
      </c>
      <c r="BS674">
        <v>29.03</v>
      </c>
      <c r="BT674">
        <v>1</v>
      </c>
      <c r="BU674">
        <v>1</v>
      </c>
      <c r="BV674">
        <v>1</v>
      </c>
      <c r="BW674">
        <v>1</v>
      </c>
      <c r="BX674">
        <v>1</v>
      </c>
      <c r="BY674" t="s">
        <v>3</v>
      </c>
      <c r="BZ674">
        <v>79</v>
      </c>
      <c r="CA674">
        <v>41</v>
      </c>
      <c r="CB674" t="s">
        <v>3</v>
      </c>
      <c r="CE674">
        <v>30</v>
      </c>
      <c r="CF674">
        <v>0</v>
      </c>
      <c r="CG674">
        <v>0</v>
      </c>
      <c r="CM674">
        <v>0</v>
      </c>
      <c r="CN674" t="s">
        <v>3</v>
      </c>
      <c r="CO674">
        <v>0</v>
      </c>
      <c r="CP674">
        <f t="shared" si="576"/>
        <v>4301.51</v>
      </c>
      <c r="CQ674">
        <f t="shared" si="577"/>
        <v>45.53</v>
      </c>
      <c r="CR674">
        <f t="shared" si="605"/>
        <v>330.54</v>
      </c>
      <c r="CS674">
        <f t="shared" si="579"/>
        <v>196.24</v>
      </c>
      <c r="CT674">
        <f t="shared" si="580"/>
        <v>3925.44</v>
      </c>
      <c r="CU674">
        <f t="shared" si="581"/>
        <v>0</v>
      </c>
      <c r="CV674">
        <f t="shared" si="582"/>
        <v>9.3000000000000007</v>
      </c>
      <c r="CW674">
        <f t="shared" si="583"/>
        <v>0</v>
      </c>
      <c r="CX674">
        <f t="shared" si="584"/>
        <v>0</v>
      </c>
      <c r="CY674">
        <f>S674*(BZ674/100)</f>
        <v>3101.0976000000001</v>
      </c>
      <c r="CZ674">
        <f>S674*(CA674/100)</f>
        <v>1609.4304</v>
      </c>
      <c r="DC674" t="s">
        <v>3</v>
      </c>
      <c r="DD674" t="s">
        <v>3</v>
      </c>
      <c r="DE674" t="s">
        <v>3</v>
      </c>
      <c r="DF674" t="s">
        <v>3</v>
      </c>
      <c r="DG674" t="s">
        <v>3</v>
      </c>
      <c r="DH674" t="s">
        <v>3</v>
      </c>
      <c r="DI674" t="s">
        <v>3</v>
      </c>
      <c r="DJ674" t="s">
        <v>3</v>
      </c>
      <c r="DK674" t="s">
        <v>3</v>
      </c>
      <c r="DL674" t="s">
        <v>3</v>
      </c>
      <c r="DM674" t="s">
        <v>3</v>
      </c>
      <c r="DN674">
        <v>114</v>
      </c>
      <c r="DO674">
        <v>67</v>
      </c>
      <c r="DP674">
        <v>1</v>
      </c>
      <c r="DQ674">
        <v>1</v>
      </c>
      <c r="DU674">
        <v>1013</v>
      </c>
      <c r="DV674" t="s">
        <v>231</v>
      </c>
      <c r="DW674" t="s">
        <v>231</v>
      </c>
      <c r="DX674">
        <v>1</v>
      </c>
      <c r="DZ674" t="s">
        <v>3</v>
      </c>
      <c r="EA674" t="s">
        <v>3</v>
      </c>
      <c r="EB674" t="s">
        <v>3</v>
      </c>
      <c r="EC674" t="s">
        <v>3</v>
      </c>
      <c r="EE674">
        <v>126051797</v>
      </c>
      <c r="EF674">
        <v>40</v>
      </c>
      <c r="EG674" t="s">
        <v>621</v>
      </c>
      <c r="EH674">
        <v>0</v>
      </c>
      <c r="EI674" t="s">
        <v>3</v>
      </c>
      <c r="EJ674">
        <v>2</v>
      </c>
      <c r="EK674">
        <v>336</v>
      </c>
      <c r="EL674" t="s">
        <v>632</v>
      </c>
      <c r="EM674" t="s">
        <v>633</v>
      </c>
      <c r="EO674" t="s">
        <v>3</v>
      </c>
      <c r="EQ674">
        <v>131072</v>
      </c>
      <c r="ER674">
        <v>169.53</v>
      </c>
      <c r="ES674">
        <v>5.1100000000000003</v>
      </c>
      <c r="ET674">
        <v>29.2</v>
      </c>
      <c r="EU674">
        <v>6.76</v>
      </c>
      <c r="EV674">
        <v>135.22</v>
      </c>
      <c r="EW674">
        <v>9.3000000000000007</v>
      </c>
      <c r="EX674">
        <v>0</v>
      </c>
      <c r="EY674">
        <v>0</v>
      </c>
      <c r="FQ674">
        <v>0</v>
      </c>
      <c r="FR674">
        <f t="shared" si="585"/>
        <v>0</v>
      </c>
      <c r="FS674">
        <v>0</v>
      </c>
      <c r="FX674">
        <v>114</v>
      </c>
      <c r="FY674">
        <v>67</v>
      </c>
      <c r="GA674" t="s">
        <v>3</v>
      </c>
      <c r="GD674">
        <v>0</v>
      </c>
      <c r="GF674">
        <v>1307608644</v>
      </c>
      <c r="GG674">
        <v>2</v>
      </c>
      <c r="GH674">
        <v>1</v>
      </c>
      <c r="GI674">
        <v>2</v>
      </c>
      <c r="GJ674">
        <v>0</v>
      </c>
      <c r="GK674">
        <f>ROUND(R674*(S12)/100,2)</f>
        <v>313.98</v>
      </c>
      <c r="GL674">
        <f t="shared" si="586"/>
        <v>0</v>
      </c>
      <c r="GM674">
        <f t="shared" si="587"/>
        <v>9326.02</v>
      </c>
      <c r="GN674">
        <f t="shared" si="588"/>
        <v>0</v>
      </c>
      <c r="GO674">
        <f t="shared" si="589"/>
        <v>9326.02</v>
      </c>
      <c r="GP674">
        <f t="shared" si="590"/>
        <v>0</v>
      </c>
      <c r="GR674">
        <v>0</v>
      </c>
      <c r="GS674">
        <v>3</v>
      </c>
      <c r="GT674">
        <v>0</v>
      </c>
      <c r="GU674" t="s">
        <v>3</v>
      </c>
      <c r="GV674">
        <f t="shared" si="591"/>
        <v>0</v>
      </c>
      <c r="GW674">
        <v>1</v>
      </c>
      <c r="GX674">
        <f t="shared" si="592"/>
        <v>0</v>
      </c>
      <c r="HA674">
        <v>0</v>
      </c>
      <c r="HB674">
        <v>0</v>
      </c>
      <c r="HC674">
        <f t="shared" si="593"/>
        <v>0</v>
      </c>
      <c r="HE674" t="s">
        <v>3</v>
      </c>
      <c r="HF674" t="s">
        <v>3</v>
      </c>
      <c r="HM674" t="s">
        <v>3</v>
      </c>
      <c r="HN674" t="s">
        <v>3</v>
      </c>
      <c r="HO674" t="s">
        <v>3</v>
      </c>
      <c r="HP674" t="s">
        <v>3</v>
      </c>
      <c r="HQ674" t="s">
        <v>3</v>
      </c>
      <c r="IK674">
        <v>0</v>
      </c>
    </row>
    <row r="675" spans="1:255" x14ac:dyDescent="0.2">
      <c r="A675" s="2">
        <v>17</v>
      </c>
      <c r="B675" s="2">
        <v>1</v>
      </c>
      <c r="C675" s="2">
        <f>ROW(SmtRes!A698)</f>
        <v>698</v>
      </c>
      <c r="D675" s="2">
        <f>ROW(EtalonRes!A687)</f>
        <v>687</v>
      </c>
      <c r="E675" s="2" t="s">
        <v>212</v>
      </c>
      <c r="F675" s="2" t="s">
        <v>662</v>
      </c>
      <c r="G675" s="2" t="s">
        <v>663</v>
      </c>
      <c r="H675" s="2" t="s">
        <v>231</v>
      </c>
      <c r="I675" s="2">
        <v>1</v>
      </c>
      <c r="J675" s="2">
        <v>0</v>
      </c>
      <c r="K675" s="2">
        <v>1</v>
      </c>
      <c r="L675" s="2"/>
      <c r="M675" s="2"/>
      <c r="N675" s="2"/>
      <c r="O675" s="2">
        <f t="shared" si="556"/>
        <v>72.2</v>
      </c>
      <c r="P675" s="2">
        <f t="shared" si="557"/>
        <v>33.04</v>
      </c>
      <c r="Q675" s="2">
        <f t="shared" si="599"/>
        <v>1.46</v>
      </c>
      <c r="R675" s="2">
        <f t="shared" si="559"/>
        <v>0.22</v>
      </c>
      <c r="S675" s="2">
        <f t="shared" si="560"/>
        <v>37.700000000000003</v>
      </c>
      <c r="T675" s="2">
        <f t="shared" si="561"/>
        <v>0</v>
      </c>
      <c r="U675" s="2">
        <f t="shared" si="562"/>
        <v>2.9</v>
      </c>
      <c r="V675" s="2">
        <f t="shared" si="563"/>
        <v>0</v>
      </c>
      <c r="W675" s="2">
        <f t="shared" si="564"/>
        <v>0</v>
      </c>
      <c r="X675" s="2">
        <f t="shared" si="565"/>
        <v>42.98</v>
      </c>
      <c r="Y675" s="2">
        <f t="shared" si="566"/>
        <v>25.26</v>
      </c>
      <c r="Z675" s="2"/>
      <c r="AA675" s="2">
        <v>129761636</v>
      </c>
      <c r="AB675" s="2">
        <f t="shared" si="567"/>
        <v>72.2</v>
      </c>
      <c r="AC675" s="2">
        <f t="shared" si="568"/>
        <v>33.04</v>
      </c>
      <c r="AD675" s="2">
        <f t="shared" si="600"/>
        <v>1.46</v>
      </c>
      <c r="AE675" s="2">
        <f t="shared" si="601"/>
        <v>0.22</v>
      </c>
      <c r="AF675" s="2">
        <f t="shared" si="602"/>
        <v>37.700000000000003</v>
      </c>
      <c r="AG675" s="2">
        <f t="shared" si="572"/>
        <v>0</v>
      </c>
      <c r="AH675" s="2">
        <f t="shared" si="603"/>
        <v>2.9</v>
      </c>
      <c r="AI675" s="2">
        <f t="shared" si="604"/>
        <v>0</v>
      </c>
      <c r="AJ675" s="2">
        <f t="shared" si="575"/>
        <v>0</v>
      </c>
      <c r="AK675" s="2">
        <v>72.2</v>
      </c>
      <c r="AL675" s="2">
        <v>33.04</v>
      </c>
      <c r="AM675" s="2">
        <v>1.46</v>
      </c>
      <c r="AN675" s="2">
        <v>0.22</v>
      </c>
      <c r="AO675" s="2">
        <v>37.700000000000003</v>
      </c>
      <c r="AP675" s="2">
        <v>0</v>
      </c>
      <c r="AQ675" s="2">
        <v>2.9</v>
      </c>
      <c r="AR675" s="2">
        <v>0</v>
      </c>
      <c r="AS675" s="2">
        <v>0</v>
      </c>
      <c r="AT675" s="2">
        <v>114</v>
      </c>
      <c r="AU675" s="2">
        <v>67</v>
      </c>
      <c r="AV675" s="2">
        <v>1</v>
      </c>
      <c r="AW675" s="2">
        <v>1</v>
      </c>
      <c r="AX675" s="2"/>
      <c r="AY675" s="2"/>
      <c r="AZ675" s="2">
        <v>1</v>
      </c>
      <c r="BA675" s="2">
        <v>1</v>
      </c>
      <c r="BB675" s="2">
        <v>1</v>
      </c>
      <c r="BC675" s="2">
        <v>1</v>
      </c>
      <c r="BD675" s="2" t="s">
        <v>3</v>
      </c>
      <c r="BE675" s="2" t="s">
        <v>3</v>
      </c>
      <c r="BF675" s="2" t="s">
        <v>3</v>
      </c>
      <c r="BG675" s="2" t="s">
        <v>3</v>
      </c>
      <c r="BH675" s="2">
        <v>0</v>
      </c>
      <c r="BI675" s="2">
        <v>2</v>
      </c>
      <c r="BJ675" s="2" t="s">
        <v>664</v>
      </c>
      <c r="BK675" s="2"/>
      <c r="BL675" s="2"/>
      <c r="BM675" s="2">
        <v>333</v>
      </c>
      <c r="BN675" s="2">
        <v>0</v>
      </c>
      <c r="BO675" s="2" t="s">
        <v>3</v>
      </c>
      <c r="BP675" s="2">
        <v>0</v>
      </c>
      <c r="BQ675" s="2">
        <v>40</v>
      </c>
      <c r="BR675" s="2">
        <v>0</v>
      </c>
      <c r="BS675" s="2">
        <v>1</v>
      </c>
      <c r="BT675" s="2">
        <v>1</v>
      </c>
      <c r="BU675" s="2">
        <v>1</v>
      </c>
      <c r="BV675" s="2">
        <v>1</v>
      </c>
      <c r="BW675" s="2">
        <v>1</v>
      </c>
      <c r="BX675" s="2">
        <v>1</v>
      </c>
      <c r="BY675" s="2" t="s">
        <v>3</v>
      </c>
      <c r="BZ675" s="2">
        <v>114</v>
      </c>
      <c r="CA675" s="2">
        <v>67</v>
      </c>
      <c r="CB675" s="2" t="s">
        <v>3</v>
      </c>
      <c r="CC675" s="2"/>
      <c r="CD675" s="2"/>
      <c r="CE675" s="2">
        <v>30</v>
      </c>
      <c r="CF675" s="2">
        <v>0</v>
      </c>
      <c r="CG675" s="2">
        <v>0</v>
      </c>
      <c r="CH675" s="2"/>
      <c r="CI675" s="2"/>
      <c r="CJ675" s="2"/>
      <c r="CK675" s="2"/>
      <c r="CL675" s="2"/>
      <c r="CM675" s="2">
        <v>0</v>
      </c>
      <c r="CN675" s="2" t="s">
        <v>3</v>
      </c>
      <c r="CO675" s="2">
        <v>0</v>
      </c>
      <c r="CP675" s="2">
        <f t="shared" si="576"/>
        <v>72.2</v>
      </c>
      <c r="CQ675" s="2">
        <f t="shared" si="577"/>
        <v>33.04</v>
      </c>
      <c r="CR675" s="2">
        <f t="shared" si="605"/>
        <v>1.46</v>
      </c>
      <c r="CS675" s="2">
        <f t="shared" si="579"/>
        <v>0.22</v>
      </c>
      <c r="CT675" s="2">
        <f t="shared" si="580"/>
        <v>37.700000000000003</v>
      </c>
      <c r="CU675" s="2">
        <f t="shared" si="581"/>
        <v>0</v>
      </c>
      <c r="CV675" s="2">
        <f t="shared" si="582"/>
        <v>2.9</v>
      </c>
      <c r="CW675" s="2">
        <f t="shared" si="583"/>
        <v>0</v>
      </c>
      <c r="CX675" s="2">
        <f t="shared" si="584"/>
        <v>0</v>
      </c>
      <c r="CY675" s="2">
        <f>((S675*BZ675)/100)</f>
        <v>42.978000000000002</v>
      </c>
      <c r="CZ675" s="2">
        <f>((S675*CA675)/100)</f>
        <v>25.259</v>
      </c>
      <c r="DA675" s="2"/>
      <c r="DB675" s="2"/>
      <c r="DC675" s="2" t="s">
        <v>3</v>
      </c>
      <c r="DD675" s="2" t="s">
        <v>3</v>
      </c>
      <c r="DE675" s="2" t="s">
        <v>3</v>
      </c>
      <c r="DF675" s="2" t="s">
        <v>3</v>
      </c>
      <c r="DG675" s="2" t="s">
        <v>3</v>
      </c>
      <c r="DH675" s="2" t="s">
        <v>3</v>
      </c>
      <c r="DI675" s="2" t="s">
        <v>3</v>
      </c>
      <c r="DJ675" s="2" t="s">
        <v>3</v>
      </c>
      <c r="DK675" s="2" t="s">
        <v>3</v>
      </c>
      <c r="DL675" s="2" t="s">
        <v>3</v>
      </c>
      <c r="DM675" s="2" t="s">
        <v>3</v>
      </c>
      <c r="DN675" s="2">
        <v>0</v>
      </c>
      <c r="DO675" s="2">
        <v>0</v>
      </c>
      <c r="DP675" s="2">
        <v>1</v>
      </c>
      <c r="DQ675" s="2">
        <v>1</v>
      </c>
      <c r="DR675" s="2"/>
      <c r="DS675" s="2"/>
      <c r="DT675" s="2"/>
      <c r="DU675" s="2">
        <v>1013</v>
      </c>
      <c r="DV675" s="2" t="s">
        <v>231</v>
      </c>
      <c r="DW675" s="2" t="s">
        <v>231</v>
      </c>
      <c r="DX675" s="2">
        <v>1</v>
      </c>
      <c r="DY675" s="2"/>
      <c r="DZ675" s="2" t="s">
        <v>3</v>
      </c>
      <c r="EA675" s="2" t="s">
        <v>3</v>
      </c>
      <c r="EB675" s="2" t="s">
        <v>3</v>
      </c>
      <c r="EC675" s="2" t="s">
        <v>3</v>
      </c>
      <c r="ED675" s="2"/>
      <c r="EE675" s="2">
        <v>126051794</v>
      </c>
      <c r="EF675" s="2">
        <v>40</v>
      </c>
      <c r="EG675" s="2" t="s">
        <v>621</v>
      </c>
      <c r="EH675" s="2">
        <v>0</v>
      </c>
      <c r="EI675" s="2" t="s">
        <v>3</v>
      </c>
      <c r="EJ675" s="2">
        <v>2</v>
      </c>
      <c r="EK675" s="2">
        <v>333</v>
      </c>
      <c r="EL675" s="2" t="s">
        <v>656</v>
      </c>
      <c r="EM675" s="2" t="s">
        <v>657</v>
      </c>
      <c r="EN675" s="2"/>
      <c r="EO675" s="2" t="s">
        <v>3</v>
      </c>
      <c r="EP675" s="2"/>
      <c r="EQ675" s="2">
        <v>131072</v>
      </c>
      <c r="ER675" s="2">
        <v>72.2</v>
      </c>
      <c r="ES675" s="2">
        <v>33.04</v>
      </c>
      <c r="ET675" s="2">
        <v>1.46</v>
      </c>
      <c r="EU675" s="2">
        <v>0.22</v>
      </c>
      <c r="EV675" s="2">
        <v>37.700000000000003</v>
      </c>
      <c r="EW675" s="2">
        <v>2.9</v>
      </c>
      <c r="EX675" s="2">
        <v>0</v>
      </c>
      <c r="EY675" s="2">
        <v>0</v>
      </c>
      <c r="EZ675" s="2"/>
      <c r="FA675" s="2"/>
      <c r="FB675" s="2"/>
      <c r="FC675" s="2"/>
      <c r="FD675" s="2"/>
      <c r="FE675" s="2"/>
      <c r="FF675" s="2"/>
      <c r="FG675" s="2"/>
      <c r="FH675" s="2"/>
      <c r="FI675" s="2"/>
      <c r="FJ675" s="2"/>
      <c r="FK675" s="2"/>
      <c r="FL675" s="2"/>
      <c r="FM675" s="2"/>
      <c r="FN675" s="2"/>
      <c r="FO675" s="2"/>
      <c r="FP675" s="2"/>
      <c r="FQ675" s="2">
        <v>0</v>
      </c>
      <c r="FR675" s="2">
        <f t="shared" si="585"/>
        <v>0</v>
      </c>
      <c r="FS675" s="2">
        <v>0</v>
      </c>
      <c r="FT675" s="2"/>
      <c r="FU675" s="2"/>
      <c r="FV675" s="2"/>
      <c r="FW675" s="2"/>
      <c r="FX675" s="2">
        <v>114</v>
      </c>
      <c r="FY675" s="2">
        <v>67</v>
      </c>
      <c r="FZ675" s="2"/>
      <c r="GA675" s="2" t="s">
        <v>3</v>
      </c>
      <c r="GB675" s="2"/>
      <c r="GC675" s="2"/>
      <c r="GD675" s="2">
        <v>0</v>
      </c>
      <c r="GE675" s="2"/>
      <c r="GF675" s="2">
        <v>-1471781329</v>
      </c>
      <c r="GG675" s="2">
        <v>2</v>
      </c>
      <c r="GH675" s="2">
        <v>1</v>
      </c>
      <c r="GI675" s="2">
        <v>-2</v>
      </c>
      <c r="GJ675" s="2">
        <v>0</v>
      </c>
      <c r="GK675" s="2">
        <f>ROUND(R675*(R12)/100,2)</f>
        <v>0.39</v>
      </c>
      <c r="GL675" s="2">
        <f t="shared" si="586"/>
        <v>0</v>
      </c>
      <c r="GM675" s="2">
        <f t="shared" si="587"/>
        <v>140.83000000000001</v>
      </c>
      <c r="GN675" s="2">
        <f t="shared" si="588"/>
        <v>0</v>
      </c>
      <c r="GO675" s="2">
        <f t="shared" si="589"/>
        <v>140.83000000000001</v>
      </c>
      <c r="GP675" s="2">
        <f t="shared" si="590"/>
        <v>0</v>
      </c>
      <c r="GQ675" s="2"/>
      <c r="GR675" s="2">
        <v>0</v>
      </c>
      <c r="GS675" s="2">
        <v>0</v>
      </c>
      <c r="GT675" s="2">
        <v>0</v>
      </c>
      <c r="GU675" s="2" t="s">
        <v>3</v>
      </c>
      <c r="GV675" s="2">
        <f t="shared" si="591"/>
        <v>0</v>
      </c>
      <c r="GW675" s="2">
        <v>1</v>
      </c>
      <c r="GX675" s="2">
        <f t="shared" si="592"/>
        <v>0</v>
      </c>
      <c r="GY675" s="2"/>
      <c r="GZ675" s="2"/>
      <c r="HA675" s="2">
        <v>0</v>
      </c>
      <c r="HB675" s="2">
        <v>0</v>
      </c>
      <c r="HC675" s="2">
        <f t="shared" si="593"/>
        <v>0</v>
      </c>
      <c r="HD675" s="2"/>
      <c r="HE675" s="2" t="s">
        <v>3</v>
      </c>
      <c r="HF675" s="2" t="s">
        <v>3</v>
      </c>
      <c r="HG675" s="2"/>
      <c r="HH675" s="2"/>
      <c r="HI675" s="2"/>
      <c r="HJ675" s="2"/>
      <c r="HK675" s="2"/>
      <c r="HL675" s="2"/>
      <c r="HM675" s="2" t="s">
        <v>3</v>
      </c>
      <c r="HN675" s="2" t="s">
        <v>3</v>
      </c>
      <c r="HO675" s="2" t="s">
        <v>3</v>
      </c>
      <c r="HP675" s="2" t="s">
        <v>3</v>
      </c>
      <c r="HQ675" s="2" t="s">
        <v>3</v>
      </c>
      <c r="HR675" s="2"/>
      <c r="HS675" s="2"/>
      <c r="HT675" s="2"/>
      <c r="HU675" s="2"/>
      <c r="HV675" s="2"/>
      <c r="HW675" s="2"/>
      <c r="HX675" s="2"/>
      <c r="HY675" s="2"/>
      <c r="HZ675" s="2"/>
      <c r="IA675" s="2"/>
      <c r="IB675" s="2"/>
      <c r="IC675" s="2"/>
      <c r="ID675" s="2"/>
      <c r="IE675" s="2"/>
      <c r="IF675" s="2"/>
      <c r="IG675" s="2"/>
      <c r="IH675" s="2"/>
      <c r="II675" s="2"/>
      <c r="IJ675" s="2"/>
      <c r="IK675" s="2">
        <v>0</v>
      </c>
      <c r="IL675" s="2"/>
      <c r="IM675" s="2"/>
      <c r="IN675" s="2"/>
      <c r="IO675" s="2"/>
      <c r="IP675" s="2"/>
      <c r="IQ675" s="2"/>
      <c r="IR675" s="2"/>
      <c r="IS675" s="2"/>
      <c r="IT675" s="2"/>
      <c r="IU675" s="2"/>
    </row>
    <row r="676" spans="1:255" x14ac:dyDescent="0.2">
      <c r="A676">
        <v>17</v>
      </c>
      <c r="B676">
        <v>1</v>
      </c>
      <c r="C676">
        <f>ROW(SmtRes!A700)</f>
        <v>700</v>
      </c>
      <c r="D676">
        <f>ROW(EtalonRes!A688)</f>
        <v>688</v>
      </c>
      <c r="E676" t="s">
        <v>212</v>
      </c>
      <c r="F676" t="s">
        <v>662</v>
      </c>
      <c r="G676" t="s">
        <v>663</v>
      </c>
      <c r="H676" t="s">
        <v>231</v>
      </c>
      <c r="I676">
        <v>1</v>
      </c>
      <c r="J676">
        <v>0</v>
      </c>
      <c r="K676">
        <v>1</v>
      </c>
      <c r="O676">
        <f t="shared" si="556"/>
        <v>1301.81</v>
      </c>
      <c r="P676">
        <f t="shared" si="557"/>
        <v>192.62</v>
      </c>
      <c r="Q676">
        <f t="shared" si="599"/>
        <v>14.76</v>
      </c>
      <c r="R676">
        <f t="shared" si="559"/>
        <v>6.39</v>
      </c>
      <c r="S676">
        <f t="shared" si="560"/>
        <v>1094.43</v>
      </c>
      <c r="T676">
        <f t="shared" si="561"/>
        <v>0</v>
      </c>
      <c r="U676">
        <f t="shared" si="562"/>
        <v>2.9</v>
      </c>
      <c r="V676">
        <f t="shared" si="563"/>
        <v>0</v>
      </c>
      <c r="W676">
        <f t="shared" si="564"/>
        <v>0</v>
      </c>
      <c r="X676">
        <f t="shared" si="565"/>
        <v>864.6</v>
      </c>
      <c r="Y676">
        <f t="shared" si="566"/>
        <v>448.72</v>
      </c>
      <c r="AA676">
        <v>129761633</v>
      </c>
      <c r="AB676">
        <f t="shared" si="567"/>
        <v>72.2</v>
      </c>
      <c r="AC676">
        <f t="shared" si="568"/>
        <v>33.04</v>
      </c>
      <c r="AD676">
        <f t="shared" si="600"/>
        <v>1.46</v>
      </c>
      <c r="AE676">
        <f t="shared" si="601"/>
        <v>0.22</v>
      </c>
      <c r="AF676">
        <f t="shared" si="602"/>
        <v>37.700000000000003</v>
      </c>
      <c r="AG676">
        <f t="shared" si="572"/>
        <v>0</v>
      </c>
      <c r="AH676">
        <f t="shared" si="603"/>
        <v>2.9</v>
      </c>
      <c r="AI676">
        <f t="shared" si="604"/>
        <v>0</v>
      </c>
      <c r="AJ676">
        <f t="shared" si="575"/>
        <v>0</v>
      </c>
      <c r="AK676">
        <v>72.2</v>
      </c>
      <c r="AL676">
        <v>33.04</v>
      </c>
      <c r="AM676">
        <v>1.46</v>
      </c>
      <c r="AN676">
        <v>0.22</v>
      </c>
      <c r="AO676">
        <v>37.700000000000003</v>
      </c>
      <c r="AP676">
        <v>0</v>
      </c>
      <c r="AQ676">
        <v>2.9</v>
      </c>
      <c r="AR676">
        <v>0</v>
      </c>
      <c r="AS676">
        <v>0</v>
      </c>
      <c r="AT676">
        <v>79</v>
      </c>
      <c r="AU676">
        <v>41</v>
      </c>
      <c r="AV676">
        <v>1</v>
      </c>
      <c r="AW676">
        <v>1</v>
      </c>
      <c r="AZ676">
        <v>1</v>
      </c>
      <c r="BA676">
        <v>29.03</v>
      </c>
      <c r="BB676">
        <v>10.11</v>
      </c>
      <c r="BC676">
        <v>5.83</v>
      </c>
      <c r="BD676" t="s">
        <v>3</v>
      </c>
      <c r="BE676" t="s">
        <v>3</v>
      </c>
      <c r="BF676" t="s">
        <v>3</v>
      </c>
      <c r="BG676" t="s">
        <v>3</v>
      </c>
      <c r="BH676">
        <v>0</v>
      </c>
      <c r="BI676">
        <v>2</v>
      </c>
      <c r="BJ676" t="s">
        <v>664</v>
      </c>
      <c r="BM676">
        <v>333</v>
      </c>
      <c r="BN676">
        <v>0</v>
      </c>
      <c r="BO676" t="s">
        <v>662</v>
      </c>
      <c r="BP676">
        <v>1</v>
      </c>
      <c r="BQ676">
        <v>40</v>
      </c>
      <c r="BR676">
        <v>0</v>
      </c>
      <c r="BS676">
        <v>29.03</v>
      </c>
      <c r="BT676">
        <v>1</v>
      </c>
      <c r="BU676">
        <v>1</v>
      </c>
      <c r="BV676">
        <v>1</v>
      </c>
      <c r="BW676">
        <v>1</v>
      </c>
      <c r="BX676">
        <v>1</v>
      </c>
      <c r="BY676" t="s">
        <v>3</v>
      </c>
      <c r="BZ676">
        <v>79</v>
      </c>
      <c r="CA676">
        <v>41</v>
      </c>
      <c r="CB676" t="s">
        <v>3</v>
      </c>
      <c r="CE676">
        <v>30</v>
      </c>
      <c r="CF676">
        <v>0</v>
      </c>
      <c r="CG676">
        <v>0</v>
      </c>
      <c r="CM676">
        <v>0</v>
      </c>
      <c r="CN676" t="s">
        <v>3</v>
      </c>
      <c r="CO676">
        <v>0</v>
      </c>
      <c r="CP676">
        <f t="shared" si="576"/>
        <v>1301.81</v>
      </c>
      <c r="CQ676">
        <f t="shared" si="577"/>
        <v>192.62</v>
      </c>
      <c r="CR676">
        <f t="shared" si="605"/>
        <v>14.76</v>
      </c>
      <c r="CS676">
        <f t="shared" si="579"/>
        <v>6.39</v>
      </c>
      <c r="CT676">
        <f t="shared" si="580"/>
        <v>1094.43</v>
      </c>
      <c r="CU676">
        <f t="shared" si="581"/>
        <v>0</v>
      </c>
      <c r="CV676">
        <f t="shared" si="582"/>
        <v>2.9</v>
      </c>
      <c r="CW676">
        <f t="shared" si="583"/>
        <v>0</v>
      </c>
      <c r="CX676">
        <f t="shared" si="584"/>
        <v>0</v>
      </c>
      <c r="CY676">
        <f>S676*(BZ676/100)</f>
        <v>864.5997000000001</v>
      </c>
      <c r="CZ676">
        <f>S676*(CA676/100)</f>
        <v>448.71629999999999</v>
      </c>
      <c r="DC676" t="s">
        <v>3</v>
      </c>
      <c r="DD676" t="s">
        <v>3</v>
      </c>
      <c r="DE676" t="s">
        <v>3</v>
      </c>
      <c r="DF676" t="s">
        <v>3</v>
      </c>
      <c r="DG676" t="s">
        <v>3</v>
      </c>
      <c r="DH676" t="s">
        <v>3</v>
      </c>
      <c r="DI676" t="s">
        <v>3</v>
      </c>
      <c r="DJ676" t="s">
        <v>3</v>
      </c>
      <c r="DK676" t="s">
        <v>3</v>
      </c>
      <c r="DL676" t="s">
        <v>3</v>
      </c>
      <c r="DM676" t="s">
        <v>3</v>
      </c>
      <c r="DN676">
        <v>114</v>
      </c>
      <c r="DO676">
        <v>67</v>
      </c>
      <c r="DP676">
        <v>1</v>
      </c>
      <c r="DQ676">
        <v>1</v>
      </c>
      <c r="DU676">
        <v>1013</v>
      </c>
      <c r="DV676" t="s">
        <v>231</v>
      </c>
      <c r="DW676" t="s">
        <v>231</v>
      </c>
      <c r="DX676">
        <v>1</v>
      </c>
      <c r="DZ676" t="s">
        <v>3</v>
      </c>
      <c r="EA676" t="s">
        <v>3</v>
      </c>
      <c r="EB676" t="s">
        <v>3</v>
      </c>
      <c r="EC676" t="s">
        <v>3</v>
      </c>
      <c r="EE676">
        <v>126051794</v>
      </c>
      <c r="EF676">
        <v>40</v>
      </c>
      <c r="EG676" t="s">
        <v>621</v>
      </c>
      <c r="EH676">
        <v>0</v>
      </c>
      <c r="EI676" t="s">
        <v>3</v>
      </c>
      <c r="EJ676">
        <v>2</v>
      </c>
      <c r="EK676">
        <v>333</v>
      </c>
      <c r="EL676" t="s">
        <v>656</v>
      </c>
      <c r="EM676" t="s">
        <v>657</v>
      </c>
      <c r="EO676" t="s">
        <v>3</v>
      </c>
      <c r="EQ676">
        <v>131072</v>
      </c>
      <c r="ER676">
        <v>72.2</v>
      </c>
      <c r="ES676">
        <v>33.04</v>
      </c>
      <c r="ET676">
        <v>1.46</v>
      </c>
      <c r="EU676">
        <v>0.22</v>
      </c>
      <c r="EV676">
        <v>37.700000000000003</v>
      </c>
      <c r="EW676">
        <v>2.9</v>
      </c>
      <c r="EX676">
        <v>0</v>
      </c>
      <c r="EY676">
        <v>0</v>
      </c>
      <c r="FQ676">
        <v>0</v>
      </c>
      <c r="FR676">
        <f t="shared" si="585"/>
        <v>0</v>
      </c>
      <c r="FS676">
        <v>0</v>
      </c>
      <c r="FX676">
        <v>114</v>
      </c>
      <c r="FY676">
        <v>67</v>
      </c>
      <c r="GA676" t="s">
        <v>3</v>
      </c>
      <c r="GD676">
        <v>0</v>
      </c>
      <c r="GF676">
        <v>-1471781329</v>
      </c>
      <c r="GG676">
        <v>2</v>
      </c>
      <c r="GH676">
        <v>1</v>
      </c>
      <c r="GI676">
        <v>2</v>
      </c>
      <c r="GJ676">
        <v>0</v>
      </c>
      <c r="GK676">
        <f>ROUND(R676*(S12)/100,2)</f>
        <v>10.220000000000001</v>
      </c>
      <c r="GL676">
        <f t="shared" si="586"/>
        <v>0</v>
      </c>
      <c r="GM676">
        <f t="shared" si="587"/>
        <v>2625.35</v>
      </c>
      <c r="GN676">
        <f t="shared" si="588"/>
        <v>0</v>
      </c>
      <c r="GO676">
        <f t="shared" si="589"/>
        <v>2625.35</v>
      </c>
      <c r="GP676">
        <f t="shared" si="590"/>
        <v>0</v>
      </c>
      <c r="GR676">
        <v>0</v>
      </c>
      <c r="GS676">
        <v>3</v>
      </c>
      <c r="GT676">
        <v>0</v>
      </c>
      <c r="GU676" t="s">
        <v>3</v>
      </c>
      <c r="GV676">
        <f t="shared" si="591"/>
        <v>0</v>
      </c>
      <c r="GW676">
        <v>1</v>
      </c>
      <c r="GX676">
        <f t="shared" si="592"/>
        <v>0</v>
      </c>
      <c r="HA676">
        <v>0</v>
      </c>
      <c r="HB676">
        <v>0</v>
      </c>
      <c r="HC676">
        <f t="shared" si="593"/>
        <v>0</v>
      </c>
      <c r="HE676" t="s">
        <v>3</v>
      </c>
      <c r="HF676" t="s">
        <v>3</v>
      </c>
      <c r="HM676" t="s">
        <v>3</v>
      </c>
      <c r="HN676" t="s">
        <v>3</v>
      </c>
      <c r="HO676" t="s">
        <v>3</v>
      </c>
      <c r="HP676" t="s">
        <v>3</v>
      </c>
      <c r="HQ676" t="s">
        <v>3</v>
      </c>
      <c r="IK676">
        <v>0</v>
      </c>
    </row>
    <row r="677" spans="1:255" x14ac:dyDescent="0.2">
      <c r="A677" s="2">
        <v>18</v>
      </c>
      <c r="B677" s="2">
        <v>1</v>
      </c>
      <c r="C677" s="2">
        <v>698</v>
      </c>
      <c r="D677" s="2"/>
      <c r="E677" s="2" t="s">
        <v>596</v>
      </c>
      <c r="F677" s="2" t="s">
        <v>665</v>
      </c>
      <c r="G677" s="2" t="s">
        <v>666</v>
      </c>
      <c r="H677" s="2" t="s">
        <v>250</v>
      </c>
      <c r="I677" s="2">
        <f>I675*J677</f>
        <v>1</v>
      </c>
      <c r="J677" s="2">
        <v>1</v>
      </c>
      <c r="K677" s="2">
        <v>1</v>
      </c>
      <c r="L677" s="2"/>
      <c r="M677" s="2"/>
      <c r="N677" s="2"/>
      <c r="O677" s="2">
        <f t="shared" si="556"/>
        <v>56.94</v>
      </c>
      <c r="P677" s="2">
        <f t="shared" si="557"/>
        <v>56.94</v>
      </c>
      <c r="Q677" s="2">
        <f t="shared" si="599"/>
        <v>0</v>
      </c>
      <c r="R677" s="2">
        <f t="shared" si="559"/>
        <v>0</v>
      </c>
      <c r="S677" s="2">
        <f t="shared" si="560"/>
        <v>0</v>
      </c>
      <c r="T677" s="2">
        <f t="shared" si="561"/>
        <v>0</v>
      </c>
      <c r="U677" s="2">
        <f t="shared" si="562"/>
        <v>0</v>
      </c>
      <c r="V677" s="2">
        <f t="shared" si="563"/>
        <v>0</v>
      </c>
      <c r="W677" s="2">
        <f t="shared" si="564"/>
        <v>0</v>
      </c>
      <c r="X677" s="2">
        <f t="shared" si="565"/>
        <v>0</v>
      </c>
      <c r="Y677" s="2">
        <f t="shared" si="566"/>
        <v>0</v>
      </c>
      <c r="Z677" s="2"/>
      <c r="AA677" s="2">
        <v>129761636</v>
      </c>
      <c r="AB677" s="2">
        <f t="shared" si="567"/>
        <v>56.94</v>
      </c>
      <c r="AC677" s="2">
        <f t="shared" si="568"/>
        <v>56.94</v>
      </c>
      <c r="AD677" s="2">
        <f t="shared" si="600"/>
        <v>0</v>
      </c>
      <c r="AE677" s="2">
        <f t="shared" si="601"/>
        <v>0</v>
      </c>
      <c r="AF677" s="2">
        <f t="shared" si="602"/>
        <v>0</v>
      </c>
      <c r="AG677" s="2">
        <f t="shared" si="572"/>
        <v>0</v>
      </c>
      <c r="AH677" s="2">
        <f t="shared" si="603"/>
        <v>0</v>
      </c>
      <c r="AI677" s="2">
        <f t="shared" si="604"/>
        <v>0</v>
      </c>
      <c r="AJ677" s="2">
        <f t="shared" si="575"/>
        <v>0</v>
      </c>
      <c r="AK677" s="2">
        <v>56.94</v>
      </c>
      <c r="AL677" s="2">
        <v>56.94</v>
      </c>
      <c r="AM677" s="2">
        <v>0</v>
      </c>
      <c r="AN677" s="2">
        <v>0</v>
      </c>
      <c r="AO677" s="2">
        <v>0</v>
      </c>
      <c r="AP677" s="2">
        <v>0</v>
      </c>
      <c r="AQ677" s="2">
        <v>0</v>
      </c>
      <c r="AR677" s="2">
        <v>0</v>
      </c>
      <c r="AS677" s="2">
        <v>0</v>
      </c>
      <c r="AT677" s="2">
        <v>114</v>
      </c>
      <c r="AU677" s="2">
        <v>67</v>
      </c>
      <c r="AV677" s="2">
        <v>1</v>
      </c>
      <c r="AW677" s="2">
        <v>1</v>
      </c>
      <c r="AX677" s="2"/>
      <c r="AY677" s="2"/>
      <c r="AZ677" s="2">
        <v>1</v>
      </c>
      <c r="BA677" s="2">
        <v>1</v>
      </c>
      <c r="BB677" s="2">
        <v>1</v>
      </c>
      <c r="BC677" s="2">
        <v>1</v>
      </c>
      <c r="BD677" s="2" t="s">
        <v>3</v>
      </c>
      <c r="BE677" s="2" t="s">
        <v>3</v>
      </c>
      <c r="BF677" s="2" t="s">
        <v>3</v>
      </c>
      <c r="BG677" s="2" t="s">
        <v>3</v>
      </c>
      <c r="BH677" s="2">
        <v>3</v>
      </c>
      <c r="BI677" s="2">
        <v>2</v>
      </c>
      <c r="BJ677" s="2" t="s">
        <v>667</v>
      </c>
      <c r="BK677" s="2"/>
      <c r="BL677" s="2"/>
      <c r="BM677" s="2">
        <v>333</v>
      </c>
      <c r="BN677" s="2">
        <v>0</v>
      </c>
      <c r="BO677" s="2" t="s">
        <v>3</v>
      </c>
      <c r="BP677" s="2">
        <v>0</v>
      </c>
      <c r="BQ677" s="2">
        <v>40</v>
      </c>
      <c r="BR677" s="2">
        <v>0</v>
      </c>
      <c r="BS677" s="2">
        <v>1</v>
      </c>
      <c r="BT677" s="2">
        <v>1</v>
      </c>
      <c r="BU677" s="2">
        <v>1</v>
      </c>
      <c r="BV677" s="2">
        <v>1</v>
      </c>
      <c r="BW677" s="2">
        <v>1</v>
      </c>
      <c r="BX677" s="2">
        <v>1</v>
      </c>
      <c r="BY677" s="2" t="s">
        <v>3</v>
      </c>
      <c r="BZ677" s="2">
        <v>114</v>
      </c>
      <c r="CA677" s="2">
        <v>67</v>
      </c>
      <c r="CB677" s="2" t="s">
        <v>3</v>
      </c>
      <c r="CC677" s="2"/>
      <c r="CD677" s="2"/>
      <c r="CE677" s="2">
        <v>30</v>
      </c>
      <c r="CF677" s="2">
        <v>0</v>
      </c>
      <c r="CG677" s="2">
        <v>0</v>
      </c>
      <c r="CH677" s="2"/>
      <c r="CI677" s="2"/>
      <c r="CJ677" s="2"/>
      <c r="CK677" s="2"/>
      <c r="CL677" s="2"/>
      <c r="CM677" s="2">
        <v>0</v>
      </c>
      <c r="CN677" s="2" t="s">
        <v>3</v>
      </c>
      <c r="CO677" s="2">
        <v>0</v>
      </c>
      <c r="CP677" s="2">
        <f t="shared" si="576"/>
        <v>56.94</v>
      </c>
      <c r="CQ677" s="2">
        <f t="shared" si="577"/>
        <v>56.94</v>
      </c>
      <c r="CR677" s="2">
        <f t="shared" si="605"/>
        <v>0</v>
      </c>
      <c r="CS677" s="2">
        <f t="shared" si="579"/>
        <v>0</v>
      </c>
      <c r="CT677" s="2">
        <f t="shared" si="580"/>
        <v>0</v>
      </c>
      <c r="CU677" s="2">
        <f t="shared" si="581"/>
        <v>0</v>
      </c>
      <c r="CV677" s="2">
        <f t="shared" si="582"/>
        <v>0</v>
      </c>
      <c r="CW677" s="2">
        <f t="shared" si="583"/>
        <v>0</v>
      </c>
      <c r="CX677" s="2">
        <f t="shared" si="584"/>
        <v>0</v>
      </c>
      <c r="CY677" s="2">
        <f>((S677*BZ677)/100)</f>
        <v>0</v>
      </c>
      <c r="CZ677" s="2">
        <f>((S677*CA677)/100)</f>
        <v>0</v>
      </c>
      <c r="DA677" s="2"/>
      <c r="DB677" s="2"/>
      <c r="DC677" s="2" t="s">
        <v>3</v>
      </c>
      <c r="DD677" s="2" t="s">
        <v>3</v>
      </c>
      <c r="DE677" s="2" t="s">
        <v>3</v>
      </c>
      <c r="DF677" s="2" t="s">
        <v>3</v>
      </c>
      <c r="DG677" s="2" t="s">
        <v>3</v>
      </c>
      <c r="DH677" s="2" t="s">
        <v>3</v>
      </c>
      <c r="DI677" s="2" t="s">
        <v>3</v>
      </c>
      <c r="DJ677" s="2" t="s">
        <v>3</v>
      </c>
      <c r="DK677" s="2" t="s">
        <v>3</v>
      </c>
      <c r="DL677" s="2" t="s">
        <v>3</v>
      </c>
      <c r="DM677" s="2" t="s">
        <v>3</v>
      </c>
      <c r="DN677" s="2">
        <v>0</v>
      </c>
      <c r="DO677" s="2">
        <v>0</v>
      </c>
      <c r="DP677" s="2">
        <v>1</v>
      </c>
      <c r="DQ677" s="2">
        <v>1</v>
      </c>
      <c r="DR677" s="2"/>
      <c r="DS677" s="2"/>
      <c r="DT677" s="2"/>
      <c r="DU677" s="2">
        <v>1010</v>
      </c>
      <c r="DV677" s="2" t="s">
        <v>250</v>
      </c>
      <c r="DW677" s="2" t="s">
        <v>250</v>
      </c>
      <c r="DX677" s="2">
        <v>1</v>
      </c>
      <c r="DY677" s="2"/>
      <c r="DZ677" s="2" t="s">
        <v>3</v>
      </c>
      <c r="EA677" s="2" t="s">
        <v>3</v>
      </c>
      <c r="EB677" s="2" t="s">
        <v>3</v>
      </c>
      <c r="EC677" s="2" t="s">
        <v>3</v>
      </c>
      <c r="ED677" s="2"/>
      <c r="EE677" s="2">
        <v>126051794</v>
      </c>
      <c r="EF677" s="2">
        <v>40</v>
      </c>
      <c r="EG677" s="2" t="s">
        <v>621</v>
      </c>
      <c r="EH677" s="2">
        <v>0</v>
      </c>
      <c r="EI677" s="2" t="s">
        <v>3</v>
      </c>
      <c r="EJ677" s="2">
        <v>2</v>
      </c>
      <c r="EK677" s="2">
        <v>333</v>
      </c>
      <c r="EL677" s="2" t="s">
        <v>656</v>
      </c>
      <c r="EM677" s="2" t="s">
        <v>657</v>
      </c>
      <c r="EN677" s="2"/>
      <c r="EO677" s="2" t="s">
        <v>3</v>
      </c>
      <c r="EP677" s="2"/>
      <c r="EQ677" s="2">
        <v>0</v>
      </c>
      <c r="ER677" s="2">
        <v>56.94</v>
      </c>
      <c r="ES677" s="2">
        <v>56.94</v>
      </c>
      <c r="ET677" s="2">
        <v>0</v>
      </c>
      <c r="EU677" s="2">
        <v>0</v>
      </c>
      <c r="EV677" s="2">
        <v>0</v>
      </c>
      <c r="EW677" s="2">
        <v>0</v>
      </c>
      <c r="EX677" s="2">
        <v>0</v>
      </c>
      <c r="EY677" s="2"/>
      <c r="EZ677" s="2"/>
      <c r="FA677" s="2"/>
      <c r="FB677" s="2"/>
      <c r="FC677" s="2"/>
      <c r="FD677" s="2"/>
      <c r="FE677" s="2"/>
      <c r="FF677" s="2"/>
      <c r="FG677" s="2"/>
      <c r="FH677" s="2"/>
      <c r="FI677" s="2"/>
      <c r="FJ677" s="2"/>
      <c r="FK677" s="2"/>
      <c r="FL677" s="2"/>
      <c r="FM677" s="2"/>
      <c r="FN677" s="2"/>
      <c r="FO677" s="2"/>
      <c r="FP677" s="2"/>
      <c r="FQ677" s="2">
        <v>0</v>
      </c>
      <c r="FR677" s="2">
        <f t="shared" si="585"/>
        <v>0</v>
      </c>
      <c r="FS677" s="2">
        <v>0</v>
      </c>
      <c r="FT677" s="2"/>
      <c r="FU677" s="2"/>
      <c r="FV677" s="2"/>
      <c r="FW677" s="2"/>
      <c r="FX677" s="2">
        <v>114</v>
      </c>
      <c r="FY677" s="2">
        <v>67</v>
      </c>
      <c r="FZ677" s="2"/>
      <c r="GA677" s="2" t="s">
        <v>3</v>
      </c>
      <c r="GB677" s="2"/>
      <c r="GC677" s="2"/>
      <c r="GD677" s="2">
        <v>0</v>
      </c>
      <c r="GE677" s="2"/>
      <c r="GF677" s="2">
        <v>-935473514</v>
      </c>
      <c r="GG677" s="2">
        <v>2</v>
      </c>
      <c r="GH677" s="2">
        <v>1</v>
      </c>
      <c r="GI677" s="2">
        <v>-2</v>
      </c>
      <c r="GJ677" s="2">
        <v>0</v>
      </c>
      <c r="GK677" s="2">
        <f>ROUND(R677*(R12)/100,2)</f>
        <v>0</v>
      </c>
      <c r="GL677" s="2">
        <f t="shared" si="586"/>
        <v>0</v>
      </c>
      <c r="GM677" s="2">
        <f t="shared" si="587"/>
        <v>56.94</v>
      </c>
      <c r="GN677" s="2">
        <f t="shared" si="588"/>
        <v>0</v>
      </c>
      <c r="GO677" s="2">
        <f t="shared" si="589"/>
        <v>56.94</v>
      </c>
      <c r="GP677" s="2">
        <f t="shared" si="590"/>
        <v>0</v>
      </c>
      <c r="GQ677" s="2"/>
      <c r="GR677" s="2">
        <v>0</v>
      </c>
      <c r="GS677" s="2">
        <v>0</v>
      </c>
      <c r="GT677" s="2">
        <v>0</v>
      </c>
      <c r="GU677" s="2" t="s">
        <v>3</v>
      </c>
      <c r="GV677" s="2">
        <f t="shared" si="591"/>
        <v>0</v>
      </c>
      <c r="GW677" s="2">
        <v>1</v>
      </c>
      <c r="GX677" s="2">
        <f t="shared" si="592"/>
        <v>0</v>
      </c>
      <c r="GY677" s="2"/>
      <c r="GZ677" s="2"/>
      <c r="HA677" s="2">
        <v>0</v>
      </c>
      <c r="HB677" s="2">
        <v>0</v>
      </c>
      <c r="HC677" s="2">
        <f t="shared" si="593"/>
        <v>0</v>
      </c>
      <c r="HD677" s="2"/>
      <c r="HE677" s="2" t="s">
        <v>3</v>
      </c>
      <c r="HF677" s="2" t="s">
        <v>3</v>
      </c>
      <c r="HG677" s="2"/>
      <c r="HH677" s="2"/>
      <c r="HI677" s="2"/>
      <c r="HJ677" s="2"/>
      <c r="HK677" s="2"/>
      <c r="HL677" s="2"/>
      <c r="HM677" s="2" t="s">
        <v>3</v>
      </c>
      <c r="HN677" s="2" t="s">
        <v>3</v>
      </c>
      <c r="HO677" s="2" t="s">
        <v>3</v>
      </c>
      <c r="HP677" s="2" t="s">
        <v>3</v>
      </c>
      <c r="HQ677" s="2" t="s">
        <v>3</v>
      </c>
      <c r="HR677" s="2"/>
      <c r="HS677" s="2"/>
      <c r="HT677" s="2"/>
      <c r="HU677" s="2"/>
      <c r="HV677" s="2"/>
      <c r="HW677" s="2"/>
      <c r="HX677" s="2"/>
      <c r="HY677" s="2"/>
      <c r="HZ677" s="2"/>
      <c r="IA677" s="2"/>
      <c r="IB677" s="2"/>
      <c r="IC677" s="2"/>
      <c r="ID677" s="2"/>
      <c r="IE677" s="2"/>
      <c r="IF677" s="2"/>
      <c r="IG677" s="2"/>
      <c r="IH677" s="2"/>
      <c r="II677" s="2"/>
      <c r="IJ677" s="2"/>
      <c r="IK677" s="2">
        <v>0</v>
      </c>
      <c r="IL677" s="2"/>
      <c r="IM677" s="2"/>
      <c r="IN677" s="2"/>
      <c r="IO677" s="2"/>
      <c r="IP677" s="2"/>
      <c r="IQ677" s="2"/>
      <c r="IR677" s="2"/>
      <c r="IS677" s="2"/>
      <c r="IT677" s="2"/>
      <c r="IU677" s="2"/>
    </row>
    <row r="678" spans="1:255" x14ac:dyDescent="0.2">
      <c r="A678">
        <v>18</v>
      </c>
      <c r="B678">
        <v>1</v>
      </c>
      <c r="C678">
        <v>700</v>
      </c>
      <c r="E678" t="s">
        <v>596</v>
      </c>
      <c r="F678" t="s">
        <v>665</v>
      </c>
      <c r="G678" t="s">
        <v>666</v>
      </c>
      <c r="H678" t="s">
        <v>250</v>
      </c>
      <c r="I678">
        <f>I676*J678</f>
        <v>1</v>
      </c>
      <c r="J678">
        <v>1</v>
      </c>
      <c r="K678">
        <v>1</v>
      </c>
      <c r="O678">
        <f t="shared" si="556"/>
        <v>510.75</v>
      </c>
      <c r="P678">
        <f t="shared" si="557"/>
        <v>510.75</v>
      </c>
      <c r="Q678">
        <f t="shared" si="599"/>
        <v>0</v>
      </c>
      <c r="R678">
        <f t="shared" si="559"/>
        <v>0</v>
      </c>
      <c r="S678">
        <f t="shared" si="560"/>
        <v>0</v>
      </c>
      <c r="T678">
        <f t="shared" si="561"/>
        <v>0</v>
      </c>
      <c r="U678">
        <f t="shared" si="562"/>
        <v>0</v>
      </c>
      <c r="V678">
        <f t="shared" si="563"/>
        <v>0</v>
      </c>
      <c r="W678">
        <f t="shared" si="564"/>
        <v>0</v>
      </c>
      <c r="X678">
        <f t="shared" si="565"/>
        <v>0</v>
      </c>
      <c r="Y678">
        <f t="shared" si="566"/>
        <v>0</v>
      </c>
      <c r="AA678">
        <v>129761633</v>
      </c>
      <c r="AB678">
        <f t="shared" si="567"/>
        <v>56.94</v>
      </c>
      <c r="AC678">
        <f t="shared" si="568"/>
        <v>56.94</v>
      </c>
      <c r="AD678">
        <f t="shared" si="600"/>
        <v>0</v>
      </c>
      <c r="AE678">
        <f t="shared" si="601"/>
        <v>0</v>
      </c>
      <c r="AF678">
        <f t="shared" si="602"/>
        <v>0</v>
      </c>
      <c r="AG678">
        <f t="shared" si="572"/>
        <v>0</v>
      </c>
      <c r="AH678">
        <f t="shared" si="603"/>
        <v>0</v>
      </c>
      <c r="AI678">
        <f t="shared" si="604"/>
        <v>0</v>
      </c>
      <c r="AJ678">
        <f t="shared" si="575"/>
        <v>0</v>
      </c>
      <c r="AK678">
        <v>56.94</v>
      </c>
      <c r="AL678">
        <v>56.94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1</v>
      </c>
      <c r="AW678">
        <v>1</v>
      </c>
      <c r="AZ678">
        <v>1</v>
      </c>
      <c r="BA678">
        <v>1</v>
      </c>
      <c r="BB678">
        <v>1</v>
      </c>
      <c r="BC678">
        <v>8.9700000000000006</v>
      </c>
      <c r="BD678" t="s">
        <v>3</v>
      </c>
      <c r="BE678" t="s">
        <v>3</v>
      </c>
      <c r="BF678" t="s">
        <v>3</v>
      </c>
      <c r="BG678" t="s">
        <v>3</v>
      </c>
      <c r="BH678">
        <v>3</v>
      </c>
      <c r="BI678">
        <v>2</v>
      </c>
      <c r="BJ678" t="s">
        <v>667</v>
      </c>
      <c r="BM678">
        <v>333</v>
      </c>
      <c r="BN678">
        <v>0</v>
      </c>
      <c r="BO678" t="s">
        <v>665</v>
      </c>
      <c r="BP678">
        <v>1</v>
      </c>
      <c r="BQ678">
        <v>40</v>
      </c>
      <c r="BR678">
        <v>0</v>
      </c>
      <c r="BS678">
        <v>1</v>
      </c>
      <c r="BT678">
        <v>1</v>
      </c>
      <c r="BU678">
        <v>1</v>
      </c>
      <c r="BV678">
        <v>1</v>
      </c>
      <c r="BW678">
        <v>1</v>
      </c>
      <c r="BX678">
        <v>1</v>
      </c>
      <c r="BY678" t="s">
        <v>3</v>
      </c>
      <c r="BZ678">
        <v>0</v>
      </c>
      <c r="CA678">
        <v>0</v>
      </c>
      <c r="CB678" t="s">
        <v>3</v>
      </c>
      <c r="CE678">
        <v>30</v>
      </c>
      <c r="CF678">
        <v>0</v>
      </c>
      <c r="CG678">
        <v>0</v>
      </c>
      <c r="CM678">
        <v>0</v>
      </c>
      <c r="CN678" t="s">
        <v>3</v>
      </c>
      <c r="CO678">
        <v>0</v>
      </c>
      <c r="CP678">
        <f t="shared" si="576"/>
        <v>510.75</v>
      </c>
      <c r="CQ678">
        <f t="shared" si="577"/>
        <v>510.75</v>
      </c>
      <c r="CR678">
        <f t="shared" si="605"/>
        <v>0</v>
      </c>
      <c r="CS678">
        <f t="shared" si="579"/>
        <v>0</v>
      </c>
      <c r="CT678">
        <f t="shared" si="580"/>
        <v>0</v>
      </c>
      <c r="CU678">
        <f t="shared" si="581"/>
        <v>0</v>
      </c>
      <c r="CV678">
        <f t="shared" si="582"/>
        <v>0</v>
      </c>
      <c r="CW678">
        <f t="shared" si="583"/>
        <v>0</v>
      </c>
      <c r="CX678">
        <f t="shared" si="584"/>
        <v>0</v>
      </c>
      <c r="CY678">
        <f>S678*(BZ678/100)</f>
        <v>0</v>
      </c>
      <c r="CZ678">
        <f>S678*(CA678/100)</f>
        <v>0</v>
      </c>
      <c r="DC678" t="s">
        <v>3</v>
      </c>
      <c r="DD678" t="s">
        <v>3</v>
      </c>
      <c r="DE678" t="s">
        <v>3</v>
      </c>
      <c r="DF678" t="s">
        <v>3</v>
      </c>
      <c r="DG678" t="s">
        <v>3</v>
      </c>
      <c r="DH678" t="s">
        <v>3</v>
      </c>
      <c r="DI678" t="s">
        <v>3</v>
      </c>
      <c r="DJ678" t="s">
        <v>3</v>
      </c>
      <c r="DK678" t="s">
        <v>3</v>
      </c>
      <c r="DL678" t="s">
        <v>3</v>
      </c>
      <c r="DM678" t="s">
        <v>3</v>
      </c>
      <c r="DN678">
        <v>114</v>
      </c>
      <c r="DO678">
        <v>67</v>
      </c>
      <c r="DP678">
        <v>1</v>
      </c>
      <c r="DQ678">
        <v>1</v>
      </c>
      <c r="DU678">
        <v>1010</v>
      </c>
      <c r="DV678" t="s">
        <v>250</v>
      </c>
      <c r="DW678" t="s">
        <v>250</v>
      </c>
      <c r="DX678">
        <v>1</v>
      </c>
      <c r="DZ678" t="s">
        <v>3</v>
      </c>
      <c r="EA678" t="s">
        <v>3</v>
      </c>
      <c r="EB678" t="s">
        <v>3</v>
      </c>
      <c r="EC678" t="s">
        <v>3</v>
      </c>
      <c r="EE678">
        <v>126051794</v>
      </c>
      <c r="EF678">
        <v>40</v>
      </c>
      <c r="EG678" t="s">
        <v>621</v>
      </c>
      <c r="EH678">
        <v>0</v>
      </c>
      <c r="EI678" t="s">
        <v>3</v>
      </c>
      <c r="EJ678">
        <v>2</v>
      </c>
      <c r="EK678">
        <v>333</v>
      </c>
      <c r="EL678" t="s">
        <v>656</v>
      </c>
      <c r="EM678" t="s">
        <v>657</v>
      </c>
      <c r="EO678" t="s">
        <v>3</v>
      </c>
      <c r="EQ678">
        <v>0</v>
      </c>
      <c r="ER678">
        <v>56.94</v>
      </c>
      <c r="ES678">
        <v>56.94</v>
      </c>
      <c r="ET678">
        <v>0</v>
      </c>
      <c r="EU678">
        <v>0</v>
      </c>
      <c r="EV678">
        <v>0</v>
      </c>
      <c r="EW678">
        <v>0</v>
      </c>
      <c r="EX678">
        <v>0</v>
      </c>
      <c r="FQ678">
        <v>0</v>
      </c>
      <c r="FR678">
        <f t="shared" si="585"/>
        <v>0</v>
      </c>
      <c r="FS678">
        <v>0</v>
      </c>
      <c r="FX678">
        <v>114</v>
      </c>
      <c r="FY678">
        <v>67</v>
      </c>
      <c r="GA678" t="s">
        <v>3</v>
      </c>
      <c r="GD678">
        <v>0</v>
      </c>
      <c r="GF678">
        <v>-935473514</v>
      </c>
      <c r="GG678">
        <v>2</v>
      </c>
      <c r="GH678">
        <v>1</v>
      </c>
      <c r="GI678">
        <v>2</v>
      </c>
      <c r="GJ678">
        <v>0</v>
      </c>
      <c r="GK678">
        <f>ROUND(R678*(S12)/100,2)</f>
        <v>0</v>
      </c>
      <c r="GL678">
        <f t="shared" si="586"/>
        <v>0</v>
      </c>
      <c r="GM678">
        <f t="shared" si="587"/>
        <v>510.75</v>
      </c>
      <c r="GN678">
        <f t="shared" si="588"/>
        <v>0</v>
      </c>
      <c r="GO678">
        <f t="shared" si="589"/>
        <v>510.75</v>
      </c>
      <c r="GP678">
        <f t="shared" si="590"/>
        <v>0</v>
      </c>
      <c r="GR678">
        <v>0</v>
      </c>
      <c r="GS678">
        <v>3</v>
      </c>
      <c r="GT678">
        <v>0</v>
      </c>
      <c r="GU678" t="s">
        <v>3</v>
      </c>
      <c r="GV678">
        <f t="shared" si="591"/>
        <v>0</v>
      </c>
      <c r="GW678">
        <v>1</v>
      </c>
      <c r="GX678">
        <f t="shared" si="592"/>
        <v>0</v>
      </c>
      <c r="HA678">
        <v>0</v>
      </c>
      <c r="HB678">
        <v>0</v>
      </c>
      <c r="HC678">
        <f t="shared" si="593"/>
        <v>0</v>
      </c>
      <c r="HE678" t="s">
        <v>3</v>
      </c>
      <c r="HF678" t="s">
        <v>3</v>
      </c>
      <c r="HM678" t="s">
        <v>3</v>
      </c>
      <c r="HN678" t="s">
        <v>3</v>
      </c>
      <c r="HO678" t="s">
        <v>3</v>
      </c>
      <c r="HP678" t="s">
        <v>3</v>
      </c>
      <c r="HQ678" t="s">
        <v>3</v>
      </c>
      <c r="IK678">
        <v>0</v>
      </c>
    </row>
    <row r="679" spans="1:255" x14ac:dyDescent="0.2">
      <c r="A679" s="2">
        <v>17</v>
      </c>
      <c r="B679" s="2">
        <v>1</v>
      </c>
      <c r="C679" s="2">
        <f>ROW(SmtRes!A702)</f>
        <v>702</v>
      </c>
      <c r="D679" s="2">
        <f>ROW(EtalonRes!A696)</f>
        <v>696</v>
      </c>
      <c r="E679" s="2" t="s">
        <v>218</v>
      </c>
      <c r="F679" s="2" t="s">
        <v>668</v>
      </c>
      <c r="G679" s="2" t="s">
        <v>669</v>
      </c>
      <c r="H679" s="2" t="s">
        <v>455</v>
      </c>
      <c r="I679" s="2">
        <v>0.5</v>
      </c>
      <c r="J679" s="2">
        <v>0</v>
      </c>
      <c r="K679" s="2">
        <v>0.5</v>
      </c>
      <c r="L679" s="2"/>
      <c r="M679" s="2"/>
      <c r="N679" s="2"/>
      <c r="O679" s="2">
        <f t="shared" ref="O679:O700" si="606">ROUND(CP679,2)</f>
        <v>1182.72</v>
      </c>
      <c r="P679" s="2">
        <f t="shared" ref="P679:P700" si="607">ROUND((ROUND((AC679*AW679*I679),2)*BC679),2)</f>
        <v>922.3</v>
      </c>
      <c r="Q679" s="2">
        <f t="shared" si="599"/>
        <v>14.74</v>
      </c>
      <c r="R679" s="2">
        <f t="shared" ref="R679:R700" si="608">ROUND((ROUND((AE679*AV679*I679),2)*BS679),2)</f>
        <v>1.97</v>
      </c>
      <c r="S679" s="2">
        <f t="shared" ref="S679:S700" si="609">ROUND((ROUND((AF679*AV679*I679),2)*BA679),2)</f>
        <v>245.68</v>
      </c>
      <c r="T679" s="2">
        <f t="shared" ref="T679:T700" si="610">ROUND(CU679*I679,2)</f>
        <v>0</v>
      </c>
      <c r="U679" s="2">
        <f t="shared" ref="U679:U700" si="611">CV679*I679</f>
        <v>20.335000000000001</v>
      </c>
      <c r="V679" s="2">
        <f t="shared" ref="V679:V700" si="612">CW679*I679</f>
        <v>0</v>
      </c>
      <c r="W679" s="2">
        <f t="shared" ref="W679:W700" si="613">ROUND(CX679*I679,2)</f>
        <v>0</v>
      </c>
      <c r="X679" s="2">
        <f t="shared" ref="X679:X700" si="614">ROUND(CY679,2)</f>
        <v>280.08</v>
      </c>
      <c r="Y679" s="2">
        <f t="shared" ref="Y679:Y700" si="615">ROUND(CZ679,2)</f>
        <v>164.61</v>
      </c>
      <c r="Z679" s="2"/>
      <c r="AA679" s="2">
        <v>129761636</v>
      </c>
      <c r="AB679" s="2">
        <f t="shared" ref="AB679:AB700" si="616">ROUND((AC679+AD679+AF679),6)</f>
        <v>2365.41</v>
      </c>
      <c r="AC679" s="2">
        <f t="shared" ref="AC679:AC700" si="617">ROUND((ES679),6)</f>
        <v>1844.59</v>
      </c>
      <c r="AD679" s="2">
        <f t="shared" si="600"/>
        <v>29.47</v>
      </c>
      <c r="AE679" s="2">
        <f t="shared" si="601"/>
        <v>3.94</v>
      </c>
      <c r="AF679" s="2">
        <f t="shared" si="602"/>
        <v>491.35</v>
      </c>
      <c r="AG679" s="2">
        <f t="shared" ref="AG679:AG700" si="618">ROUND((AP679),6)</f>
        <v>0</v>
      </c>
      <c r="AH679" s="2">
        <f t="shared" si="603"/>
        <v>40.67</v>
      </c>
      <c r="AI679" s="2">
        <f t="shared" si="604"/>
        <v>0</v>
      </c>
      <c r="AJ679" s="2">
        <f t="shared" ref="AJ679:AJ700" si="619">(AS679)</f>
        <v>0</v>
      </c>
      <c r="AK679" s="2">
        <v>2365.41</v>
      </c>
      <c r="AL679" s="2">
        <v>1844.59</v>
      </c>
      <c r="AM679" s="2">
        <v>29.47</v>
      </c>
      <c r="AN679" s="2">
        <v>3.94</v>
      </c>
      <c r="AO679" s="2">
        <v>491.35</v>
      </c>
      <c r="AP679" s="2">
        <v>0</v>
      </c>
      <c r="AQ679" s="2">
        <v>40.67</v>
      </c>
      <c r="AR679" s="2">
        <v>0</v>
      </c>
      <c r="AS679" s="2">
        <v>0</v>
      </c>
      <c r="AT679" s="2">
        <v>114</v>
      </c>
      <c r="AU679" s="2">
        <v>67</v>
      </c>
      <c r="AV679" s="2">
        <v>1</v>
      </c>
      <c r="AW679" s="2">
        <v>1</v>
      </c>
      <c r="AX679" s="2"/>
      <c r="AY679" s="2"/>
      <c r="AZ679" s="2">
        <v>1</v>
      </c>
      <c r="BA679" s="2">
        <v>1</v>
      </c>
      <c r="BB679" s="2">
        <v>1</v>
      </c>
      <c r="BC679" s="2">
        <v>1</v>
      </c>
      <c r="BD679" s="2" t="s">
        <v>3</v>
      </c>
      <c r="BE679" s="2" t="s">
        <v>3</v>
      </c>
      <c r="BF679" s="2" t="s">
        <v>3</v>
      </c>
      <c r="BG679" s="2" t="s">
        <v>3</v>
      </c>
      <c r="BH679" s="2">
        <v>0</v>
      </c>
      <c r="BI679" s="2">
        <v>2</v>
      </c>
      <c r="BJ679" s="2" t="s">
        <v>670</v>
      </c>
      <c r="BK679" s="2"/>
      <c r="BL679" s="2"/>
      <c r="BM679" s="2">
        <v>335</v>
      </c>
      <c r="BN679" s="2">
        <v>0</v>
      </c>
      <c r="BO679" s="2" t="s">
        <v>3</v>
      </c>
      <c r="BP679" s="2">
        <v>0</v>
      </c>
      <c r="BQ679" s="2">
        <v>40</v>
      </c>
      <c r="BR679" s="2">
        <v>0</v>
      </c>
      <c r="BS679" s="2">
        <v>1</v>
      </c>
      <c r="BT679" s="2">
        <v>1</v>
      </c>
      <c r="BU679" s="2">
        <v>1</v>
      </c>
      <c r="BV679" s="2">
        <v>1</v>
      </c>
      <c r="BW679" s="2">
        <v>1</v>
      </c>
      <c r="BX679" s="2">
        <v>1</v>
      </c>
      <c r="BY679" s="2" t="s">
        <v>3</v>
      </c>
      <c r="BZ679" s="2">
        <v>114</v>
      </c>
      <c r="CA679" s="2">
        <v>67</v>
      </c>
      <c r="CB679" s="2" t="s">
        <v>3</v>
      </c>
      <c r="CC679" s="2"/>
      <c r="CD679" s="2"/>
      <c r="CE679" s="2">
        <v>30</v>
      </c>
      <c r="CF679" s="2">
        <v>0</v>
      </c>
      <c r="CG679" s="2">
        <v>0</v>
      </c>
      <c r="CH679" s="2"/>
      <c r="CI679" s="2"/>
      <c r="CJ679" s="2"/>
      <c r="CK679" s="2"/>
      <c r="CL679" s="2"/>
      <c r="CM679" s="2">
        <v>0</v>
      </c>
      <c r="CN679" s="2" t="s">
        <v>3</v>
      </c>
      <c r="CO679" s="2">
        <v>0</v>
      </c>
      <c r="CP679" s="2">
        <f t="shared" ref="CP679:CP700" si="620">(P679+Q679+S679)</f>
        <v>1182.72</v>
      </c>
      <c r="CQ679" s="2">
        <f t="shared" ref="CQ679:CQ700" si="621">ROUND((ROUND((AC679*AW679*1),2)*BC679),2)</f>
        <v>1844.59</v>
      </c>
      <c r="CR679" s="2">
        <f t="shared" si="605"/>
        <v>29.47</v>
      </c>
      <c r="CS679" s="2">
        <f t="shared" ref="CS679:CS700" si="622">ROUND((ROUND((AE679*AV679*1),2)*BS679),2)</f>
        <v>3.94</v>
      </c>
      <c r="CT679" s="2">
        <f t="shared" ref="CT679:CT700" si="623">ROUND((ROUND((AF679*AV679*1),2)*BA679),2)</f>
        <v>491.35</v>
      </c>
      <c r="CU679" s="2">
        <f t="shared" ref="CU679:CU700" si="624">AG679</f>
        <v>0</v>
      </c>
      <c r="CV679" s="2">
        <f t="shared" ref="CV679:CV700" si="625">(AH679*AV679)</f>
        <v>40.67</v>
      </c>
      <c r="CW679" s="2">
        <f t="shared" ref="CW679:CW700" si="626">AI679</f>
        <v>0</v>
      </c>
      <c r="CX679" s="2">
        <f t="shared" ref="CX679:CX700" si="627">AJ679</f>
        <v>0</v>
      </c>
      <c r="CY679" s="2">
        <f>((S679*BZ679)/100)</f>
        <v>280.0752</v>
      </c>
      <c r="CZ679" s="2">
        <f>((S679*CA679)/100)</f>
        <v>164.60560000000001</v>
      </c>
      <c r="DA679" s="2"/>
      <c r="DB679" s="2"/>
      <c r="DC679" s="2" t="s">
        <v>3</v>
      </c>
      <c r="DD679" s="2" t="s">
        <v>3</v>
      </c>
      <c r="DE679" s="2" t="s">
        <v>3</v>
      </c>
      <c r="DF679" s="2" t="s">
        <v>3</v>
      </c>
      <c r="DG679" s="2" t="s">
        <v>3</v>
      </c>
      <c r="DH679" s="2" t="s">
        <v>3</v>
      </c>
      <c r="DI679" s="2" t="s">
        <v>3</v>
      </c>
      <c r="DJ679" s="2" t="s">
        <v>3</v>
      </c>
      <c r="DK679" s="2" t="s">
        <v>3</v>
      </c>
      <c r="DL679" s="2" t="s">
        <v>3</v>
      </c>
      <c r="DM679" s="2" t="s">
        <v>3</v>
      </c>
      <c r="DN679" s="2">
        <v>0</v>
      </c>
      <c r="DO679" s="2">
        <v>0</v>
      </c>
      <c r="DP679" s="2">
        <v>1</v>
      </c>
      <c r="DQ679" s="2">
        <v>1</v>
      </c>
      <c r="DR679" s="2"/>
      <c r="DS679" s="2"/>
      <c r="DT679" s="2"/>
      <c r="DU679" s="2">
        <v>1003</v>
      </c>
      <c r="DV679" s="2" t="s">
        <v>455</v>
      </c>
      <c r="DW679" s="2" t="s">
        <v>455</v>
      </c>
      <c r="DX679" s="2">
        <v>100</v>
      </c>
      <c r="DY679" s="2"/>
      <c r="DZ679" s="2" t="s">
        <v>3</v>
      </c>
      <c r="EA679" s="2" t="s">
        <v>3</v>
      </c>
      <c r="EB679" s="2" t="s">
        <v>3</v>
      </c>
      <c r="EC679" s="2" t="s">
        <v>3</v>
      </c>
      <c r="ED679" s="2"/>
      <c r="EE679" s="2">
        <v>126051796</v>
      </c>
      <c r="EF679" s="2">
        <v>40</v>
      </c>
      <c r="EG679" s="2" t="s">
        <v>621</v>
      </c>
      <c r="EH679" s="2">
        <v>0</v>
      </c>
      <c r="EI679" s="2" t="s">
        <v>3</v>
      </c>
      <c r="EJ679" s="2">
        <v>2</v>
      </c>
      <c r="EK679" s="2">
        <v>335</v>
      </c>
      <c r="EL679" s="2" t="s">
        <v>671</v>
      </c>
      <c r="EM679" s="2" t="s">
        <v>672</v>
      </c>
      <c r="EN679" s="2"/>
      <c r="EO679" s="2" t="s">
        <v>3</v>
      </c>
      <c r="EP679" s="2"/>
      <c r="EQ679" s="2">
        <v>131072</v>
      </c>
      <c r="ER679" s="2">
        <v>2365.41</v>
      </c>
      <c r="ES679" s="2">
        <v>1844.59</v>
      </c>
      <c r="ET679" s="2">
        <v>29.47</v>
      </c>
      <c r="EU679" s="2">
        <v>3.94</v>
      </c>
      <c r="EV679" s="2">
        <v>491.35</v>
      </c>
      <c r="EW679" s="2">
        <v>40.67</v>
      </c>
      <c r="EX679" s="2">
        <v>0</v>
      </c>
      <c r="EY679" s="2">
        <v>0</v>
      </c>
      <c r="EZ679" s="2"/>
      <c r="FA679" s="2"/>
      <c r="FB679" s="2"/>
      <c r="FC679" s="2"/>
      <c r="FD679" s="2"/>
      <c r="FE679" s="2"/>
      <c r="FF679" s="2"/>
      <c r="FG679" s="2"/>
      <c r="FH679" s="2"/>
      <c r="FI679" s="2"/>
      <c r="FJ679" s="2"/>
      <c r="FK679" s="2"/>
      <c r="FL679" s="2"/>
      <c r="FM679" s="2"/>
      <c r="FN679" s="2"/>
      <c r="FO679" s="2"/>
      <c r="FP679" s="2"/>
      <c r="FQ679" s="2">
        <v>0</v>
      </c>
      <c r="FR679" s="2">
        <f t="shared" ref="FR679:FR700" si="628">ROUND(IF(AND(BH679=3,BI679=3),P679,0),2)</f>
        <v>0</v>
      </c>
      <c r="FS679" s="2">
        <v>0</v>
      </c>
      <c r="FT679" s="2"/>
      <c r="FU679" s="2"/>
      <c r="FV679" s="2"/>
      <c r="FW679" s="2"/>
      <c r="FX679" s="2">
        <v>114</v>
      </c>
      <c r="FY679" s="2">
        <v>67</v>
      </c>
      <c r="FZ679" s="2"/>
      <c r="GA679" s="2" t="s">
        <v>3</v>
      </c>
      <c r="GB679" s="2"/>
      <c r="GC679" s="2"/>
      <c r="GD679" s="2">
        <v>0</v>
      </c>
      <c r="GE679" s="2"/>
      <c r="GF679" s="2">
        <v>634789835</v>
      </c>
      <c r="GG679" s="2">
        <v>2</v>
      </c>
      <c r="GH679" s="2">
        <v>1</v>
      </c>
      <c r="GI679" s="2">
        <v>-2</v>
      </c>
      <c r="GJ679" s="2">
        <v>0</v>
      </c>
      <c r="GK679" s="2">
        <f>ROUND(R679*(R12)/100,2)</f>
        <v>3.45</v>
      </c>
      <c r="GL679" s="2">
        <f t="shared" ref="GL679:GL700" si="629">ROUND(IF(AND(BH679=3,BI679=3,FS679&lt;&gt;0),P679,0),2)</f>
        <v>0</v>
      </c>
      <c r="GM679" s="2">
        <f t="shared" ref="GM679:GM700" si="630">ROUND(O679+X679+Y679+GK679,2)+GX679</f>
        <v>1630.86</v>
      </c>
      <c r="GN679" s="2">
        <f t="shared" ref="GN679:GN700" si="631">IF(OR(BI679=0,BI679=1),ROUND(O679+X679+Y679+GK679,2),0)</f>
        <v>0</v>
      </c>
      <c r="GO679" s="2">
        <f t="shared" ref="GO679:GO700" si="632">IF(BI679=2,ROUND(O679+X679+Y679+GK679,2),0)</f>
        <v>1630.86</v>
      </c>
      <c r="GP679" s="2">
        <f t="shared" ref="GP679:GP700" si="633">IF(BI679=4,ROUND(O679+X679+Y679+GK679,2)+GX679,0)</f>
        <v>0</v>
      </c>
      <c r="GQ679" s="2"/>
      <c r="GR679" s="2">
        <v>0</v>
      </c>
      <c r="GS679" s="2">
        <v>0</v>
      </c>
      <c r="GT679" s="2">
        <v>0</v>
      </c>
      <c r="GU679" s="2" t="s">
        <v>3</v>
      </c>
      <c r="GV679" s="2">
        <f t="shared" ref="GV679:GV700" si="634">ROUND((GT679),6)</f>
        <v>0</v>
      </c>
      <c r="GW679" s="2">
        <v>1</v>
      </c>
      <c r="GX679" s="2">
        <f t="shared" ref="GX679:GX700" si="635">ROUND(HC679*I679,2)</f>
        <v>0</v>
      </c>
      <c r="GY679" s="2"/>
      <c r="GZ679" s="2"/>
      <c r="HA679" s="2">
        <v>0</v>
      </c>
      <c r="HB679" s="2">
        <v>0</v>
      </c>
      <c r="HC679" s="2">
        <f t="shared" ref="HC679:HC700" si="636">GV679*GW679</f>
        <v>0</v>
      </c>
      <c r="HD679" s="2"/>
      <c r="HE679" s="2" t="s">
        <v>3</v>
      </c>
      <c r="HF679" s="2" t="s">
        <v>3</v>
      </c>
      <c r="HG679" s="2"/>
      <c r="HH679" s="2"/>
      <c r="HI679" s="2"/>
      <c r="HJ679" s="2"/>
      <c r="HK679" s="2"/>
      <c r="HL679" s="2"/>
      <c r="HM679" s="2" t="s">
        <v>3</v>
      </c>
      <c r="HN679" s="2" t="s">
        <v>3</v>
      </c>
      <c r="HO679" s="2" t="s">
        <v>3</v>
      </c>
      <c r="HP679" s="2" t="s">
        <v>3</v>
      </c>
      <c r="HQ679" s="2" t="s">
        <v>3</v>
      </c>
      <c r="HR679" s="2"/>
      <c r="HS679" s="2"/>
      <c r="HT679" s="2"/>
      <c r="HU679" s="2"/>
      <c r="HV679" s="2"/>
      <c r="HW679" s="2"/>
      <c r="HX679" s="2"/>
      <c r="HY679" s="2"/>
      <c r="HZ679" s="2"/>
      <c r="IA679" s="2"/>
      <c r="IB679" s="2"/>
      <c r="IC679" s="2"/>
      <c r="ID679" s="2"/>
      <c r="IE679" s="2"/>
      <c r="IF679" s="2"/>
      <c r="IG679" s="2"/>
      <c r="IH679" s="2"/>
      <c r="II679" s="2"/>
      <c r="IJ679" s="2"/>
      <c r="IK679" s="2">
        <v>0</v>
      </c>
      <c r="IL679" s="2"/>
      <c r="IM679" s="2"/>
      <c r="IN679" s="2"/>
      <c r="IO679" s="2"/>
      <c r="IP679" s="2"/>
      <c r="IQ679" s="2"/>
      <c r="IR679" s="2"/>
      <c r="IS679" s="2"/>
      <c r="IT679" s="2"/>
      <c r="IU679" s="2"/>
    </row>
    <row r="680" spans="1:255" x14ac:dyDescent="0.2">
      <c r="A680">
        <v>17</v>
      </c>
      <c r="B680">
        <v>1</v>
      </c>
      <c r="C680">
        <f>ROW(SmtRes!A704)</f>
        <v>704</v>
      </c>
      <c r="D680">
        <f>ROW(EtalonRes!A704)</f>
        <v>704</v>
      </c>
      <c r="E680" t="s">
        <v>218</v>
      </c>
      <c r="F680" t="s">
        <v>668</v>
      </c>
      <c r="G680" t="s">
        <v>669</v>
      </c>
      <c r="H680" t="s">
        <v>455</v>
      </c>
      <c r="I680">
        <v>0.5</v>
      </c>
      <c r="J680">
        <v>0</v>
      </c>
      <c r="K680">
        <v>0.5</v>
      </c>
      <c r="O680">
        <f t="shared" si="606"/>
        <v>15480.19</v>
      </c>
      <c r="P680">
        <f t="shared" si="607"/>
        <v>8180.8</v>
      </c>
      <c r="Q680">
        <f t="shared" si="599"/>
        <v>167.3</v>
      </c>
      <c r="R680">
        <f t="shared" si="608"/>
        <v>57.19</v>
      </c>
      <c r="S680">
        <f t="shared" si="609"/>
        <v>7132.09</v>
      </c>
      <c r="T680">
        <f t="shared" si="610"/>
        <v>0</v>
      </c>
      <c r="U680">
        <f t="shared" si="611"/>
        <v>20.335000000000001</v>
      </c>
      <c r="V680">
        <f t="shared" si="612"/>
        <v>0</v>
      </c>
      <c r="W680">
        <f t="shared" si="613"/>
        <v>0</v>
      </c>
      <c r="X680">
        <f t="shared" si="614"/>
        <v>5634.35</v>
      </c>
      <c r="Y680">
        <f t="shared" si="615"/>
        <v>2924.16</v>
      </c>
      <c r="AA680">
        <v>129761633</v>
      </c>
      <c r="AB680">
        <f t="shared" si="616"/>
        <v>2365.41</v>
      </c>
      <c r="AC680">
        <f t="shared" si="617"/>
        <v>1844.59</v>
      </c>
      <c r="AD680">
        <f t="shared" si="600"/>
        <v>29.47</v>
      </c>
      <c r="AE680">
        <f t="shared" si="601"/>
        <v>3.94</v>
      </c>
      <c r="AF680">
        <f t="shared" si="602"/>
        <v>491.35</v>
      </c>
      <c r="AG680">
        <f t="shared" si="618"/>
        <v>0</v>
      </c>
      <c r="AH680">
        <f t="shared" si="603"/>
        <v>40.67</v>
      </c>
      <c r="AI680">
        <f t="shared" si="604"/>
        <v>0</v>
      </c>
      <c r="AJ680">
        <f t="shared" si="619"/>
        <v>0</v>
      </c>
      <c r="AK680">
        <v>2365.41</v>
      </c>
      <c r="AL680">
        <v>1844.59</v>
      </c>
      <c r="AM680">
        <v>29.47</v>
      </c>
      <c r="AN680">
        <v>3.94</v>
      </c>
      <c r="AO680">
        <v>491.35</v>
      </c>
      <c r="AP680">
        <v>0</v>
      </c>
      <c r="AQ680">
        <v>40.67</v>
      </c>
      <c r="AR680">
        <v>0</v>
      </c>
      <c r="AS680">
        <v>0</v>
      </c>
      <c r="AT680">
        <v>79</v>
      </c>
      <c r="AU680">
        <v>41</v>
      </c>
      <c r="AV680">
        <v>1</v>
      </c>
      <c r="AW680">
        <v>1</v>
      </c>
      <c r="AZ680">
        <v>1</v>
      </c>
      <c r="BA680">
        <v>29.03</v>
      </c>
      <c r="BB680">
        <v>11.35</v>
      </c>
      <c r="BC680">
        <v>8.8699999999999992</v>
      </c>
      <c r="BD680" t="s">
        <v>3</v>
      </c>
      <c r="BE680" t="s">
        <v>3</v>
      </c>
      <c r="BF680" t="s">
        <v>3</v>
      </c>
      <c r="BG680" t="s">
        <v>3</v>
      </c>
      <c r="BH680">
        <v>0</v>
      </c>
      <c r="BI680">
        <v>2</v>
      </c>
      <c r="BJ680" t="s">
        <v>670</v>
      </c>
      <c r="BM680">
        <v>335</v>
      </c>
      <c r="BN680">
        <v>0</v>
      </c>
      <c r="BO680" t="s">
        <v>668</v>
      </c>
      <c r="BP680">
        <v>1</v>
      </c>
      <c r="BQ680">
        <v>40</v>
      </c>
      <c r="BR680">
        <v>0</v>
      </c>
      <c r="BS680">
        <v>29.03</v>
      </c>
      <c r="BT680">
        <v>1</v>
      </c>
      <c r="BU680">
        <v>1</v>
      </c>
      <c r="BV680">
        <v>1</v>
      </c>
      <c r="BW680">
        <v>1</v>
      </c>
      <c r="BX680">
        <v>1</v>
      </c>
      <c r="BY680" t="s">
        <v>3</v>
      </c>
      <c r="BZ680">
        <v>79</v>
      </c>
      <c r="CA680">
        <v>41</v>
      </c>
      <c r="CB680" t="s">
        <v>3</v>
      </c>
      <c r="CE680">
        <v>30</v>
      </c>
      <c r="CF680">
        <v>0</v>
      </c>
      <c r="CG680">
        <v>0</v>
      </c>
      <c r="CM680">
        <v>0</v>
      </c>
      <c r="CN680" t="s">
        <v>3</v>
      </c>
      <c r="CO680">
        <v>0</v>
      </c>
      <c r="CP680">
        <f t="shared" si="620"/>
        <v>15480.19</v>
      </c>
      <c r="CQ680">
        <f t="shared" si="621"/>
        <v>16361.51</v>
      </c>
      <c r="CR680">
        <f t="shared" si="605"/>
        <v>334.48</v>
      </c>
      <c r="CS680">
        <f t="shared" si="622"/>
        <v>114.38</v>
      </c>
      <c r="CT680">
        <f t="shared" si="623"/>
        <v>14263.89</v>
      </c>
      <c r="CU680">
        <f t="shared" si="624"/>
        <v>0</v>
      </c>
      <c r="CV680">
        <f t="shared" si="625"/>
        <v>40.67</v>
      </c>
      <c r="CW680">
        <f t="shared" si="626"/>
        <v>0</v>
      </c>
      <c r="CX680">
        <f t="shared" si="627"/>
        <v>0</v>
      </c>
      <c r="CY680">
        <f>S680*(BZ680/100)</f>
        <v>5634.3511000000008</v>
      </c>
      <c r="CZ680">
        <f>S680*(CA680/100)</f>
        <v>2924.1569</v>
      </c>
      <c r="DC680" t="s">
        <v>3</v>
      </c>
      <c r="DD680" t="s">
        <v>3</v>
      </c>
      <c r="DE680" t="s">
        <v>3</v>
      </c>
      <c r="DF680" t="s">
        <v>3</v>
      </c>
      <c r="DG680" t="s">
        <v>3</v>
      </c>
      <c r="DH680" t="s">
        <v>3</v>
      </c>
      <c r="DI680" t="s">
        <v>3</v>
      </c>
      <c r="DJ680" t="s">
        <v>3</v>
      </c>
      <c r="DK680" t="s">
        <v>3</v>
      </c>
      <c r="DL680" t="s">
        <v>3</v>
      </c>
      <c r="DM680" t="s">
        <v>3</v>
      </c>
      <c r="DN680">
        <v>114</v>
      </c>
      <c r="DO680">
        <v>67</v>
      </c>
      <c r="DP680">
        <v>1</v>
      </c>
      <c r="DQ680">
        <v>1</v>
      </c>
      <c r="DU680">
        <v>1003</v>
      </c>
      <c r="DV680" t="s">
        <v>455</v>
      </c>
      <c r="DW680" t="s">
        <v>455</v>
      </c>
      <c r="DX680">
        <v>100</v>
      </c>
      <c r="DZ680" t="s">
        <v>3</v>
      </c>
      <c r="EA680" t="s">
        <v>3</v>
      </c>
      <c r="EB680" t="s">
        <v>3</v>
      </c>
      <c r="EC680" t="s">
        <v>3</v>
      </c>
      <c r="EE680">
        <v>126051796</v>
      </c>
      <c r="EF680">
        <v>40</v>
      </c>
      <c r="EG680" t="s">
        <v>621</v>
      </c>
      <c r="EH680">
        <v>0</v>
      </c>
      <c r="EI680" t="s">
        <v>3</v>
      </c>
      <c r="EJ680">
        <v>2</v>
      </c>
      <c r="EK680">
        <v>335</v>
      </c>
      <c r="EL680" t="s">
        <v>671</v>
      </c>
      <c r="EM680" t="s">
        <v>672</v>
      </c>
      <c r="EO680" t="s">
        <v>3</v>
      </c>
      <c r="EQ680">
        <v>131072</v>
      </c>
      <c r="ER680">
        <v>2365.41</v>
      </c>
      <c r="ES680">
        <v>1844.59</v>
      </c>
      <c r="ET680">
        <v>29.47</v>
      </c>
      <c r="EU680">
        <v>3.94</v>
      </c>
      <c r="EV680">
        <v>491.35</v>
      </c>
      <c r="EW680">
        <v>40.67</v>
      </c>
      <c r="EX680">
        <v>0</v>
      </c>
      <c r="EY680">
        <v>0</v>
      </c>
      <c r="FQ680">
        <v>0</v>
      </c>
      <c r="FR680">
        <f t="shared" si="628"/>
        <v>0</v>
      </c>
      <c r="FS680">
        <v>0</v>
      </c>
      <c r="FX680">
        <v>114</v>
      </c>
      <c r="FY680">
        <v>67</v>
      </c>
      <c r="GA680" t="s">
        <v>3</v>
      </c>
      <c r="GD680">
        <v>0</v>
      </c>
      <c r="GF680">
        <v>634789835</v>
      </c>
      <c r="GG680">
        <v>2</v>
      </c>
      <c r="GH680">
        <v>1</v>
      </c>
      <c r="GI680">
        <v>2</v>
      </c>
      <c r="GJ680">
        <v>0</v>
      </c>
      <c r="GK680">
        <f>ROUND(R680*(S12)/100,2)</f>
        <v>91.5</v>
      </c>
      <c r="GL680">
        <f t="shared" si="629"/>
        <v>0</v>
      </c>
      <c r="GM680">
        <f t="shared" si="630"/>
        <v>24130.2</v>
      </c>
      <c r="GN680">
        <f t="shared" si="631"/>
        <v>0</v>
      </c>
      <c r="GO680">
        <f t="shared" si="632"/>
        <v>24130.2</v>
      </c>
      <c r="GP680">
        <f t="shared" si="633"/>
        <v>0</v>
      </c>
      <c r="GR680">
        <v>0</v>
      </c>
      <c r="GS680">
        <v>3</v>
      </c>
      <c r="GT680">
        <v>0</v>
      </c>
      <c r="GU680" t="s">
        <v>3</v>
      </c>
      <c r="GV680">
        <f t="shared" si="634"/>
        <v>0</v>
      </c>
      <c r="GW680">
        <v>1</v>
      </c>
      <c r="GX680">
        <f t="shared" si="635"/>
        <v>0</v>
      </c>
      <c r="HA680">
        <v>0</v>
      </c>
      <c r="HB680">
        <v>0</v>
      </c>
      <c r="HC680">
        <f t="shared" si="636"/>
        <v>0</v>
      </c>
      <c r="HE680" t="s">
        <v>3</v>
      </c>
      <c r="HF680" t="s">
        <v>3</v>
      </c>
      <c r="HM680" t="s">
        <v>3</v>
      </c>
      <c r="HN680" t="s">
        <v>3</v>
      </c>
      <c r="HO680" t="s">
        <v>3</v>
      </c>
      <c r="HP680" t="s">
        <v>3</v>
      </c>
      <c r="HQ680" t="s">
        <v>3</v>
      </c>
      <c r="IK680">
        <v>0</v>
      </c>
    </row>
    <row r="681" spans="1:255" x14ac:dyDescent="0.2">
      <c r="A681" s="2">
        <v>18</v>
      </c>
      <c r="B681" s="2">
        <v>1</v>
      </c>
      <c r="C681" s="2">
        <v>702</v>
      </c>
      <c r="D681" s="2"/>
      <c r="E681" s="2" t="s">
        <v>225</v>
      </c>
      <c r="F681" s="2" t="s">
        <v>673</v>
      </c>
      <c r="G681" s="2" t="s">
        <v>674</v>
      </c>
      <c r="H681" s="2" t="s">
        <v>270</v>
      </c>
      <c r="I681" s="2">
        <f>I679*J681</f>
        <v>50</v>
      </c>
      <c r="J681" s="2">
        <v>100</v>
      </c>
      <c r="K681" s="2">
        <v>100</v>
      </c>
      <c r="L681" s="2"/>
      <c r="M681" s="2"/>
      <c r="N681" s="2"/>
      <c r="O681" s="2">
        <f t="shared" si="606"/>
        <v>487</v>
      </c>
      <c r="P681" s="2">
        <f t="shared" si="607"/>
        <v>487</v>
      </c>
      <c r="Q681" s="2">
        <f t="shared" si="599"/>
        <v>0</v>
      </c>
      <c r="R681" s="2">
        <f t="shared" si="608"/>
        <v>0</v>
      </c>
      <c r="S681" s="2">
        <f t="shared" si="609"/>
        <v>0</v>
      </c>
      <c r="T681" s="2">
        <f t="shared" si="610"/>
        <v>0</v>
      </c>
      <c r="U681" s="2">
        <f t="shared" si="611"/>
        <v>0</v>
      </c>
      <c r="V681" s="2">
        <f t="shared" si="612"/>
        <v>0</v>
      </c>
      <c r="W681" s="2">
        <f t="shared" si="613"/>
        <v>0</v>
      </c>
      <c r="X681" s="2">
        <f t="shared" si="614"/>
        <v>0</v>
      </c>
      <c r="Y681" s="2">
        <f t="shared" si="615"/>
        <v>0</v>
      </c>
      <c r="Z681" s="2"/>
      <c r="AA681" s="2">
        <v>129761636</v>
      </c>
      <c r="AB681" s="2">
        <f t="shared" si="616"/>
        <v>9.74</v>
      </c>
      <c r="AC681" s="2">
        <f t="shared" si="617"/>
        <v>9.74</v>
      </c>
      <c r="AD681" s="2">
        <f t="shared" si="600"/>
        <v>0</v>
      </c>
      <c r="AE681" s="2">
        <f t="shared" si="601"/>
        <v>0</v>
      </c>
      <c r="AF681" s="2">
        <f t="shared" si="602"/>
        <v>0</v>
      </c>
      <c r="AG681" s="2">
        <f t="shared" si="618"/>
        <v>0</v>
      </c>
      <c r="AH681" s="2">
        <f t="shared" si="603"/>
        <v>0</v>
      </c>
      <c r="AI681" s="2">
        <f t="shared" si="604"/>
        <v>0</v>
      </c>
      <c r="AJ681" s="2">
        <f t="shared" si="619"/>
        <v>0</v>
      </c>
      <c r="AK681" s="2">
        <v>9.74</v>
      </c>
      <c r="AL681" s="2">
        <v>9.74</v>
      </c>
      <c r="AM681" s="2">
        <v>0</v>
      </c>
      <c r="AN681" s="2">
        <v>0</v>
      </c>
      <c r="AO681" s="2">
        <v>0</v>
      </c>
      <c r="AP681" s="2">
        <v>0</v>
      </c>
      <c r="AQ681" s="2">
        <v>0</v>
      </c>
      <c r="AR681" s="2">
        <v>0</v>
      </c>
      <c r="AS681" s="2">
        <v>0</v>
      </c>
      <c r="AT681" s="2">
        <v>114</v>
      </c>
      <c r="AU681" s="2">
        <v>67</v>
      </c>
      <c r="AV681" s="2">
        <v>1</v>
      </c>
      <c r="AW681" s="2">
        <v>1</v>
      </c>
      <c r="AX681" s="2"/>
      <c r="AY681" s="2"/>
      <c r="AZ681" s="2">
        <v>1</v>
      </c>
      <c r="BA681" s="2">
        <v>1</v>
      </c>
      <c r="BB681" s="2">
        <v>1</v>
      </c>
      <c r="BC681" s="2">
        <v>1</v>
      </c>
      <c r="BD681" s="2" t="s">
        <v>3</v>
      </c>
      <c r="BE681" s="2" t="s">
        <v>3</v>
      </c>
      <c r="BF681" s="2" t="s">
        <v>3</v>
      </c>
      <c r="BG681" s="2" t="s">
        <v>3</v>
      </c>
      <c r="BH681" s="2">
        <v>3</v>
      </c>
      <c r="BI681" s="2">
        <v>2</v>
      </c>
      <c r="BJ681" s="2" t="s">
        <v>675</v>
      </c>
      <c r="BK681" s="2"/>
      <c r="BL681" s="2"/>
      <c r="BM681" s="2">
        <v>335</v>
      </c>
      <c r="BN681" s="2">
        <v>0</v>
      </c>
      <c r="BO681" s="2" t="s">
        <v>3</v>
      </c>
      <c r="BP681" s="2">
        <v>0</v>
      </c>
      <c r="BQ681" s="2">
        <v>40</v>
      </c>
      <c r="BR681" s="2">
        <v>0</v>
      </c>
      <c r="BS681" s="2">
        <v>1</v>
      </c>
      <c r="BT681" s="2">
        <v>1</v>
      </c>
      <c r="BU681" s="2">
        <v>1</v>
      </c>
      <c r="BV681" s="2">
        <v>1</v>
      </c>
      <c r="BW681" s="2">
        <v>1</v>
      </c>
      <c r="BX681" s="2">
        <v>1</v>
      </c>
      <c r="BY681" s="2" t="s">
        <v>3</v>
      </c>
      <c r="BZ681" s="2">
        <v>114</v>
      </c>
      <c r="CA681" s="2">
        <v>67</v>
      </c>
      <c r="CB681" s="2" t="s">
        <v>3</v>
      </c>
      <c r="CC681" s="2"/>
      <c r="CD681" s="2"/>
      <c r="CE681" s="2">
        <v>30</v>
      </c>
      <c r="CF681" s="2">
        <v>0</v>
      </c>
      <c r="CG681" s="2">
        <v>0</v>
      </c>
      <c r="CH681" s="2"/>
      <c r="CI681" s="2"/>
      <c r="CJ681" s="2"/>
      <c r="CK681" s="2"/>
      <c r="CL681" s="2"/>
      <c r="CM681" s="2">
        <v>0</v>
      </c>
      <c r="CN681" s="2" t="s">
        <v>3</v>
      </c>
      <c r="CO681" s="2">
        <v>0</v>
      </c>
      <c r="CP681" s="2">
        <f t="shared" si="620"/>
        <v>487</v>
      </c>
      <c r="CQ681" s="2">
        <f t="shared" si="621"/>
        <v>9.74</v>
      </c>
      <c r="CR681" s="2">
        <f t="shared" si="605"/>
        <v>0</v>
      </c>
      <c r="CS681" s="2">
        <f t="shared" si="622"/>
        <v>0</v>
      </c>
      <c r="CT681" s="2">
        <f t="shared" si="623"/>
        <v>0</v>
      </c>
      <c r="CU681" s="2">
        <f t="shared" si="624"/>
        <v>0</v>
      </c>
      <c r="CV681" s="2">
        <f t="shared" si="625"/>
        <v>0</v>
      </c>
      <c r="CW681" s="2">
        <f t="shared" si="626"/>
        <v>0</v>
      </c>
      <c r="CX681" s="2">
        <f t="shared" si="627"/>
        <v>0</v>
      </c>
      <c r="CY681" s="2">
        <f>((S681*BZ681)/100)</f>
        <v>0</v>
      </c>
      <c r="CZ681" s="2">
        <f>((S681*CA681)/100)</f>
        <v>0</v>
      </c>
      <c r="DA681" s="2"/>
      <c r="DB681" s="2"/>
      <c r="DC681" s="2" t="s">
        <v>3</v>
      </c>
      <c r="DD681" s="2" t="s">
        <v>3</v>
      </c>
      <c r="DE681" s="2" t="s">
        <v>3</v>
      </c>
      <c r="DF681" s="2" t="s">
        <v>3</v>
      </c>
      <c r="DG681" s="2" t="s">
        <v>3</v>
      </c>
      <c r="DH681" s="2" t="s">
        <v>3</v>
      </c>
      <c r="DI681" s="2" t="s">
        <v>3</v>
      </c>
      <c r="DJ681" s="2" t="s">
        <v>3</v>
      </c>
      <c r="DK681" s="2" t="s">
        <v>3</v>
      </c>
      <c r="DL681" s="2" t="s">
        <v>3</v>
      </c>
      <c r="DM681" s="2" t="s">
        <v>3</v>
      </c>
      <c r="DN681" s="2">
        <v>0</v>
      </c>
      <c r="DO681" s="2">
        <v>0</v>
      </c>
      <c r="DP681" s="2">
        <v>1</v>
      </c>
      <c r="DQ681" s="2">
        <v>1</v>
      </c>
      <c r="DR681" s="2"/>
      <c r="DS681" s="2"/>
      <c r="DT681" s="2"/>
      <c r="DU681" s="2">
        <v>1003</v>
      </c>
      <c r="DV681" s="2" t="s">
        <v>270</v>
      </c>
      <c r="DW681" s="2" t="s">
        <v>270</v>
      </c>
      <c r="DX681" s="2">
        <v>1</v>
      </c>
      <c r="DY681" s="2"/>
      <c r="DZ681" s="2" t="s">
        <v>3</v>
      </c>
      <c r="EA681" s="2" t="s">
        <v>3</v>
      </c>
      <c r="EB681" s="2" t="s">
        <v>3</v>
      </c>
      <c r="EC681" s="2" t="s">
        <v>3</v>
      </c>
      <c r="ED681" s="2"/>
      <c r="EE681" s="2">
        <v>126051796</v>
      </c>
      <c r="EF681" s="2">
        <v>40</v>
      </c>
      <c r="EG681" s="2" t="s">
        <v>621</v>
      </c>
      <c r="EH681" s="2">
        <v>0</v>
      </c>
      <c r="EI681" s="2" t="s">
        <v>3</v>
      </c>
      <c r="EJ681" s="2">
        <v>2</v>
      </c>
      <c r="EK681" s="2">
        <v>335</v>
      </c>
      <c r="EL681" s="2" t="s">
        <v>671</v>
      </c>
      <c r="EM681" s="2" t="s">
        <v>672</v>
      </c>
      <c r="EN681" s="2"/>
      <c r="EO681" s="2" t="s">
        <v>3</v>
      </c>
      <c r="EP681" s="2"/>
      <c r="EQ681" s="2">
        <v>0</v>
      </c>
      <c r="ER681" s="2">
        <v>9.74</v>
      </c>
      <c r="ES681" s="2">
        <v>9.74</v>
      </c>
      <c r="ET681" s="2">
        <v>0</v>
      </c>
      <c r="EU681" s="2">
        <v>0</v>
      </c>
      <c r="EV681" s="2">
        <v>0</v>
      </c>
      <c r="EW681" s="2">
        <v>0</v>
      </c>
      <c r="EX681" s="2">
        <v>0</v>
      </c>
      <c r="EY681" s="2"/>
      <c r="EZ681" s="2"/>
      <c r="FA681" s="2"/>
      <c r="FB681" s="2"/>
      <c r="FC681" s="2"/>
      <c r="FD681" s="2"/>
      <c r="FE681" s="2"/>
      <c r="FF681" s="2"/>
      <c r="FG681" s="2"/>
      <c r="FH681" s="2"/>
      <c r="FI681" s="2"/>
      <c r="FJ681" s="2"/>
      <c r="FK681" s="2"/>
      <c r="FL681" s="2"/>
      <c r="FM681" s="2"/>
      <c r="FN681" s="2"/>
      <c r="FO681" s="2"/>
      <c r="FP681" s="2"/>
      <c r="FQ681" s="2">
        <v>0</v>
      </c>
      <c r="FR681" s="2">
        <f t="shared" si="628"/>
        <v>0</v>
      </c>
      <c r="FS681" s="2">
        <v>0</v>
      </c>
      <c r="FT681" s="2"/>
      <c r="FU681" s="2"/>
      <c r="FV681" s="2"/>
      <c r="FW681" s="2"/>
      <c r="FX681" s="2">
        <v>114</v>
      </c>
      <c r="FY681" s="2">
        <v>67</v>
      </c>
      <c r="FZ681" s="2"/>
      <c r="GA681" s="2" t="s">
        <v>3</v>
      </c>
      <c r="GB681" s="2"/>
      <c r="GC681" s="2"/>
      <c r="GD681" s="2">
        <v>0</v>
      </c>
      <c r="GE681" s="2"/>
      <c r="GF681" s="2">
        <v>-961474962</v>
      </c>
      <c r="GG681" s="2">
        <v>2</v>
      </c>
      <c r="GH681" s="2">
        <v>1</v>
      </c>
      <c r="GI681" s="2">
        <v>-2</v>
      </c>
      <c r="GJ681" s="2">
        <v>0</v>
      </c>
      <c r="GK681" s="2">
        <f>ROUND(R681*(R12)/100,2)</f>
        <v>0</v>
      </c>
      <c r="GL681" s="2">
        <f t="shared" si="629"/>
        <v>0</v>
      </c>
      <c r="GM681" s="2">
        <f t="shared" si="630"/>
        <v>487</v>
      </c>
      <c r="GN681" s="2">
        <f t="shared" si="631"/>
        <v>0</v>
      </c>
      <c r="GO681" s="2">
        <f t="shared" si="632"/>
        <v>487</v>
      </c>
      <c r="GP681" s="2">
        <f t="shared" si="633"/>
        <v>0</v>
      </c>
      <c r="GQ681" s="2"/>
      <c r="GR681" s="2">
        <v>0</v>
      </c>
      <c r="GS681" s="2">
        <v>0</v>
      </c>
      <c r="GT681" s="2">
        <v>0</v>
      </c>
      <c r="GU681" s="2" t="s">
        <v>3</v>
      </c>
      <c r="GV681" s="2">
        <f t="shared" si="634"/>
        <v>0</v>
      </c>
      <c r="GW681" s="2">
        <v>1</v>
      </c>
      <c r="GX681" s="2">
        <f t="shared" si="635"/>
        <v>0</v>
      </c>
      <c r="GY681" s="2"/>
      <c r="GZ681" s="2"/>
      <c r="HA681" s="2">
        <v>0</v>
      </c>
      <c r="HB681" s="2">
        <v>0</v>
      </c>
      <c r="HC681" s="2">
        <f t="shared" si="636"/>
        <v>0</v>
      </c>
      <c r="HD681" s="2"/>
      <c r="HE681" s="2" t="s">
        <v>3</v>
      </c>
      <c r="HF681" s="2" t="s">
        <v>3</v>
      </c>
      <c r="HG681" s="2"/>
      <c r="HH681" s="2"/>
      <c r="HI681" s="2"/>
      <c r="HJ681" s="2"/>
      <c r="HK681" s="2"/>
      <c r="HL681" s="2"/>
      <c r="HM681" s="2" t="s">
        <v>3</v>
      </c>
      <c r="HN681" s="2" t="s">
        <v>3</v>
      </c>
      <c r="HO681" s="2" t="s">
        <v>3</v>
      </c>
      <c r="HP681" s="2" t="s">
        <v>3</v>
      </c>
      <c r="HQ681" s="2" t="s">
        <v>3</v>
      </c>
      <c r="HR681" s="2"/>
      <c r="HS681" s="2"/>
      <c r="HT681" s="2"/>
      <c r="HU681" s="2"/>
      <c r="HV681" s="2"/>
      <c r="HW681" s="2"/>
      <c r="HX681" s="2"/>
      <c r="HY681" s="2"/>
      <c r="HZ681" s="2"/>
      <c r="IA681" s="2"/>
      <c r="IB681" s="2"/>
      <c r="IC681" s="2"/>
      <c r="ID681" s="2"/>
      <c r="IE681" s="2"/>
      <c r="IF681" s="2"/>
      <c r="IG681" s="2"/>
      <c r="IH681" s="2"/>
      <c r="II681" s="2"/>
      <c r="IJ681" s="2"/>
      <c r="IK681" s="2">
        <v>0</v>
      </c>
      <c r="IL681" s="2"/>
      <c r="IM681" s="2"/>
      <c r="IN681" s="2"/>
      <c r="IO681" s="2"/>
      <c r="IP681" s="2"/>
      <c r="IQ681" s="2"/>
      <c r="IR681" s="2"/>
      <c r="IS681" s="2"/>
      <c r="IT681" s="2"/>
      <c r="IU681" s="2"/>
    </row>
    <row r="682" spans="1:255" x14ac:dyDescent="0.2">
      <c r="A682">
        <v>18</v>
      </c>
      <c r="B682">
        <v>1</v>
      </c>
      <c r="C682">
        <v>704</v>
      </c>
      <c r="E682" t="s">
        <v>225</v>
      </c>
      <c r="F682" t="s">
        <v>673</v>
      </c>
      <c r="G682" t="s">
        <v>674</v>
      </c>
      <c r="H682" t="s">
        <v>270</v>
      </c>
      <c r="I682">
        <f>I680*J682</f>
        <v>50</v>
      </c>
      <c r="J682">
        <v>100</v>
      </c>
      <c r="K682">
        <v>100</v>
      </c>
      <c r="O682">
        <f t="shared" si="606"/>
        <v>3394.39</v>
      </c>
      <c r="P682">
        <f t="shared" si="607"/>
        <v>3394.39</v>
      </c>
      <c r="Q682">
        <f t="shared" si="599"/>
        <v>0</v>
      </c>
      <c r="R682">
        <f t="shared" si="608"/>
        <v>0</v>
      </c>
      <c r="S682">
        <f t="shared" si="609"/>
        <v>0</v>
      </c>
      <c r="T682">
        <f t="shared" si="610"/>
        <v>0</v>
      </c>
      <c r="U682">
        <f t="shared" si="611"/>
        <v>0</v>
      </c>
      <c r="V682">
        <f t="shared" si="612"/>
        <v>0</v>
      </c>
      <c r="W682">
        <f t="shared" si="613"/>
        <v>0</v>
      </c>
      <c r="X682">
        <f t="shared" si="614"/>
        <v>0</v>
      </c>
      <c r="Y682">
        <f t="shared" si="615"/>
        <v>0</v>
      </c>
      <c r="AA682">
        <v>129761633</v>
      </c>
      <c r="AB682">
        <f t="shared" si="616"/>
        <v>9.74</v>
      </c>
      <c r="AC682">
        <f t="shared" si="617"/>
        <v>9.74</v>
      </c>
      <c r="AD682">
        <f t="shared" si="600"/>
        <v>0</v>
      </c>
      <c r="AE682">
        <f t="shared" si="601"/>
        <v>0</v>
      </c>
      <c r="AF682">
        <f t="shared" si="602"/>
        <v>0</v>
      </c>
      <c r="AG682">
        <f t="shared" si="618"/>
        <v>0</v>
      </c>
      <c r="AH682">
        <f t="shared" si="603"/>
        <v>0</v>
      </c>
      <c r="AI682">
        <f t="shared" si="604"/>
        <v>0</v>
      </c>
      <c r="AJ682">
        <f t="shared" si="619"/>
        <v>0</v>
      </c>
      <c r="AK682">
        <v>9.74</v>
      </c>
      <c r="AL682">
        <v>9.74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1</v>
      </c>
      <c r="AW682">
        <v>1</v>
      </c>
      <c r="AZ682">
        <v>1</v>
      </c>
      <c r="BA682">
        <v>1</v>
      </c>
      <c r="BB682">
        <v>1</v>
      </c>
      <c r="BC682">
        <v>6.97</v>
      </c>
      <c r="BD682" t="s">
        <v>3</v>
      </c>
      <c r="BE682" t="s">
        <v>3</v>
      </c>
      <c r="BF682" t="s">
        <v>3</v>
      </c>
      <c r="BG682" t="s">
        <v>3</v>
      </c>
      <c r="BH682">
        <v>3</v>
      </c>
      <c r="BI682">
        <v>2</v>
      </c>
      <c r="BJ682" t="s">
        <v>675</v>
      </c>
      <c r="BM682">
        <v>335</v>
      </c>
      <c r="BN682">
        <v>0</v>
      </c>
      <c r="BO682" t="s">
        <v>673</v>
      </c>
      <c r="BP682">
        <v>1</v>
      </c>
      <c r="BQ682">
        <v>40</v>
      </c>
      <c r="BR682">
        <v>0</v>
      </c>
      <c r="BS682">
        <v>1</v>
      </c>
      <c r="BT682">
        <v>1</v>
      </c>
      <c r="BU682">
        <v>1</v>
      </c>
      <c r="BV682">
        <v>1</v>
      </c>
      <c r="BW682">
        <v>1</v>
      </c>
      <c r="BX682">
        <v>1</v>
      </c>
      <c r="BY682" t="s">
        <v>3</v>
      </c>
      <c r="BZ682">
        <v>0</v>
      </c>
      <c r="CA682">
        <v>0</v>
      </c>
      <c r="CB682" t="s">
        <v>3</v>
      </c>
      <c r="CE682">
        <v>30</v>
      </c>
      <c r="CF682">
        <v>0</v>
      </c>
      <c r="CG682">
        <v>0</v>
      </c>
      <c r="CM682">
        <v>0</v>
      </c>
      <c r="CN682" t="s">
        <v>3</v>
      </c>
      <c r="CO682">
        <v>0</v>
      </c>
      <c r="CP682">
        <f t="shared" si="620"/>
        <v>3394.39</v>
      </c>
      <c r="CQ682">
        <f t="shared" si="621"/>
        <v>67.89</v>
      </c>
      <c r="CR682">
        <f t="shared" si="605"/>
        <v>0</v>
      </c>
      <c r="CS682">
        <f t="shared" si="622"/>
        <v>0</v>
      </c>
      <c r="CT682">
        <f t="shared" si="623"/>
        <v>0</v>
      </c>
      <c r="CU682">
        <f t="shared" si="624"/>
        <v>0</v>
      </c>
      <c r="CV682">
        <f t="shared" si="625"/>
        <v>0</v>
      </c>
      <c r="CW682">
        <f t="shared" si="626"/>
        <v>0</v>
      </c>
      <c r="CX682">
        <f t="shared" si="627"/>
        <v>0</v>
      </c>
      <c r="CY682">
        <f>S682*(BZ682/100)</f>
        <v>0</v>
      </c>
      <c r="CZ682">
        <f>S682*(CA682/100)</f>
        <v>0</v>
      </c>
      <c r="DC682" t="s">
        <v>3</v>
      </c>
      <c r="DD682" t="s">
        <v>3</v>
      </c>
      <c r="DE682" t="s">
        <v>3</v>
      </c>
      <c r="DF682" t="s">
        <v>3</v>
      </c>
      <c r="DG682" t="s">
        <v>3</v>
      </c>
      <c r="DH682" t="s">
        <v>3</v>
      </c>
      <c r="DI682" t="s">
        <v>3</v>
      </c>
      <c r="DJ682" t="s">
        <v>3</v>
      </c>
      <c r="DK682" t="s">
        <v>3</v>
      </c>
      <c r="DL682" t="s">
        <v>3</v>
      </c>
      <c r="DM682" t="s">
        <v>3</v>
      </c>
      <c r="DN682">
        <v>114</v>
      </c>
      <c r="DO682">
        <v>67</v>
      </c>
      <c r="DP682">
        <v>1</v>
      </c>
      <c r="DQ682">
        <v>1</v>
      </c>
      <c r="DU682">
        <v>1003</v>
      </c>
      <c r="DV682" t="s">
        <v>270</v>
      </c>
      <c r="DW682" t="s">
        <v>270</v>
      </c>
      <c r="DX682">
        <v>1</v>
      </c>
      <c r="DZ682" t="s">
        <v>3</v>
      </c>
      <c r="EA682" t="s">
        <v>3</v>
      </c>
      <c r="EB682" t="s">
        <v>3</v>
      </c>
      <c r="EC682" t="s">
        <v>3</v>
      </c>
      <c r="EE682">
        <v>126051796</v>
      </c>
      <c r="EF682">
        <v>40</v>
      </c>
      <c r="EG682" t="s">
        <v>621</v>
      </c>
      <c r="EH682">
        <v>0</v>
      </c>
      <c r="EI682" t="s">
        <v>3</v>
      </c>
      <c r="EJ682">
        <v>2</v>
      </c>
      <c r="EK682">
        <v>335</v>
      </c>
      <c r="EL682" t="s">
        <v>671</v>
      </c>
      <c r="EM682" t="s">
        <v>672</v>
      </c>
      <c r="EO682" t="s">
        <v>3</v>
      </c>
      <c r="EQ682">
        <v>0</v>
      </c>
      <c r="ER682">
        <v>9.74</v>
      </c>
      <c r="ES682">
        <v>9.74</v>
      </c>
      <c r="ET682">
        <v>0</v>
      </c>
      <c r="EU682">
        <v>0</v>
      </c>
      <c r="EV682">
        <v>0</v>
      </c>
      <c r="EW682">
        <v>0</v>
      </c>
      <c r="EX682">
        <v>0</v>
      </c>
      <c r="FQ682">
        <v>0</v>
      </c>
      <c r="FR682">
        <f t="shared" si="628"/>
        <v>0</v>
      </c>
      <c r="FS682">
        <v>0</v>
      </c>
      <c r="FX682">
        <v>114</v>
      </c>
      <c r="FY682">
        <v>67</v>
      </c>
      <c r="GA682" t="s">
        <v>3</v>
      </c>
      <c r="GD682">
        <v>0</v>
      </c>
      <c r="GF682">
        <v>-961474962</v>
      </c>
      <c r="GG682">
        <v>2</v>
      </c>
      <c r="GH682">
        <v>1</v>
      </c>
      <c r="GI682">
        <v>2</v>
      </c>
      <c r="GJ682">
        <v>0</v>
      </c>
      <c r="GK682">
        <f>ROUND(R682*(S12)/100,2)</f>
        <v>0</v>
      </c>
      <c r="GL682">
        <f t="shared" si="629"/>
        <v>0</v>
      </c>
      <c r="GM682">
        <f t="shared" si="630"/>
        <v>3394.39</v>
      </c>
      <c r="GN682">
        <f t="shared" si="631"/>
        <v>0</v>
      </c>
      <c r="GO682">
        <f t="shared" si="632"/>
        <v>3394.39</v>
      </c>
      <c r="GP682">
        <f t="shared" si="633"/>
        <v>0</v>
      </c>
      <c r="GR682">
        <v>0</v>
      </c>
      <c r="GS682">
        <v>3</v>
      </c>
      <c r="GT682">
        <v>0</v>
      </c>
      <c r="GU682" t="s">
        <v>3</v>
      </c>
      <c r="GV682">
        <f t="shared" si="634"/>
        <v>0</v>
      </c>
      <c r="GW682">
        <v>1</v>
      </c>
      <c r="GX682">
        <f t="shared" si="635"/>
        <v>0</v>
      </c>
      <c r="HA682">
        <v>0</v>
      </c>
      <c r="HB682">
        <v>0</v>
      </c>
      <c r="HC682">
        <f t="shared" si="636"/>
        <v>0</v>
      </c>
      <c r="HE682" t="s">
        <v>3</v>
      </c>
      <c r="HF682" t="s">
        <v>3</v>
      </c>
      <c r="HM682" t="s">
        <v>3</v>
      </c>
      <c r="HN682" t="s">
        <v>3</v>
      </c>
      <c r="HO682" t="s">
        <v>3</v>
      </c>
      <c r="HP682" t="s">
        <v>3</v>
      </c>
      <c r="HQ682" t="s">
        <v>3</v>
      </c>
      <c r="IK682">
        <v>0</v>
      </c>
    </row>
    <row r="683" spans="1:255" x14ac:dyDescent="0.2">
      <c r="A683" s="2">
        <v>17</v>
      </c>
      <c r="B683" s="2">
        <v>1</v>
      </c>
      <c r="C683" s="2">
        <f>ROW(SmtRes!A706)</f>
        <v>706</v>
      </c>
      <c r="D683" s="2">
        <f>ROW(EtalonRes!A705)</f>
        <v>705</v>
      </c>
      <c r="E683" s="2" t="s">
        <v>228</v>
      </c>
      <c r="F683" s="2" t="s">
        <v>676</v>
      </c>
      <c r="G683" s="2" t="s">
        <v>677</v>
      </c>
      <c r="H683" s="2" t="s">
        <v>455</v>
      </c>
      <c r="I683" s="2">
        <v>1.0999999999999999E-2</v>
      </c>
      <c r="J683" s="2">
        <v>0</v>
      </c>
      <c r="K683" s="2">
        <v>1.0999999999999999E-2</v>
      </c>
      <c r="L683" s="2"/>
      <c r="M683" s="2"/>
      <c r="N683" s="2"/>
      <c r="O683" s="2">
        <f t="shared" si="606"/>
        <v>5.4</v>
      </c>
      <c r="P683" s="2">
        <f t="shared" si="607"/>
        <v>1.31</v>
      </c>
      <c r="Q683" s="2">
        <f t="shared" si="599"/>
        <v>1.28</v>
      </c>
      <c r="R683" s="2">
        <f t="shared" si="608"/>
        <v>0.09</v>
      </c>
      <c r="S683" s="2">
        <f t="shared" si="609"/>
        <v>2.81</v>
      </c>
      <c r="T683" s="2">
        <f t="shared" si="610"/>
        <v>0</v>
      </c>
      <c r="U683" s="2">
        <f t="shared" si="611"/>
        <v>0.22769999999999999</v>
      </c>
      <c r="V683" s="2">
        <f t="shared" si="612"/>
        <v>0</v>
      </c>
      <c r="W683" s="2">
        <f t="shared" si="613"/>
        <v>0</v>
      </c>
      <c r="X683" s="2">
        <f t="shared" si="614"/>
        <v>3.2</v>
      </c>
      <c r="Y683" s="2">
        <f t="shared" si="615"/>
        <v>1.88</v>
      </c>
      <c r="Z683" s="2"/>
      <c r="AA683" s="2">
        <v>129761636</v>
      </c>
      <c r="AB683" s="2">
        <f t="shared" si="616"/>
        <v>490.45</v>
      </c>
      <c r="AC683" s="2">
        <f t="shared" si="617"/>
        <v>119</v>
      </c>
      <c r="AD683" s="2">
        <f t="shared" si="600"/>
        <v>116.22</v>
      </c>
      <c r="AE683" s="2">
        <f t="shared" si="601"/>
        <v>8.59</v>
      </c>
      <c r="AF683" s="2">
        <f t="shared" si="602"/>
        <v>255.23</v>
      </c>
      <c r="AG683" s="2">
        <f t="shared" si="618"/>
        <v>0</v>
      </c>
      <c r="AH683" s="2">
        <f t="shared" si="603"/>
        <v>20.7</v>
      </c>
      <c r="AI683" s="2">
        <f t="shared" si="604"/>
        <v>0</v>
      </c>
      <c r="AJ683" s="2">
        <f t="shared" si="619"/>
        <v>0</v>
      </c>
      <c r="AK683" s="2">
        <v>490.45</v>
      </c>
      <c r="AL683" s="2">
        <v>119</v>
      </c>
      <c r="AM683" s="2">
        <v>116.22</v>
      </c>
      <c r="AN683" s="2">
        <v>8.59</v>
      </c>
      <c r="AO683" s="2">
        <v>255.23</v>
      </c>
      <c r="AP683" s="2">
        <v>0</v>
      </c>
      <c r="AQ683" s="2">
        <v>20.7</v>
      </c>
      <c r="AR683" s="2">
        <v>0</v>
      </c>
      <c r="AS683" s="2">
        <v>0</v>
      </c>
      <c r="AT683" s="2">
        <v>114</v>
      </c>
      <c r="AU683" s="2">
        <v>67</v>
      </c>
      <c r="AV683" s="2">
        <v>1</v>
      </c>
      <c r="AW683" s="2">
        <v>1</v>
      </c>
      <c r="AX683" s="2"/>
      <c r="AY683" s="2"/>
      <c r="AZ683" s="2">
        <v>1</v>
      </c>
      <c r="BA683" s="2">
        <v>1</v>
      </c>
      <c r="BB683" s="2">
        <v>1</v>
      </c>
      <c r="BC683" s="2">
        <v>1</v>
      </c>
      <c r="BD683" s="2" t="s">
        <v>3</v>
      </c>
      <c r="BE683" s="2" t="s">
        <v>3</v>
      </c>
      <c r="BF683" s="2" t="s">
        <v>3</v>
      </c>
      <c r="BG683" s="2" t="s">
        <v>3</v>
      </c>
      <c r="BH683" s="2">
        <v>0</v>
      </c>
      <c r="BI683" s="2">
        <v>2</v>
      </c>
      <c r="BJ683" s="2" t="s">
        <v>678</v>
      </c>
      <c r="BK683" s="2"/>
      <c r="BL683" s="2"/>
      <c r="BM683" s="2">
        <v>331</v>
      </c>
      <c r="BN683" s="2">
        <v>0</v>
      </c>
      <c r="BO683" s="2" t="s">
        <v>3</v>
      </c>
      <c r="BP683" s="2">
        <v>0</v>
      </c>
      <c r="BQ683" s="2">
        <v>40</v>
      </c>
      <c r="BR683" s="2">
        <v>0</v>
      </c>
      <c r="BS683" s="2">
        <v>1</v>
      </c>
      <c r="BT683" s="2">
        <v>1</v>
      </c>
      <c r="BU683" s="2">
        <v>1</v>
      </c>
      <c r="BV683" s="2">
        <v>1</v>
      </c>
      <c r="BW683" s="2">
        <v>1</v>
      </c>
      <c r="BX683" s="2">
        <v>1</v>
      </c>
      <c r="BY683" s="2" t="s">
        <v>3</v>
      </c>
      <c r="BZ683" s="2">
        <v>114</v>
      </c>
      <c r="CA683" s="2">
        <v>67</v>
      </c>
      <c r="CB683" s="2" t="s">
        <v>3</v>
      </c>
      <c r="CC683" s="2"/>
      <c r="CD683" s="2"/>
      <c r="CE683" s="2">
        <v>30</v>
      </c>
      <c r="CF683" s="2">
        <v>0</v>
      </c>
      <c r="CG683" s="2">
        <v>0</v>
      </c>
      <c r="CH683" s="2"/>
      <c r="CI683" s="2"/>
      <c r="CJ683" s="2"/>
      <c r="CK683" s="2"/>
      <c r="CL683" s="2"/>
      <c r="CM683" s="2">
        <v>0</v>
      </c>
      <c r="CN683" s="2" t="s">
        <v>3</v>
      </c>
      <c r="CO683" s="2">
        <v>0</v>
      </c>
      <c r="CP683" s="2">
        <f t="shared" si="620"/>
        <v>5.4</v>
      </c>
      <c r="CQ683" s="2">
        <f t="shared" si="621"/>
        <v>119</v>
      </c>
      <c r="CR683" s="2">
        <f t="shared" si="605"/>
        <v>116.22</v>
      </c>
      <c r="CS683" s="2">
        <f t="shared" si="622"/>
        <v>8.59</v>
      </c>
      <c r="CT683" s="2">
        <f t="shared" si="623"/>
        <v>255.23</v>
      </c>
      <c r="CU683" s="2">
        <f t="shared" si="624"/>
        <v>0</v>
      </c>
      <c r="CV683" s="2">
        <f t="shared" si="625"/>
        <v>20.7</v>
      </c>
      <c r="CW683" s="2">
        <f t="shared" si="626"/>
        <v>0</v>
      </c>
      <c r="CX683" s="2">
        <f t="shared" si="627"/>
        <v>0</v>
      </c>
      <c r="CY683" s="2">
        <f>((S683*BZ683)/100)</f>
        <v>3.2034000000000002</v>
      </c>
      <c r="CZ683" s="2">
        <f>((S683*CA683)/100)</f>
        <v>1.8827</v>
      </c>
      <c r="DA683" s="2"/>
      <c r="DB683" s="2"/>
      <c r="DC683" s="2" t="s">
        <v>3</v>
      </c>
      <c r="DD683" s="2" t="s">
        <v>3</v>
      </c>
      <c r="DE683" s="2" t="s">
        <v>3</v>
      </c>
      <c r="DF683" s="2" t="s">
        <v>3</v>
      </c>
      <c r="DG683" s="2" t="s">
        <v>3</v>
      </c>
      <c r="DH683" s="2" t="s">
        <v>3</v>
      </c>
      <c r="DI683" s="2" t="s">
        <v>3</v>
      </c>
      <c r="DJ683" s="2" t="s">
        <v>3</v>
      </c>
      <c r="DK683" s="2" t="s">
        <v>3</v>
      </c>
      <c r="DL683" s="2" t="s">
        <v>3</v>
      </c>
      <c r="DM683" s="2" t="s">
        <v>3</v>
      </c>
      <c r="DN683" s="2">
        <v>0</v>
      </c>
      <c r="DO683" s="2">
        <v>0</v>
      </c>
      <c r="DP683" s="2">
        <v>1</v>
      </c>
      <c r="DQ683" s="2">
        <v>1</v>
      </c>
      <c r="DR683" s="2"/>
      <c r="DS683" s="2"/>
      <c r="DT683" s="2"/>
      <c r="DU683" s="2">
        <v>1003</v>
      </c>
      <c r="DV683" s="2" t="s">
        <v>455</v>
      </c>
      <c r="DW683" s="2" t="s">
        <v>455</v>
      </c>
      <c r="DX683" s="2">
        <v>100</v>
      </c>
      <c r="DY683" s="2"/>
      <c r="DZ683" s="2" t="s">
        <v>3</v>
      </c>
      <c r="EA683" s="2" t="s">
        <v>3</v>
      </c>
      <c r="EB683" s="2" t="s">
        <v>3</v>
      </c>
      <c r="EC683" s="2" t="s">
        <v>3</v>
      </c>
      <c r="ED683" s="2"/>
      <c r="EE683" s="2">
        <v>126051792</v>
      </c>
      <c r="EF683" s="2">
        <v>40</v>
      </c>
      <c r="EG683" s="2" t="s">
        <v>621</v>
      </c>
      <c r="EH683" s="2">
        <v>0</v>
      </c>
      <c r="EI683" s="2" t="s">
        <v>3</v>
      </c>
      <c r="EJ683" s="2">
        <v>2</v>
      </c>
      <c r="EK683" s="2">
        <v>331</v>
      </c>
      <c r="EL683" s="2" t="s">
        <v>679</v>
      </c>
      <c r="EM683" s="2" t="s">
        <v>680</v>
      </c>
      <c r="EN683" s="2"/>
      <c r="EO683" s="2" t="s">
        <v>3</v>
      </c>
      <c r="EP683" s="2"/>
      <c r="EQ683" s="2">
        <v>131072</v>
      </c>
      <c r="ER683" s="2">
        <v>490.45</v>
      </c>
      <c r="ES683" s="2">
        <v>119</v>
      </c>
      <c r="ET683" s="2">
        <v>116.22</v>
      </c>
      <c r="EU683" s="2">
        <v>8.59</v>
      </c>
      <c r="EV683" s="2">
        <v>255.23</v>
      </c>
      <c r="EW683" s="2">
        <v>20.7</v>
      </c>
      <c r="EX683" s="2">
        <v>0</v>
      </c>
      <c r="EY683" s="2">
        <v>0</v>
      </c>
      <c r="EZ683" s="2"/>
      <c r="FA683" s="2"/>
      <c r="FB683" s="2"/>
      <c r="FC683" s="2"/>
      <c r="FD683" s="2"/>
      <c r="FE683" s="2"/>
      <c r="FF683" s="2"/>
      <c r="FG683" s="2"/>
      <c r="FH683" s="2"/>
      <c r="FI683" s="2"/>
      <c r="FJ683" s="2"/>
      <c r="FK683" s="2"/>
      <c r="FL683" s="2"/>
      <c r="FM683" s="2"/>
      <c r="FN683" s="2"/>
      <c r="FO683" s="2"/>
      <c r="FP683" s="2"/>
      <c r="FQ683" s="2">
        <v>0</v>
      </c>
      <c r="FR683" s="2">
        <f t="shared" si="628"/>
        <v>0</v>
      </c>
      <c r="FS683" s="2">
        <v>0</v>
      </c>
      <c r="FT683" s="2"/>
      <c r="FU683" s="2"/>
      <c r="FV683" s="2"/>
      <c r="FW683" s="2"/>
      <c r="FX683" s="2">
        <v>114</v>
      </c>
      <c r="FY683" s="2">
        <v>67</v>
      </c>
      <c r="FZ683" s="2"/>
      <c r="GA683" s="2" t="s">
        <v>3</v>
      </c>
      <c r="GB683" s="2"/>
      <c r="GC683" s="2"/>
      <c r="GD683" s="2">
        <v>0</v>
      </c>
      <c r="GE683" s="2"/>
      <c r="GF683" s="2">
        <v>-1325536271</v>
      </c>
      <c r="GG683" s="2">
        <v>2</v>
      </c>
      <c r="GH683" s="2">
        <v>1</v>
      </c>
      <c r="GI683" s="2">
        <v>-2</v>
      </c>
      <c r="GJ683" s="2">
        <v>0</v>
      </c>
      <c r="GK683" s="2">
        <f>ROUND(R683*(R12)/100,2)</f>
        <v>0.16</v>
      </c>
      <c r="GL683" s="2">
        <f t="shared" si="629"/>
        <v>0</v>
      </c>
      <c r="GM683" s="2">
        <f t="shared" si="630"/>
        <v>10.64</v>
      </c>
      <c r="GN683" s="2">
        <f t="shared" si="631"/>
        <v>0</v>
      </c>
      <c r="GO683" s="2">
        <f t="shared" si="632"/>
        <v>10.64</v>
      </c>
      <c r="GP683" s="2">
        <f t="shared" si="633"/>
        <v>0</v>
      </c>
      <c r="GQ683" s="2"/>
      <c r="GR683" s="2">
        <v>0</v>
      </c>
      <c r="GS683" s="2">
        <v>0</v>
      </c>
      <c r="GT683" s="2">
        <v>0</v>
      </c>
      <c r="GU683" s="2" t="s">
        <v>3</v>
      </c>
      <c r="GV683" s="2">
        <f t="shared" si="634"/>
        <v>0</v>
      </c>
      <c r="GW683" s="2">
        <v>1</v>
      </c>
      <c r="GX683" s="2">
        <f t="shared" si="635"/>
        <v>0</v>
      </c>
      <c r="GY683" s="2"/>
      <c r="GZ683" s="2"/>
      <c r="HA683" s="2">
        <v>0</v>
      </c>
      <c r="HB683" s="2">
        <v>0</v>
      </c>
      <c r="HC683" s="2">
        <f t="shared" si="636"/>
        <v>0</v>
      </c>
      <c r="HD683" s="2"/>
      <c r="HE683" s="2" t="s">
        <v>3</v>
      </c>
      <c r="HF683" s="2" t="s">
        <v>3</v>
      </c>
      <c r="HG683" s="2"/>
      <c r="HH683" s="2"/>
      <c r="HI683" s="2"/>
      <c r="HJ683" s="2"/>
      <c r="HK683" s="2"/>
      <c r="HL683" s="2"/>
      <c r="HM683" s="2" t="s">
        <v>3</v>
      </c>
      <c r="HN683" s="2" t="s">
        <v>3</v>
      </c>
      <c r="HO683" s="2" t="s">
        <v>3</v>
      </c>
      <c r="HP683" s="2" t="s">
        <v>3</v>
      </c>
      <c r="HQ683" s="2" t="s">
        <v>3</v>
      </c>
      <c r="HR683" s="2"/>
      <c r="HS683" s="2"/>
      <c r="HT683" s="2"/>
      <c r="HU683" s="2"/>
      <c r="HV683" s="2"/>
      <c r="HW683" s="2"/>
      <c r="HX683" s="2"/>
      <c r="HY683" s="2"/>
      <c r="HZ683" s="2"/>
      <c r="IA683" s="2"/>
      <c r="IB683" s="2"/>
      <c r="IC683" s="2"/>
      <c r="ID683" s="2"/>
      <c r="IE683" s="2"/>
      <c r="IF683" s="2"/>
      <c r="IG683" s="2"/>
      <c r="IH683" s="2"/>
      <c r="II683" s="2"/>
      <c r="IJ683" s="2"/>
      <c r="IK683" s="2">
        <v>0</v>
      </c>
      <c r="IL683" s="2"/>
      <c r="IM683" s="2"/>
      <c r="IN683" s="2"/>
      <c r="IO683" s="2"/>
      <c r="IP683" s="2"/>
      <c r="IQ683" s="2"/>
      <c r="IR683" s="2"/>
      <c r="IS683" s="2"/>
      <c r="IT683" s="2"/>
      <c r="IU683" s="2"/>
    </row>
    <row r="684" spans="1:255" x14ac:dyDescent="0.2">
      <c r="A684">
        <v>17</v>
      </c>
      <c r="B684">
        <v>1</v>
      </c>
      <c r="C684">
        <f>ROW(SmtRes!A708)</f>
        <v>708</v>
      </c>
      <c r="D684">
        <f>ROW(EtalonRes!A706)</f>
        <v>706</v>
      </c>
      <c r="E684" t="s">
        <v>228</v>
      </c>
      <c r="F684" t="s">
        <v>676</v>
      </c>
      <c r="G684" t="s">
        <v>677</v>
      </c>
      <c r="H684" t="s">
        <v>455</v>
      </c>
      <c r="I684">
        <v>1.0999999999999999E-2</v>
      </c>
      <c r="J684">
        <v>0</v>
      </c>
      <c r="K684">
        <v>1.0999999999999999E-2</v>
      </c>
      <c r="O684">
        <f t="shared" si="606"/>
        <v>98.53</v>
      </c>
      <c r="P684">
        <f t="shared" si="607"/>
        <v>3.75</v>
      </c>
      <c r="Q684">
        <f t="shared" si="599"/>
        <v>13.21</v>
      </c>
      <c r="R684">
        <f t="shared" si="608"/>
        <v>2.61</v>
      </c>
      <c r="S684">
        <f t="shared" si="609"/>
        <v>81.569999999999993</v>
      </c>
      <c r="T684">
        <f t="shared" si="610"/>
        <v>0</v>
      </c>
      <c r="U684">
        <f t="shared" si="611"/>
        <v>0.22769999999999999</v>
      </c>
      <c r="V684">
        <f t="shared" si="612"/>
        <v>0</v>
      </c>
      <c r="W684">
        <f t="shared" si="613"/>
        <v>0</v>
      </c>
      <c r="X684">
        <f t="shared" si="614"/>
        <v>64.44</v>
      </c>
      <c r="Y684">
        <f t="shared" si="615"/>
        <v>33.44</v>
      </c>
      <c r="AA684">
        <v>129761633</v>
      </c>
      <c r="AB684">
        <f t="shared" si="616"/>
        <v>490.45</v>
      </c>
      <c r="AC684">
        <f t="shared" si="617"/>
        <v>119</v>
      </c>
      <c r="AD684">
        <f t="shared" si="600"/>
        <v>116.22</v>
      </c>
      <c r="AE684">
        <f t="shared" si="601"/>
        <v>8.59</v>
      </c>
      <c r="AF684">
        <f t="shared" si="602"/>
        <v>255.23</v>
      </c>
      <c r="AG684">
        <f t="shared" si="618"/>
        <v>0</v>
      </c>
      <c r="AH684">
        <f t="shared" si="603"/>
        <v>20.7</v>
      </c>
      <c r="AI684">
        <f t="shared" si="604"/>
        <v>0</v>
      </c>
      <c r="AJ684">
        <f t="shared" si="619"/>
        <v>0</v>
      </c>
      <c r="AK684">
        <v>490.45</v>
      </c>
      <c r="AL684">
        <v>119</v>
      </c>
      <c r="AM684">
        <v>116.22</v>
      </c>
      <c r="AN684">
        <v>8.59</v>
      </c>
      <c r="AO684">
        <v>255.23</v>
      </c>
      <c r="AP684">
        <v>0</v>
      </c>
      <c r="AQ684">
        <v>20.7</v>
      </c>
      <c r="AR684">
        <v>0</v>
      </c>
      <c r="AS684">
        <v>0</v>
      </c>
      <c r="AT684">
        <v>79</v>
      </c>
      <c r="AU684">
        <v>41</v>
      </c>
      <c r="AV684">
        <v>1</v>
      </c>
      <c r="AW684">
        <v>1</v>
      </c>
      <c r="AZ684">
        <v>1</v>
      </c>
      <c r="BA684">
        <v>29.03</v>
      </c>
      <c r="BB684">
        <v>10.32</v>
      </c>
      <c r="BC684">
        <v>2.86</v>
      </c>
      <c r="BD684" t="s">
        <v>3</v>
      </c>
      <c r="BE684" t="s">
        <v>3</v>
      </c>
      <c r="BF684" t="s">
        <v>3</v>
      </c>
      <c r="BG684" t="s">
        <v>3</v>
      </c>
      <c r="BH684">
        <v>0</v>
      </c>
      <c r="BI684">
        <v>2</v>
      </c>
      <c r="BJ684" t="s">
        <v>678</v>
      </c>
      <c r="BM684">
        <v>331</v>
      </c>
      <c r="BN684">
        <v>0</v>
      </c>
      <c r="BO684" t="s">
        <v>676</v>
      </c>
      <c r="BP684">
        <v>1</v>
      </c>
      <c r="BQ684">
        <v>40</v>
      </c>
      <c r="BR684">
        <v>0</v>
      </c>
      <c r="BS684">
        <v>29.03</v>
      </c>
      <c r="BT684">
        <v>1</v>
      </c>
      <c r="BU684">
        <v>1</v>
      </c>
      <c r="BV684">
        <v>1</v>
      </c>
      <c r="BW684">
        <v>1</v>
      </c>
      <c r="BX684">
        <v>1</v>
      </c>
      <c r="BY684" t="s">
        <v>3</v>
      </c>
      <c r="BZ684">
        <v>79</v>
      </c>
      <c r="CA684">
        <v>41</v>
      </c>
      <c r="CB684" t="s">
        <v>3</v>
      </c>
      <c r="CE684">
        <v>30</v>
      </c>
      <c r="CF684">
        <v>0</v>
      </c>
      <c r="CG684">
        <v>0</v>
      </c>
      <c r="CM684">
        <v>0</v>
      </c>
      <c r="CN684" t="s">
        <v>3</v>
      </c>
      <c r="CO684">
        <v>0</v>
      </c>
      <c r="CP684">
        <f t="shared" si="620"/>
        <v>98.53</v>
      </c>
      <c r="CQ684">
        <f t="shared" si="621"/>
        <v>340.34</v>
      </c>
      <c r="CR684">
        <f t="shared" si="605"/>
        <v>1199.3900000000001</v>
      </c>
      <c r="CS684">
        <f t="shared" si="622"/>
        <v>249.37</v>
      </c>
      <c r="CT684">
        <f t="shared" si="623"/>
        <v>7409.33</v>
      </c>
      <c r="CU684">
        <f t="shared" si="624"/>
        <v>0</v>
      </c>
      <c r="CV684">
        <f t="shared" si="625"/>
        <v>20.7</v>
      </c>
      <c r="CW684">
        <f t="shared" si="626"/>
        <v>0</v>
      </c>
      <c r="CX684">
        <f t="shared" si="627"/>
        <v>0</v>
      </c>
      <c r="CY684">
        <f>S684*(BZ684/100)</f>
        <v>64.440299999999993</v>
      </c>
      <c r="CZ684">
        <f>S684*(CA684/100)</f>
        <v>33.443699999999993</v>
      </c>
      <c r="DC684" t="s">
        <v>3</v>
      </c>
      <c r="DD684" t="s">
        <v>3</v>
      </c>
      <c r="DE684" t="s">
        <v>3</v>
      </c>
      <c r="DF684" t="s">
        <v>3</v>
      </c>
      <c r="DG684" t="s">
        <v>3</v>
      </c>
      <c r="DH684" t="s">
        <v>3</v>
      </c>
      <c r="DI684" t="s">
        <v>3</v>
      </c>
      <c r="DJ684" t="s">
        <v>3</v>
      </c>
      <c r="DK684" t="s">
        <v>3</v>
      </c>
      <c r="DL684" t="s">
        <v>3</v>
      </c>
      <c r="DM684" t="s">
        <v>3</v>
      </c>
      <c r="DN684">
        <v>114</v>
      </c>
      <c r="DO684">
        <v>67</v>
      </c>
      <c r="DP684">
        <v>1</v>
      </c>
      <c r="DQ684">
        <v>1</v>
      </c>
      <c r="DU684">
        <v>1003</v>
      </c>
      <c r="DV684" t="s">
        <v>455</v>
      </c>
      <c r="DW684" t="s">
        <v>455</v>
      </c>
      <c r="DX684">
        <v>100</v>
      </c>
      <c r="DZ684" t="s">
        <v>3</v>
      </c>
      <c r="EA684" t="s">
        <v>3</v>
      </c>
      <c r="EB684" t="s">
        <v>3</v>
      </c>
      <c r="EC684" t="s">
        <v>3</v>
      </c>
      <c r="EE684">
        <v>126051792</v>
      </c>
      <c r="EF684">
        <v>40</v>
      </c>
      <c r="EG684" t="s">
        <v>621</v>
      </c>
      <c r="EH684">
        <v>0</v>
      </c>
      <c r="EI684" t="s">
        <v>3</v>
      </c>
      <c r="EJ684">
        <v>2</v>
      </c>
      <c r="EK684">
        <v>331</v>
      </c>
      <c r="EL684" t="s">
        <v>679</v>
      </c>
      <c r="EM684" t="s">
        <v>680</v>
      </c>
      <c r="EO684" t="s">
        <v>3</v>
      </c>
      <c r="EQ684">
        <v>131072</v>
      </c>
      <c r="ER684">
        <v>490.45</v>
      </c>
      <c r="ES684">
        <v>119</v>
      </c>
      <c r="ET684">
        <v>116.22</v>
      </c>
      <c r="EU684">
        <v>8.59</v>
      </c>
      <c r="EV684">
        <v>255.23</v>
      </c>
      <c r="EW684">
        <v>20.7</v>
      </c>
      <c r="EX684">
        <v>0</v>
      </c>
      <c r="EY684">
        <v>0</v>
      </c>
      <c r="FQ684">
        <v>0</v>
      </c>
      <c r="FR684">
        <f t="shared" si="628"/>
        <v>0</v>
      </c>
      <c r="FS684">
        <v>0</v>
      </c>
      <c r="FX684">
        <v>114</v>
      </c>
      <c r="FY684">
        <v>67</v>
      </c>
      <c r="GA684" t="s">
        <v>3</v>
      </c>
      <c r="GD684">
        <v>0</v>
      </c>
      <c r="GF684">
        <v>-1325536271</v>
      </c>
      <c r="GG684">
        <v>2</v>
      </c>
      <c r="GH684">
        <v>1</v>
      </c>
      <c r="GI684">
        <v>2</v>
      </c>
      <c r="GJ684">
        <v>0</v>
      </c>
      <c r="GK684">
        <f>ROUND(R684*(S12)/100,2)</f>
        <v>4.18</v>
      </c>
      <c r="GL684">
        <f t="shared" si="629"/>
        <v>0</v>
      </c>
      <c r="GM684">
        <f t="shared" si="630"/>
        <v>200.59</v>
      </c>
      <c r="GN684">
        <f t="shared" si="631"/>
        <v>0</v>
      </c>
      <c r="GO684">
        <f t="shared" si="632"/>
        <v>200.59</v>
      </c>
      <c r="GP684">
        <f t="shared" si="633"/>
        <v>0</v>
      </c>
      <c r="GR684">
        <v>0</v>
      </c>
      <c r="GS684">
        <v>3</v>
      </c>
      <c r="GT684">
        <v>0</v>
      </c>
      <c r="GU684" t="s">
        <v>3</v>
      </c>
      <c r="GV684">
        <f t="shared" si="634"/>
        <v>0</v>
      </c>
      <c r="GW684">
        <v>1</v>
      </c>
      <c r="GX684">
        <f t="shared" si="635"/>
        <v>0</v>
      </c>
      <c r="HA684">
        <v>0</v>
      </c>
      <c r="HB684">
        <v>0</v>
      </c>
      <c r="HC684">
        <f t="shared" si="636"/>
        <v>0</v>
      </c>
      <c r="HE684" t="s">
        <v>3</v>
      </c>
      <c r="HF684" t="s">
        <v>3</v>
      </c>
      <c r="HM684" t="s">
        <v>3</v>
      </c>
      <c r="HN684" t="s">
        <v>3</v>
      </c>
      <c r="HO684" t="s">
        <v>3</v>
      </c>
      <c r="HP684" t="s">
        <v>3</v>
      </c>
      <c r="HQ684" t="s">
        <v>3</v>
      </c>
      <c r="IK684">
        <v>0</v>
      </c>
    </row>
    <row r="685" spans="1:255" x14ac:dyDescent="0.2">
      <c r="A685" s="2">
        <v>18</v>
      </c>
      <c r="B685" s="2">
        <v>1</v>
      </c>
      <c r="C685" s="2">
        <v>706</v>
      </c>
      <c r="D685" s="2"/>
      <c r="E685" s="2" t="s">
        <v>235</v>
      </c>
      <c r="F685" s="2" t="s">
        <v>681</v>
      </c>
      <c r="G685" s="2" t="s">
        <v>682</v>
      </c>
      <c r="H685" s="2" t="s">
        <v>270</v>
      </c>
      <c r="I685" s="2">
        <f>I683*J685</f>
        <v>1.1220000000000001</v>
      </c>
      <c r="J685" s="2">
        <v>102.00000000000001</v>
      </c>
      <c r="K685" s="2">
        <v>102.00000000000001</v>
      </c>
      <c r="L685" s="2"/>
      <c r="M685" s="2"/>
      <c r="N685" s="2"/>
      <c r="O685" s="2">
        <f t="shared" si="606"/>
        <v>3.76</v>
      </c>
      <c r="P685" s="2">
        <f t="shared" si="607"/>
        <v>3.76</v>
      </c>
      <c r="Q685" s="2">
        <f t="shared" si="599"/>
        <v>0</v>
      </c>
      <c r="R685" s="2">
        <f t="shared" si="608"/>
        <v>0</v>
      </c>
      <c r="S685" s="2">
        <f t="shared" si="609"/>
        <v>0</v>
      </c>
      <c r="T685" s="2">
        <f t="shared" si="610"/>
        <v>0</v>
      </c>
      <c r="U685" s="2">
        <f t="shared" si="611"/>
        <v>0</v>
      </c>
      <c r="V685" s="2">
        <f t="shared" si="612"/>
        <v>0</v>
      </c>
      <c r="W685" s="2">
        <f t="shared" si="613"/>
        <v>0</v>
      </c>
      <c r="X685" s="2">
        <f t="shared" si="614"/>
        <v>0</v>
      </c>
      <c r="Y685" s="2">
        <f t="shared" si="615"/>
        <v>0</v>
      </c>
      <c r="Z685" s="2"/>
      <c r="AA685" s="2">
        <v>129761636</v>
      </c>
      <c r="AB685" s="2">
        <f t="shared" si="616"/>
        <v>3.35</v>
      </c>
      <c r="AC685" s="2">
        <f t="shared" si="617"/>
        <v>3.35</v>
      </c>
      <c r="AD685" s="2">
        <f t="shared" si="600"/>
        <v>0</v>
      </c>
      <c r="AE685" s="2">
        <f t="shared" si="601"/>
        <v>0</v>
      </c>
      <c r="AF685" s="2">
        <f t="shared" si="602"/>
        <v>0</v>
      </c>
      <c r="AG685" s="2">
        <f t="shared" si="618"/>
        <v>0</v>
      </c>
      <c r="AH685" s="2">
        <f t="shared" si="603"/>
        <v>0</v>
      </c>
      <c r="AI685" s="2">
        <f t="shared" si="604"/>
        <v>0</v>
      </c>
      <c r="AJ685" s="2">
        <f t="shared" si="619"/>
        <v>0</v>
      </c>
      <c r="AK685" s="2">
        <v>3.35</v>
      </c>
      <c r="AL685" s="2">
        <v>3.35</v>
      </c>
      <c r="AM685" s="2">
        <v>0</v>
      </c>
      <c r="AN685" s="2">
        <v>0</v>
      </c>
      <c r="AO685" s="2">
        <v>0</v>
      </c>
      <c r="AP685" s="2">
        <v>0</v>
      </c>
      <c r="AQ685" s="2">
        <v>0</v>
      </c>
      <c r="AR685" s="2">
        <v>0</v>
      </c>
      <c r="AS685" s="2">
        <v>0</v>
      </c>
      <c r="AT685" s="2">
        <v>114</v>
      </c>
      <c r="AU685" s="2">
        <v>67</v>
      </c>
      <c r="AV685" s="2">
        <v>1</v>
      </c>
      <c r="AW685" s="2">
        <v>1</v>
      </c>
      <c r="AX685" s="2"/>
      <c r="AY685" s="2"/>
      <c r="AZ685" s="2">
        <v>1</v>
      </c>
      <c r="BA685" s="2">
        <v>1</v>
      </c>
      <c r="BB685" s="2">
        <v>1</v>
      </c>
      <c r="BC685" s="2">
        <v>1</v>
      </c>
      <c r="BD685" s="2" t="s">
        <v>3</v>
      </c>
      <c r="BE685" s="2" t="s">
        <v>3</v>
      </c>
      <c r="BF685" s="2" t="s">
        <v>3</v>
      </c>
      <c r="BG685" s="2" t="s">
        <v>3</v>
      </c>
      <c r="BH685" s="2">
        <v>3</v>
      </c>
      <c r="BI685" s="2">
        <v>2</v>
      </c>
      <c r="BJ685" s="2" t="s">
        <v>683</v>
      </c>
      <c r="BK685" s="2"/>
      <c r="BL685" s="2"/>
      <c r="BM685" s="2">
        <v>331</v>
      </c>
      <c r="BN685" s="2">
        <v>0</v>
      </c>
      <c r="BO685" s="2" t="s">
        <v>3</v>
      </c>
      <c r="BP685" s="2">
        <v>0</v>
      </c>
      <c r="BQ685" s="2">
        <v>40</v>
      </c>
      <c r="BR685" s="2">
        <v>0</v>
      </c>
      <c r="BS685" s="2">
        <v>1</v>
      </c>
      <c r="BT685" s="2">
        <v>1</v>
      </c>
      <c r="BU685" s="2">
        <v>1</v>
      </c>
      <c r="BV685" s="2">
        <v>1</v>
      </c>
      <c r="BW685" s="2">
        <v>1</v>
      </c>
      <c r="BX685" s="2">
        <v>1</v>
      </c>
      <c r="BY685" s="2" t="s">
        <v>3</v>
      </c>
      <c r="BZ685" s="2">
        <v>114</v>
      </c>
      <c r="CA685" s="2">
        <v>67</v>
      </c>
      <c r="CB685" s="2" t="s">
        <v>3</v>
      </c>
      <c r="CC685" s="2"/>
      <c r="CD685" s="2"/>
      <c r="CE685" s="2">
        <v>30</v>
      </c>
      <c r="CF685" s="2">
        <v>0</v>
      </c>
      <c r="CG685" s="2">
        <v>0</v>
      </c>
      <c r="CH685" s="2"/>
      <c r="CI685" s="2"/>
      <c r="CJ685" s="2"/>
      <c r="CK685" s="2"/>
      <c r="CL685" s="2"/>
      <c r="CM685" s="2">
        <v>0</v>
      </c>
      <c r="CN685" s="2" t="s">
        <v>3</v>
      </c>
      <c r="CO685" s="2">
        <v>0</v>
      </c>
      <c r="CP685" s="2">
        <f t="shared" si="620"/>
        <v>3.76</v>
      </c>
      <c r="CQ685" s="2">
        <f t="shared" si="621"/>
        <v>3.35</v>
      </c>
      <c r="CR685" s="2">
        <f t="shared" si="605"/>
        <v>0</v>
      </c>
      <c r="CS685" s="2">
        <f t="shared" si="622"/>
        <v>0</v>
      </c>
      <c r="CT685" s="2">
        <f t="shared" si="623"/>
        <v>0</v>
      </c>
      <c r="CU685" s="2">
        <f t="shared" si="624"/>
        <v>0</v>
      </c>
      <c r="CV685" s="2">
        <f t="shared" si="625"/>
        <v>0</v>
      </c>
      <c r="CW685" s="2">
        <f t="shared" si="626"/>
        <v>0</v>
      </c>
      <c r="CX685" s="2">
        <f t="shared" si="627"/>
        <v>0</v>
      </c>
      <c r="CY685" s="2">
        <f>((S685*BZ685)/100)</f>
        <v>0</v>
      </c>
      <c r="CZ685" s="2">
        <f>((S685*CA685)/100)</f>
        <v>0</v>
      </c>
      <c r="DA685" s="2"/>
      <c r="DB685" s="2"/>
      <c r="DC685" s="2" t="s">
        <v>3</v>
      </c>
      <c r="DD685" s="2" t="s">
        <v>3</v>
      </c>
      <c r="DE685" s="2" t="s">
        <v>3</v>
      </c>
      <c r="DF685" s="2" t="s">
        <v>3</v>
      </c>
      <c r="DG685" s="2" t="s">
        <v>3</v>
      </c>
      <c r="DH685" s="2" t="s">
        <v>3</v>
      </c>
      <c r="DI685" s="2" t="s">
        <v>3</v>
      </c>
      <c r="DJ685" s="2" t="s">
        <v>3</v>
      </c>
      <c r="DK685" s="2" t="s">
        <v>3</v>
      </c>
      <c r="DL685" s="2" t="s">
        <v>3</v>
      </c>
      <c r="DM685" s="2" t="s">
        <v>3</v>
      </c>
      <c r="DN685" s="2">
        <v>0</v>
      </c>
      <c r="DO685" s="2">
        <v>0</v>
      </c>
      <c r="DP685" s="2">
        <v>1</v>
      </c>
      <c r="DQ685" s="2">
        <v>1</v>
      </c>
      <c r="DR685" s="2"/>
      <c r="DS685" s="2"/>
      <c r="DT685" s="2"/>
      <c r="DU685" s="2">
        <v>1003</v>
      </c>
      <c r="DV685" s="2" t="s">
        <v>270</v>
      </c>
      <c r="DW685" s="2" t="s">
        <v>270</v>
      </c>
      <c r="DX685" s="2">
        <v>1</v>
      </c>
      <c r="DY685" s="2"/>
      <c r="DZ685" s="2" t="s">
        <v>3</v>
      </c>
      <c r="EA685" s="2" t="s">
        <v>3</v>
      </c>
      <c r="EB685" s="2" t="s">
        <v>3</v>
      </c>
      <c r="EC685" s="2" t="s">
        <v>3</v>
      </c>
      <c r="ED685" s="2"/>
      <c r="EE685" s="2">
        <v>126051792</v>
      </c>
      <c r="EF685" s="2">
        <v>40</v>
      </c>
      <c r="EG685" s="2" t="s">
        <v>621</v>
      </c>
      <c r="EH685" s="2">
        <v>0</v>
      </c>
      <c r="EI685" s="2" t="s">
        <v>3</v>
      </c>
      <c r="EJ685" s="2">
        <v>2</v>
      </c>
      <c r="EK685" s="2">
        <v>331</v>
      </c>
      <c r="EL685" s="2" t="s">
        <v>679</v>
      </c>
      <c r="EM685" s="2" t="s">
        <v>680</v>
      </c>
      <c r="EN685" s="2"/>
      <c r="EO685" s="2" t="s">
        <v>3</v>
      </c>
      <c r="EP685" s="2"/>
      <c r="EQ685" s="2">
        <v>0</v>
      </c>
      <c r="ER685" s="2">
        <v>3.35</v>
      </c>
      <c r="ES685" s="2">
        <v>3.35</v>
      </c>
      <c r="ET685" s="2">
        <v>0</v>
      </c>
      <c r="EU685" s="2">
        <v>0</v>
      </c>
      <c r="EV685" s="2">
        <v>0</v>
      </c>
      <c r="EW685" s="2">
        <v>0</v>
      </c>
      <c r="EX685" s="2">
        <v>0</v>
      </c>
      <c r="EY685" s="2"/>
      <c r="EZ685" s="2"/>
      <c r="FA685" s="2"/>
      <c r="FB685" s="2"/>
      <c r="FC685" s="2"/>
      <c r="FD685" s="2"/>
      <c r="FE685" s="2"/>
      <c r="FF685" s="2"/>
      <c r="FG685" s="2"/>
      <c r="FH685" s="2"/>
      <c r="FI685" s="2"/>
      <c r="FJ685" s="2"/>
      <c r="FK685" s="2"/>
      <c r="FL685" s="2"/>
      <c r="FM685" s="2"/>
      <c r="FN685" s="2"/>
      <c r="FO685" s="2"/>
      <c r="FP685" s="2"/>
      <c r="FQ685" s="2">
        <v>0</v>
      </c>
      <c r="FR685" s="2">
        <f t="shared" si="628"/>
        <v>0</v>
      </c>
      <c r="FS685" s="2">
        <v>0</v>
      </c>
      <c r="FT685" s="2"/>
      <c r="FU685" s="2"/>
      <c r="FV685" s="2"/>
      <c r="FW685" s="2"/>
      <c r="FX685" s="2">
        <v>114</v>
      </c>
      <c r="FY685" s="2">
        <v>67</v>
      </c>
      <c r="FZ685" s="2"/>
      <c r="GA685" s="2" t="s">
        <v>3</v>
      </c>
      <c r="GB685" s="2"/>
      <c r="GC685" s="2"/>
      <c r="GD685" s="2">
        <v>0</v>
      </c>
      <c r="GE685" s="2"/>
      <c r="GF685" s="2">
        <v>-2061019636</v>
      </c>
      <c r="GG685" s="2">
        <v>2</v>
      </c>
      <c r="GH685" s="2">
        <v>1</v>
      </c>
      <c r="GI685" s="2">
        <v>-2</v>
      </c>
      <c r="GJ685" s="2">
        <v>0</v>
      </c>
      <c r="GK685" s="2">
        <f>ROUND(R685*(R12)/100,2)</f>
        <v>0</v>
      </c>
      <c r="GL685" s="2">
        <f t="shared" si="629"/>
        <v>0</v>
      </c>
      <c r="GM685" s="2">
        <f t="shared" si="630"/>
        <v>3.76</v>
      </c>
      <c r="GN685" s="2">
        <f t="shared" si="631"/>
        <v>0</v>
      </c>
      <c r="GO685" s="2">
        <f t="shared" si="632"/>
        <v>3.76</v>
      </c>
      <c r="GP685" s="2">
        <f t="shared" si="633"/>
        <v>0</v>
      </c>
      <c r="GQ685" s="2"/>
      <c r="GR685" s="2">
        <v>0</v>
      </c>
      <c r="GS685" s="2">
        <v>0</v>
      </c>
      <c r="GT685" s="2">
        <v>0</v>
      </c>
      <c r="GU685" s="2" t="s">
        <v>3</v>
      </c>
      <c r="GV685" s="2">
        <f t="shared" si="634"/>
        <v>0</v>
      </c>
      <c r="GW685" s="2">
        <v>1</v>
      </c>
      <c r="GX685" s="2">
        <f t="shared" si="635"/>
        <v>0</v>
      </c>
      <c r="GY685" s="2"/>
      <c r="GZ685" s="2"/>
      <c r="HA685" s="2">
        <v>0</v>
      </c>
      <c r="HB685" s="2">
        <v>0</v>
      </c>
      <c r="HC685" s="2">
        <f t="shared" si="636"/>
        <v>0</v>
      </c>
      <c r="HD685" s="2"/>
      <c r="HE685" s="2" t="s">
        <v>3</v>
      </c>
      <c r="HF685" s="2" t="s">
        <v>3</v>
      </c>
      <c r="HG685" s="2"/>
      <c r="HH685" s="2"/>
      <c r="HI685" s="2"/>
      <c r="HJ685" s="2"/>
      <c r="HK685" s="2"/>
      <c r="HL685" s="2"/>
      <c r="HM685" s="2" t="s">
        <v>3</v>
      </c>
      <c r="HN685" s="2" t="s">
        <v>3</v>
      </c>
      <c r="HO685" s="2" t="s">
        <v>3</v>
      </c>
      <c r="HP685" s="2" t="s">
        <v>3</v>
      </c>
      <c r="HQ685" s="2" t="s">
        <v>3</v>
      </c>
      <c r="HR685" s="2"/>
      <c r="HS685" s="2"/>
      <c r="HT685" s="2"/>
      <c r="HU685" s="2"/>
      <c r="HV685" s="2"/>
      <c r="HW685" s="2"/>
      <c r="HX685" s="2"/>
      <c r="HY685" s="2"/>
      <c r="HZ685" s="2"/>
      <c r="IA685" s="2"/>
      <c r="IB685" s="2"/>
      <c r="IC685" s="2"/>
      <c r="ID685" s="2"/>
      <c r="IE685" s="2"/>
      <c r="IF685" s="2"/>
      <c r="IG685" s="2"/>
      <c r="IH685" s="2"/>
      <c r="II685" s="2"/>
      <c r="IJ685" s="2"/>
      <c r="IK685" s="2">
        <v>0</v>
      </c>
      <c r="IL685" s="2"/>
      <c r="IM685" s="2"/>
      <c r="IN685" s="2"/>
      <c r="IO685" s="2"/>
      <c r="IP685" s="2"/>
      <c r="IQ685" s="2"/>
      <c r="IR685" s="2"/>
      <c r="IS685" s="2"/>
      <c r="IT685" s="2"/>
      <c r="IU685" s="2"/>
    </row>
    <row r="686" spans="1:255" x14ac:dyDescent="0.2">
      <c r="A686">
        <v>18</v>
      </c>
      <c r="B686">
        <v>1</v>
      </c>
      <c r="C686">
        <v>708</v>
      </c>
      <c r="E686" t="s">
        <v>235</v>
      </c>
      <c r="F686" t="s">
        <v>681</v>
      </c>
      <c r="G686" t="s">
        <v>682</v>
      </c>
      <c r="H686" t="s">
        <v>270</v>
      </c>
      <c r="I686">
        <f>I684*J686</f>
        <v>1.1220000000000001</v>
      </c>
      <c r="J686">
        <v>102.00000000000001</v>
      </c>
      <c r="K686">
        <v>102.00000000000001</v>
      </c>
      <c r="O686">
        <f t="shared" si="606"/>
        <v>18.760000000000002</v>
      </c>
      <c r="P686">
        <f t="shared" si="607"/>
        <v>18.760000000000002</v>
      </c>
      <c r="Q686">
        <f t="shared" si="599"/>
        <v>0</v>
      </c>
      <c r="R686">
        <f t="shared" si="608"/>
        <v>0</v>
      </c>
      <c r="S686">
        <f t="shared" si="609"/>
        <v>0</v>
      </c>
      <c r="T686">
        <f t="shared" si="610"/>
        <v>0</v>
      </c>
      <c r="U686">
        <f t="shared" si="611"/>
        <v>0</v>
      </c>
      <c r="V686">
        <f t="shared" si="612"/>
        <v>0</v>
      </c>
      <c r="W686">
        <f t="shared" si="613"/>
        <v>0</v>
      </c>
      <c r="X686">
        <f t="shared" si="614"/>
        <v>0</v>
      </c>
      <c r="Y686">
        <f t="shared" si="615"/>
        <v>0</v>
      </c>
      <c r="AA686">
        <v>129761633</v>
      </c>
      <c r="AB686">
        <f t="shared" si="616"/>
        <v>3.35</v>
      </c>
      <c r="AC686">
        <f t="shared" si="617"/>
        <v>3.35</v>
      </c>
      <c r="AD686">
        <f t="shared" si="600"/>
        <v>0</v>
      </c>
      <c r="AE686">
        <f t="shared" si="601"/>
        <v>0</v>
      </c>
      <c r="AF686">
        <f t="shared" si="602"/>
        <v>0</v>
      </c>
      <c r="AG686">
        <f t="shared" si="618"/>
        <v>0</v>
      </c>
      <c r="AH686">
        <f t="shared" si="603"/>
        <v>0</v>
      </c>
      <c r="AI686">
        <f t="shared" si="604"/>
        <v>0</v>
      </c>
      <c r="AJ686">
        <f t="shared" si="619"/>
        <v>0</v>
      </c>
      <c r="AK686">
        <v>3.35</v>
      </c>
      <c r="AL686">
        <v>3.35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1</v>
      </c>
      <c r="AW686">
        <v>1</v>
      </c>
      <c r="AZ686">
        <v>1</v>
      </c>
      <c r="BA686">
        <v>1</v>
      </c>
      <c r="BB686">
        <v>1</v>
      </c>
      <c r="BC686">
        <v>4.99</v>
      </c>
      <c r="BD686" t="s">
        <v>3</v>
      </c>
      <c r="BE686" t="s">
        <v>3</v>
      </c>
      <c r="BF686" t="s">
        <v>3</v>
      </c>
      <c r="BG686" t="s">
        <v>3</v>
      </c>
      <c r="BH686">
        <v>3</v>
      </c>
      <c r="BI686">
        <v>2</v>
      </c>
      <c r="BJ686" t="s">
        <v>683</v>
      </c>
      <c r="BM686">
        <v>331</v>
      </c>
      <c r="BN686">
        <v>0</v>
      </c>
      <c r="BO686" t="s">
        <v>681</v>
      </c>
      <c r="BP686">
        <v>1</v>
      </c>
      <c r="BQ686">
        <v>40</v>
      </c>
      <c r="BR686">
        <v>0</v>
      </c>
      <c r="BS686">
        <v>1</v>
      </c>
      <c r="BT686">
        <v>1</v>
      </c>
      <c r="BU686">
        <v>1</v>
      </c>
      <c r="BV686">
        <v>1</v>
      </c>
      <c r="BW686">
        <v>1</v>
      </c>
      <c r="BX686">
        <v>1</v>
      </c>
      <c r="BY686" t="s">
        <v>3</v>
      </c>
      <c r="BZ686">
        <v>0</v>
      </c>
      <c r="CA686">
        <v>0</v>
      </c>
      <c r="CB686" t="s">
        <v>3</v>
      </c>
      <c r="CE686">
        <v>30</v>
      </c>
      <c r="CF686">
        <v>0</v>
      </c>
      <c r="CG686">
        <v>0</v>
      </c>
      <c r="CM686">
        <v>0</v>
      </c>
      <c r="CN686" t="s">
        <v>3</v>
      </c>
      <c r="CO686">
        <v>0</v>
      </c>
      <c r="CP686">
        <f t="shared" si="620"/>
        <v>18.760000000000002</v>
      </c>
      <c r="CQ686">
        <f t="shared" si="621"/>
        <v>16.72</v>
      </c>
      <c r="CR686">
        <f t="shared" si="605"/>
        <v>0</v>
      </c>
      <c r="CS686">
        <f t="shared" si="622"/>
        <v>0</v>
      </c>
      <c r="CT686">
        <f t="shared" si="623"/>
        <v>0</v>
      </c>
      <c r="CU686">
        <f t="shared" si="624"/>
        <v>0</v>
      </c>
      <c r="CV686">
        <f t="shared" si="625"/>
        <v>0</v>
      </c>
      <c r="CW686">
        <f t="shared" si="626"/>
        <v>0</v>
      </c>
      <c r="CX686">
        <f t="shared" si="627"/>
        <v>0</v>
      </c>
      <c r="CY686">
        <f>S686*(BZ686/100)</f>
        <v>0</v>
      </c>
      <c r="CZ686">
        <f>S686*(CA686/100)</f>
        <v>0</v>
      </c>
      <c r="DC686" t="s">
        <v>3</v>
      </c>
      <c r="DD686" t="s">
        <v>3</v>
      </c>
      <c r="DE686" t="s">
        <v>3</v>
      </c>
      <c r="DF686" t="s">
        <v>3</v>
      </c>
      <c r="DG686" t="s">
        <v>3</v>
      </c>
      <c r="DH686" t="s">
        <v>3</v>
      </c>
      <c r="DI686" t="s">
        <v>3</v>
      </c>
      <c r="DJ686" t="s">
        <v>3</v>
      </c>
      <c r="DK686" t="s">
        <v>3</v>
      </c>
      <c r="DL686" t="s">
        <v>3</v>
      </c>
      <c r="DM686" t="s">
        <v>3</v>
      </c>
      <c r="DN686">
        <v>114</v>
      </c>
      <c r="DO686">
        <v>67</v>
      </c>
      <c r="DP686">
        <v>1</v>
      </c>
      <c r="DQ686">
        <v>1</v>
      </c>
      <c r="DU686">
        <v>1003</v>
      </c>
      <c r="DV686" t="s">
        <v>270</v>
      </c>
      <c r="DW686" t="s">
        <v>270</v>
      </c>
      <c r="DX686">
        <v>1</v>
      </c>
      <c r="DZ686" t="s">
        <v>3</v>
      </c>
      <c r="EA686" t="s">
        <v>3</v>
      </c>
      <c r="EB686" t="s">
        <v>3</v>
      </c>
      <c r="EC686" t="s">
        <v>3</v>
      </c>
      <c r="EE686">
        <v>126051792</v>
      </c>
      <c r="EF686">
        <v>40</v>
      </c>
      <c r="EG686" t="s">
        <v>621</v>
      </c>
      <c r="EH686">
        <v>0</v>
      </c>
      <c r="EI686" t="s">
        <v>3</v>
      </c>
      <c r="EJ686">
        <v>2</v>
      </c>
      <c r="EK686">
        <v>331</v>
      </c>
      <c r="EL686" t="s">
        <v>679</v>
      </c>
      <c r="EM686" t="s">
        <v>680</v>
      </c>
      <c r="EO686" t="s">
        <v>3</v>
      </c>
      <c r="EQ686">
        <v>0</v>
      </c>
      <c r="ER686">
        <v>3.35</v>
      </c>
      <c r="ES686">
        <v>3.35</v>
      </c>
      <c r="ET686">
        <v>0</v>
      </c>
      <c r="EU686">
        <v>0</v>
      </c>
      <c r="EV686">
        <v>0</v>
      </c>
      <c r="EW686">
        <v>0</v>
      </c>
      <c r="EX686">
        <v>0</v>
      </c>
      <c r="FQ686">
        <v>0</v>
      </c>
      <c r="FR686">
        <f t="shared" si="628"/>
        <v>0</v>
      </c>
      <c r="FS686">
        <v>0</v>
      </c>
      <c r="FX686">
        <v>114</v>
      </c>
      <c r="FY686">
        <v>67</v>
      </c>
      <c r="GA686" t="s">
        <v>3</v>
      </c>
      <c r="GD686">
        <v>0</v>
      </c>
      <c r="GF686">
        <v>-2061019636</v>
      </c>
      <c r="GG686">
        <v>2</v>
      </c>
      <c r="GH686">
        <v>1</v>
      </c>
      <c r="GI686">
        <v>2</v>
      </c>
      <c r="GJ686">
        <v>0</v>
      </c>
      <c r="GK686">
        <f>ROUND(R686*(S12)/100,2)</f>
        <v>0</v>
      </c>
      <c r="GL686">
        <f t="shared" si="629"/>
        <v>0</v>
      </c>
      <c r="GM686">
        <f t="shared" si="630"/>
        <v>18.760000000000002</v>
      </c>
      <c r="GN686">
        <f t="shared" si="631"/>
        <v>0</v>
      </c>
      <c r="GO686">
        <f t="shared" si="632"/>
        <v>18.760000000000002</v>
      </c>
      <c r="GP686">
        <f t="shared" si="633"/>
        <v>0</v>
      </c>
      <c r="GR686">
        <v>0</v>
      </c>
      <c r="GS686">
        <v>3</v>
      </c>
      <c r="GT686">
        <v>0</v>
      </c>
      <c r="GU686" t="s">
        <v>3</v>
      </c>
      <c r="GV686">
        <f t="shared" si="634"/>
        <v>0</v>
      </c>
      <c r="GW686">
        <v>1</v>
      </c>
      <c r="GX686">
        <f t="shared" si="635"/>
        <v>0</v>
      </c>
      <c r="HA686">
        <v>0</v>
      </c>
      <c r="HB686">
        <v>0</v>
      </c>
      <c r="HC686">
        <f t="shared" si="636"/>
        <v>0</v>
      </c>
      <c r="HE686" t="s">
        <v>3</v>
      </c>
      <c r="HF686" t="s">
        <v>3</v>
      </c>
      <c r="HM686" t="s">
        <v>3</v>
      </c>
      <c r="HN686" t="s">
        <v>3</v>
      </c>
      <c r="HO686" t="s">
        <v>3</v>
      </c>
      <c r="HP686" t="s">
        <v>3</v>
      </c>
      <c r="HQ686" t="s">
        <v>3</v>
      </c>
      <c r="IK686">
        <v>0</v>
      </c>
    </row>
    <row r="687" spans="1:255" x14ac:dyDescent="0.2">
      <c r="A687" s="2">
        <v>17</v>
      </c>
      <c r="B687" s="2">
        <v>1</v>
      </c>
      <c r="C687" s="2">
        <f>ROW(SmtRes!A710)</f>
        <v>710</v>
      </c>
      <c r="D687" s="2">
        <f>ROW(EtalonRes!A707)</f>
        <v>707</v>
      </c>
      <c r="E687" s="2" t="s">
        <v>240</v>
      </c>
      <c r="F687" s="2" t="s">
        <v>684</v>
      </c>
      <c r="G687" s="2" t="s">
        <v>685</v>
      </c>
      <c r="H687" s="2" t="s">
        <v>455</v>
      </c>
      <c r="I687" s="2">
        <v>0.1</v>
      </c>
      <c r="J687" s="2">
        <v>0</v>
      </c>
      <c r="K687" s="2">
        <v>0.1</v>
      </c>
      <c r="L687" s="2"/>
      <c r="M687" s="2"/>
      <c r="N687" s="2"/>
      <c r="O687" s="2">
        <f t="shared" si="606"/>
        <v>140.24</v>
      </c>
      <c r="P687" s="2">
        <f t="shared" si="607"/>
        <v>34.229999999999997</v>
      </c>
      <c r="Q687" s="2">
        <f t="shared" si="599"/>
        <v>69.14</v>
      </c>
      <c r="R687" s="2">
        <f t="shared" si="608"/>
        <v>4.5599999999999996</v>
      </c>
      <c r="S687" s="2">
        <f t="shared" si="609"/>
        <v>36.869999999999997</v>
      </c>
      <c r="T687" s="2">
        <f t="shared" si="610"/>
        <v>0</v>
      </c>
      <c r="U687" s="2">
        <f t="shared" si="611"/>
        <v>2.99</v>
      </c>
      <c r="V687" s="2">
        <f t="shared" si="612"/>
        <v>0</v>
      </c>
      <c r="W687" s="2">
        <f t="shared" si="613"/>
        <v>0</v>
      </c>
      <c r="X687" s="2">
        <f t="shared" si="614"/>
        <v>42.03</v>
      </c>
      <c r="Y687" s="2">
        <f t="shared" si="615"/>
        <v>24.7</v>
      </c>
      <c r="Z687" s="2"/>
      <c r="AA687" s="2">
        <v>129761636</v>
      </c>
      <c r="AB687" s="2">
        <f t="shared" si="616"/>
        <v>1402.35</v>
      </c>
      <c r="AC687" s="2">
        <f t="shared" si="617"/>
        <v>342.3</v>
      </c>
      <c r="AD687" s="2">
        <f t="shared" si="600"/>
        <v>691.38</v>
      </c>
      <c r="AE687" s="2">
        <f t="shared" si="601"/>
        <v>45.55</v>
      </c>
      <c r="AF687" s="2">
        <f t="shared" si="602"/>
        <v>368.67</v>
      </c>
      <c r="AG687" s="2">
        <f t="shared" si="618"/>
        <v>0</v>
      </c>
      <c r="AH687" s="2">
        <f t="shared" si="603"/>
        <v>29.9</v>
      </c>
      <c r="AI687" s="2">
        <f t="shared" si="604"/>
        <v>0</v>
      </c>
      <c r="AJ687" s="2">
        <f t="shared" si="619"/>
        <v>0</v>
      </c>
      <c r="AK687" s="2">
        <v>1402.35</v>
      </c>
      <c r="AL687" s="2">
        <v>342.3</v>
      </c>
      <c r="AM687" s="2">
        <v>691.38</v>
      </c>
      <c r="AN687" s="2">
        <v>45.55</v>
      </c>
      <c r="AO687" s="2">
        <v>368.67</v>
      </c>
      <c r="AP687" s="2">
        <v>0</v>
      </c>
      <c r="AQ687" s="2">
        <v>29.9</v>
      </c>
      <c r="AR687" s="2">
        <v>0</v>
      </c>
      <c r="AS687" s="2">
        <v>0</v>
      </c>
      <c r="AT687" s="2">
        <v>114</v>
      </c>
      <c r="AU687" s="2">
        <v>67</v>
      </c>
      <c r="AV687" s="2">
        <v>1</v>
      </c>
      <c r="AW687" s="2">
        <v>1</v>
      </c>
      <c r="AX687" s="2"/>
      <c r="AY687" s="2"/>
      <c r="AZ687" s="2">
        <v>1</v>
      </c>
      <c r="BA687" s="2">
        <v>1</v>
      </c>
      <c r="BB687" s="2">
        <v>1</v>
      </c>
      <c r="BC687" s="2">
        <v>1</v>
      </c>
      <c r="BD687" s="2" t="s">
        <v>3</v>
      </c>
      <c r="BE687" s="2" t="s">
        <v>3</v>
      </c>
      <c r="BF687" s="2" t="s">
        <v>3</v>
      </c>
      <c r="BG687" s="2" t="s">
        <v>3</v>
      </c>
      <c r="BH687" s="2">
        <v>0</v>
      </c>
      <c r="BI687" s="2">
        <v>2</v>
      </c>
      <c r="BJ687" s="2" t="s">
        <v>686</v>
      </c>
      <c r="BK687" s="2"/>
      <c r="BL687" s="2"/>
      <c r="BM687" s="2">
        <v>331</v>
      </c>
      <c r="BN687" s="2">
        <v>0</v>
      </c>
      <c r="BO687" s="2" t="s">
        <v>3</v>
      </c>
      <c r="BP687" s="2">
        <v>0</v>
      </c>
      <c r="BQ687" s="2">
        <v>40</v>
      </c>
      <c r="BR687" s="2">
        <v>0</v>
      </c>
      <c r="BS687" s="2">
        <v>1</v>
      </c>
      <c r="BT687" s="2">
        <v>1</v>
      </c>
      <c r="BU687" s="2">
        <v>1</v>
      </c>
      <c r="BV687" s="2">
        <v>1</v>
      </c>
      <c r="BW687" s="2">
        <v>1</v>
      </c>
      <c r="BX687" s="2">
        <v>1</v>
      </c>
      <c r="BY687" s="2" t="s">
        <v>3</v>
      </c>
      <c r="BZ687" s="2">
        <v>114</v>
      </c>
      <c r="CA687" s="2">
        <v>67</v>
      </c>
      <c r="CB687" s="2" t="s">
        <v>3</v>
      </c>
      <c r="CC687" s="2"/>
      <c r="CD687" s="2"/>
      <c r="CE687" s="2">
        <v>30</v>
      </c>
      <c r="CF687" s="2">
        <v>0</v>
      </c>
      <c r="CG687" s="2">
        <v>0</v>
      </c>
      <c r="CH687" s="2"/>
      <c r="CI687" s="2"/>
      <c r="CJ687" s="2"/>
      <c r="CK687" s="2"/>
      <c r="CL687" s="2"/>
      <c r="CM687" s="2">
        <v>0</v>
      </c>
      <c r="CN687" s="2" t="s">
        <v>3</v>
      </c>
      <c r="CO687" s="2">
        <v>0</v>
      </c>
      <c r="CP687" s="2">
        <f t="shared" si="620"/>
        <v>140.24</v>
      </c>
      <c r="CQ687" s="2">
        <f t="shared" si="621"/>
        <v>342.3</v>
      </c>
      <c r="CR687" s="2">
        <f t="shared" si="605"/>
        <v>691.38</v>
      </c>
      <c r="CS687" s="2">
        <f t="shared" si="622"/>
        <v>45.55</v>
      </c>
      <c r="CT687" s="2">
        <f t="shared" si="623"/>
        <v>368.67</v>
      </c>
      <c r="CU687" s="2">
        <f t="shared" si="624"/>
        <v>0</v>
      </c>
      <c r="CV687" s="2">
        <f t="shared" si="625"/>
        <v>29.9</v>
      </c>
      <c r="CW687" s="2">
        <f t="shared" si="626"/>
        <v>0</v>
      </c>
      <c r="CX687" s="2">
        <f t="shared" si="627"/>
        <v>0</v>
      </c>
      <c r="CY687" s="2">
        <f>((S687*BZ687)/100)</f>
        <v>42.031799999999997</v>
      </c>
      <c r="CZ687" s="2">
        <f>((S687*CA687)/100)</f>
        <v>24.7029</v>
      </c>
      <c r="DA687" s="2"/>
      <c r="DB687" s="2"/>
      <c r="DC687" s="2" t="s">
        <v>3</v>
      </c>
      <c r="DD687" s="2" t="s">
        <v>3</v>
      </c>
      <c r="DE687" s="2" t="s">
        <v>3</v>
      </c>
      <c r="DF687" s="2" t="s">
        <v>3</v>
      </c>
      <c r="DG687" s="2" t="s">
        <v>3</v>
      </c>
      <c r="DH687" s="2" t="s">
        <v>3</v>
      </c>
      <c r="DI687" s="2" t="s">
        <v>3</v>
      </c>
      <c r="DJ687" s="2" t="s">
        <v>3</v>
      </c>
      <c r="DK687" s="2" t="s">
        <v>3</v>
      </c>
      <c r="DL687" s="2" t="s">
        <v>3</v>
      </c>
      <c r="DM687" s="2" t="s">
        <v>3</v>
      </c>
      <c r="DN687" s="2">
        <v>0</v>
      </c>
      <c r="DO687" s="2">
        <v>0</v>
      </c>
      <c r="DP687" s="2">
        <v>1</v>
      </c>
      <c r="DQ687" s="2">
        <v>1</v>
      </c>
      <c r="DR687" s="2"/>
      <c r="DS687" s="2"/>
      <c r="DT687" s="2"/>
      <c r="DU687" s="2">
        <v>1003</v>
      </c>
      <c r="DV687" s="2" t="s">
        <v>455</v>
      </c>
      <c r="DW687" s="2" t="s">
        <v>455</v>
      </c>
      <c r="DX687" s="2">
        <v>100</v>
      </c>
      <c r="DY687" s="2"/>
      <c r="DZ687" s="2" t="s">
        <v>3</v>
      </c>
      <c r="EA687" s="2" t="s">
        <v>3</v>
      </c>
      <c r="EB687" s="2" t="s">
        <v>3</v>
      </c>
      <c r="EC687" s="2" t="s">
        <v>3</v>
      </c>
      <c r="ED687" s="2"/>
      <c r="EE687" s="2">
        <v>126051792</v>
      </c>
      <c r="EF687" s="2">
        <v>40</v>
      </c>
      <c r="EG687" s="2" t="s">
        <v>621</v>
      </c>
      <c r="EH687" s="2">
        <v>0</v>
      </c>
      <c r="EI687" s="2" t="s">
        <v>3</v>
      </c>
      <c r="EJ687" s="2">
        <v>2</v>
      </c>
      <c r="EK687" s="2">
        <v>331</v>
      </c>
      <c r="EL687" s="2" t="s">
        <v>679</v>
      </c>
      <c r="EM687" s="2" t="s">
        <v>680</v>
      </c>
      <c r="EN687" s="2"/>
      <c r="EO687" s="2" t="s">
        <v>3</v>
      </c>
      <c r="EP687" s="2"/>
      <c r="EQ687" s="2">
        <v>131072</v>
      </c>
      <c r="ER687" s="2">
        <v>1402.35</v>
      </c>
      <c r="ES687" s="2">
        <v>342.3</v>
      </c>
      <c r="ET687" s="2">
        <v>691.38</v>
      </c>
      <c r="EU687" s="2">
        <v>45.55</v>
      </c>
      <c r="EV687" s="2">
        <v>368.67</v>
      </c>
      <c r="EW687" s="2">
        <v>29.9</v>
      </c>
      <c r="EX687" s="2">
        <v>0</v>
      </c>
      <c r="EY687" s="2">
        <v>0</v>
      </c>
      <c r="EZ687" s="2"/>
      <c r="FA687" s="2"/>
      <c r="FB687" s="2"/>
      <c r="FC687" s="2"/>
      <c r="FD687" s="2"/>
      <c r="FE687" s="2"/>
      <c r="FF687" s="2"/>
      <c r="FG687" s="2"/>
      <c r="FH687" s="2"/>
      <c r="FI687" s="2"/>
      <c r="FJ687" s="2"/>
      <c r="FK687" s="2"/>
      <c r="FL687" s="2"/>
      <c r="FM687" s="2"/>
      <c r="FN687" s="2"/>
      <c r="FO687" s="2"/>
      <c r="FP687" s="2"/>
      <c r="FQ687" s="2">
        <v>0</v>
      </c>
      <c r="FR687" s="2">
        <f t="shared" si="628"/>
        <v>0</v>
      </c>
      <c r="FS687" s="2">
        <v>0</v>
      </c>
      <c r="FT687" s="2"/>
      <c r="FU687" s="2"/>
      <c r="FV687" s="2"/>
      <c r="FW687" s="2"/>
      <c r="FX687" s="2">
        <v>114</v>
      </c>
      <c r="FY687" s="2">
        <v>67</v>
      </c>
      <c r="FZ687" s="2"/>
      <c r="GA687" s="2" t="s">
        <v>3</v>
      </c>
      <c r="GB687" s="2"/>
      <c r="GC687" s="2"/>
      <c r="GD687" s="2">
        <v>0</v>
      </c>
      <c r="GE687" s="2"/>
      <c r="GF687" s="2">
        <v>-725271137</v>
      </c>
      <c r="GG687" s="2">
        <v>2</v>
      </c>
      <c r="GH687" s="2">
        <v>1</v>
      </c>
      <c r="GI687" s="2">
        <v>-2</v>
      </c>
      <c r="GJ687" s="2">
        <v>0</v>
      </c>
      <c r="GK687" s="2">
        <f>ROUND(R687*(R12)/100,2)</f>
        <v>7.98</v>
      </c>
      <c r="GL687" s="2">
        <f t="shared" si="629"/>
        <v>0</v>
      </c>
      <c r="GM687" s="2">
        <f t="shared" si="630"/>
        <v>214.95</v>
      </c>
      <c r="GN687" s="2">
        <f t="shared" si="631"/>
        <v>0</v>
      </c>
      <c r="GO687" s="2">
        <f t="shared" si="632"/>
        <v>214.95</v>
      </c>
      <c r="GP687" s="2">
        <f t="shared" si="633"/>
        <v>0</v>
      </c>
      <c r="GQ687" s="2"/>
      <c r="GR687" s="2">
        <v>0</v>
      </c>
      <c r="GS687" s="2">
        <v>0</v>
      </c>
      <c r="GT687" s="2">
        <v>0</v>
      </c>
      <c r="GU687" s="2" t="s">
        <v>3</v>
      </c>
      <c r="GV687" s="2">
        <f t="shared" si="634"/>
        <v>0</v>
      </c>
      <c r="GW687" s="2">
        <v>1</v>
      </c>
      <c r="GX687" s="2">
        <f t="shared" si="635"/>
        <v>0</v>
      </c>
      <c r="GY687" s="2"/>
      <c r="GZ687" s="2"/>
      <c r="HA687" s="2">
        <v>0</v>
      </c>
      <c r="HB687" s="2">
        <v>0</v>
      </c>
      <c r="HC687" s="2">
        <f t="shared" si="636"/>
        <v>0</v>
      </c>
      <c r="HD687" s="2"/>
      <c r="HE687" s="2" t="s">
        <v>3</v>
      </c>
      <c r="HF687" s="2" t="s">
        <v>3</v>
      </c>
      <c r="HG687" s="2"/>
      <c r="HH687" s="2"/>
      <c r="HI687" s="2"/>
      <c r="HJ687" s="2"/>
      <c r="HK687" s="2"/>
      <c r="HL687" s="2"/>
      <c r="HM687" s="2" t="s">
        <v>3</v>
      </c>
      <c r="HN687" s="2" t="s">
        <v>3</v>
      </c>
      <c r="HO687" s="2" t="s">
        <v>3</v>
      </c>
      <c r="HP687" s="2" t="s">
        <v>3</v>
      </c>
      <c r="HQ687" s="2" t="s">
        <v>3</v>
      </c>
      <c r="HR687" s="2"/>
      <c r="HS687" s="2"/>
      <c r="HT687" s="2"/>
      <c r="HU687" s="2"/>
      <c r="HV687" s="2"/>
      <c r="HW687" s="2"/>
      <c r="HX687" s="2"/>
      <c r="HY687" s="2"/>
      <c r="HZ687" s="2"/>
      <c r="IA687" s="2"/>
      <c r="IB687" s="2"/>
      <c r="IC687" s="2"/>
      <c r="ID687" s="2"/>
      <c r="IE687" s="2"/>
      <c r="IF687" s="2"/>
      <c r="IG687" s="2"/>
      <c r="IH687" s="2"/>
      <c r="II687" s="2"/>
      <c r="IJ687" s="2"/>
      <c r="IK687" s="2">
        <v>0</v>
      </c>
      <c r="IL687" s="2"/>
      <c r="IM687" s="2"/>
      <c r="IN687" s="2"/>
      <c r="IO687" s="2"/>
      <c r="IP687" s="2"/>
      <c r="IQ687" s="2"/>
      <c r="IR687" s="2"/>
      <c r="IS687" s="2"/>
      <c r="IT687" s="2"/>
      <c r="IU687" s="2"/>
    </row>
    <row r="688" spans="1:255" x14ac:dyDescent="0.2">
      <c r="A688">
        <v>17</v>
      </c>
      <c r="B688">
        <v>1</v>
      </c>
      <c r="C688">
        <f>ROW(SmtRes!A712)</f>
        <v>712</v>
      </c>
      <c r="D688">
        <f>ROW(EtalonRes!A708)</f>
        <v>708</v>
      </c>
      <c r="E688" t="s">
        <v>240</v>
      </c>
      <c r="F688" t="s">
        <v>684</v>
      </c>
      <c r="G688" t="s">
        <v>685</v>
      </c>
      <c r="H688" t="s">
        <v>455</v>
      </c>
      <c r="I688">
        <v>0.1</v>
      </c>
      <c r="J688">
        <v>0</v>
      </c>
      <c r="K688">
        <v>0.1</v>
      </c>
      <c r="O688">
        <f t="shared" si="606"/>
        <v>1938.94</v>
      </c>
      <c r="P688">
        <f t="shared" si="607"/>
        <v>154.38</v>
      </c>
      <c r="Q688">
        <f t="shared" si="599"/>
        <v>714.22</v>
      </c>
      <c r="R688">
        <f t="shared" si="608"/>
        <v>132.38</v>
      </c>
      <c r="S688">
        <f t="shared" si="609"/>
        <v>1070.3399999999999</v>
      </c>
      <c r="T688">
        <f t="shared" si="610"/>
        <v>0</v>
      </c>
      <c r="U688">
        <f t="shared" si="611"/>
        <v>2.99</v>
      </c>
      <c r="V688">
        <f t="shared" si="612"/>
        <v>0</v>
      </c>
      <c r="W688">
        <f t="shared" si="613"/>
        <v>0</v>
      </c>
      <c r="X688">
        <f t="shared" si="614"/>
        <v>845.57</v>
      </c>
      <c r="Y688">
        <f t="shared" si="615"/>
        <v>438.84</v>
      </c>
      <c r="AA688">
        <v>129761633</v>
      </c>
      <c r="AB688">
        <f t="shared" si="616"/>
        <v>1402.35</v>
      </c>
      <c r="AC688">
        <f t="shared" si="617"/>
        <v>342.3</v>
      </c>
      <c r="AD688">
        <f t="shared" si="600"/>
        <v>691.38</v>
      </c>
      <c r="AE688">
        <f t="shared" si="601"/>
        <v>45.55</v>
      </c>
      <c r="AF688">
        <f t="shared" si="602"/>
        <v>368.67</v>
      </c>
      <c r="AG688">
        <f t="shared" si="618"/>
        <v>0</v>
      </c>
      <c r="AH688">
        <f t="shared" si="603"/>
        <v>29.9</v>
      </c>
      <c r="AI688">
        <f t="shared" si="604"/>
        <v>0</v>
      </c>
      <c r="AJ688">
        <f t="shared" si="619"/>
        <v>0</v>
      </c>
      <c r="AK688">
        <v>1402.35</v>
      </c>
      <c r="AL688">
        <v>342.3</v>
      </c>
      <c r="AM688">
        <v>691.38</v>
      </c>
      <c r="AN688">
        <v>45.55</v>
      </c>
      <c r="AO688">
        <v>368.67</v>
      </c>
      <c r="AP688">
        <v>0</v>
      </c>
      <c r="AQ688">
        <v>29.9</v>
      </c>
      <c r="AR688">
        <v>0</v>
      </c>
      <c r="AS688">
        <v>0</v>
      </c>
      <c r="AT688">
        <v>79</v>
      </c>
      <c r="AU688">
        <v>41</v>
      </c>
      <c r="AV688">
        <v>1</v>
      </c>
      <c r="AW688">
        <v>1</v>
      </c>
      <c r="AZ688">
        <v>1</v>
      </c>
      <c r="BA688">
        <v>29.03</v>
      </c>
      <c r="BB688">
        <v>10.33</v>
      </c>
      <c r="BC688">
        <v>4.51</v>
      </c>
      <c r="BD688" t="s">
        <v>3</v>
      </c>
      <c r="BE688" t="s">
        <v>3</v>
      </c>
      <c r="BF688" t="s">
        <v>3</v>
      </c>
      <c r="BG688" t="s">
        <v>3</v>
      </c>
      <c r="BH688">
        <v>0</v>
      </c>
      <c r="BI688">
        <v>2</v>
      </c>
      <c r="BJ688" t="s">
        <v>686</v>
      </c>
      <c r="BM688">
        <v>331</v>
      </c>
      <c r="BN688">
        <v>0</v>
      </c>
      <c r="BO688" t="s">
        <v>684</v>
      </c>
      <c r="BP688">
        <v>1</v>
      </c>
      <c r="BQ688">
        <v>40</v>
      </c>
      <c r="BR688">
        <v>0</v>
      </c>
      <c r="BS688">
        <v>29.03</v>
      </c>
      <c r="BT688">
        <v>1</v>
      </c>
      <c r="BU688">
        <v>1</v>
      </c>
      <c r="BV688">
        <v>1</v>
      </c>
      <c r="BW688">
        <v>1</v>
      </c>
      <c r="BX688">
        <v>1</v>
      </c>
      <c r="BY688" t="s">
        <v>3</v>
      </c>
      <c r="BZ688">
        <v>79</v>
      </c>
      <c r="CA688">
        <v>41</v>
      </c>
      <c r="CB688" t="s">
        <v>3</v>
      </c>
      <c r="CE688">
        <v>30</v>
      </c>
      <c r="CF688">
        <v>0</v>
      </c>
      <c r="CG688">
        <v>0</v>
      </c>
      <c r="CM688">
        <v>0</v>
      </c>
      <c r="CN688" t="s">
        <v>3</v>
      </c>
      <c r="CO688">
        <v>0</v>
      </c>
      <c r="CP688">
        <f t="shared" si="620"/>
        <v>1938.94</v>
      </c>
      <c r="CQ688">
        <f t="shared" si="621"/>
        <v>1543.77</v>
      </c>
      <c r="CR688">
        <f t="shared" si="605"/>
        <v>7141.96</v>
      </c>
      <c r="CS688">
        <f t="shared" si="622"/>
        <v>1322.32</v>
      </c>
      <c r="CT688">
        <f t="shared" si="623"/>
        <v>10702.49</v>
      </c>
      <c r="CU688">
        <f t="shared" si="624"/>
        <v>0</v>
      </c>
      <c r="CV688">
        <f t="shared" si="625"/>
        <v>29.9</v>
      </c>
      <c r="CW688">
        <f t="shared" si="626"/>
        <v>0</v>
      </c>
      <c r="CX688">
        <f t="shared" si="627"/>
        <v>0</v>
      </c>
      <c r="CY688">
        <f>S688*(BZ688/100)</f>
        <v>845.56859999999995</v>
      </c>
      <c r="CZ688">
        <f>S688*(CA688/100)</f>
        <v>438.83939999999996</v>
      </c>
      <c r="DC688" t="s">
        <v>3</v>
      </c>
      <c r="DD688" t="s">
        <v>3</v>
      </c>
      <c r="DE688" t="s">
        <v>3</v>
      </c>
      <c r="DF688" t="s">
        <v>3</v>
      </c>
      <c r="DG688" t="s">
        <v>3</v>
      </c>
      <c r="DH688" t="s">
        <v>3</v>
      </c>
      <c r="DI688" t="s">
        <v>3</v>
      </c>
      <c r="DJ688" t="s">
        <v>3</v>
      </c>
      <c r="DK688" t="s">
        <v>3</v>
      </c>
      <c r="DL688" t="s">
        <v>3</v>
      </c>
      <c r="DM688" t="s">
        <v>3</v>
      </c>
      <c r="DN688">
        <v>114</v>
      </c>
      <c r="DO688">
        <v>67</v>
      </c>
      <c r="DP688">
        <v>1</v>
      </c>
      <c r="DQ688">
        <v>1</v>
      </c>
      <c r="DU688">
        <v>1003</v>
      </c>
      <c r="DV688" t="s">
        <v>455</v>
      </c>
      <c r="DW688" t="s">
        <v>455</v>
      </c>
      <c r="DX688">
        <v>100</v>
      </c>
      <c r="DZ688" t="s">
        <v>3</v>
      </c>
      <c r="EA688" t="s">
        <v>3</v>
      </c>
      <c r="EB688" t="s">
        <v>3</v>
      </c>
      <c r="EC688" t="s">
        <v>3</v>
      </c>
      <c r="EE688">
        <v>126051792</v>
      </c>
      <c r="EF688">
        <v>40</v>
      </c>
      <c r="EG688" t="s">
        <v>621</v>
      </c>
      <c r="EH688">
        <v>0</v>
      </c>
      <c r="EI688" t="s">
        <v>3</v>
      </c>
      <c r="EJ688">
        <v>2</v>
      </c>
      <c r="EK688">
        <v>331</v>
      </c>
      <c r="EL688" t="s">
        <v>679</v>
      </c>
      <c r="EM688" t="s">
        <v>680</v>
      </c>
      <c r="EO688" t="s">
        <v>3</v>
      </c>
      <c r="EQ688">
        <v>131072</v>
      </c>
      <c r="ER688">
        <v>1402.35</v>
      </c>
      <c r="ES688">
        <v>342.3</v>
      </c>
      <c r="ET688">
        <v>691.38</v>
      </c>
      <c r="EU688">
        <v>45.55</v>
      </c>
      <c r="EV688">
        <v>368.67</v>
      </c>
      <c r="EW688">
        <v>29.9</v>
      </c>
      <c r="EX688">
        <v>0</v>
      </c>
      <c r="EY688">
        <v>0</v>
      </c>
      <c r="FQ688">
        <v>0</v>
      </c>
      <c r="FR688">
        <f t="shared" si="628"/>
        <v>0</v>
      </c>
      <c r="FS688">
        <v>0</v>
      </c>
      <c r="FX688">
        <v>114</v>
      </c>
      <c r="FY688">
        <v>67</v>
      </c>
      <c r="GA688" t="s">
        <v>3</v>
      </c>
      <c r="GD688">
        <v>0</v>
      </c>
      <c r="GF688">
        <v>-725271137</v>
      </c>
      <c r="GG688">
        <v>2</v>
      </c>
      <c r="GH688">
        <v>1</v>
      </c>
      <c r="GI688">
        <v>2</v>
      </c>
      <c r="GJ688">
        <v>0</v>
      </c>
      <c r="GK688">
        <f>ROUND(R688*(S12)/100,2)</f>
        <v>211.81</v>
      </c>
      <c r="GL688">
        <f t="shared" si="629"/>
        <v>0</v>
      </c>
      <c r="GM688">
        <f t="shared" si="630"/>
        <v>3435.16</v>
      </c>
      <c r="GN688">
        <f t="shared" si="631"/>
        <v>0</v>
      </c>
      <c r="GO688">
        <f t="shared" si="632"/>
        <v>3435.16</v>
      </c>
      <c r="GP688">
        <f t="shared" si="633"/>
        <v>0</v>
      </c>
      <c r="GR688">
        <v>0</v>
      </c>
      <c r="GS688">
        <v>3</v>
      </c>
      <c r="GT688">
        <v>0</v>
      </c>
      <c r="GU688" t="s">
        <v>3</v>
      </c>
      <c r="GV688">
        <f t="shared" si="634"/>
        <v>0</v>
      </c>
      <c r="GW688">
        <v>1</v>
      </c>
      <c r="GX688">
        <f t="shared" si="635"/>
        <v>0</v>
      </c>
      <c r="HA688">
        <v>0</v>
      </c>
      <c r="HB688">
        <v>0</v>
      </c>
      <c r="HC688">
        <f t="shared" si="636"/>
        <v>0</v>
      </c>
      <c r="HE688" t="s">
        <v>3</v>
      </c>
      <c r="HF688" t="s">
        <v>3</v>
      </c>
      <c r="HM688" t="s">
        <v>3</v>
      </c>
      <c r="HN688" t="s">
        <v>3</v>
      </c>
      <c r="HO688" t="s">
        <v>3</v>
      </c>
      <c r="HP688" t="s">
        <v>3</v>
      </c>
      <c r="HQ688" t="s">
        <v>3</v>
      </c>
      <c r="IK688">
        <v>0</v>
      </c>
    </row>
    <row r="689" spans="1:255" x14ac:dyDescent="0.2">
      <c r="A689" s="2">
        <v>18</v>
      </c>
      <c r="B689" s="2">
        <v>1</v>
      </c>
      <c r="C689" s="2">
        <v>710</v>
      </c>
      <c r="D689" s="2"/>
      <c r="E689" s="2" t="s">
        <v>247</v>
      </c>
      <c r="F689" s="2" t="s">
        <v>248</v>
      </c>
      <c r="G689" s="2" t="s">
        <v>687</v>
      </c>
      <c r="H689" s="2" t="s">
        <v>270</v>
      </c>
      <c r="I689" s="2">
        <f>I687*J689</f>
        <v>10.3</v>
      </c>
      <c r="J689" s="2">
        <v>103</v>
      </c>
      <c r="K689" s="2">
        <v>103</v>
      </c>
      <c r="L689" s="2"/>
      <c r="M689" s="2"/>
      <c r="N689" s="2"/>
      <c r="O689" s="2">
        <f t="shared" si="606"/>
        <v>165.01</v>
      </c>
      <c r="P689" s="2">
        <f t="shared" si="607"/>
        <v>165.01</v>
      </c>
      <c r="Q689" s="2">
        <f t="shared" si="599"/>
        <v>0</v>
      </c>
      <c r="R689" s="2">
        <f t="shared" si="608"/>
        <v>0</v>
      </c>
      <c r="S689" s="2">
        <f t="shared" si="609"/>
        <v>0</v>
      </c>
      <c r="T689" s="2">
        <f t="shared" si="610"/>
        <v>0</v>
      </c>
      <c r="U689" s="2">
        <f t="shared" si="611"/>
        <v>0</v>
      </c>
      <c r="V689" s="2">
        <f t="shared" si="612"/>
        <v>0</v>
      </c>
      <c r="W689" s="2">
        <f t="shared" si="613"/>
        <v>0</v>
      </c>
      <c r="X689" s="2">
        <f t="shared" si="614"/>
        <v>0</v>
      </c>
      <c r="Y689" s="2">
        <f t="shared" si="615"/>
        <v>0</v>
      </c>
      <c r="Z689" s="2"/>
      <c r="AA689" s="2">
        <v>129761636</v>
      </c>
      <c r="AB689" s="2">
        <f t="shared" si="616"/>
        <v>16.02</v>
      </c>
      <c r="AC689" s="2">
        <f t="shared" si="617"/>
        <v>16.02</v>
      </c>
      <c r="AD689" s="2">
        <f t="shared" si="600"/>
        <v>0</v>
      </c>
      <c r="AE689" s="2">
        <f t="shared" si="601"/>
        <v>0</v>
      </c>
      <c r="AF689" s="2">
        <f t="shared" si="602"/>
        <v>0</v>
      </c>
      <c r="AG689" s="2">
        <f t="shared" si="618"/>
        <v>0</v>
      </c>
      <c r="AH689" s="2">
        <f t="shared" si="603"/>
        <v>0</v>
      </c>
      <c r="AI689" s="2">
        <f t="shared" si="604"/>
        <v>0</v>
      </c>
      <c r="AJ689" s="2">
        <f t="shared" si="619"/>
        <v>0</v>
      </c>
      <c r="AK689" s="2">
        <v>16.02</v>
      </c>
      <c r="AL689" s="2">
        <v>16.02</v>
      </c>
      <c r="AM689" s="2">
        <v>0</v>
      </c>
      <c r="AN689" s="2">
        <v>0</v>
      </c>
      <c r="AO689" s="2">
        <v>0</v>
      </c>
      <c r="AP689" s="2">
        <v>0</v>
      </c>
      <c r="AQ689" s="2">
        <v>0</v>
      </c>
      <c r="AR689" s="2">
        <v>0</v>
      </c>
      <c r="AS689" s="2">
        <v>0</v>
      </c>
      <c r="AT689" s="2">
        <v>114</v>
      </c>
      <c r="AU689" s="2">
        <v>67</v>
      </c>
      <c r="AV689" s="2">
        <v>1</v>
      </c>
      <c r="AW689" s="2">
        <v>1</v>
      </c>
      <c r="AX689" s="2"/>
      <c r="AY689" s="2"/>
      <c r="AZ689" s="2">
        <v>1</v>
      </c>
      <c r="BA689" s="2">
        <v>1</v>
      </c>
      <c r="BB689" s="2">
        <v>1</v>
      </c>
      <c r="BC689" s="2">
        <v>1</v>
      </c>
      <c r="BD689" s="2" t="s">
        <v>3</v>
      </c>
      <c r="BE689" s="2" t="s">
        <v>3</v>
      </c>
      <c r="BF689" s="2" t="s">
        <v>3</v>
      </c>
      <c r="BG689" s="2" t="s">
        <v>3</v>
      </c>
      <c r="BH689" s="2">
        <v>3</v>
      </c>
      <c r="BI689" s="2">
        <v>2</v>
      </c>
      <c r="BJ689" s="2" t="s">
        <v>3</v>
      </c>
      <c r="BK689" s="2"/>
      <c r="BL689" s="2"/>
      <c r="BM689" s="2">
        <v>331</v>
      </c>
      <c r="BN689" s="2">
        <v>0</v>
      </c>
      <c r="BO689" s="2" t="s">
        <v>3</v>
      </c>
      <c r="BP689" s="2">
        <v>0</v>
      </c>
      <c r="BQ689" s="2">
        <v>40</v>
      </c>
      <c r="BR689" s="2">
        <v>0</v>
      </c>
      <c r="BS689" s="2">
        <v>1</v>
      </c>
      <c r="BT689" s="2">
        <v>1</v>
      </c>
      <c r="BU689" s="2">
        <v>1</v>
      </c>
      <c r="BV689" s="2">
        <v>1</v>
      </c>
      <c r="BW689" s="2">
        <v>1</v>
      </c>
      <c r="BX689" s="2">
        <v>1</v>
      </c>
      <c r="BY689" s="2" t="s">
        <v>3</v>
      </c>
      <c r="BZ689" s="2">
        <v>114</v>
      </c>
      <c r="CA689" s="2">
        <v>67</v>
      </c>
      <c r="CB689" s="2" t="s">
        <v>3</v>
      </c>
      <c r="CC689" s="2"/>
      <c r="CD689" s="2"/>
      <c r="CE689" s="2">
        <v>30</v>
      </c>
      <c r="CF689" s="2">
        <v>0</v>
      </c>
      <c r="CG689" s="2">
        <v>0</v>
      </c>
      <c r="CH689" s="2"/>
      <c r="CI689" s="2"/>
      <c r="CJ689" s="2"/>
      <c r="CK689" s="2"/>
      <c r="CL689" s="2"/>
      <c r="CM689" s="2">
        <v>0</v>
      </c>
      <c r="CN689" s="2" t="s">
        <v>3</v>
      </c>
      <c r="CO689" s="2">
        <v>0</v>
      </c>
      <c r="CP689" s="2">
        <f t="shared" si="620"/>
        <v>165.01</v>
      </c>
      <c r="CQ689" s="2">
        <f t="shared" si="621"/>
        <v>16.02</v>
      </c>
      <c r="CR689" s="2">
        <f t="shared" si="605"/>
        <v>0</v>
      </c>
      <c r="CS689" s="2">
        <f t="shared" si="622"/>
        <v>0</v>
      </c>
      <c r="CT689" s="2">
        <f t="shared" si="623"/>
        <v>0</v>
      </c>
      <c r="CU689" s="2">
        <f t="shared" si="624"/>
        <v>0</v>
      </c>
      <c r="CV689" s="2">
        <f t="shared" si="625"/>
        <v>0</v>
      </c>
      <c r="CW689" s="2">
        <f t="shared" si="626"/>
        <v>0</v>
      </c>
      <c r="CX689" s="2">
        <f t="shared" si="627"/>
        <v>0</v>
      </c>
      <c r="CY689" s="2">
        <f>((S689*BZ689)/100)</f>
        <v>0</v>
      </c>
      <c r="CZ689" s="2">
        <f>((S689*CA689)/100)</f>
        <v>0</v>
      </c>
      <c r="DA689" s="2"/>
      <c r="DB689" s="2"/>
      <c r="DC689" s="2" t="s">
        <v>3</v>
      </c>
      <c r="DD689" s="2" t="s">
        <v>3</v>
      </c>
      <c r="DE689" s="2" t="s">
        <v>3</v>
      </c>
      <c r="DF689" s="2" t="s">
        <v>3</v>
      </c>
      <c r="DG689" s="2" t="s">
        <v>3</v>
      </c>
      <c r="DH689" s="2" t="s">
        <v>3</v>
      </c>
      <c r="DI689" s="2" t="s">
        <v>3</v>
      </c>
      <c r="DJ689" s="2" t="s">
        <v>3</v>
      </c>
      <c r="DK689" s="2" t="s">
        <v>3</v>
      </c>
      <c r="DL689" s="2" t="s">
        <v>3</v>
      </c>
      <c r="DM689" s="2" t="s">
        <v>3</v>
      </c>
      <c r="DN689" s="2">
        <v>0</v>
      </c>
      <c r="DO689" s="2">
        <v>0</v>
      </c>
      <c r="DP689" s="2">
        <v>1</v>
      </c>
      <c r="DQ689" s="2">
        <v>1</v>
      </c>
      <c r="DR689" s="2"/>
      <c r="DS689" s="2"/>
      <c r="DT689" s="2"/>
      <c r="DU689" s="2">
        <v>1003</v>
      </c>
      <c r="DV689" s="2" t="s">
        <v>270</v>
      </c>
      <c r="DW689" s="2" t="s">
        <v>270</v>
      </c>
      <c r="DX689" s="2">
        <v>1</v>
      </c>
      <c r="DY689" s="2"/>
      <c r="DZ689" s="2" t="s">
        <v>3</v>
      </c>
      <c r="EA689" s="2" t="s">
        <v>3</v>
      </c>
      <c r="EB689" s="2" t="s">
        <v>3</v>
      </c>
      <c r="EC689" s="2" t="s">
        <v>3</v>
      </c>
      <c r="ED689" s="2"/>
      <c r="EE689" s="2">
        <v>126051792</v>
      </c>
      <c r="EF689" s="2">
        <v>40</v>
      </c>
      <c r="EG689" s="2" t="s">
        <v>621</v>
      </c>
      <c r="EH689" s="2">
        <v>0</v>
      </c>
      <c r="EI689" s="2" t="s">
        <v>3</v>
      </c>
      <c r="EJ689" s="2">
        <v>2</v>
      </c>
      <c r="EK689" s="2">
        <v>331</v>
      </c>
      <c r="EL689" s="2" t="s">
        <v>679</v>
      </c>
      <c r="EM689" s="2" t="s">
        <v>680</v>
      </c>
      <c r="EN689" s="2"/>
      <c r="EO689" s="2" t="s">
        <v>3</v>
      </c>
      <c r="EP689" s="2"/>
      <c r="EQ689" s="2">
        <v>0</v>
      </c>
      <c r="ER689" s="2">
        <v>16.02</v>
      </c>
      <c r="ES689" s="2">
        <v>16.02</v>
      </c>
      <c r="ET689" s="2">
        <v>0</v>
      </c>
      <c r="EU689" s="2">
        <v>0</v>
      </c>
      <c r="EV689" s="2">
        <v>0</v>
      </c>
      <c r="EW689" s="2">
        <v>0</v>
      </c>
      <c r="EX689" s="2">
        <v>0</v>
      </c>
      <c r="EY689" s="2"/>
      <c r="EZ689" s="2"/>
      <c r="FA689" s="2"/>
      <c r="FB689" s="2"/>
      <c r="FC689" s="2"/>
      <c r="FD689" s="2"/>
      <c r="FE689" s="2"/>
      <c r="FF689" s="2"/>
      <c r="FG689" s="2"/>
      <c r="FH689" s="2"/>
      <c r="FI689" s="2"/>
      <c r="FJ689" s="2"/>
      <c r="FK689" s="2"/>
      <c r="FL689" s="2"/>
      <c r="FM689" s="2"/>
      <c r="FN689" s="2"/>
      <c r="FO689" s="2"/>
      <c r="FP689" s="2"/>
      <c r="FQ689" s="2">
        <v>0</v>
      </c>
      <c r="FR689" s="2">
        <f t="shared" si="628"/>
        <v>0</v>
      </c>
      <c r="FS689" s="2">
        <v>0</v>
      </c>
      <c r="FT689" s="2"/>
      <c r="FU689" s="2"/>
      <c r="FV689" s="2"/>
      <c r="FW689" s="2"/>
      <c r="FX689" s="2">
        <v>114</v>
      </c>
      <c r="FY689" s="2">
        <v>67</v>
      </c>
      <c r="FZ689" s="2"/>
      <c r="GA689" s="2" t="s">
        <v>3</v>
      </c>
      <c r="GB689" s="2"/>
      <c r="GC689" s="2"/>
      <c r="GD689" s="2">
        <v>0</v>
      </c>
      <c r="GE689" s="2"/>
      <c r="GF689" s="2">
        <v>-1468781135</v>
      </c>
      <c r="GG689" s="2">
        <v>2</v>
      </c>
      <c r="GH689" s="2">
        <v>0</v>
      </c>
      <c r="GI689" s="2">
        <v>-2</v>
      </c>
      <c r="GJ689" s="2">
        <v>0</v>
      </c>
      <c r="GK689" s="2">
        <f>ROUND(R689*(R12)/100,2)</f>
        <v>0</v>
      </c>
      <c r="GL689" s="2">
        <f t="shared" si="629"/>
        <v>0</v>
      </c>
      <c r="GM689" s="2">
        <f t="shared" si="630"/>
        <v>165.01</v>
      </c>
      <c r="GN689" s="2">
        <f t="shared" si="631"/>
        <v>0</v>
      </c>
      <c r="GO689" s="2">
        <f t="shared" si="632"/>
        <v>165.01</v>
      </c>
      <c r="GP689" s="2">
        <f t="shared" si="633"/>
        <v>0</v>
      </c>
      <c r="GQ689" s="2"/>
      <c r="GR689" s="2">
        <v>0</v>
      </c>
      <c r="GS689" s="2">
        <v>0</v>
      </c>
      <c r="GT689" s="2">
        <v>0</v>
      </c>
      <c r="GU689" s="2" t="s">
        <v>3</v>
      </c>
      <c r="GV689" s="2">
        <f t="shared" si="634"/>
        <v>0</v>
      </c>
      <c r="GW689" s="2">
        <v>1</v>
      </c>
      <c r="GX689" s="2">
        <f t="shared" si="635"/>
        <v>0</v>
      </c>
      <c r="GY689" s="2"/>
      <c r="GZ689" s="2"/>
      <c r="HA689" s="2">
        <v>0</v>
      </c>
      <c r="HB689" s="2">
        <v>0</v>
      </c>
      <c r="HC689" s="2">
        <f t="shared" si="636"/>
        <v>0</v>
      </c>
      <c r="HD689" s="2"/>
      <c r="HE689" s="2" t="s">
        <v>3</v>
      </c>
      <c r="HF689" s="2" t="s">
        <v>3</v>
      </c>
      <c r="HG689" s="2"/>
      <c r="HH689" s="2"/>
      <c r="HI689" s="2"/>
      <c r="HJ689" s="2"/>
      <c r="HK689" s="2"/>
      <c r="HL689" s="2"/>
      <c r="HM689" s="2" t="s">
        <v>3</v>
      </c>
      <c r="HN689" s="2" t="s">
        <v>3</v>
      </c>
      <c r="HO689" s="2" t="s">
        <v>3</v>
      </c>
      <c r="HP689" s="2" t="s">
        <v>3</v>
      </c>
      <c r="HQ689" s="2" t="s">
        <v>3</v>
      </c>
      <c r="HR689" s="2"/>
      <c r="HS689" s="2"/>
      <c r="HT689" s="2"/>
      <c r="HU689" s="2"/>
      <c r="HV689" s="2"/>
      <c r="HW689" s="2"/>
      <c r="HX689" s="2"/>
      <c r="HY689" s="2"/>
      <c r="HZ689" s="2"/>
      <c r="IA689" s="2"/>
      <c r="IB689" s="2"/>
      <c r="IC689" s="2"/>
      <c r="ID689" s="2"/>
      <c r="IE689" s="2"/>
      <c r="IF689" s="2"/>
      <c r="IG689" s="2"/>
      <c r="IH689" s="2"/>
      <c r="II689" s="2"/>
      <c r="IJ689" s="2"/>
      <c r="IK689" s="2">
        <v>0</v>
      </c>
      <c r="IL689" s="2"/>
      <c r="IM689" s="2"/>
      <c r="IN689" s="2"/>
      <c r="IO689" s="2"/>
      <c r="IP689" s="2"/>
      <c r="IQ689" s="2"/>
      <c r="IR689" s="2"/>
      <c r="IS689" s="2"/>
      <c r="IT689" s="2"/>
      <c r="IU689" s="2"/>
    </row>
    <row r="690" spans="1:255" x14ac:dyDescent="0.2">
      <c r="A690">
        <v>18</v>
      </c>
      <c r="B690">
        <v>1</v>
      </c>
      <c r="C690">
        <v>712</v>
      </c>
      <c r="E690" t="s">
        <v>247</v>
      </c>
      <c r="F690" t="s">
        <v>248</v>
      </c>
      <c r="G690" t="s">
        <v>687</v>
      </c>
      <c r="H690" t="s">
        <v>270</v>
      </c>
      <c r="I690">
        <f>I688*J690</f>
        <v>10.3</v>
      </c>
      <c r="J690">
        <v>103</v>
      </c>
      <c r="K690">
        <v>103</v>
      </c>
      <c r="O690">
        <f t="shared" si="606"/>
        <v>1094.05</v>
      </c>
      <c r="P690">
        <f t="shared" si="607"/>
        <v>1094.05</v>
      </c>
      <c r="Q690">
        <f t="shared" si="599"/>
        <v>0</v>
      </c>
      <c r="R690">
        <f t="shared" si="608"/>
        <v>0</v>
      </c>
      <c r="S690">
        <f t="shared" si="609"/>
        <v>0</v>
      </c>
      <c r="T690">
        <f t="shared" si="610"/>
        <v>0</v>
      </c>
      <c r="U690">
        <f t="shared" si="611"/>
        <v>0</v>
      </c>
      <c r="V690">
        <f t="shared" si="612"/>
        <v>0</v>
      </c>
      <c r="W690">
        <f t="shared" si="613"/>
        <v>0</v>
      </c>
      <c r="X690">
        <f t="shared" si="614"/>
        <v>0</v>
      </c>
      <c r="Y690">
        <f t="shared" si="615"/>
        <v>0</v>
      </c>
      <c r="AA690">
        <v>129761633</v>
      </c>
      <c r="AB690">
        <f t="shared" si="616"/>
        <v>12.28</v>
      </c>
      <c r="AC690">
        <f t="shared" si="617"/>
        <v>12.28</v>
      </c>
      <c r="AD690">
        <f t="shared" si="600"/>
        <v>0</v>
      </c>
      <c r="AE690">
        <f t="shared" si="601"/>
        <v>0</v>
      </c>
      <c r="AF690">
        <f t="shared" si="602"/>
        <v>0</v>
      </c>
      <c r="AG690">
        <f t="shared" si="618"/>
        <v>0</v>
      </c>
      <c r="AH690">
        <f t="shared" si="603"/>
        <v>0</v>
      </c>
      <c r="AI690">
        <f t="shared" si="604"/>
        <v>0</v>
      </c>
      <c r="AJ690">
        <f t="shared" si="619"/>
        <v>0</v>
      </c>
      <c r="AK690">
        <v>12.28</v>
      </c>
      <c r="AL690">
        <v>12.28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1</v>
      </c>
      <c r="AW690">
        <v>1</v>
      </c>
      <c r="AZ690">
        <v>1</v>
      </c>
      <c r="BA690">
        <v>1</v>
      </c>
      <c r="BB690">
        <v>1</v>
      </c>
      <c r="BC690">
        <v>8.65</v>
      </c>
      <c r="BD690" t="s">
        <v>3</v>
      </c>
      <c r="BE690" t="s">
        <v>3</v>
      </c>
      <c r="BF690" t="s">
        <v>3</v>
      </c>
      <c r="BG690" t="s">
        <v>3</v>
      </c>
      <c r="BH690">
        <v>3</v>
      </c>
      <c r="BI690">
        <v>2</v>
      </c>
      <c r="BJ690" t="s">
        <v>3</v>
      </c>
      <c r="BM690">
        <v>331</v>
      </c>
      <c r="BN690">
        <v>0</v>
      </c>
      <c r="BO690" t="s">
        <v>3</v>
      </c>
      <c r="BP690">
        <v>0</v>
      </c>
      <c r="BQ690">
        <v>40</v>
      </c>
      <c r="BR690">
        <v>0</v>
      </c>
      <c r="BS690">
        <v>1</v>
      </c>
      <c r="BT690">
        <v>1</v>
      </c>
      <c r="BU690">
        <v>1</v>
      </c>
      <c r="BV690">
        <v>1</v>
      </c>
      <c r="BW690">
        <v>1</v>
      </c>
      <c r="BX690">
        <v>1</v>
      </c>
      <c r="BY690" t="s">
        <v>3</v>
      </c>
      <c r="BZ690">
        <v>0</v>
      </c>
      <c r="CA690">
        <v>0</v>
      </c>
      <c r="CB690" t="s">
        <v>3</v>
      </c>
      <c r="CE690">
        <v>30</v>
      </c>
      <c r="CF690">
        <v>0</v>
      </c>
      <c r="CG690">
        <v>0</v>
      </c>
      <c r="CM690">
        <v>0</v>
      </c>
      <c r="CN690" t="s">
        <v>3</v>
      </c>
      <c r="CO690">
        <v>0</v>
      </c>
      <c r="CP690">
        <f t="shared" si="620"/>
        <v>1094.05</v>
      </c>
      <c r="CQ690">
        <f t="shared" si="621"/>
        <v>106.22</v>
      </c>
      <c r="CR690">
        <f t="shared" si="605"/>
        <v>0</v>
      </c>
      <c r="CS690">
        <f t="shared" si="622"/>
        <v>0</v>
      </c>
      <c r="CT690">
        <f t="shared" si="623"/>
        <v>0</v>
      </c>
      <c r="CU690">
        <f t="shared" si="624"/>
        <v>0</v>
      </c>
      <c r="CV690">
        <f t="shared" si="625"/>
        <v>0</v>
      </c>
      <c r="CW690">
        <f t="shared" si="626"/>
        <v>0</v>
      </c>
      <c r="CX690">
        <f t="shared" si="627"/>
        <v>0</v>
      </c>
      <c r="CY690">
        <f>S690*(BZ690/100)</f>
        <v>0</v>
      </c>
      <c r="CZ690">
        <f>S690*(CA690/100)</f>
        <v>0</v>
      </c>
      <c r="DC690" t="s">
        <v>3</v>
      </c>
      <c r="DD690" t="s">
        <v>3</v>
      </c>
      <c r="DE690" t="s">
        <v>3</v>
      </c>
      <c r="DF690" t="s">
        <v>3</v>
      </c>
      <c r="DG690" t="s">
        <v>3</v>
      </c>
      <c r="DH690" t="s">
        <v>3</v>
      </c>
      <c r="DI690" t="s">
        <v>3</v>
      </c>
      <c r="DJ690" t="s">
        <v>3</v>
      </c>
      <c r="DK690" t="s">
        <v>3</v>
      </c>
      <c r="DL690" t="s">
        <v>3</v>
      </c>
      <c r="DM690" t="s">
        <v>3</v>
      </c>
      <c r="DN690">
        <v>114</v>
      </c>
      <c r="DO690">
        <v>67</v>
      </c>
      <c r="DP690">
        <v>1</v>
      </c>
      <c r="DQ690">
        <v>1</v>
      </c>
      <c r="DU690">
        <v>1003</v>
      </c>
      <c r="DV690" t="s">
        <v>270</v>
      </c>
      <c r="DW690" t="s">
        <v>270</v>
      </c>
      <c r="DX690">
        <v>1</v>
      </c>
      <c r="DZ690" t="s">
        <v>3</v>
      </c>
      <c r="EA690" t="s">
        <v>3</v>
      </c>
      <c r="EB690" t="s">
        <v>3</v>
      </c>
      <c r="EC690" t="s">
        <v>3</v>
      </c>
      <c r="EE690">
        <v>126051792</v>
      </c>
      <c r="EF690">
        <v>40</v>
      </c>
      <c r="EG690" t="s">
        <v>621</v>
      </c>
      <c r="EH690">
        <v>0</v>
      </c>
      <c r="EI690" t="s">
        <v>3</v>
      </c>
      <c r="EJ690">
        <v>2</v>
      </c>
      <c r="EK690">
        <v>331</v>
      </c>
      <c r="EL690" t="s">
        <v>679</v>
      </c>
      <c r="EM690" t="s">
        <v>680</v>
      </c>
      <c r="EO690" t="s">
        <v>3</v>
      </c>
      <c r="EQ690">
        <v>0</v>
      </c>
      <c r="ER690">
        <v>16.02</v>
      </c>
      <c r="ES690">
        <v>12.28</v>
      </c>
      <c r="ET690">
        <v>0</v>
      </c>
      <c r="EU690">
        <v>0</v>
      </c>
      <c r="EV690">
        <v>0</v>
      </c>
      <c r="EW690">
        <v>0</v>
      </c>
      <c r="EX690">
        <v>0</v>
      </c>
      <c r="EZ690">
        <v>5</v>
      </c>
      <c r="FC690">
        <v>1</v>
      </c>
      <c r="FD690">
        <v>18</v>
      </c>
      <c r="FF690">
        <v>125</v>
      </c>
      <c r="FQ690">
        <v>0</v>
      </c>
      <c r="FR690">
        <f t="shared" si="628"/>
        <v>0</v>
      </c>
      <c r="FS690">
        <v>0</v>
      </c>
      <c r="FX690">
        <v>114</v>
      </c>
      <c r="FY690">
        <v>67</v>
      </c>
      <c r="GA690" t="s">
        <v>688</v>
      </c>
      <c r="GD690">
        <v>0</v>
      </c>
      <c r="GF690">
        <v>-1468781135</v>
      </c>
      <c r="GG690">
        <v>2</v>
      </c>
      <c r="GH690">
        <v>3</v>
      </c>
      <c r="GI690">
        <v>5</v>
      </c>
      <c r="GJ690">
        <v>0</v>
      </c>
      <c r="GK690">
        <f>ROUND(R690*(S12)/100,2)</f>
        <v>0</v>
      </c>
      <c r="GL690">
        <f t="shared" si="629"/>
        <v>0</v>
      </c>
      <c r="GM690">
        <f t="shared" si="630"/>
        <v>1094.05</v>
      </c>
      <c r="GN690">
        <f t="shared" si="631"/>
        <v>0</v>
      </c>
      <c r="GO690">
        <f t="shared" si="632"/>
        <v>1094.05</v>
      </c>
      <c r="GP690">
        <f t="shared" si="633"/>
        <v>0</v>
      </c>
      <c r="GR690">
        <v>1</v>
      </c>
      <c r="GS690">
        <v>1</v>
      </c>
      <c r="GT690">
        <v>0</v>
      </c>
      <c r="GU690" t="s">
        <v>3</v>
      </c>
      <c r="GV690">
        <f t="shared" si="634"/>
        <v>0</v>
      </c>
      <c r="GW690">
        <v>1</v>
      </c>
      <c r="GX690">
        <f t="shared" si="635"/>
        <v>0</v>
      </c>
      <c r="HA690">
        <v>0</v>
      </c>
      <c r="HB690">
        <v>0</v>
      </c>
      <c r="HC690">
        <f t="shared" si="636"/>
        <v>0</v>
      </c>
      <c r="HE690" t="s">
        <v>81</v>
      </c>
      <c r="HF690" t="s">
        <v>252</v>
      </c>
      <c r="HM690" t="s">
        <v>3</v>
      </c>
      <c r="HN690" t="s">
        <v>3</v>
      </c>
      <c r="HO690" t="s">
        <v>3</v>
      </c>
      <c r="HP690" t="s">
        <v>3</v>
      </c>
      <c r="HQ690" t="s">
        <v>3</v>
      </c>
      <c r="IK690">
        <v>0</v>
      </c>
    </row>
    <row r="691" spans="1:255" x14ac:dyDescent="0.2">
      <c r="A691" s="2">
        <v>17</v>
      </c>
      <c r="B691" s="2">
        <v>1</v>
      </c>
      <c r="C691" s="2">
        <f>ROW(SmtRes!A715)</f>
        <v>715</v>
      </c>
      <c r="D691" s="2">
        <f>ROW(EtalonRes!A709)</f>
        <v>709</v>
      </c>
      <c r="E691" s="2" t="s">
        <v>262</v>
      </c>
      <c r="F691" s="2" t="s">
        <v>689</v>
      </c>
      <c r="G691" s="2" t="s">
        <v>690</v>
      </c>
      <c r="H691" s="2" t="s">
        <v>455</v>
      </c>
      <c r="I691" s="2">
        <v>1.1000000000000001</v>
      </c>
      <c r="J691" s="2">
        <v>0</v>
      </c>
      <c r="K691" s="2">
        <v>1.1000000000000001</v>
      </c>
      <c r="L691" s="2"/>
      <c r="M691" s="2"/>
      <c r="N691" s="2"/>
      <c r="O691" s="2">
        <f t="shared" si="606"/>
        <v>46.93</v>
      </c>
      <c r="P691" s="2">
        <f t="shared" si="607"/>
        <v>4.08</v>
      </c>
      <c r="Q691" s="2">
        <f t="shared" si="599"/>
        <v>0.94</v>
      </c>
      <c r="R691" s="2">
        <f t="shared" si="608"/>
        <v>0.22</v>
      </c>
      <c r="S691" s="2">
        <f t="shared" si="609"/>
        <v>41.91</v>
      </c>
      <c r="T691" s="2">
        <f t="shared" si="610"/>
        <v>0</v>
      </c>
      <c r="U691" s="2">
        <f t="shared" si="611"/>
        <v>3.399</v>
      </c>
      <c r="V691" s="2">
        <f t="shared" si="612"/>
        <v>0</v>
      </c>
      <c r="W691" s="2">
        <f t="shared" si="613"/>
        <v>0</v>
      </c>
      <c r="X691" s="2">
        <f t="shared" si="614"/>
        <v>47.78</v>
      </c>
      <c r="Y691" s="2">
        <f t="shared" si="615"/>
        <v>28.08</v>
      </c>
      <c r="Z691" s="2"/>
      <c r="AA691" s="2">
        <v>129761636</v>
      </c>
      <c r="AB691" s="2">
        <f t="shared" si="616"/>
        <v>42.66</v>
      </c>
      <c r="AC691" s="2">
        <f t="shared" si="617"/>
        <v>3.71</v>
      </c>
      <c r="AD691" s="2">
        <f t="shared" si="600"/>
        <v>0.85</v>
      </c>
      <c r="AE691" s="2">
        <f t="shared" si="601"/>
        <v>0.2</v>
      </c>
      <c r="AF691" s="2">
        <f t="shared" si="602"/>
        <v>38.1</v>
      </c>
      <c r="AG691" s="2">
        <f t="shared" si="618"/>
        <v>0</v>
      </c>
      <c r="AH691" s="2">
        <f t="shared" si="603"/>
        <v>3.09</v>
      </c>
      <c r="AI691" s="2">
        <f t="shared" si="604"/>
        <v>0</v>
      </c>
      <c r="AJ691" s="2">
        <f t="shared" si="619"/>
        <v>0</v>
      </c>
      <c r="AK691" s="2">
        <v>42.66</v>
      </c>
      <c r="AL691" s="2">
        <v>3.71</v>
      </c>
      <c r="AM691" s="2">
        <v>0.85</v>
      </c>
      <c r="AN691" s="2">
        <v>0.2</v>
      </c>
      <c r="AO691" s="2">
        <v>38.1</v>
      </c>
      <c r="AP691" s="2">
        <v>0</v>
      </c>
      <c r="AQ691" s="2">
        <v>3.09</v>
      </c>
      <c r="AR691" s="2">
        <v>0</v>
      </c>
      <c r="AS691" s="2">
        <v>0</v>
      </c>
      <c r="AT691" s="2">
        <v>114</v>
      </c>
      <c r="AU691" s="2">
        <v>67</v>
      </c>
      <c r="AV691" s="2">
        <v>1</v>
      </c>
      <c r="AW691" s="2">
        <v>1</v>
      </c>
      <c r="AX691" s="2"/>
      <c r="AY691" s="2"/>
      <c r="AZ691" s="2">
        <v>1</v>
      </c>
      <c r="BA691" s="2">
        <v>1</v>
      </c>
      <c r="BB691" s="2">
        <v>1</v>
      </c>
      <c r="BC691" s="2">
        <v>1</v>
      </c>
      <c r="BD691" s="2" t="s">
        <v>3</v>
      </c>
      <c r="BE691" s="2" t="s">
        <v>3</v>
      </c>
      <c r="BF691" s="2" t="s">
        <v>3</v>
      </c>
      <c r="BG691" s="2" t="s">
        <v>3</v>
      </c>
      <c r="BH691" s="2">
        <v>0</v>
      </c>
      <c r="BI691" s="2">
        <v>2</v>
      </c>
      <c r="BJ691" s="2" t="s">
        <v>691</v>
      </c>
      <c r="BK691" s="2"/>
      <c r="BL691" s="2"/>
      <c r="BM691" s="2">
        <v>331</v>
      </c>
      <c r="BN691" s="2">
        <v>0</v>
      </c>
      <c r="BO691" s="2" t="s">
        <v>3</v>
      </c>
      <c r="BP691" s="2">
        <v>0</v>
      </c>
      <c r="BQ691" s="2">
        <v>40</v>
      </c>
      <c r="BR691" s="2">
        <v>0</v>
      </c>
      <c r="BS691" s="2">
        <v>1</v>
      </c>
      <c r="BT691" s="2">
        <v>1</v>
      </c>
      <c r="BU691" s="2">
        <v>1</v>
      </c>
      <c r="BV691" s="2">
        <v>1</v>
      </c>
      <c r="BW691" s="2">
        <v>1</v>
      </c>
      <c r="BX691" s="2">
        <v>1</v>
      </c>
      <c r="BY691" s="2" t="s">
        <v>3</v>
      </c>
      <c r="BZ691" s="2">
        <v>114</v>
      </c>
      <c r="CA691" s="2">
        <v>67</v>
      </c>
      <c r="CB691" s="2" t="s">
        <v>3</v>
      </c>
      <c r="CC691" s="2"/>
      <c r="CD691" s="2"/>
      <c r="CE691" s="2">
        <v>30</v>
      </c>
      <c r="CF691" s="2">
        <v>0</v>
      </c>
      <c r="CG691" s="2">
        <v>0</v>
      </c>
      <c r="CH691" s="2"/>
      <c r="CI691" s="2"/>
      <c r="CJ691" s="2"/>
      <c r="CK691" s="2"/>
      <c r="CL691" s="2"/>
      <c r="CM691" s="2">
        <v>0</v>
      </c>
      <c r="CN691" s="2" t="s">
        <v>3</v>
      </c>
      <c r="CO691" s="2">
        <v>0</v>
      </c>
      <c r="CP691" s="2">
        <f t="shared" si="620"/>
        <v>46.929999999999993</v>
      </c>
      <c r="CQ691" s="2">
        <f t="shared" si="621"/>
        <v>3.71</v>
      </c>
      <c r="CR691" s="2">
        <f t="shared" si="605"/>
        <v>0.85</v>
      </c>
      <c r="CS691" s="2">
        <f t="shared" si="622"/>
        <v>0.2</v>
      </c>
      <c r="CT691" s="2">
        <f t="shared" si="623"/>
        <v>38.1</v>
      </c>
      <c r="CU691" s="2">
        <f t="shared" si="624"/>
        <v>0</v>
      </c>
      <c r="CV691" s="2">
        <f t="shared" si="625"/>
        <v>3.09</v>
      </c>
      <c r="CW691" s="2">
        <f t="shared" si="626"/>
        <v>0</v>
      </c>
      <c r="CX691" s="2">
        <f t="shared" si="627"/>
        <v>0</v>
      </c>
      <c r="CY691" s="2">
        <f>((S691*BZ691)/100)</f>
        <v>47.7774</v>
      </c>
      <c r="CZ691" s="2">
        <f>((S691*CA691)/100)</f>
        <v>28.079699999999999</v>
      </c>
      <c r="DA691" s="2"/>
      <c r="DB691" s="2"/>
      <c r="DC691" s="2" t="s">
        <v>3</v>
      </c>
      <c r="DD691" s="2" t="s">
        <v>3</v>
      </c>
      <c r="DE691" s="2" t="s">
        <v>3</v>
      </c>
      <c r="DF691" s="2" t="s">
        <v>3</v>
      </c>
      <c r="DG691" s="2" t="s">
        <v>3</v>
      </c>
      <c r="DH691" s="2" t="s">
        <v>3</v>
      </c>
      <c r="DI691" s="2" t="s">
        <v>3</v>
      </c>
      <c r="DJ691" s="2" t="s">
        <v>3</v>
      </c>
      <c r="DK691" s="2" t="s">
        <v>3</v>
      </c>
      <c r="DL691" s="2" t="s">
        <v>3</v>
      </c>
      <c r="DM691" s="2" t="s">
        <v>3</v>
      </c>
      <c r="DN691" s="2">
        <v>0</v>
      </c>
      <c r="DO691" s="2">
        <v>0</v>
      </c>
      <c r="DP691" s="2">
        <v>1</v>
      </c>
      <c r="DQ691" s="2">
        <v>1</v>
      </c>
      <c r="DR691" s="2"/>
      <c r="DS691" s="2"/>
      <c r="DT691" s="2"/>
      <c r="DU691" s="2">
        <v>1003</v>
      </c>
      <c r="DV691" s="2" t="s">
        <v>455</v>
      </c>
      <c r="DW691" s="2" t="s">
        <v>455</v>
      </c>
      <c r="DX691" s="2">
        <v>100</v>
      </c>
      <c r="DY691" s="2"/>
      <c r="DZ691" s="2" t="s">
        <v>3</v>
      </c>
      <c r="EA691" s="2" t="s">
        <v>3</v>
      </c>
      <c r="EB691" s="2" t="s">
        <v>3</v>
      </c>
      <c r="EC691" s="2" t="s">
        <v>3</v>
      </c>
      <c r="ED691" s="2"/>
      <c r="EE691" s="2">
        <v>126051792</v>
      </c>
      <c r="EF691" s="2">
        <v>40</v>
      </c>
      <c r="EG691" s="2" t="s">
        <v>621</v>
      </c>
      <c r="EH691" s="2">
        <v>0</v>
      </c>
      <c r="EI691" s="2" t="s">
        <v>3</v>
      </c>
      <c r="EJ691" s="2">
        <v>2</v>
      </c>
      <c r="EK691" s="2">
        <v>331</v>
      </c>
      <c r="EL691" s="2" t="s">
        <v>679</v>
      </c>
      <c r="EM691" s="2" t="s">
        <v>680</v>
      </c>
      <c r="EN691" s="2"/>
      <c r="EO691" s="2" t="s">
        <v>3</v>
      </c>
      <c r="EP691" s="2"/>
      <c r="EQ691" s="2">
        <v>131072</v>
      </c>
      <c r="ER691" s="2">
        <v>42.66</v>
      </c>
      <c r="ES691" s="2">
        <v>3.71</v>
      </c>
      <c r="ET691" s="2">
        <v>0.85</v>
      </c>
      <c r="EU691" s="2">
        <v>0.2</v>
      </c>
      <c r="EV691" s="2">
        <v>38.1</v>
      </c>
      <c r="EW691" s="2">
        <v>3.09</v>
      </c>
      <c r="EX691" s="2">
        <v>0</v>
      </c>
      <c r="EY691" s="2">
        <v>0</v>
      </c>
      <c r="EZ691" s="2"/>
      <c r="FA691" s="2"/>
      <c r="FB691" s="2"/>
      <c r="FC691" s="2"/>
      <c r="FD691" s="2"/>
      <c r="FE691" s="2"/>
      <c r="FF691" s="2"/>
      <c r="FG691" s="2"/>
      <c r="FH691" s="2"/>
      <c r="FI691" s="2"/>
      <c r="FJ691" s="2"/>
      <c r="FK691" s="2"/>
      <c r="FL691" s="2"/>
      <c r="FM691" s="2"/>
      <c r="FN691" s="2"/>
      <c r="FO691" s="2"/>
      <c r="FP691" s="2"/>
      <c r="FQ691" s="2">
        <v>0</v>
      </c>
      <c r="FR691" s="2">
        <f t="shared" si="628"/>
        <v>0</v>
      </c>
      <c r="FS691" s="2">
        <v>0</v>
      </c>
      <c r="FT691" s="2"/>
      <c r="FU691" s="2"/>
      <c r="FV691" s="2"/>
      <c r="FW691" s="2"/>
      <c r="FX691" s="2">
        <v>114</v>
      </c>
      <c r="FY691" s="2">
        <v>67</v>
      </c>
      <c r="FZ691" s="2"/>
      <c r="GA691" s="2" t="s">
        <v>3</v>
      </c>
      <c r="GB691" s="2"/>
      <c r="GC691" s="2"/>
      <c r="GD691" s="2">
        <v>0</v>
      </c>
      <c r="GE691" s="2"/>
      <c r="GF691" s="2">
        <v>-103104656</v>
      </c>
      <c r="GG691" s="2">
        <v>2</v>
      </c>
      <c r="GH691" s="2">
        <v>1</v>
      </c>
      <c r="GI691" s="2">
        <v>-2</v>
      </c>
      <c r="GJ691" s="2">
        <v>0</v>
      </c>
      <c r="GK691" s="2">
        <f>ROUND(R691*(R12)/100,2)</f>
        <v>0.39</v>
      </c>
      <c r="GL691" s="2">
        <f t="shared" si="629"/>
        <v>0</v>
      </c>
      <c r="GM691" s="2">
        <f t="shared" si="630"/>
        <v>123.18</v>
      </c>
      <c r="GN691" s="2">
        <f t="shared" si="631"/>
        <v>0</v>
      </c>
      <c r="GO691" s="2">
        <f t="shared" si="632"/>
        <v>123.18</v>
      </c>
      <c r="GP691" s="2">
        <f t="shared" si="633"/>
        <v>0</v>
      </c>
      <c r="GQ691" s="2"/>
      <c r="GR691" s="2">
        <v>0</v>
      </c>
      <c r="GS691" s="2">
        <v>0</v>
      </c>
      <c r="GT691" s="2">
        <v>0</v>
      </c>
      <c r="GU691" s="2" t="s">
        <v>3</v>
      </c>
      <c r="GV691" s="2">
        <f t="shared" si="634"/>
        <v>0</v>
      </c>
      <c r="GW691" s="2">
        <v>1</v>
      </c>
      <c r="GX691" s="2">
        <f t="shared" si="635"/>
        <v>0</v>
      </c>
      <c r="GY691" s="2"/>
      <c r="GZ691" s="2"/>
      <c r="HA691" s="2">
        <v>0</v>
      </c>
      <c r="HB691" s="2">
        <v>0</v>
      </c>
      <c r="HC691" s="2">
        <f t="shared" si="636"/>
        <v>0</v>
      </c>
      <c r="HD691" s="2"/>
      <c r="HE691" s="2" t="s">
        <v>3</v>
      </c>
      <c r="HF691" s="2" t="s">
        <v>3</v>
      </c>
      <c r="HG691" s="2"/>
      <c r="HH691" s="2"/>
      <c r="HI691" s="2"/>
      <c r="HJ691" s="2"/>
      <c r="HK691" s="2"/>
      <c r="HL691" s="2"/>
      <c r="HM691" s="2" t="s">
        <v>3</v>
      </c>
      <c r="HN691" s="2" t="s">
        <v>3</v>
      </c>
      <c r="HO691" s="2" t="s">
        <v>3</v>
      </c>
      <c r="HP691" s="2" t="s">
        <v>3</v>
      </c>
      <c r="HQ691" s="2" t="s">
        <v>3</v>
      </c>
      <c r="HR691" s="2"/>
      <c r="HS691" s="2"/>
      <c r="HT691" s="2"/>
      <c r="HU691" s="2"/>
      <c r="HV691" s="2"/>
      <c r="HW691" s="2"/>
      <c r="HX691" s="2"/>
      <c r="HY691" s="2"/>
      <c r="HZ691" s="2"/>
      <c r="IA691" s="2"/>
      <c r="IB691" s="2"/>
      <c r="IC691" s="2"/>
      <c r="ID691" s="2"/>
      <c r="IE691" s="2"/>
      <c r="IF691" s="2"/>
      <c r="IG691" s="2"/>
      <c r="IH691" s="2"/>
      <c r="II691" s="2"/>
      <c r="IJ691" s="2"/>
      <c r="IK691" s="2">
        <v>0</v>
      </c>
      <c r="IL691" s="2"/>
      <c r="IM691" s="2"/>
      <c r="IN691" s="2"/>
      <c r="IO691" s="2"/>
      <c r="IP691" s="2"/>
      <c r="IQ691" s="2"/>
      <c r="IR691" s="2"/>
      <c r="IS691" s="2"/>
      <c r="IT691" s="2"/>
      <c r="IU691" s="2"/>
    </row>
    <row r="692" spans="1:255" x14ac:dyDescent="0.2">
      <c r="A692">
        <v>17</v>
      </c>
      <c r="B692">
        <v>1</v>
      </c>
      <c r="C692">
        <f>ROW(SmtRes!A718)</f>
        <v>718</v>
      </c>
      <c r="D692">
        <f>ROW(EtalonRes!A710)</f>
        <v>710</v>
      </c>
      <c r="E692" t="s">
        <v>262</v>
      </c>
      <c r="F692" t="s">
        <v>689</v>
      </c>
      <c r="G692" t="s">
        <v>690</v>
      </c>
      <c r="H692" t="s">
        <v>455</v>
      </c>
      <c r="I692">
        <v>1.1000000000000001</v>
      </c>
      <c r="J692">
        <v>0</v>
      </c>
      <c r="K692">
        <v>1.1000000000000001</v>
      </c>
      <c r="O692">
        <f t="shared" si="606"/>
        <v>1260.4000000000001</v>
      </c>
      <c r="P692">
        <f t="shared" si="607"/>
        <v>33.01</v>
      </c>
      <c r="Q692">
        <f t="shared" si="599"/>
        <v>10.74</v>
      </c>
      <c r="R692">
        <f t="shared" si="608"/>
        <v>6.39</v>
      </c>
      <c r="S692">
        <f t="shared" si="609"/>
        <v>1216.6500000000001</v>
      </c>
      <c r="T692">
        <f t="shared" si="610"/>
        <v>0</v>
      </c>
      <c r="U692">
        <f t="shared" si="611"/>
        <v>3.399</v>
      </c>
      <c r="V692">
        <f t="shared" si="612"/>
        <v>0</v>
      </c>
      <c r="W692">
        <f t="shared" si="613"/>
        <v>0</v>
      </c>
      <c r="X692">
        <f t="shared" si="614"/>
        <v>961.15</v>
      </c>
      <c r="Y692">
        <f t="shared" si="615"/>
        <v>498.83</v>
      </c>
      <c r="AA692">
        <v>129761633</v>
      </c>
      <c r="AB692">
        <f t="shared" si="616"/>
        <v>42.66</v>
      </c>
      <c r="AC692">
        <f t="shared" si="617"/>
        <v>3.71</v>
      </c>
      <c r="AD692">
        <f t="shared" si="600"/>
        <v>0.85</v>
      </c>
      <c r="AE692">
        <f t="shared" si="601"/>
        <v>0.2</v>
      </c>
      <c r="AF692">
        <f t="shared" si="602"/>
        <v>38.1</v>
      </c>
      <c r="AG692">
        <f t="shared" si="618"/>
        <v>0</v>
      </c>
      <c r="AH692">
        <f t="shared" si="603"/>
        <v>3.09</v>
      </c>
      <c r="AI692">
        <f t="shared" si="604"/>
        <v>0</v>
      </c>
      <c r="AJ692">
        <f t="shared" si="619"/>
        <v>0</v>
      </c>
      <c r="AK692">
        <v>42.66</v>
      </c>
      <c r="AL692">
        <v>3.71</v>
      </c>
      <c r="AM692">
        <v>0.85</v>
      </c>
      <c r="AN692">
        <v>0.2</v>
      </c>
      <c r="AO692">
        <v>38.1</v>
      </c>
      <c r="AP692">
        <v>0</v>
      </c>
      <c r="AQ692">
        <v>3.09</v>
      </c>
      <c r="AR692">
        <v>0</v>
      </c>
      <c r="AS692">
        <v>0</v>
      </c>
      <c r="AT692">
        <v>79</v>
      </c>
      <c r="AU692">
        <v>41</v>
      </c>
      <c r="AV692">
        <v>1</v>
      </c>
      <c r="AW692">
        <v>1</v>
      </c>
      <c r="AZ692">
        <v>1</v>
      </c>
      <c r="BA692">
        <v>29.03</v>
      </c>
      <c r="BB692">
        <v>11.43</v>
      </c>
      <c r="BC692">
        <v>8.09</v>
      </c>
      <c r="BD692" t="s">
        <v>3</v>
      </c>
      <c r="BE692" t="s">
        <v>3</v>
      </c>
      <c r="BF692" t="s">
        <v>3</v>
      </c>
      <c r="BG692" t="s">
        <v>3</v>
      </c>
      <c r="BH692">
        <v>0</v>
      </c>
      <c r="BI692">
        <v>2</v>
      </c>
      <c r="BJ692" t="s">
        <v>691</v>
      </c>
      <c r="BM692">
        <v>331</v>
      </c>
      <c r="BN692">
        <v>0</v>
      </c>
      <c r="BO692" t="s">
        <v>689</v>
      </c>
      <c r="BP692">
        <v>1</v>
      </c>
      <c r="BQ692">
        <v>40</v>
      </c>
      <c r="BR692">
        <v>0</v>
      </c>
      <c r="BS692">
        <v>29.03</v>
      </c>
      <c r="BT692">
        <v>1</v>
      </c>
      <c r="BU692">
        <v>1</v>
      </c>
      <c r="BV692">
        <v>1</v>
      </c>
      <c r="BW692">
        <v>1</v>
      </c>
      <c r="BX692">
        <v>1</v>
      </c>
      <c r="BY692" t="s">
        <v>3</v>
      </c>
      <c r="BZ692">
        <v>79</v>
      </c>
      <c r="CA692">
        <v>41</v>
      </c>
      <c r="CB692" t="s">
        <v>3</v>
      </c>
      <c r="CE692">
        <v>30</v>
      </c>
      <c r="CF692">
        <v>0</v>
      </c>
      <c r="CG692">
        <v>0</v>
      </c>
      <c r="CM692">
        <v>0</v>
      </c>
      <c r="CN692" t="s">
        <v>3</v>
      </c>
      <c r="CO692">
        <v>0</v>
      </c>
      <c r="CP692">
        <f t="shared" si="620"/>
        <v>1260.4000000000001</v>
      </c>
      <c r="CQ692">
        <f t="shared" si="621"/>
        <v>30.01</v>
      </c>
      <c r="CR692">
        <f t="shared" si="605"/>
        <v>9.7200000000000006</v>
      </c>
      <c r="CS692">
        <f t="shared" si="622"/>
        <v>5.81</v>
      </c>
      <c r="CT692">
        <f t="shared" si="623"/>
        <v>1106.04</v>
      </c>
      <c r="CU692">
        <f t="shared" si="624"/>
        <v>0</v>
      </c>
      <c r="CV692">
        <f t="shared" si="625"/>
        <v>3.09</v>
      </c>
      <c r="CW692">
        <f t="shared" si="626"/>
        <v>0</v>
      </c>
      <c r="CX692">
        <f t="shared" si="627"/>
        <v>0</v>
      </c>
      <c r="CY692">
        <f>S692*(BZ692/100)</f>
        <v>961.15350000000012</v>
      </c>
      <c r="CZ692">
        <f>S692*(CA692/100)</f>
        <v>498.82650000000001</v>
      </c>
      <c r="DC692" t="s">
        <v>3</v>
      </c>
      <c r="DD692" t="s">
        <v>3</v>
      </c>
      <c r="DE692" t="s">
        <v>3</v>
      </c>
      <c r="DF692" t="s">
        <v>3</v>
      </c>
      <c r="DG692" t="s">
        <v>3</v>
      </c>
      <c r="DH692" t="s">
        <v>3</v>
      </c>
      <c r="DI692" t="s">
        <v>3</v>
      </c>
      <c r="DJ692" t="s">
        <v>3</v>
      </c>
      <c r="DK692" t="s">
        <v>3</v>
      </c>
      <c r="DL692" t="s">
        <v>3</v>
      </c>
      <c r="DM692" t="s">
        <v>3</v>
      </c>
      <c r="DN692">
        <v>114</v>
      </c>
      <c r="DO692">
        <v>67</v>
      </c>
      <c r="DP692">
        <v>1</v>
      </c>
      <c r="DQ692">
        <v>1</v>
      </c>
      <c r="DU692">
        <v>1003</v>
      </c>
      <c r="DV692" t="s">
        <v>455</v>
      </c>
      <c r="DW692" t="s">
        <v>455</v>
      </c>
      <c r="DX692">
        <v>100</v>
      </c>
      <c r="DZ692" t="s">
        <v>3</v>
      </c>
      <c r="EA692" t="s">
        <v>3</v>
      </c>
      <c r="EB692" t="s">
        <v>3</v>
      </c>
      <c r="EC692" t="s">
        <v>3</v>
      </c>
      <c r="EE692">
        <v>126051792</v>
      </c>
      <c r="EF692">
        <v>40</v>
      </c>
      <c r="EG692" t="s">
        <v>621</v>
      </c>
      <c r="EH692">
        <v>0</v>
      </c>
      <c r="EI692" t="s">
        <v>3</v>
      </c>
      <c r="EJ692">
        <v>2</v>
      </c>
      <c r="EK692">
        <v>331</v>
      </c>
      <c r="EL692" t="s">
        <v>679</v>
      </c>
      <c r="EM692" t="s">
        <v>680</v>
      </c>
      <c r="EO692" t="s">
        <v>3</v>
      </c>
      <c r="EQ692">
        <v>131072</v>
      </c>
      <c r="ER692">
        <v>42.66</v>
      </c>
      <c r="ES692">
        <v>3.71</v>
      </c>
      <c r="ET692">
        <v>0.85</v>
      </c>
      <c r="EU692">
        <v>0.2</v>
      </c>
      <c r="EV692">
        <v>38.1</v>
      </c>
      <c r="EW692">
        <v>3.09</v>
      </c>
      <c r="EX692">
        <v>0</v>
      </c>
      <c r="EY692">
        <v>0</v>
      </c>
      <c r="FQ692">
        <v>0</v>
      </c>
      <c r="FR692">
        <f t="shared" si="628"/>
        <v>0</v>
      </c>
      <c r="FS692">
        <v>0</v>
      </c>
      <c r="FX692">
        <v>114</v>
      </c>
      <c r="FY692">
        <v>67</v>
      </c>
      <c r="GA692" t="s">
        <v>3</v>
      </c>
      <c r="GD692">
        <v>0</v>
      </c>
      <c r="GF692">
        <v>-103104656</v>
      </c>
      <c r="GG692">
        <v>2</v>
      </c>
      <c r="GH692">
        <v>1</v>
      </c>
      <c r="GI692">
        <v>2</v>
      </c>
      <c r="GJ692">
        <v>0</v>
      </c>
      <c r="GK692">
        <f>ROUND(R692*(S12)/100,2)</f>
        <v>10.220000000000001</v>
      </c>
      <c r="GL692">
        <f t="shared" si="629"/>
        <v>0</v>
      </c>
      <c r="GM692">
        <f t="shared" si="630"/>
        <v>2730.6</v>
      </c>
      <c r="GN692">
        <f t="shared" si="631"/>
        <v>0</v>
      </c>
      <c r="GO692">
        <f t="shared" si="632"/>
        <v>2730.6</v>
      </c>
      <c r="GP692">
        <f t="shared" si="633"/>
        <v>0</v>
      </c>
      <c r="GR692">
        <v>0</v>
      </c>
      <c r="GS692">
        <v>3</v>
      </c>
      <c r="GT692">
        <v>0</v>
      </c>
      <c r="GU692" t="s">
        <v>3</v>
      </c>
      <c r="GV692">
        <f t="shared" si="634"/>
        <v>0</v>
      </c>
      <c r="GW692">
        <v>1</v>
      </c>
      <c r="GX692">
        <f t="shared" si="635"/>
        <v>0</v>
      </c>
      <c r="HA692">
        <v>0</v>
      </c>
      <c r="HB692">
        <v>0</v>
      </c>
      <c r="HC692">
        <f t="shared" si="636"/>
        <v>0</v>
      </c>
      <c r="HE692" t="s">
        <v>3</v>
      </c>
      <c r="HF692" t="s">
        <v>3</v>
      </c>
      <c r="HM692" t="s">
        <v>3</v>
      </c>
      <c r="HN692" t="s">
        <v>3</v>
      </c>
      <c r="HO692" t="s">
        <v>3</v>
      </c>
      <c r="HP692" t="s">
        <v>3</v>
      </c>
      <c r="HQ692" t="s">
        <v>3</v>
      </c>
      <c r="IK692">
        <v>0</v>
      </c>
    </row>
    <row r="693" spans="1:255" x14ac:dyDescent="0.2">
      <c r="A693" s="2">
        <v>18</v>
      </c>
      <c r="B693" s="2">
        <v>1</v>
      </c>
      <c r="C693" s="2">
        <v>714</v>
      </c>
      <c r="D693" s="2"/>
      <c r="E693" s="2" t="s">
        <v>268</v>
      </c>
      <c r="F693" s="2" t="s">
        <v>692</v>
      </c>
      <c r="G693" s="2" t="s">
        <v>693</v>
      </c>
      <c r="H693" s="2" t="s">
        <v>694</v>
      </c>
      <c r="I693" s="2">
        <f>I691*J693</f>
        <v>9.69E-2</v>
      </c>
      <c r="J693" s="2">
        <v>8.8090909090909081E-2</v>
      </c>
      <c r="K693" s="2">
        <v>8.8090909090909081E-2</v>
      </c>
      <c r="L693" s="2"/>
      <c r="M693" s="2"/>
      <c r="N693" s="2"/>
      <c r="O693" s="2">
        <f t="shared" si="606"/>
        <v>118.55</v>
      </c>
      <c r="P693" s="2">
        <f t="shared" si="607"/>
        <v>118.55</v>
      </c>
      <c r="Q693" s="2">
        <f t="shared" si="599"/>
        <v>0</v>
      </c>
      <c r="R693" s="2">
        <f t="shared" si="608"/>
        <v>0</v>
      </c>
      <c r="S693" s="2">
        <f t="shared" si="609"/>
        <v>0</v>
      </c>
      <c r="T693" s="2">
        <f t="shared" si="610"/>
        <v>0</v>
      </c>
      <c r="U693" s="2">
        <f t="shared" si="611"/>
        <v>0</v>
      </c>
      <c r="V693" s="2">
        <f t="shared" si="612"/>
        <v>0</v>
      </c>
      <c r="W693" s="2">
        <f t="shared" si="613"/>
        <v>0</v>
      </c>
      <c r="X693" s="2">
        <f t="shared" si="614"/>
        <v>0</v>
      </c>
      <c r="Y693" s="2">
        <f t="shared" si="615"/>
        <v>0</v>
      </c>
      <c r="Z693" s="2"/>
      <c r="AA693" s="2">
        <v>129761636</v>
      </c>
      <c r="AB693" s="2">
        <f t="shared" si="616"/>
        <v>1223.45</v>
      </c>
      <c r="AC693" s="2">
        <f t="shared" si="617"/>
        <v>1223.45</v>
      </c>
      <c r="AD693" s="2">
        <f t="shared" si="600"/>
        <v>0</v>
      </c>
      <c r="AE693" s="2">
        <f t="shared" si="601"/>
        <v>0</v>
      </c>
      <c r="AF693" s="2">
        <f t="shared" si="602"/>
        <v>0</v>
      </c>
      <c r="AG693" s="2">
        <f t="shared" si="618"/>
        <v>0</v>
      </c>
      <c r="AH693" s="2">
        <f t="shared" si="603"/>
        <v>0</v>
      </c>
      <c r="AI693" s="2">
        <f t="shared" si="604"/>
        <v>0</v>
      </c>
      <c r="AJ693" s="2">
        <f t="shared" si="619"/>
        <v>0</v>
      </c>
      <c r="AK693" s="2">
        <v>1223.45</v>
      </c>
      <c r="AL693" s="2">
        <v>1223.45</v>
      </c>
      <c r="AM693" s="2">
        <v>0</v>
      </c>
      <c r="AN693" s="2">
        <v>0</v>
      </c>
      <c r="AO693" s="2">
        <v>0</v>
      </c>
      <c r="AP693" s="2">
        <v>0</v>
      </c>
      <c r="AQ693" s="2">
        <v>0</v>
      </c>
      <c r="AR693" s="2">
        <v>0</v>
      </c>
      <c r="AS693" s="2">
        <v>0</v>
      </c>
      <c r="AT693" s="2">
        <v>114</v>
      </c>
      <c r="AU693" s="2">
        <v>67</v>
      </c>
      <c r="AV693" s="2">
        <v>1</v>
      </c>
      <c r="AW693" s="2">
        <v>1</v>
      </c>
      <c r="AX693" s="2"/>
      <c r="AY693" s="2"/>
      <c r="AZ693" s="2">
        <v>1</v>
      </c>
      <c r="BA693" s="2">
        <v>1</v>
      </c>
      <c r="BB693" s="2">
        <v>1</v>
      </c>
      <c r="BC693" s="2">
        <v>1</v>
      </c>
      <c r="BD693" s="2" t="s">
        <v>3</v>
      </c>
      <c r="BE693" s="2" t="s">
        <v>3</v>
      </c>
      <c r="BF693" s="2" t="s">
        <v>3</v>
      </c>
      <c r="BG693" s="2" t="s">
        <v>3</v>
      </c>
      <c r="BH693" s="2">
        <v>3</v>
      </c>
      <c r="BI693" s="2">
        <v>2</v>
      </c>
      <c r="BJ693" s="2" t="s">
        <v>695</v>
      </c>
      <c r="BK693" s="2"/>
      <c r="BL693" s="2"/>
      <c r="BM693" s="2">
        <v>331</v>
      </c>
      <c r="BN693" s="2">
        <v>0</v>
      </c>
      <c r="BO693" s="2" t="s">
        <v>3</v>
      </c>
      <c r="BP693" s="2">
        <v>0</v>
      </c>
      <c r="BQ693" s="2">
        <v>40</v>
      </c>
      <c r="BR693" s="2">
        <v>0</v>
      </c>
      <c r="BS693" s="2">
        <v>1</v>
      </c>
      <c r="BT693" s="2">
        <v>1</v>
      </c>
      <c r="BU693" s="2">
        <v>1</v>
      </c>
      <c r="BV693" s="2">
        <v>1</v>
      </c>
      <c r="BW693" s="2">
        <v>1</v>
      </c>
      <c r="BX693" s="2">
        <v>1</v>
      </c>
      <c r="BY693" s="2" t="s">
        <v>3</v>
      </c>
      <c r="BZ693" s="2">
        <v>114</v>
      </c>
      <c r="CA693" s="2">
        <v>67</v>
      </c>
      <c r="CB693" s="2" t="s">
        <v>3</v>
      </c>
      <c r="CC693" s="2"/>
      <c r="CD693" s="2"/>
      <c r="CE693" s="2">
        <v>30</v>
      </c>
      <c r="CF693" s="2">
        <v>0</v>
      </c>
      <c r="CG693" s="2">
        <v>0</v>
      </c>
      <c r="CH693" s="2"/>
      <c r="CI693" s="2"/>
      <c r="CJ693" s="2"/>
      <c r="CK693" s="2"/>
      <c r="CL693" s="2"/>
      <c r="CM693" s="2">
        <v>0</v>
      </c>
      <c r="CN693" s="2" t="s">
        <v>3</v>
      </c>
      <c r="CO693" s="2">
        <v>0</v>
      </c>
      <c r="CP693" s="2">
        <f t="shared" si="620"/>
        <v>118.55</v>
      </c>
      <c r="CQ693" s="2">
        <f t="shared" si="621"/>
        <v>1223.45</v>
      </c>
      <c r="CR693" s="2">
        <f t="shared" si="605"/>
        <v>0</v>
      </c>
      <c r="CS693" s="2">
        <f t="shared" si="622"/>
        <v>0</v>
      </c>
      <c r="CT693" s="2">
        <f t="shared" si="623"/>
        <v>0</v>
      </c>
      <c r="CU693" s="2">
        <f t="shared" si="624"/>
        <v>0</v>
      </c>
      <c r="CV693" s="2">
        <f t="shared" si="625"/>
        <v>0</v>
      </c>
      <c r="CW693" s="2">
        <f t="shared" si="626"/>
        <v>0</v>
      </c>
      <c r="CX693" s="2">
        <f t="shared" si="627"/>
        <v>0</v>
      </c>
      <c r="CY693" s="2">
        <f>((S693*BZ693)/100)</f>
        <v>0</v>
      </c>
      <c r="CZ693" s="2">
        <f>((S693*CA693)/100)</f>
        <v>0</v>
      </c>
      <c r="DA693" s="2"/>
      <c r="DB693" s="2"/>
      <c r="DC693" s="2" t="s">
        <v>3</v>
      </c>
      <c r="DD693" s="2" t="s">
        <v>3</v>
      </c>
      <c r="DE693" s="2" t="s">
        <v>3</v>
      </c>
      <c r="DF693" s="2" t="s">
        <v>3</v>
      </c>
      <c r="DG693" s="2" t="s">
        <v>3</v>
      </c>
      <c r="DH693" s="2" t="s">
        <v>3</v>
      </c>
      <c r="DI693" s="2" t="s">
        <v>3</v>
      </c>
      <c r="DJ693" s="2" t="s">
        <v>3</v>
      </c>
      <c r="DK693" s="2" t="s">
        <v>3</v>
      </c>
      <c r="DL693" s="2" t="s">
        <v>3</v>
      </c>
      <c r="DM693" s="2" t="s">
        <v>3</v>
      </c>
      <c r="DN693" s="2">
        <v>0</v>
      </c>
      <c r="DO693" s="2">
        <v>0</v>
      </c>
      <c r="DP693" s="2">
        <v>1</v>
      </c>
      <c r="DQ693" s="2">
        <v>1</v>
      </c>
      <c r="DR693" s="2"/>
      <c r="DS693" s="2"/>
      <c r="DT693" s="2"/>
      <c r="DU693" s="2">
        <v>1003</v>
      </c>
      <c r="DV693" s="2" t="s">
        <v>694</v>
      </c>
      <c r="DW693" s="2" t="s">
        <v>694</v>
      </c>
      <c r="DX693" s="2">
        <v>1000</v>
      </c>
      <c r="DY693" s="2"/>
      <c r="DZ693" s="2" t="s">
        <v>3</v>
      </c>
      <c r="EA693" s="2" t="s">
        <v>3</v>
      </c>
      <c r="EB693" s="2" t="s">
        <v>3</v>
      </c>
      <c r="EC693" s="2" t="s">
        <v>3</v>
      </c>
      <c r="ED693" s="2"/>
      <c r="EE693" s="2">
        <v>126051792</v>
      </c>
      <c r="EF693" s="2">
        <v>40</v>
      </c>
      <c r="EG693" s="2" t="s">
        <v>621</v>
      </c>
      <c r="EH693" s="2">
        <v>0</v>
      </c>
      <c r="EI693" s="2" t="s">
        <v>3</v>
      </c>
      <c r="EJ693" s="2">
        <v>2</v>
      </c>
      <c r="EK693" s="2">
        <v>331</v>
      </c>
      <c r="EL693" s="2" t="s">
        <v>679</v>
      </c>
      <c r="EM693" s="2" t="s">
        <v>680</v>
      </c>
      <c r="EN693" s="2"/>
      <c r="EO693" s="2" t="s">
        <v>3</v>
      </c>
      <c r="EP693" s="2"/>
      <c r="EQ693" s="2">
        <v>0</v>
      </c>
      <c r="ER693" s="2">
        <v>1223.45</v>
      </c>
      <c r="ES693" s="2">
        <v>1223.45</v>
      </c>
      <c r="ET693" s="2">
        <v>0</v>
      </c>
      <c r="EU693" s="2">
        <v>0</v>
      </c>
      <c r="EV693" s="2">
        <v>0</v>
      </c>
      <c r="EW693" s="2">
        <v>0</v>
      </c>
      <c r="EX693" s="2">
        <v>0</v>
      </c>
      <c r="EY693" s="2"/>
      <c r="EZ693" s="2"/>
      <c r="FA693" s="2"/>
      <c r="FB693" s="2"/>
      <c r="FC693" s="2"/>
      <c r="FD693" s="2"/>
      <c r="FE693" s="2"/>
      <c r="FF693" s="2"/>
      <c r="FG693" s="2"/>
      <c r="FH693" s="2"/>
      <c r="FI693" s="2"/>
      <c r="FJ693" s="2"/>
      <c r="FK693" s="2"/>
      <c r="FL693" s="2"/>
      <c r="FM693" s="2"/>
      <c r="FN693" s="2"/>
      <c r="FO693" s="2"/>
      <c r="FP693" s="2"/>
      <c r="FQ693" s="2">
        <v>0</v>
      </c>
      <c r="FR693" s="2">
        <f t="shared" si="628"/>
        <v>0</v>
      </c>
      <c r="FS693" s="2">
        <v>0</v>
      </c>
      <c r="FT693" s="2"/>
      <c r="FU693" s="2"/>
      <c r="FV693" s="2"/>
      <c r="FW693" s="2"/>
      <c r="FX693" s="2">
        <v>114</v>
      </c>
      <c r="FY693" s="2">
        <v>67</v>
      </c>
      <c r="FZ693" s="2"/>
      <c r="GA693" s="2" t="s">
        <v>3</v>
      </c>
      <c r="GB693" s="2"/>
      <c r="GC693" s="2"/>
      <c r="GD693" s="2">
        <v>0</v>
      </c>
      <c r="GE693" s="2"/>
      <c r="GF693" s="2">
        <v>-202822686</v>
      </c>
      <c r="GG693" s="2">
        <v>2</v>
      </c>
      <c r="GH693" s="2">
        <v>1</v>
      </c>
      <c r="GI693" s="2">
        <v>-2</v>
      </c>
      <c r="GJ693" s="2">
        <v>0</v>
      </c>
      <c r="GK693" s="2">
        <f>ROUND(R693*(R12)/100,2)</f>
        <v>0</v>
      </c>
      <c r="GL693" s="2">
        <f t="shared" si="629"/>
        <v>0</v>
      </c>
      <c r="GM693" s="2">
        <f t="shared" si="630"/>
        <v>118.55</v>
      </c>
      <c r="GN693" s="2">
        <f t="shared" si="631"/>
        <v>0</v>
      </c>
      <c r="GO693" s="2">
        <f t="shared" si="632"/>
        <v>118.55</v>
      </c>
      <c r="GP693" s="2">
        <f t="shared" si="633"/>
        <v>0</v>
      </c>
      <c r="GQ693" s="2"/>
      <c r="GR693" s="2">
        <v>0</v>
      </c>
      <c r="GS693" s="2">
        <v>0</v>
      </c>
      <c r="GT693" s="2">
        <v>0</v>
      </c>
      <c r="GU693" s="2" t="s">
        <v>3</v>
      </c>
      <c r="GV693" s="2">
        <f t="shared" si="634"/>
        <v>0</v>
      </c>
      <c r="GW693" s="2">
        <v>1</v>
      </c>
      <c r="GX693" s="2">
        <f t="shared" si="635"/>
        <v>0</v>
      </c>
      <c r="GY693" s="2"/>
      <c r="GZ693" s="2"/>
      <c r="HA693" s="2">
        <v>0</v>
      </c>
      <c r="HB693" s="2">
        <v>0</v>
      </c>
      <c r="HC693" s="2">
        <f t="shared" si="636"/>
        <v>0</v>
      </c>
      <c r="HD693" s="2"/>
      <c r="HE693" s="2" t="s">
        <v>3</v>
      </c>
      <c r="HF693" s="2" t="s">
        <v>3</v>
      </c>
      <c r="HG693" s="2"/>
      <c r="HH693" s="2"/>
      <c r="HI693" s="2"/>
      <c r="HJ693" s="2"/>
      <c r="HK693" s="2"/>
      <c r="HL693" s="2"/>
      <c r="HM693" s="2" t="s">
        <v>3</v>
      </c>
      <c r="HN693" s="2" t="s">
        <v>3</v>
      </c>
      <c r="HO693" s="2" t="s">
        <v>3</v>
      </c>
      <c r="HP693" s="2" t="s">
        <v>3</v>
      </c>
      <c r="HQ693" s="2" t="s">
        <v>3</v>
      </c>
      <c r="HR693" s="2"/>
      <c r="HS693" s="2"/>
      <c r="HT693" s="2"/>
      <c r="HU693" s="2"/>
      <c r="HV693" s="2"/>
      <c r="HW693" s="2"/>
      <c r="HX693" s="2"/>
      <c r="HY693" s="2"/>
      <c r="HZ693" s="2"/>
      <c r="IA693" s="2"/>
      <c r="IB693" s="2"/>
      <c r="IC693" s="2"/>
      <c r="ID693" s="2"/>
      <c r="IE693" s="2"/>
      <c r="IF693" s="2"/>
      <c r="IG693" s="2"/>
      <c r="IH693" s="2"/>
      <c r="II693" s="2"/>
      <c r="IJ693" s="2"/>
      <c r="IK693" s="2">
        <v>0</v>
      </c>
      <c r="IL693" s="2"/>
      <c r="IM693" s="2"/>
      <c r="IN693" s="2"/>
      <c r="IO693" s="2"/>
      <c r="IP693" s="2"/>
      <c r="IQ693" s="2"/>
      <c r="IR693" s="2"/>
      <c r="IS693" s="2"/>
      <c r="IT693" s="2"/>
      <c r="IU693" s="2"/>
    </row>
    <row r="694" spans="1:255" x14ac:dyDescent="0.2">
      <c r="A694">
        <v>18</v>
      </c>
      <c r="B694">
        <v>1</v>
      </c>
      <c r="C694">
        <v>717</v>
      </c>
      <c r="E694" t="s">
        <v>268</v>
      </c>
      <c r="F694" t="s">
        <v>692</v>
      </c>
      <c r="G694" t="s">
        <v>693</v>
      </c>
      <c r="H694" t="s">
        <v>694</v>
      </c>
      <c r="I694">
        <f>I692*J694</f>
        <v>9.69E-2</v>
      </c>
      <c r="J694">
        <v>8.8090909090909081E-2</v>
      </c>
      <c r="K694">
        <v>8.8090909090909081E-2</v>
      </c>
      <c r="O694">
        <f t="shared" si="606"/>
        <v>1710.68</v>
      </c>
      <c r="P694">
        <f t="shared" si="607"/>
        <v>1710.68</v>
      </c>
      <c r="Q694">
        <f t="shared" si="599"/>
        <v>0</v>
      </c>
      <c r="R694">
        <f t="shared" si="608"/>
        <v>0</v>
      </c>
      <c r="S694">
        <f t="shared" si="609"/>
        <v>0</v>
      </c>
      <c r="T694">
        <f t="shared" si="610"/>
        <v>0</v>
      </c>
      <c r="U694">
        <f t="shared" si="611"/>
        <v>0</v>
      </c>
      <c r="V694">
        <f t="shared" si="612"/>
        <v>0</v>
      </c>
      <c r="W694">
        <f t="shared" si="613"/>
        <v>0</v>
      </c>
      <c r="X694">
        <f t="shared" si="614"/>
        <v>0</v>
      </c>
      <c r="Y694">
        <f t="shared" si="615"/>
        <v>0</v>
      </c>
      <c r="AA694">
        <v>129761633</v>
      </c>
      <c r="AB694">
        <f t="shared" si="616"/>
        <v>1223.45</v>
      </c>
      <c r="AC694">
        <f t="shared" si="617"/>
        <v>1223.45</v>
      </c>
      <c r="AD694">
        <f t="shared" si="600"/>
        <v>0</v>
      </c>
      <c r="AE694">
        <f t="shared" si="601"/>
        <v>0</v>
      </c>
      <c r="AF694">
        <f t="shared" si="602"/>
        <v>0</v>
      </c>
      <c r="AG694">
        <f t="shared" si="618"/>
        <v>0</v>
      </c>
      <c r="AH694">
        <f t="shared" si="603"/>
        <v>0</v>
      </c>
      <c r="AI694">
        <f t="shared" si="604"/>
        <v>0</v>
      </c>
      <c r="AJ694">
        <f t="shared" si="619"/>
        <v>0</v>
      </c>
      <c r="AK694">
        <v>1223.45</v>
      </c>
      <c r="AL694">
        <v>1223.45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1</v>
      </c>
      <c r="AW694">
        <v>1</v>
      </c>
      <c r="AZ694">
        <v>1</v>
      </c>
      <c r="BA694">
        <v>1</v>
      </c>
      <c r="BB694">
        <v>1</v>
      </c>
      <c r="BC694">
        <v>14.43</v>
      </c>
      <c r="BD694" t="s">
        <v>3</v>
      </c>
      <c r="BE694" t="s">
        <v>3</v>
      </c>
      <c r="BF694" t="s">
        <v>3</v>
      </c>
      <c r="BG694" t="s">
        <v>3</v>
      </c>
      <c r="BH694">
        <v>3</v>
      </c>
      <c r="BI694">
        <v>2</v>
      </c>
      <c r="BJ694" t="s">
        <v>695</v>
      </c>
      <c r="BM694">
        <v>331</v>
      </c>
      <c r="BN694">
        <v>0</v>
      </c>
      <c r="BO694" t="s">
        <v>692</v>
      </c>
      <c r="BP694">
        <v>1</v>
      </c>
      <c r="BQ694">
        <v>40</v>
      </c>
      <c r="BR694">
        <v>0</v>
      </c>
      <c r="BS694">
        <v>1</v>
      </c>
      <c r="BT694">
        <v>1</v>
      </c>
      <c r="BU694">
        <v>1</v>
      </c>
      <c r="BV694">
        <v>1</v>
      </c>
      <c r="BW694">
        <v>1</v>
      </c>
      <c r="BX694">
        <v>1</v>
      </c>
      <c r="BY694" t="s">
        <v>3</v>
      </c>
      <c r="BZ694">
        <v>0</v>
      </c>
      <c r="CA694">
        <v>0</v>
      </c>
      <c r="CB694" t="s">
        <v>3</v>
      </c>
      <c r="CE694">
        <v>30</v>
      </c>
      <c r="CF694">
        <v>0</v>
      </c>
      <c r="CG694">
        <v>0</v>
      </c>
      <c r="CM694">
        <v>0</v>
      </c>
      <c r="CN694" t="s">
        <v>3</v>
      </c>
      <c r="CO694">
        <v>0</v>
      </c>
      <c r="CP694">
        <f t="shared" si="620"/>
        <v>1710.68</v>
      </c>
      <c r="CQ694">
        <f t="shared" si="621"/>
        <v>17654.38</v>
      </c>
      <c r="CR694">
        <f t="shared" si="605"/>
        <v>0</v>
      </c>
      <c r="CS694">
        <f t="shared" si="622"/>
        <v>0</v>
      </c>
      <c r="CT694">
        <f t="shared" si="623"/>
        <v>0</v>
      </c>
      <c r="CU694">
        <f t="shared" si="624"/>
        <v>0</v>
      </c>
      <c r="CV694">
        <f t="shared" si="625"/>
        <v>0</v>
      </c>
      <c r="CW694">
        <f t="shared" si="626"/>
        <v>0</v>
      </c>
      <c r="CX694">
        <f t="shared" si="627"/>
        <v>0</v>
      </c>
      <c r="CY694">
        <f>S694*(BZ694/100)</f>
        <v>0</v>
      </c>
      <c r="CZ694">
        <f>S694*(CA694/100)</f>
        <v>0</v>
      </c>
      <c r="DC694" t="s">
        <v>3</v>
      </c>
      <c r="DD694" t="s">
        <v>3</v>
      </c>
      <c r="DE694" t="s">
        <v>3</v>
      </c>
      <c r="DF694" t="s">
        <v>3</v>
      </c>
      <c r="DG694" t="s">
        <v>3</v>
      </c>
      <c r="DH694" t="s">
        <v>3</v>
      </c>
      <c r="DI694" t="s">
        <v>3</v>
      </c>
      <c r="DJ694" t="s">
        <v>3</v>
      </c>
      <c r="DK694" t="s">
        <v>3</v>
      </c>
      <c r="DL694" t="s">
        <v>3</v>
      </c>
      <c r="DM694" t="s">
        <v>3</v>
      </c>
      <c r="DN694">
        <v>114</v>
      </c>
      <c r="DO694">
        <v>67</v>
      </c>
      <c r="DP694">
        <v>1</v>
      </c>
      <c r="DQ694">
        <v>1</v>
      </c>
      <c r="DU694">
        <v>1003</v>
      </c>
      <c r="DV694" t="s">
        <v>694</v>
      </c>
      <c r="DW694" t="s">
        <v>694</v>
      </c>
      <c r="DX694">
        <v>1000</v>
      </c>
      <c r="DZ694" t="s">
        <v>3</v>
      </c>
      <c r="EA694" t="s">
        <v>3</v>
      </c>
      <c r="EB694" t="s">
        <v>3</v>
      </c>
      <c r="EC694" t="s">
        <v>3</v>
      </c>
      <c r="EE694">
        <v>126051792</v>
      </c>
      <c r="EF694">
        <v>40</v>
      </c>
      <c r="EG694" t="s">
        <v>621</v>
      </c>
      <c r="EH694">
        <v>0</v>
      </c>
      <c r="EI694" t="s">
        <v>3</v>
      </c>
      <c r="EJ694">
        <v>2</v>
      </c>
      <c r="EK694">
        <v>331</v>
      </c>
      <c r="EL694" t="s">
        <v>679</v>
      </c>
      <c r="EM694" t="s">
        <v>680</v>
      </c>
      <c r="EO694" t="s">
        <v>3</v>
      </c>
      <c r="EQ694">
        <v>0</v>
      </c>
      <c r="ER694">
        <v>1223.45</v>
      </c>
      <c r="ES694">
        <v>1223.45</v>
      </c>
      <c r="ET694">
        <v>0</v>
      </c>
      <c r="EU694">
        <v>0</v>
      </c>
      <c r="EV694">
        <v>0</v>
      </c>
      <c r="EW694">
        <v>0</v>
      </c>
      <c r="EX694">
        <v>0</v>
      </c>
      <c r="FQ694">
        <v>0</v>
      </c>
      <c r="FR694">
        <f t="shared" si="628"/>
        <v>0</v>
      </c>
      <c r="FS694">
        <v>0</v>
      </c>
      <c r="FX694">
        <v>114</v>
      </c>
      <c r="FY694">
        <v>67</v>
      </c>
      <c r="GA694" t="s">
        <v>3</v>
      </c>
      <c r="GD694">
        <v>0</v>
      </c>
      <c r="GF694">
        <v>-202822686</v>
      </c>
      <c r="GG694">
        <v>2</v>
      </c>
      <c r="GH694">
        <v>1</v>
      </c>
      <c r="GI694">
        <v>2</v>
      </c>
      <c r="GJ694">
        <v>0</v>
      </c>
      <c r="GK694">
        <f>ROUND(R694*(S12)/100,2)</f>
        <v>0</v>
      </c>
      <c r="GL694">
        <f t="shared" si="629"/>
        <v>0</v>
      </c>
      <c r="GM694">
        <f t="shared" si="630"/>
        <v>1710.68</v>
      </c>
      <c r="GN694">
        <f t="shared" si="631"/>
        <v>0</v>
      </c>
      <c r="GO694">
        <f t="shared" si="632"/>
        <v>1710.68</v>
      </c>
      <c r="GP694">
        <f t="shared" si="633"/>
        <v>0</v>
      </c>
      <c r="GR694">
        <v>0</v>
      </c>
      <c r="GS694">
        <v>3</v>
      </c>
      <c r="GT694">
        <v>0</v>
      </c>
      <c r="GU694" t="s">
        <v>3</v>
      </c>
      <c r="GV694">
        <f t="shared" si="634"/>
        <v>0</v>
      </c>
      <c r="GW694">
        <v>1</v>
      </c>
      <c r="GX694">
        <f t="shared" si="635"/>
        <v>0</v>
      </c>
      <c r="HA694">
        <v>0</v>
      </c>
      <c r="HB694">
        <v>0</v>
      </c>
      <c r="HC694">
        <f t="shared" si="636"/>
        <v>0</v>
      </c>
      <c r="HE694" t="s">
        <v>3</v>
      </c>
      <c r="HF694" t="s">
        <v>3</v>
      </c>
      <c r="HM694" t="s">
        <v>3</v>
      </c>
      <c r="HN694" t="s">
        <v>3</v>
      </c>
      <c r="HO694" t="s">
        <v>3</v>
      </c>
      <c r="HP694" t="s">
        <v>3</v>
      </c>
      <c r="HQ694" t="s">
        <v>3</v>
      </c>
      <c r="IK694">
        <v>0</v>
      </c>
    </row>
    <row r="695" spans="1:255" x14ac:dyDescent="0.2">
      <c r="A695" s="2">
        <v>18</v>
      </c>
      <c r="B695" s="2">
        <v>1</v>
      </c>
      <c r="C695" s="2">
        <v>715</v>
      </c>
      <c r="D695" s="2"/>
      <c r="E695" s="2" t="s">
        <v>272</v>
      </c>
      <c r="F695" s="2" t="s">
        <v>696</v>
      </c>
      <c r="G695" s="2" t="s">
        <v>697</v>
      </c>
      <c r="H695" s="2" t="s">
        <v>694</v>
      </c>
      <c r="I695" s="2">
        <f>I691*J695</f>
        <v>1.5299999999999999E-2</v>
      </c>
      <c r="J695" s="2">
        <v>1.3909090909090907E-2</v>
      </c>
      <c r="K695" s="2">
        <v>1.3908999999999999E-2</v>
      </c>
      <c r="L695" s="2"/>
      <c r="M695" s="2"/>
      <c r="N695" s="2"/>
      <c r="O695" s="2">
        <f t="shared" si="606"/>
        <v>43.45</v>
      </c>
      <c r="P695" s="2">
        <f t="shared" si="607"/>
        <v>43.45</v>
      </c>
      <c r="Q695" s="2">
        <f t="shared" si="599"/>
        <v>0</v>
      </c>
      <c r="R695" s="2">
        <f t="shared" si="608"/>
        <v>0</v>
      </c>
      <c r="S695" s="2">
        <f t="shared" si="609"/>
        <v>0</v>
      </c>
      <c r="T695" s="2">
        <f t="shared" si="610"/>
        <v>0</v>
      </c>
      <c r="U695" s="2">
        <f t="shared" si="611"/>
        <v>0</v>
      </c>
      <c r="V695" s="2">
        <f t="shared" si="612"/>
        <v>0</v>
      </c>
      <c r="W695" s="2">
        <f t="shared" si="613"/>
        <v>0</v>
      </c>
      <c r="X695" s="2">
        <f t="shared" si="614"/>
        <v>0</v>
      </c>
      <c r="Y695" s="2">
        <f t="shared" si="615"/>
        <v>0</v>
      </c>
      <c r="Z695" s="2"/>
      <c r="AA695" s="2">
        <v>129761636</v>
      </c>
      <c r="AB695" s="2">
        <f t="shared" si="616"/>
        <v>2839.83</v>
      </c>
      <c r="AC695" s="2">
        <f t="shared" si="617"/>
        <v>2839.83</v>
      </c>
      <c r="AD695" s="2">
        <f t="shared" si="600"/>
        <v>0</v>
      </c>
      <c r="AE695" s="2">
        <f t="shared" si="601"/>
        <v>0</v>
      </c>
      <c r="AF695" s="2">
        <f t="shared" si="602"/>
        <v>0</v>
      </c>
      <c r="AG695" s="2">
        <f t="shared" si="618"/>
        <v>0</v>
      </c>
      <c r="AH695" s="2">
        <f t="shared" si="603"/>
        <v>0</v>
      </c>
      <c r="AI695" s="2">
        <f t="shared" si="604"/>
        <v>0</v>
      </c>
      <c r="AJ695" s="2">
        <f t="shared" si="619"/>
        <v>0</v>
      </c>
      <c r="AK695" s="2">
        <v>2839.83</v>
      </c>
      <c r="AL695" s="2">
        <v>2839.83</v>
      </c>
      <c r="AM695" s="2">
        <v>0</v>
      </c>
      <c r="AN695" s="2">
        <v>0</v>
      </c>
      <c r="AO695" s="2">
        <v>0</v>
      </c>
      <c r="AP695" s="2">
        <v>0</v>
      </c>
      <c r="AQ695" s="2">
        <v>0</v>
      </c>
      <c r="AR695" s="2">
        <v>0</v>
      </c>
      <c r="AS695" s="2">
        <v>0</v>
      </c>
      <c r="AT695" s="2">
        <v>114</v>
      </c>
      <c r="AU695" s="2">
        <v>67</v>
      </c>
      <c r="AV695" s="2">
        <v>1</v>
      </c>
      <c r="AW695" s="2">
        <v>1</v>
      </c>
      <c r="AX695" s="2"/>
      <c r="AY695" s="2"/>
      <c r="AZ695" s="2">
        <v>1</v>
      </c>
      <c r="BA695" s="2">
        <v>1</v>
      </c>
      <c r="BB695" s="2">
        <v>1</v>
      </c>
      <c r="BC695" s="2">
        <v>1</v>
      </c>
      <c r="BD695" s="2" t="s">
        <v>3</v>
      </c>
      <c r="BE695" s="2" t="s">
        <v>3</v>
      </c>
      <c r="BF695" s="2" t="s">
        <v>3</v>
      </c>
      <c r="BG695" s="2" t="s">
        <v>3</v>
      </c>
      <c r="BH695" s="2">
        <v>3</v>
      </c>
      <c r="BI695" s="2">
        <v>2</v>
      </c>
      <c r="BJ695" s="2" t="s">
        <v>698</v>
      </c>
      <c r="BK695" s="2"/>
      <c r="BL695" s="2"/>
      <c r="BM695" s="2">
        <v>331</v>
      </c>
      <c r="BN695" s="2">
        <v>0</v>
      </c>
      <c r="BO695" s="2" t="s">
        <v>3</v>
      </c>
      <c r="BP695" s="2">
        <v>0</v>
      </c>
      <c r="BQ695" s="2">
        <v>40</v>
      </c>
      <c r="BR695" s="2">
        <v>0</v>
      </c>
      <c r="BS695" s="2">
        <v>1</v>
      </c>
      <c r="BT695" s="2">
        <v>1</v>
      </c>
      <c r="BU695" s="2">
        <v>1</v>
      </c>
      <c r="BV695" s="2">
        <v>1</v>
      </c>
      <c r="BW695" s="2">
        <v>1</v>
      </c>
      <c r="BX695" s="2">
        <v>1</v>
      </c>
      <c r="BY695" s="2" t="s">
        <v>3</v>
      </c>
      <c r="BZ695" s="2">
        <v>114</v>
      </c>
      <c r="CA695" s="2">
        <v>67</v>
      </c>
      <c r="CB695" s="2" t="s">
        <v>3</v>
      </c>
      <c r="CC695" s="2"/>
      <c r="CD695" s="2"/>
      <c r="CE695" s="2">
        <v>30</v>
      </c>
      <c r="CF695" s="2">
        <v>0</v>
      </c>
      <c r="CG695" s="2">
        <v>0</v>
      </c>
      <c r="CH695" s="2"/>
      <c r="CI695" s="2"/>
      <c r="CJ695" s="2"/>
      <c r="CK695" s="2"/>
      <c r="CL695" s="2"/>
      <c r="CM695" s="2">
        <v>0</v>
      </c>
      <c r="CN695" s="2" t="s">
        <v>3</v>
      </c>
      <c r="CO695" s="2">
        <v>0</v>
      </c>
      <c r="CP695" s="2">
        <f t="shared" si="620"/>
        <v>43.45</v>
      </c>
      <c r="CQ695" s="2">
        <f t="shared" si="621"/>
        <v>2839.83</v>
      </c>
      <c r="CR695" s="2">
        <f t="shared" si="605"/>
        <v>0</v>
      </c>
      <c r="CS695" s="2">
        <f t="shared" si="622"/>
        <v>0</v>
      </c>
      <c r="CT695" s="2">
        <f t="shared" si="623"/>
        <v>0</v>
      </c>
      <c r="CU695" s="2">
        <f t="shared" si="624"/>
        <v>0</v>
      </c>
      <c r="CV695" s="2">
        <f t="shared" si="625"/>
        <v>0</v>
      </c>
      <c r="CW695" s="2">
        <f t="shared" si="626"/>
        <v>0</v>
      </c>
      <c r="CX695" s="2">
        <f t="shared" si="627"/>
        <v>0</v>
      </c>
      <c r="CY695" s="2">
        <f>((S695*BZ695)/100)</f>
        <v>0</v>
      </c>
      <c r="CZ695" s="2">
        <f>((S695*CA695)/100)</f>
        <v>0</v>
      </c>
      <c r="DA695" s="2"/>
      <c r="DB695" s="2"/>
      <c r="DC695" s="2" t="s">
        <v>3</v>
      </c>
      <c r="DD695" s="2" t="s">
        <v>3</v>
      </c>
      <c r="DE695" s="2" t="s">
        <v>3</v>
      </c>
      <c r="DF695" s="2" t="s">
        <v>3</v>
      </c>
      <c r="DG695" s="2" t="s">
        <v>3</v>
      </c>
      <c r="DH695" s="2" t="s">
        <v>3</v>
      </c>
      <c r="DI695" s="2" t="s">
        <v>3</v>
      </c>
      <c r="DJ695" s="2" t="s">
        <v>3</v>
      </c>
      <c r="DK695" s="2" t="s">
        <v>3</v>
      </c>
      <c r="DL695" s="2" t="s">
        <v>3</v>
      </c>
      <c r="DM695" s="2" t="s">
        <v>3</v>
      </c>
      <c r="DN695" s="2">
        <v>0</v>
      </c>
      <c r="DO695" s="2">
        <v>0</v>
      </c>
      <c r="DP695" s="2">
        <v>1</v>
      </c>
      <c r="DQ695" s="2">
        <v>1</v>
      </c>
      <c r="DR695" s="2"/>
      <c r="DS695" s="2"/>
      <c r="DT695" s="2"/>
      <c r="DU695" s="2">
        <v>1003</v>
      </c>
      <c r="DV695" s="2" t="s">
        <v>694</v>
      </c>
      <c r="DW695" s="2" t="s">
        <v>694</v>
      </c>
      <c r="DX695" s="2">
        <v>1000</v>
      </c>
      <c r="DY695" s="2"/>
      <c r="DZ695" s="2" t="s">
        <v>3</v>
      </c>
      <c r="EA695" s="2" t="s">
        <v>3</v>
      </c>
      <c r="EB695" s="2" t="s">
        <v>3</v>
      </c>
      <c r="EC695" s="2" t="s">
        <v>3</v>
      </c>
      <c r="ED695" s="2"/>
      <c r="EE695" s="2">
        <v>126051792</v>
      </c>
      <c r="EF695" s="2">
        <v>40</v>
      </c>
      <c r="EG695" s="2" t="s">
        <v>621</v>
      </c>
      <c r="EH695" s="2">
        <v>0</v>
      </c>
      <c r="EI695" s="2" t="s">
        <v>3</v>
      </c>
      <c r="EJ695" s="2">
        <v>2</v>
      </c>
      <c r="EK695" s="2">
        <v>331</v>
      </c>
      <c r="EL695" s="2" t="s">
        <v>679</v>
      </c>
      <c r="EM695" s="2" t="s">
        <v>680</v>
      </c>
      <c r="EN695" s="2"/>
      <c r="EO695" s="2" t="s">
        <v>3</v>
      </c>
      <c r="EP695" s="2"/>
      <c r="EQ695" s="2">
        <v>0</v>
      </c>
      <c r="ER695" s="2">
        <v>2839.83</v>
      </c>
      <c r="ES695" s="2">
        <v>2839.83</v>
      </c>
      <c r="ET695" s="2">
        <v>0</v>
      </c>
      <c r="EU695" s="2">
        <v>0</v>
      </c>
      <c r="EV695" s="2">
        <v>0</v>
      </c>
      <c r="EW695" s="2">
        <v>0</v>
      </c>
      <c r="EX695" s="2">
        <v>0</v>
      </c>
      <c r="EY695" s="2"/>
      <c r="EZ695" s="2"/>
      <c r="FA695" s="2"/>
      <c r="FB695" s="2"/>
      <c r="FC695" s="2"/>
      <c r="FD695" s="2"/>
      <c r="FE695" s="2"/>
      <c r="FF695" s="2"/>
      <c r="FG695" s="2"/>
      <c r="FH695" s="2"/>
      <c r="FI695" s="2"/>
      <c r="FJ695" s="2"/>
      <c r="FK695" s="2"/>
      <c r="FL695" s="2"/>
      <c r="FM695" s="2"/>
      <c r="FN695" s="2"/>
      <c r="FO695" s="2"/>
      <c r="FP695" s="2"/>
      <c r="FQ695" s="2">
        <v>0</v>
      </c>
      <c r="FR695" s="2">
        <f t="shared" si="628"/>
        <v>0</v>
      </c>
      <c r="FS695" s="2">
        <v>0</v>
      </c>
      <c r="FT695" s="2"/>
      <c r="FU695" s="2"/>
      <c r="FV695" s="2"/>
      <c r="FW695" s="2"/>
      <c r="FX695" s="2">
        <v>114</v>
      </c>
      <c r="FY695" s="2">
        <v>67</v>
      </c>
      <c r="FZ695" s="2"/>
      <c r="GA695" s="2" t="s">
        <v>3</v>
      </c>
      <c r="GB695" s="2"/>
      <c r="GC695" s="2"/>
      <c r="GD695" s="2">
        <v>0</v>
      </c>
      <c r="GE695" s="2"/>
      <c r="GF695" s="2">
        <v>-909786354</v>
      </c>
      <c r="GG695" s="2">
        <v>2</v>
      </c>
      <c r="GH695" s="2">
        <v>1</v>
      </c>
      <c r="GI695" s="2">
        <v>-2</v>
      </c>
      <c r="GJ695" s="2">
        <v>0</v>
      </c>
      <c r="GK695" s="2">
        <f>ROUND(R695*(R12)/100,2)</f>
        <v>0</v>
      </c>
      <c r="GL695" s="2">
        <f t="shared" si="629"/>
        <v>0</v>
      </c>
      <c r="GM695" s="2">
        <f t="shared" si="630"/>
        <v>43.45</v>
      </c>
      <c r="GN695" s="2">
        <f t="shared" si="631"/>
        <v>0</v>
      </c>
      <c r="GO695" s="2">
        <f t="shared" si="632"/>
        <v>43.45</v>
      </c>
      <c r="GP695" s="2">
        <f t="shared" si="633"/>
        <v>0</v>
      </c>
      <c r="GQ695" s="2"/>
      <c r="GR695" s="2">
        <v>0</v>
      </c>
      <c r="GS695" s="2">
        <v>0</v>
      </c>
      <c r="GT695" s="2">
        <v>0</v>
      </c>
      <c r="GU695" s="2" t="s">
        <v>3</v>
      </c>
      <c r="GV695" s="2">
        <f t="shared" si="634"/>
        <v>0</v>
      </c>
      <c r="GW695" s="2">
        <v>1</v>
      </c>
      <c r="GX695" s="2">
        <f t="shared" si="635"/>
        <v>0</v>
      </c>
      <c r="GY695" s="2"/>
      <c r="GZ695" s="2"/>
      <c r="HA695" s="2">
        <v>0</v>
      </c>
      <c r="HB695" s="2">
        <v>0</v>
      </c>
      <c r="HC695" s="2">
        <f t="shared" si="636"/>
        <v>0</v>
      </c>
      <c r="HD695" s="2"/>
      <c r="HE695" s="2" t="s">
        <v>3</v>
      </c>
      <c r="HF695" s="2" t="s">
        <v>3</v>
      </c>
      <c r="HG695" s="2"/>
      <c r="HH695" s="2"/>
      <c r="HI695" s="2"/>
      <c r="HJ695" s="2"/>
      <c r="HK695" s="2"/>
      <c r="HL695" s="2"/>
      <c r="HM695" s="2" t="s">
        <v>3</v>
      </c>
      <c r="HN695" s="2" t="s">
        <v>3</v>
      </c>
      <c r="HO695" s="2" t="s">
        <v>3</v>
      </c>
      <c r="HP695" s="2" t="s">
        <v>3</v>
      </c>
      <c r="HQ695" s="2" t="s">
        <v>3</v>
      </c>
      <c r="HR695" s="2"/>
      <c r="HS695" s="2"/>
      <c r="HT695" s="2"/>
      <c r="HU695" s="2"/>
      <c r="HV695" s="2"/>
      <c r="HW695" s="2"/>
      <c r="HX695" s="2"/>
      <c r="HY695" s="2"/>
      <c r="HZ695" s="2"/>
      <c r="IA695" s="2"/>
      <c r="IB695" s="2"/>
      <c r="IC695" s="2"/>
      <c r="ID695" s="2"/>
      <c r="IE695" s="2"/>
      <c r="IF695" s="2"/>
      <c r="IG695" s="2"/>
      <c r="IH695" s="2"/>
      <c r="II695" s="2"/>
      <c r="IJ695" s="2"/>
      <c r="IK695" s="2">
        <v>0</v>
      </c>
      <c r="IL695" s="2"/>
      <c r="IM695" s="2"/>
      <c r="IN695" s="2"/>
      <c r="IO695" s="2"/>
      <c r="IP695" s="2"/>
      <c r="IQ695" s="2"/>
      <c r="IR695" s="2"/>
      <c r="IS695" s="2"/>
      <c r="IT695" s="2"/>
      <c r="IU695" s="2"/>
    </row>
    <row r="696" spans="1:255" x14ac:dyDescent="0.2">
      <c r="A696">
        <v>18</v>
      </c>
      <c r="B696">
        <v>1</v>
      </c>
      <c r="C696">
        <v>718</v>
      </c>
      <c r="E696" t="s">
        <v>272</v>
      </c>
      <c r="F696" t="s">
        <v>696</v>
      </c>
      <c r="G696" t="s">
        <v>697</v>
      </c>
      <c r="H696" t="s">
        <v>694</v>
      </c>
      <c r="I696">
        <f>I692*J696</f>
        <v>1.5299999999999999E-2</v>
      </c>
      <c r="J696">
        <v>1.3909090909090907E-2</v>
      </c>
      <c r="K696">
        <v>1.3908999999999999E-2</v>
      </c>
      <c r="O696">
        <f t="shared" si="606"/>
        <v>477.52</v>
      </c>
      <c r="P696">
        <f t="shared" si="607"/>
        <v>477.52</v>
      </c>
      <c r="Q696">
        <f t="shared" si="599"/>
        <v>0</v>
      </c>
      <c r="R696">
        <f t="shared" si="608"/>
        <v>0</v>
      </c>
      <c r="S696">
        <f t="shared" si="609"/>
        <v>0</v>
      </c>
      <c r="T696">
        <f t="shared" si="610"/>
        <v>0</v>
      </c>
      <c r="U696">
        <f t="shared" si="611"/>
        <v>0</v>
      </c>
      <c r="V696">
        <f t="shared" si="612"/>
        <v>0</v>
      </c>
      <c r="W696">
        <f t="shared" si="613"/>
        <v>0</v>
      </c>
      <c r="X696">
        <f t="shared" si="614"/>
        <v>0</v>
      </c>
      <c r="Y696">
        <f t="shared" si="615"/>
        <v>0</v>
      </c>
      <c r="AA696">
        <v>129761633</v>
      </c>
      <c r="AB696">
        <f t="shared" si="616"/>
        <v>2839.83</v>
      </c>
      <c r="AC696">
        <f t="shared" si="617"/>
        <v>2839.83</v>
      </c>
      <c r="AD696">
        <f t="shared" si="600"/>
        <v>0</v>
      </c>
      <c r="AE696">
        <f t="shared" si="601"/>
        <v>0</v>
      </c>
      <c r="AF696">
        <f t="shared" si="602"/>
        <v>0</v>
      </c>
      <c r="AG696">
        <f t="shared" si="618"/>
        <v>0</v>
      </c>
      <c r="AH696">
        <f t="shared" si="603"/>
        <v>0</v>
      </c>
      <c r="AI696">
        <f t="shared" si="604"/>
        <v>0</v>
      </c>
      <c r="AJ696">
        <f t="shared" si="619"/>
        <v>0</v>
      </c>
      <c r="AK696">
        <v>2839.83</v>
      </c>
      <c r="AL696">
        <v>2839.83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1</v>
      </c>
      <c r="AW696">
        <v>1</v>
      </c>
      <c r="AZ696">
        <v>1</v>
      </c>
      <c r="BA696">
        <v>1</v>
      </c>
      <c r="BB696">
        <v>1</v>
      </c>
      <c r="BC696">
        <v>10.99</v>
      </c>
      <c r="BD696" t="s">
        <v>3</v>
      </c>
      <c r="BE696" t="s">
        <v>3</v>
      </c>
      <c r="BF696" t="s">
        <v>3</v>
      </c>
      <c r="BG696" t="s">
        <v>3</v>
      </c>
      <c r="BH696">
        <v>3</v>
      </c>
      <c r="BI696">
        <v>2</v>
      </c>
      <c r="BJ696" t="s">
        <v>698</v>
      </c>
      <c r="BM696">
        <v>331</v>
      </c>
      <c r="BN696">
        <v>0</v>
      </c>
      <c r="BO696" t="s">
        <v>696</v>
      </c>
      <c r="BP696">
        <v>1</v>
      </c>
      <c r="BQ696">
        <v>40</v>
      </c>
      <c r="BR696">
        <v>0</v>
      </c>
      <c r="BS696">
        <v>1</v>
      </c>
      <c r="BT696">
        <v>1</v>
      </c>
      <c r="BU696">
        <v>1</v>
      </c>
      <c r="BV696">
        <v>1</v>
      </c>
      <c r="BW696">
        <v>1</v>
      </c>
      <c r="BX696">
        <v>1</v>
      </c>
      <c r="BY696" t="s">
        <v>3</v>
      </c>
      <c r="BZ696">
        <v>0</v>
      </c>
      <c r="CA696">
        <v>0</v>
      </c>
      <c r="CB696" t="s">
        <v>3</v>
      </c>
      <c r="CE696">
        <v>30</v>
      </c>
      <c r="CF696">
        <v>0</v>
      </c>
      <c r="CG696">
        <v>0</v>
      </c>
      <c r="CM696">
        <v>0</v>
      </c>
      <c r="CN696" t="s">
        <v>3</v>
      </c>
      <c r="CO696">
        <v>0</v>
      </c>
      <c r="CP696">
        <f t="shared" si="620"/>
        <v>477.52</v>
      </c>
      <c r="CQ696">
        <f t="shared" si="621"/>
        <v>31209.73</v>
      </c>
      <c r="CR696">
        <f t="shared" si="605"/>
        <v>0</v>
      </c>
      <c r="CS696">
        <f t="shared" si="622"/>
        <v>0</v>
      </c>
      <c r="CT696">
        <f t="shared" si="623"/>
        <v>0</v>
      </c>
      <c r="CU696">
        <f t="shared" si="624"/>
        <v>0</v>
      </c>
      <c r="CV696">
        <f t="shared" si="625"/>
        <v>0</v>
      </c>
      <c r="CW696">
        <f t="shared" si="626"/>
        <v>0</v>
      </c>
      <c r="CX696">
        <f t="shared" si="627"/>
        <v>0</v>
      </c>
      <c r="CY696">
        <f>S696*(BZ696/100)</f>
        <v>0</v>
      </c>
      <c r="CZ696">
        <f>S696*(CA696/100)</f>
        <v>0</v>
      </c>
      <c r="DC696" t="s">
        <v>3</v>
      </c>
      <c r="DD696" t="s">
        <v>3</v>
      </c>
      <c r="DE696" t="s">
        <v>3</v>
      </c>
      <c r="DF696" t="s">
        <v>3</v>
      </c>
      <c r="DG696" t="s">
        <v>3</v>
      </c>
      <c r="DH696" t="s">
        <v>3</v>
      </c>
      <c r="DI696" t="s">
        <v>3</v>
      </c>
      <c r="DJ696" t="s">
        <v>3</v>
      </c>
      <c r="DK696" t="s">
        <v>3</v>
      </c>
      <c r="DL696" t="s">
        <v>3</v>
      </c>
      <c r="DM696" t="s">
        <v>3</v>
      </c>
      <c r="DN696">
        <v>114</v>
      </c>
      <c r="DO696">
        <v>67</v>
      </c>
      <c r="DP696">
        <v>1</v>
      </c>
      <c r="DQ696">
        <v>1</v>
      </c>
      <c r="DU696">
        <v>1003</v>
      </c>
      <c r="DV696" t="s">
        <v>694</v>
      </c>
      <c r="DW696" t="s">
        <v>694</v>
      </c>
      <c r="DX696">
        <v>1000</v>
      </c>
      <c r="DZ696" t="s">
        <v>3</v>
      </c>
      <c r="EA696" t="s">
        <v>3</v>
      </c>
      <c r="EB696" t="s">
        <v>3</v>
      </c>
      <c r="EC696" t="s">
        <v>3</v>
      </c>
      <c r="EE696">
        <v>126051792</v>
      </c>
      <c r="EF696">
        <v>40</v>
      </c>
      <c r="EG696" t="s">
        <v>621</v>
      </c>
      <c r="EH696">
        <v>0</v>
      </c>
      <c r="EI696" t="s">
        <v>3</v>
      </c>
      <c r="EJ696">
        <v>2</v>
      </c>
      <c r="EK696">
        <v>331</v>
      </c>
      <c r="EL696" t="s">
        <v>679</v>
      </c>
      <c r="EM696" t="s">
        <v>680</v>
      </c>
      <c r="EO696" t="s">
        <v>3</v>
      </c>
      <c r="EQ696">
        <v>0</v>
      </c>
      <c r="ER696">
        <v>2839.83</v>
      </c>
      <c r="ES696">
        <v>2839.83</v>
      </c>
      <c r="ET696">
        <v>0</v>
      </c>
      <c r="EU696">
        <v>0</v>
      </c>
      <c r="EV696">
        <v>0</v>
      </c>
      <c r="EW696">
        <v>0</v>
      </c>
      <c r="EX696">
        <v>0</v>
      </c>
      <c r="FQ696">
        <v>0</v>
      </c>
      <c r="FR696">
        <f t="shared" si="628"/>
        <v>0</v>
      </c>
      <c r="FS696">
        <v>0</v>
      </c>
      <c r="FX696">
        <v>114</v>
      </c>
      <c r="FY696">
        <v>67</v>
      </c>
      <c r="GA696" t="s">
        <v>3</v>
      </c>
      <c r="GD696">
        <v>0</v>
      </c>
      <c r="GF696">
        <v>-909786354</v>
      </c>
      <c r="GG696">
        <v>2</v>
      </c>
      <c r="GH696">
        <v>1</v>
      </c>
      <c r="GI696">
        <v>2</v>
      </c>
      <c r="GJ696">
        <v>0</v>
      </c>
      <c r="GK696">
        <f>ROUND(R696*(S12)/100,2)</f>
        <v>0</v>
      </c>
      <c r="GL696">
        <f t="shared" si="629"/>
        <v>0</v>
      </c>
      <c r="GM696">
        <f t="shared" si="630"/>
        <v>477.52</v>
      </c>
      <c r="GN696">
        <f t="shared" si="631"/>
        <v>0</v>
      </c>
      <c r="GO696">
        <f t="shared" si="632"/>
        <v>477.52</v>
      </c>
      <c r="GP696">
        <f t="shared" si="633"/>
        <v>0</v>
      </c>
      <c r="GR696">
        <v>0</v>
      </c>
      <c r="GS696">
        <v>3</v>
      </c>
      <c r="GT696">
        <v>0</v>
      </c>
      <c r="GU696" t="s">
        <v>3</v>
      </c>
      <c r="GV696">
        <f t="shared" si="634"/>
        <v>0</v>
      </c>
      <c r="GW696">
        <v>1</v>
      </c>
      <c r="GX696">
        <f t="shared" si="635"/>
        <v>0</v>
      </c>
      <c r="HA696">
        <v>0</v>
      </c>
      <c r="HB696">
        <v>0</v>
      </c>
      <c r="HC696">
        <f t="shared" si="636"/>
        <v>0</v>
      </c>
      <c r="HE696" t="s">
        <v>3</v>
      </c>
      <c r="HF696" t="s">
        <v>3</v>
      </c>
      <c r="HM696" t="s">
        <v>3</v>
      </c>
      <c r="HN696" t="s">
        <v>3</v>
      </c>
      <c r="HO696" t="s">
        <v>3</v>
      </c>
      <c r="HP696" t="s">
        <v>3</v>
      </c>
      <c r="HQ696" t="s">
        <v>3</v>
      </c>
      <c r="IK696">
        <v>0</v>
      </c>
    </row>
    <row r="697" spans="1:255" x14ac:dyDescent="0.2">
      <c r="A697" s="2">
        <v>17</v>
      </c>
      <c r="B697" s="2">
        <v>1</v>
      </c>
      <c r="C697" s="2">
        <f>ROW(SmtRes!A720)</f>
        <v>720</v>
      </c>
      <c r="D697" s="2">
        <f>ROW(EtalonRes!A711)</f>
        <v>711</v>
      </c>
      <c r="E697" s="2" t="s">
        <v>279</v>
      </c>
      <c r="F697" s="2" t="s">
        <v>699</v>
      </c>
      <c r="G697" s="2" t="s">
        <v>700</v>
      </c>
      <c r="H697" s="2" t="s">
        <v>455</v>
      </c>
      <c r="I697" s="2">
        <v>0.1</v>
      </c>
      <c r="J697" s="2">
        <v>0</v>
      </c>
      <c r="K697" s="2">
        <v>0.1</v>
      </c>
      <c r="L697" s="2"/>
      <c r="M697" s="2"/>
      <c r="N697" s="2"/>
      <c r="O697" s="2">
        <f t="shared" si="606"/>
        <v>8.7799999999999994</v>
      </c>
      <c r="P697" s="2">
        <f t="shared" si="607"/>
        <v>0.99</v>
      </c>
      <c r="Q697" s="2">
        <f t="shared" si="599"/>
        <v>0.17</v>
      </c>
      <c r="R697" s="2">
        <f t="shared" si="608"/>
        <v>0.04</v>
      </c>
      <c r="S697" s="2">
        <f t="shared" si="609"/>
        <v>7.62</v>
      </c>
      <c r="T697" s="2">
        <f t="shared" si="610"/>
        <v>0</v>
      </c>
      <c r="U697" s="2">
        <f t="shared" si="611"/>
        <v>0.61799999999999999</v>
      </c>
      <c r="V697" s="2">
        <f t="shared" si="612"/>
        <v>0</v>
      </c>
      <c r="W697" s="2">
        <f t="shared" si="613"/>
        <v>0</v>
      </c>
      <c r="X697" s="2">
        <f t="shared" si="614"/>
        <v>8.69</v>
      </c>
      <c r="Y697" s="2">
        <f t="shared" si="615"/>
        <v>5.1100000000000003</v>
      </c>
      <c r="Z697" s="2"/>
      <c r="AA697" s="2">
        <v>129761636</v>
      </c>
      <c r="AB697" s="2">
        <f t="shared" si="616"/>
        <v>87.83</v>
      </c>
      <c r="AC697" s="2">
        <f t="shared" si="617"/>
        <v>9.94</v>
      </c>
      <c r="AD697" s="2">
        <f t="shared" si="600"/>
        <v>1.69</v>
      </c>
      <c r="AE697" s="2">
        <f t="shared" si="601"/>
        <v>0.39</v>
      </c>
      <c r="AF697" s="2">
        <f t="shared" si="602"/>
        <v>76.2</v>
      </c>
      <c r="AG697" s="2">
        <f t="shared" si="618"/>
        <v>0</v>
      </c>
      <c r="AH697" s="2">
        <f t="shared" si="603"/>
        <v>6.18</v>
      </c>
      <c r="AI697" s="2">
        <f t="shared" si="604"/>
        <v>0</v>
      </c>
      <c r="AJ697" s="2">
        <f t="shared" si="619"/>
        <v>0</v>
      </c>
      <c r="AK697" s="2">
        <v>87.83</v>
      </c>
      <c r="AL697" s="2">
        <v>9.94</v>
      </c>
      <c r="AM697" s="2">
        <v>1.69</v>
      </c>
      <c r="AN697" s="2">
        <v>0.39</v>
      </c>
      <c r="AO697" s="2">
        <v>76.2</v>
      </c>
      <c r="AP697" s="2">
        <v>0</v>
      </c>
      <c r="AQ697" s="2">
        <v>6.18</v>
      </c>
      <c r="AR697" s="2">
        <v>0</v>
      </c>
      <c r="AS697" s="2">
        <v>0</v>
      </c>
      <c r="AT697" s="2">
        <v>114</v>
      </c>
      <c r="AU697" s="2">
        <v>67</v>
      </c>
      <c r="AV697" s="2">
        <v>1</v>
      </c>
      <c r="AW697" s="2">
        <v>1</v>
      </c>
      <c r="AX697" s="2"/>
      <c r="AY697" s="2"/>
      <c r="AZ697" s="2">
        <v>1</v>
      </c>
      <c r="BA697" s="2">
        <v>1</v>
      </c>
      <c r="BB697" s="2">
        <v>1</v>
      </c>
      <c r="BC697" s="2">
        <v>1</v>
      </c>
      <c r="BD697" s="2" t="s">
        <v>3</v>
      </c>
      <c r="BE697" s="2" t="s">
        <v>3</v>
      </c>
      <c r="BF697" s="2" t="s">
        <v>3</v>
      </c>
      <c r="BG697" s="2" t="s">
        <v>3</v>
      </c>
      <c r="BH697" s="2">
        <v>0</v>
      </c>
      <c r="BI697" s="2">
        <v>2</v>
      </c>
      <c r="BJ697" s="2" t="s">
        <v>701</v>
      </c>
      <c r="BK697" s="2"/>
      <c r="BL697" s="2"/>
      <c r="BM697" s="2">
        <v>331</v>
      </c>
      <c r="BN697" s="2">
        <v>0</v>
      </c>
      <c r="BO697" s="2" t="s">
        <v>3</v>
      </c>
      <c r="BP697" s="2">
        <v>0</v>
      </c>
      <c r="BQ697" s="2">
        <v>40</v>
      </c>
      <c r="BR697" s="2">
        <v>0</v>
      </c>
      <c r="BS697" s="2">
        <v>1</v>
      </c>
      <c r="BT697" s="2">
        <v>1</v>
      </c>
      <c r="BU697" s="2">
        <v>1</v>
      </c>
      <c r="BV697" s="2">
        <v>1</v>
      </c>
      <c r="BW697" s="2">
        <v>1</v>
      </c>
      <c r="BX697" s="2">
        <v>1</v>
      </c>
      <c r="BY697" s="2" t="s">
        <v>3</v>
      </c>
      <c r="BZ697" s="2">
        <v>114</v>
      </c>
      <c r="CA697" s="2">
        <v>67</v>
      </c>
      <c r="CB697" s="2" t="s">
        <v>3</v>
      </c>
      <c r="CC697" s="2"/>
      <c r="CD697" s="2"/>
      <c r="CE697" s="2">
        <v>30</v>
      </c>
      <c r="CF697" s="2">
        <v>0</v>
      </c>
      <c r="CG697" s="2">
        <v>0</v>
      </c>
      <c r="CH697" s="2"/>
      <c r="CI697" s="2"/>
      <c r="CJ697" s="2"/>
      <c r="CK697" s="2"/>
      <c r="CL697" s="2"/>
      <c r="CM697" s="2">
        <v>0</v>
      </c>
      <c r="CN697" s="2" t="s">
        <v>3</v>
      </c>
      <c r="CO697" s="2">
        <v>0</v>
      </c>
      <c r="CP697" s="2">
        <f t="shared" si="620"/>
        <v>8.7799999999999994</v>
      </c>
      <c r="CQ697" s="2">
        <f t="shared" si="621"/>
        <v>9.94</v>
      </c>
      <c r="CR697" s="2">
        <f t="shared" si="605"/>
        <v>1.69</v>
      </c>
      <c r="CS697" s="2">
        <f t="shared" si="622"/>
        <v>0.39</v>
      </c>
      <c r="CT697" s="2">
        <f t="shared" si="623"/>
        <v>76.2</v>
      </c>
      <c r="CU697" s="2">
        <f t="shared" si="624"/>
        <v>0</v>
      </c>
      <c r="CV697" s="2">
        <f t="shared" si="625"/>
        <v>6.18</v>
      </c>
      <c r="CW697" s="2">
        <f t="shared" si="626"/>
        <v>0</v>
      </c>
      <c r="CX697" s="2">
        <f t="shared" si="627"/>
        <v>0</v>
      </c>
      <c r="CY697" s="2">
        <f>((S697*BZ697)/100)</f>
        <v>8.6867999999999999</v>
      </c>
      <c r="CZ697" s="2">
        <f>((S697*CA697)/100)</f>
        <v>5.1054000000000004</v>
      </c>
      <c r="DA697" s="2"/>
      <c r="DB697" s="2"/>
      <c r="DC697" s="2" t="s">
        <v>3</v>
      </c>
      <c r="DD697" s="2" t="s">
        <v>3</v>
      </c>
      <c r="DE697" s="2" t="s">
        <v>3</v>
      </c>
      <c r="DF697" s="2" t="s">
        <v>3</v>
      </c>
      <c r="DG697" s="2" t="s">
        <v>3</v>
      </c>
      <c r="DH697" s="2" t="s">
        <v>3</v>
      </c>
      <c r="DI697" s="2" t="s">
        <v>3</v>
      </c>
      <c r="DJ697" s="2" t="s">
        <v>3</v>
      </c>
      <c r="DK697" s="2" t="s">
        <v>3</v>
      </c>
      <c r="DL697" s="2" t="s">
        <v>3</v>
      </c>
      <c r="DM697" s="2" t="s">
        <v>3</v>
      </c>
      <c r="DN697" s="2">
        <v>0</v>
      </c>
      <c r="DO697" s="2">
        <v>0</v>
      </c>
      <c r="DP697" s="2">
        <v>1</v>
      </c>
      <c r="DQ697" s="2">
        <v>1</v>
      </c>
      <c r="DR697" s="2"/>
      <c r="DS697" s="2"/>
      <c r="DT697" s="2"/>
      <c r="DU697" s="2">
        <v>1003</v>
      </c>
      <c r="DV697" s="2" t="s">
        <v>455</v>
      </c>
      <c r="DW697" s="2" t="s">
        <v>455</v>
      </c>
      <c r="DX697" s="2">
        <v>100</v>
      </c>
      <c r="DY697" s="2"/>
      <c r="DZ697" s="2" t="s">
        <v>3</v>
      </c>
      <c r="EA697" s="2" t="s">
        <v>3</v>
      </c>
      <c r="EB697" s="2" t="s">
        <v>3</v>
      </c>
      <c r="EC697" s="2" t="s">
        <v>3</v>
      </c>
      <c r="ED697" s="2"/>
      <c r="EE697" s="2">
        <v>126051792</v>
      </c>
      <c r="EF697" s="2">
        <v>40</v>
      </c>
      <c r="EG697" s="2" t="s">
        <v>621</v>
      </c>
      <c r="EH697" s="2">
        <v>0</v>
      </c>
      <c r="EI697" s="2" t="s">
        <v>3</v>
      </c>
      <c r="EJ697" s="2">
        <v>2</v>
      </c>
      <c r="EK697" s="2">
        <v>331</v>
      </c>
      <c r="EL697" s="2" t="s">
        <v>679</v>
      </c>
      <c r="EM697" s="2" t="s">
        <v>680</v>
      </c>
      <c r="EN697" s="2"/>
      <c r="EO697" s="2" t="s">
        <v>3</v>
      </c>
      <c r="EP697" s="2"/>
      <c r="EQ697" s="2">
        <v>131072</v>
      </c>
      <c r="ER697" s="2">
        <v>87.83</v>
      </c>
      <c r="ES697" s="2">
        <v>9.94</v>
      </c>
      <c r="ET697" s="2">
        <v>1.69</v>
      </c>
      <c r="EU697" s="2">
        <v>0.39</v>
      </c>
      <c r="EV697" s="2">
        <v>76.2</v>
      </c>
      <c r="EW697" s="2">
        <v>6.18</v>
      </c>
      <c r="EX697" s="2">
        <v>0</v>
      </c>
      <c r="EY697" s="2">
        <v>0</v>
      </c>
      <c r="EZ697" s="2"/>
      <c r="FA697" s="2"/>
      <c r="FB697" s="2"/>
      <c r="FC697" s="2"/>
      <c r="FD697" s="2"/>
      <c r="FE697" s="2"/>
      <c r="FF697" s="2"/>
      <c r="FG697" s="2"/>
      <c r="FH697" s="2"/>
      <c r="FI697" s="2"/>
      <c r="FJ697" s="2"/>
      <c r="FK697" s="2"/>
      <c r="FL697" s="2"/>
      <c r="FM697" s="2"/>
      <c r="FN697" s="2"/>
      <c r="FO697" s="2"/>
      <c r="FP697" s="2"/>
      <c r="FQ697" s="2">
        <v>0</v>
      </c>
      <c r="FR697" s="2">
        <f t="shared" si="628"/>
        <v>0</v>
      </c>
      <c r="FS697" s="2">
        <v>0</v>
      </c>
      <c r="FT697" s="2"/>
      <c r="FU697" s="2"/>
      <c r="FV697" s="2"/>
      <c r="FW697" s="2"/>
      <c r="FX697" s="2">
        <v>114</v>
      </c>
      <c r="FY697" s="2">
        <v>67</v>
      </c>
      <c r="FZ697" s="2"/>
      <c r="GA697" s="2" t="s">
        <v>3</v>
      </c>
      <c r="GB697" s="2"/>
      <c r="GC697" s="2"/>
      <c r="GD697" s="2">
        <v>0</v>
      </c>
      <c r="GE697" s="2"/>
      <c r="GF697" s="2">
        <v>-1874974313</v>
      </c>
      <c r="GG697" s="2">
        <v>2</v>
      </c>
      <c r="GH697" s="2">
        <v>1</v>
      </c>
      <c r="GI697" s="2">
        <v>-2</v>
      </c>
      <c r="GJ697" s="2">
        <v>0</v>
      </c>
      <c r="GK697" s="2">
        <f>ROUND(R697*(R12)/100,2)</f>
        <v>7.0000000000000007E-2</v>
      </c>
      <c r="GL697" s="2">
        <f t="shared" si="629"/>
        <v>0</v>
      </c>
      <c r="GM697" s="2">
        <f t="shared" si="630"/>
        <v>22.65</v>
      </c>
      <c r="GN697" s="2">
        <f t="shared" si="631"/>
        <v>0</v>
      </c>
      <c r="GO697" s="2">
        <f t="shared" si="632"/>
        <v>22.65</v>
      </c>
      <c r="GP697" s="2">
        <f t="shared" si="633"/>
        <v>0</v>
      </c>
      <c r="GQ697" s="2"/>
      <c r="GR697" s="2">
        <v>0</v>
      </c>
      <c r="GS697" s="2">
        <v>0</v>
      </c>
      <c r="GT697" s="2">
        <v>0</v>
      </c>
      <c r="GU697" s="2" t="s">
        <v>3</v>
      </c>
      <c r="GV697" s="2">
        <f t="shared" si="634"/>
        <v>0</v>
      </c>
      <c r="GW697" s="2">
        <v>1</v>
      </c>
      <c r="GX697" s="2">
        <f t="shared" si="635"/>
        <v>0</v>
      </c>
      <c r="GY697" s="2"/>
      <c r="GZ697" s="2"/>
      <c r="HA697" s="2">
        <v>0</v>
      </c>
      <c r="HB697" s="2">
        <v>0</v>
      </c>
      <c r="HC697" s="2">
        <f t="shared" si="636"/>
        <v>0</v>
      </c>
      <c r="HD697" s="2"/>
      <c r="HE697" s="2" t="s">
        <v>3</v>
      </c>
      <c r="HF697" s="2" t="s">
        <v>3</v>
      </c>
      <c r="HG697" s="2"/>
      <c r="HH697" s="2"/>
      <c r="HI697" s="2"/>
      <c r="HJ697" s="2"/>
      <c r="HK697" s="2"/>
      <c r="HL697" s="2"/>
      <c r="HM697" s="2" t="s">
        <v>3</v>
      </c>
      <c r="HN697" s="2" t="s">
        <v>3</v>
      </c>
      <c r="HO697" s="2" t="s">
        <v>3</v>
      </c>
      <c r="HP697" s="2" t="s">
        <v>3</v>
      </c>
      <c r="HQ697" s="2" t="s">
        <v>3</v>
      </c>
      <c r="HR697" s="2"/>
      <c r="HS697" s="2"/>
      <c r="HT697" s="2"/>
      <c r="HU697" s="2"/>
      <c r="HV697" s="2"/>
      <c r="HW697" s="2"/>
      <c r="HX697" s="2"/>
      <c r="HY697" s="2"/>
      <c r="HZ697" s="2"/>
      <c r="IA697" s="2"/>
      <c r="IB697" s="2"/>
      <c r="IC697" s="2"/>
      <c r="ID697" s="2"/>
      <c r="IE697" s="2"/>
      <c r="IF697" s="2"/>
      <c r="IG697" s="2"/>
      <c r="IH697" s="2"/>
      <c r="II697" s="2"/>
      <c r="IJ697" s="2"/>
      <c r="IK697" s="2">
        <v>0</v>
      </c>
      <c r="IL697" s="2"/>
      <c r="IM697" s="2"/>
      <c r="IN697" s="2"/>
      <c r="IO697" s="2"/>
      <c r="IP697" s="2"/>
      <c r="IQ697" s="2"/>
      <c r="IR697" s="2"/>
      <c r="IS697" s="2"/>
      <c r="IT697" s="2"/>
      <c r="IU697" s="2"/>
    </row>
    <row r="698" spans="1:255" x14ac:dyDescent="0.2">
      <c r="A698">
        <v>17</v>
      </c>
      <c r="B698">
        <v>1</v>
      </c>
      <c r="C698">
        <f>ROW(SmtRes!A722)</f>
        <v>722</v>
      </c>
      <c r="D698">
        <f>ROW(EtalonRes!A712)</f>
        <v>712</v>
      </c>
      <c r="E698" t="s">
        <v>279</v>
      </c>
      <c r="F698" t="s">
        <v>699</v>
      </c>
      <c r="G698" t="s">
        <v>700</v>
      </c>
      <c r="H698" t="s">
        <v>455</v>
      </c>
      <c r="I698">
        <v>0.1</v>
      </c>
      <c r="J698">
        <v>0</v>
      </c>
      <c r="K698">
        <v>0.1</v>
      </c>
      <c r="O698">
        <f t="shared" si="606"/>
        <v>226.62</v>
      </c>
      <c r="P698">
        <f t="shared" si="607"/>
        <v>3.47</v>
      </c>
      <c r="Q698">
        <f t="shared" si="599"/>
        <v>1.94</v>
      </c>
      <c r="R698">
        <f t="shared" si="608"/>
        <v>1.1599999999999999</v>
      </c>
      <c r="S698">
        <f t="shared" si="609"/>
        <v>221.21</v>
      </c>
      <c r="T698">
        <f t="shared" si="610"/>
        <v>0</v>
      </c>
      <c r="U698">
        <f t="shared" si="611"/>
        <v>0.61799999999999999</v>
      </c>
      <c r="V698">
        <f t="shared" si="612"/>
        <v>0</v>
      </c>
      <c r="W698">
        <f t="shared" si="613"/>
        <v>0</v>
      </c>
      <c r="X698">
        <f t="shared" si="614"/>
        <v>174.76</v>
      </c>
      <c r="Y698">
        <f t="shared" si="615"/>
        <v>90.7</v>
      </c>
      <c r="AA698">
        <v>129761633</v>
      </c>
      <c r="AB698">
        <f t="shared" si="616"/>
        <v>87.83</v>
      </c>
      <c r="AC698">
        <f t="shared" si="617"/>
        <v>9.94</v>
      </c>
      <c r="AD698">
        <f t="shared" si="600"/>
        <v>1.69</v>
      </c>
      <c r="AE698">
        <f t="shared" si="601"/>
        <v>0.39</v>
      </c>
      <c r="AF698">
        <f t="shared" si="602"/>
        <v>76.2</v>
      </c>
      <c r="AG698">
        <f t="shared" si="618"/>
        <v>0</v>
      </c>
      <c r="AH698">
        <f t="shared" si="603"/>
        <v>6.18</v>
      </c>
      <c r="AI698">
        <f t="shared" si="604"/>
        <v>0</v>
      </c>
      <c r="AJ698">
        <f t="shared" si="619"/>
        <v>0</v>
      </c>
      <c r="AK698">
        <v>87.83</v>
      </c>
      <c r="AL698">
        <v>9.94</v>
      </c>
      <c r="AM698">
        <v>1.69</v>
      </c>
      <c r="AN698">
        <v>0.39</v>
      </c>
      <c r="AO698">
        <v>76.2</v>
      </c>
      <c r="AP698">
        <v>0</v>
      </c>
      <c r="AQ698">
        <v>6.18</v>
      </c>
      <c r="AR698">
        <v>0</v>
      </c>
      <c r="AS698">
        <v>0</v>
      </c>
      <c r="AT698">
        <v>79</v>
      </c>
      <c r="AU698">
        <v>41</v>
      </c>
      <c r="AV698">
        <v>1</v>
      </c>
      <c r="AW698">
        <v>1</v>
      </c>
      <c r="AZ698">
        <v>1</v>
      </c>
      <c r="BA698">
        <v>29.03</v>
      </c>
      <c r="BB698">
        <v>11.43</v>
      </c>
      <c r="BC698">
        <v>3.51</v>
      </c>
      <c r="BD698" t="s">
        <v>3</v>
      </c>
      <c r="BE698" t="s">
        <v>3</v>
      </c>
      <c r="BF698" t="s">
        <v>3</v>
      </c>
      <c r="BG698" t="s">
        <v>3</v>
      </c>
      <c r="BH698">
        <v>0</v>
      </c>
      <c r="BI698">
        <v>2</v>
      </c>
      <c r="BJ698" t="s">
        <v>701</v>
      </c>
      <c r="BM698">
        <v>331</v>
      </c>
      <c r="BN698">
        <v>0</v>
      </c>
      <c r="BO698" t="s">
        <v>699</v>
      </c>
      <c r="BP698">
        <v>1</v>
      </c>
      <c r="BQ698">
        <v>40</v>
      </c>
      <c r="BR698">
        <v>0</v>
      </c>
      <c r="BS698">
        <v>29.03</v>
      </c>
      <c r="BT698">
        <v>1</v>
      </c>
      <c r="BU698">
        <v>1</v>
      </c>
      <c r="BV698">
        <v>1</v>
      </c>
      <c r="BW698">
        <v>1</v>
      </c>
      <c r="BX698">
        <v>1</v>
      </c>
      <c r="BY698" t="s">
        <v>3</v>
      </c>
      <c r="BZ698">
        <v>79</v>
      </c>
      <c r="CA698">
        <v>41</v>
      </c>
      <c r="CB698" t="s">
        <v>3</v>
      </c>
      <c r="CE698">
        <v>30</v>
      </c>
      <c r="CF698">
        <v>0</v>
      </c>
      <c r="CG698">
        <v>0</v>
      </c>
      <c r="CM698">
        <v>0</v>
      </c>
      <c r="CN698" t="s">
        <v>3</v>
      </c>
      <c r="CO698">
        <v>0</v>
      </c>
      <c r="CP698">
        <f t="shared" si="620"/>
        <v>226.62</v>
      </c>
      <c r="CQ698">
        <f t="shared" si="621"/>
        <v>34.89</v>
      </c>
      <c r="CR698">
        <f t="shared" si="605"/>
        <v>19.32</v>
      </c>
      <c r="CS698">
        <f t="shared" si="622"/>
        <v>11.32</v>
      </c>
      <c r="CT698">
        <f t="shared" si="623"/>
        <v>2212.09</v>
      </c>
      <c r="CU698">
        <f t="shared" si="624"/>
        <v>0</v>
      </c>
      <c r="CV698">
        <f t="shared" si="625"/>
        <v>6.18</v>
      </c>
      <c r="CW698">
        <f t="shared" si="626"/>
        <v>0</v>
      </c>
      <c r="CX698">
        <f t="shared" si="627"/>
        <v>0</v>
      </c>
      <c r="CY698">
        <f>S698*(BZ698/100)</f>
        <v>174.75590000000003</v>
      </c>
      <c r="CZ698">
        <f>S698*(CA698/100)</f>
        <v>90.696100000000001</v>
      </c>
      <c r="DC698" t="s">
        <v>3</v>
      </c>
      <c r="DD698" t="s">
        <v>3</v>
      </c>
      <c r="DE698" t="s">
        <v>3</v>
      </c>
      <c r="DF698" t="s">
        <v>3</v>
      </c>
      <c r="DG698" t="s">
        <v>3</v>
      </c>
      <c r="DH698" t="s">
        <v>3</v>
      </c>
      <c r="DI698" t="s">
        <v>3</v>
      </c>
      <c r="DJ698" t="s">
        <v>3</v>
      </c>
      <c r="DK698" t="s">
        <v>3</v>
      </c>
      <c r="DL698" t="s">
        <v>3</v>
      </c>
      <c r="DM698" t="s">
        <v>3</v>
      </c>
      <c r="DN698">
        <v>114</v>
      </c>
      <c r="DO698">
        <v>67</v>
      </c>
      <c r="DP698">
        <v>1</v>
      </c>
      <c r="DQ698">
        <v>1</v>
      </c>
      <c r="DU698">
        <v>1003</v>
      </c>
      <c r="DV698" t="s">
        <v>455</v>
      </c>
      <c r="DW698" t="s">
        <v>455</v>
      </c>
      <c r="DX698">
        <v>100</v>
      </c>
      <c r="DZ698" t="s">
        <v>3</v>
      </c>
      <c r="EA698" t="s">
        <v>3</v>
      </c>
      <c r="EB698" t="s">
        <v>3</v>
      </c>
      <c r="EC698" t="s">
        <v>3</v>
      </c>
      <c r="EE698">
        <v>126051792</v>
      </c>
      <c r="EF698">
        <v>40</v>
      </c>
      <c r="EG698" t="s">
        <v>621</v>
      </c>
      <c r="EH698">
        <v>0</v>
      </c>
      <c r="EI698" t="s">
        <v>3</v>
      </c>
      <c r="EJ698">
        <v>2</v>
      </c>
      <c r="EK698">
        <v>331</v>
      </c>
      <c r="EL698" t="s">
        <v>679</v>
      </c>
      <c r="EM698" t="s">
        <v>680</v>
      </c>
      <c r="EO698" t="s">
        <v>3</v>
      </c>
      <c r="EQ698">
        <v>131072</v>
      </c>
      <c r="ER698">
        <v>87.83</v>
      </c>
      <c r="ES698">
        <v>9.94</v>
      </c>
      <c r="ET698">
        <v>1.69</v>
      </c>
      <c r="EU698">
        <v>0.39</v>
      </c>
      <c r="EV698">
        <v>76.2</v>
      </c>
      <c r="EW698">
        <v>6.18</v>
      </c>
      <c r="EX698">
        <v>0</v>
      </c>
      <c r="EY698">
        <v>0</v>
      </c>
      <c r="FQ698">
        <v>0</v>
      </c>
      <c r="FR698">
        <f t="shared" si="628"/>
        <v>0</v>
      </c>
      <c r="FS698">
        <v>0</v>
      </c>
      <c r="FX698">
        <v>114</v>
      </c>
      <c r="FY698">
        <v>67</v>
      </c>
      <c r="GA698" t="s">
        <v>3</v>
      </c>
      <c r="GD698">
        <v>0</v>
      </c>
      <c r="GF698">
        <v>-1874974313</v>
      </c>
      <c r="GG698">
        <v>2</v>
      </c>
      <c r="GH698">
        <v>1</v>
      </c>
      <c r="GI698">
        <v>2</v>
      </c>
      <c r="GJ698">
        <v>0</v>
      </c>
      <c r="GK698">
        <f>ROUND(R698*(S12)/100,2)</f>
        <v>1.86</v>
      </c>
      <c r="GL698">
        <f t="shared" si="629"/>
        <v>0</v>
      </c>
      <c r="GM698">
        <f t="shared" si="630"/>
        <v>493.94</v>
      </c>
      <c r="GN698">
        <f t="shared" si="631"/>
        <v>0</v>
      </c>
      <c r="GO698">
        <f t="shared" si="632"/>
        <v>493.94</v>
      </c>
      <c r="GP698">
        <f t="shared" si="633"/>
        <v>0</v>
      </c>
      <c r="GR698">
        <v>0</v>
      </c>
      <c r="GS698">
        <v>3</v>
      </c>
      <c r="GT698">
        <v>0</v>
      </c>
      <c r="GU698" t="s">
        <v>3</v>
      </c>
      <c r="GV698">
        <f t="shared" si="634"/>
        <v>0</v>
      </c>
      <c r="GW698">
        <v>1</v>
      </c>
      <c r="GX698">
        <f t="shared" si="635"/>
        <v>0</v>
      </c>
      <c r="HA698">
        <v>0</v>
      </c>
      <c r="HB698">
        <v>0</v>
      </c>
      <c r="HC698">
        <f t="shared" si="636"/>
        <v>0</v>
      </c>
      <c r="HE698" t="s">
        <v>3</v>
      </c>
      <c r="HF698" t="s">
        <v>3</v>
      </c>
      <c r="HM698" t="s">
        <v>3</v>
      </c>
      <c r="HN698" t="s">
        <v>3</v>
      </c>
      <c r="HO698" t="s">
        <v>3</v>
      </c>
      <c r="HP698" t="s">
        <v>3</v>
      </c>
      <c r="HQ698" t="s">
        <v>3</v>
      </c>
      <c r="IK698">
        <v>0</v>
      </c>
    </row>
    <row r="699" spans="1:255" x14ac:dyDescent="0.2">
      <c r="A699" s="2">
        <v>18</v>
      </c>
      <c r="B699" s="2">
        <v>1</v>
      </c>
      <c r="C699" s="2">
        <v>720</v>
      </c>
      <c r="D699" s="2"/>
      <c r="E699" s="2" t="s">
        <v>286</v>
      </c>
      <c r="F699" s="2" t="s">
        <v>692</v>
      </c>
      <c r="G699" s="2" t="s">
        <v>693</v>
      </c>
      <c r="H699" s="2" t="s">
        <v>694</v>
      </c>
      <c r="I699" s="2">
        <f>I697*J699</f>
        <v>1.0200000000000001E-2</v>
      </c>
      <c r="J699" s="2">
        <v>0.10200000000000001</v>
      </c>
      <c r="K699" s="2">
        <v>0.10200000000000001</v>
      </c>
      <c r="L699" s="2"/>
      <c r="M699" s="2"/>
      <c r="N699" s="2"/>
      <c r="O699" s="2">
        <f t="shared" si="606"/>
        <v>12.48</v>
      </c>
      <c r="P699" s="2">
        <f t="shared" si="607"/>
        <v>12.48</v>
      </c>
      <c r="Q699" s="2">
        <f t="shared" si="599"/>
        <v>0</v>
      </c>
      <c r="R699" s="2">
        <f t="shared" si="608"/>
        <v>0</v>
      </c>
      <c r="S699" s="2">
        <f t="shared" si="609"/>
        <v>0</v>
      </c>
      <c r="T699" s="2">
        <f t="shared" si="610"/>
        <v>0</v>
      </c>
      <c r="U699" s="2">
        <f t="shared" si="611"/>
        <v>0</v>
      </c>
      <c r="V699" s="2">
        <f t="shared" si="612"/>
        <v>0</v>
      </c>
      <c r="W699" s="2">
        <f t="shared" si="613"/>
        <v>0</v>
      </c>
      <c r="X699" s="2">
        <f t="shared" si="614"/>
        <v>0</v>
      </c>
      <c r="Y699" s="2">
        <f t="shared" si="615"/>
        <v>0</v>
      </c>
      <c r="Z699" s="2"/>
      <c r="AA699" s="2">
        <v>129761636</v>
      </c>
      <c r="AB699" s="2">
        <f t="shared" si="616"/>
        <v>1223.45</v>
      </c>
      <c r="AC699" s="2">
        <f t="shared" si="617"/>
        <v>1223.45</v>
      </c>
      <c r="AD699" s="2">
        <f t="shared" si="600"/>
        <v>0</v>
      </c>
      <c r="AE699" s="2">
        <f t="shared" si="601"/>
        <v>0</v>
      </c>
      <c r="AF699" s="2">
        <f t="shared" si="602"/>
        <v>0</v>
      </c>
      <c r="AG699" s="2">
        <f t="shared" si="618"/>
        <v>0</v>
      </c>
      <c r="AH699" s="2">
        <f t="shared" si="603"/>
        <v>0</v>
      </c>
      <c r="AI699" s="2">
        <f t="shared" si="604"/>
        <v>0</v>
      </c>
      <c r="AJ699" s="2">
        <f t="shared" si="619"/>
        <v>0</v>
      </c>
      <c r="AK699" s="2">
        <v>1223.45</v>
      </c>
      <c r="AL699" s="2">
        <v>1223.45</v>
      </c>
      <c r="AM699" s="2">
        <v>0</v>
      </c>
      <c r="AN699" s="2">
        <v>0</v>
      </c>
      <c r="AO699" s="2">
        <v>0</v>
      </c>
      <c r="AP699" s="2">
        <v>0</v>
      </c>
      <c r="AQ699" s="2">
        <v>0</v>
      </c>
      <c r="AR699" s="2">
        <v>0</v>
      </c>
      <c r="AS699" s="2">
        <v>0</v>
      </c>
      <c r="AT699" s="2">
        <v>114</v>
      </c>
      <c r="AU699" s="2">
        <v>67</v>
      </c>
      <c r="AV699" s="2">
        <v>1</v>
      </c>
      <c r="AW699" s="2">
        <v>1</v>
      </c>
      <c r="AX699" s="2"/>
      <c r="AY699" s="2"/>
      <c r="AZ699" s="2">
        <v>1</v>
      </c>
      <c r="BA699" s="2">
        <v>1</v>
      </c>
      <c r="BB699" s="2">
        <v>1</v>
      </c>
      <c r="BC699" s="2">
        <v>1</v>
      </c>
      <c r="BD699" s="2" t="s">
        <v>3</v>
      </c>
      <c r="BE699" s="2" t="s">
        <v>3</v>
      </c>
      <c r="BF699" s="2" t="s">
        <v>3</v>
      </c>
      <c r="BG699" s="2" t="s">
        <v>3</v>
      </c>
      <c r="BH699" s="2">
        <v>3</v>
      </c>
      <c r="BI699" s="2">
        <v>2</v>
      </c>
      <c r="BJ699" s="2" t="s">
        <v>695</v>
      </c>
      <c r="BK699" s="2"/>
      <c r="BL699" s="2"/>
      <c r="BM699" s="2">
        <v>331</v>
      </c>
      <c r="BN699" s="2">
        <v>0</v>
      </c>
      <c r="BO699" s="2" t="s">
        <v>3</v>
      </c>
      <c r="BP699" s="2">
        <v>0</v>
      </c>
      <c r="BQ699" s="2">
        <v>40</v>
      </c>
      <c r="BR699" s="2">
        <v>0</v>
      </c>
      <c r="BS699" s="2">
        <v>1</v>
      </c>
      <c r="BT699" s="2">
        <v>1</v>
      </c>
      <c r="BU699" s="2">
        <v>1</v>
      </c>
      <c r="BV699" s="2">
        <v>1</v>
      </c>
      <c r="BW699" s="2">
        <v>1</v>
      </c>
      <c r="BX699" s="2">
        <v>1</v>
      </c>
      <c r="BY699" s="2" t="s">
        <v>3</v>
      </c>
      <c r="BZ699" s="2">
        <v>114</v>
      </c>
      <c r="CA699" s="2">
        <v>67</v>
      </c>
      <c r="CB699" s="2" t="s">
        <v>3</v>
      </c>
      <c r="CC699" s="2"/>
      <c r="CD699" s="2"/>
      <c r="CE699" s="2">
        <v>30</v>
      </c>
      <c r="CF699" s="2">
        <v>0</v>
      </c>
      <c r="CG699" s="2">
        <v>0</v>
      </c>
      <c r="CH699" s="2"/>
      <c r="CI699" s="2"/>
      <c r="CJ699" s="2"/>
      <c r="CK699" s="2"/>
      <c r="CL699" s="2"/>
      <c r="CM699" s="2">
        <v>0</v>
      </c>
      <c r="CN699" s="2" t="s">
        <v>3</v>
      </c>
      <c r="CO699" s="2">
        <v>0</v>
      </c>
      <c r="CP699" s="2">
        <f t="shared" si="620"/>
        <v>12.48</v>
      </c>
      <c r="CQ699" s="2">
        <f t="shared" si="621"/>
        <v>1223.45</v>
      </c>
      <c r="CR699" s="2">
        <f t="shared" si="605"/>
        <v>0</v>
      </c>
      <c r="CS699" s="2">
        <f t="shared" si="622"/>
        <v>0</v>
      </c>
      <c r="CT699" s="2">
        <f t="shared" si="623"/>
        <v>0</v>
      </c>
      <c r="CU699" s="2">
        <f t="shared" si="624"/>
        <v>0</v>
      </c>
      <c r="CV699" s="2">
        <f t="shared" si="625"/>
        <v>0</v>
      </c>
      <c r="CW699" s="2">
        <f t="shared" si="626"/>
        <v>0</v>
      </c>
      <c r="CX699" s="2">
        <f t="shared" si="627"/>
        <v>0</v>
      </c>
      <c r="CY699" s="2">
        <f>((S699*BZ699)/100)</f>
        <v>0</v>
      </c>
      <c r="CZ699" s="2">
        <f>((S699*CA699)/100)</f>
        <v>0</v>
      </c>
      <c r="DA699" s="2"/>
      <c r="DB699" s="2"/>
      <c r="DC699" s="2" t="s">
        <v>3</v>
      </c>
      <c r="DD699" s="2" t="s">
        <v>3</v>
      </c>
      <c r="DE699" s="2" t="s">
        <v>3</v>
      </c>
      <c r="DF699" s="2" t="s">
        <v>3</v>
      </c>
      <c r="DG699" s="2" t="s">
        <v>3</v>
      </c>
      <c r="DH699" s="2" t="s">
        <v>3</v>
      </c>
      <c r="DI699" s="2" t="s">
        <v>3</v>
      </c>
      <c r="DJ699" s="2" t="s">
        <v>3</v>
      </c>
      <c r="DK699" s="2" t="s">
        <v>3</v>
      </c>
      <c r="DL699" s="2" t="s">
        <v>3</v>
      </c>
      <c r="DM699" s="2" t="s">
        <v>3</v>
      </c>
      <c r="DN699" s="2">
        <v>0</v>
      </c>
      <c r="DO699" s="2">
        <v>0</v>
      </c>
      <c r="DP699" s="2">
        <v>1</v>
      </c>
      <c r="DQ699" s="2">
        <v>1</v>
      </c>
      <c r="DR699" s="2"/>
      <c r="DS699" s="2"/>
      <c r="DT699" s="2"/>
      <c r="DU699" s="2">
        <v>1003</v>
      </c>
      <c r="DV699" s="2" t="s">
        <v>694</v>
      </c>
      <c r="DW699" s="2" t="s">
        <v>694</v>
      </c>
      <c r="DX699" s="2">
        <v>1000</v>
      </c>
      <c r="DY699" s="2"/>
      <c r="DZ699" s="2" t="s">
        <v>3</v>
      </c>
      <c r="EA699" s="2" t="s">
        <v>3</v>
      </c>
      <c r="EB699" s="2" t="s">
        <v>3</v>
      </c>
      <c r="EC699" s="2" t="s">
        <v>3</v>
      </c>
      <c r="ED699" s="2"/>
      <c r="EE699" s="2">
        <v>126051792</v>
      </c>
      <c r="EF699" s="2">
        <v>40</v>
      </c>
      <c r="EG699" s="2" t="s">
        <v>621</v>
      </c>
      <c r="EH699" s="2">
        <v>0</v>
      </c>
      <c r="EI699" s="2" t="s">
        <v>3</v>
      </c>
      <c r="EJ699" s="2">
        <v>2</v>
      </c>
      <c r="EK699" s="2">
        <v>331</v>
      </c>
      <c r="EL699" s="2" t="s">
        <v>679</v>
      </c>
      <c r="EM699" s="2" t="s">
        <v>680</v>
      </c>
      <c r="EN699" s="2"/>
      <c r="EO699" s="2" t="s">
        <v>3</v>
      </c>
      <c r="EP699" s="2"/>
      <c r="EQ699" s="2">
        <v>0</v>
      </c>
      <c r="ER699" s="2">
        <v>1223.45</v>
      </c>
      <c r="ES699" s="2">
        <v>1223.45</v>
      </c>
      <c r="ET699" s="2">
        <v>0</v>
      </c>
      <c r="EU699" s="2">
        <v>0</v>
      </c>
      <c r="EV699" s="2">
        <v>0</v>
      </c>
      <c r="EW699" s="2">
        <v>0</v>
      </c>
      <c r="EX699" s="2">
        <v>0</v>
      </c>
      <c r="EY699" s="2"/>
      <c r="EZ699" s="2"/>
      <c r="FA699" s="2"/>
      <c r="FB699" s="2"/>
      <c r="FC699" s="2"/>
      <c r="FD699" s="2"/>
      <c r="FE699" s="2"/>
      <c r="FF699" s="2"/>
      <c r="FG699" s="2"/>
      <c r="FH699" s="2"/>
      <c r="FI699" s="2"/>
      <c r="FJ699" s="2"/>
      <c r="FK699" s="2"/>
      <c r="FL699" s="2"/>
      <c r="FM699" s="2"/>
      <c r="FN699" s="2"/>
      <c r="FO699" s="2"/>
      <c r="FP699" s="2"/>
      <c r="FQ699" s="2">
        <v>0</v>
      </c>
      <c r="FR699" s="2">
        <f t="shared" si="628"/>
        <v>0</v>
      </c>
      <c r="FS699" s="2">
        <v>0</v>
      </c>
      <c r="FT699" s="2"/>
      <c r="FU699" s="2"/>
      <c r="FV699" s="2"/>
      <c r="FW699" s="2"/>
      <c r="FX699" s="2">
        <v>114</v>
      </c>
      <c r="FY699" s="2">
        <v>67</v>
      </c>
      <c r="FZ699" s="2"/>
      <c r="GA699" s="2" t="s">
        <v>3</v>
      </c>
      <c r="GB699" s="2"/>
      <c r="GC699" s="2"/>
      <c r="GD699" s="2">
        <v>0</v>
      </c>
      <c r="GE699" s="2"/>
      <c r="GF699" s="2">
        <v>-202822686</v>
      </c>
      <c r="GG699" s="2">
        <v>2</v>
      </c>
      <c r="GH699" s="2">
        <v>1</v>
      </c>
      <c r="GI699" s="2">
        <v>-2</v>
      </c>
      <c r="GJ699" s="2">
        <v>0</v>
      </c>
      <c r="GK699" s="2">
        <f>ROUND(R699*(R12)/100,2)</f>
        <v>0</v>
      </c>
      <c r="GL699" s="2">
        <f t="shared" si="629"/>
        <v>0</v>
      </c>
      <c r="GM699" s="2">
        <f t="shared" si="630"/>
        <v>12.48</v>
      </c>
      <c r="GN699" s="2">
        <f t="shared" si="631"/>
        <v>0</v>
      </c>
      <c r="GO699" s="2">
        <f t="shared" si="632"/>
        <v>12.48</v>
      </c>
      <c r="GP699" s="2">
        <f t="shared" si="633"/>
        <v>0</v>
      </c>
      <c r="GQ699" s="2"/>
      <c r="GR699" s="2">
        <v>0</v>
      </c>
      <c r="GS699" s="2">
        <v>0</v>
      </c>
      <c r="GT699" s="2">
        <v>0</v>
      </c>
      <c r="GU699" s="2" t="s">
        <v>3</v>
      </c>
      <c r="GV699" s="2">
        <f t="shared" si="634"/>
        <v>0</v>
      </c>
      <c r="GW699" s="2">
        <v>1</v>
      </c>
      <c r="GX699" s="2">
        <f t="shared" si="635"/>
        <v>0</v>
      </c>
      <c r="GY699" s="2"/>
      <c r="GZ699" s="2"/>
      <c r="HA699" s="2">
        <v>0</v>
      </c>
      <c r="HB699" s="2">
        <v>0</v>
      </c>
      <c r="HC699" s="2">
        <f t="shared" si="636"/>
        <v>0</v>
      </c>
      <c r="HD699" s="2"/>
      <c r="HE699" s="2" t="s">
        <v>3</v>
      </c>
      <c r="HF699" s="2" t="s">
        <v>3</v>
      </c>
      <c r="HG699" s="2"/>
      <c r="HH699" s="2"/>
      <c r="HI699" s="2"/>
      <c r="HJ699" s="2"/>
      <c r="HK699" s="2"/>
      <c r="HL699" s="2"/>
      <c r="HM699" s="2" t="s">
        <v>3</v>
      </c>
      <c r="HN699" s="2" t="s">
        <v>3</v>
      </c>
      <c r="HO699" s="2" t="s">
        <v>3</v>
      </c>
      <c r="HP699" s="2" t="s">
        <v>3</v>
      </c>
      <c r="HQ699" s="2" t="s">
        <v>3</v>
      </c>
      <c r="HR699" s="2"/>
      <c r="HS699" s="2"/>
      <c r="HT699" s="2"/>
      <c r="HU699" s="2"/>
      <c r="HV699" s="2"/>
      <c r="HW699" s="2"/>
      <c r="HX699" s="2"/>
      <c r="HY699" s="2"/>
      <c r="HZ699" s="2"/>
      <c r="IA699" s="2"/>
      <c r="IB699" s="2"/>
      <c r="IC699" s="2"/>
      <c r="ID699" s="2"/>
      <c r="IE699" s="2"/>
      <c r="IF699" s="2"/>
      <c r="IG699" s="2"/>
      <c r="IH699" s="2"/>
      <c r="II699" s="2"/>
      <c r="IJ699" s="2"/>
      <c r="IK699" s="2">
        <v>0</v>
      </c>
      <c r="IL699" s="2"/>
      <c r="IM699" s="2"/>
      <c r="IN699" s="2"/>
      <c r="IO699" s="2"/>
      <c r="IP699" s="2"/>
      <c r="IQ699" s="2"/>
      <c r="IR699" s="2"/>
      <c r="IS699" s="2"/>
      <c r="IT699" s="2"/>
      <c r="IU699" s="2"/>
    </row>
    <row r="700" spans="1:255" x14ac:dyDescent="0.2">
      <c r="A700">
        <v>18</v>
      </c>
      <c r="B700">
        <v>1</v>
      </c>
      <c r="C700">
        <v>722</v>
      </c>
      <c r="E700" t="s">
        <v>286</v>
      </c>
      <c r="F700" t="s">
        <v>692</v>
      </c>
      <c r="G700" t="s">
        <v>693</v>
      </c>
      <c r="H700" t="s">
        <v>694</v>
      </c>
      <c r="I700">
        <f>I698*J700</f>
        <v>1.0200000000000001E-2</v>
      </c>
      <c r="J700">
        <v>0.10200000000000001</v>
      </c>
      <c r="K700">
        <v>0.10200000000000001</v>
      </c>
      <c r="O700">
        <f t="shared" si="606"/>
        <v>180.09</v>
      </c>
      <c r="P700">
        <f t="shared" si="607"/>
        <v>180.09</v>
      </c>
      <c r="Q700">
        <f t="shared" si="599"/>
        <v>0</v>
      </c>
      <c r="R700">
        <f t="shared" si="608"/>
        <v>0</v>
      </c>
      <c r="S700">
        <f t="shared" si="609"/>
        <v>0</v>
      </c>
      <c r="T700">
        <f t="shared" si="610"/>
        <v>0</v>
      </c>
      <c r="U700">
        <f t="shared" si="611"/>
        <v>0</v>
      </c>
      <c r="V700">
        <f t="shared" si="612"/>
        <v>0</v>
      </c>
      <c r="W700">
        <f t="shared" si="613"/>
        <v>0</v>
      </c>
      <c r="X700">
        <f t="shared" si="614"/>
        <v>0</v>
      </c>
      <c r="Y700">
        <f t="shared" si="615"/>
        <v>0</v>
      </c>
      <c r="AA700">
        <v>129761633</v>
      </c>
      <c r="AB700">
        <f t="shared" si="616"/>
        <v>1223.45</v>
      </c>
      <c r="AC700">
        <f t="shared" si="617"/>
        <v>1223.45</v>
      </c>
      <c r="AD700">
        <f t="shared" si="600"/>
        <v>0</v>
      </c>
      <c r="AE700">
        <f t="shared" si="601"/>
        <v>0</v>
      </c>
      <c r="AF700">
        <f t="shared" si="602"/>
        <v>0</v>
      </c>
      <c r="AG700">
        <f t="shared" si="618"/>
        <v>0</v>
      </c>
      <c r="AH700">
        <f t="shared" si="603"/>
        <v>0</v>
      </c>
      <c r="AI700">
        <f t="shared" si="604"/>
        <v>0</v>
      </c>
      <c r="AJ700">
        <f t="shared" si="619"/>
        <v>0</v>
      </c>
      <c r="AK700">
        <v>1223.45</v>
      </c>
      <c r="AL700">
        <v>1223.45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1</v>
      </c>
      <c r="AW700">
        <v>1</v>
      </c>
      <c r="AZ700">
        <v>1</v>
      </c>
      <c r="BA700">
        <v>1</v>
      </c>
      <c r="BB700">
        <v>1</v>
      </c>
      <c r="BC700">
        <v>14.43</v>
      </c>
      <c r="BD700" t="s">
        <v>3</v>
      </c>
      <c r="BE700" t="s">
        <v>3</v>
      </c>
      <c r="BF700" t="s">
        <v>3</v>
      </c>
      <c r="BG700" t="s">
        <v>3</v>
      </c>
      <c r="BH700">
        <v>3</v>
      </c>
      <c r="BI700">
        <v>2</v>
      </c>
      <c r="BJ700" t="s">
        <v>695</v>
      </c>
      <c r="BM700">
        <v>331</v>
      </c>
      <c r="BN700">
        <v>0</v>
      </c>
      <c r="BO700" t="s">
        <v>692</v>
      </c>
      <c r="BP700">
        <v>1</v>
      </c>
      <c r="BQ700">
        <v>40</v>
      </c>
      <c r="BR700">
        <v>0</v>
      </c>
      <c r="BS700">
        <v>1</v>
      </c>
      <c r="BT700">
        <v>1</v>
      </c>
      <c r="BU700">
        <v>1</v>
      </c>
      <c r="BV700">
        <v>1</v>
      </c>
      <c r="BW700">
        <v>1</v>
      </c>
      <c r="BX700">
        <v>1</v>
      </c>
      <c r="BY700" t="s">
        <v>3</v>
      </c>
      <c r="BZ700">
        <v>0</v>
      </c>
      <c r="CA700">
        <v>0</v>
      </c>
      <c r="CB700" t="s">
        <v>3</v>
      </c>
      <c r="CE700">
        <v>30</v>
      </c>
      <c r="CF700">
        <v>0</v>
      </c>
      <c r="CG700">
        <v>0</v>
      </c>
      <c r="CM700">
        <v>0</v>
      </c>
      <c r="CN700" t="s">
        <v>3</v>
      </c>
      <c r="CO700">
        <v>0</v>
      </c>
      <c r="CP700">
        <f t="shared" si="620"/>
        <v>180.09</v>
      </c>
      <c r="CQ700">
        <f t="shared" si="621"/>
        <v>17654.38</v>
      </c>
      <c r="CR700">
        <f t="shared" si="605"/>
        <v>0</v>
      </c>
      <c r="CS700">
        <f t="shared" si="622"/>
        <v>0</v>
      </c>
      <c r="CT700">
        <f t="shared" si="623"/>
        <v>0</v>
      </c>
      <c r="CU700">
        <f t="shared" si="624"/>
        <v>0</v>
      </c>
      <c r="CV700">
        <f t="shared" si="625"/>
        <v>0</v>
      </c>
      <c r="CW700">
        <f t="shared" si="626"/>
        <v>0</v>
      </c>
      <c r="CX700">
        <f t="shared" si="627"/>
        <v>0</v>
      </c>
      <c r="CY700">
        <f>S700*(BZ700/100)</f>
        <v>0</v>
      </c>
      <c r="CZ700">
        <f>S700*(CA700/100)</f>
        <v>0</v>
      </c>
      <c r="DC700" t="s">
        <v>3</v>
      </c>
      <c r="DD700" t="s">
        <v>3</v>
      </c>
      <c r="DE700" t="s">
        <v>3</v>
      </c>
      <c r="DF700" t="s">
        <v>3</v>
      </c>
      <c r="DG700" t="s">
        <v>3</v>
      </c>
      <c r="DH700" t="s">
        <v>3</v>
      </c>
      <c r="DI700" t="s">
        <v>3</v>
      </c>
      <c r="DJ700" t="s">
        <v>3</v>
      </c>
      <c r="DK700" t="s">
        <v>3</v>
      </c>
      <c r="DL700" t="s">
        <v>3</v>
      </c>
      <c r="DM700" t="s">
        <v>3</v>
      </c>
      <c r="DN700">
        <v>114</v>
      </c>
      <c r="DO700">
        <v>67</v>
      </c>
      <c r="DP700">
        <v>1</v>
      </c>
      <c r="DQ700">
        <v>1</v>
      </c>
      <c r="DU700">
        <v>1003</v>
      </c>
      <c r="DV700" t="s">
        <v>694</v>
      </c>
      <c r="DW700" t="s">
        <v>694</v>
      </c>
      <c r="DX700">
        <v>1000</v>
      </c>
      <c r="DZ700" t="s">
        <v>3</v>
      </c>
      <c r="EA700" t="s">
        <v>3</v>
      </c>
      <c r="EB700" t="s">
        <v>3</v>
      </c>
      <c r="EC700" t="s">
        <v>3</v>
      </c>
      <c r="EE700">
        <v>126051792</v>
      </c>
      <c r="EF700">
        <v>40</v>
      </c>
      <c r="EG700" t="s">
        <v>621</v>
      </c>
      <c r="EH700">
        <v>0</v>
      </c>
      <c r="EI700" t="s">
        <v>3</v>
      </c>
      <c r="EJ700">
        <v>2</v>
      </c>
      <c r="EK700">
        <v>331</v>
      </c>
      <c r="EL700" t="s">
        <v>679</v>
      </c>
      <c r="EM700" t="s">
        <v>680</v>
      </c>
      <c r="EO700" t="s">
        <v>3</v>
      </c>
      <c r="EQ700">
        <v>0</v>
      </c>
      <c r="ER700">
        <v>1223.45</v>
      </c>
      <c r="ES700">
        <v>1223.45</v>
      </c>
      <c r="ET700">
        <v>0</v>
      </c>
      <c r="EU700">
        <v>0</v>
      </c>
      <c r="EV700">
        <v>0</v>
      </c>
      <c r="EW700">
        <v>0</v>
      </c>
      <c r="EX700">
        <v>0</v>
      </c>
      <c r="FQ700">
        <v>0</v>
      </c>
      <c r="FR700">
        <f t="shared" si="628"/>
        <v>0</v>
      </c>
      <c r="FS700">
        <v>0</v>
      </c>
      <c r="FX700">
        <v>114</v>
      </c>
      <c r="FY700">
        <v>67</v>
      </c>
      <c r="GA700" t="s">
        <v>3</v>
      </c>
      <c r="GD700">
        <v>0</v>
      </c>
      <c r="GF700">
        <v>-202822686</v>
      </c>
      <c r="GG700">
        <v>2</v>
      </c>
      <c r="GH700">
        <v>1</v>
      </c>
      <c r="GI700">
        <v>2</v>
      </c>
      <c r="GJ700">
        <v>0</v>
      </c>
      <c r="GK700">
        <f>ROUND(R700*(S12)/100,2)</f>
        <v>0</v>
      </c>
      <c r="GL700">
        <f t="shared" si="629"/>
        <v>0</v>
      </c>
      <c r="GM700">
        <f t="shared" si="630"/>
        <v>180.09</v>
      </c>
      <c r="GN700">
        <f t="shared" si="631"/>
        <v>0</v>
      </c>
      <c r="GO700">
        <f t="shared" si="632"/>
        <v>180.09</v>
      </c>
      <c r="GP700">
        <f t="shared" si="633"/>
        <v>0</v>
      </c>
      <c r="GR700">
        <v>0</v>
      </c>
      <c r="GS700">
        <v>3</v>
      </c>
      <c r="GT700">
        <v>0</v>
      </c>
      <c r="GU700" t="s">
        <v>3</v>
      </c>
      <c r="GV700">
        <f t="shared" si="634"/>
        <v>0</v>
      </c>
      <c r="GW700">
        <v>1</v>
      </c>
      <c r="GX700">
        <f t="shared" si="635"/>
        <v>0</v>
      </c>
      <c r="HA700">
        <v>0</v>
      </c>
      <c r="HB700">
        <v>0</v>
      </c>
      <c r="HC700">
        <f t="shared" si="636"/>
        <v>0</v>
      </c>
      <c r="HE700" t="s">
        <v>3</v>
      </c>
      <c r="HF700" t="s">
        <v>3</v>
      </c>
      <c r="HM700" t="s">
        <v>3</v>
      </c>
      <c r="HN700" t="s">
        <v>3</v>
      </c>
      <c r="HO700" t="s">
        <v>3</v>
      </c>
      <c r="HP700" t="s">
        <v>3</v>
      </c>
      <c r="HQ700" t="s">
        <v>3</v>
      </c>
      <c r="IK700">
        <v>0</v>
      </c>
    </row>
    <row r="702" spans="1:255" x14ac:dyDescent="0.2">
      <c r="A702" s="3">
        <v>51</v>
      </c>
      <c r="B702" s="3">
        <f>B643</f>
        <v>1</v>
      </c>
      <c r="C702" s="3">
        <f>A643</f>
        <v>4</v>
      </c>
      <c r="D702" s="3">
        <f>ROW(A643)</f>
        <v>643</v>
      </c>
      <c r="E702" s="3"/>
      <c r="F702" s="3" t="str">
        <f>IF(F643&lt;&gt;"",F643,"")</f>
        <v>Новый раздел</v>
      </c>
      <c r="G702" s="3" t="str">
        <f>IF(G643&lt;&gt;"",G643,"")</f>
        <v>Монтажные работы</v>
      </c>
      <c r="H702" s="3">
        <v>0</v>
      </c>
      <c r="I702" s="3"/>
      <c r="J702" s="3"/>
      <c r="K702" s="3"/>
      <c r="L702" s="3"/>
      <c r="M702" s="3"/>
      <c r="N702" s="3"/>
      <c r="O702" s="3">
        <f t="shared" ref="O702:T702" si="637">ROUND(AB702,2)</f>
        <v>3179.72</v>
      </c>
      <c r="P702" s="3">
        <f t="shared" si="637"/>
        <v>2118.4299999999998</v>
      </c>
      <c r="Q702" s="3">
        <f t="shared" si="637"/>
        <v>160.71</v>
      </c>
      <c r="R702" s="3">
        <f t="shared" si="637"/>
        <v>23.89</v>
      </c>
      <c r="S702" s="3">
        <f t="shared" si="637"/>
        <v>900.58</v>
      </c>
      <c r="T702" s="3">
        <f t="shared" si="637"/>
        <v>0</v>
      </c>
      <c r="U702" s="3">
        <f>AH702</f>
        <v>69.082899999999995</v>
      </c>
      <c r="V702" s="3">
        <f>AI702</f>
        <v>0</v>
      </c>
      <c r="W702" s="3">
        <f>ROUND(AJ702,2)</f>
        <v>0</v>
      </c>
      <c r="X702" s="3">
        <f>ROUND(AK702,2)</f>
        <v>1025.6500000000001</v>
      </c>
      <c r="Y702" s="3">
        <f>ROUND(AL702,2)</f>
        <v>603.5</v>
      </c>
      <c r="Z702" s="3"/>
      <c r="AA702" s="3"/>
      <c r="AB702" s="3">
        <f>ROUND(SUMIF(AA647:AA700,"=129761636",O647:O700),2)</f>
        <v>3179.72</v>
      </c>
      <c r="AC702" s="3">
        <f>ROUND(SUMIF(AA647:AA700,"=129761636",P647:P700),2)</f>
        <v>2118.4299999999998</v>
      </c>
      <c r="AD702" s="3">
        <f>ROUND(SUMIF(AA647:AA700,"=129761636",Q647:Q700),2)</f>
        <v>160.71</v>
      </c>
      <c r="AE702" s="3">
        <f>ROUND(SUMIF(AA647:AA700,"=129761636",R647:R700),2)</f>
        <v>23.89</v>
      </c>
      <c r="AF702" s="3">
        <f>ROUND(SUMIF(AA647:AA700,"=129761636",S647:S700),2)</f>
        <v>900.58</v>
      </c>
      <c r="AG702" s="3">
        <f>ROUND(SUMIF(AA647:AA700,"=129761636",T647:T700),2)</f>
        <v>0</v>
      </c>
      <c r="AH702" s="3">
        <f>SUMIF(AA647:AA700,"=129761636",U647:U700)</f>
        <v>69.082899999999995</v>
      </c>
      <c r="AI702" s="3">
        <f>SUMIF(AA647:AA700,"=129761636",V647:V700)</f>
        <v>0</v>
      </c>
      <c r="AJ702" s="3">
        <f>ROUND(SUMIF(AA647:AA700,"=129761636",W647:W700),2)</f>
        <v>0</v>
      </c>
      <c r="AK702" s="3">
        <f>ROUND(SUMIF(AA647:AA700,"=129761636",X647:X700),2)</f>
        <v>1025.6500000000001</v>
      </c>
      <c r="AL702" s="3">
        <f>ROUND(SUMIF(AA647:AA700,"=129761636",Y647:Y700),2)</f>
        <v>603.5</v>
      </c>
      <c r="AM702" s="3"/>
      <c r="AN702" s="3"/>
      <c r="AO702" s="3">
        <f t="shared" ref="AO702:BD702" si="638">ROUND(BX702,2)</f>
        <v>0</v>
      </c>
      <c r="AP702" s="3">
        <f t="shared" si="638"/>
        <v>0</v>
      </c>
      <c r="AQ702" s="3">
        <f t="shared" si="638"/>
        <v>0</v>
      </c>
      <c r="AR702" s="3">
        <f t="shared" si="638"/>
        <v>4850.7</v>
      </c>
      <c r="AS702" s="3">
        <f t="shared" si="638"/>
        <v>220.85</v>
      </c>
      <c r="AT702" s="3">
        <f t="shared" si="638"/>
        <v>4629.8500000000004</v>
      </c>
      <c r="AU702" s="3">
        <f t="shared" si="638"/>
        <v>0</v>
      </c>
      <c r="AV702" s="3">
        <f t="shared" si="638"/>
        <v>2118.4299999999998</v>
      </c>
      <c r="AW702" s="3">
        <f t="shared" si="638"/>
        <v>2118.4299999999998</v>
      </c>
      <c r="AX702" s="3">
        <f t="shared" si="638"/>
        <v>0</v>
      </c>
      <c r="AY702" s="3">
        <f t="shared" si="638"/>
        <v>2118.4299999999998</v>
      </c>
      <c r="AZ702" s="3">
        <f t="shared" si="638"/>
        <v>0</v>
      </c>
      <c r="BA702" s="3">
        <f t="shared" si="638"/>
        <v>0</v>
      </c>
      <c r="BB702" s="3">
        <f t="shared" si="638"/>
        <v>0</v>
      </c>
      <c r="BC702" s="3">
        <f t="shared" si="638"/>
        <v>0</v>
      </c>
      <c r="BD702" s="3">
        <f t="shared" si="638"/>
        <v>0</v>
      </c>
      <c r="BE702" s="3"/>
      <c r="BF702" s="3"/>
      <c r="BG702" s="3"/>
      <c r="BH702" s="3"/>
      <c r="BI702" s="3"/>
      <c r="BJ702" s="3"/>
      <c r="BK702" s="3"/>
      <c r="BL702" s="3"/>
      <c r="BM702" s="3"/>
      <c r="BN702" s="3"/>
      <c r="BO702" s="3"/>
      <c r="BP702" s="3"/>
      <c r="BQ702" s="3"/>
      <c r="BR702" s="3"/>
      <c r="BS702" s="3"/>
      <c r="BT702" s="3"/>
      <c r="BU702" s="3"/>
      <c r="BV702" s="3"/>
      <c r="BW702" s="3"/>
      <c r="BX702" s="3">
        <f>ROUND(SUMIF(AA647:AA700,"=129761636",FQ647:FQ700),2)</f>
        <v>0</v>
      </c>
      <c r="BY702" s="3">
        <f>ROUND(SUMIF(AA647:AA700,"=129761636",FR647:FR700),2)</f>
        <v>0</v>
      </c>
      <c r="BZ702" s="3">
        <f>ROUND(SUMIF(AA647:AA700,"=129761636",GL647:GL700),2)</f>
        <v>0</v>
      </c>
      <c r="CA702" s="3">
        <f>ROUND(SUMIF(AA647:AA700,"=129761636",GM647:GM700),2)</f>
        <v>4850.7</v>
      </c>
      <c r="CB702" s="3">
        <f>ROUND(SUMIF(AA647:AA700,"=129761636",GN647:GN700),2)</f>
        <v>220.85</v>
      </c>
      <c r="CC702" s="3">
        <f>ROUND(SUMIF(AA647:AA700,"=129761636",GO647:GO700),2)</f>
        <v>4629.8500000000004</v>
      </c>
      <c r="CD702" s="3">
        <f>ROUND(SUMIF(AA647:AA700,"=129761636",GP647:GP700),2)</f>
        <v>0</v>
      </c>
      <c r="CE702" s="3">
        <f>AC702-BX702</f>
        <v>2118.4299999999998</v>
      </c>
      <c r="CF702" s="3">
        <f>AC702-BY702</f>
        <v>2118.4299999999998</v>
      </c>
      <c r="CG702" s="3">
        <f>BX702-BZ702</f>
        <v>0</v>
      </c>
      <c r="CH702" s="3">
        <f>AC702-BX702-BY702+BZ702</f>
        <v>2118.4299999999998</v>
      </c>
      <c r="CI702" s="3">
        <f>BY702-BZ702</f>
        <v>0</v>
      </c>
      <c r="CJ702" s="3">
        <f>ROUND(SUMIF(AA647:AA700,"=129761636",GX647:GX700),2)</f>
        <v>0</v>
      </c>
      <c r="CK702" s="3">
        <f>ROUND(SUMIF(AA647:AA700,"=129761636",GY647:GY700),2)</f>
        <v>0</v>
      </c>
      <c r="CL702" s="3">
        <f>ROUND(SUMIF(AA647:AA700,"=129761636",GZ647:GZ700),2)</f>
        <v>0</v>
      </c>
      <c r="CM702" s="3">
        <f>ROUND(SUMIF(AA647:AA700,"=129761636",HD647:HD700),2)</f>
        <v>0</v>
      </c>
      <c r="CN702" s="3"/>
      <c r="CO702" s="3"/>
      <c r="CP702" s="3"/>
      <c r="CQ702" s="3"/>
      <c r="CR702" s="3"/>
      <c r="CS702" s="3"/>
      <c r="CT702" s="3"/>
      <c r="CU702" s="3"/>
      <c r="CV702" s="3"/>
      <c r="CW702" s="3"/>
      <c r="CX702" s="3"/>
      <c r="CY702" s="3"/>
      <c r="CZ702" s="3"/>
      <c r="DA702" s="3"/>
      <c r="DB702" s="3"/>
      <c r="DC702" s="3"/>
      <c r="DD702" s="3"/>
      <c r="DE702" s="3"/>
      <c r="DF702" s="3"/>
      <c r="DG702" s="4">
        <f t="shared" ref="DG702:DL702" si="639">ROUND(DT702,2)</f>
        <v>45919.37</v>
      </c>
      <c r="DH702" s="4">
        <f t="shared" si="639"/>
        <v>18027.05</v>
      </c>
      <c r="DI702" s="4">
        <f t="shared" si="639"/>
        <v>1748.47</v>
      </c>
      <c r="DJ702" s="4">
        <f t="shared" si="639"/>
        <v>693.53</v>
      </c>
      <c r="DK702" s="4">
        <f t="shared" si="639"/>
        <v>26143.85</v>
      </c>
      <c r="DL702" s="4">
        <f t="shared" si="639"/>
        <v>0</v>
      </c>
      <c r="DM702" s="4">
        <f>DZ702</f>
        <v>69.082899999999995</v>
      </c>
      <c r="DN702" s="4">
        <f>EA702</f>
        <v>0</v>
      </c>
      <c r="DO702" s="4">
        <f>ROUND(EB702,2)</f>
        <v>0</v>
      </c>
      <c r="DP702" s="4">
        <f>ROUND(EC702,2)</f>
        <v>20644.57</v>
      </c>
      <c r="DQ702" s="4">
        <f>ROUND(ED702,2)</f>
        <v>10718.97</v>
      </c>
      <c r="DR702" s="4"/>
      <c r="DS702" s="4"/>
      <c r="DT702" s="4">
        <f>ROUND(SUMIF(AA647:AA700,"=129761633",O647:O700),2)</f>
        <v>45919.37</v>
      </c>
      <c r="DU702" s="4">
        <f>ROUND(SUMIF(AA647:AA700,"=129761633",P647:P700),2)</f>
        <v>18027.05</v>
      </c>
      <c r="DV702" s="4">
        <f>ROUND(SUMIF(AA647:AA700,"=129761633",Q647:Q700),2)</f>
        <v>1748.47</v>
      </c>
      <c r="DW702" s="4">
        <f>ROUND(SUMIF(AA647:AA700,"=129761633",R647:R700),2)</f>
        <v>693.53</v>
      </c>
      <c r="DX702" s="4">
        <f>ROUND(SUMIF(AA647:AA700,"=129761633",S647:S700),2)</f>
        <v>26143.85</v>
      </c>
      <c r="DY702" s="4">
        <f>ROUND(SUMIF(AA647:AA700,"=129761633",T647:T700),2)</f>
        <v>0</v>
      </c>
      <c r="DZ702" s="4">
        <f>SUMIF(AA647:AA700,"=129761633",U647:U700)</f>
        <v>69.082899999999995</v>
      </c>
      <c r="EA702" s="4">
        <f>SUMIF(AA647:AA700,"=129761633",V647:V700)</f>
        <v>0</v>
      </c>
      <c r="EB702" s="4">
        <f>ROUND(SUMIF(AA647:AA700,"=129761633",W647:W700),2)</f>
        <v>0</v>
      </c>
      <c r="EC702" s="4">
        <f>ROUND(SUMIF(AA647:AA700,"=129761633",X647:X700),2)</f>
        <v>20644.57</v>
      </c>
      <c r="ED702" s="4">
        <f>ROUND(SUMIF(AA647:AA700,"=129761633",Y647:Y700),2)</f>
        <v>10718.97</v>
      </c>
      <c r="EE702" s="4"/>
      <c r="EF702" s="4"/>
      <c r="EG702" s="4">
        <f t="shared" ref="EG702:EV702" si="640">ROUND(FP702,2)</f>
        <v>0</v>
      </c>
      <c r="EH702" s="4">
        <f t="shared" si="640"/>
        <v>0</v>
      </c>
      <c r="EI702" s="4">
        <f t="shared" si="640"/>
        <v>0</v>
      </c>
      <c r="EJ702" s="4">
        <f t="shared" si="640"/>
        <v>78392.539999999994</v>
      </c>
      <c r="EK702" s="4">
        <f t="shared" si="640"/>
        <v>2099.6</v>
      </c>
      <c r="EL702" s="4">
        <f t="shared" si="640"/>
        <v>76292.94</v>
      </c>
      <c r="EM702" s="4">
        <f t="shared" si="640"/>
        <v>0</v>
      </c>
      <c r="EN702" s="4">
        <f t="shared" si="640"/>
        <v>18027.05</v>
      </c>
      <c r="EO702" s="4">
        <f t="shared" si="640"/>
        <v>18027.05</v>
      </c>
      <c r="EP702" s="4">
        <f t="shared" si="640"/>
        <v>0</v>
      </c>
      <c r="EQ702" s="4">
        <f t="shared" si="640"/>
        <v>18027.05</v>
      </c>
      <c r="ER702" s="4">
        <f t="shared" si="640"/>
        <v>0</v>
      </c>
      <c r="ES702" s="4">
        <f t="shared" si="640"/>
        <v>0</v>
      </c>
      <c r="ET702" s="4">
        <f t="shared" si="640"/>
        <v>0</v>
      </c>
      <c r="EU702" s="4">
        <f t="shared" si="640"/>
        <v>0</v>
      </c>
      <c r="EV702" s="4">
        <f t="shared" si="640"/>
        <v>0</v>
      </c>
      <c r="EW702" s="4"/>
      <c r="EX702" s="4"/>
      <c r="EY702" s="4"/>
      <c r="EZ702" s="4"/>
      <c r="FA702" s="4"/>
      <c r="FB702" s="4"/>
      <c r="FC702" s="4"/>
      <c r="FD702" s="4"/>
      <c r="FE702" s="4"/>
      <c r="FF702" s="4"/>
      <c r="FG702" s="4"/>
      <c r="FH702" s="4"/>
      <c r="FI702" s="4"/>
      <c r="FJ702" s="4"/>
      <c r="FK702" s="4"/>
      <c r="FL702" s="4"/>
      <c r="FM702" s="4"/>
      <c r="FN702" s="4"/>
      <c r="FO702" s="4"/>
      <c r="FP702" s="4">
        <f>ROUND(SUMIF(AA647:AA700,"=129761633",FQ647:FQ700),2)</f>
        <v>0</v>
      </c>
      <c r="FQ702" s="4">
        <f>ROUND(SUMIF(AA647:AA700,"=129761633",FR647:FR700),2)</f>
        <v>0</v>
      </c>
      <c r="FR702" s="4">
        <f>ROUND(SUMIF(AA647:AA700,"=129761633",GL647:GL700),2)</f>
        <v>0</v>
      </c>
      <c r="FS702" s="4">
        <f>ROUND(SUMIF(AA647:AA700,"=129761633",GM647:GM700),2)</f>
        <v>78392.539999999994</v>
      </c>
      <c r="FT702" s="4">
        <f>ROUND(SUMIF(AA647:AA700,"=129761633",GN647:GN700),2)</f>
        <v>2099.6</v>
      </c>
      <c r="FU702" s="4">
        <f>ROUND(SUMIF(AA647:AA700,"=129761633",GO647:GO700),2)</f>
        <v>76292.94</v>
      </c>
      <c r="FV702" s="4">
        <f>ROUND(SUMIF(AA647:AA700,"=129761633",GP647:GP700),2)</f>
        <v>0</v>
      </c>
      <c r="FW702" s="4">
        <f>DU702-FP702</f>
        <v>18027.05</v>
      </c>
      <c r="FX702" s="4">
        <f>DU702-FQ702</f>
        <v>18027.05</v>
      </c>
      <c r="FY702" s="4">
        <f>FP702-FR702</f>
        <v>0</v>
      </c>
      <c r="FZ702" s="4">
        <f>DU702-FP702-FQ702+FR702</f>
        <v>18027.05</v>
      </c>
      <c r="GA702" s="4">
        <f>FQ702-FR702</f>
        <v>0</v>
      </c>
      <c r="GB702" s="4">
        <f>ROUND(SUMIF(AA647:AA700,"=129761633",GX647:GX700),2)</f>
        <v>0</v>
      </c>
      <c r="GC702" s="4">
        <f>ROUND(SUMIF(AA647:AA700,"=129761633",GY647:GY700),2)</f>
        <v>0</v>
      </c>
      <c r="GD702" s="4">
        <f>ROUND(SUMIF(AA647:AA700,"=129761633",GZ647:GZ700),2)</f>
        <v>0</v>
      </c>
      <c r="GE702" s="4">
        <f>ROUND(SUMIF(AA647:AA700,"=129761633",HD647:HD700),2)</f>
        <v>0</v>
      </c>
      <c r="GF702" s="4"/>
      <c r="GG702" s="4"/>
      <c r="GH702" s="4"/>
      <c r="GI702" s="4"/>
      <c r="GJ702" s="4"/>
      <c r="GK702" s="4"/>
      <c r="GL702" s="4"/>
      <c r="GM702" s="4"/>
      <c r="GN702" s="4"/>
      <c r="GO702" s="4"/>
      <c r="GP702" s="4"/>
      <c r="GQ702" s="4"/>
      <c r="GR702" s="4"/>
      <c r="GS702" s="4"/>
      <c r="GT702" s="4"/>
      <c r="GU702" s="4"/>
      <c r="GV702" s="4"/>
      <c r="GW702" s="4"/>
      <c r="GX702" s="4">
        <v>0</v>
      </c>
    </row>
    <row r="704" spans="1:255" x14ac:dyDescent="0.2">
      <c r="A704" s="5">
        <v>50</v>
      </c>
      <c r="B704" s="5">
        <v>0</v>
      </c>
      <c r="C704" s="5">
        <v>0</v>
      </c>
      <c r="D704" s="5">
        <v>1</v>
      </c>
      <c r="E704" s="5">
        <v>201</v>
      </c>
      <c r="F704" s="5">
        <f>ROUND(Source!O702,O704)</f>
        <v>3179.72</v>
      </c>
      <c r="G704" s="5" t="s">
        <v>26</v>
      </c>
      <c r="H704" s="5" t="s">
        <v>27</v>
      </c>
      <c r="I704" s="5"/>
      <c r="J704" s="5"/>
      <c r="K704" s="5">
        <v>201</v>
      </c>
      <c r="L704" s="5">
        <v>1</v>
      </c>
      <c r="M704" s="5">
        <v>3</v>
      </c>
      <c r="N704" s="5" t="s">
        <v>3</v>
      </c>
      <c r="O704" s="5">
        <v>2</v>
      </c>
      <c r="P704" s="5">
        <f>ROUND(Source!DG702,O704)</f>
        <v>45919.37</v>
      </c>
      <c r="Q704" s="5"/>
      <c r="R704" s="5"/>
      <c r="S704" s="5"/>
      <c r="T704" s="5"/>
      <c r="U704" s="5"/>
      <c r="V704" s="5"/>
      <c r="W704" s="5">
        <v>3179.72</v>
      </c>
      <c r="X704" s="5">
        <v>1</v>
      </c>
      <c r="Y704" s="5">
        <v>3179.72</v>
      </c>
      <c r="Z704" s="5">
        <v>45919.37</v>
      </c>
      <c r="AA704" s="5">
        <v>1</v>
      </c>
      <c r="AB704" s="5">
        <v>45919.37</v>
      </c>
    </row>
    <row r="705" spans="1:28" x14ac:dyDescent="0.2">
      <c r="A705" s="5">
        <v>50</v>
      </c>
      <c r="B705" s="5">
        <v>0</v>
      </c>
      <c r="C705" s="5">
        <v>0</v>
      </c>
      <c r="D705" s="5">
        <v>1</v>
      </c>
      <c r="E705" s="5">
        <v>202</v>
      </c>
      <c r="F705" s="5">
        <f>ROUND(Source!P702,O705)</f>
        <v>2118.4299999999998</v>
      </c>
      <c r="G705" s="5" t="s">
        <v>28</v>
      </c>
      <c r="H705" s="5" t="s">
        <v>29</v>
      </c>
      <c r="I705" s="5"/>
      <c r="J705" s="5"/>
      <c r="K705" s="5">
        <v>202</v>
      </c>
      <c r="L705" s="5">
        <v>2</v>
      </c>
      <c r="M705" s="5">
        <v>3</v>
      </c>
      <c r="N705" s="5" t="s">
        <v>3</v>
      </c>
      <c r="O705" s="5">
        <v>2</v>
      </c>
      <c r="P705" s="5">
        <f>ROUND(Source!DH702,O705)</f>
        <v>18027.05</v>
      </c>
      <c r="Q705" s="5"/>
      <c r="R705" s="5"/>
      <c r="S705" s="5"/>
      <c r="T705" s="5"/>
      <c r="U705" s="5"/>
      <c r="V705" s="5"/>
      <c r="W705" s="5">
        <v>2118.4299999999998</v>
      </c>
      <c r="X705" s="5">
        <v>1</v>
      </c>
      <c r="Y705" s="5">
        <v>2118.4299999999998</v>
      </c>
      <c r="Z705" s="5">
        <v>18027.05</v>
      </c>
      <c r="AA705" s="5">
        <v>1</v>
      </c>
      <c r="AB705" s="5">
        <v>18027.05</v>
      </c>
    </row>
    <row r="706" spans="1:28" x14ac:dyDescent="0.2">
      <c r="A706" s="5">
        <v>50</v>
      </c>
      <c r="B706" s="5">
        <v>0</v>
      </c>
      <c r="C706" s="5">
        <v>0</v>
      </c>
      <c r="D706" s="5">
        <v>1</v>
      </c>
      <c r="E706" s="5">
        <v>222</v>
      </c>
      <c r="F706" s="5">
        <f>ROUND(Source!AO702,O706)</f>
        <v>0</v>
      </c>
      <c r="G706" s="5" t="s">
        <v>30</v>
      </c>
      <c r="H706" s="5" t="s">
        <v>31</v>
      </c>
      <c r="I706" s="5"/>
      <c r="J706" s="5"/>
      <c r="K706" s="5">
        <v>222</v>
      </c>
      <c r="L706" s="5">
        <v>3</v>
      </c>
      <c r="M706" s="5">
        <v>3</v>
      </c>
      <c r="N706" s="5" t="s">
        <v>3</v>
      </c>
      <c r="O706" s="5">
        <v>2</v>
      </c>
      <c r="P706" s="5">
        <f>ROUND(Source!EG702,O706)</f>
        <v>0</v>
      </c>
      <c r="Q706" s="5"/>
      <c r="R706" s="5"/>
      <c r="S706" s="5"/>
      <c r="T706" s="5"/>
      <c r="U706" s="5"/>
      <c r="V706" s="5"/>
      <c r="W706" s="5">
        <v>0</v>
      </c>
      <c r="X706" s="5">
        <v>1</v>
      </c>
      <c r="Y706" s="5">
        <v>0</v>
      </c>
      <c r="Z706" s="5">
        <v>0</v>
      </c>
      <c r="AA706" s="5">
        <v>1</v>
      </c>
      <c r="AB706" s="5">
        <v>0</v>
      </c>
    </row>
    <row r="707" spans="1:28" x14ac:dyDescent="0.2">
      <c r="A707" s="5">
        <v>50</v>
      </c>
      <c r="B707" s="5">
        <v>0</v>
      </c>
      <c r="C707" s="5">
        <v>0</v>
      </c>
      <c r="D707" s="5">
        <v>1</v>
      </c>
      <c r="E707" s="5">
        <v>225</v>
      </c>
      <c r="F707" s="5">
        <f>ROUND(Source!AV702,O707)</f>
        <v>2118.4299999999998</v>
      </c>
      <c r="G707" s="5" t="s">
        <v>32</v>
      </c>
      <c r="H707" s="5" t="s">
        <v>33</v>
      </c>
      <c r="I707" s="5"/>
      <c r="J707" s="5"/>
      <c r="K707" s="5">
        <v>225</v>
      </c>
      <c r="L707" s="5">
        <v>4</v>
      </c>
      <c r="M707" s="5">
        <v>3</v>
      </c>
      <c r="N707" s="5" t="s">
        <v>3</v>
      </c>
      <c r="O707" s="5">
        <v>2</v>
      </c>
      <c r="P707" s="5">
        <f>ROUND(Source!EN702,O707)</f>
        <v>18027.05</v>
      </c>
      <c r="Q707" s="5"/>
      <c r="R707" s="5"/>
      <c r="S707" s="5"/>
      <c r="T707" s="5"/>
      <c r="U707" s="5"/>
      <c r="V707" s="5"/>
      <c r="W707" s="5">
        <v>2118.4299999999998</v>
      </c>
      <c r="X707" s="5">
        <v>1</v>
      </c>
      <c r="Y707" s="5">
        <v>2118.4299999999998</v>
      </c>
      <c r="Z707" s="5">
        <v>18027.05</v>
      </c>
      <c r="AA707" s="5">
        <v>1</v>
      </c>
      <c r="AB707" s="5">
        <v>18027.05</v>
      </c>
    </row>
    <row r="708" spans="1:28" x14ac:dyDescent="0.2">
      <c r="A708" s="5">
        <v>50</v>
      </c>
      <c r="B708" s="5">
        <v>0</v>
      </c>
      <c r="C708" s="5">
        <v>0</v>
      </c>
      <c r="D708" s="5">
        <v>1</v>
      </c>
      <c r="E708" s="5">
        <v>226</v>
      </c>
      <c r="F708" s="5">
        <f>ROUND(Source!AW702,O708)</f>
        <v>2118.4299999999998</v>
      </c>
      <c r="G708" s="5" t="s">
        <v>34</v>
      </c>
      <c r="H708" s="5" t="s">
        <v>35</v>
      </c>
      <c r="I708" s="5"/>
      <c r="J708" s="5"/>
      <c r="K708" s="5">
        <v>226</v>
      </c>
      <c r="L708" s="5">
        <v>5</v>
      </c>
      <c r="M708" s="5">
        <v>3</v>
      </c>
      <c r="N708" s="5" t="s">
        <v>3</v>
      </c>
      <c r="O708" s="5">
        <v>2</v>
      </c>
      <c r="P708" s="5">
        <f>ROUND(Source!EO702,O708)</f>
        <v>18027.05</v>
      </c>
      <c r="Q708" s="5"/>
      <c r="R708" s="5"/>
      <c r="S708" s="5"/>
      <c r="T708" s="5"/>
      <c r="U708" s="5"/>
      <c r="V708" s="5"/>
      <c r="W708" s="5">
        <v>2118.4299999999998</v>
      </c>
      <c r="X708" s="5">
        <v>1</v>
      </c>
      <c r="Y708" s="5">
        <v>2118.4299999999998</v>
      </c>
      <c r="Z708" s="5">
        <v>18027.05</v>
      </c>
      <c r="AA708" s="5">
        <v>1</v>
      </c>
      <c r="AB708" s="5">
        <v>18027.05</v>
      </c>
    </row>
    <row r="709" spans="1:28" x14ac:dyDescent="0.2">
      <c r="A709" s="5">
        <v>50</v>
      </c>
      <c r="B709" s="5">
        <v>0</v>
      </c>
      <c r="C709" s="5">
        <v>0</v>
      </c>
      <c r="D709" s="5">
        <v>1</v>
      </c>
      <c r="E709" s="5">
        <v>227</v>
      </c>
      <c r="F709" s="5">
        <f>ROUND(Source!AX702,O709)</f>
        <v>0</v>
      </c>
      <c r="G709" s="5" t="s">
        <v>36</v>
      </c>
      <c r="H709" s="5" t="s">
        <v>37</v>
      </c>
      <c r="I709" s="5"/>
      <c r="J709" s="5"/>
      <c r="K709" s="5">
        <v>227</v>
      </c>
      <c r="L709" s="5">
        <v>6</v>
      </c>
      <c r="M709" s="5">
        <v>3</v>
      </c>
      <c r="N709" s="5" t="s">
        <v>3</v>
      </c>
      <c r="O709" s="5">
        <v>2</v>
      </c>
      <c r="P709" s="5">
        <f>ROUND(Source!EP702,O709)</f>
        <v>0</v>
      </c>
      <c r="Q709" s="5"/>
      <c r="R709" s="5"/>
      <c r="S709" s="5"/>
      <c r="T709" s="5"/>
      <c r="U709" s="5"/>
      <c r="V709" s="5"/>
      <c r="W709" s="5">
        <v>0</v>
      </c>
      <c r="X709" s="5">
        <v>1</v>
      </c>
      <c r="Y709" s="5">
        <v>0</v>
      </c>
      <c r="Z709" s="5">
        <v>0</v>
      </c>
      <c r="AA709" s="5">
        <v>1</v>
      </c>
      <c r="AB709" s="5">
        <v>0</v>
      </c>
    </row>
    <row r="710" spans="1:28" x14ac:dyDescent="0.2">
      <c r="A710" s="5">
        <v>50</v>
      </c>
      <c r="B710" s="5">
        <v>0</v>
      </c>
      <c r="C710" s="5">
        <v>0</v>
      </c>
      <c r="D710" s="5">
        <v>1</v>
      </c>
      <c r="E710" s="5">
        <v>228</v>
      </c>
      <c r="F710" s="5">
        <f>ROUND(Source!AY702,O710)</f>
        <v>2118.4299999999998</v>
      </c>
      <c r="G710" s="5" t="s">
        <v>38</v>
      </c>
      <c r="H710" s="5" t="s">
        <v>39</v>
      </c>
      <c r="I710" s="5"/>
      <c r="J710" s="5"/>
      <c r="K710" s="5">
        <v>228</v>
      </c>
      <c r="L710" s="5">
        <v>7</v>
      </c>
      <c r="M710" s="5">
        <v>3</v>
      </c>
      <c r="N710" s="5" t="s">
        <v>3</v>
      </c>
      <c r="O710" s="5">
        <v>2</v>
      </c>
      <c r="P710" s="5">
        <f>ROUND(Source!EQ702,O710)</f>
        <v>18027.05</v>
      </c>
      <c r="Q710" s="5"/>
      <c r="R710" s="5"/>
      <c r="S710" s="5"/>
      <c r="T710" s="5"/>
      <c r="U710" s="5"/>
      <c r="V710" s="5"/>
      <c r="W710" s="5">
        <v>2118.4299999999998</v>
      </c>
      <c r="X710" s="5">
        <v>1</v>
      </c>
      <c r="Y710" s="5">
        <v>2118.4299999999998</v>
      </c>
      <c r="Z710" s="5">
        <v>18027.05</v>
      </c>
      <c r="AA710" s="5">
        <v>1</v>
      </c>
      <c r="AB710" s="5">
        <v>18027.05</v>
      </c>
    </row>
    <row r="711" spans="1:28" x14ac:dyDescent="0.2">
      <c r="A711" s="5">
        <v>50</v>
      </c>
      <c r="B711" s="5">
        <v>0</v>
      </c>
      <c r="C711" s="5">
        <v>0</v>
      </c>
      <c r="D711" s="5">
        <v>1</v>
      </c>
      <c r="E711" s="5">
        <v>216</v>
      </c>
      <c r="F711" s="5">
        <f>ROUND(Source!AP702,O711)</f>
        <v>0</v>
      </c>
      <c r="G711" s="5" t="s">
        <v>40</v>
      </c>
      <c r="H711" s="5" t="s">
        <v>41</v>
      </c>
      <c r="I711" s="5"/>
      <c r="J711" s="5"/>
      <c r="K711" s="5">
        <v>216</v>
      </c>
      <c r="L711" s="5">
        <v>8</v>
      </c>
      <c r="M711" s="5">
        <v>3</v>
      </c>
      <c r="N711" s="5" t="s">
        <v>3</v>
      </c>
      <c r="O711" s="5">
        <v>2</v>
      </c>
      <c r="P711" s="5">
        <f>ROUND(Source!EH702,O711)</f>
        <v>0</v>
      </c>
      <c r="Q711" s="5"/>
      <c r="R711" s="5"/>
      <c r="S711" s="5"/>
      <c r="T711" s="5"/>
      <c r="U711" s="5"/>
      <c r="V711" s="5"/>
      <c r="W711" s="5">
        <v>0</v>
      </c>
      <c r="X711" s="5">
        <v>1</v>
      </c>
      <c r="Y711" s="5">
        <v>0</v>
      </c>
      <c r="Z711" s="5">
        <v>0</v>
      </c>
      <c r="AA711" s="5">
        <v>1</v>
      </c>
      <c r="AB711" s="5">
        <v>0</v>
      </c>
    </row>
    <row r="712" spans="1:28" x14ac:dyDescent="0.2">
      <c r="A712" s="5">
        <v>50</v>
      </c>
      <c r="B712" s="5">
        <v>0</v>
      </c>
      <c r="C712" s="5">
        <v>0</v>
      </c>
      <c r="D712" s="5">
        <v>1</v>
      </c>
      <c r="E712" s="5">
        <v>223</v>
      </c>
      <c r="F712" s="5">
        <f>ROUND(Source!AQ702,O712)</f>
        <v>0</v>
      </c>
      <c r="G712" s="5" t="s">
        <v>42</v>
      </c>
      <c r="H712" s="5" t="s">
        <v>43</v>
      </c>
      <c r="I712" s="5"/>
      <c r="J712" s="5"/>
      <c r="K712" s="5">
        <v>223</v>
      </c>
      <c r="L712" s="5">
        <v>9</v>
      </c>
      <c r="M712" s="5">
        <v>3</v>
      </c>
      <c r="N712" s="5" t="s">
        <v>3</v>
      </c>
      <c r="O712" s="5">
        <v>2</v>
      </c>
      <c r="P712" s="5">
        <f>ROUND(Source!EI702,O712)</f>
        <v>0</v>
      </c>
      <c r="Q712" s="5"/>
      <c r="R712" s="5"/>
      <c r="S712" s="5"/>
      <c r="T712" s="5"/>
      <c r="U712" s="5"/>
      <c r="V712" s="5"/>
      <c r="W712" s="5">
        <v>0</v>
      </c>
      <c r="X712" s="5">
        <v>1</v>
      </c>
      <c r="Y712" s="5">
        <v>0</v>
      </c>
      <c r="Z712" s="5">
        <v>0</v>
      </c>
      <c r="AA712" s="5">
        <v>1</v>
      </c>
      <c r="AB712" s="5">
        <v>0</v>
      </c>
    </row>
    <row r="713" spans="1:28" x14ac:dyDescent="0.2">
      <c r="A713" s="5">
        <v>50</v>
      </c>
      <c r="B713" s="5">
        <v>0</v>
      </c>
      <c r="C713" s="5">
        <v>0</v>
      </c>
      <c r="D713" s="5">
        <v>1</v>
      </c>
      <c r="E713" s="5">
        <v>229</v>
      </c>
      <c r="F713" s="5">
        <f>ROUND(Source!AZ702,O713)</f>
        <v>0</v>
      </c>
      <c r="G713" s="5" t="s">
        <v>44</v>
      </c>
      <c r="H713" s="5" t="s">
        <v>45</v>
      </c>
      <c r="I713" s="5"/>
      <c r="J713" s="5"/>
      <c r="K713" s="5">
        <v>229</v>
      </c>
      <c r="L713" s="5">
        <v>10</v>
      </c>
      <c r="M713" s="5">
        <v>3</v>
      </c>
      <c r="N713" s="5" t="s">
        <v>3</v>
      </c>
      <c r="O713" s="5">
        <v>2</v>
      </c>
      <c r="P713" s="5">
        <f>ROUND(Source!ER702,O713)</f>
        <v>0</v>
      </c>
      <c r="Q713" s="5"/>
      <c r="R713" s="5"/>
      <c r="S713" s="5"/>
      <c r="T713" s="5"/>
      <c r="U713" s="5"/>
      <c r="V713" s="5"/>
      <c r="W713" s="5">
        <v>0</v>
      </c>
      <c r="X713" s="5">
        <v>1</v>
      </c>
      <c r="Y713" s="5">
        <v>0</v>
      </c>
      <c r="Z713" s="5">
        <v>0</v>
      </c>
      <c r="AA713" s="5">
        <v>1</v>
      </c>
      <c r="AB713" s="5">
        <v>0</v>
      </c>
    </row>
    <row r="714" spans="1:28" x14ac:dyDescent="0.2">
      <c r="A714" s="5">
        <v>50</v>
      </c>
      <c r="B714" s="5">
        <v>0</v>
      </c>
      <c r="C714" s="5">
        <v>0</v>
      </c>
      <c r="D714" s="5">
        <v>1</v>
      </c>
      <c r="E714" s="5">
        <v>203</v>
      </c>
      <c r="F714" s="5">
        <f>ROUND(Source!Q702,O714)</f>
        <v>160.71</v>
      </c>
      <c r="G714" s="5" t="s">
        <v>46</v>
      </c>
      <c r="H714" s="5" t="s">
        <v>47</v>
      </c>
      <c r="I714" s="5"/>
      <c r="J714" s="5"/>
      <c r="K714" s="5">
        <v>203</v>
      </c>
      <c r="L714" s="5">
        <v>11</v>
      </c>
      <c r="M714" s="5">
        <v>3</v>
      </c>
      <c r="N714" s="5" t="s">
        <v>3</v>
      </c>
      <c r="O714" s="5">
        <v>2</v>
      </c>
      <c r="P714" s="5">
        <f>ROUND(Source!DI702,O714)</f>
        <v>1748.47</v>
      </c>
      <c r="Q714" s="5"/>
      <c r="R714" s="5"/>
      <c r="S714" s="5"/>
      <c r="T714" s="5"/>
      <c r="U714" s="5"/>
      <c r="V714" s="5"/>
      <c r="W714" s="5">
        <v>160.71</v>
      </c>
      <c r="X714" s="5">
        <v>1</v>
      </c>
      <c r="Y714" s="5">
        <v>160.71</v>
      </c>
      <c r="Z714" s="5">
        <v>1748.47</v>
      </c>
      <c r="AA714" s="5">
        <v>1</v>
      </c>
      <c r="AB714" s="5">
        <v>1748.47</v>
      </c>
    </row>
    <row r="715" spans="1:28" x14ac:dyDescent="0.2">
      <c r="A715" s="5">
        <v>50</v>
      </c>
      <c r="B715" s="5">
        <v>0</v>
      </c>
      <c r="C715" s="5">
        <v>0</v>
      </c>
      <c r="D715" s="5">
        <v>1</v>
      </c>
      <c r="E715" s="5">
        <v>231</v>
      </c>
      <c r="F715" s="5">
        <f>ROUND(Source!BB702,O715)</f>
        <v>0</v>
      </c>
      <c r="G715" s="5" t="s">
        <v>48</v>
      </c>
      <c r="H715" s="5" t="s">
        <v>49</v>
      </c>
      <c r="I715" s="5"/>
      <c r="J715" s="5"/>
      <c r="K715" s="5">
        <v>231</v>
      </c>
      <c r="L715" s="5">
        <v>12</v>
      </c>
      <c r="M715" s="5">
        <v>3</v>
      </c>
      <c r="N715" s="5" t="s">
        <v>3</v>
      </c>
      <c r="O715" s="5">
        <v>2</v>
      </c>
      <c r="P715" s="5">
        <f>ROUND(Source!ET702,O715)</f>
        <v>0</v>
      </c>
      <c r="Q715" s="5"/>
      <c r="R715" s="5"/>
      <c r="S715" s="5"/>
      <c r="T715" s="5"/>
      <c r="U715" s="5"/>
      <c r="V715" s="5"/>
      <c r="W715" s="5">
        <v>0</v>
      </c>
      <c r="X715" s="5">
        <v>1</v>
      </c>
      <c r="Y715" s="5">
        <v>0</v>
      </c>
      <c r="Z715" s="5">
        <v>0</v>
      </c>
      <c r="AA715" s="5">
        <v>1</v>
      </c>
      <c r="AB715" s="5">
        <v>0</v>
      </c>
    </row>
    <row r="716" spans="1:28" x14ac:dyDescent="0.2">
      <c r="A716" s="5">
        <v>50</v>
      </c>
      <c r="B716" s="5">
        <v>0</v>
      </c>
      <c r="C716" s="5">
        <v>0</v>
      </c>
      <c r="D716" s="5">
        <v>1</v>
      </c>
      <c r="E716" s="5">
        <v>204</v>
      </c>
      <c r="F716" s="5">
        <f>ROUND(Source!R702,O716)</f>
        <v>23.89</v>
      </c>
      <c r="G716" s="5" t="s">
        <v>50</v>
      </c>
      <c r="H716" s="5" t="s">
        <v>51</v>
      </c>
      <c r="I716" s="5"/>
      <c r="J716" s="5"/>
      <c r="K716" s="5">
        <v>204</v>
      </c>
      <c r="L716" s="5">
        <v>13</v>
      </c>
      <c r="M716" s="5">
        <v>3</v>
      </c>
      <c r="N716" s="5" t="s">
        <v>3</v>
      </c>
      <c r="O716" s="5">
        <v>2</v>
      </c>
      <c r="P716" s="5">
        <f>ROUND(Source!DJ702,O716)</f>
        <v>693.53</v>
      </c>
      <c r="Q716" s="5"/>
      <c r="R716" s="5"/>
      <c r="S716" s="5"/>
      <c r="T716" s="5"/>
      <c r="U716" s="5"/>
      <c r="V716" s="5"/>
      <c r="W716" s="5">
        <v>23.89</v>
      </c>
      <c r="X716" s="5">
        <v>1</v>
      </c>
      <c r="Y716" s="5">
        <v>23.89</v>
      </c>
      <c r="Z716" s="5">
        <v>693.53</v>
      </c>
      <c r="AA716" s="5">
        <v>1</v>
      </c>
      <c r="AB716" s="5">
        <v>693.53</v>
      </c>
    </row>
    <row r="717" spans="1:28" x14ac:dyDescent="0.2">
      <c r="A717" s="5">
        <v>50</v>
      </c>
      <c r="B717" s="5">
        <v>0</v>
      </c>
      <c r="C717" s="5">
        <v>0</v>
      </c>
      <c r="D717" s="5">
        <v>1</v>
      </c>
      <c r="E717" s="5">
        <v>205</v>
      </c>
      <c r="F717" s="5">
        <f>ROUND(Source!S702,O717)</f>
        <v>900.58</v>
      </c>
      <c r="G717" s="5" t="s">
        <v>52</v>
      </c>
      <c r="H717" s="5" t="s">
        <v>53</v>
      </c>
      <c r="I717" s="5"/>
      <c r="J717" s="5"/>
      <c r="K717" s="5">
        <v>205</v>
      </c>
      <c r="L717" s="5">
        <v>14</v>
      </c>
      <c r="M717" s="5">
        <v>3</v>
      </c>
      <c r="N717" s="5" t="s">
        <v>3</v>
      </c>
      <c r="O717" s="5">
        <v>2</v>
      </c>
      <c r="P717" s="5">
        <f>ROUND(Source!DK702,O717)</f>
        <v>26143.85</v>
      </c>
      <c r="Q717" s="5"/>
      <c r="R717" s="5"/>
      <c r="S717" s="5"/>
      <c r="T717" s="5"/>
      <c r="U717" s="5"/>
      <c r="V717" s="5"/>
      <c r="W717" s="5">
        <v>900.58</v>
      </c>
      <c r="X717" s="5">
        <v>1</v>
      </c>
      <c r="Y717" s="5">
        <v>900.58</v>
      </c>
      <c r="Z717" s="5">
        <v>26143.85</v>
      </c>
      <c r="AA717" s="5">
        <v>1</v>
      </c>
      <c r="AB717" s="5">
        <v>26143.85</v>
      </c>
    </row>
    <row r="718" spans="1:28" x14ac:dyDescent="0.2">
      <c r="A718" s="5">
        <v>50</v>
      </c>
      <c r="B718" s="5">
        <v>0</v>
      </c>
      <c r="C718" s="5">
        <v>0</v>
      </c>
      <c r="D718" s="5">
        <v>1</v>
      </c>
      <c r="E718" s="5">
        <v>232</v>
      </c>
      <c r="F718" s="5">
        <f>ROUND(Source!BC702,O718)</f>
        <v>0</v>
      </c>
      <c r="G718" s="5" t="s">
        <v>54</v>
      </c>
      <c r="H718" s="5" t="s">
        <v>55</v>
      </c>
      <c r="I718" s="5"/>
      <c r="J718" s="5"/>
      <c r="K718" s="5">
        <v>232</v>
      </c>
      <c r="L718" s="5">
        <v>15</v>
      </c>
      <c r="M718" s="5">
        <v>3</v>
      </c>
      <c r="N718" s="5" t="s">
        <v>3</v>
      </c>
      <c r="O718" s="5">
        <v>2</v>
      </c>
      <c r="P718" s="5">
        <f>ROUND(Source!EU702,O718)</f>
        <v>0</v>
      </c>
      <c r="Q718" s="5"/>
      <c r="R718" s="5"/>
      <c r="S718" s="5"/>
      <c r="T718" s="5"/>
      <c r="U718" s="5"/>
      <c r="V718" s="5"/>
      <c r="W718" s="5">
        <v>0</v>
      </c>
      <c r="X718" s="5">
        <v>1</v>
      </c>
      <c r="Y718" s="5">
        <v>0</v>
      </c>
      <c r="Z718" s="5">
        <v>0</v>
      </c>
      <c r="AA718" s="5">
        <v>1</v>
      </c>
      <c r="AB718" s="5">
        <v>0</v>
      </c>
    </row>
    <row r="719" spans="1:28" x14ac:dyDescent="0.2">
      <c r="A719" s="5">
        <v>50</v>
      </c>
      <c r="B719" s="5">
        <v>0</v>
      </c>
      <c r="C719" s="5">
        <v>0</v>
      </c>
      <c r="D719" s="5">
        <v>1</v>
      </c>
      <c r="E719" s="5">
        <v>214</v>
      </c>
      <c r="F719" s="5">
        <f>ROUND(Source!AS702,O719)</f>
        <v>220.85</v>
      </c>
      <c r="G719" s="5" t="s">
        <v>56</v>
      </c>
      <c r="H719" s="5" t="s">
        <v>57</v>
      </c>
      <c r="I719" s="5"/>
      <c r="J719" s="5"/>
      <c r="K719" s="5">
        <v>214</v>
      </c>
      <c r="L719" s="5">
        <v>16</v>
      </c>
      <c r="M719" s="5">
        <v>3</v>
      </c>
      <c r="N719" s="5" t="s">
        <v>3</v>
      </c>
      <c r="O719" s="5">
        <v>2</v>
      </c>
      <c r="P719" s="5">
        <f>ROUND(Source!EK702,O719)</f>
        <v>2099.6</v>
      </c>
      <c r="Q719" s="5"/>
      <c r="R719" s="5"/>
      <c r="S719" s="5"/>
      <c r="T719" s="5"/>
      <c r="U719" s="5"/>
      <c r="V719" s="5"/>
      <c r="W719" s="5">
        <v>220.85</v>
      </c>
      <c r="X719" s="5">
        <v>1</v>
      </c>
      <c r="Y719" s="5">
        <v>220.85</v>
      </c>
      <c r="Z719" s="5">
        <v>2099.6</v>
      </c>
      <c r="AA719" s="5">
        <v>1</v>
      </c>
      <c r="AB719" s="5">
        <v>2099.6</v>
      </c>
    </row>
    <row r="720" spans="1:28" x14ac:dyDescent="0.2">
      <c r="A720" s="5">
        <v>50</v>
      </c>
      <c r="B720" s="5">
        <v>0</v>
      </c>
      <c r="C720" s="5">
        <v>0</v>
      </c>
      <c r="D720" s="5">
        <v>1</v>
      </c>
      <c r="E720" s="5">
        <v>215</v>
      </c>
      <c r="F720" s="5">
        <f>ROUND(Source!AT702,O720)</f>
        <v>4629.8500000000004</v>
      </c>
      <c r="G720" s="5" t="s">
        <v>58</v>
      </c>
      <c r="H720" s="5" t="s">
        <v>59</v>
      </c>
      <c r="I720" s="5"/>
      <c r="J720" s="5"/>
      <c r="K720" s="5">
        <v>215</v>
      </c>
      <c r="L720" s="5">
        <v>17</v>
      </c>
      <c r="M720" s="5">
        <v>3</v>
      </c>
      <c r="N720" s="5" t="s">
        <v>3</v>
      </c>
      <c r="O720" s="5">
        <v>2</v>
      </c>
      <c r="P720" s="5">
        <f>ROUND(Source!EL702,O720)</f>
        <v>76292.94</v>
      </c>
      <c r="Q720" s="5"/>
      <c r="R720" s="5"/>
      <c r="S720" s="5"/>
      <c r="T720" s="5"/>
      <c r="U720" s="5"/>
      <c r="V720" s="5"/>
      <c r="W720" s="5">
        <v>4629.8500000000004</v>
      </c>
      <c r="X720" s="5">
        <v>1</v>
      </c>
      <c r="Y720" s="5">
        <v>4629.8500000000004</v>
      </c>
      <c r="Z720" s="5">
        <v>76292.94</v>
      </c>
      <c r="AA720" s="5">
        <v>1</v>
      </c>
      <c r="AB720" s="5">
        <v>76292.94</v>
      </c>
    </row>
    <row r="721" spans="1:255" x14ac:dyDescent="0.2">
      <c r="A721" s="5">
        <v>50</v>
      </c>
      <c r="B721" s="5">
        <v>0</v>
      </c>
      <c r="C721" s="5">
        <v>0</v>
      </c>
      <c r="D721" s="5">
        <v>1</v>
      </c>
      <c r="E721" s="5">
        <v>217</v>
      </c>
      <c r="F721" s="5">
        <f>ROUND(Source!AU702,O721)</f>
        <v>0</v>
      </c>
      <c r="G721" s="5" t="s">
        <v>60</v>
      </c>
      <c r="H721" s="5" t="s">
        <v>61</v>
      </c>
      <c r="I721" s="5"/>
      <c r="J721" s="5"/>
      <c r="K721" s="5">
        <v>217</v>
      </c>
      <c r="L721" s="5">
        <v>18</v>
      </c>
      <c r="M721" s="5">
        <v>3</v>
      </c>
      <c r="N721" s="5" t="s">
        <v>3</v>
      </c>
      <c r="O721" s="5">
        <v>2</v>
      </c>
      <c r="P721" s="5">
        <f>ROUND(Source!EM702,O721)</f>
        <v>0</v>
      </c>
      <c r="Q721" s="5"/>
      <c r="R721" s="5"/>
      <c r="S721" s="5"/>
      <c r="T721" s="5"/>
      <c r="U721" s="5"/>
      <c r="V721" s="5"/>
      <c r="W721" s="5">
        <v>0</v>
      </c>
      <c r="X721" s="5">
        <v>1</v>
      </c>
      <c r="Y721" s="5">
        <v>0</v>
      </c>
      <c r="Z721" s="5">
        <v>0</v>
      </c>
      <c r="AA721" s="5">
        <v>1</v>
      </c>
      <c r="AB721" s="5">
        <v>0</v>
      </c>
    </row>
    <row r="722" spans="1:255" x14ac:dyDescent="0.2">
      <c r="A722" s="5">
        <v>50</v>
      </c>
      <c r="B722" s="5">
        <v>0</v>
      </c>
      <c r="C722" s="5">
        <v>0</v>
      </c>
      <c r="D722" s="5">
        <v>1</v>
      </c>
      <c r="E722" s="5">
        <v>230</v>
      </c>
      <c r="F722" s="5">
        <f>ROUND(Source!BA702,O722)</f>
        <v>0</v>
      </c>
      <c r="G722" s="5" t="s">
        <v>62</v>
      </c>
      <c r="H722" s="5" t="s">
        <v>63</v>
      </c>
      <c r="I722" s="5"/>
      <c r="J722" s="5"/>
      <c r="K722" s="5">
        <v>230</v>
      </c>
      <c r="L722" s="5">
        <v>19</v>
      </c>
      <c r="M722" s="5">
        <v>3</v>
      </c>
      <c r="N722" s="5" t="s">
        <v>3</v>
      </c>
      <c r="O722" s="5">
        <v>2</v>
      </c>
      <c r="P722" s="5">
        <f>ROUND(Source!ES702,O722)</f>
        <v>0</v>
      </c>
      <c r="Q722" s="5"/>
      <c r="R722" s="5"/>
      <c r="S722" s="5"/>
      <c r="T722" s="5"/>
      <c r="U722" s="5"/>
      <c r="V722" s="5"/>
      <c r="W722" s="5">
        <v>0</v>
      </c>
      <c r="X722" s="5">
        <v>1</v>
      </c>
      <c r="Y722" s="5">
        <v>0</v>
      </c>
      <c r="Z722" s="5">
        <v>0</v>
      </c>
      <c r="AA722" s="5">
        <v>1</v>
      </c>
      <c r="AB722" s="5">
        <v>0</v>
      </c>
    </row>
    <row r="723" spans="1:255" x14ac:dyDescent="0.2">
      <c r="A723" s="5">
        <v>50</v>
      </c>
      <c r="B723" s="5">
        <v>0</v>
      </c>
      <c r="C723" s="5">
        <v>0</v>
      </c>
      <c r="D723" s="5">
        <v>1</v>
      </c>
      <c r="E723" s="5">
        <v>206</v>
      </c>
      <c r="F723" s="5">
        <f>ROUND(Source!T702,O723)</f>
        <v>0</v>
      </c>
      <c r="G723" s="5" t="s">
        <v>64</v>
      </c>
      <c r="H723" s="5" t="s">
        <v>65</v>
      </c>
      <c r="I723" s="5"/>
      <c r="J723" s="5"/>
      <c r="K723" s="5">
        <v>206</v>
      </c>
      <c r="L723" s="5">
        <v>20</v>
      </c>
      <c r="M723" s="5">
        <v>3</v>
      </c>
      <c r="N723" s="5" t="s">
        <v>3</v>
      </c>
      <c r="O723" s="5">
        <v>2</v>
      </c>
      <c r="P723" s="5">
        <f>ROUND(Source!DL702,O723)</f>
        <v>0</v>
      </c>
      <c r="Q723" s="5"/>
      <c r="R723" s="5"/>
      <c r="S723" s="5"/>
      <c r="T723" s="5"/>
      <c r="U723" s="5"/>
      <c r="V723" s="5"/>
      <c r="W723" s="5">
        <v>0</v>
      </c>
      <c r="X723" s="5">
        <v>1</v>
      </c>
      <c r="Y723" s="5">
        <v>0</v>
      </c>
      <c r="Z723" s="5">
        <v>0</v>
      </c>
      <c r="AA723" s="5">
        <v>1</v>
      </c>
      <c r="AB723" s="5">
        <v>0</v>
      </c>
    </row>
    <row r="724" spans="1:255" x14ac:dyDescent="0.2">
      <c r="A724" s="5">
        <v>50</v>
      </c>
      <c r="B724" s="5">
        <v>0</v>
      </c>
      <c r="C724" s="5">
        <v>0</v>
      </c>
      <c r="D724" s="5">
        <v>1</v>
      </c>
      <c r="E724" s="5">
        <v>207</v>
      </c>
      <c r="F724" s="5">
        <f>Source!U702</f>
        <v>69.082899999999995</v>
      </c>
      <c r="G724" s="5" t="s">
        <v>66</v>
      </c>
      <c r="H724" s="5" t="s">
        <v>67</v>
      </c>
      <c r="I724" s="5"/>
      <c r="J724" s="5"/>
      <c r="K724" s="5">
        <v>207</v>
      </c>
      <c r="L724" s="5">
        <v>21</v>
      </c>
      <c r="M724" s="5">
        <v>3</v>
      </c>
      <c r="N724" s="5" t="s">
        <v>3</v>
      </c>
      <c r="O724" s="5">
        <v>-1</v>
      </c>
      <c r="P724" s="5">
        <f>Source!DM702</f>
        <v>69.082899999999995</v>
      </c>
      <c r="Q724" s="5"/>
      <c r="R724" s="5"/>
      <c r="S724" s="5"/>
      <c r="T724" s="5"/>
      <c r="U724" s="5"/>
      <c r="V724" s="5"/>
      <c r="W724" s="5">
        <v>69.082899999999995</v>
      </c>
      <c r="X724" s="5">
        <v>1</v>
      </c>
      <c r="Y724" s="5">
        <v>69.082899999999995</v>
      </c>
      <c r="Z724" s="5">
        <v>69.082899999999995</v>
      </c>
      <c r="AA724" s="5">
        <v>1</v>
      </c>
      <c r="AB724" s="5">
        <v>69.082899999999995</v>
      </c>
    </row>
    <row r="725" spans="1:255" x14ac:dyDescent="0.2">
      <c r="A725" s="5">
        <v>50</v>
      </c>
      <c r="B725" s="5">
        <v>0</v>
      </c>
      <c r="C725" s="5">
        <v>0</v>
      </c>
      <c r="D725" s="5">
        <v>1</v>
      </c>
      <c r="E725" s="5">
        <v>208</v>
      </c>
      <c r="F725" s="5">
        <f>Source!V702</f>
        <v>0</v>
      </c>
      <c r="G725" s="5" t="s">
        <v>68</v>
      </c>
      <c r="H725" s="5" t="s">
        <v>69</v>
      </c>
      <c r="I725" s="5"/>
      <c r="J725" s="5"/>
      <c r="K725" s="5">
        <v>208</v>
      </c>
      <c r="L725" s="5">
        <v>22</v>
      </c>
      <c r="M725" s="5">
        <v>3</v>
      </c>
      <c r="N725" s="5" t="s">
        <v>3</v>
      </c>
      <c r="O725" s="5">
        <v>-1</v>
      </c>
      <c r="P725" s="5">
        <f>Source!DN702</f>
        <v>0</v>
      </c>
      <c r="Q725" s="5"/>
      <c r="R725" s="5"/>
      <c r="S725" s="5"/>
      <c r="T725" s="5"/>
      <c r="U725" s="5"/>
      <c r="V725" s="5"/>
      <c r="W725" s="5">
        <v>0</v>
      </c>
      <c r="X725" s="5">
        <v>1</v>
      </c>
      <c r="Y725" s="5">
        <v>0</v>
      </c>
      <c r="Z725" s="5">
        <v>0</v>
      </c>
      <c r="AA725" s="5">
        <v>1</v>
      </c>
      <c r="AB725" s="5">
        <v>0</v>
      </c>
    </row>
    <row r="726" spans="1:255" x14ac:dyDescent="0.2">
      <c r="A726" s="5">
        <v>50</v>
      </c>
      <c r="B726" s="5">
        <v>0</v>
      </c>
      <c r="C726" s="5">
        <v>0</v>
      </c>
      <c r="D726" s="5">
        <v>1</v>
      </c>
      <c r="E726" s="5">
        <v>209</v>
      </c>
      <c r="F726" s="5">
        <f>ROUND(Source!W702,O726)</f>
        <v>0</v>
      </c>
      <c r="G726" s="5" t="s">
        <v>70</v>
      </c>
      <c r="H726" s="5" t="s">
        <v>71</v>
      </c>
      <c r="I726" s="5"/>
      <c r="J726" s="5"/>
      <c r="K726" s="5">
        <v>209</v>
      </c>
      <c r="L726" s="5">
        <v>23</v>
      </c>
      <c r="M726" s="5">
        <v>3</v>
      </c>
      <c r="N726" s="5" t="s">
        <v>3</v>
      </c>
      <c r="O726" s="5">
        <v>2</v>
      </c>
      <c r="P726" s="5">
        <f>ROUND(Source!DO702,O726)</f>
        <v>0</v>
      </c>
      <c r="Q726" s="5"/>
      <c r="R726" s="5"/>
      <c r="S726" s="5"/>
      <c r="T726" s="5"/>
      <c r="U726" s="5"/>
      <c r="V726" s="5"/>
      <c r="W726" s="5">
        <v>0</v>
      </c>
      <c r="X726" s="5">
        <v>1</v>
      </c>
      <c r="Y726" s="5">
        <v>0</v>
      </c>
      <c r="Z726" s="5">
        <v>0</v>
      </c>
      <c r="AA726" s="5">
        <v>1</v>
      </c>
      <c r="AB726" s="5">
        <v>0</v>
      </c>
    </row>
    <row r="727" spans="1:255" x14ac:dyDescent="0.2">
      <c r="A727" s="5">
        <v>50</v>
      </c>
      <c r="B727" s="5">
        <v>0</v>
      </c>
      <c r="C727" s="5">
        <v>0</v>
      </c>
      <c r="D727" s="5">
        <v>1</v>
      </c>
      <c r="E727" s="5">
        <v>233</v>
      </c>
      <c r="F727" s="5">
        <f>ROUND(Source!BD702,O727)</f>
        <v>0</v>
      </c>
      <c r="G727" s="5" t="s">
        <v>72</v>
      </c>
      <c r="H727" s="5" t="s">
        <v>73</v>
      </c>
      <c r="I727" s="5"/>
      <c r="J727" s="5"/>
      <c r="K727" s="5">
        <v>233</v>
      </c>
      <c r="L727" s="5">
        <v>24</v>
      </c>
      <c r="M727" s="5">
        <v>3</v>
      </c>
      <c r="N727" s="5" t="s">
        <v>3</v>
      </c>
      <c r="O727" s="5">
        <v>2</v>
      </c>
      <c r="P727" s="5">
        <f>ROUND(Source!EV702,O727)</f>
        <v>0</v>
      </c>
      <c r="Q727" s="5"/>
      <c r="R727" s="5"/>
      <c r="S727" s="5"/>
      <c r="T727" s="5"/>
      <c r="U727" s="5"/>
      <c r="V727" s="5"/>
      <c r="W727" s="5">
        <v>0</v>
      </c>
      <c r="X727" s="5">
        <v>1</v>
      </c>
      <c r="Y727" s="5">
        <v>0</v>
      </c>
      <c r="Z727" s="5">
        <v>0</v>
      </c>
      <c r="AA727" s="5">
        <v>1</v>
      </c>
      <c r="AB727" s="5">
        <v>0</v>
      </c>
    </row>
    <row r="728" spans="1:255" x14ac:dyDescent="0.2">
      <c r="A728" s="5">
        <v>50</v>
      </c>
      <c r="B728" s="5">
        <v>0</v>
      </c>
      <c r="C728" s="5">
        <v>0</v>
      </c>
      <c r="D728" s="5">
        <v>1</v>
      </c>
      <c r="E728" s="5">
        <v>210</v>
      </c>
      <c r="F728" s="5">
        <f>ROUND(Source!X702,O728)</f>
        <v>1025.6500000000001</v>
      </c>
      <c r="G728" s="5" t="s">
        <v>74</v>
      </c>
      <c r="H728" s="5" t="s">
        <v>75</v>
      </c>
      <c r="I728" s="5"/>
      <c r="J728" s="5"/>
      <c r="K728" s="5">
        <v>210</v>
      </c>
      <c r="L728" s="5">
        <v>25</v>
      </c>
      <c r="M728" s="5">
        <v>3</v>
      </c>
      <c r="N728" s="5" t="s">
        <v>3</v>
      </c>
      <c r="O728" s="5">
        <v>2</v>
      </c>
      <c r="P728" s="5">
        <f>ROUND(Source!DP702,O728)</f>
        <v>20644.57</v>
      </c>
      <c r="Q728" s="5"/>
      <c r="R728" s="5"/>
      <c r="S728" s="5"/>
      <c r="T728" s="5"/>
      <c r="U728" s="5"/>
      <c r="V728" s="5"/>
      <c r="W728" s="5">
        <v>1025.6500000000001</v>
      </c>
      <c r="X728" s="5">
        <v>1</v>
      </c>
      <c r="Y728" s="5">
        <v>1025.6500000000001</v>
      </c>
      <c r="Z728" s="5">
        <v>20644.57</v>
      </c>
      <c r="AA728" s="5">
        <v>1</v>
      </c>
      <c r="AB728" s="5">
        <v>20644.57</v>
      </c>
    </row>
    <row r="729" spans="1:255" x14ac:dyDescent="0.2">
      <c r="A729" s="5">
        <v>50</v>
      </c>
      <c r="B729" s="5">
        <v>0</v>
      </c>
      <c r="C729" s="5">
        <v>0</v>
      </c>
      <c r="D729" s="5">
        <v>1</v>
      </c>
      <c r="E729" s="5">
        <v>211</v>
      </c>
      <c r="F729" s="5">
        <f>ROUND(Source!Y702,O729)</f>
        <v>603.5</v>
      </c>
      <c r="G729" s="5" t="s">
        <v>76</v>
      </c>
      <c r="H729" s="5" t="s">
        <v>77</v>
      </c>
      <c r="I729" s="5"/>
      <c r="J729" s="5"/>
      <c r="K729" s="5">
        <v>211</v>
      </c>
      <c r="L729" s="5">
        <v>26</v>
      </c>
      <c r="M729" s="5">
        <v>3</v>
      </c>
      <c r="N729" s="5" t="s">
        <v>3</v>
      </c>
      <c r="O729" s="5">
        <v>2</v>
      </c>
      <c r="P729" s="5">
        <f>ROUND(Source!DQ702,O729)</f>
        <v>10718.97</v>
      </c>
      <c r="Q729" s="5"/>
      <c r="R729" s="5"/>
      <c r="S729" s="5"/>
      <c r="T729" s="5"/>
      <c r="U729" s="5"/>
      <c r="V729" s="5"/>
      <c r="W729" s="5">
        <v>603.5</v>
      </c>
      <c r="X729" s="5">
        <v>1</v>
      </c>
      <c r="Y729" s="5">
        <v>603.5</v>
      </c>
      <c r="Z729" s="5">
        <v>10718.97</v>
      </c>
      <c r="AA729" s="5">
        <v>1</v>
      </c>
      <c r="AB729" s="5">
        <v>10718.97</v>
      </c>
    </row>
    <row r="730" spans="1:255" x14ac:dyDescent="0.2">
      <c r="A730" s="5">
        <v>50</v>
      </c>
      <c r="B730" s="5">
        <v>0</v>
      </c>
      <c r="C730" s="5">
        <v>0</v>
      </c>
      <c r="D730" s="5">
        <v>1</v>
      </c>
      <c r="E730" s="5">
        <v>224</v>
      </c>
      <c r="F730" s="5">
        <f>ROUND(Source!AR702,O730)</f>
        <v>4850.7</v>
      </c>
      <c r="G730" s="5" t="s">
        <v>78</v>
      </c>
      <c r="H730" s="5" t="s">
        <v>79</v>
      </c>
      <c r="I730" s="5"/>
      <c r="J730" s="5"/>
      <c r="K730" s="5">
        <v>224</v>
      </c>
      <c r="L730" s="5">
        <v>27</v>
      </c>
      <c r="M730" s="5">
        <v>3</v>
      </c>
      <c r="N730" s="5" t="s">
        <v>3</v>
      </c>
      <c r="O730" s="5">
        <v>2</v>
      </c>
      <c r="P730" s="5">
        <f>ROUND(Source!EJ702,O730)</f>
        <v>78392.539999999994</v>
      </c>
      <c r="Q730" s="5"/>
      <c r="R730" s="5"/>
      <c r="S730" s="5"/>
      <c r="T730" s="5"/>
      <c r="U730" s="5"/>
      <c r="V730" s="5"/>
      <c r="W730" s="5">
        <v>4850.7</v>
      </c>
      <c r="X730" s="5">
        <v>1</v>
      </c>
      <c r="Y730" s="5">
        <v>4850.7</v>
      </c>
      <c r="Z730" s="5">
        <v>78392.539999999994</v>
      </c>
      <c r="AA730" s="5">
        <v>1</v>
      </c>
      <c r="AB730" s="5">
        <v>78392.539999999994</v>
      </c>
    </row>
    <row r="732" spans="1:255" x14ac:dyDescent="0.2">
      <c r="A732" s="1">
        <v>4</v>
      </c>
      <c r="B732" s="1">
        <v>1</v>
      </c>
      <c r="C732" s="1"/>
      <c r="D732" s="1">
        <f>ROW(A759)</f>
        <v>759</v>
      </c>
      <c r="E732" s="1"/>
      <c r="F732" s="1" t="s">
        <v>16</v>
      </c>
      <c r="G732" s="1" t="s">
        <v>702</v>
      </c>
      <c r="H732" s="1" t="s">
        <v>3</v>
      </c>
      <c r="I732" s="1">
        <v>0</v>
      </c>
      <c r="J732" s="1"/>
      <c r="K732" s="1">
        <v>0</v>
      </c>
      <c r="L732" s="1"/>
      <c r="M732" s="1" t="s">
        <v>3</v>
      </c>
      <c r="N732" s="1"/>
      <c r="O732" s="1"/>
      <c r="P732" s="1"/>
      <c r="Q732" s="1"/>
      <c r="R732" s="1"/>
      <c r="S732" s="1">
        <v>0</v>
      </c>
      <c r="T732" s="1">
        <v>0</v>
      </c>
      <c r="U732" s="1" t="s">
        <v>3</v>
      </c>
      <c r="V732" s="1">
        <v>0</v>
      </c>
      <c r="W732" s="1"/>
      <c r="X732" s="1"/>
      <c r="Y732" s="1"/>
      <c r="Z732" s="1"/>
      <c r="AA732" s="1"/>
      <c r="AB732" s="1" t="s">
        <v>3</v>
      </c>
      <c r="AC732" s="1" t="s">
        <v>3</v>
      </c>
      <c r="AD732" s="1" t="s">
        <v>3</v>
      </c>
      <c r="AE732" s="1" t="s">
        <v>3</v>
      </c>
      <c r="AF732" s="1" t="s">
        <v>3</v>
      </c>
      <c r="AG732" s="1" t="s">
        <v>3</v>
      </c>
      <c r="AH732" s="1"/>
      <c r="AI732" s="1"/>
      <c r="AJ732" s="1"/>
      <c r="AK732" s="1"/>
      <c r="AL732" s="1"/>
      <c r="AM732" s="1"/>
      <c r="AN732" s="1"/>
      <c r="AO732" s="1"/>
      <c r="AP732" s="1" t="s">
        <v>3</v>
      </c>
      <c r="AQ732" s="1" t="s">
        <v>3</v>
      </c>
      <c r="AR732" s="1" t="s">
        <v>3</v>
      </c>
      <c r="AS732" s="1"/>
      <c r="AT732" s="1"/>
      <c r="AU732" s="1"/>
      <c r="AV732" s="1"/>
      <c r="AW732" s="1"/>
      <c r="AX732" s="1"/>
      <c r="AY732" s="1"/>
      <c r="AZ732" s="1" t="s">
        <v>3</v>
      </c>
      <c r="BA732" s="1"/>
      <c r="BB732" s="1" t="s">
        <v>3</v>
      </c>
      <c r="BC732" s="1" t="s">
        <v>3</v>
      </c>
      <c r="BD732" s="1" t="s">
        <v>3</v>
      </c>
      <c r="BE732" s="1" t="s">
        <v>3</v>
      </c>
      <c r="BF732" s="1" t="s">
        <v>3</v>
      </c>
      <c r="BG732" s="1" t="s">
        <v>3</v>
      </c>
      <c r="BH732" s="1" t="s">
        <v>3</v>
      </c>
      <c r="BI732" s="1" t="s">
        <v>3</v>
      </c>
      <c r="BJ732" s="1" t="s">
        <v>3</v>
      </c>
      <c r="BK732" s="1" t="s">
        <v>3</v>
      </c>
      <c r="BL732" s="1" t="s">
        <v>3</v>
      </c>
      <c r="BM732" s="1" t="s">
        <v>3</v>
      </c>
      <c r="BN732" s="1" t="s">
        <v>3</v>
      </c>
      <c r="BO732" s="1" t="s">
        <v>3</v>
      </c>
      <c r="BP732" s="1" t="s">
        <v>3</v>
      </c>
      <c r="BQ732" s="1"/>
      <c r="BR732" s="1"/>
      <c r="BS732" s="1"/>
      <c r="BT732" s="1"/>
      <c r="BU732" s="1"/>
      <c r="BV732" s="1"/>
      <c r="BW732" s="1"/>
      <c r="BX732" s="1">
        <v>0</v>
      </c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>
        <v>0</v>
      </c>
    </row>
    <row r="734" spans="1:255" x14ac:dyDescent="0.2">
      <c r="A734" s="3">
        <v>52</v>
      </c>
      <c r="B734" s="3">
        <f t="shared" ref="B734:G734" si="641">B759</f>
        <v>1</v>
      </c>
      <c r="C734" s="3">
        <f t="shared" si="641"/>
        <v>4</v>
      </c>
      <c r="D734" s="3">
        <f t="shared" si="641"/>
        <v>732</v>
      </c>
      <c r="E734" s="3">
        <f t="shared" si="641"/>
        <v>0</v>
      </c>
      <c r="F734" s="3" t="str">
        <f t="shared" si="641"/>
        <v>Новый раздел</v>
      </c>
      <c r="G734" s="3" t="str">
        <f t="shared" si="641"/>
        <v>Оборудование</v>
      </c>
      <c r="H734" s="3"/>
      <c r="I734" s="3"/>
      <c r="J734" s="3"/>
      <c r="K734" s="3"/>
      <c r="L734" s="3"/>
      <c r="M734" s="3"/>
      <c r="N734" s="3"/>
      <c r="O734" s="3">
        <f t="shared" ref="O734:AT734" si="642">O759</f>
        <v>13060.83</v>
      </c>
      <c r="P734" s="3">
        <f t="shared" si="642"/>
        <v>13060.83</v>
      </c>
      <c r="Q734" s="3">
        <f t="shared" si="642"/>
        <v>0</v>
      </c>
      <c r="R734" s="3">
        <f t="shared" si="642"/>
        <v>0</v>
      </c>
      <c r="S734" s="3">
        <f t="shared" si="642"/>
        <v>0</v>
      </c>
      <c r="T734" s="3">
        <f t="shared" si="642"/>
        <v>0</v>
      </c>
      <c r="U734" s="3">
        <f t="shared" si="642"/>
        <v>0</v>
      </c>
      <c r="V734" s="3">
        <f t="shared" si="642"/>
        <v>0</v>
      </c>
      <c r="W734" s="3">
        <f t="shared" si="642"/>
        <v>0</v>
      </c>
      <c r="X734" s="3">
        <f t="shared" si="642"/>
        <v>0</v>
      </c>
      <c r="Y734" s="3">
        <f t="shared" si="642"/>
        <v>0</v>
      </c>
      <c r="Z734" s="3">
        <f t="shared" si="642"/>
        <v>0</v>
      </c>
      <c r="AA734" s="3">
        <f t="shared" si="642"/>
        <v>0</v>
      </c>
      <c r="AB734" s="3">
        <f t="shared" si="642"/>
        <v>13060.83</v>
      </c>
      <c r="AC734" s="3">
        <f t="shared" si="642"/>
        <v>13060.83</v>
      </c>
      <c r="AD734" s="3">
        <f t="shared" si="642"/>
        <v>0</v>
      </c>
      <c r="AE734" s="3">
        <f t="shared" si="642"/>
        <v>0</v>
      </c>
      <c r="AF734" s="3">
        <f t="shared" si="642"/>
        <v>0</v>
      </c>
      <c r="AG734" s="3">
        <f t="shared" si="642"/>
        <v>0</v>
      </c>
      <c r="AH734" s="3">
        <f t="shared" si="642"/>
        <v>0</v>
      </c>
      <c r="AI734" s="3">
        <f t="shared" si="642"/>
        <v>0</v>
      </c>
      <c r="AJ734" s="3">
        <f t="shared" si="642"/>
        <v>0</v>
      </c>
      <c r="AK734" s="3">
        <f t="shared" si="642"/>
        <v>0</v>
      </c>
      <c r="AL734" s="3">
        <f t="shared" si="642"/>
        <v>0</v>
      </c>
      <c r="AM734" s="3">
        <f t="shared" si="642"/>
        <v>0</v>
      </c>
      <c r="AN734" s="3">
        <f t="shared" si="642"/>
        <v>0</v>
      </c>
      <c r="AO734" s="3">
        <f t="shared" si="642"/>
        <v>0</v>
      </c>
      <c r="AP734" s="3">
        <f t="shared" si="642"/>
        <v>1752.36</v>
      </c>
      <c r="AQ734" s="3">
        <f t="shared" si="642"/>
        <v>0</v>
      </c>
      <c r="AR734" s="3">
        <f t="shared" si="642"/>
        <v>13060.83</v>
      </c>
      <c r="AS734" s="3">
        <f t="shared" si="642"/>
        <v>11308.47</v>
      </c>
      <c r="AT734" s="3">
        <f t="shared" si="642"/>
        <v>0</v>
      </c>
      <c r="AU734" s="3">
        <f t="shared" ref="AU734:BZ734" si="643">AU759</f>
        <v>0</v>
      </c>
      <c r="AV734" s="3">
        <f t="shared" si="643"/>
        <v>13060.83</v>
      </c>
      <c r="AW734" s="3">
        <f t="shared" si="643"/>
        <v>11308.47</v>
      </c>
      <c r="AX734" s="3">
        <f t="shared" si="643"/>
        <v>0</v>
      </c>
      <c r="AY734" s="3">
        <f t="shared" si="643"/>
        <v>11308.47</v>
      </c>
      <c r="AZ734" s="3">
        <f t="shared" si="643"/>
        <v>1752.36</v>
      </c>
      <c r="BA734" s="3">
        <f t="shared" si="643"/>
        <v>0</v>
      </c>
      <c r="BB734" s="3">
        <f t="shared" si="643"/>
        <v>0</v>
      </c>
      <c r="BC734" s="3">
        <f t="shared" si="643"/>
        <v>0</v>
      </c>
      <c r="BD734" s="3">
        <f t="shared" si="643"/>
        <v>0</v>
      </c>
      <c r="BE734" s="3">
        <f t="shared" si="643"/>
        <v>0</v>
      </c>
      <c r="BF734" s="3">
        <f t="shared" si="643"/>
        <v>0</v>
      </c>
      <c r="BG734" s="3">
        <f t="shared" si="643"/>
        <v>0</v>
      </c>
      <c r="BH734" s="3">
        <f t="shared" si="643"/>
        <v>0</v>
      </c>
      <c r="BI734" s="3">
        <f t="shared" si="643"/>
        <v>0</v>
      </c>
      <c r="BJ734" s="3">
        <f t="shared" si="643"/>
        <v>0</v>
      </c>
      <c r="BK734" s="3">
        <f t="shared" si="643"/>
        <v>0</v>
      </c>
      <c r="BL734" s="3">
        <f t="shared" si="643"/>
        <v>0</v>
      </c>
      <c r="BM734" s="3">
        <f t="shared" si="643"/>
        <v>0</v>
      </c>
      <c r="BN734" s="3">
        <f t="shared" si="643"/>
        <v>0</v>
      </c>
      <c r="BO734" s="3">
        <f t="shared" si="643"/>
        <v>0</v>
      </c>
      <c r="BP734" s="3">
        <f t="shared" si="643"/>
        <v>0</v>
      </c>
      <c r="BQ734" s="3">
        <f t="shared" si="643"/>
        <v>0</v>
      </c>
      <c r="BR734" s="3">
        <f t="shared" si="643"/>
        <v>0</v>
      </c>
      <c r="BS734" s="3">
        <f t="shared" si="643"/>
        <v>0</v>
      </c>
      <c r="BT734" s="3">
        <f t="shared" si="643"/>
        <v>0</v>
      </c>
      <c r="BU734" s="3">
        <f t="shared" si="643"/>
        <v>0</v>
      </c>
      <c r="BV734" s="3">
        <f t="shared" si="643"/>
        <v>0</v>
      </c>
      <c r="BW734" s="3">
        <f t="shared" si="643"/>
        <v>0</v>
      </c>
      <c r="BX734" s="3">
        <f t="shared" si="643"/>
        <v>0</v>
      </c>
      <c r="BY734" s="3">
        <f t="shared" si="643"/>
        <v>1752.36</v>
      </c>
      <c r="BZ734" s="3">
        <f t="shared" si="643"/>
        <v>0</v>
      </c>
      <c r="CA734" s="3">
        <f t="shared" ref="CA734:DF734" si="644">CA759</f>
        <v>13060.83</v>
      </c>
      <c r="CB734" s="3">
        <f t="shared" si="644"/>
        <v>11308.47</v>
      </c>
      <c r="CC734" s="3">
        <f t="shared" si="644"/>
        <v>0</v>
      </c>
      <c r="CD734" s="3">
        <f t="shared" si="644"/>
        <v>0</v>
      </c>
      <c r="CE734" s="3">
        <f t="shared" si="644"/>
        <v>13060.83</v>
      </c>
      <c r="CF734" s="3">
        <f t="shared" si="644"/>
        <v>11308.47</v>
      </c>
      <c r="CG734" s="3">
        <f t="shared" si="644"/>
        <v>0</v>
      </c>
      <c r="CH734" s="3">
        <f t="shared" si="644"/>
        <v>11308.47</v>
      </c>
      <c r="CI734" s="3">
        <f t="shared" si="644"/>
        <v>1752.36</v>
      </c>
      <c r="CJ734" s="3">
        <f t="shared" si="644"/>
        <v>0</v>
      </c>
      <c r="CK734" s="3">
        <f t="shared" si="644"/>
        <v>0</v>
      </c>
      <c r="CL734" s="3">
        <f t="shared" si="644"/>
        <v>0</v>
      </c>
      <c r="CM734" s="3">
        <f t="shared" si="644"/>
        <v>0</v>
      </c>
      <c r="CN734" s="3">
        <f t="shared" si="644"/>
        <v>0</v>
      </c>
      <c r="CO734" s="3">
        <f t="shared" si="644"/>
        <v>0</v>
      </c>
      <c r="CP734" s="3">
        <f t="shared" si="644"/>
        <v>0</v>
      </c>
      <c r="CQ734" s="3">
        <f t="shared" si="644"/>
        <v>0</v>
      </c>
      <c r="CR734" s="3">
        <f t="shared" si="644"/>
        <v>0</v>
      </c>
      <c r="CS734" s="3">
        <f t="shared" si="644"/>
        <v>0</v>
      </c>
      <c r="CT734" s="3">
        <f t="shared" si="644"/>
        <v>0</v>
      </c>
      <c r="CU734" s="3">
        <f t="shared" si="644"/>
        <v>0</v>
      </c>
      <c r="CV734" s="3">
        <f t="shared" si="644"/>
        <v>0</v>
      </c>
      <c r="CW734" s="3">
        <f t="shared" si="644"/>
        <v>0</v>
      </c>
      <c r="CX734" s="3">
        <f t="shared" si="644"/>
        <v>0</v>
      </c>
      <c r="CY734" s="3">
        <f t="shared" si="644"/>
        <v>0</v>
      </c>
      <c r="CZ734" s="3">
        <f t="shared" si="644"/>
        <v>0</v>
      </c>
      <c r="DA734" s="3">
        <f t="shared" si="644"/>
        <v>0</v>
      </c>
      <c r="DB734" s="3">
        <f t="shared" si="644"/>
        <v>0</v>
      </c>
      <c r="DC734" s="3">
        <f t="shared" si="644"/>
        <v>0</v>
      </c>
      <c r="DD734" s="3">
        <f t="shared" si="644"/>
        <v>0</v>
      </c>
      <c r="DE734" s="3">
        <f t="shared" si="644"/>
        <v>0</v>
      </c>
      <c r="DF734" s="3">
        <f t="shared" si="644"/>
        <v>0</v>
      </c>
      <c r="DG734" s="4">
        <f t="shared" ref="DG734:EL734" si="645">DG759</f>
        <v>86942.82</v>
      </c>
      <c r="DH734" s="4">
        <f t="shared" si="645"/>
        <v>86942.82</v>
      </c>
      <c r="DI734" s="4">
        <f t="shared" si="645"/>
        <v>0</v>
      </c>
      <c r="DJ734" s="4">
        <f t="shared" si="645"/>
        <v>0</v>
      </c>
      <c r="DK734" s="4">
        <f t="shared" si="645"/>
        <v>0</v>
      </c>
      <c r="DL734" s="4">
        <f t="shared" si="645"/>
        <v>0</v>
      </c>
      <c r="DM734" s="4">
        <f t="shared" si="645"/>
        <v>0</v>
      </c>
      <c r="DN734" s="4">
        <f t="shared" si="645"/>
        <v>0</v>
      </c>
      <c r="DO734" s="4">
        <f t="shared" si="645"/>
        <v>0</v>
      </c>
      <c r="DP734" s="4">
        <f t="shared" si="645"/>
        <v>0</v>
      </c>
      <c r="DQ734" s="4">
        <f t="shared" si="645"/>
        <v>0</v>
      </c>
      <c r="DR734" s="4">
        <f t="shared" si="645"/>
        <v>0</v>
      </c>
      <c r="DS734" s="4">
        <f t="shared" si="645"/>
        <v>0</v>
      </c>
      <c r="DT734" s="4">
        <f t="shared" si="645"/>
        <v>86942.82</v>
      </c>
      <c r="DU734" s="4">
        <f t="shared" si="645"/>
        <v>86942.82</v>
      </c>
      <c r="DV734" s="4">
        <f t="shared" si="645"/>
        <v>0</v>
      </c>
      <c r="DW734" s="4">
        <f t="shared" si="645"/>
        <v>0</v>
      </c>
      <c r="DX734" s="4">
        <f t="shared" si="645"/>
        <v>0</v>
      </c>
      <c r="DY734" s="4">
        <f t="shared" si="645"/>
        <v>0</v>
      </c>
      <c r="DZ734" s="4">
        <f t="shared" si="645"/>
        <v>0</v>
      </c>
      <c r="EA734" s="4">
        <f t="shared" si="645"/>
        <v>0</v>
      </c>
      <c r="EB734" s="4">
        <f t="shared" si="645"/>
        <v>0</v>
      </c>
      <c r="EC734" s="4">
        <f t="shared" si="645"/>
        <v>0</v>
      </c>
      <c r="ED734" s="4">
        <f t="shared" si="645"/>
        <v>0</v>
      </c>
      <c r="EE734" s="4">
        <f t="shared" si="645"/>
        <v>0</v>
      </c>
      <c r="EF734" s="4">
        <f t="shared" si="645"/>
        <v>0</v>
      </c>
      <c r="EG734" s="4">
        <f t="shared" si="645"/>
        <v>0</v>
      </c>
      <c r="EH734" s="4">
        <f t="shared" si="645"/>
        <v>14211.64</v>
      </c>
      <c r="EI734" s="4">
        <f t="shared" si="645"/>
        <v>0</v>
      </c>
      <c r="EJ734" s="4">
        <f t="shared" si="645"/>
        <v>86942.82</v>
      </c>
      <c r="EK734" s="4">
        <f t="shared" si="645"/>
        <v>72731.179999999993</v>
      </c>
      <c r="EL734" s="4">
        <f t="shared" si="645"/>
        <v>0</v>
      </c>
      <c r="EM734" s="4">
        <f t="shared" ref="EM734:FR734" si="646">EM759</f>
        <v>0</v>
      </c>
      <c r="EN734" s="4">
        <f t="shared" si="646"/>
        <v>86942.82</v>
      </c>
      <c r="EO734" s="4">
        <f t="shared" si="646"/>
        <v>72731.179999999993</v>
      </c>
      <c r="EP734" s="4">
        <f t="shared" si="646"/>
        <v>0</v>
      </c>
      <c r="EQ734" s="4">
        <f t="shared" si="646"/>
        <v>72731.179999999993</v>
      </c>
      <c r="ER734" s="4">
        <f t="shared" si="646"/>
        <v>14211.64</v>
      </c>
      <c r="ES734" s="4">
        <f t="shared" si="646"/>
        <v>0</v>
      </c>
      <c r="ET734" s="4">
        <f t="shared" si="646"/>
        <v>0</v>
      </c>
      <c r="EU734" s="4">
        <f t="shared" si="646"/>
        <v>0</v>
      </c>
      <c r="EV734" s="4">
        <f t="shared" si="646"/>
        <v>0</v>
      </c>
      <c r="EW734" s="4">
        <f t="shared" si="646"/>
        <v>0</v>
      </c>
      <c r="EX734" s="4">
        <f t="shared" si="646"/>
        <v>0</v>
      </c>
      <c r="EY734" s="4">
        <f t="shared" si="646"/>
        <v>0</v>
      </c>
      <c r="EZ734" s="4">
        <f t="shared" si="646"/>
        <v>0</v>
      </c>
      <c r="FA734" s="4">
        <f t="shared" si="646"/>
        <v>0</v>
      </c>
      <c r="FB734" s="4">
        <f t="shared" si="646"/>
        <v>0</v>
      </c>
      <c r="FC734" s="4">
        <f t="shared" si="646"/>
        <v>0</v>
      </c>
      <c r="FD734" s="4">
        <f t="shared" si="646"/>
        <v>0</v>
      </c>
      <c r="FE734" s="4">
        <f t="shared" si="646"/>
        <v>0</v>
      </c>
      <c r="FF734" s="4">
        <f t="shared" si="646"/>
        <v>0</v>
      </c>
      <c r="FG734" s="4">
        <f t="shared" si="646"/>
        <v>0</v>
      </c>
      <c r="FH734" s="4">
        <f t="shared" si="646"/>
        <v>0</v>
      </c>
      <c r="FI734" s="4">
        <f t="shared" si="646"/>
        <v>0</v>
      </c>
      <c r="FJ734" s="4">
        <f t="shared" si="646"/>
        <v>0</v>
      </c>
      <c r="FK734" s="4">
        <f t="shared" si="646"/>
        <v>0</v>
      </c>
      <c r="FL734" s="4">
        <f t="shared" si="646"/>
        <v>0</v>
      </c>
      <c r="FM734" s="4">
        <f t="shared" si="646"/>
        <v>0</v>
      </c>
      <c r="FN734" s="4">
        <f t="shared" si="646"/>
        <v>0</v>
      </c>
      <c r="FO734" s="4">
        <f t="shared" si="646"/>
        <v>0</v>
      </c>
      <c r="FP734" s="4">
        <f t="shared" si="646"/>
        <v>0</v>
      </c>
      <c r="FQ734" s="4">
        <f t="shared" si="646"/>
        <v>14211.64</v>
      </c>
      <c r="FR734" s="4">
        <f t="shared" si="646"/>
        <v>0</v>
      </c>
      <c r="FS734" s="4">
        <f t="shared" ref="FS734:GX734" si="647">FS759</f>
        <v>86942.82</v>
      </c>
      <c r="FT734" s="4">
        <f t="shared" si="647"/>
        <v>72731.179999999993</v>
      </c>
      <c r="FU734" s="4">
        <f t="shared" si="647"/>
        <v>0</v>
      </c>
      <c r="FV734" s="4">
        <f t="shared" si="647"/>
        <v>0</v>
      </c>
      <c r="FW734" s="4">
        <f t="shared" si="647"/>
        <v>86942.82</v>
      </c>
      <c r="FX734" s="4">
        <f t="shared" si="647"/>
        <v>72731.180000000008</v>
      </c>
      <c r="FY734" s="4">
        <f t="shared" si="647"/>
        <v>0</v>
      </c>
      <c r="FZ734" s="4">
        <f t="shared" si="647"/>
        <v>72731.180000000008</v>
      </c>
      <c r="GA734" s="4">
        <f t="shared" si="647"/>
        <v>14211.64</v>
      </c>
      <c r="GB734" s="4">
        <f t="shared" si="647"/>
        <v>0</v>
      </c>
      <c r="GC734" s="4">
        <f t="shared" si="647"/>
        <v>0</v>
      </c>
      <c r="GD734" s="4">
        <f t="shared" si="647"/>
        <v>0</v>
      </c>
      <c r="GE734" s="4">
        <f t="shared" si="647"/>
        <v>0</v>
      </c>
      <c r="GF734" s="4">
        <f t="shared" si="647"/>
        <v>0</v>
      </c>
      <c r="GG734" s="4">
        <f t="shared" si="647"/>
        <v>0</v>
      </c>
      <c r="GH734" s="4">
        <f t="shared" si="647"/>
        <v>0</v>
      </c>
      <c r="GI734" s="4">
        <f t="shared" si="647"/>
        <v>0</v>
      </c>
      <c r="GJ734" s="4">
        <f t="shared" si="647"/>
        <v>0</v>
      </c>
      <c r="GK734" s="4">
        <f t="shared" si="647"/>
        <v>0</v>
      </c>
      <c r="GL734" s="4">
        <f t="shared" si="647"/>
        <v>0</v>
      </c>
      <c r="GM734" s="4">
        <f t="shared" si="647"/>
        <v>0</v>
      </c>
      <c r="GN734" s="4">
        <f t="shared" si="647"/>
        <v>0</v>
      </c>
      <c r="GO734" s="4">
        <f t="shared" si="647"/>
        <v>0</v>
      </c>
      <c r="GP734" s="4">
        <f t="shared" si="647"/>
        <v>0</v>
      </c>
      <c r="GQ734" s="4">
        <f t="shared" si="647"/>
        <v>0</v>
      </c>
      <c r="GR734" s="4">
        <f t="shared" si="647"/>
        <v>0</v>
      </c>
      <c r="GS734" s="4">
        <f t="shared" si="647"/>
        <v>0</v>
      </c>
      <c r="GT734" s="4">
        <f t="shared" si="647"/>
        <v>0</v>
      </c>
      <c r="GU734" s="4">
        <f t="shared" si="647"/>
        <v>0</v>
      </c>
      <c r="GV734" s="4">
        <f t="shared" si="647"/>
        <v>0</v>
      </c>
      <c r="GW734" s="4">
        <f t="shared" si="647"/>
        <v>0</v>
      </c>
      <c r="GX734" s="4">
        <f t="shared" si="647"/>
        <v>0</v>
      </c>
    </row>
    <row r="736" spans="1:255" x14ac:dyDescent="0.2">
      <c r="A736" s="2">
        <v>17</v>
      </c>
      <c r="B736" s="2">
        <v>1</v>
      </c>
      <c r="C736" s="2"/>
      <c r="D736" s="2"/>
      <c r="E736" s="2" t="s">
        <v>290</v>
      </c>
      <c r="F736" s="2" t="s">
        <v>248</v>
      </c>
      <c r="G736" s="2" t="s">
        <v>703</v>
      </c>
      <c r="H736" s="2" t="s">
        <v>250</v>
      </c>
      <c r="I736" s="2">
        <v>1</v>
      </c>
      <c r="J736" s="2">
        <v>0</v>
      </c>
      <c r="K736" s="2">
        <v>1</v>
      </c>
      <c r="L736" s="2"/>
      <c r="M736" s="2"/>
      <c r="N736" s="2"/>
      <c r="O736" s="2">
        <f t="shared" ref="O736:O757" si="648">ROUND(CP736,2)</f>
        <v>2261.1999999999998</v>
      </c>
      <c r="P736" s="2">
        <f>ROUND(CQ736*I736,2)</f>
        <v>2261.1999999999998</v>
      </c>
      <c r="Q736" s="2">
        <f>ROUND(CR736*I736,2)</f>
        <v>0</v>
      </c>
      <c r="R736" s="2">
        <f>ROUND(CS736*I736,2)</f>
        <v>0</v>
      </c>
      <c r="S736" s="2">
        <f>ROUND(CT736*I736,2)</f>
        <v>0</v>
      </c>
      <c r="T736" s="2">
        <f t="shared" ref="T736:T757" si="649">ROUND(CU736*I736,2)</f>
        <v>0</v>
      </c>
      <c r="U736" s="2">
        <f t="shared" ref="U736:U757" si="650">CV736*I736</f>
        <v>0</v>
      </c>
      <c r="V736" s="2">
        <f t="shared" ref="V736:V757" si="651">CW736*I736</f>
        <v>0</v>
      </c>
      <c r="W736" s="2">
        <f t="shared" ref="W736:W757" si="652">ROUND(CX736*I736,2)</f>
        <v>0</v>
      </c>
      <c r="X736" s="2">
        <f t="shared" ref="X736:X757" si="653">ROUND(CY736,2)</f>
        <v>0</v>
      </c>
      <c r="Y736" s="2">
        <f t="shared" ref="Y736:Y757" si="654">ROUND(CZ736,2)</f>
        <v>0</v>
      </c>
      <c r="Z736" s="2"/>
      <c r="AA736" s="2">
        <v>129761636</v>
      </c>
      <c r="AB736" s="2">
        <f t="shared" ref="AB736:AB757" si="655">ROUND((AC736+AD736+AF736),6)</f>
        <v>2261.1999999999998</v>
      </c>
      <c r="AC736" s="2">
        <f t="shared" ref="AC736:AF739" si="656">ROUND((ES736),6)</f>
        <v>2261.1999999999998</v>
      </c>
      <c r="AD736" s="2">
        <f t="shared" si="656"/>
        <v>0</v>
      </c>
      <c r="AE736" s="2">
        <f t="shared" si="656"/>
        <v>0</v>
      </c>
      <c r="AF736" s="2">
        <f t="shared" si="656"/>
        <v>0</v>
      </c>
      <c r="AG736" s="2">
        <f t="shared" ref="AG736:AG757" si="657">ROUND((AP736),6)</f>
        <v>0</v>
      </c>
      <c r="AH736" s="2">
        <f t="shared" ref="AH736:AH757" si="658">(EW736)</f>
        <v>0</v>
      </c>
      <c r="AI736" s="2">
        <f t="shared" ref="AI736:AI757" si="659">(EX736)</f>
        <v>0</v>
      </c>
      <c r="AJ736" s="2">
        <f t="shared" ref="AJ736:AJ757" si="660">(AS736)</f>
        <v>0</v>
      </c>
      <c r="AK736" s="2">
        <v>2261.2000000000003</v>
      </c>
      <c r="AL736" s="2">
        <v>2261.2000000000003</v>
      </c>
      <c r="AM736" s="2">
        <v>0</v>
      </c>
      <c r="AN736" s="2">
        <v>0</v>
      </c>
      <c r="AO736" s="2">
        <v>0</v>
      </c>
      <c r="AP736" s="2">
        <v>0</v>
      </c>
      <c r="AQ736" s="2">
        <v>0</v>
      </c>
      <c r="AR736" s="2">
        <v>0</v>
      </c>
      <c r="AS736" s="2">
        <v>0</v>
      </c>
      <c r="AT736" s="2">
        <v>0</v>
      </c>
      <c r="AU736" s="2">
        <v>0</v>
      </c>
      <c r="AV736" s="2">
        <v>1</v>
      </c>
      <c r="AW736" s="2">
        <v>1</v>
      </c>
      <c r="AX736" s="2"/>
      <c r="AY736" s="2"/>
      <c r="AZ736" s="2">
        <v>1</v>
      </c>
      <c r="BA736" s="2">
        <v>1</v>
      </c>
      <c r="BB736" s="2">
        <v>1</v>
      </c>
      <c r="BC736" s="2">
        <v>1</v>
      </c>
      <c r="BD736" s="2" t="s">
        <v>3</v>
      </c>
      <c r="BE736" s="2" t="s">
        <v>3</v>
      </c>
      <c r="BF736" s="2" t="s">
        <v>3</v>
      </c>
      <c r="BG736" s="2" t="s">
        <v>3</v>
      </c>
      <c r="BH736" s="2">
        <v>3</v>
      </c>
      <c r="BI736" s="2">
        <v>1</v>
      </c>
      <c r="BJ736" s="2" t="s">
        <v>3</v>
      </c>
      <c r="BK736" s="2"/>
      <c r="BL736" s="2"/>
      <c r="BM736" s="2">
        <v>700003</v>
      </c>
      <c r="BN736" s="2">
        <v>0</v>
      </c>
      <c r="BO736" s="2" t="s">
        <v>3</v>
      </c>
      <c r="BP736" s="2">
        <v>0</v>
      </c>
      <c r="BQ736" s="2">
        <v>206</v>
      </c>
      <c r="BR736" s="2">
        <v>0</v>
      </c>
      <c r="BS736" s="2">
        <v>1</v>
      </c>
      <c r="BT736" s="2">
        <v>1</v>
      </c>
      <c r="BU736" s="2">
        <v>1</v>
      </c>
      <c r="BV736" s="2">
        <v>1</v>
      </c>
      <c r="BW736" s="2">
        <v>1</v>
      </c>
      <c r="BX736" s="2">
        <v>1</v>
      </c>
      <c r="BY736" s="2" t="s">
        <v>3</v>
      </c>
      <c r="BZ736" s="2">
        <v>0</v>
      </c>
      <c r="CA736" s="2">
        <v>0</v>
      </c>
      <c r="CB736" s="2" t="s">
        <v>3</v>
      </c>
      <c r="CC736" s="2"/>
      <c r="CD736" s="2"/>
      <c r="CE736" s="2">
        <v>0</v>
      </c>
      <c r="CF736" s="2">
        <v>0</v>
      </c>
      <c r="CG736" s="2">
        <v>0</v>
      </c>
      <c r="CH736" s="2"/>
      <c r="CI736" s="2"/>
      <c r="CJ736" s="2"/>
      <c r="CK736" s="2"/>
      <c r="CL736" s="2"/>
      <c r="CM736" s="2">
        <v>0</v>
      </c>
      <c r="CN736" s="2" t="s">
        <v>3</v>
      </c>
      <c r="CO736" s="2">
        <v>0</v>
      </c>
      <c r="CP736" s="2">
        <f t="shared" ref="CP736:CP757" si="661">(P736+Q736+S736)</f>
        <v>2261.1999999999998</v>
      </c>
      <c r="CQ736" s="2">
        <f>(AC736*BC736*AW736)</f>
        <v>2261.1999999999998</v>
      </c>
      <c r="CR736" s="2">
        <f>AD736*BB736</f>
        <v>0</v>
      </c>
      <c r="CS736" s="2">
        <f>AE736*BS736</f>
        <v>0</v>
      </c>
      <c r="CT736" s="2">
        <f>AF736*BA736</f>
        <v>0</v>
      </c>
      <c r="CU736" s="2">
        <f t="shared" ref="CU736:CX739" si="662">AG736</f>
        <v>0</v>
      </c>
      <c r="CV736" s="2">
        <f t="shared" si="662"/>
        <v>0</v>
      </c>
      <c r="CW736" s="2">
        <f t="shared" si="662"/>
        <v>0</v>
      </c>
      <c r="CX736" s="2">
        <f t="shared" si="662"/>
        <v>0</v>
      </c>
      <c r="CY736" s="2">
        <f>0</f>
        <v>0</v>
      </c>
      <c r="CZ736" s="2">
        <f>0</f>
        <v>0</v>
      </c>
      <c r="DA736" s="2"/>
      <c r="DB736" s="2"/>
      <c r="DC736" s="2" t="s">
        <v>3</v>
      </c>
      <c r="DD736" s="2" t="s">
        <v>3</v>
      </c>
      <c r="DE736" s="2" t="s">
        <v>3</v>
      </c>
      <c r="DF736" s="2" t="s">
        <v>3</v>
      </c>
      <c r="DG736" s="2" t="s">
        <v>3</v>
      </c>
      <c r="DH736" s="2" t="s">
        <v>3</v>
      </c>
      <c r="DI736" s="2" t="s">
        <v>3</v>
      </c>
      <c r="DJ736" s="2" t="s">
        <v>3</v>
      </c>
      <c r="DK736" s="2" t="s">
        <v>3</v>
      </c>
      <c r="DL736" s="2" t="s">
        <v>3</v>
      </c>
      <c r="DM736" s="2" t="s">
        <v>3</v>
      </c>
      <c r="DN736" s="2">
        <v>0</v>
      </c>
      <c r="DO736" s="2">
        <v>0</v>
      </c>
      <c r="DP736" s="2">
        <v>1</v>
      </c>
      <c r="DQ736" s="2">
        <v>1</v>
      </c>
      <c r="DR736" s="2"/>
      <c r="DS736" s="2"/>
      <c r="DT736" s="2"/>
      <c r="DU736" s="2">
        <v>1010</v>
      </c>
      <c r="DV736" s="2" t="s">
        <v>250</v>
      </c>
      <c r="DW736" s="2" t="s">
        <v>250</v>
      </c>
      <c r="DX736" s="2">
        <v>1</v>
      </c>
      <c r="DY736" s="2"/>
      <c r="DZ736" s="2" t="s">
        <v>3</v>
      </c>
      <c r="EA736" s="2" t="s">
        <v>3</v>
      </c>
      <c r="EB736" s="2" t="s">
        <v>3</v>
      </c>
      <c r="EC736" s="2" t="s">
        <v>3</v>
      </c>
      <c r="ED736" s="2"/>
      <c r="EE736" s="2">
        <v>126053677</v>
      </c>
      <c r="EF736" s="2">
        <v>206</v>
      </c>
      <c r="EG736" s="2" t="s">
        <v>704</v>
      </c>
      <c r="EH736" s="2">
        <v>0</v>
      </c>
      <c r="EI736" s="2" t="s">
        <v>3</v>
      </c>
      <c r="EJ736" s="2">
        <v>1</v>
      </c>
      <c r="EK736" s="2">
        <v>700003</v>
      </c>
      <c r="EL736" s="2" t="s">
        <v>704</v>
      </c>
      <c r="EM736" s="2" t="s">
        <v>705</v>
      </c>
      <c r="EN736" s="2"/>
      <c r="EO736" s="2" t="s">
        <v>3</v>
      </c>
      <c r="EP736" s="2"/>
      <c r="EQ736" s="2">
        <v>131072</v>
      </c>
      <c r="ER736" s="2">
        <v>2261.2000000000003</v>
      </c>
      <c r="ES736" s="2">
        <v>2261.2000000000003</v>
      </c>
      <c r="ET736" s="2">
        <v>0</v>
      </c>
      <c r="EU736" s="2">
        <v>0</v>
      </c>
      <c r="EV736" s="2">
        <v>0</v>
      </c>
      <c r="EW736" s="2">
        <v>0</v>
      </c>
      <c r="EX736" s="2">
        <v>0</v>
      </c>
      <c r="EY736" s="2">
        <v>0</v>
      </c>
      <c r="EZ736" s="2"/>
      <c r="FA736" s="2"/>
      <c r="FB736" s="2"/>
      <c r="FC736" s="2"/>
      <c r="FD736" s="2"/>
      <c r="FE736" s="2"/>
      <c r="FF736" s="2"/>
      <c r="FG736" s="2"/>
      <c r="FH736" s="2"/>
      <c r="FI736" s="2"/>
      <c r="FJ736" s="2"/>
      <c r="FK736" s="2"/>
      <c r="FL736" s="2"/>
      <c r="FM736" s="2"/>
      <c r="FN736" s="2"/>
      <c r="FO736" s="2"/>
      <c r="FP736" s="2"/>
      <c r="FQ736" s="2">
        <v>0</v>
      </c>
      <c r="FR736" s="2">
        <f t="shared" ref="FR736:FR757" si="663">ROUND(IF(AND(BH736=3,BI736=3),P736,0),2)</f>
        <v>0</v>
      </c>
      <c r="FS736" s="2">
        <v>0</v>
      </c>
      <c r="FT736" s="2"/>
      <c r="FU736" s="2"/>
      <c r="FV736" s="2"/>
      <c r="FW736" s="2"/>
      <c r="FX736" s="2">
        <v>0</v>
      </c>
      <c r="FY736" s="2">
        <v>0</v>
      </c>
      <c r="FZ736" s="2"/>
      <c r="GA736" s="2" t="s">
        <v>3</v>
      </c>
      <c r="GB736" s="2"/>
      <c r="GC736" s="2"/>
      <c r="GD736" s="2">
        <v>0</v>
      </c>
      <c r="GE736" s="2"/>
      <c r="GF736" s="2">
        <v>1378448032</v>
      </c>
      <c r="GG736" s="2">
        <v>2</v>
      </c>
      <c r="GH736" s="2">
        <v>0</v>
      </c>
      <c r="GI736" s="2">
        <v>-2</v>
      </c>
      <c r="GJ736" s="2">
        <v>0</v>
      </c>
      <c r="GK736" s="2">
        <f>ROUND(R736*(R12)/100,2)</f>
        <v>0</v>
      </c>
      <c r="GL736" s="2">
        <f t="shared" ref="GL736:GL757" si="664">ROUND(IF(AND(BH736=3,BI736=3,FS736&lt;&gt;0),P736,0),2)</f>
        <v>0</v>
      </c>
      <c r="GM736" s="2">
        <f t="shared" ref="GM736:GM757" si="665">ROUND(O736+X736+Y736+GK736,2)+GX736</f>
        <v>2261.1999999999998</v>
      </c>
      <c r="GN736" s="2">
        <f t="shared" ref="GN736:GN757" si="666">IF(OR(BI736=0,BI736=1),ROUND(O736+X736+Y736+GK736,2),0)</f>
        <v>2261.1999999999998</v>
      </c>
      <c r="GO736" s="2">
        <f t="shared" ref="GO736:GO757" si="667">IF(BI736=2,ROUND(O736+X736+Y736+GK736,2),0)</f>
        <v>0</v>
      </c>
      <c r="GP736" s="2">
        <f t="shared" ref="GP736:GP757" si="668">IF(BI736=4,ROUND(O736+X736+Y736+GK736,2)+GX736,0)</f>
        <v>0</v>
      </c>
      <c r="GQ736" s="2"/>
      <c r="GR736" s="2">
        <v>0</v>
      </c>
      <c r="GS736" s="2">
        <v>0</v>
      </c>
      <c r="GT736" s="2">
        <v>0</v>
      </c>
      <c r="GU736" s="2" t="s">
        <v>3</v>
      </c>
      <c r="GV736" s="2">
        <f t="shared" ref="GV736:GV757" si="669">ROUND((GT736),6)</f>
        <v>0</v>
      </c>
      <c r="GW736" s="2">
        <v>1</v>
      </c>
      <c r="GX736" s="2">
        <f t="shared" ref="GX736:GX757" si="670">ROUND(HC736*I736,2)</f>
        <v>0</v>
      </c>
      <c r="GY736" s="2"/>
      <c r="GZ736" s="2"/>
      <c r="HA736" s="2">
        <v>0</v>
      </c>
      <c r="HB736" s="2">
        <v>0</v>
      </c>
      <c r="HC736" s="2">
        <f t="shared" ref="HC736:HC757" si="671">GV736*GW736</f>
        <v>0</v>
      </c>
      <c r="HD736" s="2"/>
      <c r="HE736" s="2" t="s">
        <v>3</v>
      </c>
      <c r="HF736" s="2" t="s">
        <v>3</v>
      </c>
      <c r="HG736" s="2"/>
      <c r="HH736" s="2"/>
      <c r="HI736" s="2"/>
      <c r="HJ736" s="2"/>
      <c r="HK736" s="2"/>
      <c r="HL736" s="2"/>
      <c r="HM736" s="2" t="s">
        <v>3</v>
      </c>
      <c r="HN736" s="2" t="s">
        <v>3</v>
      </c>
      <c r="HO736" s="2" t="s">
        <v>3</v>
      </c>
      <c r="HP736" s="2" t="s">
        <v>3</v>
      </c>
      <c r="HQ736" s="2" t="s">
        <v>3</v>
      </c>
      <c r="HR736" s="2"/>
      <c r="HS736" s="2"/>
      <c r="HT736" s="2"/>
      <c r="HU736" s="2"/>
      <c r="HV736" s="2"/>
      <c r="HW736" s="2"/>
      <c r="HX736" s="2"/>
      <c r="HY736" s="2"/>
      <c r="HZ736" s="2"/>
      <c r="IA736" s="2"/>
      <c r="IB736" s="2"/>
      <c r="IC736" s="2"/>
      <c r="ID736" s="2"/>
      <c r="IE736" s="2"/>
      <c r="IF736" s="2"/>
      <c r="IG736" s="2"/>
      <c r="IH736" s="2"/>
      <c r="II736" s="2"/>
      <c r="IJ736" s="2"/>
      <c r="IK736" s="2">
        <v>0</v>
      </c>
      <c r="IL736" s="2"/>
      <c r="IM736" s="2"/>
      <c r="IN736" s="2"/>
      <c r="IO736" s="2"/>
      <c r="IP736" s="2"/>
      <c r="IQ736" s="2"/>
      <c r="IR736" s="2"/>
      <c r="IS736" s="2"/>
      <c r="IT736" s="2"/>
      <c r="IU736" s="2"/>
    </row>
    <row r="737" spans="1:255" x14ac:dyDescent="0.2">
      <c r="A737">
        <v>17</v>
      </c>
      <c r="B737">
        <v>1</v>
      </c>
      <c r="E737" t="s">
        <v>290</v>
      </c>
      <c r="F737" t="s">
        <v>248</v>
      </c>
      <c r="G737" t="s">
        <v>703</v>
      </c>
      <c r="H737" t="s">
        <v>250</v>
      </c>
      <c r="I737">
        <v>1</v>
      </c>
      <c r="J737">
        <v>0</v>
      </c>
      <c r="K737">
        <v>1</v>
      </c>
      <c r="O737">
        <f t="shared" si="648"/>
        <v>4114.03</v>
      </c>
      <c r="P737">
        <f>ROUND(CQ737*I737,2)</f>
        <v>4114.03</v>
      </c>
      <c r="Q737">
        <f>ROUND(CR737*I737,2)</f>
        <v>0</v>
      </c>
      <c r="R737">
        <f>ROUND(CS737*I737,2)</f>
        <v>0</v>
      </c>
      <c r="S737">
        <f>ROUND(CT737*I737,2)</f>
        <v>0</v>
      </c>
      <c r="T737">
        <f t="shared" si="649"/>
        <v>0</v>
      </c>
      <c r="U737">
        <f t="shared" si="650"/>
        <v>0</v>
      </c>
      <c r="V737">
        <f t="shared" si="651"/>
        <v>0</v>
      </c>
      <c r="W737">
        <f t="shared" si="652"/>
        <v>0</v>
      </c>
      <c r="X737">
        <f t="shared" si="653"/>
        <v>0</v>
      </c>
      <c r="Y737">
        <f t="shared" si="654"/>
        <v>0</v>
      </c>
      <c r="AA737">
        <v>129761633</v>
      </c>
      <c r="AB737">
        <f t="shared" si="655"/>
        <v>475.61</v>
      </c>
      <c r="AC737">
        <f t="shared" si="656"/>
        <v>475.61</v>
      </c>
      <c r="AD737">
        <f t="shared" si="656"/>
        <v>0</v>
      </c>
      <c r="AE737">
        <f t="shared" si="656"/>
        <v>0</v>
      </c>
      <c r="AF737">
        <f t="shared" si="656"/>
        <v>0</v>
      </c>
      <c r="AG737">
        <f t="shared" si="657"/>
        <v>0</v>
      </c>
      <c r="AH737">
        <f t="shared" si="658"/>
        <v>0</v>
      </c>
      <c r="AI737">
        <f t="shared" si="659"/>
        <v>0</v>
      </c>
      <c r="AJ737">
        <f t="shared" si="660"/>
        <v>0</v>
      </c>
      <c r="AK737">
        <v>475.60999999999996</v>
      </c>
      <c r="AL737">
        <v>475.60999999999996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1</v>
      </c>
      <c r="AW737">
        <v>1</v>
      </c>
      <c r="AZ737">
        <v>1</v>
      </c>
      <c r="BA737">
        <v>1</v>
      </c>
      <c r="BB737">
        <v>1</v>
      </c>
      <c r="BC737">
        <v>8.65</v>
      </c>
      <c r="BD737" t="s">
        <v>3</v>
      </c>
      <c r="BE737" t="s">
        <v>3</v>
      </c>
      <c r="BF737" t="s">
        <v>3</v>
      </c>
      <c r="BG737" t="s">
        <v>3</v>
      </c>
      <c r="BH737">
        <v>3</v>
      </c>
      <c r="BI737">
        <v>1</v>
      </c>
      <c r="BJ737" t="s">
        <v>3</v>
      </c>
      <c r="BM737">
        <v>700003</v>
      </c>
      <c r="BN737">
        <v>0</v>
      </c>
      <c r="BO737" t="s">
        <v>3</v>
      </c>
      <c r="BP737">
        <v>0</v>
      </c>
      <c r="BQ737">
        <v>206</v>
      </c>
      <c r="BR737">
        <v>0</v>
      </c>
      <c r="BS737">
        <v>1</v>
      </c>
      <c r="BT737">
        <v>1</v>
      </c>
      <c r="BU737">
        <v>1</v>
      </c>
      <c r="BV737">
        <v>1</v>
      </c>
      <c r="BW737">
        <v>1</v>
      </c>
      <c r="BX737">
        <v>1</v>
      </c>
      <c r="BY737" t="s">
        <v>3</v>
      </c>
      <c r="BZ737">
        <v>0</v>
      </c>
      <c r="CA737">
        <v>0</v>
      </c>
      <c r="CB737" t="s">
        <v>3</v>
      </c>
      <c r="CE737">
        <v>0</v>
      </c>
      <c r="CF737">
        <v>0</v>
      </c>
      <c r="CG737">
        <v>0</v>
      </c>
      <c r="CM737">
        <v>0</v>
      </c>
      <c r="CN737" t="s">
        <v>3</v>
      </c>
      <c r="CO737">
        <v>0</v>
      </c>
      <c r="CP737">
        <f t="shared" si="661"/>
        <v>4114.03</v>
      </c>
      <c r="CQ737">
        <f>(AC737*BC737*AW737)</f>
        <v>4114.0264999999999</v>
      </c>
      <c r="CR737">
        <f>AD737*BB737</f>
        <v>0</v>
      </c>
      <c r="CS737">
        <f>AE737*BS737</f>
        <v>0</v>
      </c>
      <c r="CT737">
        <f>AF737*BA737</f>
        <v>0</v>
      </c>
      <c r="CU737">
        <f t="shared" si="662"/>
        <v>0</v>
      </c>
      <c r="CV737">
        <f t="shared" si="662"/>
        <v>0</v>
      </c>
      <c r="CW737">
        <f t="shared" si="662"/>
        <v>0</v>
      </c>
      <c r="CX737">
        <f t="shared" si="662"/>
        <v>0</v>
      </c>
      <c r="CY737">
        <f>S737*(BZ737/100)</f>
        <v>0</v>
      </c>
      <c r="CZ737">
        <f>S737*(CA737/100)</f>
        <v>0</v>
      </c>
      <c r="DC737" t="s">
        <v>3</v>
      </c>
      <c r="DD737" t="s">
        <v>3</v>
      </c>
      <c r="DE737" t="s">
        <v>3</v>
      </c>
      <c r="DF737" t="s">
        <v>3</v>
      </c>
      <c r="DG737" t="s">
        <v>3</v>
      </c>
      <c r="DH737" t="s">
        <v>3</v>
      </c>
      <c r="DI737" t="s">
        <v>3</v>
      </c>
      <c r="DJ737" t="s">
        <v>3</v>
      </c>
      <c r="DK737" t="s">
        <v>3</v>
      </c>
      <c r="DL737" t="s">
        <v>3</v>
      </c>
      <c r="DM737" t="s">
        <v>3</v>
      </c>
      <c r="DN737">
        <v>0</v>
      </c>
      <c r="DO737">
        <v>0</v>
      </c>
      <c r="DP737">
        <v>1</v>
      </c>
      <c r="DQ737">
        <v>1</v>
      </c>
      <c r="DU737">
        <v>1010</v>
      </c>
      <c r="DV737" t="s">
        <v>250</v>
      </c>
      <c r="DW737" t="s">
        <v>250</v>
      </c>
      <c r="DX737">
        <v>1</v>
      </c>
      <c r="DZ737" t="s">
        <v>3</v>
      </c>
      <c r="EA737" t="s">
        <v>3</v>
      </c>
      <c r="EB737" t="s">
        <v>3</v>
      </c>
      <c r="EC737" t="s">
        <v>3</v>
      </c>
      <c r="EE737">
        <v>126053677</v>
      </c>
      <c r="EF737">
        <v>206</v>
      </c>
      <c r="EG737" t="s">
        <v>704</v>
      </c>
      <c r="EH737">
        <v>0</v>
      </c>
      <c r="EI737" t="s">
        <v>3</v>
      </c>
      <c r="EJ737">
        <v>1</v>
      </c>
      <c r="EK737">
        <v>700003</v>
      </c>
      <c r="EL737" t="s">
        <v>704</v>
      </c>
      <c r="EM737" t="s">
        <v>705</v>
      </c>
      <c r="EO737" t="s">
        <v>3</v>
      </c>
      <c r="EQ737">
        <v>131072</v>
      </c>
      <c r="ER737">
        <v>475.60999999999996</v>
      </c>
      <c r="ES737">
        <v>475.60999999999996</v>
      </c>
      <c r="ET737">
        <v>0</v>
      </c>
      <c r="EU737">
        <v>0</v>
      </c>
      <c r="EV737">
        <v>0</v>
      </c>
      <c r="EW737">
        <v>0</v>
      </c>
      <c r="EX737">
        <v>0</v>
      </c>
      <c r="EY737">
        <v>0</v>
      </c>
      <c r="EZ737">
        <v>5</v>
      </c>
      <c r="FC737">
        <v>1</v>
      </c>
      <c r="FD737">
        <v>18</v>
      </c>
      <c r="FF737">
        <v>4840</v>
      </c>
      <c r="FQ737">
        <v>0</v>
      </c>
      <c r="FR737">
        <f t="shared" si="663"/>
        <v>0</v>
      </c>
      <c r="FS737">
        <v>0</v>
      </c>
      <c r="FX737">
        <v>0</v>
      </c>
      <c r="FY737">
        <v>0</v>
      </c>
      <c r="GA737" t="s">
        <v>706</v>
      </c>
      <c r="GD737">
        <v>0</v>
      </c>
      <c r="GF737">
        <v>1378448032</v>
      </c>
      <c r="GG737">
        <v>2</v>
      </c>
      <c r="GH737">
        <v>3</v>
      </c>
      <c r="GI737">
        <v>5</v>
      </c>
      <c r="GJ737">
        <v>0</v>
      </c>
      <c r="GK737">
        <f>ROUND(R737*(S12)/100,2)</f>
        <v>0</v>
      </c>
      <c r="GL737">
        <f t="shared" si="664"/>
        <v>0</v>
      </c>
      <c r="GM737">
        <f t="shared" si="665"/>
        <v>4114.03</v>
      </c>
      <c r="GN737">
        <f t="shared" si="666"/>
        <v>4114.03</v>
      </c>
      <c r="GO737">
        <f t="shared" si="667"/>
        <v>0</v>
      </c>
      <c r="GP737">
        <f t="shared" si="668"/>
        <v>0</v>
      </c>
      <c r="GR737">
        <v>1</v>
      </c>
      <c r="GS737">
        <v>1</v>
      </c>
      <c r="GT737">
        <v>0</v>
      </c>
      <c r="GU737" t="s">
        <v>3</v>
      </c>
      <c r="GV737">
        <f t="shared" si="669"/>
        <v>0</v>
      </c>
      <c r="GW737">
        <v>1</v>
      </c>
      <c r="GX737">
        <f t="shared" si="670"/>
        <v>0</v>
      </c>
      <c r="HA737">
        <v>0</v>
      </c>
      <c r="HB737">
        <v>0</v>
      </c>
      <c r="HC737">
        <f t="shared" si="671"/>
        <v>0</v>
      </c>
      <c r="HE737" t="s">
        <v>81</v>
      </c>
      <c r="HF737" t="s">
        <v>252</v>
      </c>
      <c r="HM737" t="s">
        <v>3</v>
      </c>
      <c r="HN737" t="s">
        <v>3</v>
      </c>
      <c r="HO737" t="s">
        <v>3</v>
      </c>
      <c r="HP737" t="s">
        <v>3</v>
      </c>
      <c r="HQ737" t="s">
        <v>3</v>
      </c>
      <c r="IK737">
        <v>0</v>
      </c>
    </row>
    <row r="738" spans="1:255" x14ac:dyDescent="0.2">
      <c r="A738" s="2">
        <v>17</v>
      </c>
      <c r="B738" s="2">
        <v>1</v>
      </c>
      <c r="C738" s="2"/>
      <c r="D738" s="2"/>
      <c r="E738" s="2" t="s">
        <v>297</v>
      </c>
      <c r="F738" s="2" t="s">
        <v>248</v>
      </c>
      <c r="G738" s="2" t="s">
        <v>707</v>
      </c>
      <c r="H738" s="2" t="s">
        <v>250</v>
      </c>
      <c r="I738" s="2">
        <v>1</v>
      </c>
      <c r="J738" s="2">
        <v>0</v>
      </c>
      <c r="K738" s="2">
        <v>1</v>
      </c>
      <c r="L738" s="2"/>
      <c r="M738" s="2"/>
      <c r="N738" s="2"/>
      <c r="O738" s="2">
        <f t="shared" si="648"/>
        <v>2154.35</v>
      </c>
      <c r="P738" s="2">
        <f>ROUND(CQ738*I738,2)</f>
        <v>2154.35</v>
      </c>
      <c r="Q738" s="2">
        <f>ROUND(CR738*I738,2)</f>
        <v>0</v>
      </c>
      <c r="R738" s="2">
        <f>ROUND(CS738*I738,2)</f>
        <v>0</v>
      </c>
      <c r="S738" s="2">
        <f>ROUND(CT738*I738,2)</f>
        <v>0</v>
      </c>
      <c r="T738" s="2">
        <f t="shared" si="649"/>
        <v>0</v>
      </c>
      <c r="U738" s="2">
        <f t="shared" si="650"/>
        <v>0</v>
      </c>
      <c r="V738" s="2">
        <f t="shared" si="651"/>
        <v>0</v>
      </c>
      <c r="W738" s="2">
        <f t="shared" si="652"/>
        <v>0</v>
      </c>
      <c r="X738" s="2">
        <f t="shared" si="653"/>
        <v>0</v>
      </c>
      <c r="Y738" s="2">
        <f t="shared" si="654"/>
        <v>0</v>
      </c>
      <c r="Z738" s="2"/>
      <c r="AA738" s="2">
        <v>129761636</v>
      </c>
      <c r="AB738" s="2">
        <f t="shared" si="655"/>
        <v>2154.35</v>
      </c>
      <c r="AC738" s="2">
        <f t="shared" si="656"/>
        <v>2154.35</v>
      </c>
      <c r="AD738" s="2">
        <f t="shared" si="656"/>
        <v>0</v>
      </c>
      <c r="AE738" s="2">
        <f t="shared" si="656"/>
        <v>0</v>
      </c>
      <c r="AF738" s="2">
        <f t="shared" si="656"/>
        <v>0</v>
      </c>
      <c r="AG738" s="2">
        <f t="shared" si="657"/>
        <v>0</v>
      </c>
      <c r="AH738" s="2">
        <f t="shared" si="658"/>
        <v>0</v>
      </c>
      <c r="AI738" s="2">
        <f t="shared" si="659"/>
        <v>0</v>
      </c>
      <c r="AJ738" s="2">
        <f t="shared" si="660"/>
        <v>0</v>
      </c>
      <c r="AK738" s="2">
        <v>2154.3500000000004</v>
      </c>
      <c r="AL738" s="2">
        <v>2154.3500000000004</v>
      </c>
      <c r="AM738" s="2">
        <v>0</v>
      </c>
      <c r="AN738" s="2">
        <v>0</v>
      </c>
      <c r="AO738" s="2">
        <v>0</v>
      </c>
      <c r="AP738" s="2">
        <v>0</v>
      </c>
      <c r="AQ738" s="2">
        <v>0</v>
      </c>
      <c r="AR738" s="2">
        <v>0</v>
      </c>
      <c r="AS738" s="2">
        <v>0</v>
      </c>
      <c r="AT738" s="2">
        <v>0</v>
      </c>
      <c r="AU738" s="2">
        <v>0</v>
      </c>
      <c r="AV738" s="2">
        <v>1</v>
      </c>
      <c r="AW738" s="2">
        <v>1</v>
      </c>
      <c r="AX738" s="2"/>
      <c r="AY738" s="2"/>
      <c r="AZ738" s="2">
        <v>1</v>
      </c>
      <c r="BA738" s="2">
        <v>1</v>
      </c>
      <c r="BB738" s="2">
        <v>1</v>
      </c>
      <c r="BC738" s="2">
        <v>1</v>
      </c>
      <c r="BD738" s="2" t="s">
        <v>3</v>
      </c>
      <c r="BE738" s="2" t="s">
        <v>3</v>
      </c>
      <c r="BF738" s="2" t="s">
        <v>3</v>
      </c>
      <c r="BG738" s="2" t="s">
        <v>3</v>
      </c>
      <c r="BH738" s="2">
        <v>3</v>
      </c>
      <c r="BI738" s="2">
        <v>1</v>
      </c>
      <c r="BJ738" s="2" t="s">
        <v>3</v>
      </c>
      <c r="BK738" s="2"/>
      <c r="BL738" s="2"/>
      <c r="BM738" s="2">
        <v>700003</v>
      </c>
      <c r="BN738" s="2">
        <v>0</v>
      </c>
      <c r="BO738" s="2" t="s">
        <v>3</v>
      </c>
      <c r="BP738" s="2">
        <v>0</v>
      </c>
      <c r="BQ738" s="2">
        <v>206</v>
      </c>
      <c r="BR738" s="2">
        <v>0</v>
      </c>
      <c r="BS738" s="2">
        <v>1</v>
      </c>
      <c r="BT738" s="2">
        <v>1</v>
      </c>
      <c r="BU738" s="2">
        <v>1</v>
      </c>
      <c r="BV738" s="2">
        <v>1</v>
      </c>
      <c r="BW738" s="2">
        <v>1</v>
      </c>
      <c r="BX738" s="2">
        <v>1</v>
      </c>
      <c r="BY738" s="2" t="s">
        <v>3</v>
      </c>
      <c r="BZ738" s="2">
        <v>0</v>
      </c>
      <c r="CA738" s="2">
        <v>0</v>
      </c>
      <c r="CB738" s="2" t="s">
        <v>3</v>
      </c>
      <c r="CC738" s="2"/>
      <c r="CD738" s="2"/>
      <c r="CE738" s="2">
        <v>0</v>
      </c>
      <c r="CF738" s="2">
        <v>0</v>
      </c>
      <c r="CG738" s="2">
        <v>0</v>
      </c>
      <c r="CH738" s="2"/>
      <c r="CI738" s="2"/>
      <c r="CJ738" s="2"/>
      <c r="CK738" s="2"/>
      <c r="CL738" s="2"/>
      <c r="CM738" s="2">
        <v>0</v>
      </c>
      <c r="CN738" s="2" t="s">
        <v>3</v>
      </c>
      <c r="CO738" s="2">
        <v>0</v>
      </c>
      <c r="CP738" s="2">
        <f t="shared" si="661"/>
        <v>2154.35</v>
      </c>
      <c r="CQ738" s="2">
        <f>(AC738*BC738*AW738)</f>
        <v>2154.35</v>
      </c>
      <c r="CR738" s="2">
        <f>AD738*BB738</f>
        <v>0</v>
      </c>
      <c r="CS738" s="2">
        <f>AE738*BS738</f>
        <v>0</v>
      </c>
      <c r="CT738" s="2">
        <f>AF738*BA738</f>
        <v>0</v>
      </c>
      <c r="CU738" s="2">
        <f t="shared" si="662"/>
        <v>0</v>
      </c>
      <c r="CV738" s="2">
        <f t="shared" si="662"/>
        <v>0</v>
      </c>
      <c r="CW738" s="2">
        <f t="shared" si="662"/>
        <v>0</v>
      </c>
      <c r="CX738" s="2">
        <f t="shared" si="662"/>
        <v>0</v>
      </c>
      <c r="CY738" s="2">
        <f>0</f>
        <v>0</v>
      </c>
      <c r="CZ738" s="2">
        <f>0</f>
        <v>0</v>
      </c>
      <c r="DA738" s="2"/>
      <c r="DB738" s="2"/>
      <c r="DC738" s="2" t="s">
        <v>3</v>
      </c>
      <c r="DD738" s="2" t="s">
        <v>3</v>
      </c>
      <c r="DE738" s="2" t="s">
        <v>3</v>
      </c>
      <c r="DF738" s="2" t="s">
        <v>3</v>
      </c>
      <c r="DG738" s="2" t="s">
        <v>3</v>
      </c>
      <c r="DH738" s="2" t="s">
        <v>3</v>
      </c>
      <c r="DI738" s="2" t="s">
        <v>3</v>
      </c>
      <c r="DJ738" s="2" t="s">
        <v>3</v>
      </c>
      <c r="DK738" s="2" t="s">
        <v>3</v>
      </c>
      <c r="DL738" s="2" t="s">
        <v>3</v>
      </c>
      <c r="DM738" s="2" t="s">
        <v>3</v>
      </c>
      <c r="DN738" s="2">
        <v>0</v>
      </c>
      <c r="DO738" s="2">
        <v>0</v>
      </c>
      <c r="DP738" s="2">
        <v>1</v>
      </c>
      <c r="DQ738" s="2">
        <v>1</v>
      </c>
      <c r="DR738" s="2"/>
      <c r="DS738" s="2"/>
      <c r="DT738" s="2"/>
      <c r="DU738" s="2">
        <v>1010</v>
      </c>
      <c r="DV738" s="2" t="s">
        <v>250</v>
      </c>
      <c r="DW738" s="2" t="s">
        <v>250</v>
      </c>
      <c r="DX738" s="2">
        <v>1</v>
      </c>
      <c r="DY738" s="2"/>
      <c r="DZ738" s="2" t="s">
        <v>3</v>
      </c>
      <c r="EA738" s="2" t="s">
        <v>3</v>
      </c>
      <c r="EB738" s="2" t="s">
        <v>3</v>
      </c>
      <c r="EC738" s="2" t="s">
        <v>3</v>
      </c>
      <c r="ED738" s="2"/>
      <c r="EE738" s="2">
        <v>126053677</v>
      </c>
      <c r="EF738" s="2">
        <v>206</v>
      </c>
      <c r="EG738" s="2" t="s">
        <v>704</v>
      </c>
      <c r="EH738" s="2">
        <v>0</v>
      </c>
      <c r="EI738" s="2" t="s">
        <v>3</v>
      </c>
      <c r="EJ738" s="2">
        <v>1</v>
      </c>
      <c r="EK738" s="2">
        <v>700003</v>
      </c>
      <c r="EL738" s="2" t="s">
        <v>704</v>
      </c>
      <c r="EM738" s="2" t="s">
        <v>705</v>
      </c>
      <c r="EN738" s="2"/>
      <c r="EO738" s="2" t="s">
        <v>3</v>
      </c>
      <c r="EP738" s="2"/>
      <c r="EQ738" s="2">
        <v>131072</v>
      </c>
      <c r="ER738" s="2">
        <v>2154.3500000000004</v>
      </c>
      <c r="ES738" s="2">
        <v>2154.3500000000004</v>
      </c>
      <c r="ET738" s="2">
        <v>0</v>
      </c>
      <c r="EU738" s="2">
        <v>0</v>
      </c>
      <c r="EV738" s="2">
        <v>0</v>
      </c>
      <c r="EW738" s="2">
        <v>0</v>
      </c>
      <c r="EX738" s="2">
        <v>0</v>
      </c>
      <c r="EY738" s="2">
        <v>0</v>
      </c>
      <c r="EZ738" s="2"/>
      <c r="FA738" s="2"/>
      <c r="FB738" s="2"/>
      <c r="FC738" s="2"/>
      <c r="FD738" s="2"/>
      <c r="FE738" s="2"/>
      <c r="FF738" s="2"/>
      <c r="FG738" s="2"/>
      <c r="FH738" s="2"/>
      <c r="FI738" s="2"/>
      <c r="FJ738" s="2"/>
      <c r="FK738" s="2"/>
      <c r="FL738" s="2"/>
      <c r="FM738" s="2"/>
      <c r="FN738" s="2"/>
      <c r="FO738" s="2"/>
      <c r="FP738" s="2"/>
      <c r="FQ738" s="2">
        <v>0</v>
      </c>
      <c r="FR738" s="2">
        <f t="shared" si="663"/>
        <v>0</v>
      </c>
      <c r="FS738" s="2">
        <v>0</v>
      </c>
      <c r="FT738" s="2"/>
      <c r="FU738" s="2"/>
      <c r="FV738" s="2"/>
      <c r="FW738" s="2"/>
      <c r="FX738" s="2">
        <v>0</v>
      </c>
      <c r="FY738" s="2">
        <v>0</v>
      </c>
      <c r="FZ738" s="2"/>
      <c r="GA738" s="2" t="s">
        <v>3</v>
      </c>
      <c r="GB738" s="2"/>
      <c r="GC738" s="2"/>
      <c r="GD738" s="2">
        <v>0</v>
      </c>
      <c r="GE738" s="2"/>
      <c r="GF738" s="2">
        <v>981478686</v>
      </c>
      <c r="GG738" s="2">
        <v>2</v>
      </c>
      <c r="GH738" s="2">
        <v>0</v>
      </c>
      <c r="GI738" s="2">
        <v>-2</v>
      </c>
      <c r="GJ738" s="2">
        <v>0</v>
      </c>
      <c r="GK738" s="2">
        <f>ROUND(R738*(R12)/100,2)</f>
        <v>0</v>
      </c>
      <c r="GL738" s="2">
        <f t="shared" si="664"/>
        <v>0</v>
      </c>
      <c r="GM738" s="2">
        <f t="shared" si="665"/>
        <v>2154.35</v>
      </c>
      <c r="GN738" s="2">
        <f t="shared" si="666"/>
        <v>2154.35</v>
      </c>
      <c r="GO738" s="2">
        <f t="shared" si="667"/>
        <v>0</v>
      </c>
      <c r="GP738" s="2">
        <f t="shared" si="668"/>
        <v>0</v>
      </c>
      <c r="GQ738" s="2"/>
      <c r="GR738" s="2">
        <v>0</v>
      </c>
      <c r="GS738" s="2">
        <v>0</v>
      </c>
      <c r="GT738" s="2">
        <v>0</v>
      </c>
      <c r="GU738" s="2" t="s">
        <v>3</v>
      </c>
      <c r="GV738" s="2">
        <f t="shared" si="669"/>
        <v>0</v>
      </c>
      <c r="GW738" s="2">
        <v>1</v>
      </c>
      <c r="GX738" s="2">
        <f t="shared" si="670"/>
        <v>0</v>
      </c>
      <c r="GY738" s="2"/>
      <c r="GZ738" s="2"/>
      <c r="HA738" s="2">
        <v>0</v>
      </c>
      <c r="HB738" s="2">
        <v>0</v>
      </c>
      <c r="HC738" s="2">
        <f t="shared" si="671"/>
        <v>0</v>
      </c>
      <c r="HD738" s="2"/>
      <c r="HE738" s="2" t="s">
        <v>3</v>
      </c>
      <c r="HF738" s="2" t="s">
        <v>3</v>
      </c>
      <c r="HG738" s="2"/>
      <c r="HH738" s="2"/>
      <c r="HI738" s="2"/>
      <c r="HJ738" s="2"/>
      <c r="HK738" s="2"/>
      <c r="HL738" s="2"/>
      <c r="HM738" s="2" t="s">
        <v>3</v>
      </c>
      <c r="HN738" s="2" t="s">
        <v>3</v>
      </c>
      <c r="HO738" s="2" t="s">
        <v>3</v>
      </c>
      <c r="HP738" s="2" t="s">
        <v>3</v>
      </c>
      <c r="HQ738" s="2" t="s">
        <v>3</v>
      </c>
      <c r="HR738" s="2"/>
      <c r="HS738" s="2"/>
      <c r="HT738" s="2"/>
      <c r="HU738" s="2"/>
      <c r="HV738" s="2"/>
      <c r="HW738" s="2"/>
      <c r="HX738" s="2"/>
      <c r="HY738" s="2"/>
      <c r="HZ738" s="2"/>
      <c r="IA738" s="2"/>
      <c r="IB738" s="2"/>
      <c r="IC738" s="2"/>
      <c r="ID738" s="2"/>
      <c r="IE738" s="2"/>
      <c r="IF738" s="2"/>
      <c r="IG738" s="2"/>
      <c r="IH738" s="2"/>
      <c r="II738" s="2"/>
      <c r="IJ738" s="2"/>
      <c r="IK738" s="2">
        <v>0</v>
      </c>
      <c r="IL738" s="2"/>
      <c r="IM738" s="2"/>
      <c r="IN738" s="2"/>
      <c r="IO738" s="2"/>
      <c r="IP738" s="2"/>
      <c r="IQ738" s="2"/>
      <c r="IR738" s="2"/>
      <c r="IS738" s="2"/>
      <c r="IT738" s="2"/>
      <c r="IU738" s="2"/>
    </row>
    <row r="739" spans="1:255" x14ac:dyDescent="0.2">
      <c r="A739">
        <v>17</v>
      </c>
      <c r="B739">
        <v>1</v>
      </c>
      <c r="E739" t="s">
        <v>297</v>
      </c>
      <c r="F739" t="s">
        <v>248</v>
      </c>
      <c r="G739" t="s">
        <v>707</v>
      </c>
      <c r="H739" t="s">
        <v>250</v>
      </c>
      <c r="I739">
        <v>1</v>
      </c>
      <c r="J739">
        <v>0</v>
      </c>
      <c r="K739">
        <v>1</v>
      </c>
      <c r="O739">
        <f t="shared" si="648"/>
        <v>7947.53</v>
      </c>
      <c r="P739">
        <f>ROUND(CQ739*I739,2)</f>
        <v>7947.53</v>
      </c>
      <c r="Q739">
        <f>ROUND(CR739*I739,2)</f>
        <v>0</v>
      </c>
      <c r="R739">
        <f>ROUND(CS739*I739,2)</f>
        <v>0</v>
      </c>
      <c r="S739">
        <f>ROUND(CT739*I739,2)</f>
        <v>0</v>
      </c>
      <c r="T739">
        <f t="shared" si="649"/>
        <v>0</v>
      </c>
      <c r="U739">
        <f t="shared" si="650"/>
        <v>0</v>
      </c>
      <c r="V739">
        <f t="shared" si="651"/>
        <v>0</v>
      </c>
      <c r="W739">
        <f t="shared" si="652"/>
        <v>0</v>
      </c>
      <c r="X739">
        <f t="shared" si="653"/>
        <v>0</v>
      </c>
      <c r="Y739">
        <f t="shared" si="654"/>
        <v>0</v>
      </c>
      <c r="AA739">
        <v>129761633</v>
      </c>
      <c r="AB739">
        <f t="shared" si="655"/>
        <v>918.79</v>
      </c>
      <c r="AC739">
        <f t="shared" si="656"/>
        <v>918.79</v>
      </c>
      <c r="AD739">
        <f t="shared" si="656"/>
        <v>0</v>
      </c>
      <c r="AE739">
        <f t="shared" si="656"/>
        <v>0</v>
      </c>
      <c r="AF739">
        <f t="shared" si="656"/>
        <v>0</v>
      </c>
      <c r="AG739">
        <f t="shared" si="657"/>
        <v>0</v>
      </c>
      <c r="AH739">
        <f t="shared" si="658"/>
        <v>0</v>
      </c>
      <c r="AI739">
        <f t="shared" si="659"/>
        <v>0</v>
      </c>
      <c r="AJ739">
        <f t="shared" si="660"/>
        <v>0</v>
      </c>
      <c r="AK739">
        <v>918.79</v>
      </c>
      <c r="AL739">
        <v>918.79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1</v>
      </c>
      <c r="AW739">
        <v>1</v>
      </c>
      <c r="AZ739">
        <v>1</v>
      </c>
      <c r="BA739">
        <v>1</v>
      </c>
      <c r="BB739">
        <v>1</v>
      </c>
      <c r="BC739">
        <v>8.65</v>
      </c>
      <c r="BD739" t="s">
        <v>3</v>
      </c>
      <c r="BE739" t="s">
        <v>3</v>
      </c>
      <c r="BF739" t="s">
        <v>3</v>
      </c>
      <c r="BG739" t="s">
        <v>3</v>
      </c>
      <c r="BH739">
        <v>3</v>
      </c>
      <c r="BI739">
        <v>1</v>
      </c>
      <c r="BJ739" t="s">
        <v>3</v>
      </c>
      <c r="BM739">
        <v>700003</v>
      </c>
      <c r="BN739">
        <v>0</v>
      </c>
      <c r="BO739" t="s">
        <v>3</v>
      </c>
      <c r="BP739">
        <v>0</v>
      </c>
      <c r="BQ739">
        <v>206</v>
      </c>
      <c r="BR739">
        <v>0</v>
      </c>
      <c r="BS739">
        <v>1</v>
      </c>
      <c r="BT739">
        <v>1</v>
      </c>
      <c r="BU739">
        <v>1</v>
      </c>
      <c r="BV739">
        <v>1</v>
      </c>
      <c r="BW739">
        <v>1</v>
      </c>
      <c r="BX739">
        <v>1</v>
      </c>
      <c r="BY739" t="s">
        <v>3</v>
      </c>
      <c r="BZ739">
        <v>0</v>
      </c>
      <c r="CA739">
        <v>0</v>
      </c>
      <c r="CB739" t="s">
        <v>3</v>
      </c>
      <c r="CE739">
        <v>0</v>
      </c>
      <c r="CF739">
        <v>0</v>
      </c>
      <c r="CG739">
        <v>0</v>
      </c>
      <c r="CM739">
        <v>0</v>
      </c>
      <c r="CN739" t="s">
        <v>3</v>
      </c>
      <c r="CO739">
        <v>0</v>
      </c>
      <c r="CP739">
        <f t="shared" si="661"/>
        <v>7947.53</v>
      </c>
      <c r="CQ739">
        <f>(AC739*BC739*AW739)</f>
        <v>7947.5335000000005</v>
      </c>
      <c r="CR739">
        <f>AD739*BB739</f>
        <v>0</v>
      </c>
      <c r="CS739">
        <f>AE739*BS739</f>
        <v>0</v>
      </c>
      <c r="CT739">
        <f>AF739*BA739</f>
        <v>0</v>
      </c>
      <c r="CU739">
        <f t="shared" si="662"/>
        <v>0</v>
      </c>
      <c r="CV739">
        <f t="shared" si="662"/>
        <v>0</v>
      </c>
      <c r="CW739">
        <f t="shared" si="662"/>
        <v>0</v>
      </c>
      <c r="CX739">
        <f t="shared" si="662"/>
        <v>0</v>
      </c>
      <c r="CY739">
        <f>S739*(BZ739/100)</f>
        <v>0</v>
      </c>
      <c r="CZ739">
        <f>S739*(CA739/100)</f>
        <v>0</v>
      </c>
      <c r="DC739" t="s">
        <v>3</v>
      </c>
      <c r="DD739" t="s">
        <v>3</v>
      </c>
      <c r="DE739" t="s">
        <v>3</v>
      </c>
      <c r="DF739" t="s">
        <v>3</v>
      </c>
      <c r="DG739" t="s">
        <v>3</v>
      </c>
      <c r="DH739" t="s">
        <v>3</v>
      </c>
      <c r="DI739" t="s">
        <v>3</v>
      </c>
      <c r="DJ739" t="s">
        <v>3</v>
      </c>
      <c r="DK739" t="s">
        <v>3</v>
      </c>
      <c r="DL739" t="s">
        <v>3</v>
      </c>
      <c r="DM739" t="s">
        <v>3</v>
      </c>
      <c r="DN739">
        <v>0</v>
      </c>
      <c r="DO739">
        <v>0</v>
      </c>
      <c r="DP739">
        <v>1</v>
      </c>
      <c r="DQ739">
        <v>1</v>
      </c>
      <c r="DU739">
        <v>1010</v>
      </c>
      <c r="DV739" t="s">
        <v>250</v>
      </c>
      <c r="DW739" t="s">
        <v>250</v>
      </c>
      <c r="DX739">
        <v>1</v>
      </c>
      <c r="DZ739" t="s">
        <v>3</v>
      </c>
      <c r="EA739" t="s">
        <v>3</v>
      </c>
      <c r="EB739" t="s">
        <v>3</v>
      </c>
      <c r="EC739" t="s">
        <v>3</v>
      </c>
      <c r="EE739">
        <v>126053677</v>
      </c>
      <c r="EF739">
        <v>206</v>
      </c>
      <c r="EG739" t="s">
        <v>704</v>
      </c>
      <c r="EH739">
        <v>0</v>
      </c>
      <c r="EI739" t="s">
        <v>3</v>
      </c>
      <c r="EJ739">
        <v>1</v>
      </c>
      <c r="EK739">
        <v>700003</v>
      </c>
      <c r="EL739" t="s">
        <v>704</v>
      </c>
      <c r="EM739" t="s">
        <v>705</v>
      </c>
      <c r="EO739" t="s">
        <v>3</v>
      </c>
      <c r="EQ739">
        <v>131072</v>
      </c>
      <c r="ER739">
        <v>918.79</v>
      </c>
      <c r="ES739">
        <v>918.79</v>
      </c>
      <c r="ET739">
        <v>0</v>
      </c>
      <c r="EU739">
        <v>0</v>
      </c>
      <c r="EV739">
        <v>0</v>
      </c>
      <c r="EW739">
        <v>0</v>
      </c>
      <c r="EX739">
        <v>0</v>
      </c>
      <c r="EY739">
        <v>0</v>
      </c>
      <c r="EZ739">
        <v>5</v>
      </c>
      <c r="FC739">
        <v>1</v>
      </c>
      <c r="FD739">
        <v>18</v>
      </c>
      <c r="FF739">
        <v>9350</v>
      </c>
      <c r="FQ739">
        <v>0</v>
      </c>
      <c r="FR739">
        <f t="shared" si="663"/>
        <v>0</v>
      </c>
      <c r="FS739">
        <v>0</v>
      </c>
      <c r="FX739">
        <v>0</v>
      </c>
      <c r="FY739">
        <v>0</v>
      </c>
      <c r="GA739" t="s">
        <v>708</v>
      </c>
      <c r="GD739">
        <v>0</v>
      </c>
      <c r="GF739">
        <v>981478686</v>
      </c>
      <c r="GG739">
        <v>2</v>
      </c>
      <c r="GH739">
        <v>3</v>
      </c>
      <c r="GI739">
        <v>5</v>
      </c>
      <c r="GJ739">
        <v>0</v>
      </c>
      <c r="GK739">
        <f>ROUND(R739*(S12)/100,2)</f>
        <v>0</v>
      </c>
      <c r="GL739">
        <f t="shared" si="664"/>
        <v>0</v>
      </c>
      <c r="GM739">
        <f t="shared" si="665"/>
        <v>7947.53</v>
      </c>
      <c r="GN739">
        <f t="shared" si="666"/>
        <v>7947.53</v>
      </c>
      <c r="GO739">
        <f t="shared" si="667"/>
        <v>0</v>
      </c>
      <c r="GP739">
        <f t="shared" si="668"/>
        <v>0</v>
      </c>
      <c r="GR739">
        <v>1</v>
      </c>
      <c r="GS739">
        <v>1</v>
      </c>
      <c r="GT739">
        <v>0</v>
      </c>
      <c r="GU739" t="s">
        <v>3</v>
      </c>
      <c r="GV739">
        <f t="shared" si="669"/>
        <v>0</v>
      </c>
      <c r="GW739">
        <v>1</v>
      </c>
      <c r="GX739">
        <f t="shared" si="670"/>
        <v>0</v>
      </c>
      <c r="HA739">
        <v>0</v>
      </c>
      <c r="HB739">
        <v>0</v>
      </c>
      <c r="HC739">
        <f t="shared" si="671"/>
        <v>0</v>
      </c>
      <c r="HE739" t="s">
        <v>81</v>
      </c>
      <c r="HF739" t="s">
        <v>252</v>
      </c>
      <c r="HM739" t="s">
        <v>3</v>
      </c>
      <c r="HN739" t="s">
        <v>3</v>
      </c>
      <c r="HO739" t="s">
        <v>3</v>
      </c>
      <c r="HP739" t="s">
        <v>3</v>
      </c>
      <c r="HQ739" t="s">
        <v>3</v>
      </c>
      <c r="IK739">
        <v>0</v>
      </c>
    </row>
    <row r="740" spans="1:255" x14ac:dyDescent="0.2">
      <c r="A740" s="2">
        <v>17</v>
      </c>
      <c r="B740" s="2">
        <v>1</v>
      </c>
      <c r="C740" s="2"/>
      <c r="D740" s="2"/>
      <c r="E740" s="2" t="s">
        <v>306</v>
      </c>
      <c r="F740" s="2" t="s">
        <v>709</v>
      </c>
      <c r="G740" s="2" t="s">
        <v>710</v>
      </c>
      <c r="H740" s="2" t="s">
        <v>250</v>
      </c>
      <c r="I740" s="2">
        <v>1</v>
      </c>
      <c r="J740" s="2">
        <v>0</v>
      </c>
      <c r="K740" s="2">
        <v>1</v>
      </c>
      <c r="L740" s="2"/>
      <c r="M740" s="2"/>
      <c r="N740" s="2"/>
      <c r="O740" s="2">
        <f t="shared" si="648"/>
        <v>876.18</v>
      </c>
      <c r="P740" s="2">
        <f>ROUND((ROUND((AC740*I740),2)*BC740),2)</f>
        <v>876.18</v>
      </c>
      <c r="Q740" s="2">
        <f>(ROUND((ROUND(((ET740)*AV740*I740),2)*BB740),2)+ROUND((ROUND(((AE740-(EU740))*AV740*I740),2)*BS740),2))</f>
        <v>0</v>
      </c>
      <c r="R740" s="2">
        <f>ROUND((ROUND((AE740*AV740*I740),2)*BS740),2)</f>
        <v>0</v>
      </c>
      <c r="S740" s="2">
        <f>ROUND((ROUND((AF740*AV740*I740),2)*BA740),2)</f>
        <v>0</v>
      </c>
      <c r="T740" s="2">
        <f t="shared" si="649"/>
        <v>0</v>
      </c>
      <c r="U740" s="2">
        <f t="shared" si="650"/>
        <v>0</v>
      </c>
      <c r="V740" s="2">
        <f t="shared" si="651"/>
        <v>0</v>
      </c>
      <c r="W740" s="2">
        <f t="shared" si="652"/>
        <v>0</v>
      </c>
      <c r="X740" s="2">
        <f t="shared" si="653"/>
        <v>0</v>
      </c>
      <c r="Y740" s="2">
        <f t="shared" si="654"/>
        <v>0</v>
      </c>
      <c r="Z740" s="2"/>
      <c r="AA740" s="2">
        <v>129761636</v>
      </c>
      <c r="AB740" s="2">
        <f t="shared" si="655"/>
        <v>876.18</v>
      </c>
      <c r="AC740" s="2">
        <f t="shared" ref="AC740:AC757" si="672">ROUND((ES740),6)</f>
        <v>876.18</v>
      </c>
      <c r="AD740" s="2">
        <f>ROUND((((ET740)-(EU740))+AE740),6)</f>
        <v>0</v>
      </c>
      <c r="AE740" s="2">
        <f t="shared" ref="AE740:AE757" si="673">ROUND((EU740),6)</f>
        <v>0</v>
      </c>
      <c r="AF740" s="2">
        <f t="shared" ref="AF740:AF757" si="674">ROUND((EV740),6)</f>
        <v>0</v>
      </c>
      <c r="AG740" s="2">
        <f t="shared" si="657"/>
        <v>0</v>
      </c>
      <c r="AH740" s="2">
        <f t="shared" si="658"/>
        <v>0</v>
      </c>
      <c r="AI740" s="2">
        <f t="shared" si="659"/>
        <v>0</v>
      </c>
      <c r="AJ740" s="2">
        <f t="shared" si="660"/>
        <v>0</v>
      </c>
      <c r="AK740" s="2">
        <v>876.18</v>
      </c>
      <c r="AL740" s="2">
        <v>876.18</v>
      </c>
      <c r="AM740" s="2">
        <v>0</v>
      </c>
      <c r="AN740" s="2">
        <v>0</v>
      </c>
      <c r="AO740" s="2">
        <v>0</v>
      </c>
      <c r="AP740" s="2">
        <v>0</v>
      </c>
      <c r="AQ740" s="2">
        <v>0</v>
      </c>
      <c r="AR740" s="2">
        <v>0</v>
      </c>
      <c r="AS740" s="2">
        <v>0</v>
      </c>
      <c r="AT740" s="2">
        <v>0</v>
      </c>
      <c r="AU740" s="2">
        <v>0</v>
      </c>
      <c r="AV740" s="2">
        <v>1</v>
      </c>
      <c r="AW740" s="2">
        <v>1</v>
      </c>
      <c r="AX740" s="2"/>
      <c r="AY740" s="2"/>
      <c r="AZ740" s="2">
        <v>1</v>
      </c>
      <c r="BA740" s="2">
        <v>1</v>
      </c>
      <c r="BB740" s="2">
        <v>1</v>
      </c>
      <c r="BC740" s="2">
        <v>1</v>
      </c>
      <c r="BD740" s="2" t="s">
        <v>3</v>
      </c>
      <c r="BE740" s="2" t="s">
        <v>3</v>
      </c>
      <c r="BF740" s="2" t="s">
        <v>3</v>
      </c>
      <c r="BG740" s="2" t="s">
        <v>3</v>
      </c>
      <c r="BH740" s="2">
        <v>3</v>
      </c>
      <c r="BI740" s="2">
        <v>3</v>
      </c>
      <c r="BJ740" s="2" t="s">
        <v>711</v>
      </c>
      <c r="BK740" s="2"/>
      <c r="BL740" s="2"/>
      <c r="BM740" s="2">
        <v>746</v>
      </c>
      <c r="BN740" s="2">
        <v>0</v>
      </c>
      <c r="BO740" s="2" t="s">
        <v>3</v>
      </c>
      <c r="BP740" s="2">
        <v>0</v>
      </c>
      <c r="BQ740" s="2">
        <v>130</v>
      </c>
      <c r="BR740" s="2">
        <v>0</v>
      </c>
      <c r="BS740" s="2">
        <v>1</v>
      </c>
      <c r="BT740" s="2">
        <v>1</v>
      </c>
      <c r="BU740" s="2">
        <v>1</v>
      </c>
      <c r="BV740" s="2">
        <v>1</v>
      </c>
      <c r="BW740" s="2">
        <v>1</v>
      </c>
      <c r="BX740" s="2">
        <v>1</v>
      </c>
      <c r="BY740" s="2" t="s">
        <v>3</v>
      </c>
      <c r="BZ740" s="2">
        <v>0</v>
      </c>
      <c r="CA740" s="2">
        <v>0</v>
      </c>
      <c r="CB740" s="2" t="s">
        <v>3</v>
      </c>
      <c r="CC740" s="2"/>
      <c r="CD740" s="2"/>
      <c r="CE740" s="2">
        <v>30</v>
      </c>
      <c r="CF740" s="2">
        <v>0</v>
      </c>
      <c r="CG740" s="2">
        <v>0</v>
      </c>
      <c r="CH740" s="2"/>
      <c r="CI740" s="2"/>
      <c r="CJ740" s="2"/>
      <c r="CK740" s="2"/>
      <c r="CL740" s="2"/>
      <c r="CM740" s="2">
        <v>0</v>
      </c>
      <c r="CN740" s="2" t="s">
        <v>3</v>
      </c>
      <c r="CO740" s="2">
        <v>0</v>
      </c>
      <c r="CP740" s="2">
        <f t="shared" si="661"/>
        <v>876.18</v>
      </c>
      <c r="CQ740" s="2">
        <f>ROUND((ROUND((AC740*1),2)*BC740),2)</f>
        <v>876.18</v>
      </c>
      <c r="CR740" s="2">
        <f>(ROUND((ROUND(((ET740)*AV740*1),2)*BB740),2)+ROUND((ROUND(((AE740-(EU740))*AV740*1),2)*BS740),2))</f>
        <v>0</v>
      </c>
      <c r="CS740" s="2">
        <f>ROUND((ROUND((AE740*AV740*1),2)*BS740),2)</f>
        <v>0</v>
      </c>
      <c r="CT740" s="2">
        <f>ROUND((ROUND((AF740*AV740*1),2)*BA740),2)</f>
        <v>0</v>
      </c>
      <c r="CU740" s="2">
        <f t="shared" ref="CU740:CU757" si="675">AG740</f>
        <v>0</v>
      </c>
      <c r="CV740" s="2">
        <f>(AH740*AV740)</f>
        <v>0</v>
      </c>
      <c r="CW740" s="2">
        <f t="shared" ref="CW740:CW757" si="676">AI740</f>
        <v>0</v>
      </c>
      <c r="CX740" s="2">
        <f t="shared" ref="CX740:CX757" si="677">AJ740</f>
        <v>0</v>
      </c>
      <c r="CY740" s="2">
        <f>((S740*BZ740)/100)</f>
        <v>0</v>
      </c>
      <c r="CZ740" s="2">
        <f>((S740*CA740)/100)</f>
        <v>0</v>
      </c>
      <c r="DA740" s="2"/>
      <c r="DB740" s="2"/>
      <c r="DC740" s="2" t="s">
        <v>3</v>
      </c>
      <c r="DD740" s="2" t="s">
        <v>3</v>
      </c>
      <c r="DE740" s="2" t="s">
        <v>3</v>
      </c>
      <c r="DF740" s="2" t="s">
        <v>3</v>
      </c>
      <c r="DG740" s="2" t="s">
        <v>3</v>
      </c>
      <c r="DH740" s="2" t="s">
        <v>3</v>
      </c>
      <c r="DI740" s="2" t="s">
        <v>3</v>
      </c>
      <c r="DJ740" s="2" t="s">
        <v>3</v>
      </c>
      <c r="DK740" s="2" t="s">
        <v>3</v>
      </c>
      <c r="DL740" s="2" t="s">
        <v>3</v>
      </c>
      <c r="DM740" s="2" t="s">
        <v>3</v>
      </c>
      <c r="DN740" s="2">
        <v>0</v>
      </c>
      <c r="DO740" s="2">
        <v>0</v>
      </c>
      <c r="DP740" s="2">
        <v>1</v>
      </c>
      <c r="DQ740" s="2">
        <v>1</v>
      </c>
      <c r="DR740" s="2"/>
      <c r="DS740" s="2"/>
      <c r="DT740" s="2"/>
      <c r="DU740" s="2">
        <v>1010</v>
      </c>
      <c r="DV740" s="2" t="s">
        <v>250</v>
      </c>
      <c r="DW740" s="2" t="s">
        <v>250</v>
      </c>
      <c r="DX740" s="2">
        <v>1</v>
      </c>
      <c r="DY740" s="2"/>
      <c r="DZ740" s="2" t="s">
        <v>3</v>
      </c>
      <c r="EA740" s="2" t="s">
        <v>3</v>
      </c>
      <c r="EB740" s="2" t="s">
        <v>3</v>
      </c>
      <c r="EC740" s="2" t="s">
        <v>3</v>
      </c>
      <c r="ED740" s="2"/>
      <c r="EE740" s="2">
        <v>126052207</v>
      </c>
      <c r="EF740" s="2">
        <v>130</v>
      </c>
      <c r="EG740" s="2" t="s">
        <v>712</v>
      </c>
      <c r="EH740" s="2">
        <v>0</v>
      </c>
      <c r="EI740" s="2" t="s">
        <v>3</v>
      </c>
      <c r="EJ740" s="2">
        <v>3</v>
      </c>
      <c r="EK740" s="2">
        <v>746</v>
      </c>
      <c r="EL740" s="2" t="s">
        <v>713</v>
      </c>
      <c r="EM740" s="2" t="s">
        <v>714</v>
      </c>
      <c r="EN740" s="2"/>
      <c r="EO740" s="2" t="s">
        <v>3</v>
      </c>
      <c r="EP740" s="2"/>
      <c r="EQ740" s="2">
        <v>131072</v>
      </c>
      <c r="ER740" s="2">
        <v>876.18</v>
      </c>
      <c r="ES740" s="2">
        <v>876.18</v>
      </c>
      <c r="ET740" s="2">
        <v>0</v>
      </c>
      <c r="EU740" s="2">
        <v>0</v>
      </c>
      <c r="EV740" s="2">
        <v>0</v>
      </c>
      <c r="EW740" s="2">
        <v>0</v>
      </c>
      <c r="EX740" s="2">
        <v>0</v>
      </c>
      <c r="EY740" s="2">
        <v>0</v>
      </c>
      <c r="EZ740" s="2"/>
      <c r="FA740" s="2"/>
      <c r="FB740" s="2"/>
      <c r="FC740" s="2"/>
      <c r="FD740" s="2"/>
      <c r="FE740" s="2"/>
      <c r="FF740" s="2"/>
      <c r="FG740" s="2"/>
      <c r="FH740" s="2"/>
      <c r="FI740" s="2"/>
      <c r="FJ740" s="2"/>
      <c r="FK740" s="2"/>
      <c r="FL740" s="2"/>
      <c r="FM740" s="2"/>
      <c r="FN740" s="2"/>
      <c r="FO740" s="2"/>
      <c r="FP740" s="2"/>
      <c r="FQ740" s="2">
        <v>0</v>
      </c>
      <c r="FR740" s="2">
        <f t="shared" si="663"/>
        <v>876.18</v>
      </c>
      <c r="FS740" s="2">
        <v>0</v>
      </c>
      <c r="FT740" s="2"/>
      <c r="FU740" s="2"/>
      <c r="FV740" s="2"/>
      <c r="FW740" s="2"/>
      <c r="FX740" s="2">
        <v>0</v>
      </c>
      <c r="FY740" s="2">
        <v>0</v>
      </c>
      <c r="FZ740" s="2"/>
      <c r="GA740" s="2" t="s">
        <v>3</v>
      </c>
      <c r="GB740" s="2"/>
      <c r="GC740" s="2"/>
      <c r="GD740" s="2">
        <v>0</v>
      </c>
      <c r="GE740" s="2"/>
      <c r="GF740" s="2">
        <v>34364315</v>
      </c>
      <c r="GG740" s="2">
        <v>2</v>
      </c>
      <c r="GH740" s="2">
        <v>1</v>
      </c>
      <c r="GI740" s="2">
        <v>-2</v>
      </c>
      <c r="GJ740" s="2">
        <v>0</v>
      </c>
      <c r="GK740" s="2">
        <f>ROUND(R740*(R12)/100,2)</f>
        <v>0</v>
      </c>
      <c r="GL740" s="2">
        <f t="shared" si="664"/>
        <v>0</v>
      </c>
      <c r="GM740" s="2">
        <f t="shared" si="665"/>
        <v>876.18</v>
      </c>
      <c r="GN740" s="2">
        <f t="shared" si="666"/>
        <v>0</v>
      </c>
      <c r="GO740" s="2">
        <f t="shared" si="667"/>
        <v>0</v>
      </c>
      <c r="GP740" s="2">
        <f t="shared" si="668"/>
        <v>0</v>
      </c>
      <c r="GQ740" s="2"/>
      <c r="GR740" s="2">
        <v>0</v>
      </c>
      <c r="GS740" s="2">
        <v>0</v>
      </c>
      <c r="GT740" s="2">
        <v>0</v>
      </c>
      <c r="GU740" s="2" t="s">
        <v>3</v>
      </c>
      <c r="GV740" s="2">
        <f t="shared" si="669"/>
        <v>0</v>
      </c>
      <c r="GW740" s="2">
        <v>1</v>
      </c>
      <c r="GX740" s="2">
        <f t="shared" si="670"/>
        <v>0</v>
      </c>
      <c r="GY740" s="2"/>
      <c r="GZ740" s="2"/>
      <c r="HA740" s="2">
        <v>0</v>
      </c>
      <c r="HB740" s="2">
        <v>0</v>
      </c>
      <c r="HC740" s="2">
        <f t="shared" si="671"/>
        <v>0</v>
      </c>
      <c r="HD740" s="2"/>
      <c r="HE740" s="2" t="s">
        <v>3</v>
      </c>
      <c r="HF740" s="2" t="s">
        <v>3</v>
      </c>
      <c r="HG740" s="2"/>
      <c r="HH740" s="2"/>
      <c r="HI740" s="2"/>
      <c r="HJ740" s="2"/>
      <c r="HK740" s="2"/>
      <c r="HL740" s="2"/>
      <c r="HM740" s="2" t="s">
        <v>3</v>
      </c>
      <c r="HN740" s="2" t="s">
        <v>3</v>
      </c>
      <c r="HO740" s="2" t="s">
        <v>3</v>
      </c>
      <c r="HP740" s="2" t="s">
        <v>3</v>
      </c>
      <c r="HQ740" s="2" t="s">
        <v>3</v>
      </c>
      <c r="HR740" s="2"/>
      <c r="HS740" s="2"/>
      <c r="HT740" s="2"/>
      <c r="HU740" s="2"/>
      <c r="HV740" s="2"/>
      <c r="HW740" s="2"/>
      <c r="HX740" s="2"/>
      <c r="HY740" s="2"/>
      <c r="HZ740" s="2"/>
      <c r="IA740" s="2"/>
      <c r="IB740" s="2"/>
      <c r="IC740" s="2"/>
      <c r="ID740" s="2"/>
      <c r="IE740" s="2"/>
      <c r="IF740" s="2"/>
      <c r="IG740" s="2"/>
      <c r="IH740" s="2"/>
      <c r="II740" s="2"/>
      <c r="IJ740" s="2"/>
      <c r="IK740" s="2">
        <v>0</v>
      </c>
      <c r="IL740" s="2"/>
      <c r="IM740" s="2"/>
      <c r="IN740" s="2"/>
      <c r="IO740" s="2"/>
      <c r="IP740" s="2"/>
      <c r="IQ740" s="2"/>
      <c r="IR740" s="2"/>
      <c r="IS740" s="2"/>
      <c r="IT740" s="2"/>
      <c r="IU740" s="2"/>
    </row>
    <row r="741" spans="1:255" x14ac:dyDescent="0.2">
      <c r="A741">
        <v>17</v>
      </c>
      <c r="B741">
        <v>1</v>
      </c>
      <c r="E741" t="s">
        <v>306</v>
      </c>
      <c r="F741" t="s">
        <v>709</v>
      </c>
      <c r="G741" t="s">
        <v>710</v>
      </c>
      <c r="H741" t="s">
        <v>250</v>
      </c>
      <c r="I741">
        <v>1</v>
      </c>
      <c r="J741">
        <v>0</v>
      </c>
      <c r="K741">
        <v>1</v>
      </c>
      <c r="O741">
        <f t="shared" si="648"/>
        <v>7105.82</v>
      </c>
      <c r="P741">
        <f>ROUND((ROUND((AC741*I741),2)*BC741),2)</f>
        <v>7105.82</v>
      </c>
      <c r="Q741">
        <f>(ROUND((ROUND(((ET741)*AV741*I741),2)*BB741),2)+ROUND((ROUND(((AE741-(EU741))*AV741*I741),2)*BS741),2))</f>
        <v>0</v>
      </c>
      <c r="R741">
        <f>ROUND((ROUND((AE741*AV741*I741),2)*BS741),2)</f>
        <v>0</v>
      </c>
      <c r="S741">
        <f>ROUND((ROUND((AF741*AV741*I741),2)*BA741),2)</f>
        <v>0</v>
      </c>
      <c r="T741">
        <f t="shared" si="649"/>
        <v>0</v>
      </c>
      <c r="U741">
        <f t="shared" si="650"/>
        <v>0</v>
      </c>
      <c r="V741">
        <f t="shared" si="651"/>
        <v>0</v>
      </c>
      <c r="W741">
        <f t="shared" si="652"/>
        <v>0</v>
      </c>
      <c r="X741">
        <f t="shared" si="653"/>
        <v>0</v>
      </c>
      <c r="Y741">
        <f t="shared" si="654"/>
        <v>0</v>
      </c>
      <c r="AA741">
        <v>129761633</v>
      </c>
      <c r="AB741">
        <f t="shared" si="655"/>
        <v>876.18</v>
      </c>
      <c r="AC741">
        <f t="shared" si="672"/>
        <v>876.18</v>
      </c>
      <c r="AD741">
        <f>ROUND((((ET741)-(EU741))+AE741),6)</f>
        <v>0</v>
      </c>
      <c r="AE741">
        <f t="shared" si="673"/>
        <v>0</v>
      </c>
      <c r="AF741">
        <f t="shared" si="674"/>
        <v>0</v>
      </c>
      <c r="AG741">
        <f t="shared" si="657"/>
        <v>0</v>
      </c>
      <c r="AH741">
        <f t="shared" si="658"/>
        <v>0</v>
      </c>
      <c r="AI741">
        <f t="shared" si="659"/>
        <v>0</v>
      </c>
      <c r="AJ741">
        <f t="shared" si="660"/>
        <v>0</v>
      </c>
      <c r="AK741">
        <v>876.18</v>
      </c>
      <c r="AL741">
        <v>876.18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1</v>
      </c>
      <c r="AW741">
        <v>1</v>
      </c>
      <c r="AZ741">
        <v>1</v>
      </c>
      <c r="BA741">
        <v>1</v>
      </c>
      <c r="BB741">
        <v>1</v>
      </c>
      <c r="BC741">
        <v>8.11</v>
      </c>
      <c r="BD741" t="s">
        <v>3</v>
      </c>
      <c r="BE741" t="s">
        <v>3</v>
      </c>
      <c r="BF741" t="s">
        <v>3</v>
      </c>
      <c r="BG741" t="s">
        <v>3</v>
      </c>
      <c r="BH741">
        <v>3</v>
      </c>
      <c r="BI741">
        <v>3</v>
      </c>
      <c r="BJ741" t="s">
        <v>711</v>
      </c>
      <c r="BM741">
        <v>746</v>
      </c>
      <c r="BN741">
        <v>0</v>
      </c>
      <c r="BO741" t="s">
        <v>3</v>
      </c>
      <c r="BP741">
        <v>0</v>
      </c>
      <c r="BQ741">
        <v>130</v>
      </c>
      <c r="BR741">
        <v>0</v>
      </c>
      <c r="BS741">
        <v>1</v>
      </c>
      <c r="BT741">
        <v>1</v>
      </c>
      <c r="BU741">
        <v>1</v>
      </c>
      <c r="BV741">
        <v>1</v>
      </c>
      <c r="BW741">
        <v>1</v>
      </c>
      <c r="BX741">
        <v>1</v>
      </c>
      <c r="BY741" t="s">
        <v>3</v>
      </c>
      <c r="BZ741">
        <v>0</v>
      </c>
      <c r="CA741">
        <v>0</v>
      </c>
      <c r="CB741" t="s">
        <v>3</v>
      </c>
      <c r="CE741">
        <v>30</v>
      </c>
      <c r="CF741">
        <v>0</v>
      </c>
      <c r="CG741">
        <v>0</v>
      </c>
      <c r="CM741">
        <v>0</v>
      </c>
      <c r="CN741" t="s">
        <v>3</v>
      </c>
      <c r="CO741">
        <v>0</v>
      </c>
      <c r="CP741">
        <f t="shared" si="661"/>
        <v>7105.82</v>
      </c>
      <c r="CQ741">
        <f>ROUND((ROUND((AC741*1),2)*BC741),2)</f>
        <v>7105.82</v>
      </c>
      <c r="CR741">
        <f>(ROUND((ROUND(((ET741)*AV741*1),2)*BB741),2)+ROUND((ROUND(((AE741-(EU741))*AV741*1),2)*BS741),2))</f>
        <v>0</v>
      </c>
      <c r="CS741">
        <f>ROUND((ROUND((AE741*AV741*1),2)*BS741),2)</f>
        <v>0</v>
      </c>
      <c r="CT741">
        <f>ROUND((ROUND((AF741*AV741*1),2)*BA741),2)</f>
        <v>0</v>
      </c>
      <c r="CU741">
        <f t="shared" si="675"/>
        <v>0</v>
      </c>
      <c r="CV741">
        <f>(AH741*AV741)</f>
        <v>0</v>
      </c>
      <c r="CW741">
        <f t="shared" si="676"/>
        <v>0</v>
      </c>
      <c r="CX741">
        <f t="shared" si="677"/>
        <v>0</v>
      </c>
      <c r="CY741">
        <f>S741*(BZ741/100)</f>
        <v>0</v>
      </c>
      <c r="CZ741">
        <f>S741*(CA741/100)</f>
        <v>0</v>
      </c>
      <c r="DC741" t="s">
        <v>3</v>
      </c>
      <c r="DD741" t="s">
        <v>3</v>
      </c>
      <c r="DE741" t="s">
        <v>3</v>
      </c>
      <c r="DF741" t="s">
        <v>3</v>
      </c>
      <c r="DG741" t="s">
        <v>3</v>
      </c>
      <c r="DH741" t="s">
        <v>3</v>
      </c>
      <c r="DI741" t="s">
        <v>3</v>
      </c>
      <c r="DJ741" t="s">
        <v>3</v>
      </c>
      <c r="DK741" t="s">
        <v>3</v>
      </c>
      <c r="DL741" t="s">
        <v>3</v>
      </c>
      <c r="DM741" t="s">
        <v>3</v>
      </c>
      <c r="DN741">
        <v>0</v>
      </c>
      <c r="DO741">
        <v>0</v>
      </c>
      <c r="DP741">
        <v>1</v>
      </c>
      <c r="DQ741">
        <v>1</v>
      </c>
      <c r="DU741">
        <v>1010</v>
      </c>
      <c r="DV741" t="s">
        <v>250</v>
      </c>
      <c r="DW741" t="s">
        <v>250</v>
      </c>
      <c r="DX741">
        <v>1</v>
      </c>
      <c r="DZ741" t="s">
        <v>3</v>
      </c>
      <c r="EA741" t="s">
        <v>3</v>
      </c>
      <c r="EB741" t="s">
        <v>3</v>
      </c>
      <c r="EC741" t="s">
        <v>3</v>
      </c>
      <c r="EE741">
        <v>126052207</v>
      </c>
      <c r="EF741">
        <v>130</v>
      </c>
      <c r="EG741" t="s">
        <v>712</v>
      </c>
      <c r="EH741">
        <v>0</v>
      </c>
      <c r="EI741" t="s">
        <v>3</v>
      </c>
      <c r="EJ741">
        <v>3</v>
      </c>
      <c r="EK741">
        <v>746</v>
      </c>
      <c r="EL741" t="s">
        <v>713</v>
      </c>
      <c r="EM741" t="s">
        <v>714</v>
      </c>
      <c r="EO741" t="s">
        <v>3</v>
      </c>
      <c r="EQ741">
        <v>131072</v>
      </c>
      <c r="ER741">
        <v>876.18</v>
      </c>
      <c r="ES741">
        <v>876.18</v>
      </c>
      <c r="ET741">
        <v>0</v>
      </c>
      <c r="EU741">
        <v>0</v>
      </c>
      <c r="EV741">
        <v>0</v>
      </c>
      <c r="EW741">
        <v>0</v>
      </c>
      <c r="EX741">
        <v>0</v>
      </c>
      <c r="EY741">
        <v>0</v>
      </c>
      <c r="FQ741">
        <v>0</v>
      </c>
      <c r="FR741">
        <f t="shared" si="663"/>
        <v>7105.82</v>
      </c>
      <c r="FS741">
        <v>0</v>
      </c>
      <c r="FX741">
        <v>0</v>
      </c>
      <c r="FY741">
        <v>0</v>
      </c>
      <c r="GA741" t="s">
        <v>3</v>
      </c>
      <c r="GD741">
        <v>0</v>
      </c>
      <c r="GF741">
        <v>34364315</v>
      </c>
      <c r="GG741">
        <v>2</v>
      </c>
      <c r="GH741">
        <v>1</v>
      </c>
      <c r="GI741">
        <v>2</v>
      </c>
      <c r="GJ741">
        <v>0</v>
      </c>
      <c r="GK741">
        <f>ROUND(R741*(S12)/100,2)</f>
        <v>0</v>
      </c>
      <c r="GL741">
        <f t="shared" si="664"/>
        <v>0</v>
      </c>
      <c r="GM741">
        <f t="shared" si="665"/>
        <v>7105.82</v>
      </c>
      <c r="GN741">
        <f t="shared" si="666"/>
        <v>0</v>
      </c>
      <c r="GO741">
        <f t="shared" si="667"/>
        <v>0</v>
      </c>
      <c r="GP741">
        <f t="shared" si="668"/>
        <v>0</v>
      </c>
      <c r="GR741">
        <v>0</v>
      </c>
      <c r="GS741">
        <v>3</v>
      </c>
      <c r="GT741">
        <v>0</v>
      </c>
      <c r="GU741" t="s">
        <v>3</v>
      </c>
      <c r="GV741">
        <f t="shared" si="669"/>
        <v>0</v>
      </c>
      <c r="GW741">
        <v>1</v>
      </c>
      <c r="GX741">
        <f t="shared" si="670"/>
        <v>0</v>
      </c>
      <c r="HA741">
        <v>0</v>
      </c>
      <c r="HB741">
        <v>0</v>
      </c>
      <c r="HC741">
        <f t="shared" si="671"/>
        <v>0</v>
      </c>
      <c r="HE741" t="s">
        <v>3</v>
      </c>
      <c r="HF741" t="s">
        <v>3</v>
      </c>
      <c r="HM741" t="s">
        <v>3</v>
      </c>
      <c r="HN741" t="s">
        <v>3</v>
      </c>
      <c r="HO741" t="s">
        <v>3</v>
      </c>
      <c r="HP741" t="s">
        <v>3</v>
      </c>
      <c r="HQ741" t="s">
        <v>3</v>
      </c>
      <c r="IK741">
        <v>0</v>
      </c>
    </row>
    <row r="742" spans="1:255" x14ac:dyDescent="0.2">
      <c r="A742" s="2">
        <v>17</v>
      </c>
      <c r="B742" s="2">
        <v>1</v>
      </c>
      <c r="C742" s="2"/>
      <c r="D742" s="2"/>
      <c r="E742" s="2" t="s">
        <v>322</v>
      </c>
      <c r="F742" s="2" t="s">
        <v>248</v>
      </c>
      <c r="G742" s="2" t="s">
        <v>715</v>
      </c>
      <c r="H742" s="2" t="s">
        <v>250</v>
      </c>
      <c r="I742" s="2">
        <v>1</v>
      </c>
      <c r="J742" s="2">
        <v>0</v>
      </c>
      <c r="K742" s="2">
        <v>1</v>
      </c>
      <c r="L742" s="2"/>
      <c r="M742" s="2"/>
      <c r="N742" s="2"/>
      <c r="O742" s="2">
        <f t="shared" si="648"/>
        <v>1180.5899999999999</v>
      </c>
      <c r="P742" s="2">
        <f t="shared" ref="P742:P755" si="678">ROUND(CQ742*I742,2)</f>
        <v>1180.5899999999999</v>
      </c>
      <c r="Q742" s="2">
        <f t="shared" ref="Q742:Q755" si="679">ROUND(CR742*I742,2)</f>
        <v>0</v>
      </c>
      <c r="R742" s="2">
        <f t="shared" ref="R742:R755" si="680">ROUND(CS742*I742,2)</f>
        <v>0</v>
      </c>
      <c r="S742" s="2">
        <f t="shared" ref="S742:S755" si="681">ROUND(CT742*I742,2)</f>
        <v>0</v>
      </c>
      <c r="T742" s="2">
        <f t="shared" si="649"/>
        <v>0</v>
      </c>
      <c r="U742" s="2">
        <f t="shared" si="650"/>
        <v>0</v>
      </c>
      <c r="V742" s="2">
        <f t="shared" si="651"/>
        <v>0</v>
      </c>
      <c r="W742" s="2">
        <f t="shared" si="652"/>
        <v>0</v>
      </c>
      <c r="X742" s="2">
        <f t="shared" si="653"/>
        <v>0</v>
      </c>
      <c r="Y742" s="2">
        <f t="shared" si="654"/>
        <v>0</v>
      </c>
      <c r="Z742" s="2"/>
      <c r="AA742" s="2">
        <v>129761636</v>
      </c>
      <c r="AB742" s="2">
        <f t="shared" si="655"/>
        <v>1180.5899999999999</v>
      </c>
      <c r="AC742" s="2">
        <f t="shared" si="672"/>
        <v>1180.5899999999999</v>
      </c>
      <c r="AD742" s="2">
        <f t="shared" ref="AD742:AD755" si="682">ROUND((ET742),6)</f>
        <v>0</v>
      </c>
      <c r="AE742" s="2">
        <f t="shared" si="673"/>
        <v>0</v>
      </c>
      <c r="AF742" s="2">
        <f t="shared" si="674"/>
        <v>0</v>
      </c>
      <c r="AG742" s="2">
        <f t="shared" si="657"/>
        <v>0</v>
      </c>
      <c r="AH742" s="2">
        <f t="shared" si="658"/>
        <v>0</v>
      </c>
      <c r="AI742" s="2">
        <f t="shared" si="659"/>
        <v>0</v>
      </c>
      <c r="AJ742" s="2">
        <f t="shared" si="660"/>
        <v>0</v>
      </c>
      <c r="AK742" s="2">
        <v>1180.5899999999999</v>
      </c>
      <c r="AL742" s="2">
        <v>1180.5899999999999</v>
      </c>
      <c r="AM742" s="2">
        <v>0</v>
      </c>
      <c r="AN742" s="2">
        <v>0</v>
      </c>
      <c r="AO742" s="2">
        <v>0</v>
      </c>
      <c r="AP742" s="2">
        <v>0</v>
      </c>
      <c r="AQ742" s="2">
        <v>0</v>
      </c>
      <c r="AR742" s="2">
        <v>0</v>
      </c>
      <c r="AS742" s="2">
        <v>0</v>
      </c>
      <c r="AT742" s="2">
        <v>0</v>
      </c>
      <c r="AU742" s="2">
        <v>0</v>
      </c>
      <c r="AV742" s="2">
        <v>1</v>
      </c>
      <c r="AW742" s="2">
        <v>1</v>
      </c>
      <c r="AX742" s="2"/>
      <c r="AY742" s="2"/>
      <c r="AZ742" s="2">
        <v>1</v>
      </c>
      <c r="BA742" s="2">
        <v>1</v>
      </c>
      <c r="BB742" s="2">
        <v>1</v>
      </c>
      <c r="BC742" s="2">
        <v>1</v>
      </c>
      <c r="BD742" s="2" t="s">
        <v>3</v>
      </c>
      <c r="BE742" s="2" t="s">
        <v>3</v>
      </c>
      <c r="BF742" s="2" t="s">
        <v>3</v>
      </c>
      <c r="BG742" s="2" t="s">
        <v>3</v>
      </c>
      <c r="BH742" s="2">
        <v>3</v>
      </c>
      <c r="BI742" s="2">
        <v>1</v>
      </c>
      <c r="BJ742" s="2" t="s">
        <v>3</v>
      </c>
      <c r="BK742" s="2"/>
      <c r="BL742" s="2"/>
      <c r="BM742" s="2">
        <v>700003</v>
      </c>
      <c r="BN742" s="2">
        <v>0</v>
      </c>
      <c r="BO742" s="2" t="s">
        <v>3</v>
      </c>
      <c r="BP742" s="2">
        <v>0</v>
      </c>
      <c r="BQ742" s="2">
        <v>206</v>
      </c>
      <c r="BR742" s="2">
        <v>0</v>
      </c>
      <c r="BS742" s="2">
        <v>1</v>
      </c>
      <c r="BT742" s="2">
        <v>1</v>
      </c>
      <c r="BU742" s="2">
        <v>1</v>
      </c>
      <c r="BV742" s="2">
        <v>1</v>
      </c>
      <c r="BW742" s="2">
        <v>1</v>
      </c>
      <c r="BX742" s="2">
        <v>1</v>
      </c>
      <c r="BY742" s="2" t="s">
        <v>3</v>
      </c>
      <c r="BZ742" s="2">
        <v>0</v>
      </c>
      <c r="CA742" s="2">
        <v>0</v>
      </c>
      <c r="CB742" s="2" t="s">
        <v>3</v>
      </c>
      <c r="CC742" s="2"/>
      <c r="CD742" s="2"/>
      <c r="CE742" s="2">
        <v>0</v>
      </c>
      <c r="CF742" s="2">
        <v>0</v>
      </c>
      <c r="CG742" s="2">
        <v>0</v>
      </c>
      <c r="CH742" s="2"/>
      <c r="CI742" s="2"/>
      <c r="CJ742" s="2"/>
      <c r="CK742" s="2"/>
      <c r="CL742" s="2"/>
      <c r="CM742" s="2">
        <v>0</v>
      </c>
      <c r="CN742" s="2" t="s">
        <v>3</v>
      </c>
      <c r="CO742" s="2">
        <v>0</v>
      </c>
      <c r="CP742" s="2">
        <f t="shared" si="661"/>
        <v>1180.5899999999999</v>
      </c>
      <c r="CQ742" s="2">
        <f t="shared" ref="CQ742:CQ755" si="683">(AC742*BC742*AW742)</f>
        <v>1180.5899999999999</v>
      </c>
      <c r="CR742" s="2">
        <f t="shared" ref="CR742:CR755" si="684">AD742*BB742</f>
        <v>0</v>
      </c>
      <c r="CS742" s="2">
        <f t="shared" ref="CS742:CS755" si="685">AE742*BS742</f>
        <v>0</v>
      </c>
      <c r="CT742" s="2">
        <f t="shared" ref="CT742:CT755" si="686">AF742*BA742</f>
        <v>0</v>
      </c>
      <c r="CU742" s="2">
        <f t="shared" si="675"/>
        <v>0</v>
      </c>
      <c r="CV742" s="2">
        <f t="shared" ref="CV742:CV755" si="687">AH742</f>
        <v>0</v>
      </c>
      <c r="CW742" s="2">
        <f t="shared" si="676"/>
        <v>0</v>
      </c>
      <c r="CX742" s="2">
        <f t="shared" si="677"/>
        <v>0</v>
      </c>
      <c r="CY742" s="2">
        <f>0</f>
        <v>0</v>
      </c>
      <c r="CZ742" s="2">
        <f>0</f>
        <v>0</v>
      </c>
      <c r="DA742" s="2"/>
      <c r="DB742" s="2"/>
      <c r="DC742" s="2" t="s">
        <v>3</v>
      </c>
      <c r="DD742" s="2" t="s">
        <v>3</v>
      </c>
      <c r="DE742" s="2" t="s">
        <v>3</v>
      </c>
      <c r="DF742" s="2" t="s">
        <v>3</v>
      </c>
      <c r="DG742" s="2" t="s">
        <v>3</v>
      </c>
      <c r="DH742" s="2" t="s">
        <v>3</v>
      </c>
      <c r="DI742" s="2" t="s">
        <v>3</v>
      </c>
      <c r="DJ742" s="2" t="s">
        <v>3</v>
      </c>
      <c r="DK742" s="2" t="s">
        <v>3</v>
      </c>
      <c r="DL742" s="2" t="s">
        <v>3</v>
      </c>
      <c r="DM742" s="2" t="s">
        <v>3</v>
      </c>
      <c r="DN742" s="2">
        <v>0</v>
      </c>
      <c r="DO742" s="2">
        <v>0</v>
      </c>
      <c r="DP742" s="2">
        <v>1</v>
      </c>
      <c r="DQ742" s="2">
        <v>1</v>
      </c>
      <c r="DR742" s="2"/>
      <c r="DS742" s="2"/>
      <c r="DT742" s="2"/>
      <c r="DU742" s="2">
        <v>1010</v>
      </c>
      <c r="DV742" s="2" t="s">
        <v>250</v>
      </c>
      <c r="DW742" s="2" t="s">
        <v>250</v>
      </c>
      <c r="DX742" s="2">
        <v>1</v>
      </c>
      <c r="DY742" s="2"/>
      <c r="DZ742" s="2" t="s">
        <v>3</v>
      </c>
      <c r="EA742" s="2" t="s">
        <v>3</v>
      </c>
      <c r="EB742" s="2" t="s">
        <v>3</v>
      </c>
      <c r="EC742" s="2" t="s">
        <v>3</v>
      </c>
      <c r="ED742" s="2"/>
      <c r="EE742" s="2">
        <v>126053677</v>
      </c>
      <c r="EF742" s="2">
        <v>206</v>
      </c>
      <c r="EG742" s="2" t="s">
        <v>704</v>
      </c>
      <c r="EH742" s="2">
        <v>0</v>
      </c>
      <c r="EI742" s="2" t="s">
        <v>3</v>
      </c>
      <c r="EJ742" s="2">
        <v>1</v>
      </c>
      <c r="EK742" s="2">
        <v>700003</v>
      </c>
      <c r="EL742" s="2" t="s">
        <v>704</v>
      </c>
      <c r="EM742" s="2" t="s">
        <v>705</v>
      </c>
      <c r="EN742" s="2"/>
      <c r="EO742" s="2" t="s">
        <v>3</v>
      </c>
      <c r="EP742" s="2"/>
      <c r="EQ742" s="2">
        <v>131072</v>
      </c>
      <c r="ER742" s="2">
        <v>1180.5899999999999</v>
      </c>
      <c r="ES742" s="2">
        <v>1180.5899999999999</v>
      </c>
      <c r="ET742" s="2">
        <v>0</v>
      </c>
      <c r="EU742" s="2">
        <v>0</v>
      </c>
      <c r="EV742" s="2">
        <v>0</v>
      </c>
      <c r="EW742" s="2">
        <v>0</v>
      </c>
      <c r="EX742" s="2">
        <v>0</v>
      </c>
      <c r="EY742" s="2">
        <v>0</v>
      </c>
      <c r="EZ742" s="2"/>
      <c r="FA742" s="2"/>
      <c r="FB742" s="2"/>
      <c r="FC742" s="2"/>
      <c r="FD742" s="2"/>
      <c r="FE742" s="2"/>
      <c r="FF742" s="2"/>
      <c r="FG742" s="2"/>
      <c r="FH742" s="2"/>
      <c r="FI742" s="2"/>
      <c r="FJ742" s="2"/>
      <c r="FK742" s="2"/>
      <c r="FL742" s="2"/>
      <c r="FM742" s="2"/>
      <c r="FN742" s="2"/>
      <c r="FO742" s="2"/>
      <c r="FP742" s="2"/>
      <c r="FQ742" s="2">
        <v>0</v>
      </c>
      <c r="FR742" s="2">
        <f t="shared" si="663"/>
        <v>0</v>
      </c>
      <c r="FS742" s="2">
        <v>0</v>
      </c>
      <c r="FT742" s="2"/>
      <c r="FU742" s="2"/>
      <c r="FV742" s="2"/>
      <c r="FW742" s="2"/>
      <c r="FX742" s="2">
        <v>0</v>
      </c>
      <c r="FY742" s="2">
        <v>0</v>
      </c>
      <c r="FZ742" s="2"/>
      <c r="GA742" s="2" t="s">
        <v>3</v>
      </c>
      <c r="GB742" s="2"/>
      <c r="GC742" s="2"/>
      <c r="GD742" s="2">
        <v>0</v>
      </c>
      <c r="GE742" s="2"/>
      <c r="GF742" s="2">
        <v>1126031761</v>
      </c>
      <c r="GG742" s="2">
        <v>2</v>
      </c>
      <c r="GH742" s="2">
        <v>0</v>
      </c>
      <c r="GI742" s="2">
        <v>-2</v>
      </c>
      <c r="GJ742" s="2">
        <v>0</v>
      </c>
      <c r="GK742" s="2">
        <f>ROUND(R742*(R12)/100,2)</f>
        <v>0</v>
      </c>
      <c r="GL742" s="2">
        <f t="shared" si="664"/>
        <v>0</v>
      </c>
      <c r="GM742" s="2">
        <f t="shared" si="665"/>
        <v>1180.5899999999999</v>
      </c>
      <c r="GN742" s="2">
        <f t="shared" si="666"/>
        <v>1180.5899999999999</v>
      </c>
      <c r="GO742" s="2">
        <f t="shared" si="667"/>
        <v>0</v>
      </c>
      <c r="GP742" s="2">
        <f t="shared" si="668"/>
        <v>0</v>
      </c>
      <c r="GQ742" s="2"/>
      <c r="GR742" s="2">
        <v>0</v>
      </c>
      <c r="GS742" s="2">
        <v>0</v>
      </c>
      <c r="GT742" s="2">
        <v>0</v>
      </c>
      <c r="GU742" s="2" t="s">
        <v>3</v>
      </c>
      <c r="GV742" s="2">
        <f t="shared" si="669"/>
        <v>0</v>
      </c>
      <c r="GW742" s="2">
        <v>1</v>
      </c>
      <c r="GX742" s="2">
        <f t="shared" si="670"/>
        <v>0</v>
      </c>
      <c r="GY742" s="2"/>
      <c r="GZ742" s="2"/>
      <c r="HA742" s="2">
        <v>0</v>
      </c>
      <c r="HB742" s="2">
        <v>0</v>
      </c>
      <c r="HC742" s="2">
        <f t="shared" si="671"/>
        <v>0</v>
      </c>
      <c r="HD742" s="2"/>
      <c r="HE742" s="2" t="s">
        <v>3</v>
      </c>
      <c r="HF742" s="2" t="s">
        <v>3</v>
      </c>
      <c r="HG742" s="2"/>
      <c r="HH742" s="2"/>
      <c r="HI742" s="2"/>
      <c r="HJ742" s="2"/>
      <c r="HK742" s="2"/>
      <c r="HL742" s="2"/>
      <c r="HM742" s="2" t="s">
        <v>3</v>
      </c>
      <c r="HN742" s="2" t="s">
        <v>3</v>
      </c>
      <c r="HO742" s="2" t="s">
        <v>3</v>
      </c>
      <c r="HP742" s="2" t="s">
        <v>3</v>
      </c>
      <c r="HQ742" s="2" t="s">
        <v>3</v>
      </c>
      <c r="HR742" s="2"/>
      <c r="HS742" s="2"/>
      <c r="HT742" s="2"/>
      <c r="HU742" s="2"/>
      <c r="HV742" s="2"/>
      <c r="HW742" s="2"/>
      <c r="HX742" s="2"/>
      <c r="HY742" s="2"/>
      <c r="HZ742" s="2"/>
      <c r="IA742" s="2"/>
      <c r="IB742" s="2"/>
      <c r="IC742" s="2"/>
      <c r="ID742" s="2"/>
      <c r="IE742" s="2"/>
      <c r="IF742" s="2"/>
      <c r="IG742" s="2"/>
      <c r="IH742" s="2"/>
      <c r="II742" s="2"/>
      <c r="IJ742" s="2"/>
      <c r="IK742" s="2">
        <v>0</v>
      </c>
      <c r="IL742" s="2"/>
      <c r="IM742" s="2"/>
      <c r="IN742" s="2"/>
      <c r="IO742" s="2"/>
      <c r="IP742" s="2"/>
      <c r="IQ742" s="2"/>
      <c r="IR742" s="2"/>
      <c r="IS742" s="2"/>
      <c r="IT742" s="2"/>
      <c r="IU742" s="2"/>
    </row>
    <row r="743" spans="1:255" x14ac:dyDescent="0.2">
      <c r="A743">
        <v>17</v>
      </c>
      <c r="B743">
        <v>1</v>
      </c>
      <c r="E743" t="s">
        <v>322</v>
      </c>
      <c r="F743" t="s">
        <v>248</v>
      </c>
      <c r="G743" t="s">
        <v>715</v>
      </c>
      <c r="H743" t="s">
        <v>250</v>
      </c>
      <c r="I743">
        <v>1</v>
      </c>
      <c r="J743">
        <v>0</v>
      </c>
      <c r="K743">
        <v>1</v>
      </c>
      <c r="O743">
        <f t="shared" si="648"/>
        <v>13996.13</v>
      </c>
      <c r="P743">
        <f t="shared" si="678"/>
        <v>13996.13</v>
      </c>
      <c r="Q743">
        <f t="shared" si="679"/>
        <v>0</v>
      </c>
      <c r="R743">
        <f t="shared" si="680"/>
        <v>0</v>
      </c>
      <c r="S743">
        <f t="shared" si="681"/>
        <v>0</v>
      </c>
      <c r="T743">
        <f t="shared" si="649"/>
        <v>0</v>
      </c>
      <c r="U743">
        <f t="shared" si="650"/>
        <v>0</v>
      </c>
      <c r="V743">
        <f t="shared" si="651"/>
        <v>0</v>
      </c>
      <c r="W743">
        <f t="shared" si="652"/>
        <v>0</v>
      </c>
      <c r="X743">
        <f t="shared" si="653"/>
        <v>0</v>
      </c>
      <c r="Y743">
        <f t="shared" si="654"/>
        <v>0</v>
      </c>
      <c r="AA743">
        <v>129761633</v>
      </c>
      <c r="AB743">
        <f t="shared" si="655"/>
        <v>1618.05</v>
      </c>
      <c r="AC743">
        <f t="shared" si="672"/>
        <v>1618.05</v>
      </c>
      <c r="AD743">
        <f t="shared" si="682"/>
        <v>0</v>
      </c>
      <c r="AE743">
        <f t="shared" si="673"/>
        <v>0</v>
      </c>
      <c r="AF743">
        <f t="shared" si="674"/>
        <v>0</v>
      </c>
      <c r="AG743">
        <f t="shared" si="657"/>
        <v>0</v>
      </c>
      <c r="AH743">
        <f t="shared" si="658"/>
        <v>0</v>
      </c>
      <c r="AI743">
        <f t="shared" si="659"/>
        <v>0</v>
      </c>
      <c r="AJ743">
        <f t="shared" si="660"/>
        <v>0</v>
      </c>
      <c r="AK743">
        <v>1618.05</v>
      </c>
      <c r="AL743">
        <v>1618.05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1</v>
      </c>
      <c r="AW743">
        <v>1</v>
      </c>
      <c r="AZ743">
        <v>1</v>
      </c>
      <c r="BA743">
        <v>1</v>
      </c>
      <c r="BB743">
        <v>1</v>
      </c>
      <c r="BC743">
        <v>8.65</v>
      </c>
      <c r="BD743" t="s">
        <v>3</v>
      </c>
      <c r="BE743" t="s">
        <v>3</v>
      </c>
      <c r="BF743" t="s">
        <v>3</v>
      </c>
      <c r="BG743" t="s">
        <v>3</v>
      </c>
      <c r="BH743">
        <v>3</v>
      </c>
      <c r="BI743">
        <v>1</v>
      </c>
      <c r="BJ743" t="s">
        <v>3</v>
      </c>
      <c r="BM743">
        <v>700003</v>
      </c>
      <c r="BN743">
        <v>0</v>
      </c>
      <c r="BO743" t="s">
        <v>3</v>
      </c>
      <c r="BP743">
        <v>0</v>
      </c>
      <c r="BQ743">
        <v>206</v>
      </c>
      <c r="BR743">
        <v>0</v>
      </c>
      <c r="BS743">
        <v>1</v>
      </c>
      <c r="BT743">
        <v>1</v>
      </c>
      <c r="BU743">
        <v>1</v>
      </c>
      <c r="BV743">
        <v>1</v>
      </c>
      <c r="BW743">
        <v>1</v>
      </c>
      <c r="BX743">
        <v>1</v>
      </c>
      <c r="BY743" t="s">
        <v>3</v>
      </c>
      <c r="BZ743">
        <v>0</v>
      </c>
      <c r="CA743">
        <v>0</v>
      </c>
      <c r="CB743" t="s">
        <v>3</v>
      </c>
      <c r="CE743">
        <v>0</v>
      </c>
      <c r="CF743">
        <v>0</v>
      </c>
      <c r="CG743">
        <v>0</v>
      </c>
      <c r="CM743">
        <v>0</v>
      </c>
      <c r="CN743" t="s">
        <v>3</v>
      </c>
      <c r="CO743">
        <v>0</v>
      </c>
      <c r="CP743">
        <f t="shared" si="661"/>
        <v>13996.13</v>
      </c>
      <c r="CQ743">
        <f t="shared" si="683"/>
        <v>13996.1325</v>
      </c>
      <c r="CR743">
        <f t="shared" si="684"/>
        <v>0</v>
      </c>
      <c r="CS743">
        <f t="shared" si="685"/>
        <v>0</v>
      </c>
      <c r="CT743">
        <f t="shared" si="686"/>
        <v>0</v>
      </c>
      <c r="CU743">
        <f t="shared" si="675"/>
        <v>0</v>
      </c>
      <c r="CV743">
        <f t="shared" si="687"/>
        <v>0</v>
      </c>
      <c r="CW743">
        <f t="shared" si="676"/>
        <v>0</v>
      </c>
      <c r="CX743">
        <f t="shared" si="677"/>
        <v>0</v>
      </c>
      <c r="CY743">
        <f>S743*(BZ743/100)</f>
        <v>0</v>
      </c>
      <c r="CZ743">
        <f>S743*(CA743/100)</f>
        <v>0</v>
      </c>
      <c r="DC743" t="s">
        <v>3</v>
      </c>
      <c r="DD743" t="s">
        <v>3</v>
      </c>
      <c r="DE743" t="s">
        <v>3</v>
      </c>
      <c r="DF743" t="s">
        <v>3</v>
      </c>
      <c r="DG743" t="s">
        <v>3</v>
      </c>
      <c r="DH743" t="s">
        <v>3</v>
      </c>
      <c r="DI743" t="s">
        <v>3</v>
      </c>
      <c r="DJ743" t="s">
        <v>3</v>
      </c>
      <c r="DK743" t="s">
        <v>3</v>
      </c>
      <c r="DL743" t="s">
        <v>3</v>
      </c>
      <c r="DM743" t="s">
        <v>3</v>
      </c>
      <c r="DN743">
        <v>0</v>
      </c>
      <c r="DO743">
        <v>0</v>
      </c>
      <c r="DP743">
        <v>1</v>
      </c>
      <c r="DQ743">
        <v>1</v>
      </c>
      <c r="DU743">
        <v>1010</v>
      </c>
      <c r="DV743" t="s">
        <v>250</v>
      </c>
      <c r="DW743" t="s">
        <v>250</v>
      </c>
      <c r="DX743">
        <v>1</v>
      </c>
      <c r="DZ743" t="s">
        <v>3</v>
      </c>
      <c r="EA743" t="s">
        <v>3</v>
      </c>
      <c r="EB743" t="s">
        <v>3</v>
      </c>
      <c r="EC743" t="s">
        <v>3</v>
      </c>
      <c r="EE743">
        <v>126053677</v>
      </c>
      <c r="EF743">
        <v>206</v>
      </c>
      <c r="EG743" t="s">
        <v>704</v>
      </c>
      <c r="EH743">
        <v>0</v>
      </c>
      <c r="EI743" t="s">
        <v>3</v>
      </c>
      <c r="EJ743">
        <v>1</v>
      </c>
      <c r="EK743">
        <v>700003</v>
      </c>
      <c r="EL743" t="s">
        <v>704</v>
      </c>
      <c r="EM743" t="s">
        <v>705</v>
      </c>
      <c r="EO743" t="s">
        <v>3</v>
      </c>
      <c r="EQ743">
        <v>131072</v>
      </c>
      <c r="ER743">
        <v>1618.05</v>
      </c>
      <c r="ES743">
        <v>1618.05</v>
      </c>
      <c r="ET743">
        <v>0</v>
      </c>
      <c r="EU743">
        <v>0</v>
      </c>
      <c r="EV743">
        <v>0</v>
      </c>
      <c r="EW743">
        <v>0</v>
      </c>
      <c r="EX743">
        <v>0</v>
      </c>
      <c r="EY743">
        <v>0</v>
      </c>
      <c r="EZ743">
        <v>5</v>
      </c>
      <c r="FC743">
        <v>1</v>
      </c>
      <c r="FD743">
        <v>18</v>
      </c>
      <c r="FF743">
        <v>16466</v>
      </c>
      <c r="FQ743">
        <v>0</v>
      </c>
      <c r="FR743">
        <f t="shared" si="663"/>
        <v>0</v>
      </c>
      <c r="FS743">
        <v>0</v>
      </c>
      <c r="FX743">
        <v>0</v>
      </c>
      <c r="FY743">
        <v>0</v>
      </c>
      <c r="GA743" t="s">
        <v>716</v>
      </c>
      <c r="GD743">
        <v>0</v>
      </c>
      <c r="GF743">
        <v>1126031761</v>
      </c>
      <c r="GG743">
        <v>2</v>
      </c>
      <c r="GH743">
        <v>3</v>
      </c>
      <c r="GI743">
        <v>5</v>
      </c>
      <c r="GJ743">
        <v>0</v>
      </c>
      <c r="GK743">
        <f>ROUND(R743*(S12)/100,2)</f>
        <v>0</v>
      </c>
      <c r="GL743">
        <f t="shared" si="664"/>
        <v>0</v>
      </c>
      <c r="GM743">
        <f t="shared" si="665"/>
        <v>13996.13</v>
      </c>
      <c r="GN743">
        <f t="shared" si="666"/>
        <v>13996.13</v>
      </c>
      <c r="GO743">
        <f t="shared" si="667"/>
        <v>0</v>
      </c>
      <c r="GP743">
        <f t="shared" si="668"/>
        <v>0</v>
      </c>
      <c r="GR743">
        <v>1</v>
      </c>
      <c r="GS743">
        <v>1</v>
      </c>
      <c r="GT743">
        <v>0</v>
      </c>
      <c r="GU743" t="s">
        <v>3</v>
      </c>
      <c r="GV743">
        <f t="shared" si="669"/>
        <v>0</v>
      </c>
      <c r="GW743">
        <v>1</v>
      </c>
      <c r="GX743">
        <f t="shared" si="670"/>
        <v>0</v>
      </c>
      <c r="HA743">
        <v>0</v>
      </c>
      <c r="HB743">
        <v>0</v>
      </c>
      <c r="HC743">
        <f t="shared" si="671"/>
        <v>0</v>
      </c>
      <c r="HE743" t="s">
        <v>81</v>
      </c>
      <c r="HF743" t="s">
        <v>252</v>
      </c>
      <c r="HM743" t="s">
        <v>3</v>
      </c>
      <c r="HN743" t="s">
        <v>3</v>
      </c>
      <c r="HO743" t="s">
        <v>3</v>
      </c>
      <c r="HP743" t="s">
        <v>3</v>
      </c>
      <c r="HQ743" t="s">
        <v>3</v>
      </c>
      <c r="IK743">
        <v>0</v>
      </c>
    </row>
    <row r="744" spans="1:255" x14ac:dyDescent="0.2">
      <c r="A744" s="2">
        <v>17</v>
      </c>
      <c r="B744" s="2">
        <v>1</v>
      </c>
      <c r="C744" s="2"/>
      <c r="D744" s="2"/>
      <c r="E744" s="2" t="s">
        <v>329</v>
      </c>
      <c r="F744" s="2" t="s">
        <v>248</v>
      </c>
      <c r="G744" s="2" t="s">
        <v>717</v>
      </c>
      <c r="H744" s="2" t="s">
        <v>250</v>
      </c>
      <c r="I744" s="2">
        <v>1</v>
      </c>
      <c r="J744" s="2">
        <v>0</v>
      </c>
      <c r="K744" s="2">
        <v>1</v>
      </c>
      <c r="L744" s="2"/>
      <c r="M744" s="2"/>
      <c r="N744" s="2"/>
      <c r="O744" s="2">
        <f t="shared" si="648"/>
        <v>1723.48</v>
      </c>
      <c r="P744" s="2">
        <f t="shared" si="678"/>
        <v>1723.48</v>
      </c>
      <c r="Q744" s="2">
        <f t="shared" si="679"/>
        <v>0</v>
      </c>
      <c r="R744" s="2">
        <f t="shared" si="680"/>
        <v>0</v>
      </c>
      <c r="S744" s="2">
        <f t="shared" si="681"/>
        <v>0</v>
      </c>
      <c r="T744" s="2">
        <f t="shared" si="649"/>
        <v>0</v>
      </c>
      <c r="U744" s="2">
        <f t="shared" si="650"/>
        <v>0</v>
      </c>
      <c r="V744" s="2">
        <f t="shared" si="651"/>
        <v>0</v>
      </c>
      <c r="W744" s="2">
        <f t="shared" si="652"/>
        <v>0</v>
      </c>
      <c r="X744" s="2">
        <f t="shared" si="653"/>
        <v>0</v>
      </c>
      <c r="Y744" s="2">
        <f t="shared" si="654"/>
        <v>0</v>
      </c>
      <c r="Z744" s="2"/>
      <c r="AA744" s="2">
        <v>129761636</v>
      </c>
      <c r="AB744" s="2">
        <f t="shared" si="655"/>
        <v>1723.48</v>
      </c>
      <c r="AC744" s="2">
        <f t="shared" si="672"/>
        <v>1723.48</v>
      </c>
      <c r="AD744" s="2">
        <f t="shared" si="682"/>
        <v>0</v>
      </c>
      <c r="AE744" s="2">
        <f t="shared" si="673"/>
        <v>0</v>
      </c>
      <c r="AF744" s="2">
        <f t="shared" si="674"/>
        <v>0</v>
      </c>
      <c r="AG744" s="2">
        <f t="shared" si="657"/>
        <v>0</v>
      </c>
      <c r="AH744" s="2">
        <f t="shared" si="658"/>
        <v>0</v>
      </c>
      <c r="AI744" s="2">
        <f t="shared" si="659"/>
        <v>0</v>
      </c>
      <c r="AJ744" s="2">
        <f t="shared" si="660"/>
        <v>0</v>
      </c>
      <c r="AK744" s="2">
        <v>1723.48</v>
      </c>
      <c r="AL744" s="2">
        <v>1723.48</v>
      </c>
      <c r="AM744" s="2">
        <v>0</v>
      </c>
      <c r="AN744" s="2">
        <v>0</v>
      </c>
      <c r="AO744" s="2">
        <v>0</v>
      </c>
      <c r="AP744" s="2">
        <v>0</v>
      </c>
      <c r="AQ744" s="2">
        <v>0</v>
      </c>
      <c r="AR744" s="2">
        <v>0</v>
      </c>
      <c r="AS744" s="2">
        <v>0</v>
      </c>
      <c r="AT744" s="2">
        <v>0</v>
      </c>
      <c r="AU744" s="2">
        <v>0</v>
      </c>
      <c r="AV744" s="2">
        <v>1</v>
      </c>
      <c r="AW744" s="2">
        <v>1</v>
      </c>
      <c r="AX744" s="2"/>
      <c r="AY744" s="2"/>
      <c r="AZ744" s="2">
        <v>1</v>
      </c>
      <c r="BA744" s="2">
        <v>1</v>
      </c>
      <c r="BB744" s="2">
        <v>1</v>
      </c>
      <c r="BC744" s="2">
        <v>1</v>
      </c>
      <c r="BD744" s="2" t="s">
        <v>3</v>
      </c>
      <c r="BE744" s="2" t="s">
        <v>3</v>
      </c>
      <c r="BF744" s="2" t="s">
        <v>3</v>
      </c>
      <c r="BG744" s="2" t="s">
        <v>3</v>
      </c>
      <c r="BH744" s="2">
        <v>3</v>
      </c>
      <c r="BI744" s="2">
        <v>1</v>
      </c>
      <c r="BJ744" s="2" t="s">
        <v>3</v>
      </c>
      <c r="BK744" s="2"/>
      <c r="BL744" s="2"/>
      <c r="BM744" s="2">
        <v>700003</v>
      </c>
      <c r="BN744" s="2">
        <v>0</v>
      </c>
      <c r="BO744" s="2" t="s">
        <v>3</v>
      </c>
      <c r="BP744" s="2">
        <v>0</v>
      </c>
      <c r="BQ744" s="2">
        <v>206</v>
      </c>
      <c r="BR744" s="2">
        <v>0</v>
      </c>
      <c r="BS744" s="2">
        <v>1</v>
      </c>
      <c r="BT744" s="2">
        <v>1</v>
      </c>
      <c r="BU744" s="2">
        <v>1</v>
      </c>
      <c r="BV744" s="2">
        <v>1</v>
      </c>
      <c r="BW744" s="2">
        <v>1</v>
      </c>
      <c r="BX744" s="2">
        <v>1</v>
      </c>
      <c r="BY744" s="2" t="s">
        <v>3</v>
      </c>
      <c r="BZ744" s="2">
        <v>0</v>
      </c>
      <c r="CA744" s="2">
        <v>0</v>
      </c>
      <c r="CB744" s="2" t="s">
        <v>3</v>
      </c>
      <c r="CC744" s="2"/>
      <c r="CD744" s="2"/>
      <c r="CE744" s="2">
        <v>0</v>
      </c>
      <c r="CF744" s="2">
        <v>0</v>
      </c>
      <c r="CG744" s="2">
        <v>0</v>
      </c>
      <c r="CH744" s="2"/>
      <c r="CI744" s="2"/>
      <c r="CJ744" s="2"/>
      <c r="CK744" s="2"/>
      <c r="CL744" s="2"/>
      <c r="CM744" s="2">
        <v>0</v>
      </c>
      <c r="CN744" s="2" t="s">
        <v>3</v>
      </c>
      <c r="CO744" s="2">
        <v>0</v>
      </c>
      <c r="CP744" s="2">
        <f t="shared" si="661"/>
        <v>1723.48</v>
      </c>
      <c r="CQ744" s="2">
        <f t="shared" si="683"/>
        <v>1723.48</v>
      </c>
      <c r="CR744" s="2">
        <f t="shared" si="684"/>
        <v>0</v>
      </c>
      <c r="CS744" s="2">
        <f t="shared" si="685"/>
        <v>0</v>
      </c>
      <c r="CT744" s="2">
        <f t="shared" si="686"/>
        <v>0</v>
      </c>
      <c r="CU744" s="2">
        <f t="shared" si="675"/>
        <v>0</v>
      </c>
      <c r="CV744" s="2">
        <f t="shared" si="687"/>
        <v>0</v>
      </c>
      <c r="CW744" s="2">
        <f t="shared" si="676"/>
        <v>0</v>
      </c>
      <c r="CX744" s="2">
        <f t="shared" si="677"/>
        <v>0</v>
      </c>
      <c r="CY744" s="2">
        <f>0</f>
        <v>0</v>
      </c>
      <c r="CZ744" s="2">
        <f>0</f>
        <v>0</v>
      </c>
      <c r="DA744" s="2"/>
      <c r="DB744" s="2"/>
      <c r="DC744" s="2" t="s">
        <v>3</v>
      </c>
      <c r="DD744" s="2" t="s">
        <v>3</v>
      </c>
      <c r="DE744" s="2" t="s">
        <v>3</v>
      </c>
      <c r="DF744" s="2" t="s">
        <v>3</v>
      </c>
      <c r="DG744" s="2" t="s">
        <v>3</v>
      </c>
      <c r="DH744" s="2" t="s">
        <v>3</v>
      </c>
      <c r="DI744" s="2" t="s">
        <v>3</v>
      </c>
      <c r="DJ744" s="2" t="s">
        <v>3</v>
      </c>
      <c r="DK744" s="2" t="s">
        <v>3</v>
      </c>
      <c r="DL744" s="2" t="s">
        <v>3</v>
      </c>
      <c r="DM744" s="2" t="s">
        <v>3</v>
      </c>
      <c r="DN744" s="2">
        <v>0</v>
      </c>
      <c r="DO744" s="2">
        <v>0</v>
      </c>
      <c r="DP744" s="2">
        <v>1</v>
      </c>
      <c r="DQ744" s="2">
        <v>1</v>
      </c>
      <c r="DR744" s="2"/>
      <c r="DS744" s="2"/>
      <c r="DT744" s="2"/>
      <c r="DU744" s="2">
        <v>1010</v>
      </c>
      <c r="DV744" s="2" t="s">
        <v>250</v>
      </c>
      <c r="DW744" s="2" t="s">
        <v>250</v>
      </c>
      <c r="DX744" s="2">
        <v>1</v>
      </c>
      <c r="DY744" s="2"/>
      <c r="DZ744" s="2" t="s">
        <v>3</v>
      </c>
      <c r="EA744" s="2" t="s">
        <v>3</v>
      </c>
      <c r="EB744" s="2" t="s">
        <v>3</v>
      </c>
      <c r="EC744" s="2" t="s">
        <v>3</v>
      </c>
      <c r="ED744" s="2"/>
      <c r="EE744" s="2">
        <v>126053677</v>
      </c>
      <c r="EF744" s="2">
        <v>206</v>
      </c>
      <c r="EG744" s="2" t="s">
        <v>704</v>
      </c>
      <c r="EH744" s="2">
        <v>0</v>
      </c>
      <c r="EI744" s="2" t="s">
        <v>3</v>
      </c>
      <c r="EJ744" s="2">
        <v>1</v>
      </c>
      <c r="EK744" s="2">
        <v>700003</v>
      </c>
      <c r="EL744" s="2" t="s">
        <v>704</v>
      </c>
      <c r="EM744" s="2" t="s">
        <v>705</v>
      </c>
      <c r="EN744" s="2"/>
      <c r="EO744" s="2" t="s">
        <v>3</v>
      </c>
      <c r="EP744" s="2"/>
      <c r="EQ744" s="2">
        <v>131072</v>
      </c>
      <c r="ER744" s="2">
        <v>1723.48</v>
      </c>
      <c r="ES744" s="2">
        <v>1723.48</v>
      </c>
      <c r="ET744" s="2">
        <v>0</v>
      </c>
      <c r="EU744" s="2">
        <v>0</v>
      </c>
      <c r="EV744" s="2">
        <v>0</v>
      </c>
      <c r="EW744" s="2">
        <v>0</v>
      </c>
      <c r="EX744" s="2">
        <v>0</v>
      </c>
      <c r="EY744" s="2">
        <v>0</v>
      </c>
      <c r="EZ744" s="2"/>
      <c r="FA744" s="2"/>
      <c r="FB744" s="2"/>
      <c r="FC744" s="2"/>
      <c r="FD744" s="2"/>
      <c r="FE744" s="2"/>
      <c r="FF744" s="2"/>
      <c r="FG744" s="2"/>
      <c r="FH744" s="2"/>
      <c r="FI744" s="2"/>
      <c r="FJ744" s="2"/>
      <c r="FK744" s="2"/>
      <c r="FL744" s="2"/>
      <c r="FM744" s="2"/>
      <c r="FN744" s="2"/>
      <c r="FO744" s="2"/>
      <c r="FP744" s="2"/>
      <c r="FQ744" s="2">
        <v>0</v>
      </c>
      <c r="FR744" s="2">
        <f t="shared" si="663"/>
        <v>0</v>
      </c>
      <c r="FS744" s="2">
        <v>0</v>
      </c>
      <c r="FT744" s="2"/>
      <c r="FU744" s="2"/>
      <c r="FV744" s="2"/>
      <c r="FW744" s="2"/>
      <c r="FX744" s="2">
        <v>0</v>
      </c>
      <c r="FY744" s="2">
        <v>0</v>
      </c>
      <c r="FZ744" s="2"/>
      <c r="GA744" s="2" t="s">
        <v>3</v>
      </c>
      <c r="GB744" s="2"/>
      <c r="GC744" s="2"/>
      <c r="GD744" s="2">
        <v>0</v>
      </c>
      <c r="GE744" s="2"/>
      <c r="GF744" s="2">
        <v>1421918611</v>
      </c>
      <c r="GG744" s="2">
        <v>2</v>
      </c>
      <c r="GH744" s="2">
        <v>0</v>
      </c>
      <c r="GI744" s="2">
        <v>-2</v>
      </c>
      <c r="GJ744" s="2">
        <v>0</v>
      </c>
      <c r="GK744" s="2">
        <f>ROUND(R744*(R12)/100,2)</f>
        <v>0</v>
      </c>
      <c r="GL744" s="2">
        <f t="shared" si="664"/>
        <v>0</v>
      </c>
      <c r="GM744" s="2">
        <f t="shared" si="665"/>
        <v>1723.48</v>
      </c>
      <c r="GN744" s="2">
        <f t="shared" si="666"/>
        <v>1723.48</v>
      </c>
      <c r="GO744" s="2">
        <f t="shared" si="667"/>
        <v>0</v>
      </c>
      <c r="GP744" s="2">
        <f t="shared" si="668"/>
        <v>0</v>
      </c>
      <c r="GQ744" s="2"/>
      <c r="GR744" s="2">
        <v>0</v>
      </c>
      <c r="GS744" s="2">
        <v>0</v>
      </c>
      <c r="GT744" s="2">
        <v>0</v>
      </c>
      <c r="GU744" s="2" t="s">
        <v>3</v>
      </c>
      <c r="GV744" s="2">
        <f t="shared" si="669"/>
        <v>0</v>
      </c>
      <c r="GW744" s="2">
        <v>1</v>
      </c>
      <c r="GX744" s="2">
        <f t="shared" si="670"/>
        <v>0</v>
      </c>
      <c r="GY744" s="2"/>
      <c r="GZ744" s="2"/>
      <c r="HA744" s="2">
        <v>0</v>
      </c>
      <c r="HB744" s="2">
        <v>0</v>
      </c>
      <c r="HC744" s="2">
        <f t="shared" si="671"/>
        <v>0</v>
      </c>
      <c r="HD744" s="2"/>
      <c r="HE744" s="2" t="s">
        <v>3</v>
      </c>
      <c r="HF744" s="2" t="s">
        <v>3</v>
      </c>
      <c r="HG744" s="2"/>
      <c r="HH744" s="2"/>
      <c r="HI744" s="2"/>
      <c r="HJ744" s="2"/>
      <c r="HK744" s="2"/>
      <c r="HL744" s="2"/>
      <c r="HM744" s="2" t="s">
        <v>3</v>
      </c>
      <c r="HN744" s="2" t="s">
        <v>3</v>
      </c>
      <c r="HO744" s="2" t="s">
        <v>3</v>
      </c>
      <c r="HP744" s="2" t="s">
        <v>3</v>
      </c>
      <c r="HQ744" s="2" t="s">
        <v>3</v>
      </c>
      <c r="HR744" s="2"/>
      <c r="HS744" s="2"/>
      <c r="HT744" s="2"/>
      <c r="HU744" s="2"/>
      <c r="HV744" s="2"/>
      <c r="HW744" s="2"/>
      <c r="HX744" s="2"/>
      <c r="HY744" s="2"/>
      <c r="HZ744" s="2"/>
      <c r="IA744" s="2"/>
      <c r="IB744" s="2"/>
      <c r="IC744" s="2"/>
      <c r="ID744" s="2"/>
      <c r="IE744" s="2"/>
      <c r="IF744" s="2"/>
      <c r="IG744" s="2"/>
      <c r="IH744" s="2"/>
      <c r="II744" s="2"/>
      <c r="IJ744" s="2"/>
      <c r="IK744" s="2">
        <v>0</v>
      </c>
      <c r="IL744" s="2"/>
      <c r="IM744" s="2"/>
      <c r="IN744" s="2"/>
      <c r="IO744" s="2"/>
      <c r="IP744" s="2"/>
      <c r="IQ744" s="2"/>
      <c r="IR744" s="2"/>
      <c r="IS744" s="2"/>
      <c r="IT744" s="2"/>
      <c r="IU744" s="2"/>
    </row>
    <row r="745" spans="1:255" x14ac:dyDescent="0.2">
      <c r="A745">
        <v>17</v>
      </c>
      <c r="B745">
        <v>1</v>
      </c>
      <c r="E745" t="s">
        <v>329</v>
      </c>
      <c r="F745" t="s">
        <v>248</v>
      </c>
      <c r="G745" t="s">
        <v>717</v>
      </c>
      <c r="H745" t="s">
        <v>250</v>
      </c>
      <c r="I745">
        <v>1</v>
      </c>
      <c r="J745">
        <v>0</v>
      </c>
      <c r="K745">
        <v>1</v>
      </c>
      <c r="O745">
        <f t="shared" si="648"/>
        <v>14416</v>
      </c>
      <c r="P745">
        <f t="shared" si="678"/>
        <v>14416</v>
      </c>
      <c r="Q745">
        <f t="shared" si="679"/>
        <v>0</v>
      </c>
      <c r="R745">
        <f t="shared" si="680"/>
        <v>0</v>
      </c>
      <c r="S745">
        <f t="shared" si="681"/>
        <v>0</v>
      </c>
      <c r="T745">
        <f t="shared" si="649"/>
        <v>0</v>
      </c>
      <c r="U745">
        <f t="shared" si="650"/>
        <v>0</v>
      </c>
      <c r="V745">
        <f t="shared" si="651"/>
        <v>0</v>
      </c>
      <c r="W745">
        <f t="shared" si="652"/>
        <v>0</v>
      </c>
      <c r="X745">
        <f t="shared" si="653"/>
        <v>0</v>
      </c>
      <c r="Y745">
        <f t="shared" si="654"/>
        <v>0</v>
      </c>
      <c r="AA745">
        <v>129761633</v>
      </c>
      <c r="AB745">
        <f t="shared" si="655"/>
        <v>1666.59</v>
      </c>
      <c r="AC745">
        <f t="shared" si="672"/>
        <v>1666.59</v>
      </c>
      <c r="AD745">
        <f t="shared" si="682"/>
        <v>0</v>
      </c>
      <c r="AE745">
        <f t="shared" si="673"/>
        <v>0</v>
      </c>
      <c r="AF745">
        <f t="shared" si="674"/>
        <v>0</v>
      </c>
      <c r="AG745">
        <f t="shared" si="657"/>
        <v>0</v>
      </c>
      <c r="AH745">
        <f t="shared" si="658"/>
        <v>0</v>
      </c>
      <c r="AI745">
        <f t="shared" si="659"/>
        <v>0</v>
      </c>
      <c r="AJ745">
        <f t="shared" si="660"/>
        <v>0</v>
      </c>
      <c r="AK745">
        <v>1666.5900000000001</v>
      </c>
      <c r="AL745">
        <v>1666.5900000000001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1</v>
      </c>
      <c r="AW745">
        <v>1</v>
      </c>
      <c r="AZ745">
        <v>1</v>
      </c>
      <c r="BA745">
        <v>1</v>
      </c>
      <c r="BB745">
        <v>1</v>
      </c>
      <c r="BC745">
        <v>8.65</v>
      </c>
      <c r="BD745" t="s">
        <v>3</v>
      </c>
      <c r="BE745" t="s">
        <v>3</v>
      </c>
      <c r="BF745" t="s">
        <v>3</v>
      </c>
      <c r="BG745" t="s">
        <v>3</v>
      </c>
      <c r="BH745">
        <v>3</v>
      </c>
      <c r="BI745">
        <v>1</v>
      </c>
      <c r="BJ745" t="s">
        <v>3</v>
      </c>
      <c r="BM745">
        <v>700003</v>
      </c>
      <c r="BN745">
        <v>0</v>
      </c>
      <c r="BO745" t="s">
        <v>3</v>
      </c>
      <c r="BP745">
        <v>0</v>
      </c>
      <c r="BQ745">
        <v>206</v>
      </c>
      <c r="BR745">
        <v>0</v>
      </c>
      <c r="BS745">
        <v>1</v>
      </c>
      <c r="BT745">
        <v>1</v>
      </c>
      <c r="BU745">
        <v>1</v>
      </c>
      <c r="BV745">
        <v>1</v>
      </c>
      <c r="BW745">
        <v>1</v>
      </c>
      <c r="BX745">
        <v>1</v>
      </c>
      <c r="BY745" t="s">
        <v>3</v>
      </c>
      <c r="BZ745">
        <v>0</v>
      </c>
      <c r="CA745">
        <v>0</v>
      </c>
      <c r="CB745" t="s">
        <v>3</v>
      </c>
      <c r="CE745">
        <v>0</v>
      </c>
      <c r="CF745">
        <v>0</v>
      </c>
      <c r="CG745">
        <v>0</v>
      </c>
      <c r="CM745">
        <v>0</v>
      </c>
      <c r="CN745" t="s">
        <v>3</v>
      </c>
      <c r="CO745">
        <v>0</v>
      </c>
      <c r="CP745">
        <f t="shared" si="661"/>
        <v>14416</v>
      </c>
      <c r="CQ745">
        <f t="shared" si="683"/>
        <v>14416.003500000001</v>
      </c>
      <c r="CR745">
        <f t="shared" si="684"/>
        <v>0</v>
      </c>
      <c r="CS745">
        <f t="shared" si="685"/>
        <v>0</v>
      </c>
      <c r="CT745">
        <f t="shared" si="686"/>
        <v>0</v>
      </c>
      <c r="CU745">
        <f t="shared" si="675"/>
        <v>0</v>
      </c>
      <c r="CV745">
        <f t="shared" si="687"/>
        <v>0</v>
      </c>
      <c r="CW745">
        <f t="shared" si="676"/>
        <v>0</v>
      </c>
      <c r="CX745">
        <f t="shared" si="677"/>
        <v>0</v>
      </c>
      <c r="CY745">
        <f>S745*(BZ745/100)</f>
        <v>0</v>
      </c>
      <c r="CZ745">
        <f>S745*(CA745/100)</f>
        <v>0</v>
      </c>
      <c r="DC745" t="s">
        <v>3</v>
      </c>
      <c r="DD745" t="s">
        <v>3</v>
      </c>
      <c r="DE745" t="s">
        <v>3</v>
      </c>
      <c r="DF745" t="s">
        <v>3</v>
      </c>
      <c r="DG745" t="s">
        <v>3</v>
      </c>
      <c r="DH745" t="s">
        <v>3</v>
      </c>
      <c r="DI745" t="s">
        <v>3</v>
      </c>
      <c r="DJ745" t="s">
        <v>3</v>
      </c>
      <c r="DK745" t="s">
        <v>3</v>
      </c>
      <c r="DL745" t="s">
        <v>3</v>
      </c>
      <c r="DM745" t="s">
        <v>3</v>
      </c>
      <c r="DN745">
        <v>0</v>
      </c>
      <c r="DO745">
        <v>0</v>
      </c>
      <c r="DP745">
        <v>1</v>
      </c>
      <c r="DQ745">
        <v>1</v>
      </c>
      <c r="DU745">
        <v>1010</v>
      </c>
      <c r="DV745" t="s">
        <v>250</v>
      </c>
      <c r="DW745" t="s">
        <v>250</v>
      </c>
      <c r="DX745">
        <v>1</v>
      </c>
      <c r="DZ745" t="s">
        <v>3</v>
      </c>
      <c r="EA745" t="s">
        <v>3</v>
      </c>
      <c r="EB745" t="s">
        <v>3</v>
      </c>
      <c r="EC745" t="s">
        <v>3</v>
      </c>
      <c r="EE745">
        <v>126053677</v>
      </c>
      <c r="EF745">
        <v>206</v>
      </c>
      <c r="EG745" t="s">
        <v>704</v>
      </c>
      <c r="EH745">
        <v>0</v>
      </c>
      <c r="EI745" t="s">
        <v>3</v>
      </c>
      <c r="EJ745">
        <v>1</v>
      </c>
      <c r="EK745">
        <v>700003</v>
      </c>
      <c r="EL745" t="s">
        <v>704</v>
      </c>
      <c r="EM745" t="s">
        <v>705</v>
      </c>
      <c r="EO745" t="s">
        <v>3</v>
      </c>
      <c r="EQ745">
        <v>131072</v>
      </c>
      <c r="ER745">
        <v>1666.5900000000001</v>
      </c>
      <c r="ES745">
        <v>1666.5900000000001</v>
      </c>
      <c r="ET745">
        <v>0</v>
      </c>
      <c r="EU745">
        <v>0</v>
      </c>
      <c r="EV745">
        <v>0</v>
      </c>
      <c r="EW745">
        <v>0</v>
      </c>
      <c r="EX745">
        <v>0</v>
      </c>
      <c r="EY745">
        <v>0</v>
      </c>
      <c r="EZ745">
        <v>5</v>
      </c>
      <c r="FC745">
        <v>1</v>
      </c>
      <c r="FD745">
        <v>18</v>
      </c>
      <c r="FF745">
        <v>16960</v>
      </c>
      <c r="FQ745">
        <v>0</v>
      </c>
      <c r="FR745">
        <f t="shared" si="663"/>
        <v>0</v>
      </c>
      <c r="FS745">
        <v>0</v>
      </c>
      <c r="FX745">
        <v>0</v>
      </c>
      <c r="FY745">
        <v>0</v>
      </c>
      <c r="GA745" t="s">
        <v>718</v>
      </c>
      <c r="GD745">
        <v>0</v>
      </c>
      <c r="GF745">
        <v>1421918611</v>
      </c>
      <c r="GG745">
        <v>2</v>
      </c>
      <c r="GH745">
        <v>3</v>
      </c>
      <c r="GI745">
        <v>5</v>
      </c>
      <c r="GJ745">
        <v>0</v>
      </c>
      <c r="GK745">
        <f>ROUND(R745*(S12)/100,2)</f>
        <v>0</v>
      </c>
      <c r="GL745">
        <f t="shared" si="664"/>
        <v>0</v>
      </c>
      <c r="GM745">
        <f t="shared" si="665"/>
        <v>14416</v>
      </c>
      <c r="GN745">
        <f t="shared" si="666"/>
        <v>14416</v>
      </c>
      <c r="GO745">
        <f t="shared" si="667"/>
        <v>0</v>
      </c>
      <c r="GP745">
        <f t="shared" si="668"/>
        <v>0</v>
      </c>
      <c r="GR745">
        <v>1</v>
      </c>
      <c r="GS745">
        <v>1</v>
      </c>
      <c r="GT745">
        <v>0</v>
      </c>
      <c r="GU745" t="s">
        <v>3</v>
      </c>
      <c r="GV745">
        <f t="shared" si="669"/>
        <v>0</v>
      </c>
      <c r="GW745">
        <v>1</v>
      </c>
      <c r="GX745">
        <f t="shared" si="670"/>
        <v>0</v>
      </c>
      <c r="HA745">
        <v>0</v>
      </c>
      <c r="HB745">
        <v>0</v>
      </c>
      <c r="HC745">
        <f t="shared" si="671"/>
        <v>0</v>
      </c>
      <c r="HE745" t="s">
        <v>81</v>
      </c>
      <c r="HF745" t="s">
        <v>252</v>
      </c>
      <c r="HM745" t="s">
        <v>3</v>
      </c>
      <c r="HN745" t="s">
        <v>3</v>
      </c>
      <c r="HO745" t="s">
        <v>3</v>
      </c>
      <c r="HP745" t="s">
        <v>3</v>
      </c>
      <c r="HQ745" t="s">
        <v>3</v>
      </c>
      <c r="IK745">
        <v>0</v>
      </c>
    </row>
    <row r="746" spans="1:255" x14ac:dyDescent="0.2">
      <c r="A746" s="2">
        <v>17</v>
      </c>
      <c r="B746" s="2">
        <v>1</v>
      </c>
      <c r="C746" s="2"/>
      <c r="D746" s="2"/>
      <c r="E746" s="2" t="s">
        <v>340</v>
      </c>
      <c r="F746" s="2" t="s">
        <v>248</v>
      </c>
      <c r="G746" s="2" t="s">
        <v>719</v>
      </c>
      <c r="H746" s="2" t="s">
        <v>250</v>
      </c>
      <c r="I746" s="2">
        <v>1</v>
      </c>
      <c r="J746" s="2">
        <v>0</v>
      </c>
      <c r="K746" s="2">
        <v>1</v>
      </c>
      <c r="L746" s="2"/>
      <c r="M746" s="2"/>
      <c r="N746" s="2"/>
      <c r="O746" s="2">
        <f t="shared" si="648"/>
        <v>716.28</v>
      </c>
      <c r="P746" s="2">
        <f t="shared" si="678"/>
        <v>716.28</v>
      </c>
      <c r="Q746" s="2">
        <f t="shared" si="679"/>
        <v>0</v>
      </c>
      <c r="R746" s="2">
        <f t="shared" si="680"/>
        <v>0</v>
      </c>
      <c r="S746" s="2">
        <f t="shared" si="681"/>
        <v>0</v>
      </c>
      <c r="T746" s="2">
        <f t="shared" si="649"/>
        <v>0</v>
      </c>
      <c r="U746" s="2">
        <f t="shared" si="650"/>
        <v>0</v>
      </c>
      <c r="V746" s="2">
        <f t="shared" si="651"/>
        <v>0</v>
      </c>
      <c r="W746" s="2">
        <f t="shared" si="652"/>
        <v>0</v>
      </c>
      <c r="X746" s="2">
        <f t="shared" si="653"/>
        <v>0</v>
      </c>
      <c r="Y746" s="2">
        <f t="shared" si="654"/>
        <v>0</v>
      </c>
      <c r="Z746" s="2"/>
      <c r="AA746" s="2">
        <v>129761636</v>
      </c>
      <c r="AB746" s="2">
        <f t="shared" si="655"/>
        <v>716.28</v>
      </c>
      <c r="AC746" s="2">
        <f t="shared" si="672"/>
        <v>716.28</v>
      </c>
      <c r="AD746" s="2">
        <f t="shared" si="682"/>
        <v>0</v>
      </c>
      <c r="AE746" s="2">
        <f t="shared" si="673"/>
        <v>0</v>
      </c>
      <c r="AF746" s="2">
        <f t="shared" si="674"/>
        <v>0</v>
      </c>
      <c r="AG746" s="2">
        <f t="shared" si="657"/>
        <v>0</v>
      </c>
      <c r="AH746" s="2">
        <f t="shared" si="658"/>
        <v>0</v>
      </c>
      <c r="AI746" s="2">
        <f t="shared" si="659"/>
        <v>0</v>
      </c>
      <c r="AJ746" s="2">
        <f t="shared" si="660"/>
        <v>0</v>
      </c>
      <c r="AK746" s="2">
        <v>716.28</v>
      </c>
      <c r="AL746" s="2">
        <v>716.28</v>
      </c>
      <c r="AM746" s="2">
        <v>0</v>
      </c>
      <c r="AN746" s="2">
        <v>0</v>
      </c>
      <c r="AO746" s="2">
        <v>0</v>
      </c>
      <c r="AP746" s="2">
        <v>0</v>
      </c>
      <c r="AQ746" s="2">
        <v>0</v>
      </c>
      <c r="AR746" s="2">
        <v>0</v>
      </c>
      <c r="AS746" s="2">
        <v>0</v>
      </c>
      <c r="AT746" s="2">
        <v>0</v>
      </c>
      <c r="AU746" s="2">
        <v>0</v>
      </c>
      <c r="AV746" s="2">
        <v>1</v>
      </c>
      <c r="AW746" s="2">
        <v>1</v>
      </c>
      <c r="AX746" s="2"/>
      <c r="AY746" s="2"/>
      <c r="AZ746" s="2">
        <v>1</v>
      </c>
      <c r="BA746" s="2">
        <v>1</v>
      </c>
      <c r="BB746" s="2">
        <v>1</v>
      </c>
      <c r="BC746" s="2">
        <v>1</v>
      </c>
      <c r="BD746" s="2" t="s">
        <v>3</v>
      </c>
      <c r="BE746" s="2" t="s">
        <v>3</v>
      </c>
      <c r="BF746" s="2" t="s">
        <v>3</v>
      </c>
      <c r="BG746" s="2" t="s">
        <v>3</v>
      </c>
      <c r="BH746" s="2">
        <v>3</v>
      </c>
      <c r="BI746" s="2">
        <v>1</v>
      </c>
      <c r="BJ746" s="2" t="s">
        <v>3</v>
      </c>
      <c r="BK746" s="2"/>
      <c r="BL746" s="2"/>
      <c r="BM746" s="2">
        <v>700003</v>
      </c>
      <c r="BN746" s="2">
        <v>0</v>
      </c>
      <c r="BO746" s="2" t="s">
        <v>3</v>
      </c>
      <c r="BP746" s="2">
        <v>0</v>
      </c>
      <c r="BQ746" s="2">
        <v>206</v>
      </c>
      <c r="BR746" s="2">
        <v>0</v>
      </c>
      <c r="BS746" s="2">
        <v>1</v>
      </c>
      <c r="BT746" s="2">
        <v>1</v>
      </c>
      <c r="BU746" s="2">
        <v>1</v>
      </c>
      <c r="BV746" s="2">
        <v>1</v>
      </c>
      <c r="BW746" s="2">
        <v>1</v>
      </c>
      <c r="BX746" s="2">
        <v>1</v>
      </c>
      <c r="BY746" s="2" t="s">
        <v>3</v>
      </c>
      <c r="BZ746" s="2">
        <v>0</v>
      </c>
      <c r="CA746" s="2">
        <v>0</v>
      </c>
      <c r="CB746" s="2" t="s">
        <v>3</v>
      </c>
      <c r="CC746" s="2"/>
      <c r="CD746" s="2"/>
      <c r="CE746" s="2">
        <v>0</v>
      </c>
      <c r="CF746" s="2">
        <v>0</v>
      </c>
      <c r="CG746" s="2">
        <v>0</v>
      </c>
      <c r="CH746" s="2"/>
      <c r="CI746" s="2"/>
      <c r="CJ746" s="2"/>
      <c r="CK746" s="2"/>
      <c r="CL746" s="2"/>
      <c r="CM746" s="2">
        <v>0</v>
      </c>
      <c r="CN746" s="2" t="s">
        <v>3</v>
      </c>
      <c r="CO746" s="2">
        <v>0</v>
      </c>
      <c r="CP746" s="2">
        <f t="shared" si="661"/>
        <v>716.28</v>
      </c>
      <c r="CQ746" s="2">
        <f t="shared" si="683"/>
        <v>716.28</v>
      </c>
      <c r="CR746" s="2">
        <f t="shared" si="684"/>
        <v>0</v>
      </c>
      <c r="CS746" s="2">
        <f t="shared" si="685"/>
        <v>0</v>
      </c>
      <c r="CT746" s="2">
        <f t="shared" si="686"/>
        <v>0</v>
      </c>
      <c r="CU746" s="2">
        <f t="shared" si="675"/>
        <v>0</v>
      </c>
      <c r="CV746" s="2">
        <f t="shared" si="687"/>
        <v>0</v>
      </c>
      <c r="CW746" s="2">
        <f t="shared" si="676"/>
        <v>0</v>
      </c>
      <c r="CX746" s="2">
        <f t="shared" si="677"/>
        <v>0</v>
      </c>
      <c r="CY746" s="2">
        <f>0</f>
        <v>0</v>
      </c>
      <c r="CZ746" s="2">
        <f>0</f>
        <v>0</v>
      </c>
      <c r="DA746" s="2"/>
      <c r="DB746" s="2"/>
      <c r="DC746" s="2" t="s">
        <v>3</v>
      </c>
      <c r="DD746" s="2" t="s">
        <v>3</v>
      </c>
      <c r="DE746" s="2" t="s">
        <v>3</v>
      </c>
      <c r="DF746" s="2" t="s">
        <v>3</v>
      </c>
      <c r="DG746" s="2" t="s">
        <v>3</v>
      </c>
      <c r="DH746" s="2" t="s">
        <v>3</v>
      </c>
      <c r="DI746" s="2" t="s">
        <v>3</v>
      </c>
      <c r="DJ746" s="2" t="s">
        <v>3</v>
      </c>
      <c r="DK746" s="2" t="s">
        <v>3</v>
      </c>
      <c r="DL746" s="2" t="s">
        <v>3</v>
      </c>
      <c r="DM746" s="2" t="s">
        <v>3</v>
      </c>
      <c r="DN746" s="2">
        <v>0</v>
      </c>
      <c r="DO746" s="2">
        <v>0</v>
      </c>
      <c r="DP746" s="2">
        <v>1</v>
      </c>
      <c r="DQ746" s="2">
        <v>1</v>
      </c>
      <c r="DR746" s="2"/>
      <c r="DS746" s="2"/>
      <c r="DT746" s="2"/>
      <c r="DU746" s="2">
        <v>1010</v>
      </c>
      <c r="DV746" s="2" t="s">
        <v>250</v>
      </c>
      <c r="DW746" s="2" t="s">
        <v>250</v>
      </c>
      <c r="DX746" s="2">
        <v>1</v>
      </c>
      <c r="DY746" s="2"/>
      <c r="DZ746" s="2" t="s">
        <v>3</v>
      </c>
      <c r="EA746" s="2" t="s">
        <v>3</v>
      </c>
      <c r="EB746" s="2" t="s">
        <v>3</v>
      </c>
      <c r="EC746" s="2" t="s">
        <v>3</v>
      </c>
      <c r="ED746" s="2"/>
      <c r="EE746" s="2">
        <v>126053677</v>
      </c>
      <c r="EF746" s="2">
        <v>206</v>
      </c>
      <c r="EG746" s="2" t="s">
        <v>704</v>
      </c>
      <c r="EH746" s="2">
        <v>0</v>
      </c>
      <c r="EI746" s="2" t="s">
        <v>3</v>
      </c>
      <c r="EJ746" s="2">
        <v>1</v>
      </c>
      <c r="EK746" s="2">
        <v>700003</v>
      </c>
      <c r="EL746" s="2" t="s">
        <v>704</v>
      </c>
      <c r="EM746" s="2" t="s">
        <v>705</v>
      </c>
      <c r="EN746" s="2"/>
      <c r="EO746" s="2" t="s">
        <v>3</v>
      </c>
      <c r="EP746" s="2"/>
      <c r="EQ746" s="2">
        <v>131072</v>
      </c>
      <c r="ER746" s="2">
        <v>716.28</v>
      </c>
      <c r="ES746" s="2">
        <v>716.28</v>
      </c>
      <c r="ET746" s="2">
        <v>0</v>
      </c>
      <c r="EU746" s="2">
        <v>0</v>
      </c>
      <c r="EV746" s="2">
        <v>0</v>
      </c>
      <c r="EW746" s="2">
        <v>0</v>
      </c>
      <c r="EX746" s="2">
        <v>0</v>
      </c>
      <c r="EY746" s="2">
        <v>0</v>
      </c>
      <c r="EZ746" s="2"/>
      <c r="FA746" s="2"/>
      <c r="FB746" s="2"/>
      <c r="FC746" s="2"/>
      <c r="FD746" s="2"/>
      <c r="FE746" s="2"/>
      <c r="FF746" s="2"/>
      <c r="FG746" s="2"/>
      <c r="FH746" s="2"/>
      <c r="FI746" s="2"/>
      <c r="FJ746" s="2"/>
      <c r="FK746" s="2"/>
      <c r="FL746" s="2"/>
      <c r="FM746" s="2"/>
      <c r="FN746" s="2"/>
      <c r="FO746" s="2"/>
      <c r="FP746" s="2"/>
      <c r="FQ746" s="2">
        <v>0</v>
      </c>
      <c r="FR746" s="2">
        <f t="shared" si="663"/>
        <v>0</v>
      </c>
      <c r="FS746" s="2">
        <v>0</v>
      </c>
      <c r="FT746" s="2"/>
      <c r="FU746" s="2"/>
      <c r="FV746" s="2"/>
      <c r="FW746" s="2"/>
      <c r="FX746" s="2">
        <v>0</v>
      </c>
      <c r="FY746" s="2">
        <v>0</v>
      </c>
      <c r="FZ746" s="2"/>
      <c r="GA746" s="2" t="s">
        <v>3</v>
      </c>
      <c r="GB746" s="2"/>
      <c r="GC746" s="2"/>
      <c r="GD746" s="2">
        <v>0</v>
      </c>
      <c r="GE746" s="2"/>
      <c r="GF746" s="2">
        <v>1869868102</v>
      </c>
      <c r="GG746" s="2">
        <v>2</v>
      </c>
      <c r="GH746" s="2">
        <v>0</v>
      </c>
      <c r="GI746" s="2">
        <v>-2</v>
      </c>
      <c r="GJ746" s="2">
        <v>0</v>
      </c>
      <c r="GK746" s="2">
        <f>ROUND(R746*(R12)/100,2)</f>
        <v>0</v>
      </c>
      <c r="GL746" s="2">
        <f t="shared" si="664"/>
        <v>0</v>
      </c>
      <c r="GM746" s="2">
        <f t="shared" si="665"/>
        <v>716.28</v>
      </c>
      <c r="GN746" s="2">
        <f t="shared" si="666"/>
        <v>716.28</v>
      </c>
      <c r="GO746" s="2">
        <f t="shared" si="667"/>
        <v>0</v>
      </c>
      <c r="GP746" s="2">
        <f t="shared" si="668"/>
        <v>0</v>
      </c>
      <c r="GQ746" s="2"/>
      <c r="GR746" s="2">
        <v>0</v>
      </c>
      <c r="GS746" s="2">
        <v>0</v>
      </c>
      <c r="GT746" s="2">
        <v>0</v>
      </c>
      <c r="GU746" s="2" t="s">
        <v>3</v>
      </c>
      <c r="GV746" s="2">
        <f t="shared" si="669"/>
        <v>0</v>
      </c>
      <c r="GW746" s="2">
        <v>1</v>
      </c>
      <c r="GX746" s="2">
        <f t="shared" si="670"/>
        <v>0</v>
      </c>
      <c r="GY746" s="2"/>
      <c r="GZ746" s="2"/>
      <c r="HA746" s="2">
        <v>0</v>
      </c>
      <c r="HB746" s="2">
        <v>0</v>
      </c>
      <c r="HC746" s="2">
        <f t="shared" si="671"/>
        <v>0</v>
      </c>
      <c r="HD746" s="2"/>
      <c r="HE746" s="2" t="s">
        <v>3</v>
      </c>
      <c r="HF746" s="2" t="s">
        <v>3</v>
      </c>
      <c r="HG746" s="2"/>
      <c r="HH746" s="2"/>
      <c r="HI746" s="2"/>
      <c r="HJ746" s="2"/>
      <c r="HK746" s="2"/>
      <c r="HL746" s="2"/>
      <c r="HM746" s="2" t="s">
        <v>3</v>
      </c>
      <c r="HN746" s="2" t="s">
        <v>3</v>
      </c>
      <c r="HO746" s="2" t="s">
        <v>3</v>
      </c>
      <c r="HP746" s="2" t="s">
        <v>3</v>
      </c>
      <c r="HQ746" s="2" t="s">
        <v>3</v>
      </c>
      <c r="HR746" s="2"/>
      <c r="HS746" s="2"/>
      <c r="HT746" s="2"/>
      <c r="HU746" s="2"/>
      <c r="HV746" s="2"/>
      <c r="HW746" s="2"/>
      <c r="HX746" s="2"/>
      <c r="HY746" s="2"/>
      <c r="HZ746" s="2"/>
      <c r="IA746" s="2"/>
      <c r="IB746" s="2"/>
      <c r="IC746" s="2"/>
      <c r="ID746" s="2"/>
      <c r="IE746" s="2"/>
      <c r="IF746" s="2"/>
      <c r="IG746" s="2"/>
      <c r="IH746" s="2"/>
      <c r="II746" s="2"/>
      <c r="IJ746" s="2"/>
      <c r="IK746" s="2">
        <v>0</v>
      </c>
      <c r="IL746" s="2"/>
      <c r="IM746" s="2"/>
      <c r="IN746" s="2"/>
      <c r="IO746" s="2"/>
      <c r="IP746" s="2"/>
      <c r="IQ746" s="2"/>
      <c r="IR746" s="2"/>
      <c r="IS746" s="2"/>
      <c r="IT746" s="2"/>
      <c r="IU746" s="2"/>
    </row>
    <row r="747" spans="1:255" x14ac:dyDescent="0.2">
      <c r="A747">
        <v>17</v>
      </c>
      <c r="B747">
        <v>1</v>
      </c>
      <c r="E747" t="s">
        <v>340</v>
      </c>
      <c r="F747" t="s">
        <v>248</v>
      </c>
      <c r="G747" t="s">
        <v>719</v>
      </c>
      <c r="H747" t="s">
        <v>250</v>
      </c>
      <c r="I747">
        <v>1</v>
      </c>
      <c r="J747">
        <v>0</v>
      </c>
      <c r="K747">
        <v>1</v>
      </c>
      <c r="O747">
        <f t="shared" si="648"/>
        <v>8389.5499999999993</v>
      </c>
      <c r="P747">
        <f t="shared" si="678"/>
        <v>8389.5499999999993</v>
      </c>
      <c r="Q747">
        <f t="shared" si="679"/>
        <v>0</v>
      </c>
      <c r="R747">
        <f t="shared" si="680"/>
        <v>0</v>
      </c>
      <c r="S747">
        <f t="shared" si="681"/>
        <v>0</v>
      </c>
      <c r="T747">
        <f t="shared" si="649"/>
        <v>0</v>
      </c>
      <c r="U747">
        <f t="shared" si="650"/>
        <v>0</v>
      </c>
      <c r="V747">
        <f t="shared" si="651"/>
        <v>0</v>
      </c>
      <c r="W747">
        <f t="shared" si="652"/>
        <v>0</v>
      </c>
      <c r="X747">
        <f t="shared" si="653"/>
        <v>0</v>
      </c>
      <c r="Y747">
        <f t="shared" si="654"/>
        <v>0</v>
      </c>
      <c r="AA747">
        <v>129761633</v>
      </c>
      <c r="AB747">
        <f t="shared" si="655"/>
        <v>969.89</v>
      </c>
      <c r="AC747">
        <f t="shared" si="672"/>
        <v>969.89</v>
      </c>
      <c r="AD747">
        <f t="shared" si="682"/>
        <v>0</v>
      </c>
      <c r="AE747">
        <f t="shared" si="673"/>
        <v>0</v>
      </c>
      <c r="AF747">
        <f t="shared" si="674"/>
        <v>0</v>
      </c>
      <c r="AG747">
        <f t="shared" si="657"/>
        <v>0</v>
      </c>
      <c r="AH747">
        <f t="shared" si="658"/>
        <v>0</v>
      </c>
      <c r="AI747">
        <f t="shared" si="659"/>
        <v>0</v>
      </c>
      <c r="AJ747">
        <f t="shared" si="660"/>
        <v>0</v>
      </c>
      <c r="AK747">
        <v>969.89</v>
      </c>
      <c r="AL747">
        <v>969.89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1</v>
      </c>
      <c r="AW747">
        <v>1</v>
      </c>
      <c r="AZ747">
        <v>1</v>
      </c>
      <c r="BA747">
        <v>1</v>
      </c>
      <c r="BB747">
        <v>1</v>
      </c>
      <c r="BC747">
        <v>8.65</v>
      </c>
      <c r="BD747" t="s">
        <v>3</v>
      </c>
      <c r="BE747" t="s">
        <v>3</v>
      </c>
      <c r="BF747" t="s">
        <v>3</v>
      </c>
      <c r="BG747" t="s">
        <v>3</v>
      </c>
      <c r="BH747">
        <v>3</v>
      </c>
      <c r="BI747">
        <v>1</v>
      </c>
      <c r="BJ747" t="s">
        <v>3</v>
      </c>
      <c r="BM747">
        <v>700003</v>
      </c>
      <c r="BN747">
        <v>0</v>
      </c>
      <c r="BO747" t="s">
        <v>3</v>
      </c>
      <c r="BP747">
        <v>0</v>
      </c>
      <c r="BQ747">
        <v>206</v>
      </c>
      <c r="BR747">
        <v>0</v>
      </c>
      <c r="BS747">
        <v>1</v>
      </c>
      <c r="BT747">
        <v>1</v>
      </c>
      <c r="BU747">
        <v>1</v>
      </c>
      <c r="BV747">
        <v>1</v>
      </c>
      <c r="BW747">
        <v>1</v>
      </c>
      <c r="BX747">
        <v>1</v>
      </c>
      <c r="BY747" t="s">
        <v>3</v>
      </c>
      <c r="BZ747">
        <v>0</v>
      </c>
      <c r="CA747">
        <v>0</v>
      </c>
      <c r="CB747" t="s">
        <v>3</v>
      </c>
      <c r="CE747">
        <v>0</v>
      </c>
      <c r="CF747">
        <v>0</v>
      </c>
      <c r="CG747">
        <v>0</v>
      </c>
      <c r="CM747">
        <v>0</v>
      </c>
      <c r="CN747" t="s">
        <v>3</v>
      </c>
      <c r="CO747">
        <v>0</v>
      </c>
      <c r="CP747">
        <f t="shared" si="661"/>
        <v>8389.5499999999993</v>
      </c>
      <c r="CQ747">
        <f t="shared" si="683"/>
        <v>8389.5485000000008</v>
      </c>
      <c r="CR747">
        <f t="shared" si="684"/>
        <v>0</v>
      </c>
      <c r="CS747">
        <f t="shared" si="685"/>
        <v>0</v>
      </c>
      <c r="CT747">
        <f t="shared" si="686"/>
        <v>0</v>
      </c>
      <c r="CU747">
        <f t="shared" si="675"/>
        <v>0</v>
      </c>
      <c r="CV747">
        <f t="shared" si="687"/>
        <v>0</v>
      </c>
      <c r="CW747">
        <f t="shared" si="676"/>
        <v>0</v>
      </c>
      <c r="CX747">
        <f t="shared" si="677"/>
        <v>0</v>
      </c>
      <c r="CY747">
        <f>S747*(BZ747/100)</f>
        <v>0</v>
      </c>
      <c r="CZ747">
        <f>S747*(CA747/100)</f>
        <v>0</v>
      </c>
      <c r="DC747" t="s">
        <v>3</v>
      </c>
      <c r="DD747" t="s">
        <v>3</v>
      </c>
      <c r="DE747" t="s">
        <v>3</v>
      </c>
      <c r="DF747" t="s">
        <v>3</v>
      </c>
      <c r="DG747" t="s">
        <v>3</v>
      </c>
      <c r="DH747" t="s">
        <v>3</v>
      </c>
      <c r="DI747" t="s">
        <v>3</v>
      </c>
      <c r="DJ747" t="s">
        <v>3</v>
      </c>
      <c r="DK747" t="s">
        <v>3</v>
      </c>
      <c r="DL747" t="s">
        <v>3</v>
      </c>
      <c r="DM747" t="s">
        <v>3</v>
      </c>
      <c r="DN747">
        <v>0</v>
      </c>
      <c r="DO747">
        <v>0</v>
      </c>
      <c r="DP747">
        <v>1</v>
      </c>
      <c r="DQ747">
        <v>1</v>
      </c>
      <c r="DU747">
        <v>1010</v>
      </c>
      <c r="DV747" t="s">
        <v>250</v>
      </c>
      <c r="DW747" t="s">
        <v>250</v>
      </c>
      <c r="DX747">
        <v>1</v>
      </c>
      <c r="DZ747" t="s">
        <v>3</v>
      </c>
      <c r="EA747" t="s">
        <v>3</v>
      </c>
      <c r="EB747" t="s">
        <v>3</v>
      </c>
      <c r="EC747" t="s">
        <v>3</v>
      </c>
      <c r="EE747">
        <v>126053677</v>
      </c>
      <c r="EF747">
        <v>206</v>
      </c>
      <c r="EG747" t="s">
        <v>704</v>
      </c>
      <c r="EH747">
        <v>0</v>
      </c>
      <c r="EI747" t="s">
        <v>3</v>
      </c>
      <c r="EJ747">
        <v>1</v>
      </c>
      <c r="EK747">
        <v>700003</v>
      </c>
      <c r="EL747" t="s">
        <v>704</v>
      </c>
      <c r="EM747" t="s">
        <v>705</v>
      </c>
      <c r="EO747" t="s">
        <v>3</v>
      </c>
      <c r="EQ747">
        <v>131072</v>
      </c>
      <c r="ER747">
        <v>969.89</v>
      </c>
      <c r="ES747">
        <v>969.89</v>
      </c>
      <c r="ET747">
        <v>0</v>
      </c>
      <c r="EU747">
        <v>0</v>
      </c>
      <c r="EV747">
        <v>0</v>
      </c>
      <c r="EW747">
        <v>0</v>
      </c>
      <c r="EX747">
        <v>0</v>
      </c>
      <c r="EY747">
        <v>0</v>
      </c>
      <c r="EZ747">
        <v>5</v>
      </c>
      <c r="FC747">
        <v>1</v>
      </c>
      <c r="FD747">
        <v>18</v>
      </c>
      <c r="FF747">
        <v>9870</v>
      </c>
      <c r="FQ747">
        <v>0</v>
      </c>
      <c r="FR747">
        <f t="shared" si="663"/>
        <v>0</v>
      </c>
      <c r="FS747">
        <v>0</v>
      </c>
      <c r="FX747">
        <v>0</v>
      </c>
      <c r="FY747">
        <v>0</v>
      </c>
      <c r="GA747" t="s">
        <v>720</v>
      </c>
      <c r="GD747">
        <v>0</v>
      </c>
      <c r="GF747">
        <v>1869868102</v>
      </c>
      <c r="GG747">
        <v>2</v>
      </c>
      <c r="GH747">
        <v>3</v>
      </c>
      <c r="GI747">
        <v>5</v>
      </c>
      <c r="GJ747">
        <v>0</v>
      </c>
      <c r="GK747">
        <f>ROUND(R747*(S12)/100,2)</f>
        <v>0</v>
      </c>
      <c r="GL747">
        <f t="shared" si="664"/>
        <v>0</v>
      </c>
      <c r="GM747">
        <f t="shared" si="665"/>
        <v>8389.5499999999993</v>
      </c>
      <c r="GN747">
        <f t="shared" si="666"/>
        <v>8389.5499999999993</v>
      </c>
      <c r="GO747">
        <f t="shared" si="667"/>
        <v>0</v>
      </c>
      <c r="GP747">
        <f t="shared" si="668"/>
        <v>0</v>
      </c>
      <c r="GR747">
        <v>1</v>
      </c>
      <c r="GS747">
        <v>1</v>
      </c>
      <c r="GT747">
        <v>0</v>
      </c>
      <c r="GU747" t="s">
        <v>3</v>
      </c>
      <c r="GV747">
        <f t="shared" si="669"/>
        <v>0</v>
      </c>
      <c r="GW747">
        <v>1</v>
      </c>
      <c r="GX747">
        <f t="shared" si="670"/>
        <v>0</v>
      </c>
      <c r="HA747">
        <v>0</v>
      </c>
      <c r="HB747">
        <v>0</v>
      </c>
      <c r="HC747">
        <f t="shared" si="671"/>
        <v>0</v>
      </c>
      <c r="HE747" t="s">
        <v>81</v>
      </c>
      <c r="HF747" t="s">
        <v>252</v>
      </c>
      <c r="HM747" t="s">
        <v>3</v>
      </c>
      <c r="HN747" t="s">
        <v>3</v>
      </c>
      <c r="HO747" t="s">
        <v>3</v>
      </c>
      <c r="HP747" t="s">
        <v>3</v>
      </c>
      <c r="HQ747" t="s">
        <v>3</v>
      </c>
      <c r="IK747">
        <v>0</v>
      </c>
    </row>
    <row r="748" spans="1:255" x14ac:dyDescent="0.2">
      <c r="A748" s="2">
        <v>17</v>
      </c>
      <c r="B748" s="2">
        <v>1</v>
      </c>
      <c r="C748" s="2"/>
      <c r="D748" s="2"/>
      <c r="E748" s="2" t="s">
        <v>355</v>
      </c>
      <c r="F748" s="2" t="s">
        <v>248</v>
      </c>
      <c r="G748" s="2" t="s">
        <v>721</v>
      </c>
      <c r="H748" s="2" t="s">
        <v>250</v>
      </c>
      <c r="I748" s="2">
        <v>1</v>
      </c>
      <c r="J748" s="2">
        <v>0</v>
      </c>
      <c r="K748" s="2">
        <v>1</v>
      </c>
      <c r="L748" s="2"/>
      <c r="M748" s="2"/>
      <c r="N748" s="2"/>
      <c r="O748" s="2">
        <f t="shared" si="648"/>
        <v>491.19</v>
      </c>
      <c r="P748" s="2">
        <f t="shared" si="678"/>
        <v>491.19</v>
      </c>
      <c r="Q748" s="2">
        <f t="shared" si="679"/>
        <v>0</v>
      </c>
      <c r="R748" s="2">
        <f t="shared" si="680"/>
        <v>0</v>
      </c>
      <c r="S748" s="2">
        <f t="shared" si="681"/>
        <v>0</v>
      </c>
      <c r="T748" s="2">
        <f t="shared" si="649"/>
        <v>0</v>
      </c>
      <c r="U748" s="2">
        <f t="shared" si="650"/>
        <v>0</v>
      </c>
      <c r="V748" s="2">
        <f t="shared" si="651"/>
        <v>0</v>
      </c>
      <c r="W748" s="2">
        <f t="shared" si="652"/>
        <v>0</v>
      </c>
      <c r="X748" s="2">
        <f t="shared" si="653"/>
        <v>0</v>
      </c>
      <c r="Y748" s="2">
        <f t="shared" si="654"/>
        <v>0</v>
      </c>
      <c r="Z748" s="2"/>
      <c r="AA748" s="2">
        <v>129761636</v>
      </c>
      <c r="AB748" s="2">
        <f t="shared" si="655"/>
        <v>491.19</v>
      </c>
      <c r="AC748" s="2">
        <f t="shared" si="672"/>
        <v>491.19</v>
      </c>
      <c r="AD748" s="2">
        <f t="shared" si="682"/>
        <v>0</v>
      </c>
      <c r="AE748" s="2">
        <f t="shared" si="673"/>
        <v>0</v>
      </c>
      <c r="AF748" s="2">
        <f t="shared" si="674"/>
        <v>0</v>
      </c>
      <c r="AG748" s="2">
        <f t="shared" si="657"/>
        <v>0</v>
      </c>
      <c r="AH748" s="2">
        <f t="shared" si="658"/>
        <v>0</v>
      </c>
      <c r="AI748" s="2">
        <f t="shared" si="659"/>
        <v>0</v>
      </c>
      <c r="AJ748" s="2">
        <f t="shared" si="660"/>
        <v>0</v>
      </c>
      <c r="AK748" s="2">
        <v>491.19</v>
      </c>
      <c r="AL748" s="2">
        <v>491.19</v>
      </c>
      <c r="AM748" s="2">
        <v>0</v>
      </c>
      <c r="AN748" s="2">
        <v>0</v>
      </c>
      <c r="AO748" s="2">
        <v>0</v>
      </c>
      <c r="AP748" s="2">
        <v>0</v>
      </c>
      <c r="AQ748" s="2">
        <v>0</v>
      </c>
      <c r="AR748" s="2">
        <v>0</v>
      </c>
      <c r="AS748" s="2">
        <v>0</v>
      </c>
      <c r="AT748" s="2">
        <v>0</v>
      </c>
      <c r="AU748" s="2">
        <v>0</v>
      </c>
      <c r="AV748" s="2">
        <v>1</v>
      </c>
      <c r="AW748" s="2">
        <v>1</v>
      </c>
      <c r="AX748" s="2"/>
      <c r="AY748" s="2"/>
      <c r="AZ748" s="2">
        <v>1</v>
      </c>
      <c r="BA748" s="2">
        <v>1</v>
      </c>
      <c r="BB748" s="2">
        <v>1</v>
      </c>
      <c r="BC748" s="2">
        <v>1</v>
      </c>
      <c r="BD748" s="2" t="s">
        <v>3</v>
      </c>
      <c r="BE748" s="2" t="s">
        <v>3</v>
      </c>
      <c r="BF748" s="2" t="s">
        <v>3</v>
      </c>
      <c r="BG748" s="2" t="s">
        <v>3</v>
      </c>
      <c r="BH748" s="2">
        <v>3</v>
      </c>
      <c r="BI748" s="2">
        <v>1</v>
      </c>
      <c r="BJ748" s="2" t="s">
        <v>3</v>
      </c>
      <c r="BK748" s="2"/>
      <c r="BL748" s="2"/>
      <c r="BM748" s="2">
        <v>700003</v>
      </c>
      <c r="BN748" s="2">
        <v>0</v>
      </c>
      <c r="BO748" s="2" t="s">
        <v>3</v>
      </c>
      <c r="BP748" s="2">
        <v>0</v>
      </c>
      <c r="BQ748" s="2">
        <v>206</v>
      </c>
      <c r="BR748" s="2">
        <v>0</v>
      </c>
      <c r="BS748" s="2">
        <v>1</v>
      </c>
      <c r="BT748" s="2">
        <v>1</v>
      </c>
      <c r="BU748" s="2">
        <v>1</v>
      </c>
      <c r="BV748" s="2">
        <v>1</v>
      </c>
      <c r="BW748" s="2">
        <v>1</v>
      </c>
      <c r="BX748" s="2">
        <v>1</v>
      </c>
      <c r="BY748" s="2" t="s">
        <v>3</v>
      </c>
      <c r="BZ748" s="2">
        <v>0</v>
      </c>
      <c r="CA748" s="2">
        <v>0</v>
      </c>
      <c r="CB748" s="2" t="s">
        <v>3</v>
      </c>
      <c r="CC748" s="2"/>
      <c r="CD748" s="2"/>
      <c r="CE748" s="2">
        <v>0</v>
      </c>
      <c r="CF748" s="2">
        <v>0</v>
      </c>
      <c r="CG748" s="2">
        <v>0</v>
      </c>
      <c r="CH748" s="2"/>
      <c r="CI748" s="2"/>
      <c r="CJ748" s="2"/>
      <c r="CK748" s="2"/>
      <c r="CL748" s="2"/>
      <c r="CM748" s="2">
        <v>0</v>
      </c>
      <c r="CN748" s="2" t="s">
        <v>3</v>
      </c>
      <c r="CO748" s="2">
        <v>0</v>
      </c>
      <c r="CP748" s="2">
        <f t="shared" si="661"/>
        <v>491.19</v>
      </c>
      <c r="CQ748" s="2">
        <f t="shared" si="683"/>
        <v>491.19</v>
      </c>
      <c r="CR748" s="2">
        <f t="shared" si="684"/>
        <v>0</v>
      </c>
      <c r="CS748" s="2">
        <f t="shared" si="685"/>
        <v>0</v>
      </c>
      <c r="CT748" s="2">
        <f t="shared" si="686"/>
        <v>0</v>
      </c>
      <c r="CU748" s="2">
        <f t="shared" si="675"/>
        <v>0</v>
      </c>
      <c r="CV748" s="2">
        <f t="shared" si="687"/>
        <v>0</v>
      </c>
      <c r="CW748" s="2">
        <f t="shared" si="676"/>
        <v>0</v>
      </c>
      <c r="CX748" s="2">
        <f t="shared" si="677"/>
        <v>0</v>
      </c>
      <c r="CY748" s="2">
        <f>0</f>
        <v>0</v>
      </c>
      <c r="CZ748" s="2">
        <f>0</f>
        <v>0</v>
      </c>
      <c r="DA748" s="2"/>
      <c r="DB748" s="2"/>
      <c r="DC748" s="2" t="s">
        <v>3</v>
      </c>
      <c r="DD748" s="2" t="s">
        <v>3</v>
      </c>
      <c r="DE748" s="2" t="s">
        <v>3</v>
      </c>
      <c r="DF748" s="2" t="s">
        <v>3</v>
      </c>
      <c r="DG748" s="2" t="s">
        <v>3</v>
      </c>
      <c r="DH748" s="2" t="s">
        <v>3</v>
      </c>
      <c r="DI748" s="2" t="s">
        <v>3</v>
      </c>
      <c r="DJ748" s="2" t="s">
        <v>3</v>
      </c>
      <c r="DK748" s="2" t="s">
        <v>3</v>
      </c>
      <c r="DL748" s="2" t="s">
        <v>3</v>
      </c>
      <c r="DM748" s="2" t="s">
        <v>3</v>
      </c>
      <c r="DN748" s="2">
        <v>0</v>
      </c>
      <c r="DO748" s="2">
        <v>0</v>
      </c>
      <c r="DP748" s="2">
        <v>1</v>
      </c>
      <c r="DQ748" s="2">
        <v>1</v>
      </c>
      <c r="DR748" s="2"/>
      <c r="DS748" s="2"/>
      <c r="DT748" s="2"/>
      <c r="DU748" s="2">
        <v>1010</v>
      </c>
      <c r="DV748" s="2" t="s">
        <v>250</v>
      </c>
      <c r="DW748" s="2" t="s">
        <v>250</v>
      </c>
      <c r="DX748" s="2">
        <v>1</v>
      </c>
      <c r="DY748" s="2"/>
      <c r="DZ748" s="2" t="s">
        <v>3</v>
      </c>
      <c r="EA748" s="2" t="s">
        <v>3</v>
      </c>
      <c r="EB748" s="2" t="s">
        <v>3</v>
      </c>
      <c r="EC748" s="2" t="s">
        <v>3</v>
      </c>
      <c r="ED748" s="2"/>
      <c r="EE748" s="2">
        <v>126053677</v>
      </c>
      <c r="EF748" s="2">
        <v>206</v>
      </c>
      <c r="EG748" s="2" t="s">
        <v>704</v>
      </c>
      <c r="EH748" s="2">
        <v>0</v>
      </c>
      <c r="EI748" s="2" t="s">
        <v>3</v>
      </c>
      <c r="EJ748" s="2">
        <v>1</v>
      </c>
      <c r="EK748" s="2">
        <v>700003</v>
      </c>
      <c r="EL748" s="2" t="s">
        <v>704</v>
      </c>
      <c r="EM748" s="2" t="s">
        <v>705</v>
      </c>
      <c r="EN748" s="2"/>
      <c r="EO748" s="2" t="s">
        <v>3</v>
      </c>
      <c r="EP748" s="2"/>
      <c r="EQ748" s="2">
        <v>131072</v>
      </c>
      <c r="ER748" s="2">
        <v>491.19</v>
      </c>
      <c r="ES748" s="2">
        <v>491.19</v>
      </c>
      <c r="ET748" s="2">
        <v>0</v>
      </c>
      <c r="EU748" s="2">
        <v>0</v>
      </c>
      <c r="EV748" s="2">
        <v>0</v>
      </c>
      <c r="EW748" s="2">
        <v>0</v>
      </c>
      <c r="EX748" s="2">
        <v>0</v>
      </c>
      <c r="EY748" s="2">
        <v>0</v>
      </c>
      <c r="EZ748" s="2"/>
      <c r="FA748" s="2"/>
      <c r="FB748" s="2"/>
      <c r="FC748" s="2"/>
      <c r="FD748" s="2"/>
      <c r="FE748" s="2"/>
      <c r="FF748" s="2"/>
      <c r="FG748" s="2"/>
      <c r="FH748" s="2"/>
      <c r="FI748" s="2"/>
      <c r="FJ748" s="2"/>
      <c r="FK748" s="2"/>
      <c r="FL748" s="2"/>
      <c r="FM748" s="2"/>
      <c r="FN748" s="2"/>
      <c r="FO748" s="2"/>
      <c r="FP748" s="2"/>
      <c r="FQ748" s="2">
        <v>0</v>
      </c>
      <c r="FR748" s="2">
        <f t="shared" si="663"/>
        <v>0</v>
      </c>
      <c r="FS748" s="2">
        <v>0</v>
      </c>
      <c r="FT748" s="2"/>
      <c r="FU748" s="2"/>
      <c r="FV748" s="2"/>
      <c r="FW748" s="2"/>
      <c r="FX748" s="2">
        <v>0</v>
      </c>
      <c r="FY748" s="2">
        <v>0</v>
      </c>
      <c r="FZ748" s="2"/>
      <c r="GA748" s="2" t="s">
        <v>3</v>
      </c>
      <c r="GB748" s="2"/>
      <c r="GC748" s="2"/>
      <c r="GD748" s="2">
        <v>0</v>
      </c>
      <c r="GE748" s="2"/>
      <c r="GF748" s="2">
        <v>-804014629</v>
      </c>
      <c r="GG748" s="2">
        <v>2</v>
      </c>
      <c r="GH748" s="2">
        <v>0</v>
      </c>
      <c r="GI748" s="2">
        <v>-2</v>
      </c>
      <c r="GJ748" s="2">
        <v>0</v>
      </c>
      <c r="GK748" s="2">
        <f>ROUND(R748*(R12)/100,2)</f>
        <v>0</v>
      </c>
      <c r="GL748" s="2">
        <f t="shared" si="664"/>
        <v>0</v>
      </c>
      <c r="GM748" s="2">
        <f t="shared" si="665"/>
        <v>491.19</v>
      </c>
      <c r="GN748" s="2">
        <f t="shared" si="666"/>
        <v>491.19</v>
      </c>
      <c r="GO748" s="2">
        <f t="shared" si="667"/>
        <v>0</v>
      </c>
      <c r="GP748" s="2">
        <f t="shared" si="668"/>
        <v>0</v>
      </c>
      <c r="GQ748" s="2"/>
      <c r="GR748" s="2">
        <v>0</v>
      </c>
      <c r="GS748" s="2">
        <v>0</v>
      </c>
      <c r="GT748" s="2">
        <v>0</v>
      </c>
      <c r="GU748" s="2" t="s">
        <v>3</v>
      </c>
      <c r="GV748" s="2">
        <f t="shared" si="669"/>
        <v>0</v>
      </c>
      <c r="GW748" s="2">
        <v>1</v>
      </c>
      <c r="GX748" s="2">
        <f t="shared" si="670"/>
        <v>0</v>
      </c>
      <c r="GY748" s="2"/>
      <c r="GZ748" s="2"/>
      <c r="HA748" s="2">
        <v>0</v>
      </c>
      <c r="HB748" s="2">
        <v>0</v>
      </c>
      <c r="HC748" s="2">
        <f t="shared" si="671"/>
        <v>0</v>
      </c>
      <c r="HD748" s="2"/>
      <c r="HE748" s="2" t="s">
        <v>3</v>
      </c>
      <c r="HF748" s="2" t="s">
        <v>3</v>
      </c>
      <c r="HG748" s="2"/>
      <c r="HH748" s="2"/>
      <c r="HI748" s="2"/>
      <c r="HJ748" s="2"/>
      <c r="HK748" s="2"/>
      <c r="HL748" s="2"/>
      <c r="HM748" s="2" t="s">
        <v>3</v>
      </c>
      <c r="HN748" s="2" t="s">
        <v>3</v>
      </c>
      <c r="HO748" s="2" t="s">
        <v>3</v>
      </c>
      <c r="HP748" s="2" t="s">
        <v>3</v>
      </c>
      <c r="HQ748" s="2" t="s">
        <v>3</v>
      </c>
      <c r="HR748" s="2"/>
      <c r="HS748" s="2"/>
      <c r="HT748" s="2"/>
      <c r="HU748" s="2"/>
      <c r="HV748" s="2"/>
      <c r="HW748" s="2"/>
      <c r="HX748" s="2"/>
      <c r="HY748" s="2"/>
      <c r="HZ748" s="2"/>
      <c r="IA748" s="2"/>
      <c r="IB748" s="2"/>
      <c r="IC748" s="2"/>
      <c r="ID748" s="2"/>
      <c r="IE748" s="2"/>
      <c r="IF748" s="2"/>
      <c r="IG748" s="2"/>
      <c r="IH748" s="2"/>
      <c r="II748" s="2"/>
      <c r="IJ748" s="2"/>
      <c r="IK748" s="2">
        <v>0</v>
      </c>
      <c r="IL748" s="2"/>
      <c r="IM748" s="2"/>
      <c r="IN748" s="2"/>
      <c r="IO748" s="2"/>
      <c r="IP748" s="2"/>
      <c r="IQ748" s="2"/>
      <c r="IR748" s="2"/>
      <c r="IS748" s="2"/>
      <c r="IT748" s="2"/>
      <c r="IU748" s="2"/>
    </row>
    <row r="749" spans="1:255" x14ac:dyDescent="0.2">
      <c r="A749">
        <v>17</v>
      </c>
      <c r="B749">
        <v>1</v>
      </c>
      <c r="E749" t="s">
        <v>355</v>
      </c>
      <c r="F749" t="s">
        <v>248</v>
      </c>
      <c r="G749" t="s">
        <v>721</v>
      </c>
      <c r="H749" t="s">
        <v>250</v>
      </c>
      <c r="I749">
        <v>1</v>
      </c>
      <c r="J749">
        <v>0</v>
      </c>
      <c r="K749">
        <v>1</v>
      </c>
      <c r="O749">
        <f t="shared" si="648"/>
        <v>3518.99</v>
      </c>
      <c r="P749">
        <f t="shared" si="678"/>
        <v>3518.99</v>
      </c>
      <c r="Q749">
        <f t="shared" si="679"/>
        <v>0</v>
      </c>
      <c r="R749">
        <f t="shared" si="680"/>
        <v>0</v>
      </c>
      <c r="S749">
        <f t="shared" si="681"/>
        <v>0</v>
      </c>
      <c r="T749">
        <f t="shared" si="649"/>
        <v>0</v>
      </c>
      <c r="U749">
        <f t="shared" si="650"/>
        <v>0</v>
      </c>
      <c r="V749">
        <f t="shared" si="651"/>
        <v>0</v>
      </c>
      <c r="W749">
        <f t="shared" si="652"/>
        <v>0</v>
      </c>
      <c r="X749">
        <f t="shared" si="653"/>
        <v>0</v>
      </c>
      <c r="Y749">
        <f t="shared" si="654"/>
        <v>0</v>
      </c>
      <c r="AA749">
        <v>129761633</v>
      </c>
      <c r="AB749">
        <f t="shared" si="655"/>
        <v>406.82</v>
      </c>
      <c r="AC749">
        <f t="shared" si="672"/>
        <v>406.82</v>
      </c>
      <c r="AD749">
        <f t="shared" si="682"/>
        <v>0</v>
      </c>
      <c r="AE749">
        <f t="shared" si="673"/>
        <v>0</v>
      </c>
      <c r="AF749">
        <f t="shared" si="674"/>
        <v>0</v>
      </c>
      <c r="AG749">
        <f t="shared" si="657"/>
        <v>0</v>
      </c>
      <c r="AH749">
        <f t="shared" si="658"/>
        <v>0</v>
      </c>
      <c r="AI749">
        <f t="shared" si="659"/>
        <v>0</v>
      </c>
      <c r="AJ749">
        <f t="shared" si="660"/>
        <v>0</v>
      </c>
      <c r="AK749">
        <v>406.82</v>
      </c>
      <c r="AL749">
        <v>406.82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1</v>
      </c>
      <c r="AW749">
        <v>1</v>
      </c>
      <c r="AZ749">
        <v>1</v>
      </c>
      <c r="BA749">
        <v>1</v>
      </c>
      <c r="BB749">
        <v>1</v>
      </c>
      <c r="BC749">
        <v>8.65</v>
      </c>
      <c r="BD749" t="s">
        <v>3</v>
      </c>
      <c r="BE749" t="s">
        <v>3</v>
      </c>
      <c r="BF749" t="s">
        <v>3</v>
      </c>
      <c r="BG749" t="s">
        <v>3</v>
      </c>
      <c r="BH749">
        <v>3</v>
      </c>
      <c r="BI749">
        <v>1</v>
      </c>
      <c r="BJ749" t="s">
        <v>3</v>
      </c>
      <c r="BM749">
        <v>700003</v>
      </c>
      <c r="BN749">
        <v>0</v>
      </c>
      <c r="BO749" t="s">
        <v>3</v>
      </c>
      <c r="BP749">
        <v>0</v>
      </c>
      <c r="BQ749">
        <v>206</v>
      </c>
      <c r="BR749">
        <v>0</v>
      </c>
      <c r="BS749">
        <v>1</v>
      </c>
      <c r="BT749">
        <v>1</v>
      </c>
      <c r="BU749">
        <v>1</v>
      </c>
      <c r="BV749">
        <v>1</v>
      </c>
      <c r="BW749">
        <v>1</v>
      </c>
      <c r="BX749">
        <v>1</v>
      </c>
      <c r="BY749" t="s">
        <v>3</v>
      </c>
      <c r="BZ749">
        <v>0</v>
      </c>
      <c r="CA749">
        <v>0</v>
      </c>
      <c r="CB749" t="s">
        <v>3</v>
      </c>
      <c r="CE749">
        <v>0</v>
      </c>
      <c r="CF749">
        <v>0</v>
      </c>
      <c r="CG749">
        <v>0</v>
      </c>
      <c r="CM749">
        <v>0</v>
      </c>
      <c r="CN749" t="s">
        <v>3</v>
      </c>
      <c r="CO749">
        <v>0</v>
      </c>
      <c r="CP749">
        <f t="shared" si="661"/>
        <v>3518.99</v>
      </c>
      <c r="CQ749">
        <f t="shared" si="683"/>
        <v>3518.9929999999999</v>
      </c>
      <c r="CR749">
        <f t="shared" si="684"/>
        <v>0</v>
      </c>
      <c r="CS749">
        <f t="shared" si="685"/>
        <v>0</v>
      </c>
      <c r="CT749">
        <f t="shared" si="686"/>
        <v>0</v>
      </c>
      <c r="CU749">
        <f t="shared" si="675"/>
        <v>0</v>
      </c>
      <c r="CV749">
        <f t="shared" si="687"/>
        <v>0</v>
      </c>
      <c r="CW749">
        <f t="shared" si="676"/>
        <v>0</v>
      </c>
      <c r="CX749">
        <f t="shared" si="677"/>
        <v>0</v>
      </c>
      <c r="CY749">
        <f>S749*(BZ749/100)</f>
        <v>0</v>
      </c>
      <c r="CZ749">
        <f>S749*(CA749/100)</f>
        <v>0</v>
      </c>
      <c r="DC749" t="s">
        <v>3</v>
      </c>
      <c r="DD749" t="s">
        <v>3</v>
      </c>
      <c r="DE749" t="s">
        <v>3</v>
      </c>
      <c r="DF749" t="s">
        <v>3</v>
      </c>
      <c r="DG749" t="s">
        <v>3</v>
      </c>
      <c r="DH749" t="s">
        <v>3</v>
      </c>
      <c r="DI749" t="s">
        <v>3</v>
      </c>
      <c r="DJ749" t="s">
        <v>3</v>
      </c>
      <c r="DK749" t="s">
        <v>3</v>
      </c>
      <c r="DL749" t="s">
        <v>3</v>
      </c>
      <c r="DM749" t="s">
        <v>3</v>
      </c>
      <c r="DN749">
        <v>0</v>
      </c>
      <c r="DO749">
        <v>0</v>
      </c>
      <c r="DP749">
        <v>1</v>
      </c>
      <c r="DQ749">
        <v>1</v>
      </c>
      <c r="DU749">
        <v>1010</v>
      </c>
      <c r="DV749" t="s">
        <v>250</v>
      </c>
      <c r="DW749" t="s">
        <v>250</v>
      </c>
      <c r="DX749">
        <v>1</v>
      </c>
      <c r="DZ749" t="s">
        <v>3</v>
      </c>
      <c r="EA749" t="s">
        <v>3</v>
      </c>
      <c r="EB749" t="s">
        <v>3</v>
      </c>
      <c r="EC749" t="s">
        <v>3</v>
      </c>
      <c r="EE749">
        <v>126053677</v>
      </c>
      <c r="EF749">
        <v>206</v>
      </c>
      <c r="EG749" t="s">
        <v>704</v>
      </c>
      <c r="EH749">
        <v>0</v>
      </c>
      <c r="EI749" t="s">
        <v>3</v>
      </c>
      <c r="EJ749">
        <v>1</v>
      </c>
      <c r="EK749">
        <v>700003</v>
      </c>
      <c r="EL749" t="s">
        <v>704</v>
      </c>
      <c r="EM749" t="s">
        <v>705</v>
      </c>
      <c r="EO749" t="s">
        <v>3</v>
      </c>
      <c r="EQ749">
        <v>131072</v>
      </c>
      <c r="ER749">
        <v>406.82</v>
      </c>
      <c r="ES749">
        <v>406.82</v>
      </c>
      <c r="ET749">
        <v>0</v>
      </c>
      <c r="EU749">
        <v>0</v>
      </c>
      <c r="EV749">
        <v>0</v>
      </c>
      <c r="EW749">
        <v>0</v>
      </c>
      <c r="EX749">
        <v>0</v>
      </c>
      <c r="EY749">
        <v>0</v>
      </c>
      <c r="EZ749">
        <v>5</v>
      </c>
      <c r="FC749">
        <v>1</v>
      </c>
      <c r="FD749">
        <v>18</v>
      </c>
      <c r="FF749">
        <v>4140</v>
      </c>
      <c r="FQ749">
        <v>0</v>
      </c>
      <c r="FR749">
        <f t="shared" si="663"/>
        <v>0</v>
      </c>
      <c r="FS749">
        <v>0</v>
      </c>
      <c r="FX749">
        <v>0</v>
      </c>
      <c r="FY749">
        <v>0</v>
      </c>
      <c r="GA749" t="s">
        <v>722</v>
      </c>
      <c r="GD749">
        <v>0</v>
      </c>
      <c r="GF749">
        <v>-804014629</v>
      </c>
      <c r="GG749">
        <v>2</v>
      </c>
      <c r="GH749">
        <v>3</v>
      </c>
      <c r="GI749">
        <v>5</v>
      </c>
      <c r="GJ749">
        <v>0</v>
      </c>
      <c r="GK749">
        <f>ROUND(R749*(S12)/100,2)</f>
        <v>0</v>
      </c>
      <c r="GL749">
        <f t="shared" si="664"/>
        <v>0</v>
      </c>
      <c r="GM749">
        <f t="shared" si="665"/>
        <v>3518.99</v>
      </c>
      <c r="GN749">
        <f t="shared" si="666"/>
        <v>3518.99</v>
      </c>
      <c r="GO749">
        <f t="shared" si="667"/>
        <v>0</v>
      </c>
      <c r="GP749">
        <f t="shared" si="668"/>
        <v>0</v>
      </c>
      <c r="GR749">
        <v>1</v>
      </c>
      <c r="GS749">
        <v>1</v>
      </c>
      <c r="GT749">
        <v>0</v>
      </c>
      <c r="GU749" t="s">
        <v>3</v>
      </c>
      <c r="GV749">
        <f t="shared" si="669"/>
        <v>0</v>
      </c>
      <c r="GW749">
        <v>1</v>
      </c>
      <c r="GX749">
        <f t="shared" si="670"/>
        <v>0</v>
      </c>
      <c r="HA749">
        <v>0</v>
      </c>
      <c r="HB749">
        <v>0</v>
      </c>
      <c r="HC749">
        <f t="shared" si="671"/>
        <v>0</v>
      </c>
      <c r="HE749" t="s">
        <v>81</v>
      </c>
      <c r="HF749" t="s">
        <v>252</v>
      </c>
      <c r="HM749" t="s">
        <v>3</v>
      </c>
      <c r="HN749" t="s">
        <v>3</v>
      </c>
      <c r="HO749" t="s">
        <v>3</v>
      </c>
      <c r="HP749" t="s">
        <v>3</v>
      </c>
      <c r="HQ749" t="s">
        <v>3</v>
      </c>
      <c r="IK749">
        <v>0</v>
      </c>
    </row>
    <row r="750" spans="1:255" x14ac:dyDescent="0.2">
      <c r="A750" s="2">
        <v>17</v>
      </c>
      <c r="B750" s="2">
        <v>1</v>
      </c>
      <c r="C750" s="2"/>
      <c r="D750" s="2"/>
      <c r="E750" s="2" t="s">
        <v>374</v>
      </c>
      <c r="F750" s="2" t="s">
        <v>248</v>
      </c>
      <c r="G750" s="2" t="s">
        <v>723</v>
      </c>
      <c r="H750" s="2" t="s">
        <v>250</v>
      </c>
      <c r="I750" s="2">
        <v>4</v>
      </c>
      <c r="J750" s="2">
        <v>0</v>
      </c>
      <c r="K750" s="2">
        <v>4</v>
      </c>
      <c r="L750" s="2"/>
      <c r="M750" s="2"/>
      <c r="N750" s="2"/>
      <c r="O750" s="2">
        <f t="shared" si="648"/>
        <v>1909.64</v>
      </c>
      <c r="P750" s="2">
        <f t="shared" si="678"/>
        <v>1909.64</v>
      </c>
      <c r="Q750" s="2">
        <f t="shared" si="679"/>
        <v>0</v>
      </c>
      <c r="R750" s="2">
        <f t="shared" si="680"/>
        <v>0</v>
      </c>
      <c r="S750" s="2">
        <f t="shared" si="681"/>
        <v>0</v>
      </c>
      <c r="T750" s="2">
        <f t="shared" si="649"/>
        <v>0</v>
      </c>
      <c r="U750" s="2">
        <f t="shared" si="650"/>
        <v>0</v>
      </c>
      <c r="V750" s="2">
        <f t="shared" si="651"/>
        <v>0</v>
      </c>
      <c r="W750" s="2">
        <f t="shared" si="652"/>
        <v>0</v>
      </c>
      <c r="X750" s="2">
        <f t="shared" si="653"/>
        <v>0</v>
      </c>
      <c r="Y750" s="2">
        <f t="shared" si="654"/>
        <v>0</v>
      </c>
      <c r="Z750" s="2"/>
      <c r="AA750" s="2">
        <v>129761636</v>
      </c>
      <c r="AB750" s="2">
        <f t="shared" si="655"/>
        <v>477.41</v>
      </c>
      <c r="AC750" s="2">
        <f t="shared" si="672"/>
        <v>477.41</v>
      </c>
      <c r="AD750" s="2">
        <f t="shared" si="682"/>
        <v>0</v>
      </c>
      <c r="AE750" s="2">
        <f t="shared" si="673"/>
        <v>0</v>
      </c>
      <c r="AF750" s="2">
        <f t="shared" si="674"/>
        <v>0</v>
      </c>
      <c r="AG750" s="2">
        <f t="shared" si="657"/>
        <v>0</v>
      </c>
      <c r="AH750" s="2">
        <f t="shared" si="658"/>
        <v>0</v>
      </c>
      <c r="AI750" s="2">
        <f t="shared" si="659"/>
        <v>0</v>
      </c>
      <c r="AJ750" s="2">
        <f t="shared" si="660"/>
        <v>0</v>
      </c>
      <c r="AK750" s="2">
        <v>477.41</v>
      </c>
      <c r="AL750" s="2">
        <v>477.41</v>
      </c>
      <c r="AM750" s="2">
        <v>0</v>
      </c>
      <c r="AN750" s="2">
        <v>0</v>
      </c>
      <c r="AO750" s="2">
        <v>0</v>
      </c>
      <c r="AP750" s="2">
        <v>0</v>
      </c>
      <c r="AQ750" s="2">
        <v>0</v>
      </c>
      <c r="AR750" s="2">
        <v>0</v>
      </c>
      <c r="AS750" s="2">
        <v>0</v>
      </c>
      <c r="AT750" s="2">
        <v>0</v>
      </c>
      <c r="AU750" s="2">
        <v>0</v>
      </c>
      <c r="AV750" s="2">
        <v>1</v>
      </c>
      <c r="AW750" s="2">
        <v>1</v>
      </c>
      <c r="AX750" s="2"/>
      <c r="AY750" s="2"/>
      <c r="AZ750" s="2">
        <v>1</v>
      </c>
      <c r="BA750" s="2">
        <v>1</v>
      </c>
      <c r="BB750" s="2">
        <v>1</v>
      </c>
      <c r="BC750" s="2">
        <v>1</v>
      </c>
      <c r="BD750" s="2" t="s">
        <v>3</v>
      </c>
      <c r="BE750" s="2" t="s">
        <v>3</v>
      </c>
      <c r="BF750" s="2" t="s">
        <v>3</v>
      </c>
      <c r="BG750" s="2" t="s">
        <v>3</v>
      </c>
      <c r="BH750" s="2">
        <v>3</v>
      </c>
      <c r="BI750" s="2">
        <v>1</v>
      </c>
      <c r="BJ750" s="2" t="s">
        <v>3</v>
      </c>
      <c r="BK750" s="2"/>
      <c r="BL750" s="2"/>
      <c r="BM750" s="2">
        <v>700003</v>
      </c>
      <c r="BN750" s="2">
        <v>0</v>
      </c>
      <c r="BO750" s="2" t="s">
        <v>3</v>
      </c>
      <c r="BP750" s="2">
        <v>0</v>
      </c>
      <c r="BQ750" s="2">
        <v>206</v>
      </c>
      <c r="BR750" s="2">
        <v>0</v>
      </c>
      <c r="BS750" s="2">
        <v>1</v>
      </c>
      <c r="BT750" s="2">
        <v>1</v>
      </c>
      <c r="BU750" s="2">
        <v>1</v>
      </c>
      <c r="BV750" s="2">
        <v>1</v>
      </c>
      <c r="BW750" s="2">
        <v>1</v>
      </c>
      <c r="BX750" s="2">
        <v>1</v>
      </c>
      <c r="BY750" s="2" t="s">
        <v>3</v>
      </c>
      <c r="BZ750" s="2">
        <v>0</v>
      </c>
      <c r="CA750" s="2">
        <v>0</v>
      </c>
      <c r="CB750" s="2" t="s">
        <v>3</v>
      </c>
      <c r="CC750" s="2"/>
      <c r="CD750" s="2"/>
      <c r="CE750" s="2">
        <v>0</v>
      </c>
      <c r="CF750" s="2">
        <v>0</v>
      </c>
      <c r="CG750" s="2">
        <v>0</v>
      </c>
      <c r="CH750" s="2"/>
      <c r="CI750" s="2"/>
      <c r="CJ750" s="2"/>
      <c r="CK750" s="2"/>
      <c r="CL750" s="2"/>
      <c r="CM750" s="2">
        <v>0</v>
      </c>
      <c r="CN750" s="2" t="s">
        <v>3</v>
      </c>
      <c r="CO750" s="2">
        <v>0</v>
      </c>
      <c r="CP750" s="2">
        <f t="shared" si="661"/>
        <v>1909.64</v>
      </c>
      <c r="CQ750" s="2">
        <f t="shared" si="683"/>
        <v>477.41</v>
      </c>
      <c r="CR750" s="2">
        <f t="shared" si="684"/>
        <v>0</v>
      </c>
      <c r="CS750" s="2">
        <f t="shared" si="685"/>
        <v>0</v>
      </c>
      <c r="CT750" s="2">
        <f t="shared" si="686"/>
        <v>0</v>
      </c>
      <c r="CU750" s="2">
        <f t="shared" si="675"/>
        <v>0</v>
      </c>
      <c r="CV750" s="2">
        <f t="shared" si="687"/>
        <v>0</v>
      </c>
      <c r="CW750" s="2">
        <f t="shared" si="676"/>
        <v>0</v>
      </c>
      <c r="CX750" s="2">
        <f t="shared" si="677"/>
        <v>0</v>
      </c>
      <c r="CY750" s="2">
        <f>0</f>
        <v>0</v>
      </c>
      <c r="CZ750" s="2">
        <f>0</f>
        <v>0</v>
      </c>
      <c r="DA750" s="2"/>
      <c r="DB750" s="2"/>
      <c r="DC750" s="2" t="s">
        <v>3</v>
      </c>
      <c r="DD750" s="2" t="s">
        <v>3</v>
      </c>
      <c r="DE750" s="2" t="s">
        <v>3</v>
      </c>
      <c r="DF750" s="2" t="s">
        <v>3</v>
      </c>
      <c r="DG750" s="2" t="s">
        <v>3</v>
      </c>
      <c r="DH750" s="2" t="s">
        <v>3</v>
      </c>
      <c r="DI750" s="2" t="s">
        <v>3</v>
      </c>
      <c r="DJ750" s="2" t="s">
        <v>3</v>
      </c>
      <c r="DK750" s="2" t="s">
        <v>3</v>
      </c>
      <c r="DL750" s="2" t="s">
        <v>3</v>
      </c>
      <c r="DM750" s="2" t="s">
        <v>3</v>
      </c>
      <c r="DN750" s="2">
        <v>0</v>
      </c>
      <c r="DO750" s="2">
        <v>0</v>
      </c>
      <c r="DP750" s="2">
        <v>1</v>
      </c>
      <c r="DQ750" s="2">
        <v>1</v>
      </c>
      <c r="DR750" s="2"/>
      <c r="DS750" s="2"/>
      <c r="DT750" s="2"/>
      <c r="DU750" s="2">
        <v>1010</v>
      </c>
      <c r="DV750" s="2" t="s">
        <v>250</v>
      </c>
      <c r="DW750" s="2" t="s">
        <v>250</v>
      </c>
      <c r="DX750" s="2">
        <v>1</v>
      </c>
      <c r="DY750" s="2"/>
      <c r="DZ750" s="2" t="s">
        <v>3</v>
      </c>
      <c r="EA750" s="2" t="s">
        <v>3</v>
      </c>
      <c r="EB750" s="2" t="s">
        <v>3</v>
      </c>
      <c r="EC750" s="2" t="s">
        <v>3</v>
      </c>
      <c r="ED750" s="2"/>
      <c r="EE750" s="2">
        <v>126053677</v>
      </c>
      <c r="EF750" s="2">
        <v>206</v>
      </c>
      <c r="EG750" s="2" t="s">
        <v>704</v>
      </c>
      <c r="EH750" s="2">
        <v>0</v>
      </c>
      <c r="EI750" s="2" t="s">
        <v>3</v>
      </c>
      <c r="EJ750" s="2">
        <v>1</v>
      </c>
      <c r="EK750" s="2">
        <v>700003</v>
      </c>
      <c r="EL750" s="2" t="s">
        <v>704</v>
      </c>
      <c r="EM750" s="2" t="s">
        <v>705</v>
      </c>
      <c r="EN750" s="2"/>
      <c r="EO750" s="2" t="s">
        <v>3</v>
      </c>
      <c r="EP750" s="2"/>
      <c r="EQ750" s="2">
        <v>131072</v>
      </c>
      <c r="ER750" s="2">
        <v>477.41</v>
      </c>
      <c r="ES750" s="2">
        <v>477.41</v>
      </c>
      <c r="ET750" s="2">
        <v>0</v>
      </c>
      <c r="EU750" s="2">
        <v>0</v>
      </c>
      <c r="EV750" s="2">
        <v>0</v>
      </c>
      <c r="EW750" s="2">
        <v>0</v>
      </c>
      <c r="EX750" s="2">
        <v>0</v>
      </c>
      <c r="EY750" s="2">
        <v>0</v>
      </c>
      <c r="EZ750" s="2"/>
      <c r="FA750" s="2"/>
      <c r="FB750" s="2"/>
      <c r="FC750" s="2"/>
      <c r="FD750" s="2"/>
      <c r="FE750" s="2"/>
      <c r="FF750" s="2"/>
      <c r="FG750" s="2"/>
      <c r="FH750" s="2"/>
      <c r="FI750" s="2"/>
      <c r="FJ750" s="2"/>
      <c r="FK750" s="2"/>
      <c r="FL750" s="2"/>
      <c r="FM750" s="2"/>
      <c r="FN750" s="2"/>
      <c r="FO750" s="2"/>
      <c r="FP750" s="2"/>
      <c r="FQ750" s="2">
        <v>0</v>
      </c>
      <c r="FR750" s="2">
        <f t="shared" si="663"/>
        <v>0</v>
      </c>
      <c r="FS750" s="2">
        <v>0</v>
      </c>
      <c r="FT750" s="2"/>
      <c r="FU750" s="2"/>
      <c r="FV750" s="2"/>
      <c r="FW750" s="2"/>
      <c r="FX750" s="2">
        <v>0</v>
      </c>
      <c r="FY750" s="2">
        <v>0</v>
      </c>
      <c r="FZ750" s="2"/>
      <c r="GA750" s="2" t="s">
        <v>3</v>
      </c>
      <c r="GB750" s="2"/>
      <c r="GC750" s="2"/>
      <c r="GD750" s="2">
        <v>0</v>
      </c>
      <c r="GE750" s="2"/>
      <c r="GF750" s="2">
        <v>-983260159</v>
      </c>
      <c r="GG750" s="2">
        <v>2</v>
      </c>
      <c r="GH750" s="2">
        <v>0</v>
      </c>
      <c r="GI750" s="2">
        <v>-2</v>
      </c>
      <c r="GJ750" s="2">
        <v>0</v>
      </c>
      <c r="GK750" s="2">
        <f>ROUND(R750*(R12)/100,2)</f>
        <v>0</v>
      </c>
      <c r="GL750" s="2">
        <f t="shared" si="664"/>
        <v>0</v>
      </c>
      <c r="GM750" s="2">
        <f t="shared" si="665"/>
        <v>1909.64</v>
      </c>
      <c r="GN750" s="2">
        <f t="shared" si="666"/>
        <v>1909.64</v>
      </c>
      <c r="GO750" s="2">
        <f t="shared" si="667"/>
        <v>0</v>
      </c>
      <c r="GP750" s="2">
        <f t="shared" si="668"/>
        <v>0</v>
      </c>
      <c r="GQ750" s="2"/>
      <c r="GR750" s="2">
        <v>0</v>
      </c>
      <c r="GS750" s="2">
        <v>0</v>
      </c>
      <c r="GT750" s="2">
        <v>0</v>
      </c>
      <c r="GU750" s="2" t="s">
        <v>3</v>
      </c>
      <c r="GV750" s="2">
        <f t="shared" si="669"/>
        <v>0</v>
      </c>
      <c r="GW750" s="2">
        <v>1</v>
      </c>
      <c r="GX750" s="2">
        <f t="shared" si="670"/>
        <v>0</v>
      </c>
      <c r="GY750" s="2"/>
      <c r="GZ750" s="2"/>
      <c r="HA750" s="2">
        <v>0</v>
      </c>
      <c r="HB750" s="2">
        <v>0</v>
      </c>
      <c r="HC750" s="2">
        <f t="shared" si="671"/>
        <v>0</v>
      </c>
      <c r="HD750" s="2"/>
      <c r="HE750" s="2" t="s">
        <v>3</v>
      </c>
      <c r="HF750" s="2" t="s">
        <v>3</v>
      </c>
      <c r="HG750" s="2"/>
      <c r="HH750" s="2"/>
      <c r="HI750" s="2"/>
      <c r="HJ750" s="2"/>
      <c r="HK750" s="2"/>
      <c r="HL750" s="2"/>
      <c r="HM750" s="2" t="s">
        <v>3</v>
      </c>
      <c r="HN750" s="2" t="s">
        <v>3</v>
      </c>
      <c r="HO750" s="2" t="s">
        <v>3</v>
      </c>
      <c r="HP750" s="2" t="s">
        <v>3</v>
      </c>
      <c r="HQ750" s="2" t="s">
        <v>3</v>
      </c>
      <c r="HR750" s="2"/>
      <c r="HS750" s="2"/>
      <c r="HT750" s="2"/>
      <c r="HU750" s="2"/>
      <c r="HV750" s="2"/>
      <c r="HW750" s="2"/>
      <c r="HX750" s="2"/>
      <c r="HY750" s="2"/>
      <c r="HZ750" s="2"/>
      <c r="IA750" s="2"/>
      <c r="IB750" s="2"/>
      <c r="IC750" s="2"/>
      <c r="ID750" s="2"/>
      <c r="IE750" s="2"/>
      <c r="IF750" s="2"/>
      <c r="IG750" s="2"/>
      <c r="IH750" s="2"/>
      <c r="II750" s="2"/>
      <c r="IJ750" s="2"/>
      <c r="IK750" s="2">
        <v>0</v>
      </c>
      <c r="IL750" s="2"/>
      <c r="IM750" s="2"/>
      <c r="IN750" s="2"/>
      <c r="IO750" s="2"/>
      <c r="IP750" s="2"/>
      <c r="IQ750" s="2"/>
      <c r="IR750" s="2"/>
      <c r="IS750" s="2"/>
      <c r="IT750" s="2"/>
      <c r="IU750" s="2"/>
    </row>
    <row r="751" spans="1:255" x14ac:dyDescent="0.2">
      <c r="A751">
        <v>17</v>
      </c>
      <c r="B751">
        <v>1</v>
      </c>
      <c r="E751" t="s">
        <v>374</v>
      </c>
      <c r="F751" t="s">
        <v>248</v>
      </c>
      <c r="G751" t="s">
        <v>723</v>
      </c>
      <c r="H751" t="s">
        <v>250</v>
      </c>
      <c r="I751">
        <v>4</v>
      </c>
      <c r="J751">
        <v>0</v>
      </c>
      <c r="K751">
        <v>4</v>
      </c>
      <c r="O751">
        <f t="shared" si="648"/>
        <v>13668.04</v>
      </c>
      <c r="P751">
        <f t="shared" si="678"/>
        <v>13668.04</v>
      </c>
      <c r="Q751">
        <f t="shared" si="679"/>
        <v>0</v>
      </c>
      <c r="R751">
        <f t="shared" si="680"/>
        <v>0</v>
      </c>
      <c r="S751">
        <f t="shared" si="681"/>
        <v>0</v>
      </c>
      <c r="T751">
        <f t="shared" si="649"/>
        <v>0</v>
      </c>
      <c r="U751">
        <f t="shared" si="650"/>
        <v>0</v>
      </c>
      <c r="V751">
        <f t="shared" si="651"/>
        <v>0</v>
      </c>
      <c r="W751">
        <f t="shared" si="652"/>
        <v>0</v>
      </c>
      <c r="X751">
        <f t="shared" si="653"/>
        <v>0</v>
      </c>
      <c r="Y751">
        <f t="shared" si="654"/>
        <v>0</v>
      </c>
      <c r="AA751">
        <v>129761633</v>
      </c>
      <c r="AB751">
        <f t="shared" si="655"/>
        <v>395.03</v>
      </c>
      <c r="AC751">
        <f t="shared" si="672"/>
        <v>395.03</v>
      </c>
      <c r="AD751">
        <f t="shared" si="682"/>
        <v>0</v>
      </c>
      <c r="AE751">
        <f t="shared" si="673"/>
        <v>0</v>
      </c>
      <c r="AF751">
        <f t="shared" si="674"/>
        <v>0</v>
      </c>
      <c r="AG751">
        <f t="shared" si="657"/>
        <v>0</v>
      </c>
      <c r="AH751">
        <f t="shared" si="658"/>
        <v>0</v>
      </c>
      <c r="AI751">
        <f t="shared" si="659"/>
        <v>0</v>
      </c>
      <c r="AJ751">
        <f t="shared" si="660"/>
        <v>0</v>
      </c>
      <c r="AK751">
        <v>395.03</v>
      </c>
      <c r="AL751">
        <v>395.03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1</v>
      </c>
      <c r="AW751">
        <v>1</v>
      </c>
      <c r="AZ751">
        <v>1</v>
      </c>
      <c r="BA751">
        <v>1</v>
      </c>
      <c r="BB751">
        <v>1</v>
      </c>
      <c r="BC751">
        <v>8.65</v>
      </c>
      <c r="BD751" t="s">
        <v>3</v>
      </c>
      <c r="BE751" t="s">
        <v>3</v>
      </c>
      <c r="BF751" t="s">
        <v>3</v>
      </c>
      <c r="BG751" t="s">
        <v>3</v>
      </c>
      <c r="BH751">
        <v>3</v>
      </c>
      <c r="BI751">
        <v>1</v>
      </c>
      <c r="BJ751" t="s">
        <v>3</v>
      </c>
      <c r="BM751">
        <v>700003</v>
      </c>
      <c r="BN751">
        <v>0</v>
      </c>
      <c r="BO751" t="s">
        <v>3</v>
      </c>
      <c r="BP751">
        <v>0</v>
      </c>
      <c r="BQ751">
        <v>206</v>
      </c>
      <c r="BR751">
        <v>0</v>
      </c>
      <c r="BS751">
        <v>1</v>
      </c>
      <c r="BT751">
        <v>1</v>
      </c>
      <c r="BU751">
        <v>1</v>
      </c>
      <c r="BV751">
        <v>1</v>
      </c>
      <c r="BW751">
        <v>1</v>
      </c>
      <c r="BX751">
        <v>1</v>
      </c>
      <c r="BY751" t="s">
        <v>3</v>
      </c>
      <c r="BZ751">
        <v>0</v>
      </c>
      <c r="CA751">
        <v>0</v>
      </c>
      <c r="CB751" t="s">
        <v>3</v>
      </c>
      <c r="CE751">
        <v>0</v>
      </c>
      <c r="CF751">
        <v>0</v>
      </c>
      <c r="CG751">
        <v>0</v>
      </c>
      <c r="CM751">
        <v>0</v>
      </c>
      <c r="CN751" t="s">
        <v>3</v>
      </c>
      <c r="CO751">
        <v>0</v>
      </c>
      <c r="CP751">
        <f t="shared" si="661"/>
        <v>13668.04</v>
      </c>
      <c r="CQ751">
        <f t="shared" si="683"/>
        <v>3417.0095000000001</v>
      </c>
      <c r="CR751">
        <f t="shared" si="684"/>
        <v>0</v>
      </c>
      <c r="CS751">
        <f t="shared" si="685"/>
        <v>0</v>
      </c>
      <c r="CT751">
        <f t="shared" si="686"/>
        <v>0</v>
      </c>
      <c r="CU751">
        <f t="shared" si="675"/>
        <v>0</v>
      </c>
      <c r="CV751">
        <f t="shared" si="687"/>
        <v>0</v>
      </c>
      <c r="CW751">
        <f t="shared" si="676"/>
        <v>0</v>
      </c>
      <c r="CX751">
        <f t="shared" si="677"/>
        <v>0</v>
      </c>
      <c r="CY751">
        <f>S751*(BZ751/100)</f>
        <v>0</v>
      </c>
      <c r="CZ751">
        <f>S751*(CA751/100)</f>
        <v>0</v>
      </c>
      <c r="DC751" t="s">
        <v>3</v>
      </c>
      <c r="DD751" t="s">
        <v>3</v>
      </c>
      <c r="DE751" t="s">
        <v>3</v>
      </c>
      <c r="DF751" t="s">
        <v>3</v>
      </c>
      <c r="DG751" t="s">
        <v>3</v>
      </c>
      <c r="DH751" t="s">
        <v>3</v>
      </c>
      <c r="DI751" t="s">
        <v>3</v>
      </c>
      <c r="DJ751" t="s">
        <v>3</v>
      </c>
      <c r="DK751" t="s">
        <v>3</v>
      </c>
      <c r="DL751" t="s">
        <v>3</v>
      </c>
      <c r="DM751" t="s">
        <v>3</v>
      </c>
      <c r="DN751">
        <v>0</v>
      </c>
      <c r="DO751">
        <v>0</v>
      </c>
      <c r="DP751">
        <v>1</v>
      </c>
      <c r="DQ751">
        <v>1</v>
      </c>
      <c r="DU751">
        <v>1010</v>
      </c>
      <c r="DV751" t="s">
        <v>250</v>
      </c>
      <c r="DW751" t="s">
        <v>250</v>
      </c>
      <c r="DX751">
        <v>1</v>
      </c>
      <c r="DZ751" t="s">
        <v>3</v>
      </c>
      <c r="EA751" t="s">
        <v>3</v>
      </c>
      <c r="EB751" t="s">
        <v>3</v>
      </c>
      <c r="EC751" t="s">
        <v>3</v>
      </c>
      <c r="EE751">
        <v>126053677</v>
      </c>
      <c r="EF751">
        <v>206</v>
      </c>
      <c r="EG751" t="s">
        <v>704</v>
      </c>
      <c r="EH751">
        <v>0</v>
      </c>
      <c r="EI751" t="s">
        <v>3</v>
      </c>
      <c r="EJ751">
        <v>1</v>
      </c>
      <c r="EK751">
        <v>700003</v>
      </c>
      <c r="EL751" t="s">
        <v>704</v>
      </c>
      <c r="EM751" t="s">
        <v>705</v>
      </c>
      <c r="EO751" t="s">
        <v>3</v>
      </c>
      <c r="EQ751">
        <v>131072</v>
      </c>
      <c r="ER751">
        <v>395.03</v>
      </c>
      <c r="ES751">
        <v>395.03</v>
      </c>
      <c r="ET751">
        <v>0</v>
      </c>
      <c r="EU751">
        <v>0</v>
      </c>
      <c r="EV751">
        <v>0</v>
      </c>
      <c r="EW751">
        <v>0</v>
      </c>
      <c r="EX751">
        <v>0</v>
      </c>
      <c r="EY751">
        <v>0</v>
      </c>
      <c r="EZ751">
        <v>5</v>
      </c>
      <c r="FC751">
        <v>1</v>
      </c>
      <c r="FD751">
        <v>18</v>
      </c>
      <c r="FF751">
        <v>4020</v>
      </c>
      <c r="FQ751">
        <v>0</v>
      </c>
      <c r="FR751">
        <f t="shared" si="663"/>
        <v>0</v>
      </c>
      <c r="FS751">
        <v>0</v>
      </c>
      <c r="FX751">
        <v>0</v>
      </c>
      <c r="FY751">
        <v>0</v>
      </c>
      <c r="GA751" t="s">
        <v>724</v>
      </c>
      <c r="GD751">
        <v>0</v>
      </c>
      <c r="GF751">
        <v>-983260159</v>
      </c>
      <c r="GG751">
        <v>2</v>
      </c>
      <c r="GH751">
        <v>3</v>
      </c>
      <c r="GI751">
        <v>5</v>
      </c>
      <c r="GJ751">
        <v>0</v>
      </c>
      <c r="GK751">
        <f>ROUND(R751*(S12)/100,2)</f>
        <v>0</v>
      </c>
      <c r="GL751">
        <f t="shared" si="664"/>
        <v>0</v>
      </c>
      <c r="GM751">
        <f t="shared" si="665"/>
        <v>13668.04</v>
      </c>
      <c r="GN751">
        <f t="shared" si="666"/>
        <v>13668.04</v>
      </c>
      <c r="GO751">
        <f t="shared" si="667"/>
        <v>0</v>
      </c>
      <c r="GP751">
        <f t="shared" si="668"/>
        <v>0</v>
      </c>
      <c r="GR751">
        <v>1</v>
      </c>
      <c r="GS751">
        <v>1</v>
      </c>
      <c r="GT751">
        <v>0</v>
      </c>
      <c r="GU751" t="s">
        <v>3</v>
      </c>
      <c r="GV751">
        <f t="shared" si="669"/>
        <v>0</v>
      </c>
      <c r="GW751">
        <v>1</v>
      </c>
      <c r="GX751">
        <f t="shared" si="670"/>
        <v>0</v>
      </c>
      <c r="HA751">
        <v>0</v>
      </c>
      <c r="HB751">
        <v>0</v>
      </c>
      <c r="HC751">
        <f t="shared" si="671"/>
        <v>0</v>
      </c>
      <c r="HE751" t="s">
        <v>81</v>
      </c>
      <c r="HF751" t="s">
        <v>252</v>
      </c>
      <c r="HM751" t="s">
        <v>3</v>
      </c>
      <c r="HN751" t="s">
        <v>3</v>
      </c>
      <c r="HO751" t="s">
        <v>3</v>
      </c>
      <c r="HP751" t="s">
        <v>3</v>
      </c>
      <c r="HQ751" t="s">
        <v>3</v>
      </c>
      <c r="IK751">
        <v>0</v>
      </c>
    </row>
    <row r="752" spans="1:255" x14ac:dyDescent="0.2">
      <c r="A752" s="2">
        <v>17</v>
      </c>
      <c r="B752" s="2">
        <v>1</v>
      </c>
      <c r="C752" s="2"/>
      <c r="D752" s="2"/>
      <c r="E752" s="2" t="s">
        <v>385</v>
      </c>
      <c r="F752" s="2" t="s">
        <v>248</v>
      </c>
      <c r="G752" s="2" t="s">
        <v>725</v>
      </c>
      <c r="H752" s="2" t="s">
        <v>250</v>
      </c>
      <c r="I752" s="2">
        <v>2</v>
      </c>
      <c r="J752" s="2">
        <v>0</v>
      </c>
      <c r="K752" s="2">
        <v>2</v>
      </c>
      <c r="L752" s="2"/>
      <c r="M752" s="2"/>
      <c r="N752" s="2"/>
      <c r="O752" s="2">
        <f t="shared" si="648"/>
        <v>227.16</v>
      </c>
      <c r="P752" s="2">
        <f t="shared" si="678"/>
        <v>227.16</v>
      </c>
      <c r="Q752" s="2">
        <f t="shared" si="679"/>
        <v>0</v>
      </c>
      <c r="R752" s="2">
        <f t="shared" si="680"/>
        <v>0</v>
      </c>
      <c r="S752" s="2">
        <f t="shared" si="681"/>
        <v>0</v>
      </c>
      <c r="T752" s="2">
        <f t="shared" si="649"/>
        <v>0</v>
      </c>
      <c r="U752" s="2">
        <f t="shared" si="650"/>
        <v>0</v>
      </c>
      <c r="V752" s="2">
        <f t="shared" si="651"/>
        <v>0</v>
      </c>
      <c r="W752" s="2">
        <f t="shared" si="652"/>
        <v>0</v>
      </c>
      <c r="X752" s="2">
        <f t="shared" si="653"/>
        <v>0</v>
      </c>
      <c r="Y752" s="2">
        <f t="shared" si="654"/>
        <v>0</v>
      </c>
      <c r="Z752" s="2"/>
      <c r="AA752" s="2">
        <v>129761636</v>
      </c>
      <c r="AB752" s="2">
        <f t="shared" si="655"/>
        <v>113.58</v>
      </c>
      <c r="AC752" s="2">
        <f t="shared" si="672"/>
        <v>113.58</v>
      </c>
      <c r="AD752" s="2">
        <f t="shared" si="682"/>
        <v>0</v>
      </c>
      <c r="AE752" s="2">
        <f t="shared" si="673"/>
        <v>0</v>
      </c>
      <c r="AF752" s="2">
        <f t="shared" si="674"/>
        <v>0</v>
      </c>
      <c r="AG752" s="2">
        <f t="shared" si="657"/>
        <v>0</v>
      </c>
      <c r="AH752" s="2">
        <f t="shared" si="658"/>
        <v>0</v>
      </c>
      <c r="AI752" s="2">
        <f t="shared" si="659"/>
        <v>0</v>
      </c>
      <c r="AJ752" s="2">
        <f t="shared" si="660"/>
        <v>0</v>
      </c>
      <c r="AK752" s="2">
        <v>113.58</v>
      </c>
      <c r="AL752" s="2">
        <v>113.58</v>
      </c>
      <c r="AM752" s="2">
        <v>0</v>
      </c>
      <c r="AN752" s="2">
        <v>0</v>
      </c>
      <c r="AO752" s="2">
        <v>0</v>
      </c>
      <c r="AP752" s="2">
        <v>0</v>
      </c>
      <c r="AQ752" s="2">
        <v>0</v>
      </c>
      <c r="AR752" s="2">
        <v>0</v>
      </c>
      <c r="AS752" s="2">
        <v>0</v>
      </c>
      <c r="AT752" s="2">
        <v>0</v>
      </c>
      <c r="AU752" s="2">
        <v>0</v>
      </c>
      <c r="AV752" s="2">
        <v>1</v>
      </c>
      <c r="AW752" s="2">
        <v>1</v>
      </c>
      <c r="AX752" s="2"/>
      <c r="AY752" s="2"/>
      <c r="AZ752" s="2">
        <v>1</v>
      </c>
      <c r="BA752" s="2">
        <v>1</v>
      </c>
      <c r="BB752" s="2">
        <v>1</v>
      </c>
      <c r="BC752" s="2">
        <v>1</v>
      </c>
      <c r="BD752" s="2" t="s">
        <v>3</v>
      </c>
      <c r="BE752" s="2" t="s">
        <v>3</v>
      </c>
      <c r="BF752" s="2" t="s">
        <v>3</v>
      </c>
      <c r="BG752" s="2" t="s">
        <v>3</v>
      </c>
      <c r="BH752" s="2">
        <v>3</v>
      </c>
      <c r="BI752" s="2">
        <v>1</v>
      </c>
      <c r="BJ752" s="2" t="s">
        <v>3</v>
      </c>
      <c r="BK752" s="2"/>
      <c r="BL752" s="2"/>
      <c r="BM752" s="2">
        <v>700003</v>
      </c>
      <c r="BN752" s="2">
        <v>0</v>
      </c>
      <c r="BO752" s="2" t="s">
        <v>3</v>
      </c>
      <c r="BP752" s="2">
        <v>0</v>
      </c>
      <c r="BQ752" s="2">
        <v>206</v>
      </c>
      <c r="BR752" s="2">
        <v>0</v>
      </c>
      <c r="BS752" s="2">
        <v>1</v>
      </c>
      <c r="BT752" s="2">
        <v>1</v>
      </c>
      <c r="BU752" s="2">
        <v>1</v>
      </c>
      <c r="BV752" s="2">
        <v>1</v>
      </c>
      <c r="BW752" s="2">
        <v>1</v>
      </c>
      <c r="BX752" s="2">
        <v>1</v>
      </c>
      <c r="BY752" s="2" t="s">
        <v>3</v>
      </c>
      <c r="BZ752" s="2">
        <v>0</v>
      </c>
      <c r="CA752" s="2">
        <v>0</v>
      </c>
      <c r="CB752" s="2" t="s">
        <v>3</v>
      </c>
      <c r="CC752" s="2"/>
      <c r="CD752" s="2"/>
      <c r="CE752" s="2">
        <v>0</v>
      </c>
      <c r="CF752" s="2">
        <v>0</v>
      </c>
      <c r="CG752" s="2">
        <v>0</v>
      </c>
      <c r="CH752" s="2"/>
      <c r="CI752" s="2"/>
      <c r="CJ752" s="2"/>
      <c r="CK752" s="2"/>
      <c r="CL752" s="2"/>
      <c r="CM752" s="2">
        <v>0</v>
      </c>
      <c r="CN752" s="2" t="s">
        <v>3</v>
      </c>
      <c r="CO752" s="2">
        <v>0</v>
      </c>
      <c r="CP752" s="2">
        <f t="shared" si="661"/>
        <v>227.16</v>
      </c>
      <c r="CQ752" s="2">
        <f t="shared" si="683"/>
        <v>113.58</v>
      </c>
      <c r="CR752" s="2">
        <f t="shared" si="684"/>
        <v>0</v>
      </c>
      <c r="CS752" s="2">
        <f t="shared" si="685"/>
        <v>0</v>
      </c>
      <c r="CT752" s="2">
        <f t="shared" si="686"/>
        <v>0</v>
      </c>
      <c r="CU752" s="2">
        <f t="shared" si="675"/>
        <v>0</v>
      </c>
      <c r="CV752" s="2">
        <f t="shared" si="687"/>
        <v>0</v>
      </c>
      <c r="CW752" s="2">
        <f t="shared" si="676"/>
        <v>0</v>
      </c>
      <c r="CX752" s="2">
        <f t="shared" si="677"/>
        <v>0</v>
      </c>
      <c r="CY752" s="2">
        <f>0</f>
        <v>0</v>
      </c>
      <c r="CZ752" s="2">
        <f>0</f>
        <v>0</v>
      </c>
      <c r="DA752" s="2"/>
      <c r="DB752" s="2"/>
      <c r="DC752" s="2" t="s">
        <v>3</v>
      </c>
      <c r="DD752" s="2" t="s">
        <v>3</v>
      </c>
      <c r="DE752" s="2" t="s">
        <v>3</v>
      </c>
      <c r="DF752" s="2" t="s">
        <v>3</v>
      </c>
      <c r="DG752" s="2" t="s">
        <v>3</v>
      </c>
      <c r="DH752" s="2" t="s">
        <v>3</v>
      </c>
      <c r="DI752" s="2" t="s">
        <v>3</v>
      </c>
      <c r="DJ752" s="2" t="s">
        <v>3</v>
      </c>
      <c r="DK752" s="2" t="s">
        <v>3</v>
      </c>
      <c r="DL752" s="2" t="s">
        <v>3</v>
      </c>
      <c r="DM752" s="2" t="s">
        <v>3</v>
      </c>
      <c r="DN752" s="2">
        <v>0</v>
      </c>
      <c r="DO752" s="2">
        <v>0</v>
      </c>
      <c r="DP752" s="2">
        <v>1</v>
      </c>
      <c r="DQ752" s="2">
        <v>1</v>
      </c>
      <c r="DR752" s="2"/>
      <c r="DS752" s="2"/>
      <c r="DT752" s="2"/>
      <c r="DU752" s="2">
        <v>1010</v>
      </c>
      <c r="DV752" s="2" t="s">
        <v>250</v>
      </c>
      <c r="DW752" s="2" t="s">
        <v>250</v>
      </c>
      <c r="DX752" s="2">
        <v>1</v>
      </c>
      <c r="DY752" s="2"/>
      <c r="DZ752" s="2" t="s">
        <v>3</v>
      </c>
      <c r="EA752" s="2" t="s">
        <v>3</v>
      </c>
      <c r="EB752" s="2" t="s">
        <v>3</v>
      </c>
      <c r="EC752" s="2" t="s">
        <v>3</v>
      </c>
      <c r="ED752" s="2"/>
      <c r="EE752" s="2">
        <v>126053677</v>
      </c>
      <c r="EF752" s="2">
        <v>206</v>
      </c>
      <c r="EG752" s="2" t="s">
        <v>704</v>
      </c>
      <c r="EH752" s="2">
        <v>0</v>
      </c>
      <c r="EI752" s="2" t="s">
        <v>3</v>
      </c>
      <c r="EJ752" s="2">
        <v>1</v>
      </c>
      <c r="EK752" s="2">
        <v>700003</v>
      </c>
      <c r="EL752" s="2" t="s">
        <v>704</v>
      </c>
      <c r="EM752" s="2" t="s">
        <v>705</v>
      </c>
      <c r="EN752" s="2"/>
      <c r="EO752" s="2" t="s">
        <v>3</v>
      </c>
      <c r="EP752" s="2"/>
      <c r="EQ752" s="2">
        <v>131072</v>
      </c>
      <c r="ER752" s="2">
        <v>113.58</v>
      </c>
      <c r="ES752" s="2">
        <v>113.58</v>
      </c>
      <c r="ET752" s="2">
        <v>0</v>
      </c>
      <c r="EU752" s="2">
        <v>0</v>
      </c>
      <c r="EV752" s="2">
        <v>0</v>
      </c>
      <c r="EW752" s="2">
        <v>0</v>
      </c>
      <c r="EX752" s="2">
        <v>0</v>
      </c>
      <c r="EY752" s="2">
        <v>0</v>
      </c>
      <c r="EZ752" s="2"/>
      <c r="FA752" s="2"/>
      <c r="FB752" s="2"/>
      <c r="FC752" s="2"/>
      <c r="FD752" s="2"/>
      <c r="FE752" s="2"/>
      <c r="FF752" s="2"/>
      <c r="FG752" s="2"/>
      <c r="FH752" s="2"/>
      <c r="FI752" s="2"/>
      <c r="FJ752" s="2"/>
      <c r="FK752" s="2"/>
      <c r="FL752" s="2"/>
      <c r="FM752" s="2"/>
      <c r="FN752" s="2"/>
      <c r="FO752" s="2"/>
      <c r="FP752" s="2"/>
      <c r="FQ752" s="2">
        <v>0</v>
      </c>
      <c r="FR752" s="2">
        <f t="shared" si="663"/>
        <v>0</v>
      </c>
      <c r="FS752" s="2">
        <v>0</v>
      </c>
      <c r="FT752" s="2"/>
      <c r="FU752" s="2"/>
      <c r="FV752" s="2"/>
      <c r="FW752" s="2"/>
      <c r="FX752" s="2">
        <v>0</v>
      </c>
      <c r="FY752" s="2">
        <v>0</v>
      </c>
      <c r="FZ752" s="2"/>
      <c r="GA752" s="2" t="s">
        <v>3</v>
      </c>
      <c r="GB752" s="2"/>
      <c r="GC752" s="2"/>
      <c r="GD752" s="2">
        <v>0</v>
      </c>
      <c r="GE752" s="2"/>
      <c r="GF752" s="2">
        <v>1363981105</v>
      </c>
      <c r="GG752" s="2">
        <v>2</v>
      </c>
      <c r="GH752" s="2">
        <v>0</v>
      </c>
      <c r="GI752" s="2">
        <v>-2</v>
      </c>
      <c r="GJ752" s="2">
        <v>0</v>
      </c>
      <c r="GK752" s="2">
        <f>ROUND(R752*(R12)/100,2)</f>
        <v>0</v>
      </c>
      <c r="GL752" s="2">
        <f t="shared" si="664"/>
        <v>0</v>
      </c>
      <c r="GM752" s="2">
        <f t="shared" si="665"/>
        <v>227.16</v>
      </c>
      <c r="GN752" s="2">
        <f t="shared" si="666"/>
        <v>227.16</v>
      </c>
      <c r="GO752" s="2">
        <f t="shared" si="667"/>
        <v>0</v>
      </c>
      <c r="GP752" s="2">
        <f t="shared" si="668"/>
        <v>0</v>
      </c>
      <c r="GQ752" s="2"/>
      <c r="GR752" s="2">
        <v>0</v>
      </c>
      <c r="GS752" s="2">
        <v>0</v>
      </c>
      <c r="GT752" s="2">
        <v>0</v>
      </c>
      <c r="GU752" s="2" t="s">
        <v>3</v>
      </c>
      <c r="GV752" s="2">
        <f t="shared" si="669"/>
        <v>0</v>
      </c>
      <c r="GW752" s="2">
        <v>1</v>
      </c>
      <c r="GX752" s="2">
        <f t="shared" si="670"/>
        <v>0</v>
      </c>
      <c r="GY752" s="2"/>
      <c r="GZ752" s="2"/>
      <c r="HA752" s="2">
        <v>0</v>
      </c>
      <c r="HB752" s="2">
        <v>0</v>
      </c>
      <c r="HC752" s="2">
        <f t="shared" si="671"/>
        <v>0</v>
      </c>
      <c r="HD752" s="2"/>
      <c r="HE752" s="2" t="s">
        <v>3</v>
      </c>
      <c r="HF752" s="2" t="s">
        <v>3</v>
      </c>
      <c r="HG752" s="2"/>
      <c r="HH752" s="2"/>
      <c r="HI752" s="2"/>
      <c r="HJ752" s="2"/>
      <c r="HK752" s="2"/>
      <c r="HL752" s="2"/>
      <c r="HM752" s="2" t="s">
        <v>3</v>
      </c>
      <c r="HN752" s="2" t="s">
        <v>3</v>
      </c>
      <c r="HO752" s="2" t="s">
        <v>3</v>
      </c>
      <c r="HP752" s="2" t="s">
        <v>3</v>
      </c>
      <c r="HQ752" s="2" t="s">
        <v>3</v>
      </c>
      <c r="HR752" s="2"/>
      <c r="HS752" s="2"/>
      <c r="HT752" s="2"/>
      <c r="HU752" s="2"/>
      <c r="HV752" s="2"/>
      <c r="HW752" s="2"/>
      <c r="HX752" s="2"/>
      <c r="HY752" s="2"/>
      <c r="HZ752" s="2"/>
      <c r="IA752" s="2"/>
      <c r="IB752" s="2"/>
      <c r="IC752" s="2"/>
      <c r="ID752" s="2"/>
      <c r="IE752" s="2"/>
      <c r="IF752" s="2"/>
      <c r="IG752" s="2"/>
      <c r="IH752" s="2"/>
      <c r="II752" s="2"/>
      <c r="IJ752" s="2"/>
      <c r="IK752" s="2">
        <v>0</v>
      </c>
      <c r="IL752" s="2"/>
      <c r="IM752" s="2"/>
      <c r="IN752" s="2"/>
      <c r="IO752" s="2"/>
      <c r="IP752" s="2"/>
      <c r="IQ752" s="2"/>
      <c r="IR752" s="2"/>
      <c r="IS752" s="2"/>
      <c r="IT752" s="2"/>
      <c r="IU752" s="2"/>
    </row>
    <row r="753" spans="1:255" x14ac:dyDescent="0.2">
      <c r="A753">
        <v>17</v>
      </c>
      <c r="B753">
        <v>1</v>
      </c>
      <c r="E753" t="s">
        <v>385</v>
      </c>
      <c r="F753" t="s">
        <v>248</v>
      </c>
      <c r="G753" t="s">
        <v>725</v>
      </c>
      <c r="H753" t="s">
        <v>250</v>
      </c>
      <c r="I753">
        <v>2</v>
      </c>
      <c r="J753">
        <v>0</v>
      </c>
      <c r="K753">
        <v>2</v>
      </c>
      <c r="O753">
        <f t="shared" si="648"/>
        <v>2056.9699999999998</v>
      </c>
      <c r="P753">
        <f t="shared" si="678"/>
        <v>2056.9699999999998</v>
      </c>
      <c r="Q753">
        <f t="shared" si="679"/>
        <v>0</v>
      </c>
      <c r="R753">
        <f t="shared" si="680"/>
        <v>0</v>
      </c>
      <c r="S753">
        <f t="shared" si="681"/>
        <v>0</v>
      </c>
      <c r="T753">
        <f t="shared" si="649"/>
        <v>0</v>
      </c>
      <c r="U753">
        <f t="shared" si="650"/>
        <v>0</v>
      </c>
      <c r="V753">
        <f t="shared" si="651"/>
        <v>0</v>
      </c>
      <c r="W753">
        <f t="shared" si="652"/>
        <v>0</v>
      </c>
      <c r="X753">
        <f t="shared" si="653"/>
        <v>0</v>
      </c>
      <c r="Y753">
        <f t="shared" si="654"/>
        <v>0</v>
      </c>
      <c r="AA753">
        <v>129761633</v>
      </c>
      <c r="AB753">
        <f t="shared" si="655"/>
        <v>118.9</v>
      </c>
      <c r="AC753">
        <f t="shared" si="672"/>
        <v>118.9</v>
      </c>
      <c r="AD753">
        <f t="shared" si="682"/>
        <v>0</v>
      </c>
      <c r="AE753">
        <f t="shared" si="673"/>
        <v>0</v>
      </c>
      <c r="AF753">
        <f t="shared" si="674"/>
        <v>0</v>
      </c>
      <c r="AG753">
        <f t="shared" si="657"/>
        <v>0</v>
      </c>
      <c r="AH753">
        <f t="shared" si="658"/>
        <v>0</v>
      </c>
      <c r="AI753">
        <f t="shared" si="659"/>
        <v>0</v>
      </c>
      <c r="AJ753">
        <f t="shared" si="660"/>
        <v>0</v>
      </c>
      <c r="AK753">
        <v>118.89999999999999</v>
      </c>
      <c r="AL753">
        <v>118.89999999999999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1</v>
      </c>
      <c r="AW753">
        <v>1</v>
      </c>
      <c r="AZ753">
        <v>1</v>
      </c>
      <c r="BA753">
        <v>1</v>
      </c>
      <c r="BB753">
        <v>1</v>
      </c>
      <c r="BC753">
        <v>8.65</v>
      </c>
      <c r="BD753" t="s">
        <v>3</v>
      </c>
      <c r="BE753" t="s">
        <v>3</v>
      </c>
      <c r="BF753" t="s">
        <v>3</v>
      </c>
      <c r="BG753" t="s">
        <v>3</v>
      </c>
      <c r="BH753">
        <v>3</v>
      </c>
      <c r="BI753">
        <v>1</v>
      </c>
      <c r="BJ753" t="s">
        <v>3</v>
      </c>
      <c r="BM753">
        <v>700003</v>
      </c>
      <c r="BN753">
        <v>0</v>
      </c>
      <c r="BO753" t="s">
        <v>3</v>
      </c>
      <c r="BP753">
        <v>0</v>
      </c>
      <c r="BQ753">
        <v>206</v>
      </c>
      <c r="BR753">
        <v>0</v>
      </c>
      <c r="BS753">
        <v>1</v>
      </c>
      <c r="BT753">
        <v>1</v>
      </c>
      <c r="BU753">
        <v>1</v>
      </c>
      <c r="BV753">
        <v>1</v>
      </c>
      <c r="BW753">
        <v>1</v>
      </c>
      <c r="BX753">
        <v>1</v>
      </c>
      <c r="BY753" t="s">
        <v>3</v>
      </c>
      <c r="BZ753">
        <v>0</v>
      </c>
      <c r="CA753">
        <v>0</v>
      </c>
      <c r="CB753" t="s">
        <v>3</v>
      </c>
      <c r="CE753">
        <v>0</v>
      </c>
      <c r="CF753">
        <v>0</v>
      </c>
      <c r="CG753">
        <v>0</v>
      </c>
      <c r="CM753">
        <v>0</v>
      </c>
      <c r="CN753" t="s">
        <v>3</v>
      </c>
      <c r="CO753">
        <v>0</v>
      </c>
      <c r="CP753">
        <f t="shared" si="661"/>
        <v>2056.9699999999998</v>
      </c>
      <c r="CQ753">
        <f t="shared" si="683"/>
        <v>1028.4850000000001</v>
      </c>
      <c r="CR753">
        <f t="shared" si="684"/>
        <v>0</v>
      </c>
      <c r="CS753">
        <f t="shared" si="685"/>
        <v>0</v>
      </c>
      <c r="CT753">
        <f t="shared" si="686"/>
        <v>0</v>
      </c>
      <c r="CU753">
        <f t="shared" si="675"/>
        <v>0</v>
      </c>
      <c r="CV753">
        <f t="shared" si="687"/>
        <v>0</v>
      </c>
      <c r="CW753">
        <f t="shared" si="676"/>
        <v>0</v>
      </c>
      <c r="CX753">
        <f t="shared" si="677"/>
        <v>0</v>
      </c>
      <c r="CY753">
        <f>S753*(BZ753/100)</f>
        <v>0</v>
      </c>
      <c r="CZ753">
        <f>S753*(CA753/100)</f>
        <v>0</v>
      </c>
      <c r="DC753" t="s">
        <v>3</v>
      </c>
      <c r="DD753" t="s">
        <v>3</v>
      </c>
      <c r="DE753" t="s">
        <v>3</v>
      </c>
      <c r="DF753" t="s">
        <v>3</v>
      </c>
      <c r="DG753" t="s">
        <v>3</v>
      </c>
      <c r="DH753" t="s">
        <v>3</v>
      </c>
      <c r="DI753" t="s">
        <v>3</v>
      </c>
      <c r="DJ753" t="s">
        <v>3</v>
      </c>
      <c r="DK753" t="s">
        <v>3</v>
      </c>
      <c r="DL753" t="s">
        <v>3</v>
      </c>
      <c r="DM753" t="s">
        <v>3</v>
      </c>
      <c r="DN753">
        <v>0</v>
      </c>
      <c r="DO753">
        <v>0</v>
      </c>
      <c r="DP753">
        <v>1</v>
      </c>
      <c r="DQ753">
        <v>1</v>
      </c>
      <c r="DU753">
        <v>1010</v>
      </c>
      <c r="DV753" t="s">
        <v>250</v>
      </c>
      <c r="DW753" t="s">
        <v>250</v>
      </c>
      <c r="DX753">
        <v>1</v>
      </c>
      <c r="DZ753" t="s">
        <v>3</v>
      </c>
      <c r="EA753" t="s">
        <v>3</v>
      </c>
      <c r="EB753" t="s">
        <v>3</v>
      </c>
      <c r="EC753" t="s">
        <v>3</v>
      </c>
      <c r="EE753">
        <v>126053677</v>
      </c>
      <c r="EF753">
        <v>206</v>
      </c>
      <c r="EG753" t="s">
        <v>704</v>
      </c>
      <c r="EH753">
        <v>0</v>
      </c>
      <c r="EI753" t="s">
        <v>3</v>
      </c>
      <c r="EJ753">
        <v>1</v>
      </c>
      <c r="EK753">
        <v>700003</v>
      </c>
      <c r="EL753" t="s">
        <v>704</v>
      </c>
      <c r="EM753" t="s">
        <v>705</v>
      </c>
      <c r="EO753" t="s">
        <v>3</v>
      </c>
      <c r="EQ753">
        <v>131072</v>
      </c>
      <c r="ER753">
        <v>118.89999999999999</v>
      </c>
      <c r="ES753">
        <v>118.89999999999999</v>
      </c>
      <c r="ET753">
        <v>0</v>
      </c>
      <c r="EU753">
        <v>0</v>
      </c>
      <c r="EV753">
        <v>0</v>
      </c>
      <c r="EW753">
        <v>0</v>
      </c>
      <c r="EX753">
        <v>0</v>
      </c>
      <c r="EY753">
        <v>0</v>
      </c>
      <c r="EZ753">
        <v>5</v>
      </c>
      <c r="FC753">
        <v>1</v>
      </c>
      <c r="FD753">
        <v>18</v>
      </c>
      <c r="FF753">
        <v>1210</v>
      </c>
      <c r="FQ753">
        <v>0</v>
      </c>
      <c r="FR753">
        <f t="shared" si="663"/>
        <v>0</v>
      </c>
      <c r="FS753">
        <v>0</v>
      </c>
      <c r="FX753">
        <v>0</v>
      </c>
      <c r="FY753">
        <v>0</v>
      </c>
      <c r="GA753" t="s">
        <v>726</v>
      </c>
      <c r="GD753">
        <v>0</v>
      </c>
      <c r="GF753">
        <v>1363981105</v>
      </c>
      <c r="GG753">
        <v>2</v>
      </c>
      <c r="GH753">
        <v>3</v>
      </c>
      <c r="GI753">
        <v>5</v>
      </c>
      <c r="GJ753">
        <v>0</v>
      </c>
      <c r="GK753">
        <f>ROUND(R753*(S12)/100,2)</f>
        <v>0</v>
      </c>
      <c r="GL753">
        <f t="shared" si="664"/>
        <v>0</v>
      </c>
      <c r="GM753">
        <f t="shared" si="665"/>
        <v>2056.9699999999998</v>
      </c>
      <c r="GN753">
        <f t="shared" si="666"/>
        <v>2056.9699999999998</v>
      </c>
      <c r="GO753">
        <f t="shared" si="667"/>
        <v>0</v>
      </c>
      <c r="GP753">
        <f t="shared" si="668"/>
        <v>0</v>
      </c>
      <c r="GR753">
        <v>1</v>
      </c>
      <c r="GS753">
        <v>1</v>
      </c>
      <c r="GT753">
        <v>0</v>
      </c>
      <c r="GU753" t="s">
        <v>3</v>
      </c>
      <c r="GV753">
        <f t="shared" si="669"/>
        <v>0</v>
      </c>
      <c r="GW753">
        <v>1</v>
      </c>
      <c r="GX753">
        <f t="shared" si="670"/>
        <v>0</v>
      </c>
      <c r="HA753">
        <v>0</v>
      </c>
      <c r="HB753">
        <v>0</v>
      </c>
      <c r="HC753">
        <f t="shared" si="671"/>
        <v>0</v>
      </c>
      <c r="HE753" t="s">
        <v>81</v>
      </c>
      <c r="HF753" t="s">
        <v>252</v>
      </c>
      <c r="HM753" t="s">
        <v>3</v>
      </c>
      <c r="HN753" t="s">
        <v>3</v>
      </c>
      <c r="HO753" t="s">
        <v>3</v>
      </c>
      <c r="HP753" t="s">
        <v>3</v>
      </c>
      <c r="HQ753" t="s">
        <v>3</v>
      </c>
      <c r="IK753">
        <v>0</v>
      </c>
    </row>
    <row r="754" spans="1:255" x14ac:dyDescent="0.2">
      <c r="A754" s="2">
        <v>17</v>
      </c>
      <c r="B754" s="2">
        <v>1</v>
      </c>
      <c r="C754" s="2"/>
      <c r="D754" s="2"/>
      <c r="E754" s="2" t="s">
        <v>397</v>
      </c>
      <c r="F754" s="2" t="s">
        <v>248</v>
      </c>
      <c r="G754" s="2" t="s">
        <v>727</v>
      </c>
      <c r="H754" s="2" t="s">
        <v>250</v>
      </c>
      <c r="I754" s="2">
        <v>2</v>
      </c>
      <c r="J754" s="2">
        <v>0</v>
      </c>
      <c r="K754" s="2">
        <v>2</v>
      </c>
      <c r="L754" s="2"/>
      <c r="M754" s="2"/>
      <c r="N754" s="2"/>
      <c r="O754" s="2">
        <f t="shared" si="648"/>
        <v>644.58000000000004</v>
      </c>
      <c r="P754" s="2">
        <f t="shared" si="678"/>
        <v>644.58000000000004</v>
      </c>
      <c r="Q754" s="2">
        <f t="shared" si="679"/>
        <v>0</v>
      </c>
      <c r="R754" s="2">
        <f t="shared" si="680"/>
        <v>0</v>
      </c>
      <c r="S754" s="2">
        <f t="shared" si="681"/>
        <v>0</v>
      </c>
      <c r="T754" s="2">
        <f t="shared" si="649"/>
        <v>0</v>
      </c>
      <c r="U754" s="2">
        <f t="shared" si="650"/>
        <v>0</v>
      </c>
      <c r="V754" s="2">
        <f t="shared" si="651"/>
        <v>0</v>
      </c>
      <c r="W754" s="2">
        <f t="shared" si="652"/>
        <v>0</v>
      </c>
      <c r="X754" s="2">
        <f t="shared" si="653"/>
        <v>0</v>
      </c>
      <c r="Y754" s="2">
        <f t="shared" si="654"/>
        <v>0</v>
      </c>
      <c r="Z754" s="2"/>
      <c r="AA754" s="2">
        <v>129761636</v>
      </c>
      <c r="AB754" s="2">
        <f t="shared" si="655"/>
        <v>322.29000000000002</v>
      </c>
      <c r="AC754" s="2">
        <f t="shared" si="672"/>
        <v>322.29000000000002</v>
      </c>
      <c r="AD754" s="2">
        <f t="shared" si="682"/>
        <v>0</v>
      </c>
      <c r="AE754" s="2">
        <f t="shared" si="673"/>
        <v>0</v>
      </c>
      <c r="AF754" s="2">
        <f t="shared" si="674"/>
        <v>0</v>
      </c>
      <c r="AG754" s="2">
        <f t="shared" si="657"/>
        <v>0</v>
      </c>
      <c r="AH754" s="2">
        <f t="shared" si="658"/>
        <v>0</v>
      </c>
      <c r="AI754" s="2">
        <f t="shared" si="659"/>
        <v>0</v>
      </c>
      <c r="AJ754" s="2">
        <f t="shared" si="660"/>
        <v>0</v>
      </c>
      <c r="AK754" s="2">
        <v>322.28999999999996</v>
      </c>
      <c r="AL754" s="2">
        <v>322.28999999999996</v>
      </c>
      <c r="AM754" s="2">
        <v>0</v>
      </c>
      <c r="AN754" s="2">
        <v>0</v>
      </c>
      <c r="AO754" s="2">
        <v>0</v>
      </c>
      <c r="AP754" s="2">
        <v>0</v>
      </c>
      <c r="AQ754" s="2">
        <v>0</v>
      </c>
      <c r="AR754" s="2">
        <v>0</v>
      </c>
      <c r="AS754" s="2">
        <v>0</v>
      </c>
      <c r="AT754" s="2">
        <v>0</v>
      </c>
      <c r="AU754" s="2">
        <v>0</v>
      </c>
      <c r="AV754" s="2">
        <v>1</v>
      </c>
      <c r="AW754" s="2">
        <v>1</v>
      </c>
      <c r="AX754" s="2"/>
      <c r="AY754" s="2"/>
      <c r="AZ754" s="2">
        <v>1</v>
      </c>
      <c r="BA754" s="2">
        <v>1</v>
      </c>
      <c r="BB754" s="2">
        <v>1</v>
      </c>
      <c r="BC754" s="2">
        <v>1</v>
      </c>
      <c r="BD754" s="2" t="s">
        <v>3</v>
      </c>
      <c r="BE754" s="2" t="s">
        <v>3</v>
      </c>
      <c r="BF754" s="2" t="s">
        <v>3</v>
      </c>
      <c r="BG754" s="2" t="s">
        <v>3</v>
      </c>
      <c r="BH754" s="2">
        <v>3</v>
      </c>
      <c r="BI754" s="2">
        <v>1</v>
      </c>
      <c r="BJ754" s="2" t="s">
        <v>3</v>
      </c>
      <c r="BK754" s="2"/>
      <c r="BL754" s="2"/>
      <c r="BM754" s="2">
        <v>700003</v>
      </c>
      <c r="BN754" s="2">
        <v>0</v>
      </c>
      <c r="BO754" s="2" t="s">
        <v>3</v>
      </c>
      <c r="BP754" s="2">
        <v>0</v>
      </c>
      <c r="BQ754" s="2">
        <v>206</v>
      </c>
      <c r="BR754" s="2">
        <v>0</v>
      </c>
      <c r="BS754" s="2">
        <v>1</v>
      </c>
      <c r="BT754" s="2">
        <v>1</v>
      </c>
      <c r="BU754" s="2">
        <v>1</v>
      </c>
      <c r="BV754" s="2">
        <v>1</v>
      </c>
      <c r="BW754" s="2">
        <v>1</v>
      </c>
      <c r="BX754" s="2">
        <v>1</v>
      </c>
      <c r="BY754" s="2" t="s">
        <v>3</v>
      </c>
      <c r="BZ754" s="2">
        <v>0</v>
      </c>
      <c r="CA754" s="2">
        <v>0</v>
      </c>
      <c r="CB754" s="2" t="s">
        <v>3</v>
      </c>
      <c r="CC754" s="2"/>
      <c r="CD754" s="2"/>
      <c r="CE754" s="2">
        <v>0</v>
      </c>
      <c r="CF754" s="2">
        <v>0</v>
      </c>
      <c r="CG754" s="2">
        <v>0</v>
      </c>
      <c r="CH754" s="2"/>
      <c r="CI754" s="2"/>
      <c r="CJ754" s="2"/>
      <c r="CK754" s="2"/>
      <c r="CL754" s="2"/>
      <c r="CM754" s="2">
        <v>0</v>
      </c>
      <c r="CN754" s="2" t="s">
        <v>3</v>
      </c>
      <c r="CO754" s="2">
        <v>0</v>
      </c>
      <c r="CP754" s="2">
        <f t="shared" si="661"/>
        <v>644.58000000000004</v>
      </c>
      <c r="CQ754" s="2">
        <f t="shared" si="683"/>
        <v>322.29000000000002</v>
      </c>
      <c r="CR754" s="2">
        <f t="shared" si="684"/>
        <v>0</v>
      </c>
      <c r="CS754" s="2">
        <f t="shared" si="685"/>
        <v>0</v>
      </c>
      <c r="CT754" s="2">
        <f t="shared" si="686"/>
        <v>0</v>
      </c>
      <c r="CU754" s="2">
        <f t="shared" si="675"/>
        <v>0</v>
      </c>
      <c r="CV754" s="2">
        <f t="shared" si="687"/>
        <v>0</v>
      </c>
      <c r="CW754" s="2">
        <f t="shared" si="676"/>
        <v>0</v>
      </c>
      <c r="CX754" s="2">
        <f t="shared" si="677"/>
        <v>0</v>
      </c>
      <c r="CY754" s="2">
        <f>0</f>
        <v>0</v>
      </c>
      <c r="CZ754" s="2">
        <f>0</f>
        <v>0</v>
      </c>
      <c r="DA754" s="2"/>
      <c r="DB754" s="2"/>
      <c r="DC754" s="2" t="s">
        <v>3</v>
      </c>
      <c r="DD754" s="2" t="s">
        <v>3</v>
      </c>
      <c r="DE754" s="2" t="s">
        <v>3</v>
      </c>
      <c r="DF754" s="2" t="s">
        <v>3</v>
      </c>
      <c r="DG754" s="2" t="s">
        <v>3</v>
      </c>
      <c r="DH754" s="2" t="s">
        <v>3</v>
      </c>
      <c r="DI754" s="2" t="s">
        <v>3</v>
      </c>
      <c r="DJ754" s="2" t="s">
        <v>3</v>
      </c>
      <c r="DK754" s="2" t="s">
        <v>3</v>
      </c>
      <c r="DL754" s="2" t="s">
        <v>3</v>
      </c>
      <c r="DM754" s="2" t="s">
        <v>3</v>
      </c>
      <c r="DN754" s="2">
        <v>0</v>
      </c>
      <c r="DO754" s="2">
        <v>0</v>
      </c>
      <c r="DP754" s="2">
        <v>1</v>
      </c>
      <c r="DQ754" s="2">
        <v>1</v>
      </c>
      <c r="DR754" s="2"/>
      <c r="DS754" s="2"/>
      <c r="DT754" s="2"/>
      <c r="DU754" s="2">
        <v>1010</v>
      </c>
      <c r="DV754" s="2" t="s">
        <v>250</v>
      </c>
      <c r="DW754" s="2" t="s">
        <v>250</v>
      </c>
      <c r="DX754" s="2">
        <v>1</v>
      </c>
      <c r="DY754" s="2"/>
      <c r="DZ754" s="2" t="s">
        <v>3</v>
      </c>
      <c r="EA754" s="2" t="s">
        <v>3</v>
      </c>
      <c r="EB754" s="2" t="s">
        <v>3</v>
      </c>
      <c r="EC754" s="2" t="s">
        <v>3</v>
      </c>
      <c r="ED754" s="2"/>
      <c r="EE754" s="2">
        <v>126053677</v>
      </c>
      <c r="EF754" s="2">
        <v>206</v>
      </c>
      <c r="EG754" s="2" t="s">
        <v>704</v>
      </c>
      <c r="EH754" s="2">
        <v>0</v>
      </c>
      <c r="EI754" s="2" t="s">
        <v>3</v>
      </c>
      <c r="EJ754" s="2">
        <v>1</v>
      </c>
      <c r="EK754" s="2">
        <v>700003</v>
      </c>
      <c r="EL754" s="2" t="s">
        <v>704</v>
      </c>
      <c r="EM754" s="2" t="s">
        <v>705</v>
      </c>
      <c r="EN754" s="2"/>
      <c r="EO754" s="2" t="s">
        <v>3</v>
      </c>
      <c r="EP754" s="2"/>
      <c r="EQ754" s="2">
        <v>131072</v>
      </c>
      <c r="ER754" s="2">
        <v>322.28999999999996</v>
      </c>
      <c r="ES754" s="2">
        <v>322.28999999999996</v>
      </c>
      <c r="ET754" s="2">
        <v>0</v>
      </c>
      <c r="EU754" s="2">
        <v>0</v>
      </c>
      <c r="EV754" s="2">
        <v>0</v>
      </c>
      <c r="EW754" s="2">
        <v>0</v>
      </c>
      <c r="EX754" s="2">
        <v>0</v>
      </c>
      <c r="EY754" s="2">
        <v>0</v>
      </c>
      <c r="EZ754" s="2"/>
      <c r="FA754" s="2"/>
      <c r="FB754" s="2"/>
      <c r="FC754" s="2"/>
      <c r="FD754" s="2"/>
      <c r="FE754" s="2"/>
      <c r="FF754" s="2"/>
      <c r="FG754" s="2"/>
      <c r="FH754" s="2"/>
      <c r="FI754" s="2"/>
      <c r="FJ754" s="2"/>
      <c r="FK754" s="2"/>
      <c r="FL754" s="2"/>
      <c r="FM754" s="2"/>
      <c r="FN754" s="2"/>
      <c r="FO754" s="2"/>
      <c r="FP754" s="2"/>
      <c r="FQ754" s="2">
        <v>0</v>
      </c>
      <c r="FR754" s="2">
        <f t="shared" si="663"/>
        <v>0</v>
      </c>
      <c r="FS754" s="2">
        <v>0</v>
      </c>
      <c r="FT754" s="2"/>
      <c r="FU754" s="2"/>
      <c r="FV754" s="2"/>
      <c r="FW754" s="2"/>
      <c r="FX754" s="2">
        <v>0</v>
      </c>
      <c r="FY754" s="2">
        <v>0</v>
      </c>
      <c r="FZ754" s="2"/>
      <c r="GA754" s="2" t="s">
        <v>3</v>
      </c>
      <c r="GB754" s="2"/>
      <c r="GC754" s="2"/>
      <c r="GD754" s="2">
        <v>0</v>
      </c>
      <c r="GE754" s="2"/>
      <c r="GF754" s="2">
        <v>201501738</v>
      </c>
      <c r="GG754" s="2">
        <v>2</v>
      </c>
      <c r="GH754" s="2">
        <v>0</v>
      </c>
      <c r="GI754" s="2">
        <v>-2</v>
      </c>
      <c r="GJ754" s="2">
        <v>0</v>
      </c>
      <c r="GK754" s="2">
        <f>ROUND(R754*(R12)/100,2)</f>
        <v>0</v>
      </c>
      <c r="GL754" s="2">
        <f t="shared" si="664"/>
        <v>0</v>
      </c>
      <c r="GM754" s="2">
        <f t="shared" si="665"/>
        <v>644.58000000000004</v>
      </c>
      <c r="GN754" s="2">
        <f t="shared" si="666"/>
        <v>644.58000000000004</v>
      </c>
      <c r="GO754" s="2">
        <f t="shared" si="667"/>
        <v>0</v>
      </c>
      <c r="GP754" s="2">
        <f t="shared" si="668"/>
        <v>0</v>
      </c>
      <c r="GQ754" s="2"/>
      <c r="GR754" s="2">
        <v>0</v>
      </c>
      <c r="GS754" s="2">
        <v>0</v>
      </c>
      <c r="GT754" s="2">
        <v>0</v>
      </c>
      <c r="GU754" s="2" t="s">
        <v>3</v>
      </c>
      <c r="GV754" s="2">
        <f t="shared" si="669"/>
        <v>0</v>
      </c>
      <c r="GW754" s="2">
        <v>1</v>
      </c>
      <c r="GX754" s="2">
        <f t="shared" si="670"/>
        <v>0</v>
      </c>
      <c r="GY754" s="2"/>
      <c r="GZ754" s="2"/>
      <c r="HA754" s="2">
        <v>0</v>
      </c>
      <c r="HB754" s="2">
        <v>0</v>
      </c>
      <c r="HC754" s="2">
        <f t="shared" si="671"/>
        <v>0</v>
      </c>
      <c r="HD754" s="2"/>
      <c r="HE754" s="2" t="s">
        <v>3</v>
      </c>
      <c r="HF754" s="2" t="s">
        <v>3</v>
      </c>
      <c r="HG754" s="2"/>
      <c r="HH754" s="2"/>
      <c r="HI754" s="2"/>
      <c r="HJ754" s="2"/>
      <c r="HK754" s="2"/>
      <c r="HL754" s="2"/>
      <c r="HM754" s="2" t="s">
        <v>3</v>
      </c>
      <c r="HN754" s="2" t="s">
        <v>3</v>
      </c>
      <c r="HO754" s="2" t="s">
        <v>3</v>
      </c>
      <c r="HP754" s="2" t="s">
        <v>3</v>
      </c>
      <c r="HQ754" s="2" t="s">
        <v>3</v>
      </c>
      <c r="HR754" s="2"/>
      <c r="HS754" s="2"/>
      <c r="HT754" s="2"/>
      <c r="HU754" s="2"/>
      <c r="HV754" s="2"/>
      <c r="HW754" s="2"/>
      <c r="HX754" s="2"/>
      <c r="HY754" s="2"/>
      <c r="HZ754" s="2"/>
      <c r="IA754" s="2"/>
      <c r="IB754" s="2"/>
      <c r="IC754" s="2"/>
      <c r="ID754" s="2"/>
      <c r="IE754" s="2"/>
      <c r="IF754" s="2"/>
      <c r="IG754" s="2"/>
      <c r="IH754" s="2"/>
      <c r="II754" s="2"/>
      <c r="IJ754" s="2"/>
      <c r="IK754" s="2">
        <v>0</v>
      </c>
      <c r="IL754" s="2"/>
      <c r="IM754" s="2"/>
      <c r="IN754" s="2"/>
      <c r="IO754" s="2"/>
      <c r="IP754" s="2"/>
      <c r="IQ754" s="2"/>
      <c r="IR754" s="2"/>
      <c r="IS754" s="2"/>
      <c r="IT754" s="2"/>
      <c r="IU754" s="2"/>
    </row>
    <row r="755" spans="1:255" x14ac:dyDescent="0.2">
      <c r="A755">
        <v>17</v>
      </c>
      <c r="B755">
        <v>1</v>
      </c>
      <c r="E755" t="s">
        <v>397</v>
      </c>
      <c r="F755" t="s">
        <v>248</v>
      </c>
      <c r="G755" t="s">
        <v>727</v>
      </c>
      <c r="H755" t="s">
        <v>250</v>
      </c>
      <c r="I755">
        <v>2</v>
      </c>
      <c r="J755">
        <v>0</v>
      </c>
      <c r="K755">
        <v>2</v>
      </c>
      <c r="O755">
        <f t="shared" si="648"/>
        <v>4623.9399999999996</v>
      </c>
      <c r="P755">
        <f t="shared" si="678"/>
        <v>4623.9399999999996</v>
      </c>
      <c r="Q755">
        <f t="shared" si="679"/>
        <v>0</v>
      </c>
      <c r="R755">
        <f t="shared" si="680"/>
        <v>0</v>
      </c>
      <c r="S755">
        <f t="shared" si="681"/>
        <v>0</v>
      </c>
      <c r="T755">
        <f t="shared" si="649"/>
        <v>0</v>
      </c>
      <c r="U755">
        <f t="shared" si="650"/>
        <v>0</v>
      </c>
      <c r="V755">
        <f t="shared" si="651"/>
        <v>0</v>
      </c>
      <c r="W755">
        <f t="shared" si="652"/>
        <v>0</v>
      </c>
      <c r="X755">
        <f t="shared" si="653"/>
        <v>0</v>
      </c>
      <c r="Y755">
        <f t="shared" si="654"/>
        <v>0</v>
      </c>
      <c r="AA755">
        <v>129761633</v>
      </c>
      <c r="AB755">
        <f t="shared" si="655"/>
        <v>267.27999999999997</v>
      </c>
      <c r="AC755">
        <f t="shared" si="672"/>
        <v>267.27999999999997</v>
      </c>
      <c r="AD755">
        <f t="shared" si="682"/>
        <v>0</v>
      </c>
      <c r="AE755">
        <f t="shared" si="673"/>
        <v>0</v>
      </c>
      <c r="AF755">
        <f t="shared" si="674"/>
        <v>0</v>
      </c>
      <c r="AG755">
        <f t="shared" si="657"/>
        <v>0</v>
      </c>
      <c r="AH755">
        <f t="shared" si="658"/>
        <v>0</v>
      </c>
      <c r="AI755">
        <f t="shared" si="659"/>
        <v>0</v>
      </c>
      <c r="AJ755">
        <f t="shared" si="660"/>
        <v>0</v>
      </c>
      <c r="AK755">
        <v>267.28000000000003</v>
      </c>
      <c r="AL755">
        <v>267.28000000000003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1</v>
      </c>
      <c r="AW755">
        <v>1</v>
      </c>
      <c r="AZ755">
        <v>1</v>
      </c>
      <c r="BA755">
        <v>1</v>
      </c>
      <c r="BB755">
        <v>1</v>
      </c>
      <c r="BC755">
        <v>8.65</v>
      </c>
      <c r="BD755" t="s">
        <v>3</v>
      </c>
      <c r="BE755" t="s">
        <v>3</v>
      </c>
      <c r="BF755" t="s">
        <v>3</v>
      </c>
      <c r="BG755" t="s">
        <v>3</v>
      </c>
      <c r="BH755">
        <v>3</v>
      </c>
      <c r="BI755">
        <v>1</v>
      </c>
      <c r="BJ755" t="s">
        <v>3</v>
      </c>
      <c r="BM755">
        <v>700003</v>
      </c>
      <c r="BN755">
        <v>0</v>
      </c>
      <c r="BO755" t="s">
        <v>3</v>
      </c>
      <c r="BP755">
        <v>0</v>
      </c>
      <c r="BQ755">
        <v>206</v>
      </c>
      <c r="BR755">
        <v>0</v>
      </c>
      <c r="BS755">
        <v>1</v>
      </c>
      <c r="BT755">
        <v>1</v>
      </c>
      <c r="BU755">
        <v>1</v>
      </c>
      <c r="BV755">
        <v>1</v>
      </c>
      <c r="BW755">
        <v>1</v>
      </c>
      <c r="BX755">
        <v>1</v>
      </c>
      <c r="BY755" t="s">
        <v>3</v>
      </c>
      <c r="BZ755">
        <v>0</v>
      </c>
      <c r="CA755">
        <v>0</v>
      </c>
      <c r="CB755" t="s">
        <v>3</v>
      </c>
      <c r="CE755">
        <v>0</v>
      </c>
      <c r="CF755">
        <v>0</v>
      </c>
      <c r="CG755">
        <v>0</v>
      </c>
      <c r="CM755">
        <v>0</v>
      </c>
      <c r="CN755" t="s">
        <v>3</v>
      </c>
      <c r="CO755">
        <v>0</v>
      </c>
      <c r="CP755">
        <f t="shared" si="661"/>
        <v>4623.9399999999996</v>
      </c>
      <c r="CQ755">
        <f t="shared" si="683"/>
        <v>2311.9719999999998</v>
      </c>
      <c r="CR755">
        <f t="shared" si="684"/>
        <v>0</v>
      </c>
      <c r="CS755">
        <f t="shared" si="685"/>
        <v>0</v>
      </c>
      <c r="CT755">
        <f t="shared" si="686"/>
        <v>0</v>
      </c>
      <c r="CU755">
        <f t="shared" si="675"/>
        <v>0</v>
      </c>
      <c r="CV755">
        <f t="shared" si="687"/>
        <v>0</v>
      </c>
      <c r="CW755">
        <f t="shared" si="676"/>
        <v>0</v>
      </c>
      <c r="CX755">
        <f t="shared" si="677"/>
        <v>0</v>
      </c>
      <c r="CY755">
        <f>S755*(BZ755/100)</f>
        <v>0</v>
      </c>
      <c r="CZ755">
        <f>S755*(CA755/100)</f>
        <v>0</v>
      </c>
      <c r="DC755" t="s">
        <v>3</v>
      </c>
      <c r="DD755" t="s">
        <v>3</v>
      </c>
      <c r="DE755" t="s">
        <v>3</v>
      </c>
      <c r="DF755" t="s">
        <v>3</v>
      </c>
      <c r="DG755" t="s">
        <v>3</v>
      </c>
      <c r="DH755" t="s">
        <v>3</v>
      </c>
      <c r="DI755" t="s">
        <v>3</v>
      </c>
      <c r="DJ755" t="s">
        <v>3</v>
      </c>
      <c r="DK755" t="s">
        <v>3</v>
      </c>
      <c r="DL755" t="s">
        <v>3</v>
      </c>
      <c r="DM755" t="s">
        <v>3</v>
      </c>
      <c r="DN755">
        <v>0</v>
      </c>
      <c r="DO755">
        <v>0</v>
      </c>
      <c r="DP755">
        <v>1</v>
      </c>
      <c r="DQ755">
        <v>1</v>
      </c>
      <c r="DU755">
        <v>1010</v>
      </c>
      <c r="DV755" t="s">
        <v>250</v>
      </c>
      <c r="DW755" t="s">
        <v>250</v>
      </c>
      <c r="DX755">
        <v>1</v>
      </c>
      <c r="DZ755" t="s">
        <v>3</v>
      </c>
      <c r="EA755" t="s">
        <v>3</v>
      </c>
      <c r="EB755" t="s">
        <v>3</v>
      </c>
      <c r="EC755" t="s">
        <v>3</v>
      </c>
      <c r="EE755">
        <v>126053677</v>
      </c>
      <c r="EF755">
        <v>206</v>
      </c>
      <c r="EG755" t="s">
        <v>704</v>
      </c>
      <c r="EH755">
        <v>0</v>
      </c>
      <c r="EI755" t="s">
        <v>3</v>
      </c>
      <c r="EJ755">
        <v>1</v>
      </c>
      <c r="EK755">
        <v>700003</v>
      </c>
      <c r="EL755" t="s">
        <v>704</v>
      </c>
      <c r="EM755" t="s">
        <v>705</v>
      </c>
      <c r="EO755" t="s">
        <v>3</v>
      </c>
      <c r="EQ755">
        <v>131072</v>
      </c>
      <c r="ER755">
        <v>267.28000000000003</v>
      </c>
      <c r="ES755">
        <v>267.28000000000003</v>
      </c>
      <c r="ET755">
        <v>0</v>
      </c>
      <c r="EU755">
        <v>0</v>
      </c>
      <c r="EV755">
        <v>0</v>
      </c>
      <c r="EW755">
        <v>0</v>
      </c>
      <c r="EX755">
        <v>0</v>
      </c>
      <c r="EY755">
        <v>0</v>
      </c>
      <c r="EZ755">
        <v>5</v>
      </c>
      <c r="FC755">
        <v>1</v>
      </c>
      <c r="FD755">
        <v>18</v>
      </c>
      <c r="FF755">
        <v>2720</v>
      </c>
      <c r="FQ755">
        <v>0</v>
      </c>
      <c r="FR755">
        <f t="shared" si="663"/>
        <v>0</v>
      </c>
      <c r="FS755">
        <v>0</v>
      </c>
      <c r="FX755">
        <v>0</v>
      </c>
      <c r="FY755">
        <v>0</v>
      </c>
      <c r="GA755" t="s">
        <v>728</v>
      </c>
      <c r="GD755">
        <v>0</v>
      </c>
      <c r="GF755">
        <v>201501738</v>
      </c>
      <c r="GG755">
        <v>2</v>
      </c>
      <c r="GH755">
        <v>3</v>
      </c>
      <c r="GI755">
        <v>5</v>
      </c>
      <c r="GJ755">
        <v>0</v>
      </c>
      <c r="GK755">
        <f>ROUND(R755*(S12)/100,2)</f>
        <v>0</v>
      </c>
      <c r="GL755">
        <f t="shared" si="664"/>
        <v>0</v>
      </c>
      <c r="GM755">
        <f t="shared" si="665"/>
        <v>4623.9399999999996</v>
      </c>
      <c r="GN755">
        <f t="shared" si="666"/>
        <v>4623.9399999999996</v>
      </c>
      <c r="GO755">
        <f t="shared" si="667"/>
        <v>0</v>
      </c>
      <c r="GP755">
        <f t="shared" si="668"/>
        <v>0</v>
      </c>
      <c r="GR755">
        <v>1</v>
      </c>
      <c r="GS755">
        <v>1</v>
      </c>
      <c r="GT755">
        <v>0</v>
      </c>
      <c r="GU755" t="s">
        <v>3</v>
      </c>
      <c r="GV755">
        <f t="shared" si="669"/>
        <v>0</v>
      </c>
      <c r="GW755">
        <v>1</v>
      </c>
      <c r="GX755">
        <f t="shared" si="670"/>
        <v>0</v>
      </c>
      <c r="HA755">
        <v>0</v>
      </c>
      <c r="HB755">
        <v>0</v>
      </c>
      <c r="HC755">
        <f t="shared" si="671"/>
        <v>0</v>
      </c>
      <c r="HE755" t="s">
        <v>81</v>
      </c>
      <c r="HF755" t="s">
        <v>252</v>
      </c>
      <c r="HM755" t="s">
        <v>3</v>
      </c>
      <c r="HN755" t="s">
        <v>3</v>
      </c>
      <c r="HO755" t="s">
        <v>3</v>
      </c>
      <c r="HP755" t="s">
        <v>3</v>
      </c>
      <c r="HQ755" t="s">
        <v>3</v>
      </c>
      <c r="IK755">
        <v>0</v>
      </c>
    </row>
    <row r="756" spans="1:255" x14ac:dyDescent="0.2">
      <c r="A756" s="2">
        <v>17</v>
      </c>
      <c r="B756" s="2">
        <v>1</v>
      </c>
      <c r="C756" s="2"/>
      <c r="D756" s="2"/>
      <c r="E756" s="2" t="s">
        <v>419</v>
      </c>
      <c r="F756" s="2" t="s">
        <v>709</v>
      </c>
      <c r="G756" s="2" t="s">
        <v>710</v>
      </c>
      <c r="H756" s="2" t="s">
        <v>250</v>
      </c>
      <c r="I756" s="2">
        <v>1</v>
      </c>
      <c r="J756" s="2">
        <v>0</v>
      </c>
      <c r="K756" s="2">
        <v>1</v>
      </c>
      <c r="L756" s="2"/>
      <c r="M756" s="2"/>
      <c r="N756" s="2"/>
      <c r="O756" s="2">
        <f t="shared" si="648"/>
        <v>876.18</v>
      </c>
      <c r="P756" s="2">
        <f>ROUND((ROUND((AC756*I756),2)*BC756),2)</f>
        <v>876.18</v>
      </c>
      <c r="Q756" s="2">
        <f>(ROUND((ROUND(((ET756)*AV756*I756),2)*BB756),2)+ROUND((ROUND(((AE756-(EU756))*AV756*I756),2)*BS756),2))</f>
        <v>0</v>
      </c>
      <c r="R756" s="2">
        <f>ROUND((ROUND((AE756*AV756*I756),2)*BS756),2)</f>
        <v>0</v>
      </c>
      <c r="S756" s="2">
        <f>ROUND((ROUND((AF756*AV756*I756),2)*BA756),2)</f>
        <v>0</v>
      </c>
      <c r="T756" s="2">
        <f t="shared" si="649"/>
        <v>0</v>
      </c>
      <c r="U756" s="2">
        <f t="shared" si="650"/>
        <v>0</v>
      </c>
      <c r="V756" s="2">
        <f t="shared" si="651"/>
        <v>0</v>
      </c>
      <c r="W756" s="2">
        <f t="shared" si="652"/>
        <v>0</v>
      </c>
      <c r="X756" s="2">
        <f t="shared" si="653"/>
        <v>0</v>
      </c>
      <c r="Y756" s="2">
        <f t="shared" si="654"/>
        <v>0</v>
      </c>
      <c r="Z756" s="2"/>
      <c r="AA756" s="2">
        <v>129761636</v>
      </c>
      <c r="AB756" s="2">
        <f t="shared" si="655"/>
        <v>876.18</v>
      </c>
      <c r="AC756" s="2">
        <f t="shared" si="672"/>
        <v>876.18</v>
      </c>
      <c r="AD756" s="2">
        <f>ROUND((((ET756)-(EU756))+AE756),6)</f>
        <v>0</v>
      </c>
      <c r="AE756" s="2">
        <f t="shared" si="673"/>
        <v>0</v>
      </c>
      <c r="AF756" s="2">
        <f t="shared" si="674"/>
        <v>0</v>
      </c>
      <c r="AG756" s="2">
        <f t="shared" si="657"/>
        <v>0</v>
      </c>
      <c r="AH756" s="2">
        <f t="shared" si="658"/>
        <v>0</v>
      </c>
      <c r="AI756" s="2">
        <f t="shared" si="659"/>
        <v>0</v>
      </c>
      <c r="AJ756" s="2">
        <f t="shared" si="660"/>
        <v>0</v>
      </c>
      <c r="AK756" s="2">
        <v>876.18</v>
      </c>
      <c r="AL756" s="2">
        <v>876.18</v>
      </c>
      <c r="AM756" s="2">
        <v>0</v>
      </c>
      <c r="AN756" s="2">
        <v>0</v>
      </c>
      <c r="AO756" s="2">
        <v>0</v>
      </c>
      <c r="AP756" s="2">
        <v>0</v>
      </c>
      <c r="AQ756" s="2">
        <v>0</v>
      </c>
      <c r="AR756" s="2">
        <v>0</v>
      </c>
      <c r="AS756" s="2">
        <v>0</v>
      </c>
      <c r="AT756" s="2">
        <v>0</v>
      </c>
      <c r="AU756" s="2">
        <v>0</v>
      </c>
      <c r="AV756" s="2">
        <v>1</v>
      </c>
      <c r="AW756" s="2">
        <v>1</v>
      </c>
      <c r="AX756" s="2"/>
      <c r="AY756" s="2"/>
      <c r="AZ756" s="2">
        <v>1</v>
      </c>
      <c r="BA756" s="2">
        <v>1</v>
      </c>
      <c r="BB756" s="2">
        <v>1</v>
      </c>
      <c r="BC756" s="2">
        <v>1</v>
      </c>
      <c r="BD756" s="2" t="s">
        <v>3</v>
      </c>
      <c r="BE756" s="2" t="s">
        <v>3</v>
      </c>
      <c r="BF756" s="2" t="s">
        <v>3</v>
      </c>
      <c r="BG756" s="2" t="s">
        <v>3</v>
      </c>
      <c r="BH756" s="2">
        <v>3</v>
      </c>
      <c r="BI756" s="2">
        <v>3</v>
      </c>
      <c r="BJ756" s="2" t="s">
        <v>711</v>
      </c>
      <c r="BK756" s="2"/>
      <c r="BL756" s="2"/>
      <c r="BM756" s="2">
        <v>746</v>
      </c>
      <c r="BN756" s="2">
        <v>0</v>
      </c>
      <c r="BO756" s="2" t="s">
        <v>3</v>
      </c>
      <c r="BP756" s="2">
        <v>0</v>
      </c>
      <c r="BQ756" s="2">
        <v>130</v>
      </c>
      <c r="BR756" s="2">
        <v>0</v>
      </c>
      <c r="BS756" s="2">
        <v>1</v>
      </c>
      <c r="BT756" s="2">
        <v>1</v>
      </c>
      <c r="BU756" s="2">
        <v>1</v>
      </c>
      <c r="BV756" s="2">
        <v>1</v>
      </c>
      <c r="BW756" s="2">
        <v>1</v>
      </c>
      <c r="BX756" s="2">
        <v>1</v>
      </c>
      <c r="BY756" s="2" t="s">
        <v>3</v>
      </c>
      <c r="BZ756" s="2">
        <v>0</v>
      </c>
      <c r="CA756" s="2">
        <v>0</v>
      </c>
      <c r="CB756" s="2" t="s">
        <v>3</v>
      </c>
      <c r="CC756" s="2"/>
      <c r="CD756" s="2"/>
      <c r="CE756" s="2">
        <v>30</v>
      </c>
      <c r="CF756" s="2">
        <v>0</v>
      </c>
      <c r="CG756" s="2">
        <v>0</v>
      </c>
      <c r="CH756" s="2"/>
      <c r="CI756" s="2"/>
      <c r="CJ756" s="2"/>
      <c r="CK756" s="2"/>
      <c r="CL756" s="2"/>
      <c r="CM756" s="2">
        <v>0</v>
      </c>
      <c r="CN756" s="2" t="s">
        <v>3</v>
      </c>
      <c r="CO756" s="2">
        <v>0</v>
      </c>
      <c r="CP756" s="2">
        <f t="shared" si="661"/>
        <v>876.18</v>
      </c>
      <c r="CQ756" s="2">
        <f>ROUND((ROUND((AC756*1),2)*BC756),2)</f>
        <v>876.18</v>
      </c>
      <c r="CR756" s="2">
        <f>(ROUND((ROUND(((ET756)*AV756*1),2)*BB756),2)+ROUND((ROUND(((AE756-(EU756))*AV756*1),2)*BS756),2))</f>
        <v>0</v>
      </c>
      <c r="CS756" s="2">
        <f>ROUND((ROUND((AE756*AV756*1),2)*BS756),2)</f>
        <v>0</v>
      </c>
      <c r="CT756" s="2">
        <f>ROUND((ROUND((AF756*AV756*1),2)*BA756),2)</f>
        <v>0</v>
      </c>
      <c r="CU756" s="2">
        <f t="shared" si="675"/>
        <v>0</v>
      </c>
      <c r="CV756" s="2">
        <f>(AH756*AV756)</f>
        <v>0</v>
      </c>
      <c r="CW756" s="2">
        <f t="shared" si="676"/>
        <v>0</v>
      </c>
      <c r="CX756" s="2">
        <f t="shared" si="677"/>
        <v>0</v>
      </c>
      <c r="CY756" s="2">
        <f>((S756*BZ756)/100)</f>
        <v>0</v>
      </c>
      <c r="CZ756" s="2">
        <f>((S756*CA756)/100)</f>
        <v>0</v>
      </c>
      <c r="DA756" s="2"/>
      <c r="DB756" s="2"/>
      <c r="DC756" s="2" t="s">
        <v>3</v>
      </c>
      <c r="DD756" s="2" t="s">
        <v>3</v>
      </c>
      <c r="DE756" s="2" t="s">
        <v>3</v>
      </c>
      <c r="DF756" s="2" t="s">
        <v>3</v>
      </c>
      <c r="DG756" s="2" t="s">
        <v>3</v>
      </c>
      <c r="DH756" s="2" t="s">
        <v>3</v>
      </c>
      <c r="DI756" s="2" t="s">
        <v>3</v>
      </c>
      <c r="DJ756" s="2" t="s">
        <v>3</v>
      </c>
      <c r="DK756" s="2" t="s">
        <v>3</v>
      </c>
      <c r="DL756" s="2" t="s">
        <v>3</v>
      </c>
      <c r="DM756" s="2" t="s">
        <v>3</v>
      </c>
      <c r="DN756" s="2">
        <v>0</v>
      </c>
      <c r="DO756" s="2">
        <v>0</v>
      </c>
      <c r="DP756" s="2">
        <v>1</v>
      </c>
      <c r="DQ756" s="2">
        <v>1</v>
      </c>
      <c r="DR756" s="2"/>
      <c r="DS756" s="2"/>
      <c r="DT756" s="2"/>
      <c r="DU756" s="2">
        <v>1010</v>
      </c>
      <c r="DV756" s="2" t="s">
        <v>250</v>
      </c>
      <c r="DW756" s="2" t="s">
        <v>250</v>
      </c>
      <c r="DX756" s="2">
        <v>1</v>
      </c>
      <c r="DY756" s="2"/>
      <c r="DZ756" s="2" t="s">
        <v>3</v>
      </c>
      <c r="EA756" s="2" t="s">
        <v>3</v>
      </c>
      <c r="EB756" s="2" t="s">
        <v>3</v>
      </c>
      <c r="EC756" s="2" t="s">
        <v>3</v>
      </c>
      <c r="ED756" s="2"/>
      <c r="EE756" s="2">
        <v>126052207</v>
      </c>
      <c r="EF756" s="2">
        <v>130</v>
      </c>
      <c r="EG756" s="2" t="s">
        <v>712</v>
      </c>
      <c r="EH756" s="2">
        <v>0</v>
      </c>
      <c r="EI756" s="2" t="s">
        <v>3</v>
      </c>
      <c r="EJ756" s="2">
        <v>3</v>
      </c>
      <c r="EK756" s="2">
        <v>746</v>
      </c>
      <c r="EL756" s="2" t="s">
        <v>713</v>
      </c>
      <c r="EM756" s="2" t="s">
        <v>714</v>
      </c>
      <c r="EN756" s="2"/>
      <c r="EO756" s="2" t="s">
        <v>3</v>
      </c>
      <c r="EP756" s="2"/>
      <c r="EQ756" s="2">
        <v>131072</v>
      </c>
      <c r="ER756" s="2">
        <v>876.18</v>
      </c>
      <c r="ES756" s="2">
        <v>876.18</v>
      </c>
      <c r="ET756" s="2">
        <v>0</v>
      </c>
      <c r="EU756" s="2">
        <v>0</v>
      </c>
      <c r="EV756" s="2">
        <v>0</v>
      </c>
      <c r="EW756" s="2">
        <v>0</v>
      </c>
      <c r="EX756" s="2">
        <v>0</v>
      </c>
      <c r="EY756" s="2">
        <v>0</v>
      </c>
      <c r="EZ756" s="2"/>
      <c r="FA756" s="2"/>
      <c r="FB756" s="2"/>
      <c r="FC756" s="2"/>
      <c r="FD756" s="2"/>
      <c r="FE756" s="2"/>
      <c r="FF756" s="2"/>
      <c r="FG756" s="2"/>
      <c r="FH756" s="2"/>
      <c r="FI756" s="2"/>
      <c r="FJ756" s="2"/>
      <c r="FK756" s="2"/>
      <c r="FL756" s="2"/>
      <c r="FM756" s="2"/>
      <c r="FN756" s="2"/>
      <c r="FO756" s="2"/>
      <c r="FP756" s="2"/>
      <c r="FQ756" s="2">
        <v>0</v>
      </c>
      <c r="FR756" s="2">
        <f t="shared" si="663"/>
        <v>876.18</v>
      </c>
      <c r="FS756" s="2">
        <v>0</v>
      </c>
      <c r="FT756" s="2"/>
      <c r="FU756" s="2"/>
      <c r="FV756" s="2"/>
      <c r="FW756" s="2"/>
      <c r="FX756" s="2">
        <v>0</v>
      </c>
      <c r="FY756" s="2">
        <v>0</v>
      </c>
      <c r="FZ756" s="2"/>
      <c r="GA756" s="2" t="s">
        <v>3</v>
      </c>
      <c r="GB756" s="2"/>
      <c r="GC756" s="2"/>
      <c r="GD756" s="2">
        <v>0</v>
      </c>
      <c r="GE756" s="2"/>
      <c r="GF756" s="2">
        <v>34364315</v>
      </c>
      <c r="GG756" s="2">
        <v>2</v>
      </c>
      <c r="GH756" s="2">
        <v>1</v>
      </c>
      <c r="GI756" s="2">
        <v>-2</v>
      </c>
      <c r="GJ756" s="2">
        <v>0</v>
      </c>
      <c r="GK756" s="2">
        <f>ROUND(R756*(R12)/100,2)</f>
        <v>0</v>
      </c>
      <c r="GL756" s="2">
        <f t="shared" si="664"/>
        <v>0</v>
      </c>
      <c r="GM756" s="2">
        <f t="shared" si="665"/>
        <v>876.18</v>
      </c>
      <c r="GN756" s="2">
        <f t="shared" si="666"/>
        <v>0</v>
      </c>
      <c r="GO756" s="2">
        <f t="shared" si="667"/>
        <v>0</v>
      </c>
      <c r="GP756" s="2">
        <f t="shared" si="668"/>
        <v>0</v>
      </c>
      <c r="GQ756" s="2"/>
      <c r="GR756" s="2">
        <v>0</v>
      </c>
      <c r="GS756" s="2">
        <v>0</v>
      </c>
      <c r="GT756" s="2">
        <v>0</v>
      </c>
      <c r="GU756" s="2" t="s">
        <v>3</v>
      </c>
      <c r="GV756" s="2">
        <f t="shared" si="669"/>
        <v>0</v>
      </c>
      <c r="GW756" s="2">
        <v>1</v>
      </c>
      <c r="GX756" s="2">
        <f t="shared" si="670"/>
        <v>0</v>
      </c>
      <c r="GY756" s="2"/>
      <c r="GZ756" s="2"/>
      <c r="HA756" s="2">
        <v>0</v>
      </c>
      <c r="HB756" s="2">
        <v>0</v>
      </c>
      <c r="HC756" s="2">
        <f t="shared" si="671"/>
        <v>0</v>
      </c>
      <c r="HD756" s="2"/>
      <c r="HE756" s="2" t="s">
        <v>3</v>
      </c>
      <c r="HF756" s="2" t="s">
        <v>3</v>
      </c>
      <c r="HG756" s="2"/>
      <c r="HH756" s="2"/>
      <c r="HI756" s="2"/>
      <c r="HJ756" s="2"/>
      <c r="HK756" s="2"/>
      <c r="HL756" s="2"/>
      <c r="HM756" s="2" t="s">
        <v>3</v>
      </c>
      <c r="HN756" s="2" t="s">
        <v>3</v>
      </c>
      <c r="HO756" s="2" t="s">
        <v>3</v>
      </c>
      <c r="HP756" s="2" t="s">
        <v>3</v>
      </c>
      <c r="HQ756" s="2" t="s">
        <v>3</v>
      </c>
      <c r="HR756" s="2"/>
      <c r="HS756" s="2"/>
      <c r="HT756" s="2"/>
      <c r="HU756" s="2"/>
      <c r="HV756" s="2"/>
      <c r="HW756" s="2"/>
      <c r="HX756" s="2"/>
      <c r="HY756" s="2"/>
      <c r="HZ756" s="2"/>
      <c r="IA756" s="2"/>
      <c r="IB756" s="2"/>
      <c r="IC756" s="2"/>
      <c r="ID756" s="2"/>
      <c r="IE756" s="2"/>
      <c r="IF756" s="2"/>
      <c r="IG756" s="2"/>
      <c r="IH756" s="2"/>
      <c r="II756" s="2"/>
      <c r="IJ756" s="2"/>
      <c r="IK756" s="2">
        <v>0</v>
      </c>
      <c r="IL756" s="2"/>
      <c r="IM756" s="2"/>
      <c r="IN756" s="2"/>
      <c r="IO756" s="2"/>
      <c r="IP756" s="2"/>
      <c r="IQ756" s="2"/>
      <c r="IR756" s="2"/>
      <c r="IS756" s="2"/>
      <c r="IT756" s="2"/>
      <c r="IU756" s="2"/>
    </row>
    <row r="757" spans="1:255" x14ac:dyDescent="0.2">
      <c r="A757">
        <v>17</v>
      </c>
      <c r="B757">
        <v>1</v>
      </c>
      <c r="E757" t="s">
        <v>419</v>
      </c>
      <c r="F757" t="s">
        <v>709</v>
      </c>
      <c r="G757" t="s">
        <v>710</v>
      </c>
      <c r="H757" t="s">
        <v>250</v>
      </c>
      <c r="I757">
        <v>1</v>
      </c>
      <c r="J757">
        <v>0</v>
      </c>
      <c r="K757">
        <v>1</v>
      </c>
      <c r="O757">
        <f t="shared" si="648"/>
        <v>7105.82</v>
      </c>
      <c r="P757">
        <f>ROUND((ROUND((AC757*I757),2)*BC757),2)</f>
        <v>7105.82</v>
      </c>
      <c r="Q757">
        <f>(ROUND((ROUND(((ET757)*AV757*I757),2)*BB757),2)+ROUND((ROUND(((AE757-(EU757))*AV757*I757),2)*BS757),2))</f>
        <v>0</v>
      </c>
      <c r="R757">
        <f>ROUND((ROUND((AE757*AV757*I757),2)*BS757),2)</f>
        <v>0</v>
      </c>
      <c r="S757">
        <f>ROUND((ROUND((AF757*AV757*I757),2)*BA757),2)</f>
        <v>0</v>
      </c>
      <c r="T757">
        <f t="shared" si="649"/>
        <v>0</v>
      </c>
      <c r="U757">
        <f t="shared" si="650"/>
        <v>0</v>
      </c>
      <c r="V757">
        <f t="shared" si="651"/>
        <v>0</v>
      </c>
      <c r="W757">
        <f t="shared" si="652"/>
        <v>0</v>
      </c>
      <c r="X757">
        <f t="shared" si="653"/>
        <v>0</v>
      </c>
      <c r="Y757">
        <f t="shared" si="654"/>
        <v>0</v>
      </c>
      <c r="AA757">
        <v>129761633</v>
      </c>
      <c r="AB757">
        <f t="shared" si="655"/>
        <v>876.18</v>
      </c>
      <c r="AC757">
        <f t="shared" si="672"/>
        <v>876.18</v>
      </c>
      <c r="AD757">
        <f>ROUND((((ET757)-(EU757))+AE757),6)</f>
        <v>0</v>
      </c>
      <c r="AE757">
        <f t="shared" si="673"/>
        <v>0</v>
      </c>
      <c r="AF757">
        <f t="shared" si="674"/>
        <v>0</v>
      </c>
      <c r="AG757">
        <f t="shared" si="657"/>
        <v>0</v>
      </c>
      <c r="AH757">
        <f t="shared" si="658"/>
        <v>0</v>
      </c>
      <c r="AI757">
        <f t="shared" si="659"/>
        <v>0</v>
      </c>
      <c r="AJ757">
        <f t="shared" si="660"/>
        <v>0</v>
      </c>
      <c r="AK757">
        <v>876.18</v>
      </c>
      <c r="AL757">
        <v>876.18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1</v>
      </c>
      <c r="AW757">
        <v>1</v>
      </c>
      <c r="AZ757">
        <v>1</v>
      </c>
      <c r="BA757">
        <v>1</v>
      </c>
      <c r="BB757">
        <v>1</v>
      </c>
      <c r="BC757">
        <v>8.11</v>
      </c>
      <c r="BD757" t="s">
        <v>3</v>
      </c>
      <c r="BE757" t="s">
        <v>3</v>
      </c>
      <c r="BF757" t="s">
        <v>3</v>
      </c>
      <c r="BG757" t="s">
        <v>3</v>
      </c>
      <c r="BH757">
        <v>3</v>
      </c>
      <c r="BI757">
        <v>3</v>
      </c>
      <c r="BJ757" t="s">
        <v>711</v>
      </c>
      <c r="BM757">
        <v>746</v>
      </c>
      <c r="BN757">
        <v>0</v>
      </c>
      <c r="BO757" t="s">
        <v>3</v>
      </c>
      <c r="BP757">
        <v>0</v>
      </c>
      <c r="BQ757">
        <v>130</v>
      </c>
      <c r="BR757">
        <v>0</v>
      </c>
      <c r="BS757">
        <v>1</v>
      </c>
      <c r="BT757">
        <v>1</v>
      </c>
      <c r="BU757">
        <v>1</v>
      </c>
      <c r="BV757">
        <v>1</v>
      </c>
      <c r="BW757">
        <v>1</v>
      </c>
      <c r="BX757">
        <v>1</v>
      </c>
      <c r="BY757" t="s">
        <v>3</v>
      </c>
      <c r="BZ757">
        <v>0</v>
      </c>
      <c r="CA757">
        <v>0</v>
      </c>
      <c r="CB757" t="s">
        <v>3</v>
      </c>
      <c r="CE757">
        <v>30</v>
      </c>
      <c r="CF757">
        <v>0</v>
      </c>
      <c r="CG757">
        <v>0</v>
      </c>
      <c r="CM757">
        <v>0</v>
      </c>
      <c r="CN757" t="s">
        <v>3</v>
      </c>
      <c r="CO757">
        <v>0</v>
      </c>
      <c r="CP757">
        <f t="shared" si="661"/>
        <v>7105.82</v>
      </c>
      <c r="CQ757">
        <f>ROUND((ROUND((AC757*1),2)*BC757),2)</f>
        <v>7105.82</v>
      </c>
      <c r="CR757">
        <f>(ROUND((ROUND(((ET757)*AV757*1),2)*BB757),2)+ROUND((ROUND(((AE757-(EU757))*AV757*1),2)*BS757),2))</f>
        <v>0</v>
      </c>
      <c r="CS757">
        <f>ROUND((ROUND((AE757*AV757*1),2)*BS757),2)</f>
        <v>0</v>
      </c>
      <c r="CT757">
        <f>ROUND((ROUND((AF757*AV757*1),2)*BA757),2)</f>
        <v>0</v>
      </c>
      <c r="CU757">
        <f t="shared" si="675"/>
        <v>0</v>
      </c>
      <c r="CV757">
        <f>(AH757*AV757)</f>
        <v>0</v>
      </c>
      <c r="CW757">
        <f t="shared" si="676"/>
        <v>0</v>
      </c>
      <c r="CX757">
        <f t="shared" si="677"/>
        <v>0</v>
      </c>
      <c r="CY757">
        <f>S757*(BZ757/100)</f>
        <v>0</v>
      </c>
      <c r="CZ757">
        <f>S757*(CA757/100)</f>
        <v>0</v>
      </c>
      <c r="DC757" t="s">
        <v>3</v>
      </c>
      <c r="DD757" t="s">
        <v>3</v>
      </c>
      <c r="DE757" t="s">
        <v>3</v>
      </c>
      <c r="DF757" t="s">
        <v>3</v>
      </c>
      <c r="DG757" t="s">
        <v>3</v>
      </c>
      <c r="DH757" t="s">
        <v>3</v>
      </c>
      <c r="DI757" t="s">
        <v>3</v>
      </c>
      <c r="DJ757" t="s">
        <v>3</v>
      </c>
      <c r="DK757" t="s">
        <v>3</v>
      </c>
      <c r="DL757" t="s">
        <v>3</v>
      </c>
      <c r="DM757" t="s">
        <v>3</v>
      </c>
      <c r="DN757">
        <v>0</v>
      </c>
      <c r="DO757">
        <v>0</v>
      </c>
      <c r="DP757">
        <v>1</v>
      </c>
      <c r="DQ757">
        <v>1</v>
      </c>
      <c r="DU757">
        <v>1010</v>
      </c>
      <c r="DV757" t="s">
        <v>250</v>
      </c>
      <c r="DW757" t="s">
        <v>250</v>
      </c>
      <c r="DX757">
        <v>1</v>
      </c>
      <c r="DZ757" t="s">
        <v>3</v>
      </c>
      <c r="EA757" t="s">
        <v>3</v>
      </c>
      <c r="EB757" t="s">
        <v>3</v>
      </c>
      <c r="EC757" t="s">
        <v>3</v>
      </c>
      <c r="EE757">
        <v>126052207</v>
      </c>
      <c r="EF757">
        <v>130</v>
      </c>
      <c r="EG757" t="s">
        <v>712</v>
      </c>
      <c r="EH757">
        <v>0</v>
      </c>
      <c r="EI757" t="s">
        <v>3</v>
      </c>
      <c r="EJ757">
        <v>3</v>
      </c>
      <c r="EK757">
        <v>746</v>
      </c>
      <c r="EL757" t="s">
        <v>713</v>
      </c>
      <c r="EM757" t="s">
        <v>714</v>
      </c>
      <c r="EO757" t="s">
        <v>3</v>
      </c>
      <c r="EQ757">
        <v>131072</v>
      </c>
      <c r="ER757">
        <v>876.18</v>
      </c>
      <c r="ES757">
        <v>876.18</v>
      </c>
      <c r="ET757">
        <v>0</v>
      </c>
      <c r="EU757">
        <v>0</v>
      </c>
      <c r="EV757">
        <v>0</v>
      </c>
      <c r="EW757">
        <v>0</v>
      </c>
      <c r="EX757">
        <v>0</v>
      </c>
      <c r="EY757">
        <v>0</v>
      </c>
      <c r="FQ757">
        <v>0</v>
      </c>
      <c r="FR757">
        <f t="shared" si="663"/>
        <v>7105.82</v>
      </c>
      <c r="FS757">
        <v>0</v>
      </c>
      <c r="FX757">
        <v>0</v>
      </c>
      <c r="FY757">
        <v>0</v>
      </c>
      <c r="GA757" t="s">
        <v>3</v>
      </c>
      <c r="GD757">
        <v>0</v>
      </c>
      <c r="GF757">
        <v>34364315</v>
      </c>
      <c r="GG757">
        <v>2</v>
      </c>
      <c r="GH757">
        <v>1</v>
      </c>
      <c r="GI757">
        <v>2</v>
      </c>
      <c r="GJ757">
        <v>0</v>
      </c>
      <c r="GK757">
        <f>ROUND(R757*(S12)/100,2)</f>
        <v>0</v>
      </c>
      <c r="GL757">
        <f t="shared" si="664"/>
        <v>0</v>
      </c>
      <c r="GM757">
        <f t="shared" si="665"/>
        <v>7105.82</v>
      </c>
      <c r="GN757">
        <f t="shared" si="666"/>
        <v>0</v>
      </c>
      <c r="GO757">
        <f t="shared" si="667"/>
        <v>0</v>
      </c>
      <c r="GP757">
        <f t="shared" si="668"/>
        <v>0</v>
      </c>
      <c r="GR757">
        <v>0</v>
      </c>
      <c r="GS757">
        <v>3</v>
      </c>
      <c r="GT757">
        <v>0</v>
      </c>
      <c r="GU757" t="s">
        <v>3</v>
      </c>
      <c r="GV757">
        <f t="shared" si="669"/>
        <v>0</v>
      </c>
      <c r="GW757">
        <v>1</v>
      </c>
      <c r="GX757">
        <f t="shared" si="670"/>
        <v>0</v>
      </c>
      <c r="HA757">
        <v>0</v>
      </c>
      <c r="HB757">
        <v>0</v>
      </c>
      <c r="HC757">
        <f t="shared" si="671"/>
        <v>0</v>
      </c>
      <c r="HE757" t="s">
        <v>3</v>
      </c>
      <c r="HF757" t="s">
        <v>3</v>
      </c>
      <c r="HM757" t="s">
        <v>3</v>
      </c>
      <c r="HN757" t="s">
        <v>3</v>
      </c>
      <c r="HO757" t="s">
        <v>3</v>
      </c>
      <c r="HP757" t="s">
        <v>3</v>
      </c>
      <c r="HQ757" t="s">
        <v>3</v>
      </c>
      <c r="IK757">
        <v>0</v>
      </c>
    </row>
    <row r="759" spans="1:255" x14ac:dyDescent="0.2">
      <c r="A759" s="3">
        <v>51</v>
      </c>
      <c r="B759" s="3">
        <f>B732</f>
        <v>1</v>
      </c>
      <c r="C759" s="3">
        <f>A732</f>
        <v>4</v>
      </c>
      <c r="D759" s="3">
        <f>ROW(A732)</f>
        <v>732</v>
      </c>
      <c r="E759" s="3"/>
      <c r="F759" s="3" t="str">
        <f>IF(F732&lt;&gt;"",F732,"")</f>
        <v>Новый раздел</v>
      </c>
      <c r="G759" s="3" t="str">
        <f>IF(G732&lt;&gt;"",G732,"")</f>
        <v>Оборудование</v>
      </c>
      <c r="H759" s="3">
        <v>0</v>
      </c>
      <c r="I759" s="3"/>
      <c r="J759" s="3"/>
      <c r="K759" s="3"/>
      <c r="L759" s="3"/>
      <c r="M759" s="3"/>
      <c r="N759" s="3"/>
      <c r="O759" s="3">
        <f t="shared" ref="O759:T759" si="688">ROUND(AB759,2)</f>
        <v>13060.83</v>
      </c>
      <c r="P759" s="3">
        <f t="shared" si="688"/>
        <v>13060.83</v>
      </c>
      <c r="Q759" s="3">
        <f t="shared" si="688"/>
        <v>0</v>
      </c>
      <c r="R759" s="3">
        <f t="shared" si="688"/>
        <v>0</v>
      </c>
      <c r="S759" s="3">
        <f t="shared" si="688"/>
        <v>0</v>
      </c>
      <c r="T759" s="3">
        <f t="shared" si="688"/>
        <v>0</v>
      </c>
      <c r="U759" s="3">
        <f>AH759</f>
        <v>0</v>
      </c>
      <c r="V759" s="3">
        <f>AI759</f>
        <v>0</v>
      </c>
      <c r="W759" s="3">
        <f>ROUND(AJ759,2)</f>
        <v>0</v>
      </c>
      <c r="X759" s="3">
        <f>ROUND(AK759,2)</f>
        <v>0</v>
      </c>
      <c r="Y759" s="3">
        <f>ROUND(AL759,2)</f>
        <v>0</v>
      </c>
      <c r="Z759" s="3"/>
      <c r="AA759" s="3"/>
      <c r="AB759" s="3">
        <f>ROUND(SUMIF(AA736:AA757,"=129761636",O736:O757),2)</f>
        <v>13060.83</v>
      </c>
      <c r="AC759" s="3">
        <f>ROUND(SUMIF(AA736:AA757,"=129761636",P736:P757),2)</f>
        <v>13060.83</v>
      </c>
      <c r="AD759" s="3">
        <f>ROUND(SUMIF(AA736:AA757,"=129761636",Q736:Q757),2)</f>
        <v>0</v>
      </c>
      <c r="AE759" s="3">
        <f>ROUND(SUMIF(AA736:AA757,"=129761636",R736:R757),2)</f>
        <v>0</v>
      </c>
      <c r="AF759" s="3">
        <f>ROUND(SUMIF(AA736:AA757,"=129761636",S736:S757),2)</f>
        <v>0</v>
      </c>
      <c r="AG759" s="3">
        <f>ROUND(SUMIF(AA736:AA757,"=129761636",T736:T757),2)</f>
        <v>0</v>
      </c>
      <c r="AH759" s="3">
        <f>SUMIF(AA736:AA757,"=129761636",U736:U757)</f>
        <v>0</v>
      </c>
      <c r="AI759" s="3">
        <f>SUMIF(AA736:AA757,"=129761636",V736:V757)</f>
        <v>0</v>
      </c>
      <c r="AJ759" s="3">
        <f>ROUND(SUMIF(AA736:AA757,"=129761636",W736:W757),2)</f>
        <v>0</v>
      </c>
      <c r="AK759" s="3">
        <f>ROUND(SUMIF(AA736:AA757,"=129761636",X736:X757),2)</f>
        <v>0</v>
      </c>
      <c r="AL759" s="3">
        <f>ROUND(SUMIF(AA736:AA757,"=129761636",Y736:Y757),2)</f>
        <v>0</v>
      </c>
      <c r="AM759" s="3"/>
      <c r="AN759" s="3"/>
      <c r="AO759" s="3">
        <f t="shared" ref="AO759:BD759" si="689">ROUND(BX759,2)</f>
        <v>0</v>
      </c>
      <c r="AP759" s="3">
        <f t="shared" si="689"/>
        <v>1752.36</v>
      </c>
      <c r="AQ759" s="3">
        <f t="shared" si="689"/>
        <v>0</v>
      </c>
      <c r="AR759" s="3">
        <f t="shared" si="689"/>
        <v>13060.83</v>
      </c>
      <c r="AS759" s="3">
        <f t="shared" si="689"/>
        <v>11308.47</v>
      </c>
      <c r="AT759" s="3">
        <f t="shared" si="689"/>
        <v>0</v>
      </c>
      <c r="AU759" s="3">
        <f t="shared" si="689"/>
        <v>0</v>
      </c>
      <c r="AV759" s="3">
        <f t="shared" si="689"/>
        <v>13060.83</v>
      </c>
      <c r="AW759" s="3">
        <f t="shared" si="689"/>
        <v>11308.47</v>
      </c>
      <c r="AX759" s="3">
        <f t="shared" si="689"/>
        <v>0</v>
      </c>
      <c r="AY759" s="3">
        <f t="shared" si="689"/>
        <v>11308.47</v>
      </c>
      <c r="AZ759" s="3">
        <f t="shared" si="689"/>
        <v>1752.36</v>
      </c>
      <c r="BA759" s="3">
        <f t="shared" si="689"/>
        <v>0</v>
      </c>
      <c r="BB759" s="3">
        <f t="shared" si="689"/>
        <v>0</v>
      </c>
      <c r="BC759" s="3">
        <f t="shared" si="689"/>
        <v>0</v>
      </c>
      <c r="BD759" s="3">
        <f t="shared" si="689"/>
        <v>0</v>
      </c>
      <c r="BE759" s="3"/>
      <c r="BF759" s="3"/>
      <c r="BG759" s="3"/>
      <c r="BH759" s="3"/>
      <c r="BI759" s="3"/>
      <c r="BJ759" s="3"/>
      <c r="BK759" s="3"/>
      <c r="BL759" s="3"/>
      <c r="BM759" s="3"/>
      <c r="BN759" s="3"/>
      <c r="BO759" s="3"/>
      <c r="BP759" s="3"/>
      <c r="BQ759" s="3"/>
      <c r="BR759" s="3"/>
      <c r="BS759" s="3"/>
      <c r="BT759" s="3"/>
      <c r="BU759" s="3"/>
      <c r="BV759" s="3"/>
      <c r="BW759" s="3"/>
      <c r="BX759" s="3">
        <f>ROUND(SUMIF(AA736:AA757,"=129761636",FQ736:FQ757),2)</f>
        <v>0</v>
      </c>
      <c r="BY759" s="3">
        <f>ROUND(SUMIF(AA736:AA757,"=129761636",FR736:FR757),2)</f>
        <v>1752.36</v>
      </c>
      <c r="BZ759" s="3">
        <f>ROUND(SUMIF(AA736:AA757,"=129761636",GL736:GL757),2)</f>
        <v>0</v>
      </c>
      <c r="CA759" s="3">
        <f>ROUND(SUMIF(AA736:AA757,"=129761636",GM736:GM757),2)</f>
        <v>13060.83</v>
      </c>
      <c r="CB759" s="3">
        <f>ROUND(SUMIF(AA736:AA757,"=129761636",GN736:GN757),2)</f>
        <v>11308.47</v>
      </c>
      <c r="CC759" s="3">
        <f>ROUND(SUMIF(AA736:AA757,"=129761636",GO736:GO757),2)</f>
        <v>0</v>
      </c>
      <c r="CD759" s="3">
        <f>ROUND(SUMIF(AA736:AA757,"=129761636",GP736:GP757),2)</f>
        <v>0</v>
      </c>
      <c r="CE759" s="3">
        <f>AC759-BX759</f>
        <v>13060.83</v>
      </c>
      <c r="CF759" s="3">
        <f>AC759-BY759</f>
        <v>11308.47</v>
      </c>
      <c r="CG759" s="3">
        <f>BX759-BZ759</f>
        <v>0</v>
      </c>
      <c r="CH759" s="3">
        <f>AC759-BX759-BY759+BZ759</f>
        <v>11308.47</v>
      </c>
      <c r="CI759" s="3">
        <f>BY759-BZ759</f>
        <v>1752.36</v>
      </c>
      <c r="CJ759" s="3">
        <f>ROUND(SUMIF(AA736:AA757,"=129761636",GX736:GX757),2)</f>
        <v>0</v>
      </c>
      <c r="CK759" s="3">
        <f>ROUND(SUMIF(AA736:AA757,"=129761636",GY736:GY757),2)</f>
        <v>0</v>
      </c>
      <c r="CL759" s="3">
        <f>ROUND(SUMIF(AA736:AA757,"=129761636",GZ736:GZ757),2)</f>
        <v>0</v>
      </c>
      <c r="CM759" s="3">
        <f>ROUND(SUMIF(AA736:AA757,"=129761636",HD736:HD757),2)</f>
        <v>0</v>
      </c>
      <c r="CN759" s="3"/>
      <c r="CO759" s="3"/>
      <c r="CP759" s="3"/>
      <c r="CQ759" s="3"/>
      <c r="CR759" s="3"/>
      <c r="CS759" s="3"/>
      <c r="CT759" s="3"/>
      <c r="CU759" s="3"/>
      <c r="CV759" s="3"/>
      <c r="CW759" s="3"/>
      <c r="CX759" s="3"/>
      <c r="CY759" s="3"/>
      <c r="CZ759" s="3"/>
      <c r="DA759" s="3"/>
      <c r="DB759" s="3"/>
      <c r="DC759" s="3"/>
      <c r="DD759" s="3"/>
      <c r="DE759" s="3"/>
      <c r="DF759" s="3"/>
      <c r="DG759" s="4">
        <f t="shared" ref="DG759:DL759" si="690">ROUND(DT759,2)</f>
        <v>86942.82</v>
      </c>
      <c r="DH759" s="4">
        <f t="shared" si="690"/>
        <v>86942.82</v>
      </c>
      <c r="DI759" s="4">
        <f t="shared" si="690"/>
        <v>0</v>
      </c>
      <c r="DJ759" s="4">
        <f t="shared" si="690"/>
        <v>0</v>
      </c>
      <c r="DK759" s="4">
        <f t="shared" si="690"/>
        <v>0</v>
      </c>
      <c r="DL759" s="4">
        <f t="shared" si="690"/>
        <v>0</v>
      </c>
      <c r="DM759" s="4">
        <f>DZ759</f>
        <v>0</v>
      </c>
      <c r="DN759" s="4">
        <f>EA759</f>
        <v>0</v>
      </c>
      <c r="DO759" s="4">
        <f>ROUND(EB759,2)</f>
        <v>0</v>
      </c>
      <c r="DP759" s="4">
        <f>ROUND(EC759,2)</f>
        <v>0</v>
      </c>
      <c r="DQ759" s="4">
        <f>ROUND(ED759,2)</f>
        <v>0</v>
      </c>
      <c r="DR759" s="4"/>
      <c r="DS759" s="4"/>
      <c r="DT759" s="4">
        <f>ROUND(SUMIF(AA736:AA757,"=129761633",O736:O757),2)</f>
        <v>86942.82</v>
      </c>
      <c r="DU759" s="4">
        <f>ROUND(SUMIF(AA736:AA757,"=129761633",P736:P757),2)</f>
        <v>86942.82</v>
      </c>
      <c r="DV759" s="4">
        <f>ROUND(SUMIF(AA736:AA757,"=129761633",Q736:Q757),2)</f>
        <v>0</v>
      </c>
      <c r="DW759" s="4">
        <f>ROUND(SUMIF(AA736:AA757,"=129761633",R736:R757),2)</f>
        <v>0</v>
      </c>
      <c r="DX759" s="4">
        <f>ROUND(SUMIF(AA736:AA757,"=129761633",S736:S757),2)</f>
        <v>0</v>
      </c>
      <c r="DY759" s="4">
        <f>ROUND(SUMIF(AA736:AA757,"=129761633",T736:T757),2)</f>
        <v>0</v>
      </c>
      <c r="DZ759" s="4">
        <f>SUMIF(AA736:AA757,"=129761633",U736:U757)</f>
        <v>0</v>
      </c>
      <c r="EA759" s="4">
        <f>SUMIF(AA736:AA757,"=129761633",V736:V757)</f>
        <v>0</v>
      </c>
      <c r="EB759" s="4">
        <f>ROUND(SUMIF(AA736:AA757,"=129761633",W736:W757),2)</f>
        <v>0</v>
      </c>
      <c r="EC759" s="4">
        <f>ROUND(SUMIF(AA736:AA757,"=129761633",X736:X757),2)</f>
        <v>0</v>
      </c>
      <c r="ED759" s="4">
        <f>ROUND(SUMIF(AA736:AA757,"=129761633",Y736:Y757),2)</f>
        <v>0</v>
      </c>
      <c r="EE759" s="4"/>
      <c r="EF759" s="4"/>
      <c r="EG759" s="4">
        <f t="shared" ref="EG759:EV759" si="691">ROUND(FP759,2)</f>
        <v>0</v>
      </c>
      <c r="EH759" s="4">
        <f t="shared" si="691"/>
        <v>14211.64</v>
      </c>
      <c r="EI759" s="4">
        <f t="shared" si="691"/>
        <v>0</v>
      </c>
      <c r="EJ759" s="4">
        <f t="shared" si="691"/>
        <v>86942.82</v>
      </c>
      <c r="EK759" s="4">
        <f t="shared" si="691"/>
        <v>72731.179999999993</v>
      </c>
      <c r="EL759" s="4">
        <f t="shared" si="691"/>
        <v>0</v>
      </c>
      <c r="EM759" s="4">
        <f t="shared" si="691"/>
        <v>0</v>
      </c>
      <c r="EN759" s="4">
        <f t="shared" si="691"/>
        <v>86942.82</v>
      </c>
      <c r="EO759" s="4">
        <f t="shared" si="691"/>
        <v>72731.179999999993</v>
      </c>
      <c r="EP759" s="4">
        <f t="shared" si="691"/>
        <v>0</v>
      </c>
      <c r="EQ759" s="4">
        <f t="shared" si="691"/>
        <v>72731.179999999993</v>
      </c>
      <c r="ER759" s="4">
        <f t="shared" si="691"/>
        <v>14211.64</v>
      </c>
      <c r="ES759" s="4">
        <f t="shared" si="691"/>
        <v>0</v>
      </c>
      <c r="ET759" s="4">
        <f t="shared" si="691"/>
        <v>0</v>
      </c>
      <c r="EU759" s="4">
        <f t="shared" si="691"/>
        <v>0</v>
      </c>
      <c r="EV759" s="4">
        <f t="shared" si="691"/>
        <v>0</v>
      </c>
      <c r="EW759" s="4"/>
      <c r="EX759" s="4"/>
      <c r="EY759" s="4"/>
      <c r="EZ759" s="4"/>
      <c r="FA759" s="4"/>
      <c r="FB759" s="4"/>
      <c r="FC759" s="4"/>
      <c r="FD759" s="4"/>
      <c r="FE759" s="4"/>
      <c r="FF759" s="4"/>
      <c r="FG759" s="4"/>
      <c r="FH759" s="4"/>
      <c r="FI759" s="4"/>
      <c r="FJ759" s="4"/>
      <c r="FK759" s="4"/>
      <c r="FL759" s="4"/>
      <c r="FM759" s="4"/>
      <c r="FN759" s="4"/>
      <c r="FO759" s="4"/>
      <c r="FP759" s="4">
        <f>ROUND(SUMIF(AA736:AA757,"=129761633",FQ736:FQ757),2)</f>
        <v>0</v>
      </c>
      <c r="FQ759" s="4">
        <f>ROUND(SUMIF(AA736:AA757,"=129761633",FR736:FR757),2)</f>
        <v>14211.64</v>
      </c>
      <c r="FR759" s="4">
        <f>ROUND(SUMIF(AA736:AA757,"=129761633",GL736:GL757),2)</f>
        <v>0</v>
      </c>
      <c r="FS759" s="4">
        <f>ROUND(SUMIF(AA736:AA757,"=129761633",GM736:GM757),2)</f>
        <v>86942.82</v>
      </c>
      <c r="FT759" s="4">
        <f>ROUND(SUMIF(AA736:AA757,"=129761633",GN736:GN757),2)</f>
        <v>72731.179999999993</v>
      </c>
      <c r="FU759" s="4">
        <f>ROUND(SUMIF(AA736:AA757,"=129761633",GO736:GO757),2)</f>
        <v>0</v>
      </c>
      <c r="FV759" s="4">
        <f>ROUND(SUMIF(AA736:AA757,"=129761633",GP736:GP757),2)</f>
        <v>0</v>
      </c>
      <c r="FW759" s="4">
        <f>DU759-FP759</f>
        <v>86942.82</v>
      </c>
      <c r="FX759" s="4">
        <f>DU759-FQ759</f>
        <v>72731.180000000008</v>
      </c>
      <c r="FY759" s="4">
        <f>FP759-FR759</f>
        <v>0</v>
      </c>
      <c r="FZ759" s="4">
        <f>DU759-FP759-FQ759+FR759</f>
        <v>72731.180000000008</v>
      </c>
      <c r="GA759" s="4">
        <f>FQ759-FR759</f>
        <v>14211.64</v>
      </c>
      <c r="GB759" s="4">
        <f>ROUND(SUMIF(AA736:AA757,"=129761633",GX736:GX757),2)</f>
        <v>0</v>
      </c>
      <c r="GC759" s="4">
        <f>ROUND(SUMIF(AA736:AA757,"=129761633",GY736:GY757),2)</f>
        <v>0</v>
      </c>
      <c r="GD759" s="4">
        <f>ROUND(SUMIF(AA736:AA757,"=129761633",GZ736:GZ757),2)</f>
        <v>0</v>
      </c>
      <c r="GE759" s="4">
        <f>ROUND(SUMIF(AA736:AA757,"=129761633",HD736:HD757),2)</f>
        <v>0</v>
      </c>
      <c r="GF759" s="4"/>
      <c r="GG759" s="4"/>
      <c r="GH759" s="4"/>
      <c r="GI759" s="4"/>
      <c r="GJ759" s="4"/>
      <c r="GK759" s="4"/>
      <c r="GL759" s="4"/>
      <c r="GM759" s="4"/>
      <c r="GN759" s="4"/>
      <c r="GO759" s="4"/>
      <c r="GP759" s="4"/>
      <c r="GQ759" s="4"/>
      <c r="GR759" s="4"/>
      <c r="GS759" s="4"/>
      <c r="GT759" s="4"/>
      <c r="GU759" s="4"/>
      <c r="GV759" s="4"/>
      <c r="GW759" s="4"/>
      <c r="GX759" s="4">
        <v>0</v>
      </c>
    </row>
    <row r="761" spans="1:255" x14ac:dyDescent="0.2">
      <c r="A761" s="5">
        <v>50</v>
      </c>
      <c r="B761" s="5">
        <v>0</v>
      </c>
      <c r="C761" s="5">
        <v>0</v>
      </c>
      <c r="D761" s="5">
        <v>1</v>
      </c>
      <c r="E761" s="5">
        <v>201</v>
      </c>
      <c r="F761" s="5">
        <f>ROUND(Source!O759,O761)</f>
        <v>13060.83</v>
      </c>
      <c r="G761" s="5" t="s">
        <v>26</v>
      </c>
      <c r="H761" s="5" t="s">
        <v>27</v>
      </c>
      <c r="I761" s="5"/>
      <c r="J761" s="5"/>
      <c r="K761" s="5">
        <v>201</v>
      </c>
      <c r="L761" s="5">
        <v>1</v>
      </c>
      <c r="M761" s="5">
        <v>3</v>
      </c>
      <c r="N761" s="5" t="s">
        <v>3</v>
      </c>
      <c r="O761" s="5">
        <v>2</v>
      </c>
      <c r="P761" s="5">
        <f>ROUND(Source!DG759,O761)</f>
        <v>86942.82</v>
      </c>
      <c r="Q761" s="5"/>
      <c r="R761" s="5"/>
      <c r="S761" s="5"/>
      <c r="T761" s="5"/>
      <c r="U761" s="5"/>
      <c r="V761" s="5"/>
      <c r="W761" s="5">
        <v>13060.83</v>
      </c>
      <c r="X761" s="5">
        <v>1</v>
      </c>
      <c r="Y761" s="5">
        <v>13060.83</v>
      </c>
      <c r="Z761" s="5">
        <v>86942.82</v>
      </c>
      <c r="AA761" s="5">
        <v>1</v>
      </c>
      <c r="AB761" s="5">
        <v>86942.82</v>
      </c>
    </row>
    <row r="762" spans="1:255" x14ac:dyDescent="0.2">
      <c r="A762" s="5">
        <v>50</v>
      </c>
      <c r="B762" s="5">
        <v>0</v>
      </c>
      <c r="C762" s="5">
        <v>0</v>
      </c>
      <c r="D762" s="5">
        <v>1</v>
      </c>
      <c r="E762" s="5">
        <v>202</v>
      </c>
      <c r="F762" s="5">
        <f>ROUND(Source!P759,O762)</f>
        <v>13060.83</v>
      </c>
      <c r="G762" s="5" t="s">
        <v>28</v>
      </c>
      <c r="H762" s="5" t="s">
        <v>29</v>
      </c>
      <c r="I762" s="5"/>
      <c r="J762" s="5"/>
      <c r="K762" s="5">
        <v>202</v>
      </c>
      <c r="L762" s="5">
        <v>2</v>
      </c>
      <c r="M762" s="5">
        <v>3</v>
      </c>
      <c r="N762" s="5" t="s">
        <v>3</v>
      </c>
      <c r="O762" s="5">
        <v>2</v>
      </c>
      <c r="P762" s="5">
        <f>ROUND(Source!DH759,O762)</f>
        <v>86942.82</v>
      </c>
      <c r="Q762" s="5"/>
      <c r="R762" s="5"/>
      <c r="S762" s="5"/>
      <c r="T762" s="5"/>
      <c r="U762" s="5"/>
      <c r="V762" s="5"/>
      <c r="W762" s="5">
        <v>13060.83</v>
      </c>
      <c r="X762" s="5">
        <v>1</v>
      </c>
      <c r="Y762" s="5">
        <v>13060.83</v>
      </c>
      <c r="Z762" s="5">
        <v>86942.82</v>
      </c>
      <c r="AA762" s="5">
        <v>1</v>
      </c>
      <c r="AB762" s="5">
        <v>86942.82</v>
      </c>
    </row>
    <row r="763" spans="1:255" x14ac:dyDescent="0.2">
      <c r="A763" s="5">
        <v>50</v>
      </c>
      <c r="B763" s="5">
        <v>0</v>
      </c>
      <c r="C763" s="5">
        <v>0</v>
      </c>
      <c r="D763" s="5">
        <v>1</v>
      </c>
      <c r="E763" s="5">
        <v>222</v>
      </c>
      <c r="F763" s="5">
        <f>ROUND(Source!AO759,O763)</f>
        <v>0</v>
      </c>
      <c r="G763" s="5" t="s">
        <v>30</v>
      </c>
      <c r="H763" s="5" t="s">
        <v>31</v>
      </c>
      <c r="I763" s="5"/>
      <c r="J763" s="5"/>
      <c r="K763" s="5">
        <v>222</v>
      </c>
      <c r="L763" s="5">
        <v>3</v>
      </c>
      <c r="M763" s="5">
        <v>3</v>
      </c>
      <c r="N763" s="5" t="s">
        <v>3</v>
      </c>
      <c r="O763" s="5">
        <v>2</v>
      </c>
      <c r="P763" s="5">
        <f>ROUND(Source!EG759,O763)</f>
        <v>0</v>
      </c>
      <c r="Q763" s="5"/>
      <c r="R763" s="5"/>
      <c r="S763" s="5"/>
      <c r="T763" s="5"/>
      <c r="U763" s="5"/>
      <c r="V763" s="5"/>
      <c r="W763" s="5">
        <v>0</v>
      </c>
      <c r="X763" s="5">
        <v>1</v>
      </c>
      <c r="Y763" s="5">
        <v>0</v>
      </c>
      <c r="Z763" s="5">
        <v>0</v>
      </c>
      <c r="AA763" s="5">
        <v>1</v>
      </c>
      <c r="AB763" s="5">
        <v>0</v>
      </c>
    </row>
    <row r="764" spans="1:255" x14ac:dyDescent="0.2">
      <c r="A764" s="5">
        <v>50</v>
      </c>
      <c r="B764" s="5">
        <v>0</v>
      </c>
      <c r="C764" s="5">
        <v>0</v>
      </c>
      <c r="D764" s="5">
        <v>1</v>
      </c>
      <c r="E764" s="5">
        <v>225</v>
      </c>
      <c r="F764" s="5">
        <f>ROUND(Source!AV759,O764)</f>
        <v>13060.83</v>
      </c>
      <c r="G764" s="5" t="s">
        <v>32</v>
      </c>
      <c r="H764" s="5" t="s">
        <v>33</v>
      </c>
      <c r="I764" s="5"/>
      <c r="J764" s="5"/>
      <c r="K764" s="5">
        <v>225</v>
      </c>
      <c r="L764" s="5">
        <v>4</v>
      </c>
      <c r="M764" s="5">
        <v>3</v>
      </c>
      <c r="N764" s="5" t="s">
        <v>3</v>
      </c>
      <c r="O764" s="5">
        <v>2</v>
      </c>
      <c r="P764" s="5">
        <f>ROUND(Source!EN759,O764)</f>
        <v>86942.82</v>
      </c>
      <c r="Q764" s="5"/>
      <c r="R764" s="5"/>
      <c r="S764" s="5"/>
      <c r="T764" s="5"/>
      <c r="U764" s="5"/>
      <c r="V764" s="5"/>
      <c r="W764" s="5">
        <v>13060.83</v>
      </c>
      <c r="X764" s="5">
        <v>1</v>
      </c>
      <c r="Y764" s="5">
        <v>13060.83</v>
      </c>
      <c r="Z764" s="5">
        <v>86942.82</v>
      </c>
      <c r="AA764" s="5">
        <v>1</v>
      </c>
      <c r="AB764" s="5">
        <v>86942.82</v>
      </c>
    </row>
    <row r="765" spans="1:255" x14ac:dyDescent="0.2">
      <c r="A765" s="5">
        <v>50</v>
      </c>
      <c r="B765" s="5">
        <v>0</v>
      </c>
      <c r="C765" s="5">
        <v>0</v>
      </c>
      <c r="D765" s="5">
        <v>1</v>
      </c>
      <c r="E765" s="5">
        <v>226</v>
      </c>
      <c r="F765" s="5">
        <f>ROUND(Source!AW759,O765)</f>
        <v>11308.47</v>
      </c>
      <c r="G765" s="5" t="s">
        <v>34</v>
      </c>
      <c r="H765" s="5" t="s">
        <v>35</v>
      </c>
      <c r="I765" s="5"/>
      <c r="J765" s="5"/>
      <c r="K765" s="5">
        <v>226</v>
      </c>
      <c r="L765" s="5">
        <v>5</v>
      </c>
      <c r="M765" s="5">
        <v>3</v>
      </c>
      <c r="N765" s="5" t="s">
        <v>3</v>
      </c>
      <c r="O765" s="5">
        <v>2</v>
      </c>
      <c r="P765" s="5">
        <f>ROUND(Source!EO759,O765)</f>
        <v>72731.179999999993</v>
      </c>
      <c r="Q765" s="5"/>
      <c r="R765" s="5"/>
      <c r="S765" s="5"/>
      <c r="T765" s="5"/>
      <c r="U765" s="5"/>
      <c r="V765" s="5"/>
      <c r="W765" s="5">
        <v>11308.47</v>
      </c>
      <c r="X765" s="5">
        <v>1</v>
      </c>
      <c r="Y765" s="5">
        <v>11308.47</v>
      </c>
      <c r="Z765" s="5">
        <v>72731.179999999993</v>
      </c>
      <c r="AA765" s="5">
        <v>1</v>
      </c>
      <c r="AB765" s="5">
        <v>72731.179999999993</v>
      </c>
    </row>
    <row r="766" spans="1:255" x14ac:dyDescent="0.2">
      <c r="A766" s="5">
        <v>50</v>
      </c>
      <c r="B766" s="5">
        <v>0</v>
      </c>
      <c r="C766" s="5">
        <v>0</v>
      </c>
      <c r="D766" s="5">
        <v>1</v>
      </c>
      <c r="E766" s="5">
        <v>227</v>
      </c>
      <c r="F766" s="5">
        <f>ROUND(Source!AX759,O766)</f>
        <v>0</v>
      </c>
      <c r="G766" s="5" t="s">
        <v>36</v>
      </c>
      <c r="H766" s="5" t="s">
        <v>37</v>
      </c>
      <c r="I766" s="5"/>
      <c r="J766" s="5"/>
      <c r="K766" s="5">
        <v>227</v>
      </c>
      <c r="L766" s="5">
        <v>6</v>
      </c>
      <c r="M766" s="5">
        <v>3</v>
      </c>
      <c r="N766" s="5" t="s">
        <v>3</v>
      </c>
      <c r="O766" s="5">
        <v>2</v>
      </c>
      <c r="P766" s="5">
        <f>ROUND(Source!EP759,O766)</f>
        <v>0</v>
      </c>
      <c r="Q766" s="5"/>
      <c r="R766" s="5"/>
      <c r="S766" s="5"/>
      <c r="T766" s="5"/>
      <c r="U766" s="5"/>
      <c r="V766" s="5"/>
      <c r="W766" s="5">
        <v>0</v>
      </c>
      <c r="X766" s="5">
        <v>1</v>
      </c>
      <c r="Y766" s="5">
        <v>0</v>
      </c>
      <c r="Z766" s="5">
        <v>0</v>
      </c>
      <c r="AA766" s="5">
        <v>1</v>
      </c>
      <c r="AB766" s="5">
        <v>0</v>
      </c>
    </row>
    <row r="767" spans="1:255" x14ac:dyDescent="0.2">
      <c r="A767" s="5">
        <v>50</v>
      </c>
      <c r="B767" s="5">
        <v>0</v>
      </c>
      <c r="C767" s="5">
        <v>0</v>
      </c>
      <c r="D767" s="5">
        <v>1</v>
      </c>
      <c r="E767" s="5">
        <v>228</v>
      </c>
      <c r="F767" s="5">
        <f>ROUND(Source!AY759,O767)</f>
        <v>11308.47</v>
      </c>
      <c r="G767" s="5" t="s">
        <v>38</v>
      </c>
      <c r="H767" s="5" t="s">
        <v>39</v>
      </c>
      <c r="I767" s="5"/>
      <c r="J767" s="5"/>
      <c r="K767" s="5">
        <v>228</v>
      </c>
      <c r="L767" s="5">
        <v>7</v>
      </c>
      <c r="M767" s="5">
        <v>3</v>
      </c>
      <c r="N767" s="5" t="s">
        <v>3</v>
      </c>
      <c r="O767" s="5">
        <v>2</v>
      </c>
      <c r="P767" s="5">
        <f>ROUND(Source!EQ759,O767)</f>
        <v>72731.179999999993</v>
      </c>
      <c r="Q767" s="5"/>
      <c r="R767" s="5"/>
      <c r="S767" s="5"/>
      <c r="T767" s="5"/>
      <c r="U767" s="5"/>
      <c r="V767" s="5"/>
      <c r="W767" s="5">
        <v>11308.47</v>
      </c>
      <c r="X767" s="5">
        <v>1</v>
      </c>
      <c r="Y767" s="5">
        <v>11308.47</v>
      </c>
      <c r="Z767" s="5">
        <v>72731.179999999993</v>
      </c>
      <c r="AA767" s="5">
        <v>1</v>
      </c>
      <c r="AB767" s="5">
        <v>72731.179999999993</v>
      </c>
    </row>
    <row r="768" spans="1:255" x14ac:dyDescent="0.2">
      <c r="A768" s="5">
        <v>50</v>
      </c>
      <c r="B768" s="5">
        <v>0</v>
      </c>
      <c r="C768" s="5">
        <v>0</v>
      </c>
      <c r="D768" s="5">
        <v>1</v>
      </c>
      <c r="E768" s="5">
        <v>216</v>
      </c>
      <c r="F768" s="5">
        <f>ROUND(Source!AP759,O768)</f>
        <v>1752.36</v>
      </c>
      <c r="G768" s="5" t="s">
        <v>40</v>
      </c>
      <c r="H768" s="5" t="s">
        <v>41</v>
      </c>
      <c r="I768" s="5"/>
      <c r="J768" s="5"/>
      <c r="K768" s="5">
        <v>216</v>
      </c>
      <c r="L768" s="5">
        <v>8</v>
      </c>
      <c r="M768" s="5">
        <v>3</v>
      </c>
      <c r="N768" s="5" t="s">
        <v>3</v>
      </c>
      <c r="O768" s="5">
        <v>2</v>
      </c>
      <c r="P768" s="5">
        <f>ROUND(Source!EH759,O768)</f>
        <v>14211.64</v>
      </c>
      <c r="Q768" s="5"/>
      <c r="R768" s="5"/>
      <c r="S768" s="5"/>
      <c r="T768" s="5"/>
      <c r="U768" s="5"/>
      <c r="V768" s="5"/>
      <c r="W768" s="5">
        <v>1752.36</v>
      </c>
      <c r="X768" s="5">
        <v>1</v>
      </c>
      <c r="Y768" s="5">
        <v>1752.36</v>
      </c>
      <c r="Z768" s="5">
        <v>14211.64</v>
      </c>
      <c r="AA768" s="5">
        <v>1</v>
      </c>
      <c r="AB768" s="5">
        <v>14211.64</v>
      </c>
    </row>
    <row r="769" spans="1:28" x14ac:dyDescent="0.2">
      <c r="A769" s="5">
        <v>50</v>
      </c>
      <c r="B769" s="5">
        <v>0</v>
      </c>
      <c r="C769" s="5">
        <v>0</v>
      </c>
      <c r="D769" s="5">
        <v>1</v>
      </c>
      <c r="E769" s="5">
        <v>223</v>
      </c>
      <c r="F769" s="5">
        <f>ROUND(Source!AQ759,O769)</f>
        <v>0</v>
      </c>
      <c r="G769" s="5" t="s">
        <v>42</v>
      </c>
      <c r="H769" s="5" t="s">
        <v>43</v>
      </c>
      <c r="I769" s="5"/>
      <c r="J769" s="5"/>
      <c r="K769" s="5">
        <v>223</v>
      </c>
      <c r="L769" s="5">
        <v>9</v>
      </c>
      <c r="M769" s="5">
        <v>3</v>
      </c>
      <c r="N769" s="5" t="s">
        <v>3</v>
      </c>
      <c r="O769" s="5">
        <v>2</v>
      </c>
      <c r="P769" s="5">
        <f>ROUND(Source!EI759,O769)</f>
        <v>0</v>
      </c>
      <c r="Q769" s="5"/>
      <c r="R769" s="5"/>
      <c r="S769" s="5"/>
      <c r="T769" s="5"/>
      <c r="U769" s="5"/>
      <c r="V769" s="5"/>
      <c r="W769" s="5">
        <v>0</v>
      </c>
      <c r="X769" s="5">
        <v>1</v>
      </c>
      <c r="Y769" s="5">
        <v>0</v>
      </c>
      <c r="Z769" s="5">
        <v>0</v>
      </c>
      <c r="AA769" s="5">
        <v>1</v>
      </c>
      <c r="AB769" s="5">
        <v>0</v>
      </c>
    </row>
    <row r="770" spans="1:28" x14ac:dyDescent="0.2">
      <c r="A770" s="5">
        <v>50</v>
      </c>
      <c r="B770" s="5">
        <v>0</v>
      </c>
      <c r="C770" s="5">
        <v>0</v>
      </c>
      <c r="D770" s="5">
        <v>1</v>
      </c>
      <c r="E770" s="5">
        <v>229</v>
      </c>
      <c r="F770" s="5">
        <f>ROUND(Source!AZ759,O770)</f>
        <v>1752.36</v>
      </c>
      <c r="G770" s="5" t="s">
        <v>44</v>
      </c>
      <c r="H770" s="5" t="s">
        <v>45</v>
      </c>
      <c r="I770" s="5"/>
      <c r="J770" s="5"/>
      <c r="K770" s="5">
        <v>229</v>
      </c>
      <c r="L770" s="5">
        <v>10</v>
      </c>
      <c r="M770" s="5">
        <v>3</v>
      </c>
      <c r="N770" s="5" t="s">
        <v>3</v>
      </c>
      <c r="O770" s="5">
        <v>2</v>
      </c>
      <c r="P770" s="5">
        <f>ROUND(Source!ER759,O770)</f>
        <v>14211.64</v>
      </c>
      <c r="Q770" s="5"/>
      <c r="R770" s="5"/>
      <c r="S770" s="5"/>
      <c r="T770" s="5"/>
      <c r="U770" s="5"/>
      <c r="V770" s="5"/>
      <c r="W770" s="5">
        <v>1752.36</v>
      </c>
      <c r="X770" s="5">
        <v>1</v>
      </c>
      <c r="Y770" s="5">
        <v>1752.36</v>
      </c>
      <c r="Z770" s="5">
        <v>14211.64</v>
      </c>
      <c r="AA770" s="5">
        <v>1</v>
      </c>
      <c r="AB770" s="5">
        <v>14211.64</v>
      </c>
    </row>
    <row r="771" spans="1:28" x14ac:dyDescent="0.2">
      <c r="A771" s="5">
        <v>50</v>
      </c>
      <c r="B771" s="5">
        <v>0</v>
      </c>
      <c r="C771" s="5">
        <v>0</v>
      </c>
      <c r="D771" s="5">
        <v>1</v>
      </c>
      <c r="E771" s="5">
        <v>203</v>
      </c>
      <c r="F771" s="5">
        <f>ROUND(Source!Q759,O771)</f>
        <v>0</v>
      </c>
      <c r="G771" s="5" t="s">
        <v>46</v>
      </c>
      <c r="H771" s="5" t="s">
        <v>47</v>
      </c>
      <c r="I771" s="5"/>
      <c r="J771" s="5"/>
      <c r="K771" s="5">
        <v>203</v>
      </c>
      <c r="L771" s="5">
        <v>11</v>
      </c>
      <c r="M771" s="5">
        <v>3</v>
      </c>
      <c r="N771" s="5" t="s">
        <v>3</v>
      </c>
      <c r="O771" s="5">
        <v>2</v>
      </c>
      <c r="P771" s="5">
        <f>ROUND(Source!DI759,O771)</f>
        <v>0</v>
      </c>
      <c r="Q771" s="5"/>
      <c r="R771" s="5"/>
      <c r="S771" s="5"/>
      <c r="T771" s="5"/>
      <c r="U771" s="5"/>
      <c r="V771" s="5"/>
      <c r="W771" s="5">
        <v>0</v>
      </c>
      <c r="X771" s="5">
        <v>1</v>
      </c>
      <c r="Y771" s="5">
        <v>0</v>
      </c>
      <c r="Z771" s="5">
        <v>0</v>
      </c>
      <c r="AA771" s="5">
        <v>1</v>
      </c>
      <c r="AB771" s="5">
        <v>0</v>
      </c>
    </row>
    <row r="772" spans="1:28" x14ac:dyDescent="0.2">
      <c r="A772" s="5">
        <v>50</v>
      </c>
      <c r="B772" s="5">
        <v>0</v>
      </c>
      <c r="C772" s="5">
        <v>0</v>
      </c>
      <c r="D772" s="5">
        <v>1</v>
      </c>
      <c r="E772" s="5">
        <v>231</v>
      </c>
      <c r="F772" s="5">
        <f>ROUND(Source!BB759,O772)</f>
        <v>0</v>
      </c>
      <c r="G772" s="5" t="s">
        <v>48</v>
      </c>
      <c r="H772" s="5" t="s">
        <v>49</v>
      </c>
      <c r="I772" s="5"/>
      <c r="J772" s="5"/>
      <c r="K772" s="5">
        <v>231</v>
      </c>
      <c r="L772" s="5">
        <v>12</v>
      </c>
      <c r="M772" s="5">
        <v>3</v>
      </c>
      <c r="N772" s="5" t="s">
        <v>3</v>
      </c>
      <c r="O772" s="5">
        <v>2</v>
      </c>
      <c r="P772" s="5">
        <f>ROUND(Source!ET759,O772)</f>
        <v>0</v>
      </c>
      <c r="Q772" s="5"/>
      <c r="R772" s="5"/>
      <c r="S772" s="5"/>
      <c r="T772" s="5"/>
      <c r="U772" s="5"/>
      <c r="V772" s="5"/>
      <c r="W772" s="5">
        <v>0</v>
      </c>
      <c r="X772" s="5">
        <v>1</v>
      </c>
      <c r="Y772" s="5">
        <v>0</v>
      </c>
      <c r="Z772" s="5">
        <v>0</v>
      </c>
      <c r="AA772" s="5">
        <v>1</v>
      </c>
      <c r="AB772" s="5">
        <v>0</v>
      </c>
    </row>
    <row r="773" spans="1:28" x14ac:dyDescent="0.2">
      <c r="A773" s="5">
        <v>50</v>
      </c>
      <c r="B773" s="5">
        <v>0</v>
      </c>
      <c r="C773" s="5">
        <v>0</v>
      </c>
      <c r="D773" s="5">
        <v>1</v>
      </c>
      <c r="E773" s="5">
        <v>204</v>
      </c>
      <c r="F773" s="5">
        <f>ROUND(Source!R759,O773)</f>
        <v>0</v>
      </c>
      <c r="G773" s="5" t="s">
        <v>50</v>
      </c>
      <c r="H773" s="5" t="s">
        <v>51</v>
      </c>
      <c r="I773" s="5"/>
      <c r="J773" s="5"/>
      <c r="K773" s="5">
        <v>204</v>
      </c>
      <c r="L773" s="5">
        <v>13</v>
      </c>
      <c r="M773" s="5">
        <v>3</v>
      </c>
      <c r="N773" s="5" t="s">
        <v>3</v>
      </c>
      <c r="O773" s="5">
        <v>2</v>
      </c>
      <c r="P773" s="5">
        <f>ROUND(Source!DJ759,O773)</f>
        <v>0</v>
      </c>
      <c r="Q773" s="5"/>
      <c r="R773" s="5"/>
      <c r="S773" s="5"/>
      <c r="T773" s="5"/>
      <c r="U773" s="5"/>
      <c r="V773" s="5"/>
      <c r="W773" s="5">
        <v>0</v>
      </c>
      <c r="X773" s="5">
        <v>1</v>
      </c>
      <c r="Y773" s="5">
        <v>0</v>
      </c>
      <c r="Z773" s="5">
        <v>0</v>
      </c>
      <c r="AA773" s="5">
        <v>1</v>
      </c>
      <c r="AB773" s="5">
        <v>0</v>
      </c>
    </row>
    <row r="774" spans="1:28" x14ac:dyDescent="0.2">
      <c r="A774" s="5">
        <v>50</v>
      </c>
      <c r="B774" s="5">
        <v>0</v>
      </c>
      <c r="C774" s="5">
        <v>0</v>
      </c>
      <c r="D774" s="5">
        <v>1</v>
      </c>
      <c r="E774" s="5">
        <v>205</v>
      </c>
      <c r="F774" s="5">
        <f>ROUND(Source!S759,O774)</f>
        <v>0</v>
      </c>
      <c r="G774" s="5" t="s">
        <v>52</v>
      </c>
      <c r="H774" s="5" t="s">
        <v>53</v>
      </c>
      <c r="I774" s="5"/>
      <c r="J774" s="5"/>
      <c r="K774" s="5">
        <v>205</v>
      </c>
      <c r="L774" s="5">
        <v>14</v>
      </c>
      <c r="M774" s="5">
        <v>3</v>
      </c>
      <c r="N774" s="5" t="s">
        <v>3</v>
      </c>
      <c r="O774" s="5">
        <v>2</v>
      </c>
      <c r="P774" s="5">
        <f>ROUND(Source!DK759,O774)</f>
        <v>0</v>
      </c>
      <c r="Q774" s="5"/>
      <c r="R774" s="5"/>
      <c r="S774" s="5"/>
      <c r="T774" s="5"/>
      <c r="U774" s="5"/>
      <c r="V774" s="5"/>
      <c r="W774" s="5">
        <v>0</v>
      </c>
      <c r="X774" s="5">
        <v>1</v>
      </c>
      <c r="Y774" s="5">
        <v>0</v>
      </c>
      <c r="Z774" s="5">
        <v>0</v>
      </c>
      <c r="AA774" s="5">
        <v>1</v>
      </c>
      <c r="AB774" s="5">
        <v>0</v>
      </c>
    </row>
    <row r="775" spans="1:28" x14ac:dyDescent="0.2">
      <c r="A775" s="5">
        <v>50</v>
      </c>
      <c r="B775" s="5">
        <v>0</v>
      </c>
      <c r="C775" s="5">
        <v>0</v>
      </c>
      <c r="D775" s="5">
        <v>1</v>
      </c>
      <c r="E775" s="5">
        <v>232</v>
      </c>
      <c r="F775" s="5">
        <f>ROUND(Source!BC759,O775)</f>
        <v>0</v>
      </c>
      <c r="G775" s="5" t="s">
        <v>54</v>
      </c>
      <c r="H775" s="5" t="s">
        <v>55</v>
      </c>
      <c r="I775" s="5"/>
      <c r="J775" s="5"/>
      <c r="K775" s="5">
        <v>232</v>
      </c>
      <c r="L775" s="5">
        <v>15</v>
      </c>
      <c r="M775" s="5">
        <v>3</v>
      </c>
      <c r="N775" s="5" t="s">
        <v>3</v>
      </c>
      <c r="O775" s="5">
        <v>2</v>
      </c>
      <c r="P775" s="5">
        <f>ROUND(Source!EU759,O775)</f>
        <v>0</v>
      </c>
      <c r="Q775" s="5"/>
      <c r="R775" s="5"/>
      <c r="S775" s="5"/>
      <c r="T775" s="5"/>
      <c r="U775" s="5"/>
      <c r="V775" s="5"/>
      <c r="W775" s="5">
        <v>0</v>
      </c>
      <c r="X775" s="5">
        <v>1</v>
      </c>
      <c r="Y775" s="5">
        <v>0</v>
      </c>
      <c r="Z775" s="5">
        <v>0</v>
      </c>
      <c r="AA775" s="5">
        <v>1</v>
      </c>
      <c r="AB775" s="5">
        <v>0</v>
      </c>
    </row>
    <row r="776" spans="1:28" x14ac:dyDescent="0.2">
      <c r="A776" s="5">
        <v>50</v>
      </c>
      <c r="B776" s="5">
        <v>0</v>
      </c>
      <c r="C776" s="5">
        <v>0</v>
      </c>
      <c r="D776" s="5">
        <v>1</v>
      </c>
      <c r="E776" s="5">
        <v>214</v>
      </c>
      <c r="F776" s="5">
        <f>ROUND(Source!AS759,O776)</f>
        <v>11308.47</v>
      </c>
      <c r="G776" s="5" t="s">
        <v>56</v>
      </c>
      <c r="H776" s="5" t="s">
        <v>57</v>
      </c>
      <c r="I776" s="5"/>
      <c r="J776" s="5"/>
      <c r="K776" s="5">
        <v>214</v>
      </c>
      <c r="L776" s="5">
        <v>16</v>
      </c>
      <c r="M776" s="5">
        <v>3</v>
      </c>
      <c r="N776" s="5" t="s">
        <v>3</v>
      </c>
      <c r="O776" s="5">
        <v>2</v>
      </c>
      <c r="P776" s="5">
        <f>ROUND(Source!EK759,O776)</f>
        <v>72731.179999999993</v>
      </c>
      <c r="Q776" s="5"/>
      <c r="R776" s="5"/>
      <c r="S776" s="5"/>
      <c r="T776" s="5"/>
      <c r="U776" s="5"/>
      <c r="V776" s="5"/>
      <c r="W776" s="5">
        <v>11308.47</v>
      </c>
      <c r="X776" s="5">
        <v>1</v>
      </c>
      <c r="Y776" s="5">
        <v>11308.47</v>
      </c>
      <c r="Z776" s="5">
        <v>72731.179999999993</v>
      </c>
      <c r="AA776" s="5">
        <v>1</v>
      </c>
      <c r="AB776" s="5">
        <v>72731.179999999993</v>
      </c>
    </row>
    <row r="777" spans="1:28" x14ac:dyDescent="0.2">
      <c r="A777" s="5">
        <v>50</v>
      </c>
      <c r="B777" s="5">
        <v>0</v>
      </c>
      <c r="C777" s="5">
        <v>0</v>
      </c>
      <c r="D777" s="5">
        <v>1</v>
      </c>
      <c r="E777" s="5">
        <v>215</v>
      </c>
      <c r="F777" s="5">
        <f>ROUND(Source!AT759,O777)</f>
        <v>0</v>
      </c>
      <c r="G777" s="5" t="s">
        <v>58</v>
      </c>
      <c r="H777" s="5" t="s">
        <v>59</v>
      </c>
      <c r="I777" s="5"/>
      <c r="J777" s="5"/>
      <c r="K777" s="5">
        <v>215</v>
      </c>
      <c r="L777" s="5">
        <v>17</v>
      </c>
      <c r="M777" s="5">
        <v>3</v>
      </c>
      <c r="N777" s="5" t="s">
        <v>3</v>
      </c>
      <c r="O777" s="5">
        <v>2</v>
      </c>
      <c r="P777" s="5">
        <f>ROUND(Source!EL759,O777)</f>
        <v>0</v>
      </c>
      <c r="Q777" s="5"/>
      <c r="R777" s="5"/>
      <c r="S777" s="5"/>
      <c r="T777" s="5"/>
      <c r="U777" s="5"/>
      <c r="V777" s="5"/>
      <c r="W777" s="5">
        <v>0</v>
      </c>
      <c r="X777" s="5">
        <v>1</v>
      </c>
      <c r="Y777" s="5">
        <v>0</v>
      </c>
      <c r="Z777" s="5">
        <v>0</v>
      </c>
      <c r="AA777" s="5">
        <v>1</v>
      </c>
      <c r="AB777" s="5">
        <v>0</v>
      </c>
    </row>
    <row r="778" spans="1:28" x14ac:dyDescent="0.2">
      <c r="A778" s="5">
        <v>50</v>
      </c>
      <c r="B778" s="5">
        <v>0</v>
      </c>
      <c r="C778" s="5">
        <v>0</v>
      </c>
      <c r="D778" s="5">
        <v>1</v>
      </c>
      <c r="E778" s="5">
        <v>217</v>
      </c>
      <c r="F778" s="5">
        <f>ROUND(Source!AU759,O778)</f>
        <v>0</v>
      </c>
      <c r="G778" s="5" t="s">
        <v>60</v>
      </c>
      <c r="H778" s="5" t="s">
        <v>61</v>
      </c>
      <c r="I778" s="5"/>
      <c r="J778" s="5"/>
      <c r="K778" s="5">
        <v>217</v>
      </c>
      <c r="L778" s="5">
        <v>18</v>
      </c>
      <c r="M778" s="5">
        <v>3</v>
      </c>
      <c r="N778" s="5" t="s">
        <v>3</v>
      </c>
      <c r="O778" s="5">
        <v>2</v>
      </c>
      <c r="P778" s="5">
        <f>ROUND(Source!EM759,O778)</f>
        <v>0</v>
      </c>
      <c r="Q778" s="5"/>
      <c r="R778" s="5"/>
      <c r="S778" s="5"/>
      <c r="T778" s="5"/>
      <c r="U778" s="5"/>
      <c r="V778" s="5"/>
      <c r="W778" s="5">
        <v>0</v>
      </c>
      <c r="X778" s="5">
        <v>1</v>
      </c>
      <c r="Y778" s="5">
        <v>0</v>
      </c>
      <c r="Z778" s="5">
        <v>0</v>
      </c>
      <c r="AA778" s="5">
        <v>1</v>
      </c>
      <c r="AB778" s="5">
        <v>0</v>
      </c>
    </row>
    <row r="779" spans="1:28" x14ac:dyDescent="0.2">
      <c r="A779" s="5">
        <v>50</v>
      </c>
      <c r="B779" s="5">
        <v>0</v>
      </c>
      <c r="C779" s="5">
        <v>0</v>
      </c>
      <c r="D779" s="5">
        <v>1</v>
      </c>
      <c r="E779" s="5">
        <v>230</v>
      </c>
      <c r="F779" s="5">
        <f>ROUND(Source!BA759,O779)</f>
        <v>0</v>
      </c>
      <c r="G779" s="5" t="s">
        <v>62</v>
      </c>
      <c r="H779" s="5" t="s">
        <v>63</v>
      </c>
      <c r="I779" s="5"/>
      <c r="J779" s="5"/>
      <c r="K779" s="5">
        <v>230</v>
      </c>
      <c r="L779" s="5">
        <v>19</v>
      </c>
      <c r="M779" s="5">
        <v>3</v>
      </c>
      <c r="N779" s="5" t="s">
        <v>3</v>
      </c>
      <c r="O779" s="5">
        <v>2</v>
      </c>
      <c r="P779" s="5">
        <f>ROUND(Source!ES759,O779)</f>
        <v>0</v>
      </c>
      <c r="Q779" s="5"/>
      <c r="R779" s="5"/>
      <c r="S779" s="5"/>
      <c r="T779" s="5"/>
      <c r="U779" s="5"/>
      <c r="V779" s="5"/>
      <c r="W779" s="5">
        <v>0</v>
      </c>
      <c r="X779" s="5">
        <v>1</v>
      </c>
      <c r="Y779" s="5">
        <v>0</v>
      </c>
      <c r="Z779" s="5">
        <v>0</v>
      </c>
      <c r="AA779" s="5">
        <v>1</v>
      </c>
      <c r="AB779" s="5">
        <v>0</v>
      </c>
    </row>
    <row r="780" spans="1:28" x14ac:dyDescent="0.2">
      <c r="A780" s="5">
        <v>50</v>
      </c>
      <c r="B780" s="5">
        <v>0</v>
      </c>
      <c r="C780" s="5">
        <v>0</v>
      </c>
      <c r="D780" s="5">
        <v>1</v>
      </c>
      <c r="E780" s="5">
        <v>206</v>
      </c>
      <c r="F780" s="5">
        <f>ROUND(Source!T759,O780)</f>
        <v>0</v>
      </c>
      <c r="G780" s="5" t="s">
        <v>64</v>
      </c>
      <c r="H780" s="5" t="s">
        <v>65</v>
      </c>
      <c r="I780" s="5"/>
      <c r="J780" s="5"/>
      <c r="K780" s="5">
        <v>206</v>
      </c>
      <c r="L780" s="5">
        <v>20</v>
      </c>
      <c r="M780" s="5">
        <v>3</v>
      </c>
      <c r="N780" s="5" t="s">
        <v>3</v>
      </c>
      <c r="O780" s="5">
        <v>2</v>
      </c>
      <c r="P780" s="5">
        <f>ROUND(Source!DL759,O780)</f>
        <v>0</v>
      </c>
      <c r="Q780" s="5"/>
      <c r="R780" s="5"/>
      <c r="S780" s="5"/>
      <c r="T780" s="5"/>
      <c r="U780" s="5"/>
      <c r="V780" s="5"/>
      <c r="W780" s="5">
        <v>0</v>
      </c>
      <c r="X780" s="5">
        <v>1</v>
      </c>
      <c r="Y780" s="5">
        <v>0</v>
      </c>
      <c r="Z780" s="5">
        <v>0</v>
      </c>
      <c r="AA780" s="5">
        <v>1</v>
      </c>
      <c r="AB780" s="5">
        <v>0</v>
      </c>
    </row>
    <row r="781" spans="1:28" x14ac:dyDescent="0.2">
      <c r="A781" s="5">
        <v>50</v>
      </c>
      <c r="B781" s="5">
        <v>0</v>
      </c>
      <c r="C781" s="5">
        <v>0</v>
      </c>
      <c r="D781" s="5">
        <v>1</v>
      </c>
      <c r="E781" s="5">
        <v>207</v>
      </c>
      <c r="F781" s="5">
        <f>Source!U759</f>
        <v>0</v>
      </c>
      <c r="G781" s="5" t="s">
        <v>66</v>
      </c>
      <c r="H781" s="5" t="s">
        <v>67</v>
      </c>
      <c r="I781" s="5"/>
      <c r="J781" s="5"/>
      <c r="K781" s="5">
        <v>207</v>
      </c>
      <c r="L781" s="5">
        <v>21</v>
      </c>
      <c r="M781" s="5">
        <v>3</v>
      </c>
      <c r="N781" s="5" t="s">
        <v>3</v>
      </c>
      <c r="O781" s="5">
        <v>-1</v>
      </c>
      <c r="P781" s="5">
        <f>Source!DM759</f>
        <v>0</v>
      </c>
      <c r="Q781" s="5"/>
      <c r="R781" s="5"/>
      <c r="S781" s="5"/>
      <c r="T781" s="5"/>
      <c r="U781" s="5"/>
      <c r="V781" s="5"/>
      <c r="W781" s="5">
        <v>0</v>
      </c>
      <c r="X781" s="5">
        <v>1</v>
      </c>
      <c r="Y781" s="5">
        <v>0</v>
      </c>
      <c r="Z781" s="5">
        <v>0</v>
      </c>
      <c r="AA781" s="5">
        <v>1</v>
      </c>
      <c r="AB781" s="5">
        <v>0</v>
      </c>
    </row>
    <row r="782" spans="1:28" x14ac:dyDescent="0.2">
      <c r="A782" s="5">
        <v>50</v>
      </c>
      <c r="B782" s="5">
        <v>0</v>
      </c>
      <c r="C782" s="5">
        <v>0</v>
      </c>
      <c r="D782" s="5">
        <v>1</v>
      </c>
      <c r="E782" s="5">
        <v>208</v>
      </c>
      <c r="F782" s="5">
        <f>Source!V759</f>
        <v>0</v>
      </c>
      <c r="G782" s="5" t="s">
        <v>68</v>
      </c>
      <c r="H782" s="5" t="s">
        <v>69</v>
      </c>
      <c r="I782" s="5"/>
      <c r="J782" s="5"/>
      <c r="K782" s="5">
        <v>208</v>
      </c>
      <c r="L782" s="5">
        <v>22</v>
      </c>
      <c r="M782" s="5">
        <v>3</v>
      </c>
      <c r="N782" s="5" t="s">
        <v>3</v>
      </c>
      <c r="O782" s="5">
        <v>-1</v>
      </c>
      <c r="P782" s="5">
        <f>Source!DN759</f>
        <v>0</v>
      </c>
      <c r="Q782" s="5"/>
      <c r="R782" s="5"/>
      <c r="S782" s="5"/>
      <c r="T782" s="5"/>
      <c r="U782" s="5"/>
      <c r="V782" s="5"/>
      <c r="W782" s="5">
        <v>0</v>
      </c>
      <c r="X782" s="5">
        <v>1</v>
      </c>
      <c r="Y782" s="5">
        <v>0</v>
      </c>
      <c r="Z782" s="5">
        <v>0</v>
      </c>
      <c r="AA782" s="5">
        <v>1</v>
      </c>
      <c r="AB782" s="5">
        <v>0</v>
      </c>
    </row>
    <row r="783" spans="1:28" x14ac:dyDescent="0.2">
      <c r="A783" s="5">
        <v>50</v>
      </c>
      <c r="B783" s="5">
        <v>0</v>
      </c>
      <c r="C783" s="5">
        <v>0</v>
      </c>
      <c r="D783" s="5">
        <v>1</v>
      </c>
      <c r="E783" s="5">
        <v>209</v>
      </c>
      <c r="F783" s="5">
        <f>ROUND(Source!W759,O783)</f>
        <v>0</v>
      </c>
      <c r="G783" s="5" t="s">
        <v>70</v>
      </c>
      <c r="H783" s="5" t="s">
        <v>71</v>
      </c>
      <c r="I783" s="5"/>
      <c r="J783" s="5"/>
      <c r="K783" s="5">
        <v>209</v>
      </c>
      <c r="L783" s="5">
        <v>23</v>
      </c>
      <c r="M783" s="5">
        <v>3</v>
      </c>
      <c r="N783" s="5" t="s">
        <v>3</v>
      </c>
      <c r="O783" s="5">
        <v>2</v>
      </c>
      <c r="P783" s="5">
        <f>ROUND(Source!DO759,O783)</f>
        <v>0</v>
      </c>
      <c r="Q783" s="5"/>
      <c r="R783" s="5"/>
      <c r="S783" s="5"/>
      <c r="T783" s="5"/>
      <c r="U783" s="5"/>
      <c r="V783" s="5"/>
      <c r="W783" s="5">
        <v>0</v>
      </c>
      <c r="X783" s="5">
        <v>1</v>
      </c>
      <c r="Y783" s="5">
        <v>0</v>
      </c>
      <c r="Z783" s="5">
        <v>0</v>
      </c>
      <c r="AA783" s="5">
        <v>1</v>
      </c>
      <c r="AB783" s="5">
        <v>0</v>
      </c>
    </row>
    <row r="784" spans="1:28" x14ac:dyDescent="0.2">
      <c r="A784" s="5">
        <v>50</v>
      </c>
      <c r="B784" s="5">
        <v>0</v>
      </c>
      <c r="C784" s="5">
        <v>0</v>
      </c>
      <c r="D784" s="5">
        <v>1</v>
      </c>
      <c r="E784" s="5">
        <v>233</v>
      </c>
      <c r="F784" s="5">
        <f>ROUND(Source!BD759,O784)</f>
        <v>0</v>
      </c>
      <c r="G784" s="5" t="s">
        <v>72</v>
      </c>
      <c r="H784" s="5" t="s">
        <v>73</v>
      </c>
      <c r="I784" s="5"/>
      <c r="J784" s="5"/>
      <c r="K784" s="5">
        <v>233</v>
      </c>
      <c r="L784" s="5">
        <v>24</v>
      </c>
      <c r="M784" s="5">
        <v>3</v>
      </c>
      <c r="N784" s="5" t="s">
        <v>3</v>
      </c>
      <c r="O784" s="5">
        <v>2</v>
      </c>
      <c r="P784" s="5">
        <f>ROUND(Source!EV759,O784)</f>
        <v>0</v>
      </c>
      <c r="Q784" s="5"/>
      <c r="R784" s="5"/>
      <c r="S784" s="5"/>
      <c r="T784" s="5"/>
      <c r="U784" s="5"/>
      <c r="V784" s="5"/>
      <c r="W784" s="5">
        <v>0</v>
      </c>
      <c r="X784" s="5">
        <v>1</v>
      </c>
      <c r="Y784" s="5">
        <v>0</v>
      </c>
      <c r="Z784" s="5">
        <v>0</v>
      </c>
      <c r="AA784" s="5">
        <v>1</v>
      </c>
      <c r="AB784" s="5">
        <v>0</v>
      </c>
    </row>
    <row r="785" spans="1:206" x14ac:dyDescent="0.2">
      <c r="A785" s="5">
        <v>50</v>
      </c>
      <c r="B785" s="5">
        <v>0</v>
      </c>
      <c r="C785" s="5">
        <v>0</v>
      </c>
      <c r="D785" s="5">
        <v>1</v>
      </c>
      <c r="E785" s="5">
        <v>210</v>
      </c>
      <c r="F785" s="5">
        <f>ROUND(Source!X759,O785)</f>
        <v>0</v>
      </c>
      <c r="G785" s="5" t="s">
        <v>74</v>
      </c>
      <c r="H785" s="5" t="s">
        <v>75</v>
      </c>
      <c r="I785" s="5"/>
      <c r="J785" s="5"/>
      <c r="K785" s="5">
        <v>210</v>
      </c>
      <c r="L785" s="5">
        <v>25</v>
      </c>
      <c r="M785" s="5">
        <v>3</v>
      </c>
      <c r="N785" s="5" t="s">
        <v>3</v>
      </c>
      <c r="O785" s="5">
        <v>2</v>
      </c>
      <c r="P785" s="5">
        <f>ROUND(Source!DP759,O785)</f>
        <v>0</v>
      </c>
      <c r="Q785" s="5"/>
      <c r="R785" s="5"/>
      <c r="S785" s="5"/>
      <c r="T785" s="5"/>
      <c r="U785" s="5"/>
      <c r="V785" s="5"/>
      <c r="W785" s="5">
        <v>0</v>
      </c>
      <c r="X785" s="5">
        <v>1</v>
      </c>
      <c r="Y785" s="5">
        <v>0</v>
      </c>
      <c r="Z785" s="5">
        <v>0</v>
      </c>
      <c r="AA785" s="5">
        <v>1</v>
      </c>
      <c r="AB785" s="5">
        <v>0</v>
      </c>
    </row>
    <row r="786" spans="1:206" x14ac:dyDescent="0.2">
      <c r="A786" s="5">
        <v>50</v>
      </c>
      <c r="B786" s="5">
        <v>0</v>
      </c>
      <c r="C786" s="5">
        <v>0</v>
      </c>
      <c r="D786" s="5">
        <v>1</v>
      </c>
      <c r="E786" s="5">
        <v>211</v>
      </c>
      <c r="F786" s="5">
        <f>ROUND(Source!Y759,O786)</f>
        <v>0</v>
      </c>
      <c r="G786" s="5" t="s">
        <v>76</v>
      </c>
      <c r="H786" s="5" t="s">
        <v>77</v>
      </c>
      <c r="I786" s="5"/>
      <c r="J786" s="5"/>
      <c r="K786" s="5">
        <v>211</v>
      </c>
      <c r="L786" s="5">
        <v>26</v>
      </c>
      <c r="M786" s="5">
        <v>3</v>
      </c>
      <c r="N786" s="5" t="s">
        <v>3</v>
      </c>
      <c r="O786" s="5">
        <v>2</v>
      </c>
      <c r="P786" s="5">
        <f>ROUND(Source!DQ759,O786)</f>
        <v>0</v>
      </c>
      <c r="Q786" s="5"/>
      <c r="R786" s="5"/>
      <c r="S786" s="5"/>
      <c r="T786" s="5"/>
      <c r="U786" s="5"/>
      <c r="V786" s="5"/>
      <c r="W786" s="5">
        <v>0</v>
      </c>
      <c r="X786" s="5">
        <v>1</v>
      </c>
      <c r="Y786" s="5">
        <v>0</v>
      </c>
      <c r="Z786" s="5">
        <v>0</v>
      </c>
      <c r="AA786" s="5">
        <v>1</v>
      </c>
      <c r="AB786" s="5">
        <v>0</v>
      </c>
    </row>
    <row r="787" spans="1:206" x14ac:dyDescent="0.2">
      <c r="A787" s="5">
        <v>50</v>
      </c>
      <c r="B787" s="5">
        <v>0</v>
      </c>
      <c r="C787" s="5">
        <v>0</v>
      </c>
      <c r="D787" s="5">
        <v>1</v>
      </c>
      <c r="E787" s="5">
        <v>224</v>
      </c>
      <c r="F787" s="5">
        <f>ROUND(Source!AR759,O787)</f>
        <v>13060.83</v>
      </c>
      <c r="G787" s="5" t="s">
        <v>78</v>
      </c>
      <c r="H787" s="5" t="s">
        <v>79</v>
      </c>
      <c r="I787" s="5"/>
      <c r="J787" s="5"/>
      <c r="K787" s="5">
        <v>224</v>
      </c>
      <c r="L787" s="5">
        <v>27</v>
      </c>
      <c r="M787" s="5">
        <v>3</v>
      </c>
      <c r="N787" s="5" t="s">
        <v>3</v>
      </c>
      <c r="O787" s="5">
        <v>2</v>
      </c>
      <c r="P787" s="5">
        <f>ROUND(Source!EJ759,O787)</f>
        <v>86942.82</v>
      </c>
      <c r="Q787" s="5"/>
      <c r="R787" s="5"/>
      <c r="S787" s="5"/>
      <c r="T787" s="5"/>
      <c r="U787" s="5"/>
      <c r="V787" s="5"/>
      <c r="W787" s="5">
        <v>13060.83</v>
      </c>
      <c r="X787" s="5">
        <v>1</v>
      </c>
      <c r="Y787" s="5">
        <v>13060.83</v>
      </c>
      <c r="Z787" s="5">
        <v>86942.82</v>
      </c>
      <c r="AA787" s="5">
        <v>1</v>
      </c>
      <c r="AB787" s="5">
        <v>86942.82</v>
      </c>
    </row>
    <row r="789" spans="1:206" x14ac:dyDescent="0.2">
      <c r="A789" s="3">
        <v>51</v>
      </c>
      <c r="B789" s="3">
        <f>B639</f>
        <v>1</v>
      </c>
      <c r="C789" s="3">
        <f>A639</f>
        <v>3</v>
      </c>
      <c r="D789" s="3">
        <f>ROW(A639)</f>
        <v>639</v>
      </c>
      <c r="E789" s="3"/>
      <c r="F789" s="3" t="str">
        <f>IF(F639&lt;&gt;"",F639,"")</f>
        <v>02-01-04</v>
      </c>
      <c r="G789" s="3" t="str">
        <f>IF(G639&lt;&gt;"",G639,"")</f>
        <v>Система связи</v>
      </c>
      <c r="H789" s="3">
        <v>0</v>
      </c>
      <c r="I789" s="3"/>
      <c r="J789" s="3"/>
      <c r="K789" s="3"/>
      <c r="L789" s="3"/>
      <c r="M789" s="3"/>
      <c r="N789" s="3"/>
      <c r="O789" s="3">
        <f t="shared" ref="O789:T789" si="692">ROUND(O702+O759+AB789,2)</f>
        <v>16240.55</v>
      </c>
      <c r="P789" s="3">
        <f t="shared" si="692"/>
        <v>15179.26</v>
      </c>
      <c r="Q789" s="3">
        <f t="shared" si="692"/>
        <v>160.71</v>
      </c>
      <c r="R789" s="3">
        <f t="shared" si="692"/>
        <v>23.89</v>
      </c>
      <c r="S789" s="3">
        <f t="shared" si="692"/>
        <v>900.58</v>
      </c>
      <c r="T789" s="3">
        <f t="shared" si="692"/>
        <v>0</v>
      </c>
      <c r="U789" s="3">
        <f>U702+U759+AH789</f>
        <v>69.082899999999995</v>
      </c>
      <c r="V789" s="3">
        <f>V702+V759+AI789</f>
        <v>0</v>
      </c>
      <c r="W789" s="3">
        <f>ROUND(W702+W759+AJ789,2)</f>
        <v>0</v>
      </c>
      <c r="X789" s="3">
        <f>ROUND(X702+X759+AK789,2)</f>
        <v>1025.6500000000001</v>
      </c>
      <c r="Y789" s="3">
        <f>ROUND(Y702+Y759+AL789,2)</f>
        <v>603.5</v>
      </c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>
        <f t="shared" ref="AO789:BD789" si="693">ROUND(AO702+AO759+BX789,2)</f>
        <v>0</v>
      </c>
      <c r="AP789" s="3">
        <f t="shared" si="693"/>
        <v>1752.36</v>
      </c>
      <c r="AQ789" s="3">
        <f t="shared" si="693"/>
        <v>0</v>
      </c>
      <c r="AR789" s="3">
        <f t="shared" si="693"/>
        <v>17911.53</v>
      </c>
      <c r="AS789" s="3">
        <f t="shared" si="693"/>
        <v>11529.32</v>
      </c>
      <c r="AT789" s="3">
        <f t="shared" si="693"/>
        <v>4629.8500000000004</v>
      </c>
      <c r="AU789" s="3">
        <f t="shared" si="693"/>
        <v>0</v>
      </c>
      <c r="AV789" s="3">
        <f t="shared" si="693"/>
        <v>15179.26</v>
      </c>
      <c r="AW789" s="3">
        <f t="shared" si="693"/>
        <v>13426.9</v>
      </c>
      <c r="AX789" s="3">
        <f t="shared" si="693"/>
        <v>0</v>
      </c>
      <c r="AY789" s="3">
        <f t="shared" si="693"/>
        <v>13426.9</v>
      </c>
      <c r="AZ789" s="3">
        <f t="shared" si="693"/>
        <v>1752.36</v>
      </c>
      <c r="BA789" s="3">
        <f t="shared" si="693"/>
        <v>0</v>
      </c>
      <c r="BB789" s="3">
        <f t="shared" si="693"/>
        <v>0</v>
      </c>
      <c r="BC789" s="3">
        <f t="shared" si="693"/>
        <v>0</v>
      </c>
      <c r="BD789" s="3">
        <f t="shared" si="693"/>
        <v>0</v>
      </c>
      <c r="BE789" s="3"/>
      <c r="BF789" s="3"/>
      <c r="BG789" s="3"/>
      <c r="BH789" s="3"/>
      <c r="BI789" s="3"/>
      <c r="BJ789" s="3"/>
      <c r="BK789" s="3"/>
      <c r="BL789" s="3"/>
      <c r="BM789" s="3"/>
      <c r="BN789" s="3"/>
      <c r="BO789" s="3"/>
      <c r="BP789" s="3"/>
      <c r="BQ789" s="3"/>
      <c r="BR789" s="3"/>
      <c r="BS789" s="3"/>
      <c r="BT789" s="3"/>
      <c r="BU789" s="3"/>
      <c r="BV789" s="3"/>
      <c r="BW789" s="3"/>
      <c r="BX789" s="3"/>
      <c r="BY789" s="3"/>
      <c r="BZ789" s="3"/>
      <c r="CA789" s="3"/>
      <c r="CB789" s="3"/>
      <c r="CC789" s="3"/>
      <c r="CD789" s="3"/>
      <c r="CE789" s="3"/>
      <c r="CF789" s="3"/>
      <c r="CG789" s="3"/>
      <c r="CH789" s="3"/>
      <c r="CI789" s="3"/>
      <c r="CJ789" s="3"/>
      <c r="CK789" s="3"/>
      <c r="CL789" s="3"/>
      <c r="CM789" s="3"/>
      <c r="CN789" s="3"/>
      <c r="CO789" s="3"/>
      <c r="CP789" s="3"/>
      <c r="CQ789" s="3"/>
      <c r="CR789" s="3"/>
      <c r="CS789" s="3"/>
      <c r="CT789" s="3"/>
      <c r="CU789" s="3"/>
      <c r="CV789" s="3"/>
      <c r="CW789" s="3"/>
      <c r="CX789" s="3"/>
      <c r="CY789" s="3"/>
      <c r="CZ789" s="3"/>
      <c r="DA789" s="3"/>
      <c r="DB789" s="3"/>
      <c r="DC789" s="3"/>
      <c r="DD789" s="3"/>
      <c r="DE789" s="3"/>
      <c r="DF789" s="3"/>
      <c r="DG789" s="4">
        <f t="shared" ref="DG789:DL789" si="694">ROUND(DG702+DG759+DT789,2)</f>
        <v>132862.19</v>
      </c>
      <c r="DH789" s="4">
        <f t="shared" si="694"/>
        <v>104969.87</v>
      </c>
      <c r="DI789" s="4">
        <f t="shared" si="694"/>
        <v>1748.47</v>
      </c>
      <c r="DJ789" s="4">
        <f t="shared" si="694"/>
        <v>693.53</v>
      </c>
      <c r="DK789" s="4">
        <f t="shared" si="694"/>
        <v>26143.85</v>
      </c>
      <c r="DL789" s="4">
        <f t="shared" si="694"/>
        <v>0</v>
      </c>
      <c r="DM789" s="4">
        <f>DM702+DM759+DZ789</f>
        <v>69.082899999999995</v>
      </c>
      <c r="DN789" s="4">
        <f>DN702+DN759+EA789</f>
        <v>0</v>
      </c>
      <c r="DO789" s="4">
        <f>ROUND(DO702+DO759+EB789,2)</f>
        <v>0</v>
      </c>
      <c r="DP789" s="4">
        <f>ROUND(DP702+DP759+EC789,2)</f>
        <v>20644.57</v>
      </c>
      <c r="DQ789" s="4">
        <f>ROUND(DQ702+DQ759+ED789,2)</f>
        <v>10718.97</v>
      </c>
      <c r="DR789" s="4"/>
      <c r="DS789" s="4"/>
      <c r="DT789" s="4"/>
      <c r="DU789" s="4"/>
      <c r="DV789" s="4"/>
      <c r="DW789" s="4"/>
      <c r="DX789" s="4"/>
      <c r="DY789" s="4"/>
      <c r="DZ789" s="4"/>
      <c r="EA789" s="4"/>
      <c r="EB789" s="4"/>
      <c r="EC789" s="4"/>
      <c r="ED789" s="4"/>
      <c r="EE789" s="4"/>
      <c r="EF789" s="4"/>
      <c r="EG789" s="4">
        <f t="shared" ref="EG789:EV789" si="695">ROUND(EG702+EG759+FP789,2)</f>
        <v>0</v>
      </c>
      <c r="EH789" s="4">
        <f t="shared" si="695"/>
        <v>14211.64</v>
      </c>
      <c r="EI789" s="4">
        <f t="shared" si="695"/>
        <v>0</v>
      </c>
      <c r="EJ789" s="4">
        <f t="shared" si="695"/>
        <v>165335.35999999999</v>
      </c>
      <c r="EK789" s="4">
        <f t="shared" si="695"/>
        <v>74830.78</v>
      </c>
      <c r="EL789" s="4">
        <f t="shared" si="695"/>
        <v>76292.94</v>
      </c>
      <c r="EM789" s="4">
        <f t="shared" si="695"/>
        <v>0</v>
      </c>
      <c r="EN789" s="4">
        <f t="shared" si="695"/>
        <v>104969.87</v>
      </c>
      <c r="EO789" s="4">
        <f t="shared" si="695"/>
        <v>90758.23</v>
      </c>
      <c r="EP789" s="4">
        <f t="shared" si="695"/>
        <v>0</v>
      </c>
      <c r="EQ789" s="4">
        <f t="shared" si="695"/>
        <v>90758.23</v>
      </c>
      <c r="ER789" s="4">
        <f t="shared" si="695"/>
        <v>14211.64</v>
      </c>
      <c r="ES789" s="4">
        <f t="shared" si="695"/>
        <v>0</v>
      </c>
      <c r="ET789" s="4">
        <f t="shared" si="695"/>
        <v>0</v>
      </c>
      <c r="EU789" s="4">
        <f t="shared" si="695"/>
        <v>0</v>
      </c>
      <c r="EV789" s="4">
        <f t="shared" si="695"/>
        <v>0</v>
      </c>
      <c r="EW789" s="4"/>
      <c r="EX789" s="4"/>
      <c r="EY789" s="4"/>
      <c r="EZ789" s="4"/>
      <c r="FA789" s="4"/>
      <c r="FB789" s="4"/>
      <c r="FC789" s="4"/>
      <c r="FD789" s="4"/>
      <c r="FE789" s="4"/>
      <c r="FF789" s="4"/>
      <c r="FG789" s="4"/>
      <c r="FH789" s="4"/>
      <c r="FI789" s="4"/>
      <c r="FJ789" s="4"/>
      <c r="FK789" s="4"/>
      <c r="FL789" s="4"/>
      <c r="FM789" s="4"/>
      <c r="FN789" s="4"/>
      <c r="FO789" s="4"/>
      <c r="FP789" s="4"/>
      <c r="FQ789" s="4"/>
      <c r="FR789" s="4"/>
      <c r="FS789" s="4"/>
      <c r="FT789" s="4"/>
      <c r="FU789" s="4"/>
      <c r="FV789" s="4"/>
      <c r="FW789" s="4"/>
      <c r="FX789" s="4"/>
      <c r="FY789" s="4"/>
      <c r="FZ789" s="4"/>
      <c r="GA789" s="4"/>
      <c r="GB789" s="4"/>
      <c r="GC789" s="4"/>
      <c r="GD789" s="4"/>
      <c r="GE789" s="4"/>
      <c r="GF789" s="4"/>
      <c r="GG789" s="4"/>
      <c r="GH789" s="4"/>
      <c r="GI789" s="4"/>
      <c r="GJ789" s="4"/>
      <c r="GK789" s="4"/>
      <c r="GL789" s="4"/>
      <c r="GM789" s="4"/>
      <c r="GN789" s="4"/>
      <c r="GO789" s="4"/>
      <c r="GP789" s="4"/>
      <c r="GQ789" s="4"/>
      <c r="GR789" s="4"/>
      <c r="GS789" s="4"/>
      <c r="GT789" s="4"/>
      <c r="GU789" s="4"/>
      <c r="GV789" s="4"/>
      <c r="GW789" s="4"/>
      <c r="GX789" s="4">
        <v>0</v>
      </c>
    </row>
    <row r="791" spans="1:206" x14ac:dyDescent="0.2">
      <c r="A791" s="5">
        <v>50</v>
      </c>
      <c r="B791" s="5">
        <v>0</v>
      </c>
      <c r="C791" s="5">
        <v>0</v>
      </c>
      <c r="D791" s="5">
        <v>1</v>
      </c>
      <c r="E791" s="5">
        <v>201</v>
      </c>
      <c r="F791" s="5">
        <f>ROUND(Source!O789,O791)</f>
        <v>16240.55</v>
      </c>
      <c r="G791" s="5" t="s">
        <v>26</v>
      </c>
      <c r="H791" s="5" t="s">
        <v>27</v>
      </c>
      <c r="I791" s="5"/>
      <c r="J791" s="5"/>
      <c r="K791" s="5">
        <v>201</v>
      </c>
      <c r="L791" s="5">
        <v>1</v>
      </c>
      <c r="M791" s="5">
        <v>3</v>
      </c>
      <c r="N791" s="5" t="s">
        <v>3</v>
      </c>
      <c r="O791" s="5">
        <v>2</v>
      </c>
      <c r="P791" s="5">
        <f>ROUND(Source!DG789,O791)</f>
        <v>132862.19</v>
      </c>
      <c r="Q791" s="5"/>
      <c r="R791" s="5"/>
      <c r="S791" s="5"/>
      <c r="T791" s="5"/>
      <c r="U791" s="5"/>
      <c r="V791" s="5"/>
      <c r="W791" s="5">
        <v>16240.55</v>
      </c>
      <c r="X791" s="5">
        <v>1</v>
      </c>
      <c r="Y791" s="5">
        <v>16240.55</v>
      </c>
      <c r="Z791" s="5">
        <v>132862.19</v>
      </c>
      <c r="AA791" s="5">
        <v>1</v>
      </c>
      <c r="AB791" s="5">
        <v>132862.19</v>
      </c>
    </row>
    <row r="792" spans="1:206" x14ac:dyDescent="0.2">
      <c r="A792" s="5">
        <v>50</v>
      </c>
      <c r="B792" s="5">
        <v>0</v>
      </c>
      <c r="C792" s="5">
        <v>0</v>
      </c>
      <c r="D792" s="5">
        <v>1</v>
      </c>
      <c r="E792" s="5">
        <v>202</v>
      </c>
      <c r="F792" s="5">
        <f>ROUND(Source!P789,O792)</f>
        <v>15179.26</v>
      </c>
      <c r="G792" s="5" t="s">
        <v>28</v>
      </c>
      <c r="H792" s="5" t="s">
        <v>29</v>
      </c>
      <c r="I792" s="5"/>
      <c r="J792" s="5"/>
      <c r="K792" s="5">
        <v>202</v>
      </c>
      <c r="L792" s="5">
        <v>2</v>
      </c>
      <c r="M792" s="5">
        <v>3</v>
      </c>
      <c r="N792" s="5" t="s">
        <v>3</v>
      </c>
      <c r="O792" s="5">
        <v>2</v>
      </c>
      <c r="P792" s="5">
        <f>ROUND(Source!DH789,O792)</f>
        <v>104969.87</v>
      </c>
      <c r="Q792" s="5"/>
      <c r="R792" s="5"/>
      <c r="S792" s="5"/>
      <c r="T792" s="5"/>
      <c r="U792" s="5"/>
      <c r="V792" s="5"/>
      <c r="W792" s="5">
        <v>15179.26</v>
      </c>
      <c r="X792" s="5">
        <v>1</v>
      </c>
      <c r="Y792" s="5">
        <v>15179.26</v>
      </c>
      <c r="Z792" s="5">
        <v>104969.87</v>
      </c>
      <c r="AA792" s="5">
        <v>1</v>
      </c>
      <c r="AB792" s="5">
        <v>104969.87</v>
      </c>
    </row>
    <row r="793" spans="1:206" x14ac:dyDescent="0.2">
      <c r="A793" s="5">
        <v>50</v>
      </c>
      <c r="B793" s="5">
        <v>0</v>
      </c>
      <c r="C793" s="5">
        <v>0</v>
      </c>
      <c r="D793" s="5">
        <v>1</v>
      </c>
      <c r="E793" s="5">
        <v>222</v>
      </c>
      <c r="F793" s="5">
        <f>ROUND(Source!AO789,O793)</f>
        <v>0</v>
      </c>
      <c r="G793" s="5" t="s">
        <v>30</v>
      </c>
      <c r="H793" s="5" t="s">
        <v>31</v>
      </c>
      <c r="I793" s="5"/>
      <c r="J793" s="5"/>
      <c r="K793" s="5">
        <v>222</v>
      </c>
      <c r="L793" s="5">
        <v>3</v>
      </c>
      <c r="M793" s="5">
        <v>3</v>
      </c>
      <c r="N793" s="5" t="s">
        <v>3</v>
      </c>
      <c r="O793" s="5">
        <v>2</v>
      </c>
      <c r="P793" s="5">
        <f>ROUND(Source!EG789,O793)</f>
        <v>0</v>
      </c>
      <c r="Q793" s="5"/>
      <c r="R793" s="5"/>
      <c r="S793" s="5"/>
      <c r="T793" s="5"/>
      <c r="U793" s="5"/>
      <c r="V793" s="5"/>
      <c r="W793" s="5">
        <v>0</v>
      </c>
      <c r="X793" s="5">
        <v>1</v>
      </c>
      <c r="Y793" s="5">
        <v>0</v>
      </c>
      <c r="Z793" s="5">
        <v>0</v>
      </c>
      <c r="AA793" s="5">
        <v>1</v>
      </c>
      <c r="AB793" s="5">
        <v>0</v>
      </c>
    </row>
    <row r="794" spans="1:206" x14ac:dyDescent="0.2">
      <c r="A794" s="5">
        <v>50</v>
      </c>
      <c r="B794" s="5">
        <v>0</v>
      </c>
      <c r="C794" s="5">
        <v>0</v>
      </c>
      <c r="D794" s="5">
        <v>1</v>
      </c>
      <c r="E794" s="5">
        <v>225</v>
      </c>
      <c r="F794" s="5">
        <f>ROUND(Source!AV789,O794)</f>
        <v>15179.26</v>
      </c>
      <c r="G794" s="5" t="s">
        <v>32</v>
      </c>
      <c r="H794" s="5" t="s">
        <v>33</v>
      </c>
      <c r="I794" s="5"/>
      <c r="J794" s="5"/>
      <c r="K794" s="5">
        <v>225</v>
      </c>
      <c r="L794" s="5">
        <v>4</v>
      </c>
      <c r="M794" s="5">
        <v>3</v>
      </c>
      <c r="N794" s="5" t="s">
        <v>3</v>
      </c>
      <c r="O794" s="5">
        <v>2</v>
      </c>
      <c r="P794" s="5">
        <f>ROUND(Source!EN789,O794)</f>
        <v>104969.87</v>
      </c>
      <c r="Q794" s="5"/>
      <c r="R794" s="5"/>
      <c r="S794" s="5"/>
      <c r="T794" s="5"/>
      <c r="U794" s="5"/>
      <c r="V794" s="5"/>
      <c r="W794" s="5">
        <v>15179.26</v>
      </c>
      <c r="X794" s="5">
        <v>1</v>
      </c>
      <c r="Y794" s="5">
        <v>15179.26</v>
      </c>
      <c r="Z794" s="5">
        <v>104969.87</v>
      </c>
      <c r="AA794" s="5">
        <v>1</v>
      </c>
      <c r="AB794" s="5">
        <v>104969.87</v>
      </c>
    </row>
    <row r="795" spans="1:206" x14ac:dyDescent="0.2">
      <c r="A795" s="5">
        <v>50</v>
      </c>
      <c r="B795" s="5">
        <v>0</v>
      </c>
      <c r="C795" s="5">
        <v>0</v>
      </c>
      <c r="D795" s="5">
        <v>1</v>
      </c>
      <c r="E795" s="5">
        <v>226</v>
      </c>
      <c r="F795" s="5">
        <f>ROUND(Source!AW789,O795)</f>
        <v>13426.9</v>
      </c>
      <c r="G795" s="5" t="s">
        <v>34</v>
      </c>
      <c r="H795" s="5" t="s">
        <v>35</v>
      </c>
      <c r="I795" s="5"/>
      <c r="J795" s="5"/>
      <c r="K795" s="5">
        <v>226</v>
      </c>
      <c r="L795" s="5">
        <v>5</v>
      </c>
      <c r="M795" s="5">
        <v>3</v>
      </c>
      <c r="N795" s="5" t="s">
        <v>3</v>
      </c>
      <c r="O795" s="5">
        <v>2</v>
      </c>
      <c r="P795" s="5">
        <f>ROUND(Source!EO789,O795)</f>
        <v>90758.23</v>
      </c>
      <c r="Q795" s="5"/>
      <c r="R795" s="5"/>
      <c r="S795" s="5"/>
      <c r="T795" s="5"/>
      <c r="U795" s="5"/>
      <c r="V795" s="5"/>
      <c r="W795" s="5">
        <v>13426.9</v>
      </c>
      <c r="X795" s="5">
        <v>1</v>
      </c>
      <c r="Y795" s="5">
        <v>13426.9</v>
      </c>
      <c r="Z795" s="5">
        <v>90758.23</v>
      </c>
      <c r="AA795" s="5">
        <v>1</v>
      </c>
      <c r="AB795" s="5">
        <v>90758.23</v>
      </c>
    </row>
    <row r="796" spans="1:206" x14ac:dyDescent="0.2">
      <c r="A796" s="5">
        <v>50</v>
      </c>
      <c r="B796" s="5">
        <v>0</v>
      </c>
      <c r="C796" s="5">
        <v>0</v>
      </c>
      <c r="D796" s="5">
        <v>1</v>
      </c>
      <c r="E796" s="5">
        <v>227</v>
      </c>
      <c r="F796" s="5">
        <f>ROUND(Source!AX789,O796)</f>
        <v>0</v>
      </c>
      <c r="G796" s="5" t="s">
        <v>36</v>
      </c>
      <c r="H796" s="5" t="s">
        <v>37</v>
      </c>
      <c r="I796" s="5"/>
      <c r="J796" s="5"/>
      <c r="K796" s="5">
        <v>227</v>
      </c>
      <c r="L796" s="5">
        <v>6</v>
      </c>
      <c r="M796" s="5">
        <v>3</v>
      </c>
      <c r="N796" s="5" t="s">
        <v>3</v>
      </c>
      <c r="O796" s="5">
        <v>2</v>
      </c>
      <c r="P796" s="5">
        <f>ROUND(Source!EP789,O796)</f>
        <v>0</v>
      </c>
      <c r="Q796" s="5"/>
      <c r="R796" s="5"/>
      <c r="S796" s="5"/>
      <c r="T796" s="5"/>
      <c r="U796" s="5"/>
      <c r="V796" s="5"/>
      <c r="W796" s="5">
        <v>0</v>
      </c>
      <c r="X796" s="5">
        <v>1</v>
      </c>
      <c r="Y796" s="5">
        <v>0</v>
      </c>
      <c r="Z796" s="5">
        <v>0</v>
      </c>
      <c r="AA796" s="5">
        <v>1</v>
      </c>
      <c r="AB796" s="5">
        <v>0</v>
      </c>
    </row>
    <row r="797" spans="1:206" x14ac:dyDescent="0.2">
      <c r="A797" s="5">
        <v>50</v>
      </c>
      <c r="B797" s="5">
        <v>0</v>
      </c>
      <c r="C797" s="5">
        <v>0</v>
      </c>
      <c r="D797" s="5">
        <v>1</v>
      </c>
      <c r="E797" s="5">
        <v>228</v>
      </c>
      <c r="F797" s="5">
        <f>ROUND(Source!AY789,O797)</f>
        <v>13426.9</v>
      </c>
      <c r="G797" s="5" t="s">
        <v>38</v>
      </c>
      <c r="H797" s="5" t="s">
        <v>39</v>
      </c>
      <c r="I797" s="5"/>
      <c r="J797" s="5"/>
      <c r="K797" s="5">
        <v>228</v>
      </c>
      <c r="L797" s="5">
        <v>7</v>
      </c>
      <c r="M797" s="5">
        <v>3</v>
      </c>
      <c r="N797" s="5" t="s">
        <v>3</v>
      </c>
      <c r="O797" s="5">
        <v>2</v>
      </c>
      <c r="P797" s="5">
        <f>ROUND(Source!EQ789,O797)</f>
        <v>90758.23</v>
      </c>
      <c r="Q797" s="5"/>
      <c r="R797" s="5"/>
      <c r="S797" s="5"/>
      <c r="T797" s="5"/>
      <c r="U797" s="5"/>
      <c r="V797" s="5"/>
      <c r="W797" s="5">
        <v>13426.9</v>
      </c>
      <c r="X797" s="5">
        <v>1</v>
      </c>
      <c r="Y797" s="5">
        <v>13426.9</v>
      </c>
      <c r="Z797" s="5">
        <v>90758.23</v>
      </c>
      <c r="AA797" s="5">
        <v>1</v>
      </c>
      <c r="AB797" s="5">
        <v>90758.23</v>
      </c>
    </row>
    <row r="798" spans="1:206" x14ac:dyDescent="0.2">
      <c r="A798" s="5">
        <v>50</v>
      </c>
      <c r="B798" s="5">
        <v>0</v>
      </c>
      <c r="C798" s="5">
        <v>0</v>
      </c>
      <c r="D798" s="5">
        <v>1</v>
      </c>
      <c r="E798" s="5">
        <v>216</v>
      </c>
      <c r="F798" s="5">
        <f>ROUND(Source!AP789,O798)</f>
        <v>1752.36</v>
      </c>
      <c r="G798" s="5" t="s">
        <v>40</v>
      </c>
      <c r="H798" s="5" t="s">
        <v>41</v>
      </c>
      <c r="I798" s="5"/>
      <c r="J798" s="5"/>
      <c r="K798" s="5">
        <v>216</v>
      </c>
      <c r="L798" s="5">
        <v>8</v>
      </c>
      <c r="M798" s="5">
        <v>3</v>
      </c>
      <c r="N798" s="5" t="s">
        <v>3</v>
      </c>
      <c r="O798" s="5">
        <v>2</v>
      </c>
      <c r="P798" s="5">
        <f>ROUND(Source!EH789,O798)</f>
        <v>14211.64</v>
      </c>
      <c r="Q798" s="5"/>
      <c r="R798" s="5"/>
      <c r="S798" s="5"/>
      <c r="T798" s="5"/>
      <c r="U798" s="5"/>
      <c r="V798" s="5"/>
      <c r="W798" s="5">
        <v>1752.36</v>
      </c>
      <c r="X798" s="5">
        <v>1</v>
      </c>
      <c r="Y798" s="5">
        <v>1752.36</v>
      </c>
      <c r="Z798" s="5">
        <v>14211.64</v>
      </c>
      <c r="AA798" s="5">
        <v>1</v>
      </c>
      <c r="AB798" s="5">
        <v>14211.64</v>
      </c>
    </row>
    <row r="799" spans="1:206" x14ac:dyDescent="0.2">
      <c r="A799" s="5">
        <v>50</v>
      </c>
      <c r="B799" s="5">
        <v>0</v>
      </c>
      <c r="C799" s="5">
        <v>0</v>
      </c>
      <c r="D799" s="5">
        <v>1</v>
      </c>
      <c r="E799" s="5">
        <v>223</v>
      </c>
      <c r="F799" s="5">
        <f>ROUND(Source!AQ789,O799)</f>
        <v>0</v>
      </c>
      <c r="G799" s="5" t="s">
        <v>42</v>
      </c>
      <c r="H799" s="5" t="s">
        <v>43</v>
      </c>
      <c r="I799" s="5"/>
      <c r="J799" s="5"/>
      <c r="K799" s="5">
        <v>223</v>
      </c>
      <c r="L799" s="5">
        <v>9</v>
      </c>
      <c r="M799" s="5">
        <v>3</v>
      </c>
      <c r="N799" s="5" t="s">
        <v>3</v>
      </c>
      <c r="O799" s="5">
        <v>2</v>
      </c>
      <c r="P799" s="5">
        <f>ROUND(Source!EI789,O799)</f>
        <v>0</v>
      </c>
      <c r="Q799" s="5"/>
      <c r="R799" s="5"/>
      <c r="S799" s="5"/>
      <c r="T799" s="5"/>
      <c r="U799" s="5"/>
      <c r="V799" s="5"/>
      <c r="W799" s="5">
        <v>0</v>
      </c>
      <c r="X799" s="5">
        <v>1</v>
      </c>
      <c r="Y799" s="5">
        <v>0</v>
      </c>
      <c r="Z799" s="5">
        <v>0</v>
      </c>
      <c r="AA799" s="5">
        <v>1</v>
      </c>
      <c r="AB799" s="5">
        <v>0</v>
      </c>
    </row>
    <row r="800" spans="1:206" x14ac:dyDescent="0.2">
      <c r="A800" s="5">
        <v>50</v>
      </c>
      <c r="B800" s="5">
        <v>0</v>
      </c>
      <c r="C800" s="5">
        <v>0</v>
      </c>
      <c r="D800" s="5">
        <v>1</v>
      </c>
      <c r="E800" s="5">
        <v>229</v>
      </c>
      <c r="F800" s="5">
        <f>ROUND(Source!AZ789,O800)</f>
        <v>1752.36</v>
      </c>
      <c r="G800" s="5" t="s">
        <v>44</v>
      </c>
      <c r="H800" s="5" t="s">
        <v>45</v>
      </c>
      <c r="I800" s="5"/>
      <c r="J800" s="5"/>
      <c r="K800" s="5">
        <v>229</v>
      </c>
      <c r="L800" s="5">
        <v>10</v>
      </c>
      <c r="M800" s="5">
        <v>3</v>
      </c>
      <c r="N800" s="5" t="s">
        <v>3</v>
      </c>
      <c r="O800" s="5">
        <v>2</v>
      </c>
      <c r="P800" s="5">
        <f>ROUND(Source!ER789,O800)</f>
        <v>14211.64</v>
      </c>
      <c r="Q800" s="5"/>
      <c r="R800" s="5"/>
      <c r="S800" s="5"/>
      <c r="T800" s="5"/>
      <c r="U800" s="5"/>
      <c r="V800" s="5"/>
      <c r="W800" s="5">
        <v>1752.36</v>
      </c>
      <c r="X800" s="5">
        <v>1</v>
      </c>
      <c r="Y800" s="5">
        <v>1752.36</v>
      </c>
      <c r="Z800" s="5">
        <v>14211.64</v>
      </c>
      <c r="AA800" s="5">
        <v>1</v>
      </c>
      <c r="AB800" s="5">
        <v>14211.64</v>
      </c>
    </row>
    <row r="801" spans="1:28" x14ac:dyDescent="0.2">
      <c r="A801" s="5">
        <v>50</v>
      </c>
      <c r="B801" s="5">
        <v>0</v>
      </c>
      <c r="C801" s="5">
        <v>0</v>
      </c>
      <c r="D801" s="5">
        <v>1</v>
      </c>
      <c r="E801" s="5">
        <v>203</v>
      </c>
      <c r="F801" s="5">
        <f>ROUND(Source!Q789,O801)</f>
        <v>160.71</v>
      </c>
      <c r="G801" s="5" t="s">
        <v>46</v>
      </c>
      <c r="H801" s="5" t="s">
        <v>47</v>
      </c>
      <c r="I801" s="5"/>
      <c r="J801" s="5"/>
      <c r="K801" s="5">
        <v>203</v>
      </c>
      <c r="L801" s="5">
        <v>11</v>
      </c>
      <c r="M801" s="5">
        <v>3</v>
      </c>
      <c r="N801" s="5" t="s">
        <v>3</v>
      </c>
      <c r="O801" s="5">
        <v>2</v>
      </c>
      <c r="P801" s="5">
        <f>ROUND(Source!DI789,O801)</f>
        <v>1748.47</v>
      </c>
      <c r="Q801" s="5"/>
      <c r="R801" s="5"/>
      <c r="S801" s="5"/>
      <c r="T801" s="5"/>
      <c r="U801" s="5"/>
      <c r="V801" s="5"/>
      <c r="W801" s="5">
        <v>160.71</v>
      </c>
      <c r="X801" s="5">
        <v>1</v>
      </c>
      <c r="Y801" s="5">
        <v>160.71</v>
      </c>
      <c r="Z801" s="5">
        <v>1748.47</v>
      </c>
      <c r="AA801" s="5">
        <v>1</v>
      </c>
      <c r="AB801" s="5">
        <v>1748.47</v>
      </c>
    </row>
    <row r="802" spans="1:28" x14ac:dyDescent="0.2">
      <c r="A802" s="5">
        <v>50</v>
      </c>
      <c r="B802" s="5">
        <v>0</v>
      </c>
      <c r="C802" s="5">
        <v>0</v>
      </c>
      <c r="D802" s="5">
        <v>1</v>
      </c>
      <c r="E802" s="5">
        <v>231</v>
      </c>
      <c r="F802" s="5">
        <f>ROUND(Source!BB789,O802)</f>
        <v>0</v>
      </c>
      <c r="G802" s="5" t="s">
        <v>48</v>
      </c>
      <c r="H802" s="5" t="s">
        <v>49</v>
      </c>
      <c r="I802" s="5"/>
      <c r="J802" s="5"/>
      <c r="K802" s="5">
        <v>231</v>
      </c>
      <c r="L802" s="5">
        <v>12</v>
      </c>
      <c r="M802" s="5">
        <v>3</v>
      </c>
      <c r="N802" s="5" t="s">
        <v>3</v>
      </c>
      <c r="O802" s="5">
        <v>2</v>
      </c>
      <c r="P802" s="5">
        <f>ROUND(Source!ET789,O802)</f>
        <v>0</v>
      </c>
      <c r="Q802" s="5"/>
      <c r="R802" s="5"/>
      <c r="S802" s="5"/>
      <c r="T802" s="5"/>
      <c r="U802" s="5"/>
      <c r="V802" s="5"/>
      <c r="W802" s="5">
        <v>0</v>
      </c>
      <c r="X802" s="5">
        <v>1</v>
      </c>
      <c r="Y802" s="5">
        <v>0</v>
      </c>
      <c r="Z802" s="5">
        <v>0</v>
      </c>
      <c r="AA802" s="5">
        <v>1</v>
      </c>
      <c r="AB802" s="5">
        <v>0</v>
      </c>
    </row>
    <row r="803" spans="1:28" x14ac:dyDescent="0.2">
      <c r="A803" s="5">
        <v>50</v>
      </c>
      <c r="B803" s="5">
        <v>0</v>
      </c>
      <c r="C803" s="5">
        <v>0</v>
      </c>
      <c r="D803" s="5">
        <v>1</v>
      </c>
      <c r="E803" s="5">
        <v>204</v>
      </c>
      <c r="F803" s="5">
        <f>ROUND(Source!R789,O803)</f>
        <v>23.89</v>
      </c>
      <c r="G803" s="5" t="s">
        <v>50</v>
      </c>
      <c r="H803" s="5" t="s">
        <v>51</v>
      </c>
      <c r="I803" s="5"/>
      <c r="J803" s="5"/>
      <c r="K803" s="5">
        <v>204</v>
      </c>
      <c r="L803" s="5">
        <v>13</v>
      </c>
      <c r="M803" s="5">
        <v>3</v>
      </c>
      <c r="N803" s="5" t="s">
        <v>3</v>
      </c>
      <c r="O803" s="5">
        <v>2</v>
      </c>
      <c r="P803" s="5">
        <f>ROUND(Source!DJ789,O803)</f>
        <v>693.53</v>
      </c>
      <c r="Q803" s="5"/>
      <c r="R803" s="5"/>
      <c r="S803" s="5"/>
      <c r="T803" s="5"/>
      <c r="U803" s="5"/>
      <c r="V803" s="5"/>
      <c r="W803" s="5">
        <v>23.89</v>
      </c>
      <c r="X803" s="5">
        <v>1</v>
      </c>
      <c r="Y803" s="5">
        <v>23.89</v>
      </c>
      <c r="Z803" s="5">
        <v>693.53</v>
      </c>
      <c r="AA803" s="5">
        <v>1</v>
      </c>
      <c r="AB803" s="5">
        <v>693.53</v>
      </c>
    </row>
    <row r="804" spans="1:28" x14ac:dyDescent="0.2">
      <c r="A804" s="5">
        <v>50</v>
      </c>
      <c r="B804" s="5">
        <v>0</v>
      </c>
      <c r="C804" s="5">
        <v>0</v>
      </c>
      <c r="D804" s="5">
        <v>1</v>
      </c>
      <c r="E804" s="5">
        <v>205</v>
      </c>
      <c r="F804" s="5">
        <f>ROUND(Source!S789,O804)</f>
        <v>900.58</v>
      </c>
      <c r="G804" s="5" t="s">
        <v>52</v>
      </c>
      <c r="H804" s="5" t="s">
        <v>53</v>
      </c>
      <c r="I804" s="5"/>
      <c r="J804" s="5"/>
      <c r="K804" s="5">
        <v>205</v>
      </c>
      <c r="L804" s="5">
        <v>14</v>
      </c>
      <c r="M804" s="5">
        <v>3</v>
      </c>
      <c r="N804" s="5" t="s">
        <v>3</v>
      </c>
      <c r="O804" s="5">
        <v>2</v>
      </c>
      <c r="P804" s="5">
        <f>ROUND(Source!DK789,O804)</f>
        <v>26143.85</v>
      </c>
      <c r="Q804" s="5"/>
      <c r="R804" s="5"/>
      <c r="S804" s="5"/>
      <c r="T804" s="5"/>
      <c r="U804" s="5"/>
      <c r="V804" s="5"/>
      <c r="W804" s="5">
        <v>900.58</v>
      </c>
      <c r="X804" s="5">
        <v>1</v>
      </c>
      <c r="Y804" s="5">
        <v>900.58</v>
      </c>
      <c r="Z804" s="5">
        <v>26143.85</v>
      </c>
      <c r="AA804" s="5">
        <v>1</v>
      </c>
      <c r="AB804" s="5">
        <v>26143.85</v>
      </c>
    </row>
    <row r="805" spans="1:28" x14ac:dyDescent="0.2">
      <c r="A805" s="5">
        <v>50</v>
      </c>
      <c r="B805" s="5">
        <v>0</v>
      </c>
      <c r="C805" s="5">
        <v>0</v>
      </c>
      <c r="D805" s="5">
        <v>1</v>
      </c>
      <c r="E805" s="5">
        <v>232</v>
      </c>
      <c r="F805" s="5">
        <f>ROUND(Source!BC789,O805)</f>
        <v>0</v>
      </c>
      <c r="G805" s="5" t="s">
        <v>54</v>
      </c>
      <c r="H805" s="5" t="s">
        <v>55</v>
      </c>
      <c r="I805" s="5"/>
      <c r="J805" s="5"/>
      <c r="K805" s="5">
        <v>232</v>
      </c>
      <c r="L805" s="5">
        <v>15</v>
      </c>
      <c r="M805" s="5">
        <v>3</v>
      </c>
      <c r="N805" s="5" t="s">
        <v>3</v>
      </c>
      <c r="O805" s="5">
        <v>2</v>
      </c>
      <c r="P805" s="5">
        <f>ROUND(Source!EU789,O805)</f>
        <v>0</v>
      </c>
      <c r="Q805" s="5"/>
      <c r="R805" s="5"/>
      <c r="S805" s="5"/>
      <c r="T805" s="5"/>
      <c r="U805" s="5"/>
      <c r="V805" s="5"/>
      <c r="W805" s="5">
        <v>0</v>
      </c>
      <c r="X805" s="5">
        <v>1</v>
      </c>
      <c r="Y805" s="5">
        <v>0</v>
      </c>
      <c r="Z805" s="5">
        <v>0</v>
      </c>
      <c r="AA805" s="5">
        <v>1</v>
      </c>
      <c r="AB805" s="5">
        <v>0</v>
      </c>
    </row>
    <row r="806" spans="1:28" x14ac:dyDescent="0.2">
      <c r="A806" s="5">
        <v>50</v>
      </c>
      <c r="B806" s="5">
        <v>0</v>
      </c>
      <c r="C806" s="5">
        <v>0</v>
      </c>
      <c r="D806" s="5">
        <v>1</v>
      </c>
      <c r="E806" s="5">
        <v>214</v>
      </c>
      <c r="F806" s="5">
        <f>ROUND(Source!AS789,O806)</f>
        <v>11529.32</v>
      </c>
      <c r="G806" s="5" t="s">
        <v>56</v>
      </c>
      <c r="H806" s="5" t="s">
        <v>57</v>
      </c>
      <c r="I806" s="5"/>
      <c r="J806" s="5"/>
      <c r="K806" s="5">
        <v>214</v>
      </c>
      <c r="L806" s="5">
        <v>16</v>
      </c>
      <c r="M806" s="5">
        <v>3</v>
      </c>
      <c r="N806" s="5" t="s">
        <v>3</v>
      </c>
      <c r="O806" s="5">
        <v>2</v>
      </c>
      <c r="P806" s="5">
        <f>ROUND(Source!EK789,O806)</f>
        <v>74830.78</v>
      </c>
      <c r="Q806" s="5"/>
      <c r="R806" s="5"/>
      <c r="S806" s="5"/>
      <c r="T806" s="5"/>
      <c r="U806" s="5"/>
      <c r="V806" s="5"/>
      <c r="W806" s="5">
        <v>11529.32</v>
      </c>
      <c r="X806" s="5">
        <v>1</v>
      </c>
      <c r="Y806" s="5">
        <v>11529.32</v>
      </c>
      <c r="Z806" s="5">
        <v>74830.78</v>
      </c>
      <c r="AA806" s="5">
        <v>1</v>
      </c>
      <c r="AB806" s="5">
        <v>74830.78</v>
      </c>
    </row>
    <row r="807" spans="1:28" x14ac:dyDescent="0.2">
      <c r="A807" s="5">
        <v>50</v>
      </c>
      <c r="B807" s="5">
        <v>0</v>
      </c>
      <c r="C807" s="5">
        <v>0</v>
      </c>
      <c r="D807" s="5">
        <v>1</v>
      </c>
      <c r="E807" s="5">
        <v>215</v>
      </c>
      <c r="F807" s="5">
        <f>ROUND(Source!AT789,O807)</f>
        <v>4629.8500000000004</v>
      </c>
      <c r="G807" s="5" t="s">
        <v>58</v>
      </c>
      <c r="H807" s="5" t="s">
        <v>59</v>
      </c>
      <c r="I807" s="5"/>
      <c r="J807" s="5"/>
      <c r="K807" s="5">
        <v>215</v>
      </c>
      <c r="L807" s="5">
        <v>17</v>
      </c>
      <c r="M807" s="5">
        <v>3</v>
      </c>
      <c r="N807" s="5" t="s">
        <v>3</v>
      </c>
      <c r="O807" s="5">
        <v>2</v>
      </c>
      <c r="P807" s="5">
        <f>ROUND(Source!EL789,O807)</f>
        <v>76292.94</v>
      </c>
      <c r="Q807" s="5"/>
      <c r="R807" s="5"/>
      <c r="S807" s="5"/>
      <c r="T807" s="5"/>
      <c r="U807" s="5"/>
      <c r="V807" s="5"/>
      <c r="W807" s="5">
        <v>4629.8500000000004</v>
      </c>
      <c r="X807" s="5">
        <v>1</v>
      </c>
      <c r="Y807" s="5">
        <v>4629.8500000000004</v>
      </c>
      <c r="Z807" s="5">
        <v>76292.94</v>
      </c>
      <c r="AA807" s="5">
        <v>1</v>
      </c>
      <c r="AB807" s="5">
        <v>76292.94</v>
      </c>
    </row>
    <row r="808" spans="1:28" x14ac:dyDescent="0.2">
      <c r="A808" s="5">
        <v>50</v>
      </c>
      <c r="B808" s="5">
        <v>0</v>
      </c>
      <c r="C808" s="5">
        <v>0</v>
      </c>
      <c r="D808" s="5">
        <v>1</v>
      </c>
      <c r="E808" s="5">
        <v>217</v>
      </c>
      <c r="F808" s="5">
        <f>ROUND(Source!AU789,O808)</f>
        <v>0</v>
      </c>
      <c r="G808" s="5" t="s">
        <v>60</v>
      </c>
      <c r="H808" s="5" t="s">
        <v>61</v>
      </c>
      <c r="I808" s="5"/>
      <c r="J808" s="5"/>
      <c r="K808" s="5">
        <v>217</v>
      </c>
      <c r="L808" s="5">
        <v>18</v>
      </c>
      <c r="M808" s="5">
        <v>3</v>
      </c>
      <c r="N808" s="5" t="s">
        <v>3</v>
      </c>
      <c r="O808" s="5">
        <v>2</v>
      </c>
      <c r="P808" s="5">
        <f>ROUND(Source!EM789,O808)</f>
        <v>0</v>
      </c>
      <c r="Q808" s="5"/>
      <c r="R808" s="5"/>
      <c r="S808" s="5"/>
      <c r="T808" s="5"/>
      <c r="U808" s="5"/>
      <c r="V808" s="5"/>
      <c r="W808" s="5">
        <v>0</v>
      </c>
      <c r="X808" s="5">
        <v>1</v>
      </c>
      <c r="Y808" s="5">
        <v>0</v>
      </c>
      <c r="Z808" s="5">
        <v>0</v>
      </c>
      <c r="AA808" s="5">
        <v>1</v>
      </c>
      <c r="AB808" s="5">
        <v>0</v>
      </c>
    </row>
    <row r="809" spans="1:28" x14ac:dyDescent="0.2">
      <c r="A809" s="5">
        <v>50</v>
      </c>
      <c r="B809" s="5">
        <v>0</v>
      </c>
      <c r="C809" s="5">
        <v>0</v>
      </c>
      <c r="D809" s="5">
        <v>1</v>
      </c>
      <c r="E809" s="5">
        <v>230</v>
      </c>
      <c r="F809" s="5">
        <f>ROUND(Source!BA789,O809)</f>
        <v>0</v>
      </c>
      <c r="G809" s="5" t="s">
        <v>62</v>
      </c>
      <c r="H809" s="5" t="s">
        <v>63</v>
      </c>
      <c r="I809" s="5"/>
      <c r="J809" s="5"/>
      <c r="K809" s="5">
        <v>230</v>
      </c>
      <c r="L809" s="5">
        <v>19</v>
      </c>
      <c r="M809" s="5">
        <v>3</v>
      </c>
      <c r="N809" s="5" t="s">
        <v>3</v>
      </c>
      <c r="O809" s="5">
        <v>2</v>
      </c>
      <c r="P809" s="5">
        <f>ROUND(Source!ES789,O809)</f>
        <v>0</v>
      </c>
      <c r="Q809" s="5"/>
      <c r="R809" s="5"/>
      <c r="S809" s="5"/>
      <c r="T809" s="5"/>
      <c r="U809" s="5"/>
      <c r="V809" s="5"/>
      <c r="W809" s="5">
        <v>0</v>
      </c>
      <c r="X809" s="5">
        <v>1</v>
      </c>
      <c r="Y809" s="5">
        <v>0</v>
      </c>
      <c r="Z809" s="5">
        <v>0</v>
      </c>
      <c r="AA809" s="5">
        <v>1</v>
      </c>
      <c r="AB809" s="5">
        <v>0</v>
      </c>
    </row>
    <row r="810" spans="1:28" x14ac:dyDescent="0.2">
      <c r="A810" s="5">
        <v>50</v>
      </c>
      <c r="B810" s="5">
        <v>0</v>
      </c>
      <c r="C810" s="5">
        <v>0</v>
      </c>
      <c r="D810" s="5">
        <v>1</v>
      </c>
      <c r="E810" s="5">
        <v>206</v>
      </c>
      <c r="F810" s="5">
        <f>ROUND(Source!T789,O810)</f>
        <v>0</v>
      </c>
      <c r="G810" s="5" t="s">
        <v>64</v>
      </c>
      <c r="H810" s="5" t="s">
        <v>65</v>
      </c>
      <c r="I810" s="5"/>
      <c r="J810" s="5"/>
      <c r="K810" s="5">
        <v>206</v>
      </c>
      <c r="L810" s="5">
        <v>20</v>
      </c>
      <c r="M810" s="5">
        <v>3</v>
      </c>
      <c r="N810" s="5" t="s">
        <v>3</v>
      </c>
      <c r="O810" s="5">
        <v>2</v>
      </c>
      <c r="P810" s="5">
        <f>ROUND(Source!DL789,O810)</f>
        <v>0</v>
      </c>
      <c r="Q810" s="5"/>
      <c r="R810" s="5"/>
      <c r="S810" s="5"/>
      <c r="T810" s="5"/>
      <c r="U810" s="5"/>
      <c r="V810" s="5"/>
      <c r="W810" s="5">
        <v>0</v>
      </c>
      <c r="X810" s="5">
        <v>1</v>
      </c>
      <c r="Y810" s="5">
        <v>0</v>
      </c>
      <c r="Z810" s="5">
        <v>0</v>
      </c>
      <c r="AA810" s="5">
        <v>1</v>
      </c>
      <c r="AB810" s="5">
        <v>0</v>
      </c>
    </row>
    <row r="811" spans="1:28" x14ac:dyDescent="0.2">
      <c r="A811" s="5">
        <v>50</v>
      </c>
      <c r="B811" s="5">
        <v>0</v>
      </c>
      <c r="C811" s="5">
        <v>0</v>
      </c>
      <c r="D811" s="5">
        <v>1</v>
      </c>
      <c r="E811" s="5">
        <v>207</v>
      </c>
      <c r="F811" s="5">
        <f>Source!U789</f>
        <v>69.082899999999995</v>
      </c>
      <c r="G811" s="5" t="s">
        <v>66</v>
      </c>
      <c r="H811" s="5" t="s">
        <v>67</v>
      </c>
      <c r="I811" s="5"/>
      <c r="J811" s="5"/>
      <c r="K811" s="5">
        <v>207</v>
      </c>
      <c r="L811" s="5">
        <v>21</v>
      </c>
      <c r="M811" s="5">
        <v>3</v>
      </c>
      <c r="N811" s="5" t="s">
        <v>3</v>
      </c>
      <c r="O811" s="5">
        <v>-1</v>
      </c>
      <c r="P811" s="5">
        <f>Source!DM789</f>
        <v>69.082899999999995</v>
      </c>
      <c r="Q811" s="5"/>
      <c r="R811" s="5"/>
      <c r="S811" s="5"/>
      <c r="T811" s="5"/>
      <c r="U811" s="5"/>
      <c r="V811" s="5"/>
      <c r="W811" s="5">
        <v>69.082899999999995</v>
      </c>
      <c r="X811" s="5">
        <v>1</v>
      </c>
      <c r="Y811" s="5">
        <v>69.082899999999995</v>
      </c>
      <c r="Z811" s="5">
        <v>69.082899999999995</v>
      </c>
      <c r="AA811" s="5">
        <v>1</v>
      </c>
      <c r="AB811" s="5">
        <v>69.082899999999995</v>
      </c>
    </row>
    <row r="812" spans="1:28" x14ac:dyDescent="0.2">
      <c r="A812" s="5">
        <v>50</v>
      </c>
      <c r="B812" s="5">
        <v>0</v>
      </c>
      <c r="C812" s="5">
        <v>0</v>
      </c>
      <c r="D812" s="5">
        <v>1</v>
      </c>
      <c r="E812" s="5">
        <v>208</v>
      </c>
      <c r="F812" s="5">
        <f>Source!V789</f>
        <v>0</v>
      </c>
      <c r="G812" s="5" t="s">
        <v>68</v>
      </c>
      <c r="H812" s="5" t="s">
        <v>69</v>
      </c>
      <c r="I812" s="5"/>
      <c r="J812" s="5"/>
      <c r="K812" s="5">
        <v>208</v>
      </c>
      <c r="L812" s="5">
        <v>22</v>
      </c>
      <c r="M812" s="5">
        <v>3</v>
      </c>
      <c r="N812" s="5" t="s">
        <v>3</v>
      </c>
      <c r="O812" s="5">
        <v>-1</v>
      </c>
      <c r="P812" s="5">
        <f>Source!DN789</f>
        <v>0</v>
      </c>
      <c r="Q812" s="5"/>
      <c r="R812" s="5"/>
      <c r="S812" s="5"/>
      <c r="T812" s="5"/>
      <c r="U812" s="5"/>
      <c r="V812" s="5"/>
      <c r="W812" s="5">
        <v>0</v>
      </c>
      <c r="X812" s="5">
        <v>1</v>
      </c>
      <c r="Y812" s="5">
        <v>0</v>
      </c>
      <c r="Z812" s="5">
        <v>0</v>
      </c>
      <c r="AA812" s="5">
        <v>1</v>
      </c>
      <c r="AB812" s="5">
        <v>0</v>
      </c>
    </row>
    <row r="813" spans="1:28" x14ac:dyDescent="0.2">
      <c r="A813" s="5">
        <v>50</v>
      </c>
      <c r="B813" s="5">
        <v>0</v>
      </c>
      <c r="C813" s="5">
        <v>0</v>
      </c>
      <c r="D813" s="5">
        <v>1</v>
      </c>
      <c r="E813" s="5">
        <v>209</v>
      </c>
      <c r="F813" s="5">
        <f>ROUND(Source!W789,O813)</f>
        <v>0</v>
      </c>
      <c r="G813" s="5" t="s">
        <v>70</v>
      </c>
      <c r="H813" s="5" t="s">
        <v>71</v>
      </c>
      <c r="I813" s="5"/>
      <c r="J813" s="5"/>
      <c r="K813" s="5">
        <v>209</v>
      </c>
      <c r="L813" s="5">
        <v>23</v>
      </c>
      <c r="M813" s="5">
        <v>3</v>
      </c>
      <c r="N813" s="5" t="s">
        <v>3</v>
      </c>
      <c r="O813" s="5">
        <v>2</v>
      </c>
      <c r="P813" s="5">
        <f>ROUND(Source!DO789,O813)</f>
        <v>0</v>
      </c>
      <c r="Q813" s="5"/>
      <c r="R813" s="5"/>
      <c r="S813" s="5"/>
      <c r="T813" s="5"/>
      <c r="U813" s="5"/>
      <c r="V813" s="5"/>
      <c r="W813" s="5">
        <v>0</v>
      </c>
      <c r="X813" s="5">
        <v>1</v>
      </c>
      <c r="Y813" s="5">
        <v>0</v>
      </c>
      <c r="Z813" s="5">
        <v>0</v>
      </c>
      <c r="AA813" s="5">
        <v>1</v>
      </c>
      <c r="AB813" s="5">
        <v>0</v>
      </c>
    </row>
    <row r="814" spans="1:28" x14ac:dyDescent="0.2">
      <c r="A814" s="5">
        <v>50</v>
      </c>
      <c r="B814" s="5">
        <v>0</v>
      </c>
      <c r="C814" s="5">
        <v>0</v>
      </c>
      <c r="D814" s="5">
        <v>1</v>
      </c>
      <c r="E814" s="5">
        <v>233</v>
      </c>
      <c r="F814" s="5">
        <f>ROUND(Source!BD789,O814)</f>
        <v>0</v>
      </c>
      <c r="G814" s="5" t="s">
        <v>72</v>
      </c>
      <c r="H814" s="5" t="s">
        <v>73</v>
      </c>
      <c r="I814" s="5"/>
      <c r="J814" s="5"/>
      <c r="K814" s="5">
        <v>233</v>
      </c>
      <c r="L814" s="5">
        <v>24</v>
      </c>
      <c r="M814" s="5">
        <v>3</v>
      </c>
      <c r="N814" s="5" t="s">
        <v>3</v>
      </c>
      <c r="O814" s="5">
        <v>2</v>
      </c>
      <c r="P814" s="5">
        <f>ROUND(Source!EV789,O814)</f>
        <v>0</v>
      </c>
      <c r="Q814" s="5"/>
      <c r="R814" s="5"/>
      <c r="S814" s="5"/>
      <c r="T814" s="5"/>
      <c r="U814" s="5"/>
      <c r="V814" s="5"/>
      <c r="W814" s="5">
        <v>0</v>
      </c>
      <c r="X814" s="5">
        <v>1</v>
      </c>
      <c r="Y814" s="5">
        <v>0</v>
      </c>
      <c r="Z814" s="5">
        <v>0</v>
      </c>
      <c r="AA814" s="5">
        <v>1</v>
      </c>
      <c r="AB814" s="5">
        <v>0</v>
      </c>
    </row>
    <row r="815" spans="1:28" x14ac:dyDescent="0.2">
      <c r="A815" s="5">
        <v>50</v>
      </c>
      <c r="B815" s="5">
        <v>0</v>
      </c>
      <c r="C815" s="5">
        <v>0</v>
      </c>
      <c r="D815" s="5">
        <v>1</v>
      </c>
      <c r="E815" s="5">
        <v>210</v>
      </c>
      <c r="F815" s="5">
        <f>ROUND(Source!X789,O815)</f>
        <v>1025.6500000000001</v>
      </c>
      <c r="G815" s="5" t="s">
        <v>74</v>
      </c>
      <c r="H815" s="5" t="s">
        <v>75</v>
      </c>
      <c r="I815" s="5"/>
      <c r="J815" s="5"/>
      <c r="K815" s="5">
        <v>210</v>
      </c>
      <c r="L815" s="5">
        <v>25</v>
      </c>
      <c r="M815" s="5">
        <v>3</v>
      </c>
      <c r="N815" s="5" t="s">
        <v>3</v>
      </c>
      <c r="O815" s="5">
        <v>2</v>
      </c>
      <c r="P815" s="5">
        <f>ROUND(Source!DP789,O815)</f>
        <v>20644.57</v>
      </c>
      <c r="Q815" s="5"/>
      <c r="R815" s="5"/>
      <c r="S815" s="5"/>
      <c r="T815" s="5"/>
      <c r="U815" s="5"/>
      <c r="V815" s="5"/>
      <c r="W815" s="5">
        <v>1025.6500000000001</v>
      </c>
      <c r="X815" s="5">
        <v>1</v>
      </c>
      <c r="Y815" s="5">
        <v>1025.6500000000001</v>
      </c>
      <c r="Z815" s="5">
        <v>20644.57</v>
      </c>
      <c r="AA815" s="5">
        <v>1</v>
      </c>
      <c r="AB815" s="5">
        <v>20644.57</v>
      </c>
    </row>
    <row r="816" spans="1:28" x14ac:dyDescent="0.2">
      <c r="A816" s="5">
        <v>50</v>
      </c>
      <c r="B816" s="5">
        <v>0</v>
      </c>
      <c r="C816" s="5">
        <v>0</v>
      </c>
      <c r="D816" s="5">
        <v>1</v>
      </c>
      <c r="E816" s="5">
        <v>211</v>
      </c>
      <c r="F816" s="5">
        <f>ROUND(Source!Y789,O816)</f>
        <v>603.5</v>
      </c>
      <c r="G816" s="5" t="s">
        <v>76</v>
      </c>
      <c r="H816" s="5" t="s">
        <v>77</v>
      </c>
      <c r="I816" s="5"/>
      <c r="J816" s="5"/>
      <c r="K816" s="5">
        <v>211</v>
      </c>
      <c r="L816" s="5">
        <v>26</v>
      </c>
      <c r="M816" s="5">
        <v>3</v>
      </c>
      <c r="N816" s="5" t="s">
        <v>3</v>
      </c>
      <c r="O816" s="5">
        <v>2</v>
      </c>
      <c r="P816" s="5">
        <f>ROUND(Source!DQ789,O816)</f>
        <v>10718.97</v>
      </c>
      <c r="Q816" s="5"/>
      <c r="R816" s="5"/>
      <c r="S816" s="5"/>
      <c r="T816" s="5"/>
      <c r="U816" s="5"/>
      <c r="V816" s="5"/>
      <c r="W816" s="5">
        <v>603.5</v>
      </c>
      <c r="X816" s="5">
        <v>1</v>
      </c>
      <c r="Y816" s="5">
        <v>603.5</v>
      </c>
      <c r="Z816" s="5">
        <v>10718.97</v>
      </c>
      <c r="AA816" s="5">
        <v>1</v>
      </c>
      <c r="AB816" s="5">
        <v>10718.97</v>
      </c>
    </row>
    <row r="817" spans="1:255" x14ac:dyDescent="0.2">
      <c r="A817" s="5">
        <v>50</v>
      </c>
      <c r="B817" s="5">
        <v>0</v>
      </c>
      <c r="C817" s="5">
        <v>0</v>
      </c>
      <c r="D817" s="5">
        <v>1</v>
      </c>
      <c r="E817" s="5">
        <v>224</v>
      </c>
      <c r="F817" s="5">
        <f>ROUND(Source!AR789,O817)</f>
        <v>17911.53</v>
      </c>
      <c r="G817" s="5" t="s">
        <v>78</v>
      </c>
      <c r="H817" s="5" t="s">
        <v>79</v>
      </c>
      <c r="I817" s="5"/>
      <c r="J817" s="5"/>
      <c r="K817" s="5">
        <v>224</v>
      </c>
      <c r="L817" s="5">
        <v>27</v>
      </c>
      <c r="M817" s="5">
        <v>3</v>
      </c>
      <c r="N817" s="5" t="s">
        <v>3</v>
      </c>
      <c r="O817" s="5">
        <v>2</v>
      </c>
      <c r="P817" s="5">
        <f>ROUND(Source!EJ789,O817)</f>
        <v>165335.35999999999</v>
      </c>
      <c r="Q817" s="5"/>
      <c r="R817" s="5"/>
      <c r="S817" s="5"/>
      <c r="T817" s="5"/>
      <c r="U817" s="5"/>
      <c r="V817" s="5"/>
      <c r="W817" s="5">
        <v>17911.53</v>
      </c>
      <c r="X817" s="5">
        <v>1</v>
      </c>
      <c r="Y817" s="5">
        <v>17911.53</v>
      </c>
      <c r="Z817" s="5">
        <v>165335.35999999999</v>
      </c>
      <c r="AA817" s="5">
        <v>1</v>
      </c>
      <c r="AB817" s="5">
        <v>165335.35999999999</v>
      </c>
    </row>
    <row r="819" spans="1:255" x14ac:dyDescent="0.2">
      <c r="A819" s="1">
        <v>3</v>
      </c>
      <c r="B819" s="1">
        <v>1</v>
      </c>
      <c r="C819" s="1"/>
      <c r="D819" s="1">
        <f>ROW(A961)</f>
        <v>961</v>
      </c>
      <c r="E819" s="1"/>
      <c r="F819" s="1" t="s">
        <v>729</v>
      </c>
      <c r="G819" s="1" t="s">
        <v>730</v>
      </c>
      <c r="H819" s="1" t="s">
        <v>3</v>
      </c>
      <c r="I819" s="1">
        <v>0</v>
      </c>
      <c r="J819" s="1" t="s">
        <v>3</v>
      </c>
      <c r="K819" s="1">
        <v>-1</v>
      </c>
      <c r="L819" s="1" t="s">
        <v>3</v>
      </c>
      <c r="M819" s="1" t="s">
        <v>3</v>
      </c>
      <c r="N819" s="1"/>
      <c r="O819" s="1"/>
      <c r="P819" s="1"/>
      <c r="Q819" s="1"/>
      <c r="R819" s="1"/>
      <c r="S819" s="1">
        <v>0</v>
      </c>
      <c r="T819" s="1">
        <v>0</v>
      </c>
      <c r="U819" s="1" t="s">
        <v>3</v>
      </c>
      <c r="V819" s="1">
        <v>0</v>
      </c>
      <c r="W819" s="1"/>
      <c r="X819" s="1"/>
      <c r="Y819" s="1"/>
      <c r="Z819" s="1"/>
      <c r="AA819" s="1"/>
      <c r="AB819" s="1" t="s">
        <v>3</v>
      </c>
      <c r="AC819" s="1" t="s">
        <v>3</v>
      </c>
      <c r="AD819" s="1" t="s">
        <v>3</v>
      </c>
      <c r="AE819" s="1" t="s">
        <v>3</v>
      </c>
      <c r="AF819" s="1" t="s">
        <v>3</v>
      </c>
      <c r="AG819" s="1" t="s">
        <v>3</v>
      </c>
      <c r="AH819" s="1"/>
      <c r="AI819" s="1"/>
      <c r="AJ819" s="1"/>
      <c r="AK819" s="1"/>
      <c r="AL819" s="1"/>
      <c r="AM819" s="1"/>
      <c r="AN819" s="1"/>
      <c r="AO819" s="1"/>
      <c r="AP819" s="1" t="s">
        <v>3</v>
      </c>
      <c r="AQ819" s="1" t="s">
        <v>3</v>
      </c>
      <c r="AR819" s="1" t="s">
        <v>3</v>
      </c>
      <c r="AS819" s="1"/>
      <c r="AT819" s="1"/>
      <c r="AU819" s="1"/>
      <c r="AV819" s="1"/>
      <c r="AW819" s="1"/>
      <c r="AX819" s="1"/>
      <c r="AY819" s="1"/>
      <c r="AZ819" s="1" t="s">
        <v>3</v>
      </c>
      <c r="BA819" s="1"/>
      <c r="BB819" s="1" t="s">
        <v>3</v>
      </c>
      <c r="BC819" s="1" t="s">
        <v>3</v>
      </c>
      <c r="BD819" s="1" t="s">
        <v>3</v>
      </c>
      <c r="BE819" s="1" t="s">
        <v>3</v>
      </c>
      <c r="BF819" s="1" t="s">
        <v>3</v>
      </c>
      <c r="BG819" s="1" t="s">
        <v>3</v>
      </c>
      <c r="BH819" s="1" t="s">
        <v>3</v>
      </c>
      <c r="BI819" s="1" t="s">
        <v>3</v>
      </c>
      <c r="BJ819" s="1" t="s">
        <v>3</v>
      </c>
      <c r="BK819" s="1" t="s">
        <v>3</v>
      </c>
      <c r="BL819" s="1" t="s">
        <v>3</v>
      </c>
      <c r="BM819" s="1" t="s">
        <v>3</v>
      </c>
      <c r="BN819" s="1" t="s">
        <v>3</v>
      </c>
      <c r="BO819" s="1" t="s">
        <v>3</v>
      </c>
      <c r="BP819" s="1" t="s">
        <v>3</v>
      </c>
      <c r="BQ819" s="1"/>
      <c r="BR819" s="1"/>
      <c r="BS819" s="1"/>
      <c r="BT819" s="1"/>
      <c r="BU819" s="1"/>
      <c r="BV819" s="1"/>
      <c r="BW819" s="1"/>
      <c r="BX819" s="1">
        <v>0</v>
      </c>
      <c r="BY819" s="1"/>
      <c r="BZ819" s="1"/>
      <c r="CA819" s="1"/>
      <c r="CB819" s="1"/>
      <c r="CC819" s="1"/>
      <c r="CD819" s="1"/>
      <c r="CE819" s="1"/>
      <c r="CF819" s="1">
        <v>0</v>
      </c>
      <c r="CG819" s="1">
        <v>0</v>
      </c>
      <c r="CH819" s="1"/>
      <c r="CI819" s="1" t="s">
        <v>3</v>
      </c>
      <c r="CJ819" s="1" t="s">
        <v>3</v>
      </c>
      <c r="CK819" t="s">
        <v>3</v>
      </c>
      <c r="CL819" t="s">
        <v>3</v>
      </c>
      <c r="CM819" t="s">
        <v>3</v>
      </c>
      <c r="CN819" t="s">
        <v>3</v>
      </c>
      <c r="CO819" t="s">
        <v>3</v>
      </c>
      <c r="CP819" t="s">
        <v>3</v>
      </c>
      <c r="CQ819" t="s">
        <v>3</v>
      </c>
    </row>
    <row r="821" spans="1:255" x14ac:dyDescent="0.2">
      <c r="A821" s="3">
        <v>52</v>
      </c>
      <c r="B821" s="3">
        <f t="shared" ref="B821:G821" si="696">B961</f>
        <v>1</v>
      </c>
      <c r="C821" s="3">
        <f t="shared" si="696"/>
        <v>3</v>
      </c>
      <c r="D821" s="3">
        <f t="shared" si="696"/>
        <v>819</v>
      </c>
      <c r="E821" s="3">
        <f t="shared" si="696"/>
        <v>0</v>
      </c>
      <c r="F821" s="3" t="str">
        <f t="shared" si="696"/>
        <v>02-01-05</v>
      </c>
      <c r="G821" s="3" t="str">
        <f t="shared" si="696"/>
        <v>Система электроснабжения</v>
      </c>
      <c r="H821" s="3"/>
      <c r="I821" s="3"/>
      <c r="J821" s="3"/>
      <c r="K821" s="3"/>
      <c r="L821" s="3"/>
      <c r="M821" s="3"/>
      <c r="N821" s="3"/>
      <c r="O821" s="3">
        <f t="shared" ref="O821:AT821" si="697">O961</f>
        <v>9407.77</v>
      </c>
      <c r="P821" s="3">
        <f t="shared" si="697"/>
        <v>8608.2099999999991</v>
      </c>
      <c r="Q821" s="3">
        <f t="shared" si="697"/>
        <v>81.59</v>
      </c>
      <c r="R821" s="3">
        <f t="shared" si="697"/>
        <v>9.02</v>
      </c>
      <c r="S821" s="3">
        <f t="shared" si="697"/>
        <v>717.97</v>
      </c>
      <c r="T821" s="3">
        <f t="shared" si="697"/>
        <v>0</v>
      </c>
      <c r="U821" s="3">
        <f t="shared" si="697"/>
        <v>58.990299999999991</v>
      </c>
      <c r="V821" s="3">
        <f t="shared" si="697"/>
        <v>0</v>
      </c>
      <c r="W821" s="3">
        <f t="shared" si="697"/>
        <v>0</v>
      </c>
      <c r="X821" s="3">
        <f t="shared" si="697"/>
        <v>806.67</v>
      </c>
      <c r="Y821" s="3">
        <f t="shared" si="697"/>
        <v>476.88</v>
      </c>
      <c r="Z821" s="3">
        <f t="shared" si="697"/>
        <v>0</v>
      </c>
      <c r="AA821" s="3">
        <f t="shared" si="697"/>
        <v>0</v>
      </c>
      <c r="AB821" s="3">
        <f t="shared" si="697"/>
        <v>0</v>
      </c>
      <c r="AC821" s="3">
        <f t="shared" si="697"/>
        <v>0</v>
      </c>
      <c r="AD821" s="3">
        <f t="shared" si="697"/>
        <v>0</v>
      </c>
      <c r="AE821" s="3">
        <f t="shared" si="697"/>
        <v>0</v>
      </c>
      <c r="AF821" s="3">
        <f t="shared" si="697"/>
        <v>0</v>
      </c>
      <c r="AG821" s="3">
        <f t="shared" si="697"/>
        <v>0</v>
      </c>
      <c r="AH821" s="3">
        <f t="shared" si="697"/>
        <v>0</v>
      </c>
      <c r="AI821" s="3">
        <f t="shared" si="697"/>
        <v>0</v>
      </c>
      <c r="AJ821" s="3">
        <f t="shared" si="697"/>
        <v>0</v>
      </c>
      <c r="AK821" s="3">
        <f t="shared" si="697"/>
        <v>0</v>
      </c>
      <c r="AL821" s="3">
        <f t="shared" si="697"/>
        <v>0</v>
      </c>
      <c r="AM821" s="3">
        <f t="shared" si="697"/>
        <v>0</v>
      </c>
      <c r="AN821" s="3">
        <f t="shared" si="697"/>
        <v>0</v>
      </c>
      <c r="AO821" s="3">
        <f t="shared" si="697"/>
        <v>0</v>
      </c>
      <c r="AP821" s="3">
        <f t="shared" si="697"/>
        <v>0</v>
      </c>
      <c r="AQ821" s="3">
        <f t="shared" si="697"/>
        <v>0</v>
      </c>
      <c r="AR821" s="3">
        <f t="shared" si="697"/>
        <v>10707.12</v>
      </c>
      <c r="AS821" s="3">
        <f t="shared" si="697"/>
        <v>81.62</v>
      </c>
      <c r="AT821" s="3">
        <f t="shared" si="697"/>
        <v>10625.5</v>
      </c>
      <c r="AU821" s="3">
        <f t="shared" ref="AU821:BZ821" si="698">AU961</f>
        <v>0</v>
      </c>
      <c r="AV821" s="3">
        <f t="shared" si="698"/>
        <v>8608.2099999999991</v>
      </c>
      <c r="AW821" s="3">
        <f t="shared" si="698"/>
        <v>8608.2099999999991</v>
      </c>
      <c r="AX821" s="3">
        <f t="shared" si="698"/>
        <v>0</v>
      </c>
      <c r="AY821" s="3">
        <f t="shared" si="698"/>
        <v>8608.2099999999991</v>
      </c>
      <c r="AZ821" s="3">
        <f t="shared" si="698"/>
        <v>0</v>
      </c>
      <c r="BA821" s="3">
        <f t="shared" si="698"/>
        <v>0</v>
      </c>
      <c r="BB821" s="3">
        <f t="shared" si="698"/>
        <v>0</v>
      </c>
      <c r="BC821" s="3">
        <f t="shared" si="698"/>
        <v>0</v>
      </c>
      <c r="BD821" s="3">
        <f t="shared" si="698"/>
        <v>0</v>
      </c>
      <c r="BE821" s="3">
        <f t="shared" si="698"/>
        <v>0</v>
      </c>
      <c r="BF821" s="3">
        <f t="shared" si="698"/>
        <v>0</v>
      </c>
      <c r="BG821" s="3">
        <f t="shared" si="698"/>
        <v>0</v>
      </c>
      <c r="BH821" s="3">
        <f t="shared" si="698"/>
        <v>0</v>
      </c>
      <c r="BI821" s="3">
        <f t="shared" si="698"/>
        <v>0</v>
      </c>
      <c r="BJ821" s="3">
        <f t="shared" si="698"/>
        <v>0</v>
      </c>
      <c r="BK821" s="3">
        <f t="shared" si="698"/>
        <v>0</v>
      </c>
      <c r="BL821" s="3">
        <f t="shared" si="698"/>
        <v>0</v>
      </c>
      <c r="BM821" s="3">
        <f t="shared" si="698"/>
        <v>0</v>
      </c>
      <c r="BN821" s="3">
        <f t="shared" si="698"/>
        <v>0</v>
      </c>
      <c r="BO821" s="3">
        <f t="shared" si="698"/>
        <v>0</v>
      </c>
      <c r="BP821" s="3">
        <f t="shared" si="698"/>
        <v>0</v>
      </c>
      <c r="BQ821" s="3">
        <f t="shared" si="698"/>
        <v>0</v>
      </c>
      <c r="BR821" s="3">
        <f t="shared" si="698"/>
        <v>0</v>
      </c>
      <c r="BS821" s="3">
        <f t="shared" si="698"/>
        <v>0</v>
      </c>
      <c r="BT821" s="3">
        <f t="shared" si="698"/>
        <v>0</v>
      </c>
      <c r="BU821" s="3">
        <f t="shared" si="698"/>
        <v>0</v>
      </c>
      <c r="BV821" s="3">
        <f t="shared" si="698"/>
        <v>0</v>
      </c>
      <c r="BW821" s="3">
        <f t="shared" si="698"/>
        <v>0</v>
      </c>
      <c r="BX821" s="3">
        <f t="shared" si="698"/>
        <v>0</v>
      </c>
      <c r="BY821" s="3">
        <f t="shared" si="698"/>
        <v>0</v>
      </c>
      <c r="BZ821" s="3">
        <f t="shared" si="698"/>
        <v>0</v>
      </c>
      <c r="CA821" s="3">
        <f t="shared" ref="CA821:DF821" si="699">CA961</f>
        <v>0</v>
      </c>
      <c r="CB821" s="3">
        <f t="shared" si="699"/>
        <v>0</v>
      </c>
      <c r="CC821" s="3">
        <f t="shared" si="699"/>
        <v>0</v>
      </c>
      <c r="CD821" s="3">
        <f t="shared" si="699"/>
        <v>0</v>
      </c>
      <c r="CE821" s="3">
        <f t="shared" si="699"/>
        <v>0</v>
      </c>
      <c r="CF821" s="3">
        <f t="shared" si="699"/>
        <v>0</v>
      </c>
      <c r="CG821" s="3">
        <f t="shared" si="699"/>
        <v>0</v>
      </c>
      <c r="CH821" s="3">
        <f t="shared" si="699"/>
        <v>0</v>
      </c>
      <c r="CI821" s="3">
        <f t="shared" si="699"/>
        <v>0</v>
      </c>
      <c r="CJ821" s="3">
        <f t="shared" si="699"/>
        <v>0</v>
      </c>
      <c r="CK821" s="3">
        <f t="shared" si="699"/>
        <v>0</v>
      </c>
      <c r="CL821" s="3">
        <f t="shared" si="699"/>
        <v>0</v>
      </c>
      <c r="CM821" s="3">
        <f t="shared" si="699"/>
        <v>0</v>
      </c>
      <c r="CN821" s="3">
        <f t="shared" si="699"/>
        <v>0</v>
      </c>
      <c r="CO821" s="3">
        <f t="shared" si="699"/>
        <v>0</v>
      </c>
      <c r="CP821" s="3">
        <f t="shared" si="699"/>
        <v>0</v>
      </c>
      <c r="CQ821" s="3">
        <f t="shared" si="699"/>
        <v>0</v>
      </c>
      <c r="CR821" s="3">
        <f t="shared" si="699"/>
        <v>0</v>
      </c>
      <c r="CS821" s="3">
        <f t="shared" si="699"/>
        <v>0</v>
      </c>
      <c r="CT821" s="3">
        <f t="shared" si="699"/>
        <v>0</v>
      </c>
      <c r="CU821" s="3">
        <f t="shared" si="699"/>
        <v>0</v>
      </c>
      <c r="CV821" s="3">
        <f t="shared" si="699"/>
        <v>0</v>
      </c>
      <c r="CW821" s="3">
        <f t="shared" si="699"/>
        <v>0</v>
      </c>
      <c r="CX821" s="3">
        <f t="shared" si="699"/>
        <v>0</v>
      </c>
      <c r="CY821" s="3">
        <f t="shared" si="699"/>
        <v>0</v>
      </c>
      <c r="CZ821" s="3">
        <f t="shared" si="699"/>
        <v>0</v>
      </c>
      <c r="DA821" s="3">
        <f t="shared" si="699"/>
        <v>0</v>
      </c>
      <c r="DB821" s="3">
        <f t="shared" si="699"/>
        <v>0</v>
      </c>
      <c r="DC821" s="3">
        <f t="shared" si="699"/>
        <v>0</v>
      </c>
      <c r="DD821" s="3">
        <f t="shared" si="699"/>
        <v>0</v>
      </c>
      <c r="DE821" s="3">
        <f t="shared" si="699"/>
        <v>0</v>
      </c>
      <c r="DF821" s="3">
        <f t="shared" si="699"/>
        <v>0</v>
      </c>
      <c r="DG821" s="4">
        <f t="shared" ref="DG821:EL821" si="700">DG961</f>
        <v>91344.88</v>
      </c>
      <c r="DH821" s="4">
        <f t="shared" si="700"/>
        <v>69620.45</v>
      </c>
      <c r="DI821" s="4">
        <f t="shared" si="700"/>
        <v>881.75</v>
      </c>
      <c r="DJ821" s="4">
        <f t="shared" si="700"/>
        <v>261.85000000000002</v>
      </c>
      <c r="DK821" s="4">
        <f t="shared" si="700"/>
        <v>20842.68</v>
      </c>
      <c r="DL821" s="4">
        <f t="shared" si="700"/>
        <v>0</v>
      </c>
      <c r="DM821" s="4">
        <f t="shared" si="700"/>
        <v>58.990299999999991</v>
      </c>
      <c r="DN821" s="4">
        <f t="shared" si="700"/>
        <v>0</v>
      </c>
      <c r="DO821" s="4">
        <f t="shared" si="700"/>
        <v>0</v>
      </c>
      <c r="DP821" s="4">
        <f t="shared" si="700"/>
        <v>16374.98</v>
      </c>
      <c r="DQ821" s="4">
        <f t="shared" si="700"/>
        <v>8545.51</v>
      </c>
      <c r="DR821" s="4">
        <f t="shared" si="700"/>
        <v>0</v>
      </c>
      <c r="DS821" s="4">
        <f t="shared" si="700"/>
        <v>0</v>
      </c>
      <c r="DT821" s="4">
        <f t="shared" si="700"/>
        <v>0</v>
      </c>
      <c r="DU821" s="4">
        <f t="shared" si="700"/>
        <v>0</v>
      </c>
      <c r="DV821" s="4">
        <f t="shared" si="700"/>
        <v>0</v>
      </c>
      <c r="DW821" s="4">
        <f t="shared" si="700"/>
        <v>0</v>
      </c>
      <c r="DX821" s="4">
        <f t="shared" si="700"/>
        <v>0</v>
      </c>
      <c r="DY821" s="4">
        <f t="shared" si="700"/>
        <v>0</v>
      </c>
      <c r="DZ821" s="4">
        <f t="shared" si="700"/>
        <v>0</v>
      </c>
      <c r="EA821" s="4">
        <f t="shared" si="700"/>
        <v>0</v>
      </c>
      <c r="EB821" s="4">
        <f t="shared" si="700"/>
        <v>0</v>
      </c>
      <c r="EC821" s="4">
        <f t="shared" si="700"/>
        <v>0</v>
      </c>
      <c r="ED821" s="4">
        <f t="shared" si="700"/>
        <v>0</v>
      </c>
      <c r="EE821" s="4">
        <f t="shared" si="700"/>
        <v>0</v>
      </c>
      <c r="EF821" s="4">
        <f t="shared" si="700"/>
        <v>0</v>
      </c>
      <c r="EG821" s="4">
        <f t="shared" si="700"/>
        <v>0</v>
      </c>
      <c r="EH821" s="4">
        <f t="shared" si="700"/>
        <v>0</v>
      </c>
      <c r="EI821" s="4">
        <f t="shared" si="700"/>
        <v>0</v>
      </c>
      <c r="EJ821" s="4">
        <f t="shared" si="700"/>
        <v>116684.33</v>
      </c>
      <c r="EK821" s="4">
        <f t="shared" si="700"/>
        <v>2127.34</v>
      </c>
      <c r="EL821" s="4">
        <f t="shared" si="700"/>
        <v>114556.99</v>
      </c>
      <c r="EM821" s="4">
        <f t="shared" ref="EM821:FR821" si="701">EM961</f>
        <v>0</v>
      </c>
      <c r="EN821" s="4">
        <f t="shared" si="701"/>
        <v>69620.45</v>
      </c>
      <c r="EO821" s="4">
        <f t="shared" si="701"/>
        <v>69620.45</v>
      </c>
      <c r="EP821" s="4">
        <f t="shared" si="701"/>
        <v>0</v>
      </c>
      <c r="EQ821" s="4">
        <f t="shared" si="701"/>
        <v>69620.45</v>
      </c>
      <c r="ER821" s="4">
        <f t="shared" si="701"/>
        <v>0</v>
      </c>
      <c r="ES821" s="4">
        <f t="shared" si="701"/>
        <v>0</v>
      </c>
      <c r="ET821" s="4">
        <f t="shared" si="701"/>
        <v>0</v>
      </c>
      <c r="EU821" s="4">
        <f t="shared" si="701"/>
        <v>0</v>
      </c>
      <c r="EV821" s="4">
        <f t="shared" si="701"/>
        <v>0</v>
      </c>
      <c r="EW821" s="4">
        <f t="shared" si="701"/>
        <v>0</v>
      </c>
      <c r="EX821" s="4">
        <f t="shared" si="701"/>
        <v>0</v>
      </c>
      <c r="EY821" s="4">
        <f t="shared" si="701"/>
        <v>0</v>
      </c>
      <c r="EZ821" s="4">
        <f t="shared" si="701"/>
        <v>0</v>
      </c>
      <c r="FA821" s="4">
        <f t="shared" si="701"/>
        <v>0</v>
      </c>
      <c r="FB821" s="4">
        <f t="shared" si="701"/>
        <v>0</v>
      </c>
      <c r="FC821" s="4">
        <f t="shared" si="701"/>
        <v>0</v>
      </c>
      <c r="FD821" s="4">
        <f t="shared" si="701"/>
        <v>0</v>
      </c>
      <c r="FE821" s="4">
        <f t="shared" si="701"/>
        <v>0</v>
      </c>
      <c r="FF821" s="4">
        <f t="shared" si="701"/>
        <v>0</v>
      </c>
      <c r="FG821" s="4">
        <f t="shared" si="701"/>
        <v>0</v>
      </c>
      <c r="FH821" s="4">
        <f t="shared" si="701"/>
        <v>0</v>
      </c>
      <c r="FI821" s="4">
        <f t="shared" si="701"/>
        <v>0</v>
      </c>
      <c r="FJ821" s="4">
        <f t="shared" si="701"/>
        <v>0</v>
      </c>
      <c r="FK821" s="4">
        <f t="shared" si="701"/>
        <v>0</v>
      </c>
      <c r="FL821" s="4">
        <f t="shared" si="701"/>
        <v>0</v>
      </c>
      <c r="FM821" s="4">
        <f t="shared" si="701"/>
        <v>0</v>
      </c>
      <c r="FN821" s="4">
        <f t="shared" si="701"/>
        <v>0</v>
      </c>
      <c r="FO821" s="4">
        <f t="shared" si="701"/>
        <v>0</v>
      </c>
      <c r="FP821" s="4">
        <f t="shared" si="701"/>
        <v>0</v>
      </c>
      <c r="FQ821" s="4">
        <f t="shared" si="701"/>
        <v>0</v>
      </c>
      <c r="FR821" s="4">
        <f t="shared" si="701"/>
        <v>0</v>
      </c>
      <c r="FS821" s="4">
        <f t="shared" ref="FS821:GX821" si="702">FS961</f>
        <v>0</v>
      </c>
      <c r="FT821" s="4">
        <f t="shared" si="702"/>
        <v>0</v>
      </c>
      <c r="FU821" s="4">
        <f t="shared" si="702"/>
        <v>0</v>
      </c>
      <c r="FV821" s="4">
        <f t="shared" si="702"/>
        <v>0</v>
      </c>
      <c r="FW821" s="4">
        <f t="shared" si="702"/>
        <v>0</v>
      </c>
      <c r="FX821" s="4">
        <f t="shared" si="702"/>
        <v>0</v>
      </c>
      <c r="FY821" s="4">
        <f t="shared" si="702"/>
        <v>0</v>
      </c>
      <c r="FZ821" s="4">
        <f t="shared" si="702"/>
        <v>0</v>
      </c>
      <c r="GA821" s="4">
        <f t="shared" si="702"/>
        <v>0</v>
      </c>
      <c r="GB821" s="4">
        <f t="shared" si="702"/>
        <v>0</v>
      </c>
      <c r="GC821" s="4">
        <f t="shared" si="702"/>
        <v>0</v>
      </c>
      <c r="GD821" s="4">
        <f t="shared" si="702"/>
        <v>0</v>
      </c>
      <c r="GE821" s="4">
        <f t="shared" si="702"/>
        <v>0</v>
      </c>
      <c r="GF821" s="4">
        <f t="shared" si="702"/>
        <v>0</v>
      </c>
      <c r="GG821" s="4">
        <f t="shared" si="702"/>
        <v>0</v>
      </c>
      <c r="GH821" s="4">
        <f t="shared" si="702"/>
        <v>0</v>
      </c>
      <c r="GI821" s="4">
        <f t="shared" si="702"/>
        <v>0</v>
      </c>
      <c r="GJ821" s="4">
        <f t="shared" si="702"/>
        <v>0</v>
      </c>
      <c r="GK821" s="4">
        <f t="shared" si="702"/>
        <v>0</v>
      </c>
      <c r="GL821" s="4">
        <f t="shared" si="702"/>
        <v>0</v>
      </c>
      <c r="GM821" s="4">
        <f t="shared" si="702"/>
        <v>0</v>
      </c>
      <c r="GN821" s="4">
        <f t="shared" si="702"/>
        <v>0</v>
      </c>
      <c r="GO821" s="4">
        <f t="shared" si="702"/>
        <v>0</v>
      </c>
      <c r="GP821" s="4">
        <f t="shared" si="702"/>
        <v>0</v>
      </c>
      <c r="GQ821" s="4">
        <f t="shared" si="702"/>
        <v>0</v>
      </c>
      <c r="GR821" s="4">
        <f t="shared" si="702"/>
        <v>0</v>
      </c>
      <c r="GS821" s="4">
        <f t="shared" si="702"/>
        <v>0</v>
      </c>
      <c r="GT821" s="4">
        <f t="shared" si="702"/>
        <v>0</v>
      </c>
      <c r="GU821" s="4">
        <f t="shared" si="702"/>
        <v>0</v>
      </c>
      <c r="GV821" s="4">
        <f t="shared" si="702"/>
        <v>0</v>
      </c>
      <c r="GW821" s="4">
        <f t="shared" si="702"/>
        <v>0</v>
      </c>
      <c r="GX821" s="4">
        <f t="shared" si="702"/>
        <v>0</v>
      </c>
    </row>
    <row r="823" spans="1:255" x14ac:dyDescent="0.2">
      <c r="A823" s="1">
        <v>4</v>
      </c>
      <c r="B823" s="1">
        <v>1</v>
      </c>
      <c r="C823" s="1"/>
      <c r="D823" s="1">
        <f>ROW(A832)</f>
        <v>832</v>
      </c>
      <c r="E823" s="1"/>
      <c r="F823" s="1" t="s">
        <v>16</v>
      </c>
      <c r="G823" s="1" t="s">
        <v>17</v>
      </c>
      <c r="H823" s="1" t="s">
        <v>3</v>
      </c>
      <c r="I823" s="1">
        <v>0</v>
      </c>
      <c r="J823" s="1"/>
      <c r="K823" s="1">
        <v>0</v>
      </c>
      <c r="L823" s="1"/>
      <c r="M823" s="1" t="s">
        <v>3</v>
      </c>
      <c r="N823" s="1"/>
      <c r="O823" s="1"/>
      <c r="P823" s="1"/>
      <c r="Q823" s="1"/>
      <c r="R823" s="1"/>
      <c r="S823" s="1">
        <v>0</v>
      </c>
      <c r="T823" s="1">
        <v>0</v>
      </c>
      <c r="U823" s="1" t="s">
        <v>3</v>
      </c>
      <c r="V823" s="1">
        <v>0</v>
      </c>
      <c r="W823" s="1"/>
      <c r="X823" s="1"/>
      <c r="Y823" s="1"/>
      <c r="Z823" s="1"/>
      <c r="AA823" s="1"/>
      <c r="AB823" s="1" t="s">
        <v>3</v>
      </c>
      <c r="AC823" s="1" t="s">
        <v>3</v>
      </c>
      <c r="AD823" s="1" t="s">
        <v>3</v>
      </c>
      <c r="AE823" s="1" t="s">
        <v>3</v>
      </c>
      <c r="AF823" s="1" t="s">
        <v>3</v>
      </c>
      <c r="AG823" s="1" t="s">
        <v>3</v>
      </c>
      <c r="AH823" s="1"/>
      <c r="AI823" s="1"/>
      <c r="AJ823" s="1"/>
      <c r="AK823" s="1"/>
      <c r="AL823" s="1"/>
      <c r="AM823" s="1"/>
      <c r="AN823" s="1"/>
      <c r="AO823" s="1"/>
      <c r="AP823" s="1" t="s">
        <v>3</v>
      </c>
      <c r="AQ823" s="1" t="s">
        <v>3</v>
      </c>
      <c r="AR823" s="1" t="s">
        <v>3</v>
      </c>
      <c r="AS823" s="1"/>
      <c r="AT823" s="1"/>
      <c r="AU823" s="1"/>
      <c r="AV823" s="1"/>
      <c r="AW823" s="1"/>
      <c r="AX823" s="1"/>
      <c r="AY823" s="1"/>
      <c r="AZ823" s="1" t="s">
        <v>3</v>
      </c>
      <c r="BA823" s="1"/>
      <c r="BB823" s="1" t="s">
        <v>3</v>
      </c>
      <c r="BC823" s="1" t="s">
        <v>3</v>
      </c>
      <c r="BD823" s="1" t="s">
        <v>3</v>
      </c>
      <c r="BE823" s="1" t="s">
        <v>3</v>
      </c>
      <c r="BF823" s="1" t="s">
        <v>3</v>
      </c>
      <c r="BG823" s="1" t="s">
        <v>3</v>
      </c>
      <c r="BH823" s="1" t="s">
        <v>3</v>
      </c>
      <c r="BI823" s="1" t="s">
        <v>3</v>
      </c>
      <c r="BJ823" s="1" t="s">
        <v>3</v>
      </c>
      <c r="BK823" s="1" t="s">
        <v>3</v>
      </c>
      <c r="BL823" s="1" t="s">
        <v>3</v>
      </c>
      <c r="BM823" s="1" t="s">
        <v>3</v>
      </c>
      <c r="BN823" s="1" t="s">
        <v>3</v>
      </c>
      <c r="BO823" s="1" t="s">
        <v>3</v>
      </c>
      <c r="BP823" s="1" t="s">
        <v>3</v>
      </c>
      <c r="BQ823" s="1"/>
      <c r="BR823" s="1"/>
      <c r="BS823" s="1"/>
      <c r="BT823" s="1"/>
      <c r="BU823" s="1"/>
      <c r="BV823" s="1"/>
      <c r="BW823" s="1"/>
      <c r="BX823" s="1">
        <v>0</v>
      </c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>
        <v>0</v>
      </c>
    </row>
    <row r="825" spans="1:255" x14ac:dyDescent="0.2">
      <c r="A825" s="3">
        <v>52</v>
      </c>
      <c r="B825" s="3">
        <f t="shared" ref="B825:G825" si="703">B832</f>
        <v>1</v>
      </c>
      <c r="C825" s="3">
        <f t="shared" si="703"/>
        <v>4</v>
      </c>
      <c r="D825" s="3">
        <f t="shared" si="703"/>
        <v>823</v>
      </c>
      <c r="E825" s="3">
        <f t="shared" si="703"/>
        <v>0</v>
      </c>
      <c r="F825" s="3" t="str">
        <f t="shared" si="703"/>
        <v>Новый раздел</v>
      </c>
      <c r="G825" s="3" t="str">
        <f t="shared" si="703"/>
        <v>Демонтажные работы</v>
      </c>
      <c r="H825" s="3"/>
      <c r="I825" s="3"/>
      <c r="J825" s="3"/>
      <c r="K825" s="3"/>
      <c r="L825" s="3"/>
      <c r="M825" s="3"/>
      <c r="N825" s="3"/>
      <c r="O825" s="3">
        <f t="shared" ref="O825:AT825" si="704">O832</f>
        <v>34.729999999999997</v>
      </c>
      <c r="P825" s="3">
        <f t="shared" si="704"/>
        <v>0</v>
      </c>
      <c r="Q825" s="3">
        <f t="shared" si="704"/>
        <v>0</v>
      </c>
      <c r="R825" s="3">
        <f t="shared" si="704"/>
        <v>0</v>
      </c>
      <c r="S825" s="3">
        <f t="shared" si="704"/>
        <v>34.729999999999997</v>
      </c>
      <c r="T825" s="3">
        <f t="shared" si="704"/>
        <v>0</v>
      </c>
      <c r="U825" s="3">
        <f t="shared" si="704"/>
        <v>3.3975999999999997</v>
      </c>
      <c r="V825" s="3">
        <f t="shared" si="704"/>
        <v>0</v>
      </c>
      <c r="W825" s="3">
        <f t="shared" si="704"/>
        <v>0</v>
      </c>
      <c r="X825" s="3">
        <f t="shared" si="704"/>
        <v>27.79</v>
      </c>
      <c r="Y825" s="3">
        <f t="shared" si="704"/>
        <v>19.100000000000001</v>
      </c>
      <c r="Z825" s="3">
        <f t="shared" si="704"/>
        <v>0</v>
      </c>
      <c r="AA825" s="3">
        <f t="shared" si="704"/>
        <v>0</v>
      </c>
      <c r="AB825" s="3">
        <f t="shared" si="704"/>
        <v>34.729999999999997</v>
      </c>
      <c r="AC825" s="3">
        <f t="shared" si="704"/>
        <v>0</v>
      </c>
      <c r="AD825" s="3">
        <f t="shared" si="704"/>
        <v>0</v>
      </c>
      <c r="AE825" s="3">
        <f t="shared" si="704"/>
        <v>0</v>
      </c>
      <c r="AF825" s="3">
        <f t="shared" si="704"/>
        <v>34.729999999999997</v>
      </c>
      <c r="AG825" s="3">
        <f t="shared" si="704"/>
        <v>0</v>
      </c>
      <c r="AH825" s="3">
        <f t="shared" si="704"/>
        <v>3.3975999999999997</v>
      </c>
      <c r="AI825" s="3">
        <f t="shared" si="704"/>
        <v>0</v>
      </c>
      <c r="AJ825" s="3">
        <f t="shared" si="704"/>
        <v>0</v>
      </c>
      <c r="AK825" s="3">
        <f t="shared" si="704"/>
        <v>27.79</v>
      </c>
      <c r="AL825" s="3">
        <f t="shared" si="704"/>
        <v>19.100000000000001</v>
      </c>
      <c r="AM825" s="3">
        <f t="shared" si="704"/>
        <v>0</v>
      </c>
      <c r="AN825" s="3">
        <f t="shared" si="704"/>
        <v>0</v>
      </c>
      <c r="AO825" s="3">
        <f t="shared" si="704"/>
        <v>0</v>
      </c>
      <c r="AP825" s="3">
        <f t="shared" si="704"/>
        <v>0</v>
      </c>
      <c r="AQ825" s="3">
        <f t="shared" si="704"/>
        <v>0</v>
      </c>
      <c r="AR825" s="3">
        <f t="shared" si="704"/>
        <v>81.62</v>
      </c>
      <c r="AS825" s="3">
        <f t="shared" si="704"/>
        <v>81.62</v>
      </c>
      <c r="AT825" s="3">
        <f t="shared" si="704"/>
        <v>0</v>
      </c>
      <c r="AU825" s="3">
        <f t="shared" ref="AU825:BZ825" si="705">AU832</f>
        <v>0</v>
      </c>
      <c r="AV825" s="3">
        <f t="shared" si="705"/>
        <v>0</v>
      </c>
      <c r="AW825" s="3">
        <f t="shared" si="705"/>
        <v>0</v>
      </c>
      <c r="AX825" s="3">
        <f t="shared" si="705"/>
        <v>0</v>
      </c>
      <c r="AY825" s="3">
        <f t="shared" si="705"/>
        <v>0</v>
      </c>
      <c r="AZ825" s="3">
        <f t="shared" si="705"/>
        <v>0</v>
      </c>
      <c r="BA825" s="3">
        <f t="shared" si="705"/>
        <v>0</v>
      </c>
      <c r="BB825" s="3">
        <f t="shared" si="705"/>
        <v>0</v>
      </c>
      <c r="BC825" s="3">
        <f t="shared" si="705"/>
        <v>0</v>
      </c>
      <c r="BD825" s="3">
        <f t="shared" si="705"/>
        <v>0</v>
      </c>
      <c r="BE825" s="3">
        <f t="shared" si="705"/>
        <v>0</v>
      </c>
      <c r="BF825" s="3">
        <f t="shared" si="705"/>
        <v>0</v>
      </c>
      <c r="BG825" s="3">
        <f t="shared" si="705"/>
        <v>0</v>
      </c>
      <c r="BH825" s="3">
        <f t="shared" si="705"/>
        <v>0</v>
      </c>
      <c r="BI825" s="3">
        <f t="shared" si="705"/>
        <v>0</v>
      </c>
      <c r="BJ825" s="3">
        <f t="shared" si="705"/>
        <v>0</v>
      </c>
      <c r="BK825" s="3">
        <f t="shared" si="705"/>
        <v>0</v>
      </c>
      <c r="BL825" s="3">
        <f t="shared" si="705"/>
        <v>0</v>
      </c>
      <c r="BM825" s="3">
        <f t="shared" si="705"/>
        <v>0</v>
      </c>
      <c r="BN825" s="3">
        <f t="shared" si="705"/>
        <v>0</v>
      </c>
      <c r="BO825" s="3">
        <f t="shared" si="705"/>
        <v>0</v>
      </c>
      <c r="BP825" s="3">
        <f t="shared" si="705"/>
        <v>0</v>
      </c>
      <c r="BQ825" s="3">
        <f t="shared" si="705"/>
        <v>0</v>
      </c>
      <c r="BR825" s="3">
        <f t="shared" si="705"/>
        <v>0</v>
      </c>
      <c r="BS825" s="3">
        <f t="shared" si="705"/>
        <v>0</v>
      </c>
      <c r="BT825" s="3">
        <f t="shared" si="705"/>
        <v>0</v>
      </c>
      <c r="BU825" s="3">
        <f t="shared" si="705"/>
        <v>0</v>
      </c>
      <c r="BV825" s="3">
        <f t="shared" si="705"/>
        <v>0</v>
      </c>
      <c r="BW825" s="3">
        <f t="shared" si="705"/>
        <v>0</v>
      </c>
      <c r="BX825" s="3">
        <f t="shared" si="705"/>
        <v>0</v>
      </c>
      <c r="BY825" s="3">
        <f t="shared" si="705"/>
        <v>0</v>
      </c>
      <c r="BZ825" s="3">
        <f t="shared" si="705"/>
        <v>0</v>
      </c>
      <c r="CA825" s="3">
        <f t="shared" ref="CA825:DF825" si="706">CA832</f>
        <v>81.62</v>
      </c>
      <c r="CB825" s="3">
        <f t="shared" si="706"/>
        <v>81.62</v>
      </c>
      <c r="CC825" s="3">
        <f t="shared" si="706"/>
        <v>0</v>
      </c>
      <c r="CD825" s="3">
        <f t="shared" si="706"/>
        <v>0</v>
      </c>
      <c r="CE825" s="3">
        <f t="shared" si="706"/>
        <v>0</v>
      </c>
      <c r="CF825" s="3">
        <f t="shared" si="706"/>
        <v>0</v>
      </c>
      <c r="CG825" s="3">
        <f t="shared" si="706"/>
        <v>0</v>
      </c>
      <c r="CH825" s="3">
        <f t="shared" si="706"/>
        <v>0</v>
      </c>
      <c r="CI825" s="3">
        <f t="shared" si="706"/>
        <v>0</v>
      </c>
      <c r="CJ825" s="3">
        <f t="shared" si="706"/>
        <v>0</v>
      </c>
      <c r="CK825" s="3">
        <f t="shared" si="706"/>
        <v>0</v>
      </c>
      <c r="CL825" s="3">
        <f t="shared" si="706"/>
        <v>0</v>
      </c>
      <c r="CM825" s="3">
        <f t="shared" si="706"/>
        <v>0</v>
      </c>
      <c r="CN825" s="3">
        <f t="shared" si="706"/>
        <v>0</v>
      </c>
      <c r="CO825" s="3">
        <f t="shared" si="706"/>
        <v>0</v>
      </c>
      <c r="CP825" s="3">
        <f t="shared" si="706"/>
        <v>0</v>
      </c>
      <c r="CQ825" s="3">
        <f t="shared" si="706"/>
        <v>0</v>
      </c>
      <c r="CR825" s="3">
        <f t="shared" si="706"/>
        <v>0</v>
      </c>
      <c r="CS825" s="3">
        <f t="shared" si="706"/>
        <v>0</v>
      </c>
      <c r="CT825" s="3">
        <f t="shared" si="706"/>
        <v>0</v>
      </c>
      <c r="CU825" s="3">
        <f t="shared" si="706"/>
        <v>0</v>
      </c>
      <c r="CV825" s="3">
        <f t="shared" si="706"/>
        <v>0</v>
      </c>
      <c r="CW825" s="3">
        <f t="shared" si="706"/>
        <v>0</v>
      </c>
      <c r="CX825" s="3">
        <f t="shared" si="706"/>
        <v>0</v>
      </c>
      <c r="CY825" s="3">
        <f t="shared" si="706"/>
        <v>0</v>
      </c>
      <c r="CZ825" s="3">
        <f t="shared" si="706"/>
        <v>0</v>
      </c>
      <c r="DA825" s="3">
        <f t="shared" si="706"/>
        <v>0</v>
      </c>
      <c r="DB825" s="3">
        <f t="shared" si="706"/>
        <v>0</v>
      </c>
      <c r="DC825" s="3">
        <f t="shared" si="706"/>
        <v>0</v>
      </c>
      <c r="DD825" s="3">
        <f t="shared" si="706"/>
        <v>0</v>
      </c>
      <c r="DE825" s="3">
        <f t="shared" si="706"/>
        <v>0</v>
      </c>
      <c r="DF825" s="3">
        <f t="shared" si="706"/>
        <v>0</v>
      </c>
      <c r="DG825" s="4">
        <f t="shared" ref="DG825:EL825" si="707">DG832</f>
        <v>1008.22</v>
      </c>
      <c r="DH825" s="4">
        <f t="shared" si="707"/>
        <v>0</v>
      </c>
      <c r="DI825" s="4">
        <f t="shared" si="707"/>
        <v>0</v>
      </c>
      <c r="DJ825" s="4">
        <f t="shared" si="707"/>
        <v>0</v>
      </c>
      <c r="DK825" s="4">
        <f t="shared" si="707"/>
        <v>1008.22</v>
      </c>
      <c r="DL825" s="4">
        <f t="shared" si="707"/>
        <v>0</v>
      </c>
      <c r="DM825" s="4">
        <f t="shared" si="707"/>
        <v>3.3975999999999997</v>
      </c>
      <c r="DN825" s="4">
        <f t="shared" si="707"/>
        <v>0</v>
      </c>
      <c r="DO825" s="4">
        <f t="shared" si="707"/>
        <v>0</v>
      </c>
      <c r="DP825" s="4">
        <f t="shared" si="707"/>
        <v>705.75</v>
      </c>
      <c r="DQ825" s="4">
        <f t="shared" si="707"/>
        <v>413.37</v>
      </c>
      <c r="DR825" s="4">
        <f t="shared" si="707"/>
        <v>0</v>
      </c>
      <c r="DS825" s="4">
        <f t="shared" si="707"/>
        <v>0</v>
      </c>
      <c r="DT825" s="4">
        <f t="shared" si="707"/>
        <v>1008.22</v>
      </c>
      <c r="DU825" s="4">
        <f t="shared" si="707"/>
        <v>0</v>
      </c>
      <c r="DV825" s="4">
        <f t="shared" si="707"/>
        <v>0</v>
      </c>
      <c r="DW825" s="4">
        <f t="shared" si="707"/>
        <v>0</v>
      </c>
      <c r="DX825" s="4">
        <f t="shared" si="707"/>
        <v>1008.22</v>
      </c>
      <c r="DY825" s="4">
        <f t="shared" si="707"/>
        <v>0</v>
      </c>
      <c r="DZ825" s="4">
        <f t="shared" si="707"/>
        <v>3.3975999999999997</v>
      </c>
      <c r="EA825" s="4">
        <f t="shared" si="707"/>
        <v>0</v>
      </c>
      <c r="EB825" s="4">
        <f t="shared" si="707"/>
        <v>0</v>
      </c>
      <c r="EC825" s="4">
        <f t="shared" si="707"/>
        <v>705.75</v>
      </c>
      <c r="ED825" s="4">
        <f t="shared" si="707"/>
        <v>413.37</v>
      </c>
      <c r="EE825" s="4">
        <f t="shared" si="707"/>
        <v>0</v>
      </c>
      <c r="EF825" s="4">
        <f t="shared" si="707"/>
        <v>0</v>
      </c>
      <c r="EG825" s="4">
        <f t="shared" si="707"/>
        <v>0</v>
      </c>
      <c r="EH825" s="4">
        <f t="shared" si="707"/>
        <v>0</v>
      </c>
      <c r="EI825" s="4">
        <f t="shared" si="707"/>
        <v>0</v>
      </c>
      <c r="EJ825" s="4">
        <f t="shared" si="707"/>
        <v>2127.34</v>
      </c>
      <c r="EK825" s="4">
        <f t="shared" si="707"/>
        <v>2127.34</v>
      </c>
      <c r="EL825" s="4">
        <f t="shared" si="707"/>
        <v>0</v>
      </c>
      <c r="EM825" s="4">
        <f t="shared" ref="EM825:FR825" si="708">EM832</f>
        <v>0</v>
      </c>
      <c r="EN825" s="4">
        <f t="shared" si="708"/>
        <v>0</v>
      </c>
      <c r="EO825" s="4">
        <f t="shared" si="708"/>
        <v>0</v>
      </c>
      <c r="EP825" s="4">
        <f t="shared" si="708"/>
        <v>0</v>
      </c>
      <c r="EQ825" s="4">
        <f t="shared" si="708"/>
        <v>0</v>
      </c>
      <c r="ER825" s="4">
        <f t="shared" si="708"/>
        <v>0</v>
      </c>
      <c r="ES825" s="4">
        <f t="shared" si="708"/>
        <v>0</v>
      </c>
      <c r="ET825" s="4">
        <f t="shared" si="708"/>
        <v>0</v>
      </c>
      <c r="EU825" s="4">
        <f t="shared" si="708"/>
        <v>0</v>
      </c>
      <c r="EV825" s="4">
        <f t="shared" si="708"/>
        <v>0</v>
      </c>
      <c r="EW825" s="4">
        <f t="shared" si="708"/>
        <v>0</v>
      </c>
      <c r="EX825" s="4">
        <f t="shared" si="708"/>
        <v>0</v>
      </c>
      <c r="EY825" s="4">
        <f t="shared" si="708"/>
        <v>0</v>
      </c>
      <c r="EZ825" s="4">
        <f t="shared" si="708"/>
        <v>0</v>
      </c>
      <c r="FA825" s="4">
        <f t="shared" si="708"/>
        <v>0</v>
      </c>
      <c r="FB825" s="4">
        <f t="shared" si="708"/>
        <v>0</v>
      </c>
      <c r="FC825" s="4">
        <f t="shared" si="708"/>
        <v>0</v>
      </c>
      <c r="FD825" s="4">
        <f t="shared" si="708"/>
        <v>0</v>
      </c>
      <c r="FE825" s="4">
        <f t="shared" si="708"/>
        <v>0</v>
      </c>
      <c r="FF825" s="4">
        <f t="shared" si="708"/>
        <v>0</v>
      </c>
      <c r="FG825" s="4">
        <f t="shared" si="708"/>
        <v>0</v>
      </c>
      <c r="FH825" s="4">
        <f t="shared" si="708"/>
        <v>0</v>
      </c>
      <c r="FI825" s="4">
        <f t="shared" si="708"/>
        <v>0</v>
      </c>
      <c r="FJ825" s="4">
        <f t="shared" si="708"/>
        <v>0</v>
      </c>
      <c r="FK825" s="4">
        <f t="shared" si="708"/>
        <v>0</v>
      </c>
      <c r="FL825" s="4">
        <f t="shared" si="708"/>
        <v>0</v>
      </c>
      <c r="FM825" s="4">
        <f t="shared" si="708"/>
        <v>0</v>
      </c>
      <c r="FN825" s="4">
        <f t="shared" si="708"/>
        <v>0</v>
      </c>
      <c r="FO825" s="4">
        <f t="shared" si="708"/>
        <v>0</v>
      </c>
      <c r="FP825" s="4">
        <f t="shared" si="708"/>
        <v>0</v>
      </c>
      <c r="FQ825" s="4">
        <f t="shared" si="708"/>
        <v>0</v>
      </c>
      <c r="FR825" s="4">
        <f t="shared" si="708"/>
        <v>0</v>
      </c>
      <c r="FS825" s="4">
        <f t="shared" ref="FS825:GX825" si="709">FS832</f>
        <v>2127.34</v>
      </c>
      <c r="FT825" s="4">
        <f t="shared" si="709"/>
        <v>2127.34</v>
      </c>
      <c r="FU825" s="4">
        <f t="shared" si="709"/>
        <v>0</v>
      </c>
      <c r="FV825" s="4">
        <f t="shared" si="709"/>
        <v>0</v>
      </c>
      <c r="FW825" s="4">
        <f t="shared" si="709"/>
        <v>0</v>
      </c>
      <c r="FX825" s="4">
        <f t="shared" si="709"/>
        <v>0</v>
      </c>
      <c r="FY825" s="4">
        <f t="shared" si="709"/>
        <v>0</v>
      </c>
      <c r="FZ825" s="4">
        <f t="shared" si="709"/>
        <v>0</v>
      </c>
      <c r="GA825" s="4">
        <f t="shared" si="709"/>
        <v>0</v>
      </c>
      <c r="GB825" s="4">
        <f t="shared" si="709"/>
        <v>0</v>
      </c>
      <c r="GC825" s="4">
        <f t="shared" si="709"/>
        <v>0</v>
      </c>
      <c r="GD825" s="4">
        <f t="shared" si="709"/>
        <v>0</v>
      </c>
      <c r="GE825" s="4">
        <f t="shared" si="709"/>
        <v>0</v>
      </c>
      <c r="GF825" s="4">
        <f t="shared" si="709"/>
        <v>0</v>
      </c>
      <c r="GG825" s="4">
        <f t="shared" si="709"/>
        <v>0</v>
      </c>
      <c r="GH825" s="4">
        <f t="shared" si="709"/>
        <v>0</v>
      </c>
      <c r="GI825" s="4">
        <f t="shared" si="709"/>
        <v>0</v>
      </c>
      <c r="GJ825" s="4">
        <f t="shared" si="709"/>
        <v>0</v>
      </c>
      <c r="GK825" s="4">
        <f t="shared" si="709"/>
        <v>0</v>
      </c>
      <c r="GL825" s="4">
        <f t="shared" si="709"/>
        <v>0</v>
      </c>
      <c r="GM825" s="4">
        <f t="shared" si="709"/>
        <v>0</v>
      </c>
      <c r="GN825" s="4">
        <f t="shared" si="709"/>
        <v>0</v>
      </c>
      <c r="GO825" s="4">
        <f t="shared" si="709"/>
        <v>0</v>
      </c>
      <c r="GP825" s="4">
        <f t="shared" si="709"/>
        <v>0</v>
      </c>
      <c r="GQ825" s="4">
        <f t="shared" si="709"/>
        <v>0</v>
      </c>
      <c r="GR825" s="4">
        <f t="shared" si="709"/>
        <v>0</v>
      </c>
      <c r="GS825" s="4">
        <f t="shared" si="709"/>
        <v>0</v>
      </c>
      <c r="GT825" s="4">
        <f t="shared" si="709"/>
        <v>0</v>
      </c>
      <c r="GU825" s="4">
        <f t="shared" si="709"/>
        <v>0</v>
      </c>
      <c r="GV825" s="4">
        <f t="shared" si="709"/>
        <v>0</v>
      </c>
      <c r="GW825" s="4">
        <f t="shared" si="709"/>
        <v>0</v>
      </c>
      <c r="GX825" s="4">
        <f t="shared" si="709"/>
        <v>0</v>
      </c>
    </row>
    <row r="827" spans="1:255" x14ac:dyDescent="0.2">
      <c r="A827" s="2">
        <v>17</v>
      </c>
      <c r="B827" s="2">
        <v>1</v>
      </c>
      <c r="C827" s="2">
        <f>ROW(SmtRes!A723)</f>
        <v>723</v>
      </c>
      <c r="D827" s="2">
        <f>ROW(EtalonRes!A713)</f>
        <v>713</v>
      </c>
      <c r="E827" s="2" t="s">
        <v>18</v>
      </c>
      <c r="F827" s="2" t="s">
        <v>731</v>
      </c>
      <c r="G827" s="2" t="s">
        <v>732</v>
      </c>
      <c r="H827" s="2" t="s">
        <v>551</v>
      </c>
      <c r="I827" s="2">
        <v>0.08</v>
      </c>
      <c r="J827" s="2">
        <v>0</v>
      </c>
      <c r="K827" s="2">
        <v>0.08</v>
      </c>
      <c r="L827" s="2"/>
      <c r="M827" s="2"/>
      <c r="N827" s="2"/>
      <c r="O827" s="2">
        <f>ROUND(CP827,2)</f>
        <v>5.17</v>
      </c>
      <c r="P827" s="2">
        <f>ROUND((ROUND((AC827*AW827*I827),2)*BC827),2)</f>
        <v>0</v>
      </c>
      <c r="Q827" s="2">
        <f>(ROUND((ROUND(((ET827)*AV827*I827),2)*BB827),2)+ROUND((ROUND(((AE827-(EU827))*AV827*I827),2)*BS827),2))</f>
        <v>0</v>
      </c>
      <c r="R827" s="2">
        <f>ROUND((ROUND((AE827*AV827*I827),2)*BS827),2)</f>
        <v>0</v>
      </c>
      <c r="S827" s="2">
        <f>ROUND((ROUND((AF827*AV827*I827),2)*BA827),2)</f>
        <v>5.17</v>
      </c>
      <c r="T827" s="2">
        <f>ROUND(CU827*I827,2)</f>
        <v>0</v>
      </c>
      <c r="U827" s="2">
        <f>CV827*I827</f>
        <v>0.50560000000000005</v>
      </c>
      <c r="V827" s="2">
        <f>CW827*I827</f>
        <v>0</v>
      </c>
      <c r="W827" s="2">
        <f>ROUND(CX827*I827,2)</f>
        <v>0</v>
      </c>
      <c r="X827" s="2">
        <f t="shared" ref="X827:Y830" si="710">ROUND(CY827,2)</f>
        <v>4.1399999999999997</v>
      </c>
      <c r="Y827" s="2">
        <f t="shared" si="710"/>
        <v>2.84</v>
      </c>
      <c r="Z827" s="2"/>
      <c r="AA827" s="2">
        <v>129761636</v>
      </c>
      <c r="AB827" s="2">
        <f>ROUND((AC827+AD827+AF827),6)</f>
        <v>64.59</v>
      </c>
      <c r="AC827" s="2">
        <f>ROUND((ES827),6)</f>
        <v>0</v>
      </c>
      <c r="AD827" s="2">
        <f>ROUND((((ET827)-(EU827))+AE827),6)</f>
        <v>0</v>
      </c>
      <c r="AE827" s="2">
        <f t="shared" ref="AE827:AF830" si="711">ROUND((EU827),6)</f>
        <v>0</v>
      </c>
      <c r="AF827" s="2">
        <f t="shared" si="711"/>
        <v>64.59</v>
      </c>
      <c r="AG827" s="2">
        <f>ROUND((AP827),6)</f>
        <v>0</v>
      </c>
      <c r="AH827" s="2">
        <f t="shared" ref="AH827:AI830" si="712">(EW827)</f>
        <v>6.32</v>
      </c>
      <c r="AI827" s="2">
        <f t="shared" si="712"/>
        <v>0</v>
      </c>
      <c r="AJ827" s="2">
        <f>(AS827)</f>
        <v>0</v>
      </c>
      <c r="AK827" s="2">
        <v>64.59</v>
      </c>
      <c r="AL827" s="2">
        <v>0</v>
      </c>
      <c r="AM827" s="2">
        <v>0</v>
      </c>
      <c r="AN827" s="2">
        <v>0</v>
      </c>
      <c r="AO827" s="2">
        <v>64.59</v>
      </c>
      <c r="AP827" s="2">
        <v>0</v>
      </c>
      <c r="AQ827" s="2">
        <v>6.32</v>
      </c>
      <c r="AR827" s="2">
        <v>0</v>
      </c>
      <c r="AS827" s="2">
        <v>0</v>
      </c>
      <c r="AT827" s="2">
        <v>80</v>
      </c>
      <c r="AU827" s="2">
        <v>55</v>
      </c>
      <c r="AV827" s="2">
        <v>1</v>
      </c>
      <c r="AW827" s="2">
        <v>1</v>
      </c>
      <c r="AX827" s="2"/>
      <c r="AY827" s="2"/>
      <c r="AZ827" s="2">
        <v>1</v>
      </c>
      <c r="BA827" s="2">
        <v>1</v>
      </c>
      <c r="BB827" s="2">
        <v>1</v>
      </c>
      <c r="BC827" s="2">
        <v>1</v>
      </c>
      <c r="BD827" s="2" t="s">
        <v>3</v>
      </c>
      <c r="BE827" s="2" t="s">
        <v>3</v>
      </c>
      <c r="BF827" s="2" t="s">
        <v>3</v>
      </c>
      <c r="BG827" s="2" t="s">
        <v>3</v>
      </c>
      <c r="BH827" s="2">
        <v>0</v>
      </c>
      <c r="BI827" s="2">
        <v>1</v>
      </c>
      <c r="BJ827" s="2" t="s">
        <v>733</v>
      </c>
      <c r="BK827" s="2"/>
      <c r="BL827" s="2"/>
      <c r="BM827" s="2">
        <v>652</v>
      </c>
      <c r="BN827" s="2">
        <v>0</v>
      </c>
      <c r="BO827" s="2" t="s">
        <v>3</v>
      </c>
      <c r="BP827" s="2">
        <v>0</v>
      </c>
      <c r="BQ827" s="2">
        <v>60</v>
      </c>
      <c r="BR827" s="2">
        <v>0</v>
      </c>
      <c r="BS827" s="2">
        <v>1</v>
      </c>
      <c r="BT827" s="2">
        <v>1</v>
      </c>
      <c r="BU827" s="2">
        <v>1</v>
      </c>
      <c r="BV827" s="2">
        <v>1</v>
      </c>
      <c r="BW827" s="2">
        <v>1</v>
      </c>
      <c r="BX827" s="2">
        <v>1</v>
      </c>
      <c r="BY827" s="2" t="s">
        <v>3</v>
      </c>
      <c r="BZ827" s="2">
        <v>80</v>
      </c>
      <c r="CA827" s="2">
        <v>55</v>
      </c>
      <c r="CB827" s="2" t="s">
        <v>3</v>
      </c>
      <c r="CC827" s="2"/>
      <c r="CD827" s="2"/>
      <c r="CE827" s="2">
        <v>30</v>
      </c>
      <c r="CF827" s="2">
        <v>0</v>
      </c>
      <c r="CG827" s="2">
        <v>0</v>
      </c>
      <c r="CH827" s="2"/>
      <c r="CI827" s="2"/>
      <c r="CJ827" s="2"/>
      <c r="CK827" s="2"/>
      <c r="CL827" s="2"/>
      <c r="CM827" s="2">
        <v>0</v>
      </c>
      <c r="CN827" s="2" t="s">
        <v>3</v>
      </c>
      <c r="CO827" s="2">
        <v>0</v>
      </c>
      <c r="CP827" s="2">
        <f>(P827+Q827+S827)</f>
        <v>5.17</v>
      </c>
      <c r="CQ827" s="2">
        <f>ROUND((ROUND((AC827*AW827*1),2)*BC827),2)</f>
        <v>0</v>
      </c>
      <c r="CR827" s="2">
        <f>(ROUND((ROUND(((ET827)*AV827*1),2)*BB827),2)+ROUND((ROUND(((AE827-(EU827))*AV827*1),2)*BS827),2))</f>
        <v>0</v>
      </c>
      <c r="CS827" s="2">
        <f>ROUND((ROUND((AE827*AV827*1),2)*BS827),2)</f>
        <v>0</v>
      </c>
      <c r="CT827" s="2">
        <f>ROUND((ROUND((AF827*AV827*1),2)*BA827),2)</f>
        <v>64.59</v>
      </c>
      <c r="CU827" s="2">
        <f>AG827</f>
        <v>0</v>
      </c>
      <c r="CV827" s="2">
        <f>(AH827*AV827)</f>
        <v>6.32</v>
      </c>
      <c r="CW827" s="2">
        <f t="shared" ref="CW827:CX830" si="713">AI827</f>
        <v>0</v>
      </c>
      <c r="CX827" s="2">
        <f t="shared" si="713"/>
        <v>0</v>
      </c>
      <c r="CY827" s="2">
        <f>((S827*BZ827)/100)</f>
        <v>4.1360000000000001</v>
      </c>
      <c r="CZ827" s="2">
        <f>((S827*CA827)/100)</f>
        <v>2.8435000000000001</v>
      </c>
      <c r="DA827" s="2"/>
      <c r="DB827" s="2"/>
      <c r="DC827" s="2" t="s">
        <v>3</v>
      </c>
      <c r="DD827" s="2" t="s">
        <v>3</v>
      </c>
      <c r="DE827" s="2" t="s">
        <v>3</v>
      </c>
      <c r="DF827" s="2" t="s">
        <v>3</v>
      </c>
      <c r="DG827" s="2" t="s">
        <v>3</v>
      </c>
      <c r="DH827" s="2" t="s">
        <v>3</v>
      </c>
      <c r="DI827" s="2" t="s">
        <v>3</v>
      </c>
      <c r="DJ827" s="2" t="s">
        <v>3</v>
      </c>
      <c r="DK827" s="2" t="s">
        <v>3</v>
      </c>
      <c r="DL827" s="2" t="s">
        <v>3</v>
      </c>
      <c r="DM827" s="2" t="s">
        <v>3</v>
      </c>
      <c r="DN827" s="2">
        <v>0</v>
      </c>
      <c r="DO827" s="2">
        <v>0</v>
      </c>
      <c r="DP827" s="2">
        <v>1</v>
      </c>
      <c r="DQ827" s="2">
        <v>1</v>
      </c>
      <c r="DR827" s="2"/>
      <c r="DS827" s="2"/>
      <c r="DT827" s="2"/>
      <c r="DU827" s="2">
        <v>1010</v>
      </c>
      <c r="DV827" s="2" t="s">
        <v>551</v>
      </c>
      <c r="DW827" s="2" t="s">
        <v>551</v>
      </c>
      <c r="DX827" s="2">
        <v>100</v>
      </c>
      <c r="DY827" s="2"/>
      <c r="DZ827" s="2" t="s">
        <v>3</v>
      </c>
      <c r="EA827" s="2" t="s">
        <v>3</v>
      </c>
      <c r="EB827" s="2" t="s">
        <v>3</v>
      </c>
      <c r="EC827" s="2" t="s">
        <v>3</v>
      </c>
      <c r="ED827" s="2"/>
      <c r="EE827" s="2">
        <v>126052113</v>
      </c>
      <c r="EF827" s="2">
        <v>60</v>
      </c>
      <c r="EG827" s="2" t="s">
        <v>150</v>
      </c>
      <c r="EH827" s="2">
        <v>0</v>
      </c>
      <c r="EI827" s="2" t="s">
        <v>3</v>
      </c>
      <c r="EJ827" s="2">
        <v>1</v>
      </c>
      <c r="EK827" s="2">
        <v>652</v>
      </c>
      <c r="EL827" s="2" t="s">
        <v>734</v>
      </c>
      <c r="EM827" s="2" t="s">
        <v>735</v>
      </c>
      <c r="EN827" s="2"/>
      <c r="EO827" s="2" t="s">
        <v>3</v>
      </c>
      <c r="EP827" s="2"/>
      <c r="EQ827" s="2">
        <v>131072</v>
      </c>
      <c r="ER827" s="2">
        <v>64.59</v>
      </c>
      <c r="ES827" s="2">
        <v>0</v>
      </c>
      <c r="ET827" s="2">
        <v>0</v>
      </c>
      <c r="EU827" s="2">
        <v>0</v>
      </c>
      <c r="EV827" s="2">
        <v>64.59</v>
      </c>
      <c r="EW827" s="2">
        <v>6.32</v>
      </c>
      <c r="EX827" s="2">
        <v>0</v>
      </c>
      <c r="EY827" s="2">
        <v>0</v>
      </c>
      <c r="EZ827" s="2"/>
      <c r="FA827" s="2"/>
      <c r="FB827" s="2"/>
      <c r="FC827" s="2"/>
      <c r="FD827" s="2"/>
      <c r="FE827" s="2"/>
      <c r="FF827" s="2"/>
      <c r="FG827" s="2"/>
      <c r="FH827" s="2"/>
      <c r="FI827" s="2"/>
      <c r="FJ827" s="2"/>
      <c r="FK827" s="2"/>
      <c r="FL827" s="2"/>
      <c r="FM827" s="2"/>
      <c r="FN827" s="2"/>
      <c r="FO827" s="2"/>
      <c r="FP827" s="2"/>
      <c r="FQ827" s="2">
        <v>0</v>
      </c>
      <c r="FR827" s="2">
        <f>ROUND(IF(AND(BH827=3,BI827=3),P827,0),2)</f>
        <v>0</v>
      </c>
      <c r="FS827" s="2">
        <v>0</v>
      </c>
      <c r="FT827" s="2"/>
      <c r="FU827" s="2"/>
      <c r="FV827" s="2"/>
      <c r="FW827" s="2"/>
      <c r="FX827" s="2">
        <v>80</v>
      </c>
      <c r="FY827" s="2">
        <v>55</v>
      </c>
      <c r="FZ827" s="2"/>
      <c r="GA827" s="2" t="s">
        <v>3</v>
      </c>
      <c r="GB827" s="2"/>
      <c r="GC827" s="2"/>
      <c r="GD827" s="2">
        <v>0</v>
      </c>
      <c r="GE827" s="2"/>
      <c r="GF827" s="2">
        <v>569278594</v>
      </c>
      <c r="GG827" s="2">
        <v>2</v>
      </c>
      <c r="GH827" s="2">
        <v>1</v>
      </c>
      <c r="GI827" s="2">
        <v>-2</v>
      </c>
      <c r="GJ827" s="2">
        <v>0</v>
      </c>
      <c r="GK827" s="2">
        <f>ROUND(R827*(R12)/100,2)</f>
        <v>0</v>
      </c>
      <c r="GL827" s="2">
        <f>ROUND(IF(AND(BH827=3,BI827=3,FS827&lt;&gt;0),P827,0),2)</f>
        <v>0</v>
      </c>
      <c r="GM827" s="2">
        <f>ROUND(O827+X827+Y827+GK827,2)+GX827</f>
        <v>12.15</v>
      </c>
      <c r="GN827" s="2">
        <f>IF(OR(BI827=0,BI827=1),ROUND(O827+X827+Y827+GK827,2),0)</f>
        <v>12.15</v>
      </c>
      <c r="GO827" s="2">
        <f>IF(BI827=2,ROUND(O827+X827+Y827+GK827,2),0)</f>
        <v>0</v>
      </c>
      <c r="GP827" s="2">
        <f>IF(BI827=4,ROUND(O827+X827+Y827+GK827,2)+GX827,0)</f>
        <v>0</v>
      </c>
      <c r="GQ827" s="2"/>
      <c r="GR827" s="2">
        <v>0</v>
      </c>
      <c r="GS827" s="2">
        <v>0</v>
      </c>
      <c r="GT827" s="2">
        <v>0</v>
      </c>
      <c r="GU827" s="2" t="s">
        <v>3</v>
      </c>
      <c r="GV827" s="2">
        <f>ROUND((GT827),6)</f>
        <v>0</v>
      </c>
      <c r="GW827" s="2">
        <v>1</v>
      </c>
      <c r="GX827" s="2">
        <f>ROUND(HC827*I827,2)</f>
        <v>0</v>
      </c>
      <c r="GY827" s="2"/>
      <c r="GZ827" s="2"/>
      <c r="HA827" s="2">
        <v>0</v>
      </c>
      <c r="HB827" s="2">
        <v>0</v>
      </c>
      <c r="HC827" s="2">
        <f>GV827*GW827</f>
        <v>0</v>
      </c>
      <c r="HD827" s="2"/>
      <c r="HE827" s="2" t="s">
        <v>3</v>
      </c>
      <c r="HF827" s="2" t="s">
        <v>3</v>
      </c>
      <c r="HG827" s="2"/>
      <c r="HH827" s="2"/>
      <c r="HI827" s="2"/>
      <c r="HJ827" s="2"/>
      <c r="HK827" s="2"/>
      <c r="HL827" s="2"/>
      <c r="HM827" s="2" t="s">
        <v>3</v>
      </c>
      <c r="HN827" s="2" t="s">
        <v>3</v>
      </c>
      <c r="HO827" s="2" t="s">
        <v>3</v>
      </c>
      <c r="HP827" s="2" t="s">
        <v>3</v>
      </c>
      <c r="HQ827" s="2" t="s">
        <v>3</v>
      </c>
      <c r="HR827" s="2"/>
      <c r="HS827" s="2"/>
      <c r="HT827" s="2"/>
      <c r="HU827" s="2"/>
      <c r="HV827" s="2"/>
      <c r="HW827" s="2"/>
      <c r="HX827" s="2"/>
      <c r="HY827" s="2"/>
      <c r="HZ827" s="2"/>
      <c r="IA827" s="2"/>
      <c r="IB827" s="2"/>
      <c r="IC827" s="2"/>
      <c r="ID827" s="2"/>
      <c r="IE827" s="2"/>
      <c r="IF827" s="2"/>
      <c r="IG827" s="2"/>
      <c r="IH827" s="2"/>
      <c r="II827" s="2"/>
      <c r="IJ827" s="2"/>
      <c r="IK827" s="2">
        <v>0</v>
      </c>
      <c r="IL827" s="2"/>
      <c r="IM827" s="2"/>
      <c r="IN827" s="2"/>
      <c r="IO827" s="2"/>
      <c r="IP827" s="2"/>
      <c r="IQ827" s="2"/>
      <c r="IR827" s="2"/>
      <c r="IS827" s="2"/>
      <c r="IT827" s="2"/>
      <c r="IU827" s="2"/>
    </row>
    <row r="828" spans="1:255" x14ac:dyDescent="0.2">
      <c r="A828">
        <v>17</v>
      </c>
      <c r="B828">
        <v>1</v>
      </c>
      <c r="C828">
        <f>ROW(SmtRes!A724)</f>
        <v>724</v>
      </c>
      <c r="D828">
        <f>ROW(EtalonRes!A714)</f>
        <v>714</v>
      </c>
      <c r="E828" t="s">
        <v>18</v>
      </c>
      <c r="F828" t="s">
        <v>731</v>
      </c>
      <c r="G828" t="s">
        <v>732</v>
      </c>
      <c r="H828" t="s">
        <v>551</v>
      </c>
      <c r="I828">
        <v>0.08</v>
      </c>
      <c r="J828">
        <v>0</v>
      </c>
      <c r="K828">
        <v>0.08</v>
      </c>
      <c r="O828">
        <f>ROUND(CP828,2)</f>
        <v>150.09</v>
      </c>
      <c r="P828">
        <f>ROUND((ROUND((AC828*AW828*I828),2)*BC828),2)</f>
        <v>0</v>
      </c>
      <c r="Q828">
        <f>(ROUND((ROUND(((ET828)*AV828*I828),2)*BB828),2)+ROUND((ROUND(((AE828-(EU828))*AV828*I828),2)*BS828),2))</f>
        <v>0</v>
      </c>
      <c r="R828">
        <f>ROUND((ROUND((AE828*AV828*I828),2)*BS828),2)</f>
        <v>0</v>
      </c>
      <c r="S828">
        <f>ROUND((ROUND((AF828*AV828*I828),2)*BA828),2)</f>
        <v>150.09</v>
      </c>
      <c r="T828">
        <f>ROUND(CU828*I828,2)</f>
        <v>0</v>
      </c>
      <c r="U828">
        <f>CV828*I828</f>
        <v>0.50560000000000005</v>
      </c>
      <c r="V828">
        <f>CW828*I828</f>
        <v>0</v>
      </c>
      <c r="W828">
        <f>ROUND(CX828*I828,2)</f>
        <v>0</v>
      </c>
      <c r="X828">
        <f t="shared" si="710"/>
        <v>105.06</v>
      </c>
      <c r="Y828">
        <f t="shared" si="710"/>
        <v>61.54</v>
      </c>
      <c r="AA828">
        <v>129761633</v>
      </c>
      <c r="AB828">
        <f>ROUND((AC828+AD828+AF828),6)</f>
        <v>64.59</v>
      </c>
      <c r="AC828">
        <f>ROUND((ES828),6)</f>
        <v>0</v>
      </c>
      <c r="AD828">
        <f>ROUND((((ET828)-(EU828))+AE828),6)</f>
        <v>0</v>
      </c>
      <c r="AE828">
        <f t="shared" si="711"/>
        <v>0</v>
      </c>
      <c r="AF828">
        <f t="shared" si="711"/>
        <v>64.59</v>
      </c>
      <c r="AG828">
        <f>ROUND((AP828),6)</f>
        <v>0</v>
      </c>
      <c r="AH828">
        <f t="shared" si="712"/>
        <v>6.32</v>
      </c>
      <c r="AI828">
        <f t="shared" si="712"/>
        <v>0</v>
      </c>
      <c r="AJ828">
        <f>(AS828)</f>
        <v>0</v>
      </c>
      <c r="AK828">
        <v>64.59</v>
      </c>
      <c r="AL828">
        <v>0</v>
      </c>
      <c r="AM828">
        <v>0</v>
      </c>
      <c r="AN828">
        <v>0</v>
      </c>
      <c r="AO828">
        <v>64.59</v>
      </c>
      <c r="AP828">
        <v>0</v>
      </c>
      <c r="AQ828">
        <v>6.32</v>
      </c>
      <c r="AR828">
        <v>0</v>
      </c>
      <c r="AS828">
        <v>0</v>
      </c>
      <c r="AT828">
        <v>70</v>
      </c>
      <c r="AU828">
        <v>41</v>
      </c>
      <c r="AV828">
        <v>1</v>
      </c>
      <c r="AW828">
        <v>1</v>
      </c>
      <c r="AZ828">
        <v>1</v>
      </c>
      <c r="BA828">
        <v>29.03</v>
      </c>
      <c r="BB828">
        <v>1</v>
      </c>
      <c r="BC828">
        <v>1</v>
      </c>
      <c r="BD828" t="s">
        <v>3</v>
      </c>
      <c r="BE828" t="s">
        <v>3</v>
      </c>
      <c r="BF828" t="s">
        <v>3</v>
      </c>
      <c r="BG828" t="s">
        <v>3</v>
      </c>
      <c r="BH828">
        <v>0</v>
      </c>
      <c r="BI828">
        <v>1</v>
      </c>
      <c r="BJ828" t="s">
        <v>733</v>
      </c>
      <c r="BM828">
        <v>652</v>
      </c>
      <c r="BN828">
        <v>0</v>
      </c>
      <c r="BO828" t="s">
        <v>731</v>
      </c>
      <c r="BP828">
        <v>1</v>
      </c>
      <c r="BQ828">
        <v>60</v>
      </c>
      <c r="BR828">
        <v>0</v>
      </c>
      <c r="BS828">
        <v>29.03</v>
      </c>
      <c r="BT828">
        <v>1</v>
      </c>
      <c r="BU828">
        <v>1</v>
      </c>
      <c r="BV828">
        <v>1</v>
      </c>
      <c r="BW828">
        <v>1</v>
      </c>
      <c r="BX828">
        <v>1</v>
      </c>
      <c r="BY828" t="s">
        <v>3</v>
      </c>
      <c r="BZ828">
        <v>70</v>
      </c>
      <c r="CA828">
        <v>41</v>
      </c>
      <c r="CB828" t="s">
        <v>3</v>
      </c>
      <c r="CE828">
        <v>30</v>
      </c>
      <c r="CF828">
        <v>0</v>
      </c>
      <c r="CG828">
        <v>0</v>
      </c>
      <c r="CM828">
        <v>0</v>
      </c>
      <c r="CN828" t="s">
        <v>3</v>
      </c>
      <c r="CO828">
        <v>0</v>
      </c>
      <c r="CP828">
        <f>(P828+Q828+S828)</f>
        <v>150.09</v>
      </c>
      <c r="CQ828">
        <f>ROUND((ROUND((AC828*AW828*1),2)*BC828),2)</f>
        <v>0</v>
      </c>
      <c r="CR828">
        <f>(ROUND((ROUND(((ET828)*AV828*1),2)*BB828),2)+ROUND((ROUND(((AE828-(EU828))*AV828*1),2)*BS828),2))</f>
        <v>0</v>
      </c>
      <c r="CS828">
        <f>ROUND((ROUND((AE828*AV828*1),2)*BS828),2)</f>
        <v>0</v>
      </c>
      <c r="CT828">
        <f>ROUND((ROUND((AF828*AV828*1),2)*BA828),2)</f>
        <v>1875.05</v>
      </c>
      <c r="CU828">
        <f>AG828</f>
        <v>0</v>
      </c>
      <c r="CV828">
        <f>(AH828*AV828)</f>
        <v>6.32</v>
      </c>
      <c r="CW828">
        <f t="shared" si="713"/>
        <v>0</v>
      </c>
      <c r="CX828">
        <f t="shared" si="713"/>
        <v>0</v>
      </c>
      <c r="CY828">
        <f>S828*(BZ828/100)</f>
        <v>105.063</v>
      </c>
      <c r="CZ828">
        <f>S828*(CA828/100)</f>
        <v>61.536899999999996</v>
      </c>
      <c r="DC828" t="s">
        <v>3</v>
      </c>
      <c r="DD828" t="s">
        <v>3</v>
      </c>
      <c r="DE828" t="s">
        <v>3</v>
      </c>
      <c r="DF828" t="s">
        <v>3</v>
      </c>
      <c r="DG828" t="s">
        <v>3</v>
      </c>
      <c r="DH828" t="s">
        <v>3</v>
      </c>
      <c r="DI828" t="s">
        <v>3</v>
      </c>
      <c r="DJ828" t="s">
        <v>3</v>
      </c>
      <c r="DK828" t="s">
        <v>3</v>
      </c>
      <c r="DL828" t="s">
        <v>3</v>
      </c>
      <c r="DM828" t="s">
        <v>3</v>
      </c>
      <c r="DN828">
        <v>80</v>
      </c>
      <c r="DO828">
        <v>55</v>
      </c>
      <c r="DP828">
        <v>1</v>
      </c>
      <c r="DQ828">
        <v>1</v>
      </c>
      <c r="DU828">
        <v>1010</v>
      </c>
      <c r="DV828" t="s">
        <v>551</v>
      </c>
      <c r="DW828" t="s">
        <v>551</v>
      </c>
      <c r="DX828">
        <v>100</v>
      </c>
      <c r="DZ828" t="s">
        <v>3</v>
      </c>
      <c r="EA828" t="s">
        <v>3</v>
      </c>
      <c r="EB828" t="s">
        <v>3</v>
      </c>
      <c r="EC828" t="s">
        <v>3</v>
      </c>
      <c r="EE828">
        <v>126052113</v>
      </c>
      <c r="EF828">
        <v>60</v>
      </c>
      <c r="EG828" t="s">
        <v>150</v>
      </c>
      <c r="EH828">
        <v>0</v>
      </c>
      <c r="EI828" t="s">
        <v>3</v>
      </c>
      <c r="EJ828">
        <v>1</v>
      </c>
      <c r="EK828">
        <v>652</v>
      </c>
      <c r="EL828" t="s">
        <v>734</v>
      </c>
      <c r="EM828" t="s">
        <v>735</v>
      </c>
      <c r="EO828" t="s">
        <v>3</v>
      </c>
      <c r="EQ828">
        <v>131072</v>
      </c>
      <c r="ER828">
        <v>64.59</v>
      </c>
      <c r="ES828">
        <v>0</v>
      </c>
      <c r="ET828">
        <v>0</v>
      </c>
      <c r="EU828">
        <v>0</v>
      </c>
      <c r="EV828">
        <v>64.59</v>
      </c>
      <c r="EW828">
        <v>6.32</v>
      </c>
      <c r="EX828">
        <v>0</v>
      </c>
      <c r="EY828">
        <v>0</v>
      </c>
      <c r="FQ828">
        <v>0</v>
      </c>
      <c r="FR828">
        <f>ROUND(IF(AND(BH828=3,BI828=3),P828,0),2)</f>
        <v>0</v>
      </c>
      <c r="FS828">
        <v>0</v>
      </c>
      <c r="FX828">
        <v>80</v>
      </c>
      <c r="FY828">
        <v>55</v>
      </c>
      <c r="GA828" t="s">
        <v>3</v>
      </c>
      <c r="GD828">
        <v>0</v>
      </c>
      <c r="GF828">
        <v>569278594</v>
      </c>
      <c r="GG828">
        <v>2</v>
      </c>
      <c r="GH828">
        <v>1</v>
      </c>
      <c r="GI828">
        <v>2</v>
      </c>
      <c r="GJ828">
        <v>0</v>
      </c>
      <c r="GK828">
        <f>ROUND(R828*(S12)/100,2)</f>
        <v>0</v>
      </c>
      <c r="GL828">
        <f>ROUND(IF(AND(BH828=3,BI828=3,FS828&lt;&gt;0),P828,0),2)</f>
        <v>0</v>
      </c>
      <c r="GM828">
        <f>ROUND(O828+X828+Y828+GK828,2)+GX828</f>
        <v>316.69</v>
      </c>
      <c r="GN828">
        <f>IF(OR(BI828=0,BI828=1),ROUND(O828+X828+Y828+GK828,2),0)</f>
        <v>316.69</v>
      </c>
      <c r="GO828">
        <f>IF(BI828=2,ROUND(O828+X828+Y828+GK828,2),0)</f>
        <v>0</v>
      </c>
      <c r="GP828">
        <f>IF(BI828=4,ROUND(O828+X828+Y828+GK828,2)+GX828,0)</f>
        <v>0</v>
      </c>
      <c r="GR828">
        <v>0</v>
      </c>
      <c r="GS828">
        <v>3</v>
      </c>
      <c r="GT828">
        <v>0</v>
      </c>
      <c r="GU828" t="s">
        <v>3</v>
      </c>
      <c r="GV828">
        <f>ROUND((GT828),6)</f>
        <v>0</v>
      </c>
      <c r="GW828">
        <v>1</v>
      </c>
      <c r="GX828">
        <f>ROUND(HC828*I828,2)</f>
        <v>0</v>
      </c>
      <c r="HA828">
        <v>0</v>
      </c>
      <c r="HB828">
        <v>0</v>
      </c>
      <c r="HC828">
        <f>GV828*GW828</f>
        <v>0</v>
      </c>
      <c r="HE828" t="s">
        <v>3</v>
      </c>
      <c r="HF828" t="s">
        <v>3</v>
      </c>
      <c r="HM828" t="s">
        <v>3</v>
      </c>
      <c r="HN828" t="s">
        <v>3</v>
      </c>
      <c r="HO828" t="s">
        <v>3</v>
      </c>
      <c r="HP828" t="s">
        <v>3</v>
      </c>
      <c r="HQ828" t="s">
        <v>3</v>
      </c>
      <c r="IK828">
        <v>0</v>
      </c>
    </row>
    <row r="829" spans="1:255" x14ac:dyDescent="0.2">
      <c r="A829" s="2">
        <v>17</v>
      </c>
      <c r="B829" s="2">
        <v>1</v>
      </c>
      <c r="C829" s="2">
        <f>ROW(SmtRes!A725)</f>
        <v>725</v>
      </c>
      <c r="D829" s="2">
        <f>ROW(EtalonRes!A715)</f>
        <v>715</v>
      </c>
      <c r="E829" s="2" t="s">
        <v>81</v>
      </c>
      <c r="F829" s="2" t="s">
        <v>736</v>
      </c>
      <c r="G829" s="2" t="s">
        <v>737</v>
      </c>
      <c r="H829" s="2" t="s">
        <v>455</v>
      </c>
      <c r="I829" s="2">
        <v>0.3</v>
      </c>
      <c r="J829" s="2">
        <v>0</v>
      </c>
      <c r="K829" s="2">
        <v>0.3</v>
      </c>
      <c r="L829" s="2"/>
      <c r="M829" s="2"/>
      <c r="N829" s="2"/>
      <c r="O829" s="2">
        <f>ROUND(CP829,2)</f>
        <v>29.56</v>
      </c>
      <c r="P829" s="2">
        <f>ROUND((ROUND((AC829*AW829*I829),2)*BC829),2)</f>
        <v>0</v>
      </c>
      <c r="Q829" s="2">
        <f>(ROUND((ROUND(((ET829)*AV829*I829),2)*BB829),2)+ROUND((ROUND(((AE829-(EU829))*AV829*I829),2)*BS829),2))</f>
        <v>0</v>
      </c>
      <c r="R829" s="2">
        <f>ROUND((ROUND((AE829*AV829*I829),2)*BS829),2)</f>
        <v>0</v>
      </c>
      <c r="S829" s="2">
        <f>ROUND((ROUND((AF829*AV829*I829),2)*BA829),2)</f>
        <v>29.56</v>
      </c>
      <c r="T829" s="2">
        <f>ROUND(CU829*I829,2)</f>
        <v>0</v>
      </c>
      <c r="U829" s="2">
        <f>CV829*I829</f>
        <v>2.8919999999999999</v>
      </c>
      <c r="V829" s="2">
        <f>CW829*I829</f>
        <v>0</v>
      </c>
      <c r="W829" s="2">
        <f>ROUND(CX829*I829,2)</f>
        <v>0</v>
      </c>
      <c r="X829" s="2">
        <f t="shared" si="710"/>
        <v>23.65</v>
      </c>
      <c r="Y829" s="2">
        <f t="shared" si="710"/>
        <v>16.260000000000002</v>
      </c>
      <c r="Z829" s="2"/>
      <c r="AA829" s="2">
        <v>129761636</v>
      </c>
      <c r="AB829" s="2">
        <f>ROUND((AC829+AD829+AF829),6)</f>
        <v>98.52</v>
      </c>
      <c r="AC829" s="2">
        <f>ROUND((ES829),6)</f>
        <v>0</v>
      </c>
      <c r="AD829" s="2">
        <f>ROUND((((ET829)-(EU829))+AE829),6)</f>
        <v>0</v>
      </c>
      <c r="AE829" s="2">
        <f t="shared" si="711"/>
        <v>0</v>
      </c>
      <c r="AF829" s="2">
        <f t="shared" si="711"/>
        <v>98.52</v>
      </c>
      <c r="AG829" s="2">
        <f>ROUND((AP829),6)</f>
        <v>0</v>
      </c>
      <c r="AH829" s="2">
        <f t="shared" si="712"/>
        <v>9.64</v>
      </c>
      <c r="AI829" s="2">
        <f t="shared" si="712"/>
        <v>0</v>
      </c>
      <c r="AJ829" s="2">
        <f>(AS829)</f>
        <v>0</v>
      </c>
      <c r="AK829" s="2">
        <v>98.52</v>
      </c>
      <c r="AL829" s="2">
        <v>0</v>
      </c>
      <c r="AM829" s="2">
        <v>0</v>
      </c>
      <c r="AN829" s="2">
        <v>0</v>
      </c>
      <c r="AO829" s="2">
        <v>98.52</v>
      </c>
      <c r="AP829" s="2">
        <v>0</v>
      </c>
      <c r="AQ829" s="2">
        <v>9.64</v>
      </c>
      <c r="AR829" s="2">
        <v>0</v>
      </c>
      <c r="AS829" s="2">
        <v>0</v>
      </c>
      <c r="AT829" s="2">
        <v>80</v>
      </c>
      <c r="AU829" s="2">
        <v>55</v>
      </c>
      <c r="AV829" s="2">
        <v>1</v>
      </c>
      <c r="AW829" s="2">
        <v>1</v>
      </c>
      <c r="AX829" s="2"/>
      <c r="AY829" s="2"/>
      <c r="AZ829" s="2">
        <v>1</v>
      </c>
      <c r="BA829" s="2">
        <v>1</v>
      </c>
      <c r="BB829" s="2">
        <v>1</v>
      </c>
      <c r="BC829" s="2">
        <v>1</v>
      </c>
      <c r="BD829" s="2" t="s">
        <v>3</v>
      </c>
      <c r="BE829" s="2" t="s">
        <v>3</v>
      </c>
      <c r="BF829" s="2" t="s">
        <v>3</v>
      </c>
      <c r="BG829" s="2" t="s">
        <v>3</v>
      </c>
      <c r="BH829" s="2">
        <v>0</v>
      </c>
      <c r="BI829" s="2">
        <v>1</v>
      </c>
      <c r="BJ829" s="2" t="s">
        <v>738</v>
      </c>
      <c r="BK829" s="2"/>
      <c r="BL829" s="2"/>
      <c r="BM829" s="2">
        <v>652</v>
      </c>
      <c r="BN829" s="2">
        <v>0</v>
      </c>
      <c r="BO829" s="2" t="s">
        <v>3</v>
      </c>
      <c r="BP829" s="2">
        <v>0</v>
      </c>
      <c r="BQ829" s="2">
        <v>60</v>
      </c>
      <c r="BR829" s="2">
        <v>0</v>
      </c>
      <c r="BS829" s="2">
        <v>1</v>
      </c>
      <c r="BT829" s="2">
        <v>1</v>
      </c>
      <c r="BU829" s="2">
        <v>1</v>
      </c>
      <c r="BV829" s="2">
        <v>1</v>
      </c>
      <c r="BW829" s="2">
        <v>1</v>
      </c>
      <c r="BX829" s="2">
        <v>1</v>
      </c>
      <c r="BY829" s="2" t="s">
        <v>3</v>
      </c>
      <c r="BZ829" s="2">
        <v>80</v>
      </c>
      <c r="CA829" s="2">
        <v>55</v>
      </c>
      <c r="CB829" s="2" t="s">
        <v>3</v>
      </c>
      <c r="CC829" s="2"/>
      <c r="CD829" s="2"/>
      <c r="CE829" s="2">
        <v>30</v>
      </c>
      <c r="CF829" s="2">
        <v>0</v>
      </c>
      <c r="CG829" s="2">
        <v>0</v>
      </c>
      <c r="CH829" s="2"/>
      <c r="CI829" s="2"/>
      <c r="CJ829" s="2"/>
      <c r="CK829" s="2"/>
      <c r="CL829" s="2"/>
      <c r="CM829" s="2">
        <v>0</v>
      </c>
      <c r="CN829" s="2" t="s">
        <v>3</v>
      </c>
      <c r="CO829" s="2">
        <v>0</v>
      </c>
      <c r="CP829" s="2">
        <f>(P829+Q829+S829)</f>
        <v>29.56</v>
      </c>
      <c r="CQ829" s="2">
        <f>ROUND((ROUND((AC829*AW829*1),2)*BC829),2)</f>
        <v>0</v>
      </c>
      <c r="CR829" s="2">
        <f>(ROUND((ROUND(((ET829)*AV829*1),2)*BB829),2)+ROUND((ROUND(((AE829-(EU829))*AV829*1),2)*BS829),2))</f>
        <v>0</v>
      </c>
      <c r="CS829" s="2">
        <f>ROUND((ROUND((AE829*AV829*1),2)*BS829),2)</f>
        <v>0</v>
      </c>
      <c r="CT829" s="2">
        <f>ROUND((ROUND((AF829*AV829*1),2)*BA829),2)</f>
        <v>98.52</v>
      </c>
      <c r="CU829" s="2">
        <f>AG829</f>
        <v>0</v>
      </c>
      <c r="CV829" s="2">
        <f>(AH829*AV829)</f>
        <v>9.64</v>
      </c>
      <c r="CW829" s="2">
        <f t="shared" si="713"/>
        <v>0</v>
      </c>
      <c r="CX829" s="2">
        <f t="shared" si="713"/>
        <v>0</v>
      </c>
      <c r="CY829" s="2">
        <f>((S829*BZ829)/100)</f>
        <v>23.647999999999996</v>
      </c>
      <c r="CZ829" s="2">
        <f>((S829*CA829)/100)</f>
        <v>16.257999999999999</v>
      </c>
      <c r="DA829" s="2"/>
      <c r="DB829" s="2"/>
      <c r="DC829" s="2" t="s">
        <v>3</v>
      </c>
      <c r="DD829" s="2" t="s">
        <v>3</v>
      </c>
      <c r="DE829" s="2" t="s">
        <v>3</v>
      </c>
      <c r="DF829" s="2" t="s">
        <v>3</v>
      </c>
      <c r="DG829" s="2" t="s">
        <v>3</v>
      </c>
      <c r="DH829" s="2" t="s">
        <v>3</v>
      </c>
      <c r="DI829" s="2" t="s">
        <v>3</v>
      </c>
      <c r="DJ829" s="2" t="s">
        <v>3</v>
      </c>
      <c r="DK829" s="2" t="s">
        <v>3</v>
      </c>
      <c r="DL829" s="2" t="s">
        <v>3</v>
      </c>
      <c r="DM829" s="2" t="s">
        <v>3</v>
      </c>
      <c r="DN829" s="2">
        <v>0</v>
      </c>
      <c r="DO829" s="2">
        <v>0</v>
      </c>
      <c r="DP829" s="2">
        <v>1</v>
      </c>
      <c r="DQ829" s="2">
        <v>1</v>
      </c>
      <c r="DR829" s="2"/>
      <c r="DS829" s="2"/>
      <c r="DT829" s="2"/>
      <c r="DU829" s="2">
        <v>1003</v>
      </c>
      <c r="DV829" s="2" t="s">
        <v>455</v>
      </c>
      <c r="DW829" s="2" t="s">
        <v>455</v>
      </c>
      <c r="DX829" s="2">
        <v>100</v>
      </c>
      <c r="DY829" s="2"/>
      <c r="DZ829" s="2" t="s">
        <v>3</v>
      </c>
      <c r="EA829" s="2" t="s">
        <v>3</v>
      </c>
      <c r="EB829" s="2" t="s">
        <v>3</v>
      </c>
      <c r="EC829" s="2" t="s">
        <v>3</v>
      </c>
      <c r="ED829" s="2"/>
      <c r="EE829" s="2">
        <v>126052113</v>
      </c>
      <c r="EF829" s="2">
        <v>60</v>
      </c>
      <c r="EG829" s="2" t="s">
        <v>150</v>
      </c>
      <c r="EH829" s="2">
        <v>0</v>
      </c>
      <c r="EI829" s="2" t="s">
        <v>3</v>
      </c>
      <c r="EJ829" s="2">
        <v>1</v>
      </c>
      <c r="EK829" s="2">
        <v>652</v>
      </c>
      <c r="EL829" s="2" t="s">
        <v>734</v>
      </c>
      <c r="EM829" s="2" t="s">
        <v>735</v>
      </c>
      <c r="EN829" s="2"/>
      <c r="EO829" s="2" t="s">
        <v>3</v>
      </c>
      <c r="EP829" s="2"/>
      <c r="EQ829" s="2">
        <v>131072</v>
      </c>
      <c r="ER829" s="2">
        <v>98.52</v>
      </c>
      <c r="ES829" s="2">
        <v>0</v>
      </c>
      <c r="ET829" s="2">
        <v>0</v>
      </c>
      <c r="EU829" s="2">
        <v>0</v>
      </c>
      <c r="EV829" s="2">
        <v>98.52</v>
      </c>
      <c r="EW829" s="2">
        <v>9.64</v>
      </c>
      <c r="EX829" s="2">
        <v>0</v>
      </c>
      <c r="EY829" s="2">
        <v>0</v>
      </c>
      <c r="EZ829" s="2"/>
      <c r="FA829" s="2"/>
      <c r="FB829" s="2"/>
      <c r="FC829" s="2"/>
      <c r="FD829" s="2"/>
      <c r="FE829" s="2"/>
      <c r="FF829" s="2"/>
      <c r="FG829" s="2"/>
      <c r="FH829" s="2"/>
      <c r="FI829" s="2"/>
      <c r="FJ829" s="2"/>
      <c r="FK829" s="2"/>
      <c r="FL829" s="2"/>
      <c r="FM829" s="2"/>
      <c r="FN829" s="2"/>
      <c r="FO829" s="2"/>
      <c r="FP829" s="2"/>
      <c r="FQ829" s="2">
        <v>0</v>
      </c>
      <c r="FR829" s="2">
        <f>ROUND(IF(AND(BH829=3,BI829=3),P829,0),2)</f>
        <v>0</v>
      </c>
      <c r="FS829" s="2">
        <v>0</v>
      </c>
      <c r="FT829" s="2"/>
      <c r="FU829" s="2"/>
      <c r="FV829" s="2"/>
      <c r="FW829" s="2"/>
      <c r="FX829" s="2">
        <v>80</v>
      </c>
      <c r="FY829" s="2">
        <v>55</v>
      </c>
      <c r="FZ829" s="2"/>
      <c r="GA829" s="2" t="s">
        <v>3</v>
      </c>
      <c r="GB829" s="2"/>
      <c r="GC829" s="2"/>
      <c r="GD829" s="2">
        <v>0</v>
      </c>
      <c r="GE829" s="2"/>
      <c r="GF829" s="2">
        <v>-90341211</v>
      </c>
      <c r="GG829" s="2">
        <v>2</v>
      </c>
      <c r="GH829" s="2">
        <v>1</v>
      </c>
      <c r="GI829" s="2">
        <v>-2</v>
      </c>
      <c r="GJ829" s="2">
        <v>0</v>
      </c>
      <c r="GK829" s="2">
        <f>ROUND(R829*(R12)/100,2)</f>
        <v>0</v>
      </c>
      <c r="GL829" s="2">
        <f>ROUND(IF(AND(BH829=3,BI829=3,FS829&lt;&gt;0),P829,0),2)</f>
        <v>0</v>
      </c>
      <c r="GM829" s="2">
        <f>ROUND(O829+X829+Y829+GK829,2)+GX829</f>
        <v>69.47</v>
      </c>
      <c r="GN829" s="2">
        <f>IF(OR(BI829=0,BI829=1),ROUND(O829+X829+Y829+GK829,2),0)</f>
        <v>69.47</v>
      </c>
      <c r="GO829" s="2">
        <f>IF(BI829=2,ROUND(O829+X829+Y829+GK829,2),0)</f>
        <v>0</v>
      </c>
      <c r="GP829" s="2">
        <f>IF(BI829=4,ROUND(O829+X829+Y829+GK829,2)+GX829,0)</f>
        <v>0</v>
      </c>
      <c r="GQ829" s="2"/>
      <c r="GR829" s="2">
        <v>0</v>
      </c>
      <c r="GS829" s="2">
        <v>0</v>
      </c>
      <c r="GT829" s="2">
        <v>0</v>
      </c>
      <c r="GU829" s="2" t="s">
        <v>3</v>
      </c>
      <c r="GV829" s="2">
        <f>ROUND((GT829),6)</f>
        <v>0</v>
      </c>
      <c r="GW829" s="2">
        <v>1</v>
      </c>
      <c r="GX829" s="2">
        <f>ROUND(HC829*I829,2)</f>
        <v>0</v>
      </c>
      <c r="GY829" s="2"/>
      <c r="GZ829" s="2"/>
      <c r="HA829" s="2">
        <v>0</v>
      </c>
      <c r="HB829" s="2">
        <v>0</v>
      </c>
      <c r="HC829" s="2">
        <f>GV829*GW829</f>
        <v>0</v>
      </c>
      <c r="HD829" s="2"/>
      <c r="HE829" s="2" t="s">
        <v>3</v>
      </c>
      <c r="HF829" s="2" t="s">
        <v>3</v>
      </c>
      <c r="HG829" s="2"/>
      <c r="HH829" s="2"/>
      <c r="HI829" s="2"/>
      <c r="HJ829" s="2"/>
      <c r="HK829" s="2"/>
      <c r="HL829" s="2"/>
      <c r="HM829" s="2" t="s">
        <v>3</v>
      </c>
      <c r="HN829" s="2" t="s">
        <v>3</v>
      </c>
      <c r="HO829" s="2" t="s">
        <v>3</v>
      </c>
      <c r="HP829" s="2" t="s">
        <v>3</v>
      </c>
      <c r="HQ829" s="2" t="s">
        <v>3</v>
      </c>
      <c r="HR829" s="2"/>
      <c r="HS829" s="2"/>
      <c r="HT829" s="2"/>
      <c r="HU829" s="2"/>
      <c r="HV829" s="2"/>
      <c r="HW829" s="2"/>
      <c r="HX829" s="2"/>
      <c r="HY829" s="2"/>
      <c r="HZ829" s="2"/>
      <c r="IA829" s="2"/>
      <c r="IB829" s="2"/>
      <c r="IC829" s="2"/>
      <c r="ID829" s="2"/>
      <c r="IE829" s="2"/>
      <c r="IF829" s="2"/>
      <c r="IG829" s="2"/>
      <c r="IH829" s="2"/>
      <c r="II829" s="2"/>
      <c r="IJ829" s="2"/>
      <c r="IK829" s="2">
        <v>0</v>
      </c>
      <c r="IL829" s="2"/>
      <c r="IM829" s="2"/>
      <c r="IN829" s="2"/>
      <c r="IO829" s="2"/>
      <c r="IP829" s="2"/>
      <c r="IQ829" s="2"/>
      <c r="IR829" s="2"/>
      <c r="IS829" s="2"/>
      <c r="IT829" s="2"/>
      <c r="IU829" s="2"/>
    </row>
    <row r="830" spans="1:255" x14ac:dyDescent="0.2">
      <c r="A830">
        <v>17</v>
      </c>
      <c r="B830">
        <v>1</v>
      </c>
      <c r="C830">
        <f>ROW(SmtRes!A726)</f>
        <v>726</v>
      </c>
      <c r="D830">
        <f>ROW(EtalonRes!A716)</f>
        <v>716</v>
      </c>
      <c r="E830" t="s">
        <v>81</v>
      </c>
      <c r="F830" t="s">
        <v>736</v>
      </c>
      <c r="G830" t="s">
        <v>737</v>
      </c>
      <c r="H830" t="s">
        <v>455</v>
      </c>
      <c r="I830">
        <v>0.3</v>
      </c>
      <c r="J830">
        <v>0</v>
      </c>
      <c r="K830">
        <v>0.3</v>
      </c>
      <c r="O830">
        <f>ROUND(CP830,2)</f>
        <v>858.13</v>
      </c>
      <c r="P830">
        <f>ROUND((ROUND((AC830*AW830*I830),2)*BC830),2)</f>
        <v>0</v>
      </c>
      <c r="Q830">
        <f>(ROUND((ROUND(((ET830)*AV830*I830),2)*BB830),2)+ROUND((ROUND(((AE830-(EU830))*AV830*I830),2)*BS830),2))</f>
        <v>0</v>
      </c>
      <c r="R830">
        <f>ROUND((ROUND((AE830*AV830*I830),2)*BS830),2)</f>
        <v>0</v>
      </c>
      <c r="S830">
        <f>ROUND((ROUND((AF830*AV830*I830),2)*BA830),2)</f>
        <v>858.13</v>
      </c>
      <c r="T830">
        <f>ROUND(CU830*I830,2)</f>
        <v>0</v>
      </c>
      <c r="U830">
        <f>CV830*I830</f>
        <v>2.8919999999999999</v>
      </c>
      <c r="V830">
        <f>CW830*I830</f>
        <v>0</v>
      </c>
      <c r="W830">
        <f>ROUND(CX830*I830,2)</f>
        <v>0</v>
      </c>
      <c r="X830">
        <f t="shared" si="710"/>
        <v>600.69000000000005</v>
      </c>
      <c r="Y830">
        <f t="shared" si="710"/>
        <v>351.83</v>
      </c>
      <c r="AA830">
        <v>129761633</v>
      </c>
      <c r="AB830">
        <f>ROUND((AC830+AD830+AF830),6)</f>
        <v>98.52</v>
      </c>
      <c r="AC830">
        <f>ROUND((ES830),6)</f>
        <v>0</v>
      </c>
      <c r="AD830">
        <f>ROUND((((ET830)-(EU830))+AE830),6)</f>
        <v>0</v>
      </c>
      <c r="AE830">
        <f t="shared" si="711"/>
        <v>0</v>
      </c>
      <c r="AF830">
        <f t="shared" si="711"/>
        <v>98.52</v>
      </c>
      <c r="AG830">
        <f>ROUND((AP830),6)</f>
        <v>0</v>
      </c>
      <c r="AH830">
        <f t="shared" si="712"/>
        <v>9.64</v>
      </c>
      <c r="AI830">
        <f t="shared" si="712"/>
        <v>0</v>
      </c>
      <c r="AJ830">
        <f>(AS830)</f>
        <v>0</v>
      </c>
      <c r="AK830">
        <v>98.52</v>
      </c>
      <c r="AL830">
        <v>0</v>
      </c>
      <c r="AM830">
        <v>0</v>
      </c>
      <c r="AN830">
        <v>0</v>
      </c>
      <c r="AO830">
        <v>98.52</v>
      </c>
      <c r="AP830">
        <v>0</v>
      </c>
      <c r="AQ830">
        <v>9.64</v>
      </c>
      <c r="AR830">
        <v>0</v>
      </c>
      <c r="AS830">
        <v>0</v>
      </c>
      <c r="AT830">
        <v>70</v>
      </c>
      <c r="AU830">
        <v>41</v>
      </c>
      <c r="AV830">
        <v>1</v>
      </c>
      <c r="AW830">
        <v>1</v>
      </c>
      <c r="AZ830">
        <v>1</v>
      </c>
      <c r="BA830">
        <v>29.03</v>
      </c>
      <c r="BB830">
        <v>1</v>
      </c>
      <c r="BC830">
        <v>1</v>
      </c>
      <c r="BD830" t="s">
        <v>3</v>
      </c>
      <c r="BE830" t="s">
        <v>3</v>
      </c>
      <c r="BF830" t="s">
        <v>3</v>
      </c>
      <c r="BG830" t="s">
        <v>3</v>
      </c>
      <c r="BH830">
        <v>0</v>
      </c>
      <c r="BI830">
        <v>1</v>
      </c>
      <c r="BJ830" t="s">
        <v>738</v>
      </c>
      <c r="BM830">
        <v>652</v>
      </c>
      <c r="BN830">
        <v>0</v>
      </c>
      <c r="BO830" t="s">
        <v>736</v>
      </c>
      <c r="BP830">
        <v>1</v>
      </c>
      <c r="BQ830">
        <v>60</v>
      </c>
      <c r="BR830">
        <v>0</v>
      </c>
      <c r="BS830">
        <v>29.03</v>
      </c>
      <c r="BT830">
        <v>1</v>
      </c>
      <c r="BU830">
        <v>1</v>
      </c>
      <c r="BV830">
        <v>1</v>
      </c>
      <c r="BW830">
        <v>1</v>
      </c>
      <c r="BX830">
        <v>1</v>
      </c>
      <c r="BY830" t="s">
        <v>3</v>
      </c>
      <c r="BZ830">
        <v>70</v>
      </c>
      <c r="CA830">
        <v>41</v>
      </c>
      <c r="CB830" t="s">
        <v>3</v>
      </c>
      <c r="CE830">
        <v>30</v>
      </c>
      <c r="CF830">
        <v>0</v>
      </c>
      <c r="CG830">
        <v>0</v>
      </c>
      <c r="CM830">
        <v>0</v>
      </c>
      <c r="CN830" t="s">
        <v>3</v>
      </c>
      <c r="CO830">
        <v>0</v>
      </c>
      <c r="CP830">
        <f>(P830+Q830+S830)</f>
        <v>858.13</v>
      </c>
      <c r="CQ830">
        <f>ROUND((ROUND((AC830*AW830*1),2)*BC830),2)</f>
        <v>0</v>
      </c>
      <c r="CR830">
        <f>(ROUND((ROUND(((ET830)*AV830*1),2)*BB830),2)+ROUND((ROUND(((AE830-(EU830))*AV830*1),2)*BS830),2))</f>
        <v>0</v>
      </c>
      <c r="CS830">
        <f>ROUND((ROUND((AE830*AV830*1),2)*BS830),2)</f>
        <v>0</v>
      </c>
      <c r="CT830">
        <f>ROUND((ROUND((AF830*AV830*1),2)*BA830),2)</f>
        <v>2860.04</v>
      </c>
      <c r="CU830">
        <f>AG830</f>
        <v>0</v>
      </c>
      <c r="CV830">
        <f>(AH830*AV830)</f>
        <v>9.64</v>
      </c>
      <c r="CW830">
        <f t="shared" si="713"/>
        <v>0</v>
      </c>
      <c r="CX830">
        <f t="shared" si="713"/>
        <v>0</v>
      </c>
      <c r="CY830">
        <f>S830*(BZ830/100)</f>
        <v>600.69099999999992</v>
      </c>
      <c r="CZ830">
        <f>S830*(CA830/100)</f>
        <v>351.83329999999995</v>
      </c>
      <c r="DC830" t="s">
        <v>3</v>
      </c>
      <c r="DD830" t="s">
        <v>3</v>
      </c>
      <c r="DE830" t="s">
        <v>3</v>
      </c>
      <c r="DF830" t="s">
        <v>3</v>
      </c>
      <c r="DG830" t="s">
        <v>3</v>
      </c>
      <c r="DH830" t="s">
        <v>3</v>
      </c>
      <c r="DI830" t="s">
        <v>3</v>
      </c>
      <c r="DJ830" t="s">
        <v>3</v>
      </c>
      <c r="DK830" t="s">
        <v>3</v>
      </c>
      <c r="DL830" t="s">
        <v>3</v>
      </c>
      <c r="DM830" t="s">
        <v>3</v>
      </c>
      <c r="DN830">
        <v>80</v>
      </c>
      <c r="DO830">
        <v>55</v>
      </c>
      <c r="DP830">
        <v>1</v>
      </c>
      <c r="DQ830">
        <v>1</v>
      </c>
      <c r="DU830">
        <v>1003</v>
      </c>
      <c r="DV830" t="s">
        <v>455</v>
      </c>
      <c r="DW830" t="s">
        <v>455</v>
      </c>
      <c r="DX830">
        <v>100</v>
      </c>
      <c r="DZ830" t="s">
        <v>3</v>
      </c>
      <c r="EA830" t="s">
        <v>3</v>
      </c>
      <c r="EB830" t="s">
        <v>3</v>
      </c>
      <c r="EC830" t="s">
        <v>3</v>
      </c>
      <c r="EE830">
        <v>126052113</v>
      </c>
      <c r="EF830">
        <v>60</v>
      </c>
      <c r="EG830" t="s">
        <v>150</v>
      </c>
      <c r="EH830">
        <v>0</v>
      </c>
      <c r="EI830" t="s">
        <v>3</v>
      </c>
      <c r="EJ830">
        <v>1</v>
      </c>
      <c r="EK830">
        <v>652</v>
      </c>
      <c r="EL830" t="s">
        <v>734</v>
      </c>
      <c r="EM830" t="s">
        <v>735</v>
      </c>
      <c r="EO830" t="s">
        <v>3</v>
      </c>
      <c r="EQ830">
        <v>131072</v>
      </c>
      <c r="ER830">
        <v>98.52</v>
      </c>
      <c r="ES830">
        <v>0</v>
      </c>
      <c r="ET830">
        <v>0</v>
      </c>
      <c r="EU830">
        <v>0</v>
      </c>
      <c r="EV830">
        <v>98.52</v>
      </c>
      <c r="EW830">
        <v>9.64</v>
      </c>
      <c r="EX830">
        <v>0</v>
      </c>
      <c r="EY830">
        <v>0</v>
      </c>
      <c r="FQ830">
        <v>0</v>
      </c>
      <c r="FR830">
        <f>ROUND(IF(AND(BH830=3,BI830=3),P830,0),2)</f>
        <v>0</v>
      </c>
      <c r="FS830">
        <v>0</v>
      </c>
      <c r="FX830">
        <v>80</v>
      </c>
      <c r="FY830">
        <v>55</v>
      </c>
      <c r="GA830" t="s">
        <v>3</v>
      </c>
      <c r="GD830">
        <v>0</v>
      </c>
      <c r="GF830">
        <v>-90341211</v>
      </c>
      <c r="GG830">
        <v>2</v>
      </c>
      <c r="GH830">
        <v>1</v>
      </c>
      <c r="GI830">
        <v>2</v>
      </c>
      <c r="GJ830">
        <v>0</v>
      </c>
      <c r="GK830">
        <f>ROUND(R830*(S12)/100,2)</f>
        <v>0</v>
      </c>
      <c r="GL830">
        <f>ROUND(IF(AND(BH830=3,BI830=3,FS830&lt;&gt;0),P830,0),2)</f>
        <v>0</v>
      </c>
      <c r="GM830">
        <f>ROUND(O830+X830+Y830+GK830,2)+GX830</f>
        <v>1810.65</v>
      </c>
      <c r="GN830">
        <f>IF(OR(BI830=0,BI830=1),ROUND(O830+X830+Y830+GK830,2),0)</f>
        <v>1810.65</v>
      </c>
      <c r="GO830">
        <f>IF(BI830=2,ROUND(O830+X830+Y830+GK830,2),0)</f>
        <v>0</v>
      </c>
      <c r="GP830">
        <f>IF(BI830=4,ROUND(O830+X830+Y830+GK830,2)+GX830,0)</f>
        <v>0</v>
      </c>
      <c r="GR830">
        <v>0</v>
      </c>
      <c r="GS830">
        <v>3</v>
      </c>
      <c r="GT830">
        <v>0</v>
      </c>
      <c r="GU830" t="s">
        <v>3</v>
      </c>
      <c r="GV830">
        <f>ROUND((GT830),6)</f>
        <v>0</v>
      </c>
      <c r="GW830">
        <v>1</v>
      </c>
      <c r="GX830">
        <f>ROUND(HC830*I830,2)</f>
        <v>0</v>
      </c>
      <c r="HA830">
        <v>0</v>
      </c>
      <c r="HB830">
        <v>0</v>
      </c>
      <c r="HC830">
        <f>GV830*GW830</f>
        <v>0</v>
      </c>
      <c r="HE830" t="s">
        <v>3</v>
      </c>
      <c r="HF830" t="s">
        <v>3</v>
      </c>
      <c r="HM830" t="s">
        <v>3</v>
      </c>
      <c r="HN830" t="s">
        <v>3</v>
      </c>
      <c r="HO830" t="s">
        <v>3</v>
      </c>
      <c r="HP830" t="s">
        <v>3</v>
      </c>
      <c r="HQ830" t="s">
        <v>3</v>
      </c>
      <c r="IK830">
        <v>0</v>
      </c>
    </row>
    <row r="832" spans="1:255" x14ac:dyDescent="0.2">
      <c r="A832" s="3">
        <v>51</v>
      </c>
      <c r="B832" s="3">
        <f>B823</f>
        <v>1</v>
      </c>
      <c r="C832" s="3">
        <f>A823</f>
        <v>4</v>
      </c>
      <c r="D832" s="3">
        <f>ROW(A823)</f>
        <v>823</v>
      </c>
      <c r="E832" s="3"/>
      <c r="F832" s="3" t="str">
        <f>IF(F823&lt;&gt;"",F823,"")</f>
        <v>Новый раздел</v>
      </c>
      <c r="G832" s="3" t="str">
        <f>IF(G823&lt;&gt;"",G823,"")</f>
        <v>Демонтажные работы</v>
      </c>
      <c r="H832" s="3">
        <v>0</v>
      </c>
      <c r="I832" s="3"/>
      <c r="J832" s="3"/>
      <c r="K832" s="3"/>
      <c r="L832" s="3"/>
      <c r="M832" s="3"/>
      <c r="N832" s="3"/>
      <c r="O832" s="3">
        <f t="shared" ref="O832:T832" si="714">ROUND(AB832,2)</f>
        <v>34.729999999999997</v>
      </c>
      <c r="P832" s="3">
        <f t="shared" si="714"/>
        <v>0</v>
      </c>
      <c r="Q832" s="3">
        <f t="shared" si="714"/>
        <v>0</v>
      </c>
      <c r="R832" s="3">
        <f t="shared" si="714"/>
        <v>0</v>
      </c>
      <c r="S832" s="3">
        <f t="shared" si="714"/>
        <v>34.729999999999997</v>
      </c>
      <c r="T832" s="3">
        <f t="shared" si="714"/>
        <v>0</v>
      </c>
      <c r="U832" s="3">
        <f>AH832</f>
        <v>3.3975999999999997</v>
      </c>
      <c r="V832" s="3">
        <f>AI832</f>
        <v>0</v>
      </c>
      <c r="W832" s="3">
        <f>ROUND(AJ832,2)</f>
        <v>0</v>
      </c>
      <c r="X832" s="3">
        <f>ROUND(AK832,2)</f>
        <v>27.79</v>
      </c>
      <c r="Y832" s="3">
        <f>ROUND(AL832,2)</f>
        <v>19.100000000000001</v>
      </c>
      <c r="Z832" s="3"/>
      <c r="AA832" s="3"/>
      <c r="AB832" s="3">
        <f>ROUND(SUMIF(AA827:AA830,"=129761636",O827:O830),2)</f>
        <v>34.729999999999997</v>
      </c>
      <c r="AC832" s="3">
        <f>ROUND(SUMIF(AA827:AA830,"=129761636",P827:P830),2)</f>
        <v>0</v>
      </c>
      <c r="AD832" s="3">
        <f>ROUND(SUMIF(AA827:AA830,"=129761636",Q827:Q830),2)</f>
        <v>0</v>
      </c>
      <c r="AE832" s="3">
        <f>ROUND(SUMIF(AA827:AA830,"=129761636",R827:R830),2)</f>
        <v>0</v>
      </c>
      <c r="AF832" s="3">
        <f>ROUND(SUMIF(AA827:AA830,"=129761636",S827:S830),2)</f>
        <v>34.729999999999997</v>
      </c>
      <c r="AG832" s="3">
        <f>ROUND(SUMIF(AA827:AA830,"=129761636",T827:T830),2)</f>
        <v>0</v>
      </c>
      <c r="AH832" s="3">
        <f>SUMIF(AA827:AA830,"=129761636",U827:U830)</f>
        <v>3.3975999999999997</v>
      </c>
      <c r="AI832" s="3">
        <f>SUMIF(AA827:AA830,"=129761636",V827:V830)</f>
        <v>0</v>
      </c>
      <c r="AJ832" s="3">
        <f>ROUND(SUMIF(AA827:AA830,"=129761636",W827:W830),2)</f>
        <v>0</v>
      </c>
      <c r="AK832" s="3">
        <f>ROUND(SUMIF(AA827:AA830,"=129761636",X827:X830),2)</f>
        <v>27.79</v>
      </c>
      <c r="AL832" s="3">
        <f>ROUND(SUMIF(AA827:AA830,"=129761636",Y827:Y830),2)</f>
        <v>19.100000000000001</v>
      </c>
      <c r="AM832" s="3"/>
      <c r="AN832" s="3"/>
      <c r="AO832" s="3">
        <f t="shared" ref="AO832:BD832" si="715">ROUND(BX832,2)</f>
        <v>0</v>
      </c>
      <c r="AP832" s="3">
        <f t="shared" si="715"/>
        <v>0</v>
      </c>
      <c r="AQ832" s="3">
        <f t="shared" si="715"/>
        <v>0</v>
      </c>
      <c r="AR832" s="3">
        <f t="shared" si="715"/>
        <v>81.62</v>
      </c>
      <c r="AS832" s="3">
        <f t="shared" si="715"/>
        <v>81.62</v>
      </c>
      <c r="AT832" s="3">
        <f t="shared" si="715"/>
        <v>0</v>
      </c>
      <c r="AU832" s="3">
        <f t="shared" si="715"/>
        <v>0</v>
      </c>
      <c r="AV832" s="3">
        <f t="shared" si="715"/>
        <v>0</v>
      </c>
      <c r="AW832" s="3">
        <f t="shared" si="715"/>
        <v>0</v>
      </c>
      <c r="AX832" s="3">
        <f t="shared" si="715"/>
        <v>0</v>
      </c>
      <c r="AY832" s="3">
        <f t="shared" si="715"/>
        <v>0</v>
      </c>
      <c r="AZ832" s="3">
        <f t="shared" si="715"/>
        <v>0</v>
      </c>
      <c r="BA832" s="3">
        <f t="shared" si="715"/>
        <v>0</v>
      </c>
      <c r="BB832" s="3">
        <f t="shared" si="715"/>
        <v>0</v>
      </c>
      <c r="BC832" s="3">
        <f t="shared" si="715"/>
        <v>0</v>
      </c>
      <c r="BD832" s="3">
        <f t="shared" si="715"/>
        <v>0</v>
      </c>
      <c r="BE832" s="3"/>
      <c r="BF832" s="3"/>
      <c r="BG832" s="3"/>
      <c r="BH832" s="3"/>
      <c r="BI832" s="3"/>
      <c r="BJ832" s="3"/>
      <c r="BK832" s="3"/>
      <c r="BL832" s="3"/>
      <c r="BM832" s="3"/>
      <c r="BN832" s="3"/>
      <c r="BO832" s="3"/>
      <c r="BP832" s="3"/>
      <c r="BQ832" s="3"/>
      <c r="BR832" s="3"/>
      <c r="BS832" s="3"/>
      <c r="BT832" s="3"/>
      <c r="BU832" s="3"/>
      <c r="BV832" s="3"/>
      <c r="BW832" s="3"/>
      <c r="BX832" s="3">
        <f>ROUND(SUMIF(AA827:AA830,"=129761636",FQ827:FQ830),2)</f>
        <v>0</v>
      </c>
      <c r="BY832" s="3">
        <f>ROUND(SUMIF(AA827:AA830,"=129761636",FR827:FR830),2)</f>
        <v>0</v>
      </c>
      <c r="BZ832" s="3">
        <f>ROUND(SUMIF(AA827:AA830,"=129761636",GL827:GL830),2)</f>
        <v>0</v>
      </c>
      <c r="CA832" s="3">
        <f>ROUND(SUMIF(AA827:AA830,"=129761636",GM827:GM830),2)</f>
        <v>81.62</v>
      </c>
      <c r="CB832" s="3">
        <f>ROUND(SUMIF(AA827:AA830,"=129761636",GN827:GN830),2)</f>
        <v>81.62</v>
      </c>
      <c r="CC832" s="3">
        <f>ROUND(SUMIF(AA827:AA830,"=129761636",GO827:GO830),2)</f>
        <v>0</v>
      </c>
      <c r="CD832" s="3">
        <f>ROUND(SUMIF(AA827:AA830,"=129761636",GP827:GP830),2)</f>
        <v>0</v>
      </c>
      <c r="CE832" s="3">
        <f>AC832-BX832</f>
        <v>0</v>
      </c>
      <c r="CF832" s="3">
        <f>AC832-BY832</f>
        <v>0</v>
      </c>
      <c r="CG832" s="3">
        <f>BX832-BZ832</f>
        <v>0</v>
      </c>
      <c r="CH832" s="3">
        <f>AC832-BX832-BY832+BZ832</f>
        <v>0</v>
      </c>
      <c r="CI832" s="3">
        <f>BY832-BZ832</f>
        <v>0</v>
      </c>
      <c r="CJ832" s="3">
        <f>ROUND(SUMIF(AA827:AA830,"=129761636",GX827:GX830),2)</f>
        <v>0</v>
      </c>
      <c r="CK832" s="3">
        <f>ROUND(SUMIF(AA827:AA830,"=129761636",GY827:GY830),2)</f>
        <v>0</v>
      </c>
      <c r="CL832" s="3">
        <f>ROUND(SUMIF(AA827:AA830,"=129761636",GZ827:GZ830),2)</f>
        <v>0</v>
      </c>
      <c r="CM832" s="3">
        <f>ROUND(SUMIF(AA827:AA830,"=129761636",HD827:HD830),2)</f>
        <v>0</v>
      </c>
      <c r="CN832" s="3"/>
      <c r="CO832" s="3"/>
      <c r="CP832" s="3"/>
      <c r="CQ832" s="3"/>
      <c r="CR832" s="3"/>
      <c r="CS832" s="3"/>
      <c r="CT832" s="3"/>
      <c r="CU832" s="3"/>
      <c r="CV832" s="3"/>
      <c r="CW832" s="3"/>
      <c r="CX832" s="3"/>
      <c r="CY832" s="3"/>
      <c r="CZ832" s="3"/>
      <c r="DA832" s="3"/>
      <c r="DB832" s="3"/>
      <c r="DC832" s="3"/>
      <c r="DD832" s="3"/>
      <c r="DE832" s="3"/>
      <c r="DF832" s="3"/>
      <c r="DG832" s="4">
        <f t="shared" ref="DG832:DL832" si="716">ROUND(DT832,2)</f>
        <v>1008.22</v>
      </c>
      <c r="DH832" s="4">
        <f t="shared" si="716"/>
        <v>0</v>
      </c>
      <c r="DI832" s="4">
        <f t="shared" si="716"/>
        <v>0</v>
      </c>
      <c r="DJ832" s="4">
        <f t="shared" si="716"/>
        <v>0</v>
      </c>
      <c r="DK832" s="4">
        <f t="shared" si="716"/>
        <v>1008.22</v>
      </c>
      <c r="DL832" s="4">
        <f t="shared" si="716"/>
        <v>0</v>
      </c>
      <c r="DM832" s="4">
        <f>DZ832</f>
        <v>3.3975999999999997</v>
      </c>
      <c r="DN832" s="4">
        <f>EA832</f>
        <v>0</v>
      </c>
      <c r="DO832" s="4">
        <f>ROUND(EB832,2)</f>
        <v>0</v>
      </c>
      <c r="DP832" s="4">
        <f>ROUND(EC832,2)</f>
        <v>705.75</v>
      </c>
      <c r="DQ832" s="4">
        <f>ROUND(ED832,2)</f>
        <v>413.37</v>
      </c>
      <c r="DR832" s="4"/>
      <c r="DS832" s="4"/>
      <c r="DT832" s="4">
        <f>ROUND(SUMIF(AA827:AA830,"=129761633",O827:O830),2)</f>
        <v>1008.22</v>
      </c>
      <c r="DU832" s="4">
        <f>ROUND(SUMIF(AA827:AA830,"=129761633",P827:P830),2)</f>
        <v>0</v>
      </c>
      <c r="DV832" s="4">
        <f>ROUND(SUMIF(AA827:AA830,"=129761633",Q827:Q830),2)</f>
        <v>0</v>
      </c>
      <c r="DW832" s="4">
        <f>ROUND(SUMIF(AA827:AA830,"=129761633",R827:R830),2)</f>
        <v>0</v>
      </c>
      <c r="DX832" s="4">
        <f>ROUND(SUMIF(AA827:AA830,"=129761633",S827:S830),2)</f>
        <v>1008.22</v>
      </c>
      <c r="DY832" s="4">
        <f>ROUND(SUMIF(AA827:AA830,"=129761633",T827:T830),2)</f>
        <v>0</v>
      </c>
      <c r="DZ832" s="4">
        <f>SUMIF(AA827:AA830,"=129761633",U827:U830)</f>
        <v>3.3975999999999997</v>
      </c>
      <c r="EA832" s="4">
        <f>SUMIF(AA827:AA830,"=129761633",V827:V830)</f>
        <v>0</v>
      </c>
      <c r="EB832" s="4">
        <f>ROUND(SUMIF(AA827:AA830,"=129761633",W827:W830),2)</f>
        <v>0</v>
      </c>
      <c r="EC832" s="4">
        <f>ROUND(SUMIF(AA827:AA830,"=129761633",X827:X830),2)</f>
        <v>705.75</v>
      </c>
      <c r="ED832" s="4">
        <f>ROUND(SUMIF(AA827:AA830,"=129761633",Y827:Y830),2)</f>
        <v>413.37</v>
      </c>
      <c r="EE832" s="4"/>
      <c r="EF832" s="4"/>
      <c r="EG832" s="4">
        <f t="shared" ref="EG832:EV832" si="717">ROUND(FP832,2)</f>
        <v>0</v>
      </c>
      <c r="EH832" s="4">
        <f t="shared" si="717"/>
        <v>0</v>
      </c>
      <c r="EI832" s="4">
        <f t="shared" si="717"/>
        <v>0</v>
      </c>
      <c r="EJ832" s="4">
        <f t="shared" si="717"/>
        <v>2127.34</v>
      </c>
      <c r="EK832" s="4">
        <f t="shared" si="717"/>
        <v>2127.34</v>
      </c>
      <c r="EL832" s="4">
        <f t="shared" si="717"/>
        <v>0</v>
      </c>
      <c r="EM832" s="4">
        <f t="shared" si="717"/>
        <v>0</v>
      </c>
      <c r="EN832" s="4">
        <f t="shared" si="717"/>
        <v>0</v>
      </c>
      <c r="EO832" s="4">
        <f t="shared" si="717"/>
        <v>0</v>
      </c>
      <c r="EP832" s="4">
        <f t="shared" si="717"/>
        <v>0</v>
      </c>
      <c r="EQ832" s="4">
        <f t="shared" si="717"/>
        <v>0</v>
      </c>
      <c r="ER832" s="4">
        <f t="shared" si="717"/>
        <v>0</v>
      </c>
      <c r="ES832" s="4">
        <f t="shared" si="717"/>
        <v>0</v>
      </c>
      <c r="ET832" s="4">
        <f t="shared" si="717"/>
        <v>0</v>
      </c>
      <c r="EU832" s="4">
        <f t="shared" si="717"/>
        <v>0</v>
      </c>
      <c r="EV832" s="4">
        <f t="shared" si="717"/>
        <v>0</v>
      </c>
      <c r="EW832" s="4"/>
      <c r="EX832" s="4"/>
      <c r="EY832" s="4"/>
      <c r="EZ832" s="4"/>
      <c r="FA832" s="4"/>
      <c r="FB832" s="4"/>
      <c r="FC832" s="4"/>
      <c r="FD832" s="4"/>
      <c r="FE832" s="4"/>
      <c r="FF832" s="4"/>
      <c r="FG832" s="4"/>
      <c r="FH832" s="4"/>
      <c r="FI832" s="4"/>
      <c r="FJ832" s="4"/>
      <c r="FK832" s="4"/>
      <c r="FL832" s="4"/>
      <c r="FM832" s="4"/>
      <c r="FN832" s="4"/>
      <c r="FO832" s="4"/>
      <c r="FP832" s="4">
        <f>ROUND(SUMIF(AA827:AA830,"=129761633",FQ827:FQ830),2)</f>
        <v>0</v>
      </c>
      <c r="FQ832" s="4">
        <f>ROUND(SUMIF(AA827:AA830,"=129761633",FR827:FR830),2)</f>
        <v>0</v>
      </c>
      <c r="FR832" s="4">
        <f>ROUND(SUMIF(AA827:AA830,"=129761633",GL827:GL830),2)</f>
        <v>0</v>
      </c>
      <c r="FS832" s="4">
        <f>ROUND(SUMIF(AA827:AA830,"=129761633",GM827:GM830),2)</f>
        <v>2127.34</v>
      </c>
      <c r="FT832" s="4">
        <f>ROUND(SUMIF(AA827:AA830,"=129761633",GN827:GN830),2)</f>
        <v>2127.34</v>
      </c>
      <c r="FU832" s="4">
        <f>ROUND(SUMIF(AA827:AA830,"=129761633",GO827:GO830),2)</f>
        <v>0</v>
      </c>
      <c r="FV832" s="4">
        <f>ROUND(SUMIF(AA827:AA830,"=129761633",GP827:GP830),2)</f>
        <v>0</v>
      </c>
      <c r="FW832" s="4">
        <f>DU832-FP832</f>
        <v>0</v>
      </c>
      <c r="FX832" s="4">
        <f>DU832-FQ832</f>
        <v>0</v>
      </c>
      <c r="FY832" s="4">
        <f>FP832-FR832</f>
        <v>0</v>
      </c>
      <c r="FZ832" s="4">
        <f>DU832-FP832-FQ832+FR832</f>
        <v>0</v>
      </c>
      <c r="GA832" s="4">
        <f>FQ832-FR832</f>
        <v>0</v>
      </c>
      <c r="GB832" s="4">
        <f>ROUND(SUMIF(AA827:AA830,"=129761633",GX827:GX830),2)</f>
        <v>0</v>
      </c>
      <c r="GC832" s="4">
        <f>ROUND(SUMIF(AA827:AA830,"=129761633",GY827:GY830),2)</f>
        <v>0</v>
      </c>
      <c r="GD832" s="4">
        <f>ROUND(SUMIF(AA827:AA830,"=129761633",GZ827:GZ830),2)</f>
        <v>0</v>
      </c>
      <c r="GE832" s="4">
        <f>ROUND(SUMIF(AA827:AA830,"=129761633",HD827:HD830),2)</f>
        <v>0</v>
      </c>
      <c r="GF832" s="4"/>
      <c r="GG832" s="4"/>
      <c r="GH832" s="4"/>
      <c r="GI832" s="4"/>
      <c r="GJ832" s="4"/>
      <c r="GK832" s="4"/>
      <c r="GL832" s="4"/>
      <c r="GM832" s="4"/>
      <c r="GN832" s="4"/>
      <c r="GO832" s="4"/>
      <c r="GP832" s="4"/>
      <c r="GQ832" s="4"/>
      <c r="GR832" s="4"/>
      <c r="GS832" s="4"/>
      <c r="GT832" s="4"/>
      <c r="GU832" s="4"/>
      <c r="GV832" s="4"/>
      <c r="GW832" s="4"/>
      <c r="GX832" s="4">
        <v>0</v>
      </c>
    </row>
    <row r="834" spans="1:28" x14ac:dyDescent="0.2">
      <c r="A834" s="5">
        <v>50</v>
      </c>
      <c r="B834" s="5">
        <v>0</v>
      </c>
      <c r="C834" s="5">
        <v>0</v>
      </c>
      <c r="D834" s="5">
        <v>1</v>
      </c>
      <c r="E834" s="5">
        <v>201</v>
      </c>
      <c r="F834" s="5">
        <f>ROUND(Source!O832,O834)</f>
        <v>34.729999999999997</v>
      </c>
      <c r="G834" s="5" t="s">
        <v>26</v>
      </c>
      <c r="H834" s="5" t="s">
        <v>27</v>
      </c>
      <c r="I834" s="5"/>
      <c r="J834" s="5"/>
      <c r="K834" s="5">
        <v>201</v>
      </c>
      <c r="L834" s="5">
        <v>1</v>
      </c>
      <c r="M834" s="5">
        <v>3</v>
      </c>
      <c r="N834" s="5" t="s">
        <v>3</v>
      </c>
      <c r="O834" s="5">
        <v>2</v>
      </c>
      <c r="P834" s="5">
        <f>ROUND(Source!DG832,O834)</f>
        <v>1008.22</v>
      </c>
      <c r="Q834" s="5"/>
      <c r="R834" s="5"/>
      <c r="S834" s="5"/>
      <c r="T834" s="5"/>
      <c r="U834" s="5"/>
      <c r="V834" s="5"/>
      <c r="W834" s="5">
        <v>34.729999999999997</v>
      </c>
      <c r="X834" s="5">
        <v>1</v>
      </c>
      <c r="Y834" s="5">
        <v>34.729999999999997</v>
      </c>
      <c r="Z834" s="5">
        <v>1008.22</v>
      </c>
      <c r="AA834" s="5">
        <v>1</v>
      </c>
      <c r="AB834" s="5">
        <v>1008.22</v>
      </c>
    </row>
    <row r="835" spans="1:28" x14ac:dyDescent="0.2">
      <c r="A835" s="5">
        <v>50</v>
      </c>
      <c r="B835" s="5">
        <v>0</v>
      </c>
      <c r="C835" s="5">
        <v>0</v>
      </c>
      <c r="D835" s="5">
        <v>1</v>
      </c>
      <c r="E835" s="5">
        <v>202</v>
      </c>
      <c r="F835" s="5">
        <f>ROUND(Source!P832,O835)</f>
        <v>0</v>
      </c>
      <c r="G835" s="5" t="s">
        <v>28</v>
      </c>
      <c r="H835" s="5" t="s">
        <v>29</v>
      </c>
      <c r="I835" s="5"/>
      <c r="J835" s="5"/>
      <c r="K835" s="5">
        <v>202</v>
      </c>
      <c r="L835" s="5">
        <v>2</v>
      </c>
      <c r="M835" s="5">
        <v>3</v>
      </c>
      <c r="N835" s="5" t="s">
        <v>3</v>
      </c>
      <c r="O835" s="5">
        <v>2</v>
      </c>
      <c r="P835" s="5">
        <f>ROUND(Source!DH832,O835)</f>
        <v>0</v>
      </c>
      <c r="Q835" s="5"/>
      <c r="R835" s="5"/>
      <c r="S835" s="5"/>
      <c r="T835" s="5"/>
      <c r="U835" s="5"/>
      <c r="V835" s="5"/>
      <c r="W835" s="5">
        <v>0</v>
      </c>
      <c r="X835" s="5">
        <v>1</v>
      </c>
      <c r="Y835" s="5">
        <v>0</v>
      </c>
      <c r="Z835" s="5">
        <v>0</v>
      </c>
      <c r="AA835" s="5">
        <v>1</v>
      </c>
      <c r="AB835" s="5">
        <v>0</v>
      </c>
    </row>
    <row r="836" spans="1:28" x14ac:dyDescent="0.2">
      <c r="A836" s="5">
        <v>50</v>
      </c>
      <c r="B836" s="5">
        <v>0</v>
      </c>
      <c r="C836" s="5">
        <v>0</v>
      </c>
      <c r="D836" s="5">
        <v>1</v>
      </c>
      <c r="E836" s="5">
        <v>222</v>
      </c>
      <c r="F836" s="5">
        <f>ROUND(Source!AO832,O836)</f>
        <v>0</v>
      </c>
      <c r="G836" s="5" t="s">
        <v>30</v>
      </c>
      <c r="H836" s="5" t="s">
        <v>31</v>
      </c>
      <c r="I836" s="5"/>
      <c r="J836" s="5"/>
      <c r="K836" s="5">
        <v>222</v>
      </c>
      <c r="L836" s="5">
        <v>3</v>
      </c>
      <c r="M836" s="5">
        <v>3</v>
      </c>
      <c r="N836" s="5" t="s">
        <v>3</v>
      </c>
      <c r="O836" s="5">
        <v>2</v>
      </c>
      <c r="P836" s="5">
        <f>ROUND(Source!EG832,O836)</f>
        <v>0</v>
      </c>
      <c r="Q836" s="5"/>
      <c r="R836" s="5"/>
      <c r="S836" s="5"/>
      <c r="T836" s="5"/>
      <c r="U836" s="5"/>
      <c r="V836" s="5"/>
      <c r="W836" s="5">
        <v>0</v>
      </c>
      <c r="X836" s="5">
        <v>1</v>
      </c>
      <c r="Y836" s="5">
        <v>0</v>
      </c>
      <c r="Z836" s="5">
        <v>0</v>
      </c>
      <c r="AA836" s="5">
        <v>1</v>
      </c>
      <c r="AB836" s="5">
        <v>0</v>
      </c>
    </row>
    <row r="837" spans="1:28" x14ac:dyDescent="0.2">
      <c r="A837" s="5">
        <v>50</v>
      </c>
      <c r="B837" s="5">
        <v>0</v>
      </c>
      <c r="C837" s="5">
        <v>0</v>
      </c>
      <c r="D837" s="5">
        <v>1</v>
      </c>
      <c r="E837" s="5">
        <v>225</v>
      </c>
      <c r="F837" s="5">
        <f>ROUND(Source!AV832,O837)</f>
        <v>0</v>
      </c>
      <c r="G837" s="5" t="s">
        <v>32</v>
      </c>
      <c r="H837" s="5" t="s">
        <v>33</v>
      </c>
      <c r="I837" s="5"/>
      <c r="J837" s="5"/>
      <c r="K837" s="5">
        <v>225</v>
      </c>
      <c r="L837" s="5">
        <v>4</v>
      </c>
      <c r="M837" s="5">
        <v>3</v>
      </c>
      <c r="N837" s="5" t="s">
        <v>3</v>
      </c>
      <c r="O837" s="5">
        <v>2</v>
      </c>
      <c r="P837" s="5">
        <f>ROUND(Source!EN832,O837)</f>
        <v>0</v>
      </c>
      <c r="Q837" s="5"/>
      <c r="R837" s="5"/>
      <c r="S837" s="5"/>
      <c r="T837" s="5"/>
      <c r="U837" s="5"/>
      <c r="V837" s="5"/>
      <c r="W837" s="5">
        <v>0</v>
      </c>
      <c r="X837" s="5">
        <v>1</v>
      </c>
      <c r="Y837" s="5">
        <v>0</v>
      </c>
      <c r="Z837" s="5">
        <v>0</v>
      </c>
      <c r="AA837" s="5">
        <v>1</v>
      </c>
      <c r="AB837" s="5">
        <v>0</v>
      </c>
    </row>
    <row r="838" spans="1:28" x14ac:dyDescent="0.2">
      <c r="A838" s="5">
        <v>50</v>
      </c>
      <c r="B838" s="5">
        <v>0</v>
      </c>
      <c r="C838" s="5">
        <v>0</v>
      </c>
      <c r="D838" s="5">
        <v>1</v>
      </c>
      <c r="E838" s="5">
        <v>226</v>
      </c>
      <c r="F838" s="5">
        <f>ROUND(Source!AW832,O838)</f>
        <v>0</v>
      </c>
      <c r="G838" s="5" t="s">
        <v>34</v>
      </c>
      <c r="H838" s="5" t="s">
        <v>35</v>
      </c>
      <c r="I838" s="5"/>
      <c r="J838" s="5"/>
      <c r="K838" s="5">
        <v>226</v>
      </c>
      <c r="L838" s="5">
        <v>5</v>
      </c>
      <c r="M838" s="5">
        <v>3</v>
      </c>
      <c r="N838" s="5" t="s">
        <v>3</v>
      </c>
      <c r="O838" s="5">
        <v>2</v>
      </c>
      <c r="P838" s="5">
        <f>ROUND(Source!EO832,O838)</f>
        <v>0</v>
      </c>
      <c r="Q838" s="5"/>
      <c r="R838" s="5"/>
      <c r="S838" s="5"/>
      <c r="T838" s="5"/>
      <c r="U838" s="5"/>
      <c r="V838" s="5"/>
      <c r="W838" s="5">
        <v>0</v>
      </c>
      <c r="X838" s="5">
        <v>1</v>
      </c>
      <c r="Y838" s="5">
        <v>0</v>
      </c>
      <c r="Z838" s="5">
        <v>0</v>
      </c>
      <c r="AA838" s="5">
        <v>1</v>
      </c>
      <c r="AB838" s="5">
        <v>0</v>
      </c>
    </row>
    <row r="839" spans="1:28" x14ac:dyDescent="0.2">
      <c r="A839" s="5">
        <v>50</v>
      </c>
      <c r="B839" s="5">
        <v>0</v>
      </c>
      <c r="C839" s="5">
        <v>0</v>
      </c>
      <c r="D839" s="5">
        <v>1</v>
      </c>
      <c r="E839" s="5">
        <v>227</v>
      </c>
      <c r="F839" s="5">
        <f>ROUND(Source!AX832,O839)</f>
        <v>0</v>
      </c>
      <c r="G839" s="5" t="s">
        <v>36</v>
      </c>
      <c r="H839" s="5" t="s">
        <v>37</v>
      </c>
      <c r="I839" s="5"/>
      <c r="J839" s="5"/>
      <c r="K839" s="5">
        <v>227</v>
      </c>
      <c r="L839" s="5">
        <v>6</v>
      </c>
      <c r="M839" s="5">
        <v>3</v>
      </c>
      <c r="N839" s="5" t="s">
        <v>3</v>
      </c>
      <c r="O839" s="5">
        <v>2</v>
      </c>
      <c r="P839" s="5">
        <f>ROUND(Source!EP832,O839)</f>
        <v>0</v>
      </c>
      <c r="Q839" s="5"/>
      <c r="R839" s="5"/>
      <c r="S839" s="5"/>
      <c r="T839" s="5"/>
      <c r="U839" s="5"/>
      <c r="V839" s="5"/>
      <c r="W839" s="5">
        <v>0</v>
      </c>
      <c r="X839" s="5">
        <v>1</v>
      </c>
      <c r="Y839" s="5">
        <v>0</v>
      </c>
      <c r="Z839" s="5">
        <v>0</v>
      </c>
      <c r="AA839" s="5">
        <v>1</v>
      </c>
      <c r="AB839" s="5">
        <v>0</v>
      </c>
    </row>
    <row r="840" spans="1:28" x14ac:dyDescent="0.2">
      <c r="A840" s="5">
        <v>50</v>
      </c>
      <c r="B840" s="5">
        <v>0</v>
      </c>
      <c r="C840" s="5">
        <v>0</v>
      </c>
      <c r="D840" s="5">
        <v>1</v>
      </c>
      <c r="E840" s="5">
        <v>228</v>
      </c>
      <c r="F840" s="5">
        <f>ROUND(Source!AY832,O840)</f>
        <v>0</v>
      </c>
      <c r="G840" s="5" t="s">
        <v>38</v>
      </c>
      <c r="H840" s="5" t="s">
        <v>39</v>
      </c>
      <c r="I840" s="5"/>
      <c r="J840" s="5"/>
      <c r="K840" s="5">
        <v>228</v>
      </c>
      <c r="L840" s="5">
        <v>7</v>
      </c>
      <c r="M840" s="5">
        <v>3</v>
      </c>
      <c r="N840" s="5" t="s">
        <v>3</v>
      </c>
      <c r="O840" s="5">
        <v>2</v>
      </c>
      <c r="P840" s="5">
        <f>ROUND(Source!EQ832,O840)</f>
        <v>0</v>
      </c>
      <c r="Q840" s="5"/>
      <c r="R840" s="5"/>
      <c r="S840" s="5"/>
      <c r="T840" s="5"/>
      <c r="U840" s="5"/>
      <c r="V840" s="5"/>
      <c r="W840" s="5">
        <v>0</v>
      </c>
      <c r="X840" s="5">
        <v>1</v>
      </c>
      <c r="Y840" s="5">
        <v>0</v>
      </c>
      <c r="Z840" s="5">
        <v>0</v>
      </c>
      <c r="AA840" s="5">
        <v>1</v>
      </c>
      <c r="AB840" s="5">
        <v>0</v>
      </c>
    </row>
    <row r="841" spans="1:28" x14ac:dyDescent="0.2">
      <c r="A841" s="5">
        <v>50</v>
      </c>
      <c r="B841" s="5">
        <v>0</v>
      </c>
      <c r="C841" s="5">
        <v>0</v>
      </c>
      <c r="D841" s="5">
        <v>1</v>
      </c>
      <c r="E841" s="5">
        <v>216</v>
      </c>
      <c r="F841" s="5">
        <f>ROUND(Source!AP832,O841)</f>
        <v>0</v>
      </c>
      <c r="G841" s="5" t="s">
        <v>40</v>
      </c>
      <c r="H841" s="5" t="s">
        <v>41</v>
      </c>
      <c r="I841" s="5"/>
      <c r="J841" s="5"/>
      <c r="K841" s="5">
        <v>216</v>
      </c>
      <c r="L841" s="5">
        <v>8</v>
      </c>
      <c r="M841" s="5">
        <v>3</v>
      </c>
      <c r="N841" s="5" t="s">
        <v>3</v>
      </c>
      <c r="O841" s="5">
        <v>2</v>
      </c>
      <c r="P841" s="5">
        <f>ROUND(Source!EH832,O841)</f>
        <v>0</v>
      </c>
      <c r="Q841" s="5"/>
      <c r="R841" s="5"/>
      <c r="S841" s="5"/>
      <c r="T841" s="5"/>
      <c r="U841" s="5"/>
      <c r="V841" s="5"/>
      <c r="W841" s="5">
        <v>0</v>
      </c>
      <c r="X841" s="5">
        <v>1</v>
      </c>
      <c r="Y841" s="5">
        <v>0</v>
      </c>
      <c r="Z841" s="5">
        <v>0</v>
      </c>
      <c r="AA841" s="5">
        <v>1</v>
      </c>
      <c r="AB841" s="5">
        <v>0</v>
      </c>
    </row>
    <row r="842" spans="1:28" x14ac:dyDescent="0.2">
      <c r="A842" s="5">
        <v>50</v>
      </c>
      <c r="B842" s="5">
        <v>0</v>
      </c>
      <c r="C842" s="5">
        <v>0</v>
      </c>
      <c r="D842" s="5">
        <v>1</v>
      </c>
      <c r="E842" s="5">
        <v>223</v>
      </c>
      <c r="F842" s="5">
        <f>ROUND(Source!AQ832,O842)</f>
        <v>0</v>
      </c>
      <c r="G842" s="5" t="s">
        <v>42</v>
      </c>
      <c r="H842" s="5" t="s">
        <v>43</v>
      </c>
      <c r="I842" s="5"/>
      <c r="J842" s="5"/>
      <c r="K842" s="5">
        <v>223</v>
      </c>
      <c r="L842" s="5">
        <v>9</v>
      </c>
      <c r="M842" s="5">
        <v>3</v>
      </c>
      <c r="N842" s="5" t="s">
        <v>3</v>
      </c>
      <c r="O842" s="5">
        <v>2</v>
      </c>
      <c r="P842" s="5">
        <f>ROUND(Source!EI832,O842)</f>
        <v>0</v>
      </c>
      <c r="Q842" s="5"/>
      <c r="R842" s="5"/>
      <c r="S842" s="5"/>
      <c r="T842" s="5"/>
      <c r="U842" s="5"/>
      <c r="V842" s="5"/>
      <c r="W842" s="5">
        <v>0</v>
      </c>
      <c r="X842" s="5">
        <v>1</v>
      </c>
      <c r="Y842" s="5">
        <v>0</v>
      </c>
      <c r="Z842" s="5">
        <v>0</v>
      </c>
      <c r="AA842" s="5">
        <v>1</v>
      </c>
      <c r="AB842" s="5">
        <v>0</v>
      </c>
    </row>
    <row r="843" spans="1:28" x14ac:dyDescent="0.2">
      <c r="A843" s="5">
        <v>50</v>
      </c>
      <c r="B843" s="5">
        <v>0</v>
      </c>
      <c r="C843" s="5">
        <v>0</v>
      </c>
      <c r="D843" s="5">
        <v>1</v>
      </c>
      <c r="E843" s="5">
        <v>229</v>
      </c>
      <c r="F843" s="5">
        <f>ROUND(Source!AZ832,O843)</f>
        <v>0</v>
      </c>
      <c r="G843" s="5" t="s">
        <v>44</v>
      </c>
      <c r="H843" s="5" t="s">
        <v>45</v>
      </c>
      <c r="I843" s="5"/>
      <c r="J843" s="5"/>
      <c r="K843" s="5">
        <v>229</v>
      </c>
      <c r="L843" s="5">
        <v>10</v>
      </c>
      <c r="M843" s="5">
        <v>3</v>
      </c>
      <c r="N843" s="5" t="s">
        <v>3</v>
      </c>
      <c r="O843" s="5">
        <v>2</v>
      </c>
      <c r="P843" s="5">
        <f>ROUND(Source!ER832,O843)</f>
        <v>0</v>
      </c>
      <c r="Q843" s="5"/>
      <c r="R843" s="5"/>
      <c r="S843" s="5"/>
      <c r="T843" s="5"/>
      <c r="U843" s="5"/>
      <c r="V843" s="5"/>
      <c r="W843" s="5">
        <v>0</v>
      </c>
      <c r="X843" s="5">
        <v>1</v>
      </c>
      <c r="Y843" s="5">
        <v>0</v>
      </c>
      <c r="Z843" s="5">
        <v>0</v>
      </c>
      <c r="AA843" s="5">
        <v>1</v>
      </c>
      <c r="AB843" s="5">
        <v>0</v>
      </c>
    </row>
    <row r="844" spans="1:28" x14ac:dyDescent="0.2">
      <c r="A844" s="5">
        <v>50</v>
      </c>
      <c r="B844" s="5">
        <v>0</v>
      </c>
      <c r="C844" s="5">
        <v>0</v>
      </c>
      <c r="D844" s="5">
        <v>1</v>
      </c>
      <c r="E844" s="5">
        <v>203</v>
      </c>
      <c r="F844" s="5">
        <f>ROUND(Source!Q832,O844)</f>
        <v>0</v>
      </c>
      <c r="G844" s="5" t="s">
        <v>46</v>
      </c>
      <c r="H844" s="5" t="s">
        <v>47</v>
      </c>
      <c r="I844" s="5"/>
      <c r="J844" s="5"/>
      <c r="K844" s="5">
        <v>203</v>
      </c>
      <c r="L844" s="5">
        <v>11</v>
      </c>
      <c r="M844" s="5">
        <v>3</v>
      </c>
      <c r="N844" s="5" t="s">
        <v>3</v>
      </c>
      <c r="O844" s="5">
        <v>2</v>
      </c>
      <c r="P844" s="5">
        <f>ROUND(Source!DI832,O844)</f>
        <v>0</v>
      </c>
      <c r="Q844" s="5"/>
      <c r="R844" s="5"/>
      <c r="S844" s="5"/>
      <c r="T844" s="5"/>
      <c r="U844" s="5"/>
      <c r="V844" s="5"/>
      <c r="W844" s="5">
        <v>0</v>
      </c>
      <c r="X844" s="5">
        <v>1</v>
      </c>
      <c r="Y844" s="5">
        <v>0</v>
      </c>
      <c r="Z844" s="5">
        <v>0</v>
      </c>
      <c r="AA844" s="5">
        <v>1</v>
      </c>
      <c r="AB844" s="5">
        <v>0</v>
      </c>
    </row>
    <row r="845" spans="1:28" x14ac:dyDescent="0.2">
      <c r="A845" s="5">
        <v>50</v>
      </c>
      <c r="B845" s="5">
        <v>0</v>
      </c>
      <c r="C845" s="5">
        <v>0</v>
      </c>
      <c r="D845" s="5">
        <v>1</v>
      </c>
      <c r="E845" s="5">
        <v>231</v>
      </c>
      <c r="F845" s="5">
        <f>ROUND(Source!BB832,O845)</f>
        <v>0</v>
      </c>
      <c r="G845" s="5" t="s">
        <v>48</v>
      </c>
      <c r="H845" s="5" t="s">
        <v>49</v>
      </c>
      <c r="I845" s="5"/>
      <c r="J845" s="5"/>
      <c r="K845" s="5">
        <v>231</v>
      </c>
      <c r="L845" s="5">
        <v>12</v>
      </c>
      <c r="M845" s="5">
        <v>3</v>
      </c>
      <c r="N845" s="5" t="s">
        <v>3</v>
      </c>
      <c r="O845" s="5">
        <v>2</v>
      </c>
      <c r="P845" s="5">
        <f>ROUND(Source!ET832,O845)</f>
        <v>0</v>
      </c>
      <c r="Q845" s="5"/>
      <c r="R845" s="5"/>
      <c r="S845" s="5"/>
      <c r="T845" s="5"/>
      <c r="U845" s="5"/>
      <c r="V845" s="5"/>
      <c r="W845" s="5">
        <v>0</v>
      </c>
      <c r="X845" s="5">
        <v>1</v>
      </c>
      <c r="Y845" s="5">
        <v>0</v>
      </c>
      <c r="Z845" s="5">
        <v>0</v>
      </c>
      <c r="AA845" s="5">
        <v>1</v>
      </c>
      <c r="AB845" s="5">
        <v>0</v>
      </c>
    </row>
    <row r="846" spans="1:28" x14ac:dyDescent="0.2">
      <c r="A846" s="5">
        <v>50</v>
      </c>
      <c r="B846" s="5">
        <v>0</v>
      </c>
      <c r="C846" s="5">
        <v>0</v>
      </c>
      <c r="D846" s="5">
        <v>1</v>
      </c>
      <c r="E846" s="5">
        <v>204</v>
      </c>
      <c r="F846" s="5">
        <f>ROUND(Source!R832,O846)</f>
        <v>0</v>
      </c>
      <c r="G846" s="5" t="s">
        <v>50</v>
      </c>
      <c r="H846" s="5" t="s">
        <v>51</v>
      </c>
      <c r="I846" s="5"/>
      <c r="J846" s="5"/>
      <c r="K846" s="5">
        <v>204</v>
      </c>
      <c r="L846" s="5">
        <v>13</v>
      </c>
      <c r="M846" s="5">
        <v>3</v>
      </c>
      <c r="N846" s="5" t="s">
        <v>3</v>
      </c>
      <c r="O846" s="5">
        <v>2</v>
      </c>
      <c r="P846" s="5">
        <f>ROUND(Source!DJ832,O846)</f>
        <v>0</v>
      </c>
      <c r="Q846" s="5"/>
      <c r="R846" s="5"/>
      <c r="S846" s="5"/>
      <c r="T846" s="5"/>
      <c r="U846" s="5"/>
      <c r="V846" s="5"/>
      <c r="W846" s="5">
        <v>0</v>
      </c>
      <c r="X846" s="5">
        <v>1</v>
      </c>
      <c r="Y846" s="5">
        <v>0</v>
      </c>
      <c r="Z846" s="5">
        <v>0</v>
      </c>
      <c r="AA846" s="5">
        <v>1</v>
      </c>
      <c r="AB846" s="5">
        <v>0</v>
      </c>
    </row>
    <row r="847" spans="1:28" x14ac:dyDescent="0.2">
      <c r="A847" s="5">
        <v>50</v>
      </c>
      <c r="B847" s="5">
        <v>0</v>
      </c>
      <c r="C847" s="5">
        <v>0</v>
      </c>
      <c r="D847" s="5">
        <v>1</v>
      </c>
      <c r="E847" s="5">
        <v>205</v>
      </c>
      <c r="F847" s="5">
        <f>ROUND(Source!S832,O847)</f>
        <v>34.729999999999997</v>
      </c>
      <c r="G847" s="5" t="s">
        <v>52</v>
      </c>
      <c r="H847" s="5" t="s">
        <v>53</v>
      </c>
      <c r="I847" s="5"/>
      <c r="J847" s="5"/>
      <c r="K847" s="5">
        <v>205</v>
      </c>
      <c r="L847" s="5">
        <v>14</v>
      </c>
      <c r="M847" s="5">
        <v>3</v>
      </c>
      <c r="N847" s="5" t="s">
        <v>3</v>
      </c>
      <c r="O847" s="5">
        <v>2</v>
      </c>
      <c r="P847" s="5">
        <f>ROUND(Source!DK832,O847)</f>
        <v>1008.22</v>
      </c>
      <c r="Q847" s="5"/>
      <c r="R847" s="5"/>
      <c r="S847" s="5"/>
      <c r="T847" s="5"/>
      <c r="U847" s="5"/>
      <c r="V847" s="5"/>
      <c r="W847" s="5">
        <v>34.729999999999997</v>
      </c>
      <c r="X847" s="5">
        <v>1</v>
      </c>
      <c r="Y847" s="5">
        <v>34.729999999999997</v>
      </c>
      <c r="Z847" s="5">
        <v>1008.22</v>
      </c>
      <c r="AA847" s="5">
        <v>1</v>
      </c>
      <c r="AB847" s="5">
        <v>1008.22</v>
      </c>
    </row>
    <row r="848" spans="1:28" x14ac:dyDescent="0.2">
      <c r="A848" s="5">
        <v>50</v>
      </c>
      <c r="B848" s="5">
        <v>0</v>
      </c>
      <c r="C848" s="5">
        <v>0</v>
      </c>
      <c r="D848" s="5">
        <v>1</v>
      </c>
      <c r="E848" s="5">
        <v>232</v>
      </c>
      <c r="F848" s="5">
        <f>ROUND(Source!BC832,O848)</f>
        <v>0</v>
      </c>
      <c r="G848" s="5" t="s">
        <v>54</v>
      </c>
      <c r="H848" s="5" t="s">
        <v>55</v>
      </c>
      <c r="I848" s="5"/>
      <c r="J848" s="5"/>
      <c r="K848" s="5">
        <v>232</v>
      </c>
      <c r="L848" s="5">
        <v>15</v>
      </c>
      <c r="M848" s="5">
        <v>3</v>
      </c>
      <c r="N848" s="5" t="s">
        <v>3</v>
      </c>
      <c r="O848" s="5">
        <v>2</v>
      </c>
      <c r="P848" s="5">
        <f>ROUND(Source!EU832,O848)</f>
        <v>0</v>
      </c>
      <c r="Q848" s="5"/>
      <c r="R848" s="5"/>
      <c r="S848" s="5"/>
      <c r="T848" s="5"/>
      <c r="U848" s="5"/>
      <c r="V848" s="5"/>
      <c r="W848" s="5">
        <v>0</v>
      </c>
      <c r="X848" s="5">
        <v>1</v>
      </c>
      <c r="Y848" s="5">
        <v>0</v>
      </c>
      <c r="Z848" s="5">
        <v>0</v>
      </c>
      <c r="AA848" s="5">
        <v>1</v>
      </c>
      <c r="AB848" s="5">
        <v>0</v>
      </c>
    </row>
    <row r="849" spans="1:206" x14ac:dyDescent="0.2">
      <c r="A849" s="5">
        <v>50</v>
      </c>
      <c r="B849" s="5">
        <v>0</v>
      </c>
      <c r="C849" s="5">
        <v>0</v>
      </c>
      <c r="D849" s="5">
        <v>1</v>
      </c>
      <c r="E849" s="5">
        <v>214</v>
      </c>
      <c r="F849" s="5">
        <f>ROUND(Source!AS832,O849)</f>
        <v>81.62</v>
      </c>
      <c r="G849" s="5" t="s">
        <v>56</v>
      </c>
      <c r="H849" s="5" t="s">
        <v>57</v>
      </c>
      <c r="I849" s="5"/>
      <c r="J849" s="5"/>
      <c r="K849" s="5">
        <v>214</v>
      </c>
      <c r="L849" s="5">
        <v>16</v>
      </c>
      <c r="M849" s="5">
        <v>3</v>
      </c>
      <c r="N849" s="5" t="s">
        <v>3</v>
      </c>
      <c r="O849" s="5">
        <v>2</v>
      </c>
      <c r="P849" s="5">
        <f>ROUND(Source!EK832,O849)</f>
        <v>2127.34</v>
      </c>
      <c r="Q849" s="5"/>
      <c r="R849" s="5"/>
      <c r="S849" s="5"/>
      <c r="T849" s="5"/>
      <c r="U849" s="5"/>
      <c r="V849" s="5"/>
      <c r="W849" s="5">
        <v>81.62</v>
      </c>
      <c r="X849" s="5">
        <v>1</v>
      </c>
      <c r="Y849" s="5">
        <v>81.62</v>
      </c>
      <c r="Z849" s="5">
        <v>2127.34</v>
      </c>
      <c r="AA849" s="5">
        <v>1</v>
      </c>
      <c r="AB849" s="5">
        <v>2127.34</v>
      </c>
    </row>
    <row r="850" spans="1:206" x14ac:dyDescent="0.2">
      <c r="A850" s="5">
        <v>50</v>
      </c>
      <c r="B850" s="5">
        <v>0</v>
      </c>
      <c r="C850" s="5">
        <v>0</v>
      </c>
      <c r="D850" s="5">
        <v>1</v>
      </c>
      <c r="E850" s="5">
        <v>215</v>
      </c>
      <c r="F850" s="5">
        <f>ROUND(Source!AT832,O850)</f>
        <v>0</v>
      </c>
      <c r="G850" s="5" t="s">
        <v>58</v>
      </c>
      <c r="H850" s="5" t="s">
        <v>59</v>
      </c>
      <c r="I850" s="5"/>
      <c r="J850" s="5"/>
      <c r="K850" s="5">
        <v>215</v>
      </c>
      <c r="L850" s="5">
        <v>17</v>
      </c>
      <c r="M850" s="5">
        <v>3</v>
      </c>
      <c r="N850" s="5" t="s">
        <v>3</v>
      </c>
      <c r="O850" s="5">
        <v>2</v>
      </c>
      <c r="P850" s="5">
        <f>ROUND(Source!EL832,O850)</f>
        <v>0</v>
      </c>
      <c r="Q850" s="5"/>
      <c r="R850" s="5"/>
      <c r="S850" s="5"/>
      <c r="T850" s="5"/>
      <c r="U850" s="5"/>
      <c r="V850" s="5"/>
      <c r="W850" s="5">
        <v>0</v>
      </c>
      <c r="X850" s="5">
        <v>1</v>
      </c>
      <c r="Y850" s="5">
        <v>0</v>
      </c>
      <c r="Z850" s="5">
        <v>0</v>
      </c>
      <c r="AA850" s="5">
        <v>1</v>
      </c>
      <c r="AB850" s="5">
        <v>0</v>
      </c>
    </row>
    <row r="851" spans="1:206" x14ac:dyDescent="0.2">
      <c r="A851" s="5">
        <v>50</v>
      </c>
      <c r="B851" s="5">
        <v>0</v>
      </c>
      <c r="C851" s="5">
        <v>0</v>
      </c>
      <c r="D851" s="5">
        <v>1</v>
      </c>
      <c r="E851" s="5">
        <v>217</v>
      </c>
      <c r="F851" s="5">
        <f>ROUND(Source!AU832,O851)</f>
        <v>0</v>
      </c>
      <c r="G851" s="5" t="s">
        <v>60</v>
      </c>
      <c r="H851" s="5" t="s">
        <v>61</v>
      </c>
      <c r="I851" s="5"/>
      <c r="J851" s="5"/>
      <c r="K851" s="5">
        <v>217</v>
      </c>
      <c r="L851" s="5">
        <v>18</v>
      </c>
      <c r="M851" s="5">
        <v>3</v>
      </c>
      <c r="N851" s="5" t="s">
        <v>3</v>
      </c>
      <c r="O851" s="5">
        <v>2</v>
      </c>
      <c r="P851" s="5">
        <f>ROUND(Source!EM832,O851)</f>
        <v>0</v>
      </c>
      <c r="Q851" s="5"/>
      <c r="R851" s="5"/>
      <c r="S851" s="5"/>
      <c r="T851" s="5"/>
      <c r="U851" s="5"/>
      <c r="V851" s="5"/>
      <c r="W851" s="5">
        <v>0</v>
      </c>
      <c r="X851" s="5">
        <v>1</v>
      </c>
      <c r="Y851" s="5">
        <v>0</v>
      </c>
      <c r="Z851" s="5">
        <v>0</v>
      </c>
      <c r="AA851" s="5">
        <v>1</v>
      </c>
      <c r="AB851" s="5">
        <v>0</v>
      </c>
    </row>
    <row r="852" spans="1:206" x14ac:dyDescent="0.2">
      <c r="A852" s="5">
        <v>50</v>
      </c>
      <c r="B852" s="5">
        <v>0</v>
      </c>
      <c r="C852" s="5">
        <v>0</v>
      </c>
      <c r="D852" s="5">
        <v>1</v>
      </c>
      <c r="E852" s="5">
        <v>230</v>
      </c>
      <c r="F852" s="5">
        <f>ROUND(Source!BA832,O852)</f>
        <v>0</v>
      </c>
      <c r="G852" s="5" t="s">
        <v>62</v>
      </c>
      <c r="H852" s="5" t="s">
        <v>63</v>
      </c>
      <c r="I852" s="5"/>
      <c r="J852" s="5"/>
      <c r="K852" s="5">
        <v>230</v>
      </c>
      <c r="L852" s="5">
        <v>19</v>
      </c>
      <c r="M852" s="5">
        <v>3</v>
      </c>
      <c r="N852" s="5" t="s">
        <v>3</v>
      </c>
      <c r="O852" s="5">
        <v>2</v>
      </c>
      <c r="P852" s="5">
        <f>ROUND(Source!ES832,O852)</f>
        <v>0</v>
      </c>
      <c r="Q852" s="5"/>
      <c r="R852" s="5"/>
      <c r="S852" s="5"/>
      <c r="T852" s="5"/>
      <c r="U852" s="5"/>
      <c r="V852" s="5"/>
      <c r="W852" s="5">
        <v>0</v>
      </c>
      <c r="X852" s="5">
        <v>1</v>
      </c>
      <c r="Y852" s="5">
        <v>0</v>
      </c>
      <c r="Z852" s="5">
        <v>0</v>
      </c>
      <c r="AA852" s="5">
        <v>1</v>
      </c>
      <c r="AB852" s="5">
        <v>0</v>
      </c>
    </row>
    <row r="853" spans="1:206" x14ac:dyDescent="0.2">
      <c r="A853" s="5">
        <v>50</v>
      </c>
      <c r="B853" s="5">
        <v>0</v>
      </c>
      <c r="C853" s="5">
        <v>0</v>
      </c>
      <c r="D853" s="5">
        <v>1</v>
      </c>
      <c r="E853" s="5">
        <v>206</v>
      </c>
      <c r="F853" s="5">
        <f>ROUND(Source!T832,O853)</f>
        <v>0</v>
      </c>
      <c r="G853" s="5" t="s">
        <v>64</v>
      </c>
      <c r="H853" s="5" t="s">
        <v>65</v>
      </c>
      <c r="I853" s="5"/>
      <c r="J853" s="5"/>
      <c r="K853" s="5">
        <v>206</v>
      </c>
      <c r="L853" s="5">
        <v>20</v>
      </c>
      <c r="M853" s="5">
        <v>3</v>
      </c>
      <c r="N853" s="5" t="s">
        <v>3</v>
      </c>
      <c r="O853" s="5">
        <v>2</v>
      </c>
      <c r="P853" s="5">
        <f>ROUND(Source!DL832,O853)</f>
        <v>0</v>
      </c>
      <c r="Q853" s="5"/>
      <c r="R853" s="5"/>
      <c r="S853" s="5"/>
      <c r="T853" s="5"/>
      <c r="U853" s="5"/>
      <c r="V853" s="5"/>
      <c r="W853" s="5">
        <v>0</v>
      </c>
      <c r="X853" s="5">
        <v>1</v>
      </c>
      <c r="Y853" s="5">
        <v>0</v>
      </c>
      <c r="Z853" s="5">
        <v>0</v>
      </c>
      <c r="AA853" s="5">
        <v>1</v>
      </c>
      <c r="AB853" s="5">
        <v>0</v>
      </c>
    </row>
    <row r="854" spans="1:206" x14ac:dyDescent="0.2">
      <c r="A854" s="5">
        <v>50</v>
      </c>
      <c r="B854" s="5">
        <v>0</v>
      </c>
      <c r="C854" s="5">
        <v>0</v>
      </c>
      <c r="D854" s="5">
        <v>1</v>
      </c>
      <c r="E854" s="5">
        <v>207</v>
      </c>
      <c r="F854" s="5">
        <f>Source!U832</f>
        <v>3.3975999999999997</v>
      </c>
      <c r="G854" s="5" t="s">
        <v>66</v>
      </c>
      <c r="H854" s="5" t="s">
        <v>67</v>
      </c>
      <c r="I854" s="5"/>
      <c r="J854" s="5"/>
      <c r="K854" s="5">
        <v>207</v>
      </c>
      <c r="L854" s="5">
        <v>21</v>
      </c>
      <c r="M854" s="5">
        <v>3</v>
      </c>
      <c r="N854" s="5" t="s">
        <v>3</v>
      </c>
      <c r="O854" s="5">
        <v>-1</v>
      </c>
      <c r="P854" s="5">
        <f>Source!DM832</f>
        <v>3.3975999999999997</v>
      </c>
      <c r="Q854" s="5"/>
      <c r="R854" s="5"/>
      <c r="S854" s="5"/>
      <c r="T854" s="5"/>
      <c r="U854" s="5"/>
      <c r="V854" s="5"/>
      <c r="W854" s="5">
        <v>3.3975999999999997</v>
      </c>
      <c r="X854" s="5">
        <v>1</v>
      </c>
      <c r="Y854" s="5">
        <v>3.3975999999999997</v>
      </c>
      <c r="Z854" s="5">
        <v>3.3975999999999997</v>
      </c>
      <c r="AA854" s="5">
        <v>1</v>
      </c>
      <c r="AB854" s="5">
        <v>3.3975999999999997</v>
      </c>
    </row>
    <row r="855" spans="1:206" x14ac:dyDescent="0.2">
      <c r="A855" s="5">
        <v>50</v>
      </c>
      <c r="B855" s="5">
        <v>0</v>
      </c>
      <c r="C855" s="5">
        <v>0</v>
      </c>
      <c r="D855" s="5">
        <v>1</v>
      </c>
      <c r="E855" s="5">
        <v>208</v>
      </c>
      <c r="F855" s="5">
        <f>Source!V832</f>
        <v>0</v>
      </c>
      <c r="G855" s="5" t="s">
        <v>68</v>
      </c>
      <c r="H855" s="5" t="s">
        <v>69</v>
      </c>
      <c r="I855" s="5"/>
      <c r="J855" s="5"/>
      <c r="K855" s="5">
        <v>208</v>
      </c>
      <c r="L855" s="5">
        <v>22</v>
      </c>
      <c r="M855" s="5">
        <v>3</v>
      </c>
      <c r="N855" s="5" t="s">
        <v>3</v>
      </c>
      <c r="O855" s="5">
        <v>-1</v>
      </c>
      <c r="P855" s="5">
        <f>Source!DN832</f>
        <v>0</v>
      </c>
      <c r="Q855" s="5"/>
      <c r="R855" s="5"/>
      <c r="S855" s="5"/>
      <c r="T855" s="5"/>
      <c r="U855" s="5"/>
      <c r="V855" s="5"/>
      <c r="W855" s="5">
        <v>0</v>
      </c>
      <c r="X855" s="5">
        <v>1</v>
      </c>
      <c r="Y855" s="5">
        <v>0</v>
      </c>
      <c r="Z855" s="5">
        <v>0</v>
      </c>
      <c r="AA855" s="5">
        <v>1</v>
      </c>
      <c r="AB855" s="5">
        <v>0</v>
      </c>
    </row>
    <row r="856" spans="1:206" x14ac:dyDescent="0.2">
      <c r="A856" s="5">
        <v>50</v>
      </c>
      <c r="B856" s="5">
        <v>0</v>
      </c>
      <c r="C856" s="5">
        <v>0</v>
      </c>
      <c r="D856" s="5">
        <v>1</v>
      </c>
      <c r="E856" s="5">
        <v>209</v>
      </c>
      <c r="F856" s="5">
        <f>ROUND(Source!W832,O856)</f>
        <v>0</v>
      </c>
      <c r="G856" s="5" t="s">
        <v>70</v>
      </c>
      <c r="H856" s="5" t="s">
        <v>71</v>
      </c>
      <c r="I856" s="5"/>
      <c r="J856" s="5"/>
      <c r="K856" s="5">
        <v>209</v>
      </c>
      <c r="L856" s="5">
        <v>23</v>
      </c>
      <c r="M856" s="5">
        <v>3</v>
      </c>
      <c r="N856" s="5" t="s">
        <v>3</v>
      </c>
      <c r="O856" s="5">
        <v>2</v>
      </c>
      <c r="P856" s="5">
        <f>ROUND(Source!DO832,O856)</f>
        <v>0</v>
      </c>
      <c r="Q856" s="5"/>
      <c r="R856" s="5"/>
      <c r="S856" s="5"/>
      <c r="T856" s="5"/>
      <c r="U856" s="5"/>
      <c r="V856" s="5"/>
      <c r="W856" s="5">
        <v>0</v>
      </c>
      <c r="X856" s="5">
        <v>1</v>
      </c>
      <c r="Y856" s="5">
        <v>0</v>
      </c>
      <c r="Z856" s="5">
        <v>0</v>
      </c>
      <c r="AA856" s="5">
        <v>1</v>
      </c>
      <c r="AB856" s="5">
        <v>0</v>
      </c>
    </row>
    <row r="857" spans="1:206" x14ac:dyDescent="0.2">
      <c r="A857" s="5">
        <v>50</v>
      </c>
      <c r="B857" s="5">
        <v>0</v>
      </c>
      <c r="C857" s="5">
        <v>0</v>
      </c>
      <c r="D857" s="5">
        <v>1</v>
      </c>
      <c r="E857" s="5">
        <v>233</v>
      </c>
      <c r="F857" s="5">
        <f>ROUND(Source!BD832,O857)</f>
        <v>0</v>
      </c>
      <c r="G857" s="5" t="s">
        <v>72</v>
      </c>
      <c r="H857" s="5" t="s">
        <v>73</v>
      </c>
      <c r="I857" s="5"/>
      <c r="J857" s="5"/>
      <c r="K857" s="5">
        <v>233</v>
      </c>
      <c r="L857" s="5">
        <v>24</v>
      </c>
      <c r="M857" s="5">
        <v>3</v>
      </c>
      <c r="N857" s="5" t="s">
        <v>3</v>
      </c>
      <c r="O857" s="5">
        <v>2</v>
      </c>
      <c r="P857" s="5">
        <f>ROUND(Source!EV832,O857)</f>
        <v>0</v>
      </c>
      <c r="Q857" s="5"/>
      <c r="R857" s="5"/>
      <c r="S857" s="5"/>
      <c r="T857" s="5"/>
      <c r="U857" s="5"/>
      <c r="V857" s="5"/>
      <c r="W857" s="5">
        <v>0</v>
      </c>
      <c r="X857" s="5">
        <v>1</v>
      </c>
      <c r="Y857" s="5">
        <v>0</v>
      </c>
      <c r="Z857" s="5">
        <v>0</v>
      </c>
      <c r="AA857" s="5">
        <v>1</v>
      </c>
      <c r="AB857" s="5">
        <v>0</v>
      </c>
    </row>
    <row r="858" spans="1:206" x14ac:dyDescent="0.2">
      <c r="A858" s="5">
        <v>50</v>
      </c>
      <c r="B858" s="5">
        <v>0</v>
      </c>
      <c r="C858" s="5">
        <v>0</v>
      </c>
      <c r="D858" s="5">
        <v>1</v>
      </c>
      <c r="E858" s="5">
        <v>210</v>
      </c>
      <c r="F858" s="5">
        <f>ROUND(Source!X832,O858)</f>
        <v>27.79</v>
      </c>
      <c r="G858" s="5" t="s">
        <v>74</v>
      </c>
      <c r="H858" s="5" t="s">
        <v>75</v>
      </c>
      <c r="I858" s="5"/>
      <c r="J858" s="5"/>
      <c r="K858" s="5">
        <v>210</v>
      </c>
      <c r="L858" s="5">
        <v>25</v>
      </c>
      <c r="M858" s="5">
        <v>3</v>
      </c>
      <c r="N858" s="5" t="s">
        <v>3</v>
      </c>
      <c r="O858" s="5">
        <v>2</v>
      </c>
      <c r="P858" s="5">
        <f>ROUND(Source!DP832,O858)</f>
        <v>705.75</v>
      </c>
      <c r="Q858" s="5"/>
      <c r="R858" s="5"/>
      <c r="S858" s="5"/>
      <c r="T858" s="5"/>
      <c r="U858" s="5"/>
      <c r="V858" s="5"/>
      <c r="W858" s="5">
        <v>27.79</v>
      </c>
      <c r="X858" s="5">
        <v>1</v>
      </c>
      <c r="Y858" s="5">
        <v>27.79</v>
      </c>
      <c r="Z858" s="5">
        <v>705.75</v>
      </c>
      <c r="AA858" s="5">
        <v>1</v>
      </c>
      <c r="AB858" s="5">
        <v>705.75</v>
      </c>
    </row>
    <row r="859" spans="1:206" x14ac:dyDescent="0.2">
      <c r="A859" s="5">
        <v>50</v>
      </c>
      <c r="B859" s="5">
        <v>0</v>
      </c>
      <c r="C859" s="5">
        <v>0</v>
      </c>
      <c r="D859" s="5">
        <v>1</v>
      </c>
      <c r="E859" s="5">
        <v>211</v>
      </c>
      <c r="F859" s="5">
        <f>ROUND(Source!Y832,O859)</f>
        <v>19.100000000000001</v>
      </c>
      <c r="G859" s="5" t="s">
        <v>76</v>
      </c>
      <c r="H859" s="5" t="s">
        <v>77</v>
      </c>
      <c r="I859" s="5"/>
      <c r="J859" s="5"/>
      <c r="K859" s="5">
        <v>211</v>
      </c>
      <c r="L859" s="5">
        <v>26</v>
      </c>
      <c r="M859" s="5">
        <v>3</v>
      </c>
      <c r="N859" s="5" t="s">
        <v>3</v>
      </c>
      <c r="O859" s="5">
        <v>2</v>
      </c>
      <c r="P859" s="5">
        <f>ROUND(Source!DQ832,O859)</f>
        <v>413.37</v>
      </c>
      <c r="Q859" s="5"/>
      <c r="R859" s="5"/>
      <c r="S859" s="5"/>
      <c r="T859" s="5"/>
      <c r="U859" s="5"/>
      <c r="V859" s="5"/>
      <c r="W859" s="5">
        <v>19.100000000000001</v>
      </c>
      <c r="X859" s="5">
        <v>1</v>
      </c>
      <c r="Y859" s="5">
        <v>19.100000000000001</v>
      </c>
      <c r="Z859" s="5">
        <v>413.37</v>
      </c>
      <c r="AA859" s="5">
        <v>1</v>
      </c>
      <c r="AB859" s="5">
        <v>413.37</v>
      </c>
    </row>
    <row r="860" spans="1:206" x14ac:dyDescent="0.2">
      <c r="A860" s="5">
        <v>50</v>
      </c>
      <c r="B860" s="5">
        <v>0</v>
      </c>
      <c r="C860" s="5">
        <v>0</v>
      </c>
      <c r="D860" s="5">
        <v>1</v>
      </c>
      <c r="E860" s="5">
        <v>224</v>
      </c>
      <c r="F860" s="5">
        <f>ROUND(Source!AR832,O860)</f>
        <v>81.62</v>
      </c>
      <c r="G860" s="5" t="s">
        <v>78</v>
      </c>
      <c r="H860" s="5" t="s">
        <v>79</v>
      </c>
      <c r="I860" s="5"/>
      <c r="J860" s="5"/>
      <c r="K860" s="5">
        <v>224</v>
      </c>
      <c r="L860" s="5">
        <v>27</v>
      </c>
      <c r="M860" s="5">
        <v>3</v>
      </c>
      <c r="N860" s="5" t="s">
        <v>3</v>
      </c>
      <c r="O860" s="5">
        <v>2</v>
      </c>
      <c r="P860" s="5">
        <f>ROUND(Source!EJ832,O860)</f>
        <v>2127.34</v>
      </c>
      <c r="Q860" s="5"/>
      <c r="R860" s="5"/>
      <c r="S860" s="5"/>
      <c r="T860" s="5"/>
      <c r="U860" s="5"/>
      <c r="V860" s="5"/>
      <c r="W860" s="5">
        <v>81.62</v>
      </c>
      <c r="X860" s="5">
        <v>1</v>
      </c>
      <c r="Y860" s="5">
        <v>81.62</v>
      </c>
      <c r="Z860" s="5">
        <v>2127.34</v>
      </c>
      <c r="AA860" s="5">
        <v>1</v>
      </c>
      <c r="AB860" s="5">
        <v>2127.34</v>
      </c>
    </row>
    <row r="862" spans="1:206" x14ac:dyDescent="0.2">
      <c r="A862" s="1">
        <v>4</v>
      </c>
      <c r="B862" s="1">
        <v>1</v>
      </c>
      <c r="C862" s="1"/>
      <c r="D862" s="1">
        <f>ROW(A931)</f>
        <v>931</v>
      </c>
      <c r="E862" s="1"/>
      <c r="F862" s="1" t="s">
        <v>16</v>
      </c>
      <c r="G862" s="1" t="s">
        <v>80</v>
      </c>
      <c r="H862" s="1" t="s">
        <v>3</v>
      </c>
      <c r="I862" s="1">
        <v>0</v>
      </c>
      <c r="J862" s="1"/>
      <c r="K862" s="1">
        <v>0</v>
      </c>
      <c r="L862" s="1"/>
      <c r="M862" s="1" t="s">
        <v>3</v>
      </c>
      <c r="N862" s="1"/>
      <c r="O862" s="1"/>
      <c r="P862" s="1"/>
      <c r="Q862" s="1"/>
      <c r="R862" s="1"/>
      <c r="S862" s="1">
        <v>0</v>
      </c>
      <c r="T862" s="1">
        <v>0</v>
      </c>
      <c r="U862" s="1" t="s">
        <v>3</v>
      </c>
      <c r="V862" s="1">
        <v>0</v>
      </c>
      <c r="W862" s="1"/>
      <c r="X862" s="1"/>
      <c r="Y862" s="1"/>
      <c r="Z862" s="1"/>
      <c r="AA862" s="1"/>
      <c r="AB862" s="1" t="s">
        <v>3</v>
      </c>
      <c r="AC862" s="1" t="s">
        <v>3</v>
      </c>
      <c r="AD862" s="1" t="s">
        <v>3</v>
      </c>
      <c r="AE862" s="1" t="s">
        <v>3</v>
      </c>
      <c r="AF862" s="1" t="s">
        <v>3</v>
      </c>
      <c r="AG862" s="1" t="s">
        <v>3</v>
      </c>
      <c r="AH862" s="1"/>
      <c r="AI862" s="1"/>
      <c r="AJ862" s="1"/>
      <c r="AK862" s="1"/>
      <c r="AL862" s="1"/>
      <c r="AM862" s="1"/>
      <c r="AN862" s="1"/>
      <c r="AO862" s="1"/>
      <c r="AP862" s="1" t="s">
        <v>3</v>
      </c>
      <c r="AQ862" s="1" t="s">
        <v>3</v>
      </c>
      <c r="AR862" s="1" t="s">
        <v>3</v>
      </c>
      <c r="AS862" s="1"/>
      <c r="AT862" s="1"/>
      <c r="AU862" s="1"/>
      <c r="AV862" s="1"/>
      <c r="AW862" s="1"/>
      <c r="AX862" s="1"/>
      <c r="AY862" s="1"/>
      <c r="AZ862" s="1" t="s">
        <v>3</v>
      </c>
      <c r="BA862" s="1"/>
      <c r="BB862" s="1" t="s">
        <v>3</v>
      </c>
      <c r="BC862" s="1" t="s">
        <v>3</v>
      </c>
      <c r="BD862" s="1" t="s">
        <v>3</v>
      </c>
      <c r="BE862" s="1" t="s">
        <v>3</v>
      </c>
      <c r="BF862" s="1" t="s">
        <v>3</v>
      </c>
      <c r="BG862" s="1" t="s">
        <v>3</v>
      </c>
      <c r="BH862" s="1" t="s">
        <v>3</v>
      </c>
      <c r="BI862" s="1" t="s">
        <v>3</v>
      </c>
      <c r="BJ862" s="1" t="s">
        <v>3</v>
      </c>
      <c r="BK862" s="1" t="s">
        <v>3</v>
      </c>
      <c r="BL862" s="1" t="s">
        <v>3</v>
      </c>
      <c r="BM862" s="1" t="s">
        <v>3</v>
      </c>
      <c r="BN862" s="1" t="s">
        <v>3</v>
      </c>
      <c r="BO862" s="1" t="s">
        <v>3</v>
      </c>
      <c r="BP862" s="1" t="s">
        <v>3</v>
      </c>
      <c r="BQ862" s="1"/>
      <c r="BR862" s="1"/>
      <c r="BS862" s="1"/>
      <c r="BT862" s="1"/>
      <c r="BU862" s="1"/>
      <c r="BV862" s="1"/>
      <c r="BW862" s="1"/>
      <c r="BX862" s="1">
        <v>0</v>
      </c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>
        <v>0</v>
      </c>
    </row>
    <row r="864" spans="1:206" x14ac:dyDescent="0.2">
      <c r="A864" s="3">
        <v>52</v>
      </c>
      <c r="B864" s="3">
        <f t="shared" ref="B864:G864" si="718">B931</f>
        <v>1</v>
      </c>
      <c r="C864" s="3">
        <f t="shared" si="718"/>
        <v>4</v>
      </c>
      <c r="D864" s="3">
        <f t="shared" si="718"/>
        <v>862</v>
      </c>
      <c r="E864" s="3">
        <f t="shared" si="718"/>
        <v>0</v>
      </c>
      <c r="F864" s="3" t="str">
        <f t="shared" si="718"/>
        <v>Новый раздел</v>
      </c>
      <c r="G864" s="3" t="str">
        <f t="shared" si="718"/>
        <v>Монтажные работы</v>
      </c>
      <c r="H864" s="3"/>
      <c r="I864" s="3"/>
      <c r="J864" s="3"/>
      <c r="K864" s="3"/>
      <c r="L864" s="3"/>
      <c r="M864" s="3"/>
      <c r="N864" s="3"/>
      <c r="O864" s="3">
        <f t="shared" ref="O864:AT864" si="719">O931</f>
        <v>9373.0400000000009</v>
      </c>
      <c r="P864" s="3">
        <f t="shared" si="719"/>
        <v>8608.2099999999991</v>
      </c>
      <c r="Q864" s="3">
        <f t="shared" si="719"/>
        <v>81.59</v>
      </c>
      <c r="R864" s="3">
        <f t="shared" si="719"/>
        <v>9.02</v>
      </c>
      <c r="S864" s="3">
        <f t="shared" si="719"/>
        <v>683.24</v>
      </c>
      <c r="T864" s="3">
        <f t="shared" si="719"/>
        <v>0</v>
      </c>
      <c r="U864" s="3">
        <f t="shared" si="719"/>
        <v>55.592699999999994</v>
      </c>
      <c r="V864" s="3">
        <f t="shared" si="719"/>
        <v>0</v>
      </c>
      <c r="W864" s="3">
        <f t="shared" si="719"/>
        <v>0</v>
      </c>
      <c r="X864" s="3">
        <f t="shared" si="719"/>
        <v>778.88</v>
      </c>
      <c r="Y864" s="3">
        <f t="shared" si="719"/>
        <v>457.78</v>
      </c>
      <c r="Z864" s="3">
        <f t="shared" si="719"/>
        <v>0</v>
      </c>
      <c r="AA864" s="3">
        <f t="shared" si="719"/>
        <v>0</v>
      </c>
      <c r="AB864" s="3">
        <f t="shared" si="719"/>
        <v>9373.0400000000009</v>
      </c>
      <c r="AC864" s="3">
        <f t="shared" si="719"/>
        <v>8608.2099999999991</v>
      </c>
      <c r="AD864" s="3">
        <f t="shared" si="719"/>
        <v>81.59</v>
      </c>
      <c r="AE864" s="3">
        <f t="shared" si="719"/>
        <v>9.02</v>
      </c>
      <c r="AF864" s="3">
        <f t="shared" si="719"/>
        <v>683.24</v>
      </c>
      <c r="AG864" s="3">
        <f t="shared" si="719"/>
        <v>0</v>
      </c>
      <c r="AH864" s="3">
        <f t="shared" si="719"/>
        <v>55.592699999999994</v>
      </c>
      <c r="AI864" s="3">
        <f t="shared" si="719"/>
        <v>0</v>
      </c>
      <c r="AJ864" s="3">
        <f t="shared" si="719"/>
        <v>0</v>
      </c>
      <c r="AK864" s="3">
        <f t="shared" si="719"/>
        <v>778.88</v>
      </c>
      <c r="AL864" s="3">
        <f t="shared" si="719"/>
        <v>457.78</v>
      </c>
      <c r="AM864" s="3">
        <f t="shared" si="719"/>
        <v>0</v>
      </c>
      <c r="AN864" s="3">
        <f t="shared" si="719"/>
        <v>0</v>
      </c>
      <c r="AO864" s="3">
        <f t="shared" si="719"/>
        <v>0</v>
      </c>
      <c r="AP864" s="3">
        <f t="shared" si="719"/>
        <v>0</v>
      </c>
      <c r="AQ864" s="3">
        <f t="shared" si="719"/>
        <v>0</v>
      </c>
      <c r="AR864" s="3">
        <f t="shared" si="719"/>
        <v>10625.5</v>
      </c>
      <c r="AS864" s="3">
        <f t="shared" si="719"/>
        <v>0</v>
      </c>
      <c r="AT864" s="3">
        <f t="shared" si="719"/>
        <v>10625.5</v>
      </c>
      <c r="AU864" s="3">
        <f t="shared" ref="AU864:BZ864" si="720">AU931</f>
        <v>0</v>
      </c>
      <c r="AV864" s="3">
        <f t="shared" si="720"/>
        <v>8608.2099999999991</v>
      </c>
      <c r="AW864" s="3">
        <f t="shared" si="720"/>
        <v>8608.2099999999991</v>
      </c>
      <c r="AX864" s="3">
        <f t="shared" si="720"/>
        <v>0</v>
      </c>
      <c r="AY864" s="3">
        <f t="shared" si="720"/>
        <v>8608.2099999999991</v>
      </c>
      <c r="AZ864" s="3">
        <f t="shared" si="720"/>
        <v>0</v>
      </c>
      <c r="BA864" s="3">
        <f t="shared" si="720"/>
        <v>0</v>
      </c>
      <c r="BB864" s="3">
        <f t="shared" si="720"/>
        <v>0</v>
      </c>
      <c r="BC864" s="3">
        <f t="shared" si="720"/>
        <v>0</v>
      </c>
      <c r="BD864" s="3">
        <f t="shared" si="720"/>
        <v>0</v>
      </c>
      <c r="BE864" s="3">
        <f t="shared" si="720"/>
        <v>0</v>
      </c>
      <c r="BF864" s="3">
        <f t="shared" si="720"/>
        <v>0</v>
      </c>
      <c r="BG864" s="3">
        <f t="shared" si="720"/>
        <v>0</v>
      </c>
      <c r="BH864" s="3">
        <f t="shared" si="720"/>
        <v>0</v>
      </c>
      <c r="BI864" s="3">
        <f t="shared" si="720"/>
        <v>0</v>
      </c>
      <c r="BJ864" s="3">
        <f t="shared" si="720"/>
        <v>0</v>
      </c>
      <c r="BK864" s="3">
        <f t="shared" si="720"/>
        <v>0</v>
      </c>
      <c r="BL864" s="3">
        <f t="shared" si="720"/>
        <v>0</v>
      </c>
      <c r="BM864" s="3">
        <f t="shared" si="720"/>
        <v>0</v>
      </c>
      <c r="BN864" s="3">
        <f t="shared" si="720"/>
        <v>0</v>
      </c>
      <c r="BO864" s="3">
        <f t="shared" si="720"/>
        <v>0</v>
      </c>
      <c r="BP864" s="3">
        <f t="shared" si="720"/>
        <v>0</v>
      </c>
      <c r="BQ864" s="3">
        <f t="shared" si="720"/>
        <v>0</v>
      </c>
      <c r="BR864" s="3">
        <f t="shared" si="720"/>
        <v>0</v>
      </c>
      <c r="BS864" s="3">
        <f t="shared" si="720"/>
        <v>0</v>
      </c>
      <c r="BT864" s="3">
        <f t="shared" si="720"/>
        <v>0</v>
      </c>
      <c r="BU864" s="3">
        <f t="shared" si="720"/>
        <v>0</v>
      </c>
      <c r="BV864" s="3">
        <f t="shared" si="720"/>
        <v>0</v>
      </c>
      <c r="BW864" s="3">
        <f t="shared" si="720"/>
        <v>0</v>
      </c>
      <c r="BX864" s="3">
        <f t="shared" si="720"/>
        <v>0</v>
      </c>
      <c r="BY864" s="3">
        <f t="shared" si="720"/>
        <v>0</v>
      </c>
      <c r="BZ864" s="3">
        <f t="shared" si="720"/>
        <v>0</v>
      </c>
      <c r="CA864" s="3">
        <f t="shared" ref="CA864:DF864" si="721">CA931</f>
        <v>10625.5</v>
      </c>
      <c r="CB864" s="3">
        <f t="shared" si="721"/>
        <v>0</v>
      </c>
      <c r="CC864" s="3">
        <f t="shared" si="721"/>
        <v>10625.5</v>
      </c>
      <c r="CD864" s="3">
        <f t="shared" si="721"/>
        <v>0</v>
      </c>
      <c r="CE864" s="3">
        <f t="shared" si="721"/>
        <v>8608.2099999999991</v>
      </c>
      <c r="CF864" s="3">
        <f t="shared" si="721"/>
        <v>8608.2099999999991</v>
      </c>
      <c r="CG864" s="3">
        <f t="shared" si="721"/>
        <v>0</v>
      </c>
      <c r="CH864" s="3">
        <f t="shared" si="721"/>
        <v>8608.2099999999991</v>
      </c>
      <c r="CI864" s="3">
        <f t="shared" si="721"/>
        <v>0</v>
      </c>
      <c r="CJ864" s="3">
        <f t="shared" si="721"/>
        <v>0</v>
      </c>
      <c r="CK864" s="3">
        <f t="shared" si="721"/>
        <v>0</v>
      </c>
      <c r="CL864" s="3">
        <f t="shared" si="721"/>
        <v>0</v>
      </c>
      <c r="CM864" s="3">
        <f t="shared" si="721"/>
        <v>0</v>
      </c>
      <c r="CN864" s="3">
        <f t="shared" si="721"/>
        <v>0</v>
      </c>
      <c r="CO864" s="3">
        <f t="shared" si="721"/>
        <v>0</v>
      </c>
      <c r="CP864" s="3">
        <f t="shared" si="721"/>
        <v>0</v>
      </c>
      <c r="CQ864" s="3">
        <f t="shared" si="721"/>
        <v>0</v>
      </c>
      <c r="CR864" s="3">
        <f t="shared" si="721"/>
        <v>0</v>
      </c>
      <c r="CS864" s="3">
        <f t="shared" si="721"/>
        <v>0</v>
      </c>
      <c r="CT864" s="3">
        <f t="shared" si="721"/>
        <v>0</v>
      </c>
      <c r="CU864" s="3">
        <f t="shared" si="721"/>
        <v>0</v>
      </c>
      <c r="CV864" s="3">
        <f t="shared" si="721"/>
        <v>0</v>
      </c>
      <c r="CW864" s="3">
        <f t="shared" si="721"/>
        <v>0</v>
      </c>
      <c r="CX864" s="3">
        <f t="shared" si="721"/>
        <v>0</v>
      </c>
      <c r="CY864" s="3">
        <f t="shared" si="721"/>
        <v>0</v>
      </c>
      <c r="CZ864" s="3">
        <f t="shared" si="721"/>
        <v>0</v>
      </c>
      <c r="DA864" s="3">
        <f t="shared" si="721"/>
        <v>0</v>
      </c>
      <c r="DB864" s="3">
        <f t="shared" si="721"/>
        <v>0</v>
      </c>
      <c r="DC864" s="3">
        <f t="shared" si="721"/>
        <v>0</v>
      </c>
      <c r="DD864" s="3">
        <f t="shared" si="721"/>
        <v>0</v>
      </c>
      <c r="DE864" s="3">
        <f t="shared" si="721"/>
        <v>0</v>
      </c>
      <c r="DF864" s="3">
        <f t="shared" si="721"/>
        <v>0</v>
      </c>
      <c r="DG864" s="4">
        <f t="shared" ref="DG864:EL864" si="722">DG931</f>
        <v>90336.66</v>
      </c>
      <c r="DH864" s="4">
        <f t="shared" si="722"/>
        <v>69620.45</v>
      </c>
      <c r="DI864" s="4">
        <f t="shared" si="722"/>
        <v>881.75</v>
      </c>
      <c r="DJ864" s="4">
        <f t="shared" si="722"/>
        <v>261.85000000000002</v>
      </c>
      <c r="DK864" s="4">
        <f t="shared" si="722"/>
        <v>19834.46</v>
      </c>
      <c r="DL864" s="4">
        <f t="shared" si="722"/>
        <v>0</v>
      </c>
      <c r="DM864" s="4">
        <f t="shared" si="722"/>
        <v>55.592699999999994</v>
      </c>
      <c r="DN864" s="4">
        <f t="shared" si="722"/>
        <v>0</v>
      </c>
      <c r="DO864" s="4">
        <f t="shared" si="722"/>
        <v>0</v>
      </c>
      <c r="DP864" s="4">
        <f t="shared" si="722"/>
        <v>15669.23</v>
      </c>
      <c r="DQ864" s="4">
        <f t="shared" si="722"/>
        <v>8132.14</v>
      </c>
      <c r="DR864" s="4">
        <f t="shared" si="722"/>
        <v>0</v>
      </c>
      <c r="DS864" s="4">
        <f t="shared" si="722"/>
        <v>0</v>
      </c>
      <c r="DT864" s="4">
        <f t="shared" si="722"/>
        <v>90336.66</v>
      </c>
      <c r="DU864" s="4">
        <f t="shared" si="722"/>
        <v>69620.45</v>
      </c>
      <c r="DV864" s="4">
        <f t="shared" si="722"/>
        <v>881.75</v>
      </c>
      <c r="DW864" s="4">
        <f t="shared" si="722"/>
        <v>261.85000000000002</v>
      </c>
      <c r="DX864" s="4">
        <f t="shared" si="722"/>
        <v>19834.46</v>
      </c>
      <c r="DY864" s="4">
        <f t="shared" si="722"/>
        <v>0</v>
      </c>
      <c r="DZ864" s="4">
        <f t="shared" si="722"/>
        <v>55.592699999999994</v>
      </c>
      <c r="EA864" s="4">
        <f t="shared" si="722"/>
        <v>0</v>
      </c>
      <c r="EB864" s="4">
        <f t="shared" si="722"/>
        <v>0</v>
      </c>
      <c r="EC864" s="4">
        <f t="shared" si="722"/>
        <v>15669.23</v>
      </c>
      <c r="ED864" s="4">
        <f t="shared" si="722"/>
        <v>8132.14</v>
      </c>
      <c r="EE864" s="4">
        <f t="shared" si="722"/>
        <v>0</v>
      </c>
      <c r="EF864" s="4">
        <f t="shared" si="722"/>
        <v>0</v>
      </c>
      <c r="EG864" s="4">
        <f t="shared" si="722"/>
        <v>0</v>
      </c>
      <c r="EH864" s="4">
        <f t="shared" si="722"/>
        <v>0</v>
      </c>
      <c r="EI864" s="4">
        <f t="shared" si="722"/>
        <v>0</v>
      </c>
      <c r="EJ864" s="4">
        <f t="shared" si="722"/>
        <v>114556.99</v>
      </c>
      <c r="EK864" s="4">
        <f t="shared" si="722"/>
        <v>0</v>
      </c>
      <c r="EL864" s="4">
        <f t="shared" si="722"/>
        <v>114556.99</v>
      </c>
      <c r="EM864" s="4">
        <f t="shared" ref="EM864:FR864" si="723">EM931</f>
        <v>0</v>
      </c>
      <c r="EN864" s="4">
        <f t="shared" si="723"/>
        <v>69620.45</v>
      </c>
      <c r="EO864" s="4">
        <f t="shared" si="723"/>
        <v>69620.45</v>
      </c>
      <c r="EP864" s="4">
        <f t="shared" si="723"/>
        <v>0</v>
      </c>
      <c r="EQ864" s="4">
        <f t="shared" si="723"/>
        <v>69620.45</v>
      </c>
      <c r="ER864" s="4">
        <f t="shared" si="723"/>
        <v>0</v>
      </c>
      <c r="ES864" s="4">
        <f t="shared" si="723"/>
        <v>0</v>
      </c>
      <c r="ET864" s="4">
        <f t="shared" si="723"/>
        <v>0</v>
      </c>
      <c r="EU864" s="4">
        <f t="shared" si="723"/>
        <v>0</v>
      </c>
      <c r="EV864" s="4">
        <f t="shared" si="723"/>
        <v>0</v>
      </c>
      <c r="EW864" s="4">
        <f t="shared" si="723"/>
        <v>0</v>
      </c>
      <c r="EX864" s="4">
        <f t="shared" si="723"/>
        <v>0</v>
      </c>
      <c r="EY864" s="4">
        <f t="shared" si="723"/>
        <v>0</v>
      </c>
      <c r="EZ864" s="4">
        <f t="shared" si="723"/>
        <v>0</v>
      </c>
      <c r="FA864" s="4">
        <f t="shared" si="723"/>
        <v>0</v>
      </c>
      <c r="FB864" s="4">
        <f t="shared" si="723"/>
        <v>0</v>
      </c>
      <c r="FC864" s="4">
        <f t="shared" si="723"/>
        <v>0</v>
      </c>
      <c r="FD864" s="4">
        <f t="shared" si="723"/>
        <v>0</v>
      </c>
      <c r="FE864" s="4">
        <f t="shared" si="723"/>
        <v>0</v>
      </c>
      <c r="FF864" s="4">
        <f t="shared" si="723"/>
        <v>0</v>
      </c>
      <c r="FG864" s="4">
        <f t="shared" si="723"/>
        <v>0</v>
      </c>
      <c r="FH864" s="4">
        <f t="shared" si="723"/>
        <v>0</v>
      </c>
      <c r="FI864" s="4">
        <f t="shared" si="723"/>
        <v>0</v>
      </c>
      <c r="FJ864" s="4">
        <f t="shared" si="723"/>
        <v>0</v>
      </c>
      <c r="FK864" s="4">
        <f t="shared" si="723"/>
        <v>0</v>
      </c>
      <c r="FL864" s="4">
        <f t="shared" si="723"/>
        <v>0</v>
      </c>
      <c r="FM864" s="4">
        <f t="shared" si="723"/>
        <v>0</v>
      </c>
      <c r="FN864" s="4">
        <f t="shared" si="723"/>
        <v>0</v>
      </c>
      <c r="FO864" s="4">
        <f t="shared" si="723"/>
        <v>0</v>
      </c>
      <c r="FP864" s="4">
        <f t="shared" si="723"/>
        <v>0</v>
      </c>
      <c r="FQ864" s="4">
        <f t="shared" si="723"/>
        <v>0</v>
      </c>
      <c r="FR864" s="4">
        <f t="shared" si="723"/>
        <v>0</v>
      </c>
      <c r="FS864" s="4">
        <f t="shared" ref="FS864:GX864" si="724">FS931</f>
        <v>114556.99</v>
      </c>
      <c r="FT864" s="4">
        <f t="shared" si="724"/>
        <v>0</v>
      </c>
      <c r="FU864" s="4">
        <f t="shared" si="724"/>
        <v>114556.99</v>
      </c>
      <c r="FV864" s="4">
        <f t="shared" si="724"/>
        <v>0</v>
      </c>
      <c r="FW864" s="4">
        <f t="shared" si="724"/>
        <v>69620.45</v>
      </c>
      <c r="FX864" s="4">
        <f t="shared" si="724"/>
        <v>69620.45</v>
      </c>
      <c r="FY864" s="4">
        <f t="shared" si="724"/>
        <v>0</v>
      </c>
      <c r="FZ864" s="4">
        <f t="shared" si="724"/>
        <v>69620.45</v>
      </c>
      <c r="GA864" s="4">
        <f t="shared" si="724"/>
        <v>0</v>
      </c>
      <c r="GB864" s="4">
        <f t="shared" si="724"/>
        <v>0</v>
      </c>
      <c r="GC864" s="4">
        <f t="shared" si="724"/>
        <v>0</v>
      </c>
      <c r="GD864" s="4">
        <f t="shared" si="724"/>
        <v>0</v>
      </c>
      <c r="GE864" s="4">
        <f t="shared" si="724"/>
        <v>0</v>
      </c>
      <c r="GF864" s="4">
        <f t="shared" si="724"/>
        <v>0</v>
      </c>
      <c r="GG864" s="4">
        <f t="shared" si="724"/>
        <v>0</v>
      </c>
      <c r="GH864" s="4">
        <f t="shared" si="724"/>
        <v>0</v>
      </c>
      <c r="GI864" s="4">
        <f t="shared" si="724"/>
        <v>0</v>
      </c>
      <c r="GJ864" s="4">
        <f t="shared" si="724"/>
        <v>0</v>
      </c>
      <c r="GK864" s="4">
        <f t="shared" si="724"/>
        <v>0</v>
      </c>
      <c r="GL864" s="4">
        <f t="shared" si="724"/>
        <v>0</v>
      </c>
      <c r="GM864" s="4">
        <f t="shared" si="724"/>
        <v>0</v>
      </c>
      <c r="GN864" s="4">
        <f t="shared" si="724"/>
        <v>0</v>
      </c>
      <c r="GO864" s="4">
        <f t="shared" si="724"/>
        <v>0</v>
      </c>
      <c r="GP864" s="4">
        <f t="shared" si="724"/>
        <v>0</v>
      </c>
      <c r="GQ864" s="4">
        <f t="shared" si="724"/>
        <v>0</v>
      </c>
      <c r="GR864" s="4">
        <f t="shared" si="724"/>
        <v>0</v>
      </c>
      <c r="GS864" s="4">
        <f t="shared" si="724"/>
        <v>0</v>
      </c>
      <c r="GT864" s="4">
        <f t="shared" si="724"/>
        <v>0</v>
      </c>
      <c r="GU864" s="4">
        <f t="shared" si="724"/>
        <v>0</v>
      </c>
      <c r="GV864" s="4">
        <f t="shared" si="724"/>
        <v>0</v>
      </c>
      <c r="GW864" s="4">
        <f t="shared" si="724"/>
        <v>0</v>
      </c>
      <c r="GX864" s="4">
        <f t="shared" si="724"/>
        <v>0</v>
      </c>
    </row>
    <row r="866" spans="1:255" x14ac:dyDescent="0.2">
      <c r="A866" s="2">
        <v>17</v>
      </c>
      <c r="B866" s="2">
        <v>1</v>
      </c>
      <c r="C866" s="2">
        <f>ROW(SmtRes!A728)</f>
        <v>728</v>
      </c>
      <c r="D866" s="2">
        <f>ROW(EtalonRes!A717)</f>
        <v>717</v>
      </c>
      <c r="E866" s="2" t="s">
        <v>96</v>
      </c>
      <c r="F866" s="2" t="s">
        <v>739</v>
      </c>
      <c r="G866" s="2" t="s">
        <v>740</v>
      </c>
      <c r="H866" s="2" t="s">
        <v>231</v>
      </c>
      <c r="I866" s="2">
        <v>1</v>
      </c>
      <c r="J866" s="2">
        <v>0</v>
      </c>
      <c r="K866" s="2">
        <v>1</v>
      </c>
      <c r="L866" s="2"/>
      <c r="M866" s="2"/>
      <c r="N866" s="2"/>
      <c r="O866" s="2">
        <f t="shared" ref="O866:O897" si="725">ROUND(CP866,2)</f>
        <v>32.799999999999997</v>
      </c>
      <c r="P866" s="2">
        <f t="shared" ref="P866:P897" si="726">ROUND((ROUND((AC866*AW866*I866),2)*BC866),2)</f>
        <v>15.47</v>
      </c>
      <c r="Q866" s="2">
        <f>(ROUND((ROUND((((ET866*0.8))*AV866*I866),2)*BB866),2)+ROUND((ROUND(((AE866-((EU866*0.8)))*AV866*I866),2)*BS866),2))</f>
        <v>3.94</v>
      </c>
      <c r="R866" s="2">
        <f t="shared" ref="R866:R897" si="727">ROUND((ROUND((AE866*AV866*I866),2)*BS866),2)</f>
        <v>0.26</v>
      </c>
      <c r="S866" s="2">
        <f t="shared" ref="S866:S897" si="728">ROUND((ROUND((AF866*AV866*I866),2)*BA866),2)</f>
        <v>13.39</v>
      </c>
      <c r="T866" s="2">
        <f t="shared" ref="T866:T897" si="729">ROUND(CU866*I866,2)</f>
        <v>0</v>
      </c>
      <c r="U866" s="2">
        <f t="shared" ref="U866:U897" si="730">CV866*I866</f>
        <v>1.0720000000000001</v>
      </c>
      <c r="V866" s="2">
        <f t="shared" ref="V866:V897" si="731">CW866*I866</f>
        <v>0</v>
      </c>
      <c r="W866" s="2">
        <f t="shared" ref="W866:W897" si="732">ROUND(CX866*I866,2)</f>
        <v>0</v>
      </c>
      <c r="X866" s="2">
        <f t="shared" ref="X866:X897" si="733">ROUND(CY866,2)</f>
        <v>15.26</v>
      </c>
      <c r="Y866" s="2">
        <f t="shared" ref="Y866:Y897" si="734">ROUND(CZ866,2)</f>
        <v>8.9700000000000006</v>
      </c>
      <c r="Z866" s="2"/>
      <c r="AA866" s="2">
        <v>129761636</v>
      </c>
      <c r="AB866" s="2">
        <f t="shared" ref="AB866:AB897" si="735">ROUND((AC866+AD866+AF866),6)</f>
        <v>32.805999999999997</v>
      </c>
      <c r="AC866" s="2">
        <f t="shared" ref="AC866:AC897" si="736">ROUND((ES866),6)</f>
        <v>15.47</v>
      </c>
      <c r="AD866" s="2">
        <f>ROUND(((((ET866*0.8))-((EU866*0.8)))+AE866),6)</f>
        <v>3.944</v>
      </c>
      <c r="AE866" s="2">
        <f>ROUND(((EU866*0.8)),6)</f>
        <v>0.26400000000000001</v>
      </c>
      <c r="AF866" s="2">
        <f>ROUND(((EV866*0.8)),6)</f>
        <v>13.391999999999999</v>
      </c>
      <c r="AG866" s="2">
        <f t="shared" ref="AG866:AG897" si="737">ROUND((AP866),6)</f>
        <v>0</v>
      </c>
      <c r="AH866" s="2">
        <f>((EW866*0.8))</f>
        <v>1.0720000000000001</v>
      </c>
      <c r="AI866" s="2">
        <f>((EX866*0.8))</f>
        <v>0</v>
      </c>
      <c r="AJ866" s="2">
        <f t="shared" ref="AJ866:AJ897" si="738">(AS866)</f>
        <v>0</v>
      </c>
      <c r="AK866" s="2">
        <v>37.14</v>
      </c>
      <c r="AL866" s="2">
        <v>15.47</v>
      </c>
      <c r="AM866" s="2">
        <v>4.93</v>
      </c>
      <c r="AN866" s="2">
        <v>0.33</v>
      </c>
      <c r="AO866" s="2">
        <v>16.739999999999998</v>
      </c>
      <c r="AP866" s="2">
        <v>0</v>
      </c>
      <c r="AQ866" s="2">
        <v>1.34</v>
      </c>
      <c r="AR866" s="2">
        <v>0</v>
      </c>
      <c r="AS866" s="2">
        <v>0</v>
      </c>
      <c r="AT866" s="2">
        <v>114</v>
      </c>
      <c r="AU866" s="2">
        <v>67</v>
      </c>
      <c r="AV866" s="2">
        <v>1</v>
      </c>
      <c r="AW866" s="2">
        <v>1</v>
      </c>
      <c r="AX866" s="2"/>
      <c r="AY866" s="2"/>
      <c r="AZ866" s="2">
        <v>1</v>
      </c>
      <c r="BA866" s="2">
        <v>1</v>
      </c>
      <c r="BB866" s="2">
        <v>1</v>
      </c>
      <c r="BC866" s="2">
        <v>1</v>
      </c>
      <c r="BD866" s="2" t="s">
        <v>3</v>
      </c>
      <c r="BE866" s="2" t="s">
        <v>3</v>
      </c>
      <c r="BF866" s="2" t="s">
        <v>3</v>
      </c>
      <c r="BG866" s="2" t="s">
        <v>3</v>
      </c>
      <c r="BH866" s="2">
        <v>0</v>
      </c>
      <c r="BI866" s="2">
        <v>2</v>
      </c>
      <c r="BJ866" s="2" t="s">
        <v>741</v>
      </c>
      <c r="BK866" s="2"/>
      <c r="BL866" s="2"/>
      <c r="BM866" s="2">
        <v>333</v>
      </c>
      <c r="BN866" s="2">
        <v>0</v>
      </c>
      <c r="BO866" s="2" t="s">
        <v>3</v>
      </c>
      <c r="BP866" s="2">
        <v>0</v>
      </c>
      <c r="BQ866" s="2">
        <v>40</v>
      </c>
      <c r="BR866" s="2">
        <v>0</v>
      </c>
      <c r="BS866" s="2">
        <v>1</v>
      </c>
      <c r="BT866" s="2">
        <v>1</v>
      </c>
      <c r="BU866" s="2">
        <v>1</v>
      </c>
      <c r="BV866" s="2">
        <v>1</v>
      </c>
      <c r="BW866" s="2">
        <v>1</v>
      </c>
      <c r="BX866" s="2">
        <v>1</v>
      </c>
      <c r="BY866" s="2" t="s">
        <v>3</v>
      </c>
      <c r="BZ866" s="2">
        <v>114</v>
      </c>
      <c r="CA866" s="2">
        <v>67</v>
      </c>
      <c r="CB866" s="2" t="s">
        <v>3</v>
      </c>
      <c r="CC866" s="2"/>
      <c r="CD866" s="2"/>
      <c r="CE866" s="2">
        <v>30</v>
      </c>
      <c r="CF866" s="2">
        <v>0</v>
      </c>
      <c r="CG866" s="2">
        <v>0</v>
      </c>
      <c r="CH866" s="2"/>
      <c r="CI866" s="2"/>
      <c r="CJ866" s="2"/>
      <c r="CK866" s="2"/>
      <c r="CL866" s="2"/>
      <c r="CM866" s="2">
        <v>0</v>
      </c>
      <c r="CN866" s="2" t="s">
        <v>742</v>
      </c>
      <c r="CO866" s="2">
        <v>0</v>
      </c>
      <c r="CP866" s="2">
        <f t="shared" ref="CP866:CP897" si="739">(P866+Q866+S866)</f>
        <v>32.799999999999997</v>
      </c>
      <c r="CQ866" s="2">
        <f t="shared" ref="CQ866:CQ897" si="740">ROUND((ROUND((AC866*AW866*1),2)*BC866),2)</f>
        <v>15.47</v>
      </c>
      <c r="CR866" s="2">
        <f>(ROUND((ROUND((((ET866*0.8))*AV866*1),2)*BB866),2)+ROUND((ROUND(((AE866-((EU866*0.8)))*AV866*1),2)*BS866),2))</f>
        <v>3.94</v>
      </c>
      <c r="CS866" s="2">
        <f t="shared" ref="CS866:CS897" si="741">ROUND((ROUND((AE866*AV866*1),2)*BS866),2)</f>
        <v>0.26</v>
      </c>
      <c r="CT866" s="2">
        <f t="shared" ref="CT866:CT897" si="742">ROUND((ROUND((AF866*AV866*1),2)*BA866),2)</f>
        <v>13.39</v>
      </c>
      <c r="CU866" s="2">
        <f t="shared" ref="CU866:CU897" si="743">AG866</f>
        <v>0</v>
      </c>
      <c r="CV866" s="2">
        <f t="shared" ref="CV866:CV897" si="744">(AH866*AV866)</f>
        <v>1.0720000000000001</v>
      </c>
      <c r="CW866" s="2">
        <f t="shared" ref="CW866:CW897" si="745">AI866</f>
        <v>0</v>
      </c>
      <c r="CX866" s="2">
        <f t="shared" ref="CX866:CX897" si="746">AJ866</f>
        <v>0</v>
      </c>
      <c r="CY866" s="2">
        <f>((S866*BZ866)/100)</f>
        <v>15.2646</v>
      </c>
      <c r="CZ866" s="2">
        <f>((S866*CA866)/100)</f>
        <v>8.9712999999999994</v>
      </c>
      <c r="DA866" s="2"/>
      <c r="DB866" s="2"/>
      <c r="DC866" s="2" t="s">
        <v>3</v>
      </c>
      <c r="DD866" s="2" t="s">
        <v>3</v>
      </c>
      <c r="DE866" s="2" t="s">
        <v>743</v>
      </c>
      <c r="DF866" s="2" t="s">
        <v>743</v>
      </c>
      <c r="DG866" s="2" t="s">
        <v>743</v>
      </c>
      <c r="DH866" s="2" t="s">
        <v>3</v>
      </c>
      <c r="DI866" s="2" t="s">
        <v>743</v>
      </c>
      <c r="DJ866" s="2" t="s">
        <v>743</v>
      </c>
      <c r="DK866" s="2" t="s">
        <v>3</v>
      </c>
      <c r="DL866" s="2" t="s">
        <v>3</v>
      </c>
      <c r="DM866" s="2" t="s">
        <v>3</v>
      </c>
      <c r="DN866" s="2">
        <v>0</v>
      </c>
      <c r="DO866" s="2">
        <v>0</v>
      </c>
      <c r="DP866" s="2">
        <v>1</v>
      </c>
      <c r="DQ866" s="2">
        <v>1</v>
      </c>
      <c r="DR866" s="2"/>
      <c r="DS866" s="2"/>
      <c r="DT866" s="2"/>
      <c r="DU866" s="2">
        <v>1013</v>
      </c>
      <c r="DV866" s="2" t="s">
        <v>231</v>
      </c>
      <c r="DW866" s="2" t="s">
        <v>231</v>
      </c>
      <c r="DX866" s="2">
        <v>1</v>
      </c>
      <c r="DY866" s="2"/>
      <c r="DZ866" s="2" t="s">
        <v>3</v>
      </c>
      <c r="EA866" s="2" t="s">
        <v>3</v>
      </c>
      <c r="EB866" s="2" t="s">
        <v>3</v>
      </c>
      <c r="EC866" s="2" t="s">
        <v>3</v>
      </c>
      <c r="ED866" s="2"/>
      <c r="EE866" s="2">
        <v>126051794</v>
      </c>
      <c r="EF866" s="2">
        <v>40</v>
      </c>
      <c r="EG866" s="2" t="s">
        <v>621</v>
      </c>
      <c r="EH866" s="2">
        <v>0</v>
      </c>
      <c r="EI866" s="2" t="s">
        <v>3</v>
      </c>
      <c r="EJ866" s="2">
        <v>2</v>
      </c>
      <c r="EK866" s="2">
        <v>333</v>
      </c>
      <c r="EL866" s="2" t="s">
        <v>656</v>
      </c>
      <c r="EM866" s="2" t="s">
        <v>657</v>
      </c>
      <c r="EN866" s="2"/>
      <c r="EO866" s="2" t="s">
        <v>744</v>
      </c>
      <c r="EP866" s="2"/>
      <c r="EQ866" s="2">
        <v>131072</v>
      </c>
      <c r="ER866" s="2">
        <v>37.14</v>
      </c>
      <c r="ES866" s="2">
        <v>15.47</v>
      </c>
      <c r="ET866" s="2">
        <v>4.93</v>
      </c>
      <c r="EU866" s="2">
        <v>0.33</v>
      </c>
      <c r="EV866" s="2">
        <v>16.739999999999998</v>
      </c>
      <c r="EW866" s="2">
        <v>1.34</v>
      </c>
      <c r="EX866" s="2">
        <v>0</v>
      </c>
      <c r="EY866" s="2">
        <v>0</v>
      </c>
      <c r="EZ866" s="2"/>
      <c r="FA866" s="2"/>
      <c r="FB866" s="2"/>
      <c r="FC866" s="2"/>
      <c r="FD866" s="2"/>
      <c r="FE866" s="2"/>
      <c r="FF866" s="2"/>
      <c r="FG866" s="2"/>
      <c r="FH866" s="2"/>
      <c r="FI866" s="2"/>
      <c r="FJ866" s="2"/>
      <c r="FK866" s="2"/>
      <c r="FL866" s="2"/>
      <c r="FM866" s="2"/>
      <c r="FN866" s="2"/>
      <c r="FO866" s="2"/>
      <c r="FP866" s="2"/>
      <c r="FQ866" s="2">
        <v>0</v>
      </c>
      <c r="FR866" s="2">
        <f t="shared" ref="FR866:FR897" si="747">ROUND(IF(AND(BH866=3,BI866=3),P866,0),2)</f>
        <v>0</v>
      </c>
      <c r="FS866" s="2">
        <v>0</v>
      </c>
      <c r="FT866" s="2"/>
      <c r="FU866" s="2"/>
      <c r="FV866" s="2"/>
      <c r="FW866" s="2"/>
      <c r="FX866" s="2">
        <v>114</v>
      </c>
      <c r="FY866" s="2">
        <v>67</v>
      </c>
      <c r="FZ866" s="2"/>
      <c r="GA866" s="2" t="s">
        <v>3</v>
      </c>
      <c r="GB866" s="2"/>
      <c r="GC866" s="2"/>
      <c r="GD866" s="2">
        <v>0</v>
      </c>
      <c r="GE866" s="2"/>
      <c r="GF866" s="2">
        <v>1296312545</v>
      </c>
      <c r="GG866" s="2">
        <v>2</v>
      </c>
      <c r="GH866" s="2">
        <v>1</v>
      </c>
      <c r="GI866" s="2">
        <v>-2</v>
      </c>
      <c r="GJ866" s="2">
        <v>0</v>
      </c>
      <c r="GK866" s="2">
        <f>ROUND(R866*(R12)/100,2)</f>
        <v>0.46</v>
      </c>
      <c r="GL866" s="2">
        <f t="shared" ref="GL866:GL897" si="748">ROUND(IF(AND(BH866=3,BI866=3,FS866&lt;&gt;0),P866,0),2)</f>
        <v>0</v>
      </c>
      <c r="GM866" s="2">
        <f t="shared" ref="GM866:GM897" si="749">ROUND(O866+X866+Y866+GK866,2)+GX866</f>
        <v>57.49</v>
      </c>
      <c r="GN866" s="2">
        <f t="shared" ref="GN866:GN897" si="750">IF(OR(BI866=0,BI866=1),ROUND(O866+X866+Y866+GK866,2),0)</f>
        <v>0</v>
      </c>
      <c r="GO866" s="2">
        <f t="shared" ref="GO866:GO897" si="751">IF(BI866=2,ROUND(O866+X866+Y866+GK866,2),0)</f>
        <v>57.49</v>
      </c>
      <c r="GP866" s="2">
        <f t="shared" ref="GP866:GP897" si="752">IF(BI866=4,ROUND(O866+X866+Y866+GK866,2)+GX866,0)</f>
        <v>0</v>
      </c>
      <c r="GQ866" s="2"/>
      <c r="GR866" s="2">
        <v>0</v>
      </c>
      <c r="GS866" s="2">
        <v>0</v>
      </c>
      <c r="GT866" s="2">
        <v>0</v>
      </c>
      <c r="GU866" s="2" t="s">
        <v>3</v>
      </c>
      <c r="GV866" s="2">
        <f t="shared" ref="GV866:GV897" si="753">ROUND((GT866),6)</f>
        <v>0</v>
      </c>
      <c r="GW866" s="2">
        <v>1</v>
      </c>
      <c r="GX866" s="2">
        <f t="shared" ref="GX866:GX897" si="754">ROUND(HC866*I866,2)</f>
        <v>0</v>
      </c>
      <c r="GY866" s="2"/>
      <c r="GZ866" s="2"/>
      <c r="HA866" s="2">
        <v>0</v>
      </c>
      <c r="HB866" s="2">
        <v>0</v>
      </c>
      <c r="HC866" s="2">
        <f t="shared" ref="HC866:HC897" si="755">GV866*GW866</f>
        <v>0</v>
      </c>
      <c r="HD866" s="2"/>
      <c r="HE866" s="2" t="s">
        <v>3</v>
      </c>
      <c r="HF866" s="2" t="s">
        <v>3</v>
      </c>
      <c r="HG866" s="2"/>
      <c r="HH866" s="2"/>
      <c r="HI866" s="2"/>
      <c r="HJ866" s="2"/>
      <c r="HK866" s="2"/>
      <c r="HL866" s="2"/>
      <c r="HM866" s="2" t="s">
        <v>3</v>
      </c>
      <c r="HN866" s="2" t="s">
        <v>3</v>
      </c>
      <c r="HO866" s="2" t="s">
        <v>3</v>
      </c>
      <c r="HP866" s="2" t="s">
        <v>3</v>
      </c>
      <c r="HQ866" s="2" t="s">
        <v>3</v>
      </c>
      <c r="HR866" s="2"/>
      <c r="HS866" s="2"/>
      <c r="HT866" s="2"/>
      <c r="HU866" s="2"/>
      <c r="HV866" s="2"/>
      <c r="HW866" s="2"/>
      <c r="HX866" s="2"/>
      <c r="HY866" s="2"/>
      <c r="HZ866" s="2"/>
      <c r="IA866" s="2"/>
      <c r="IB866" s="2"/>
      <c r="IC866" s="2"/>
      <c r="ID866" s="2"/>
      <c r="IE866" s="2"/>
      <c r="IF866" s="2"/>
      <c r="IG866" s="2"/>
      <c r="IH866" s="2"/>
      <c r="II866" s="2"/>
      <c r="IJ866" s="2"/>
      <c r="IK866" s="2">
        <v>0</v>
      </c>
      <c r="IL866" s="2"/>
      <c r="IM866" s="2"/>
      <c r="IN866" s="2"/>
      <c r="IO866" s="2"/>
      <c r="IP866" s="2"/>
      <c r="IQ866" s="2"/>
      <c r="IR866" s="2"/>
      <c r="IS866" s="2"/>
      <c r="IT866" s="2"/>
      <c r="IU866" s="2"/>
    </row>
    <row r="867" spans="1:255" x14ac:dyDescent="0.2">
      <c r="A867">
        <v>17</v>
      </c>
      <c r="B867">
        <v>1</v>
      </c>
      <c r="C867">
        <f>ROW(SmtRes!A730)</f>
        <v>730</v>
      </c>
      <c r="D867">
        <f>ROW(EtalonRes!A718)</f>
        <v>718</v>
      </c>
      <c r="E867" t="s">
        <v>96</v>
      </c>
      <c r="F867" t="s">
        <v>739</v>
      </c>
      <c r="G867" t="s">
        <v>740</v>
      </c>
      <c r="H867" t="s">
        <v>231</v>
      </c>
      <c r="I867">
        <v>1</v>
      </c>
      <c r="J867">
        <v>0</v>
      </c>
      <c r="K867">
        <v>1</v>
      </c>
      <c r="O867">
        <f t="shared" si="725"/>
        <v>524.16</v>
      </c>
      <c r="P867">
        <f t="shared" si="726"/>
        <v>95.14</v>
      </c>
      <c r="Q867">
        <f>(ROUND((ROUND((((ET867*0.8))*AV867*I867),2)*BB867),2)+ROUND((ROUND(((AE867-((EU867*0.8)))*AV867*I867),2)*BS867),2))</f>
        <v>40.31</v>
      </c>
      <c r="R867">
        <f t="shared" si="727"/>
        <v>7.55</v>
      </c>
      <c r="S867">
        <f t="shared" si="728"/>
        <v>388.71</v>
      </c>
      <c r="T867">
        <f t="shared" si="729"/>
        <v>0</v>
      </c>
      <c r="U867">
        <f t="shared" si="730"/>
        <v>1.0720000000000001</v>
      </c>
      <c r="V867">
        <f t="shared" si="731"/>
        <v>0</v>
      </c>
      <c r="W867">
        <f t="shared" si="732"/>
        <v>0</v>
      </c>
      <c r="X867">
        <f t="shared" si="733"/>
        <v>307.08</v>
      </c>
      <c r="Y867">
        <f t="shared" si="734"/>
        <v>159.37</v>
      </c>
      <c r="AA867">
        <v>129761633</v>
      </c>
      <c r="AB867">
        <f t="shared" si="735"/>
        <v>32.805999999999997</v>
      </c>
      <c r="AC867">
        <f t="shared" si="736"/>
        <v>15.47</v>
      </c>
      <c r="AD867">
        <f>ROUND(((((ET867*0.8))-((EU867*0.8)))+AE867),6)</f>
        <v>3.944</v>
      </c>
      <c r="AE867">
        <f>ROUND(((EU867*0.8)),6)</f>
        <v>0.26400000000000001</v>
      </c>
      <c r="AF867">
        <f>ROUND(((EV867*0.8)),6)</f>
        <v>13.391999999999999</v>
      </c>
      <c r="AG867">
        <f t="shared" si="737"/>
        <v>0</v>
      </c>
      <c r="AH867">
        <f>((EW867*0.8))</f>
        <v>1.0720000000000001</v>
      </c>
      <c r="AI867">
        <f>((EX867*0.8))</f>
        <v>0</v>
      </c>
      <c r="AJ867">
        <f t="shared" si="738"/>
        <v>0</v>
      </c>
      <c r="AK867">
        <v>37.14</v>
      </c>
      <c r="AL867">
        <v>15.47</v>
      </c>
      <c r="AM867">
        <v>4.93</v>
      </c>
      <c r="AN867">
        <v>0.33</v>
      </c>
      <c r="AO867">
        <v>16.739999999999998</v>
      </c>
      <c r="AP867">
        <v>0</v>
      </c>
      <c r="AQ867">
        <v>1.34</v>
      </c>
      <c r="AR867">
        <v>0</v>
      </c>
      <c r="AS867">
        <v>0</v>
      </c>
      <c r="AT867">
        <v>79</v>
      </c>
      <c r="AU867">
        <v>41</v>
      </c>
      <c r="AV867">
        <v>1</v>
      </c>
      <c r="AW867">
        <v>1</v>
      </c>
      <c r="AZ867">
        <v>1</v>
      </c>
      <c r="BA867">
        <v>29.03</v>
      </c>
      <c r="BB867">
        <v>10.23</v>
      </c>
      <c r="BC867">
        <v>6.15</v>
      </c>
      <c r="BD867" t="s">
        <v>3</v>
      </c>
      <c r="BE867" t="s">
        <v>3</v>
      </c>
      <c r="BF867" t="s">
        <v>3</v>
      </c>
      <c r="BG867" t="s">
        <v>3</v>
      </c>
      <c r="BH867">
        <v>0</v>
      </c>
      <c r="BI867">
        <v>2</v>
      </c>
      <c r="BJ867" t="s">
        <v>741</v>
      </c>
      <c r="BM867">
        <v>333</v>
      </c>
      <c r="BN867">
        <v>0</v>
      </c>
      <c r="BO867" t="s">
        <v>739</v>
      </c>
      <c r="BP867">
        <v>1</v>
      </c>
      <c r="BQ867">
        <v>40</v>
      </c>
      <c r="BR867">
        <v>0</v>
      </c>
      <c r="BS867">
        <v>29.03</v>
      </c>
      <c r="BT867">
        <v>1</v>
      </c>
      <c r="BU867">
        <v>1</v>
      </c>
      <c r="BV867">
        <v>1</v>
      </c>
      <c r="BW867">
        <v>1</v>
      </c>
      <c r="BX867">
        <v>1</v>
      </c>
      <c r="BY867" t="s">
        <v>3</v>
      </c>
      <c r="BZ867">
        <v>79</v>
      </c>
      <c r="CA867">
        <v>41</v>
      </c>
      <c r="CB867" t="s">
        <v>3</v>
      </c>
      <c r="CE867">
        <v>30</v>
      </c>
      <c r="CF867">
        <v>0</v>
      </c>
      <c r="CG867">
        <v>0</v>
      </c>
      <c r="CM867">
        <v>0</v>
      </c>
      <c r="CN867" t="s">
        <v>742</v>
      </c>
      <c r="CO867">
        <v>0</v>
      </c>
      <c r="CP867">
        <f t="shared" si="739"/>
        <v>524.16</v>
      </c>
      <c r="CQ867">
        <f t="shared" si="740"/>
        <v>95.14</v>
      </c>
      <c r="CR867">
        <f>(ROUND((ROUND((((ET867*0.8))*AV867*1),2)*BB867),2)+ROUND((ROUND(((AE867-((EU867*0.8)))*AV867*1),2)*BS867),2))</f>
        <v>40.31</v>
      </c>
      <c r="CS867">
        <f t="shared" si="741"/>
        <v>7.55</v>
      </c>
      <c r="CT867">
        <f t="shared" si="742"/>
        <v>388.71</v>
      </c>
      <c r="CU867">
        <f t="shared" si="743"/>
        <v>0</v>
      </c>
      <c r="CV867">
        <f t="shared" si="744"/>
        <v>1.0720000000000001</v>
      </c>
      <c r="CW867">
        <f t="shared" si="745"/>
        <v>0</v>
      </c>
      <c r="CX867">
        <f t="shared" si="746"/>
        <v>0</v>
      </c>
      <c r="CY867">
        <f>S867*(BZ867/100)</f>
        <v>307.08089999999999</v>
      </c>
      <c r="CZ867">
        <f>S867*(CA867/100)</f>
        <v>159.37109999999998</v>
      </c>
      <c r="DC867" t="s">
        <v>3</v>
      </c>
      <c r="DD867" t="s">
        <v>3</v>
      </c>
      <c r="DE867" t="s">
        <v>743</v>
      </c>
      <c r="DF867" t="s">
        <v>743</v>
      </c>
      <c r="DG867" t="s">
        <v>743</v>
      </c>
      <c r="DH867" t="s">
        <v>3</v>
      </c>
      <c r="DI867" t="s">
        <v>743</v>
      </c>
      <c r="DJ867" t="s">
        <v>743</v>
      </c>
      <c r="DK867" t="s">
        <v>3</v>
      </c>
      <c r="DL867" t="s">
        <v>3</v>
      </c>
      <c r="DM867" t="s">
        <v>3</v>
      </c>
      <c r="DN867">
        <v>114</v>
      </c>
      <c r="DO867">
        <v>67</v>
      </c>
      <c r="DP867">
        <v>1</v>
      </c>
      <c r="DQ867">
        <v>1</v>
      </c>
      <c r="DU867">
        <v>1013</v>
      </c>
      <c r="DV867" t="s">
        <v>231</v>
      </c>
      <c r="DW867" t="s">
        <v>231</v>
      </c>
      <c r="DX867">
        <v>1</v>
      </c>
      <c r="DZ867" t="s">
        <v>3</v>
      </c>
      <c r="EA867" t="s">
        <v>3</v>
      </c>
      <c r="EB867" t="s">
        <v>3</v>
      </c>
      <c r="EC867" t="s">
        <v>3</v>
      </c>
      <c r="EE867">
        <v>126051794</v>
      </c>
      <c r="EF867">
        <v>40</v>
      </c>
      <c r="EG867" t="s">
        <v>621</v>
      </c>
      <c r="EH867">
        <v>0</v>
      </c>
      <c r="EI867" t="s">
        <v>3</v>
      </c>
      <c r="EJ867">
        <v>2</v>
      </c>
      <c r="EK867">
        <v>333</v>
      </c>
      <c r="EL867" t="s">
        <v>656</v>
      </c>
      <c r="EM867" t="s">
        <v>657</v>
      </c>
      <c r="EO867" t="s">
        <v>744</v>
      </c>
      <c r="EQ867">
        <v>131072</v>
      </c>
      <c r="ER867">
        <v>37.14</v>
      </c>
      <c r="ES867">
        <v>15.47</v>
      </c>
      <c r="ET867">
        <v>4.93</v>
      </c>
      <c r="EU867">
        <v>0.33</v>
      </c>
      <c r="EV867">
        <v>16.739999999999998</v>
      </c>
      <c r="EW867">
        <v>1.34</v>
      </c>
      <c r="EX867">
        <v>0</v>
      </c>
      <c r="EY867">
        <v>0</v>
      </c>
      <c r="FQ867">
        <v>0</v>
      </c>
      <c r="FR867">
        <f t="shared" si="747"/>
        <v>0</v>
      </c>
      <c r="FS867">
        <v>0</v>
      </c>
      <c r="FX867">
        <v>114</v>
      </c>
      <c r="FY867">
        <v>67</v>
      </c>
      <c r="GA867" t="s">
        <v>3</v>
      </c>
      <c r="GD867">
        <v>0</v>
      </c>
      <c r="GF867">
        <v>1296312545</v>
      </c>
      <c r="GG867">
        <v>2</v>
      </c>
      <c r="GH867">
        <v>1</v>
      </c>
      <c r="GI867">
        <v>2</v>
      </c>
      <c r="GJ867">
        <v>0</v>
      </c>
      <c r="GK867">
        <f>ROUND(R867*(S12)/100,2)</f>
        <v>12.08</v>
      </c>
      <c r="GL867">
        <f t="shared" si="748"/>
        <v>0</v>
      </c>
      <c r="GM867">
        <f t="shared" si="749"/>
        <v>1002.69</v>
      </c>
      <c r="GN867">
        <f t="shared" si="750"/>
        <v>0</v>
      </c>
      <c r="GO867">
        <f t="shared" si="751"/>
        <v>1002.69</v>
      </c>
      <c r="GP867">
        <f t="shared" si="752"/>
        <v>0</v>
      </c>
      <c r="GR867">
        <v>0</v>
      </c>
      <c r="GS867">
        <v>3</v>
      </c>
      <c r="GT867">
        <v>0</v>
      </c>
      <c r="GU867" t="s">
        <v>3</v>
      </c>
      <c r="GV867">
        <f t="shared" si="753"/>
        <v>0</v>
      </c>
      <c r="GW867">
        <v>1</v>
      </c>
      <c r="GX867">
        <f t="shared" si="754"/>
        <v>0</v>
      </c>
      <c r="HA867">
        <v>0</v>
      </c>
      <c r="HB867">
        <v>0</v>
      </c>
      <c r="HC867">
        <f t="shared" si="755"/>
        <v>0</v>
      </c>
      <c r="HE867" t="s">
        <v>3</v>
      </c>
      <c r="HF867" t="s">
        <v>3</v>
      </c>
      <c r="HM867" t="s">
        <v>3</v>
      </c>
      <c r="HN867" t="s">
        <v>3</v>
      </c>
      <c r="HO867" t="s">
        <v>3</v>
      </c>
      <c r="HP867" t="s">
        <v>3</v>
      </c>
      <c r="HQ867" t="s">
        <v>3</v>
      </c>
      <c r="IK867">
        <v>0</v>
      </c>
    </row>
    <row r="868" spans="1:255" x14ac:dyDescent="0.2">
      <c r="A868" s="2">
        <v>18</v>
      </c>
      <c r="B868" s="2">
        <v>1</v>
      </c>
      <c r="C868" s="2">
        <v>728</v>
      </c>
      <c r="D868" s="2"/>
      <c r="E868" s="2" t="s">
        <v>100</v>
      </c>
      <c r="F868" s="2" t="s">
        <v>745</v>
      </c>
      <c r="G868" s="2" t="s">
        <v>746</v>
      </c>
      <c r="H868" s="2" t="s">
        <v>250</v>
      </c>
      <c r="I868" s="2">
        <f>I866*J868</f>
        <v>1</v>
      </c>
      <c r="J868" s="2">
        <v>1</v>
      </c>
      <c r="K868" s="2">
        <v>1</v>
      </c>
      <c r="L868" s="2"/>
      <c r="M868" s="2"/>
      <c r="N868" s="2"/>
      <c r="O868" s="2">
        <f t="shared" si="725"/>
        <v>37.369999999999997</v>
      </c>
      <c r="P868" s="2">
        <f t="shared" si="726"/>
        <v>37.369999999999997</v>
      </c>
      <c r="Q868" s="2">
        <f t="shared" ref="Q868:Q899" si="756">(ROUND((ROUND(((ET868)*AV868*I868),2)*BB868),2)+ROUND((ROUND(((AE868-(EU868))*AV868*I868),2)*BS868),2))</f>
        <v>0</v>
      </c>
      <c r="R868" s="2">
        <f t="shared" si="727"/>
        <v>0</v>
      </c>
      <c r="S868" s="2">
        <f t="shared" si="728"/>
        <v>0</v>
      </c>
      <c r="T868" s="2">
        <f t="shared" si="729"/>
        <v>0</v>
      </c>
      <c r="U868" s="2">
        <f t="shared" si="730"/>
        <v>0</v>
      </c>
      <c r="V868" s="2">
        <f t="shared" si="731"/>
        <v>0</v>
      </c>
      <c r="W868" s="2">
        <f t="shared" si="732"/>
        <v>0</v>
      </c>
      <c r="X868" s="2">
        <f t="shared" si="733"/>
        <v>0</v>
      </c>
      <c r="Y868" s="2">
        <f t="shared" si="734"/>
        <v>0</v>
      </c>
      <c r="Z868" s="2"/>
      <c r="AA868" s="2">
        <v>129761636</v>
      </c>
      <c r="AB868" s="2">
        <f t="shared" si="735"/>
        <v>37.369999999999997</v>
      </c>
      <c r="AC868" s="2">
        <f t="shared" si="736"/>
        <v>37.369999999999997</v>
      </c>
      <c r="AD868" s="2">
        <f t="shared" ref="AD868:AD899" si="757">ROUND((((ET868)-(EU868))+AE868),6)</f>
        <v>0</v>
      </c>
      <c r="AE868" s="2">
        <f t="shared" ref="AE868:AE899" si="758">ROUND((EU868),6)</f>
        <v>0</v>
      </c>
      <c r="AF868" s="2">
        <f t="shared" ref="AF868:AF899" si="759">ROUND((EV868),6)</f>
        <v>0</v>
      </c>
      <c r="AG868" s="2">
        <f t="shared" si="737"/>
        <v>0</v>
      </c>
      <c r="AH868" s="2">
        <f t="shared" ref="AH868:AH899" si="760">(EW868)</f>
        <v>0</v>
      </c>
      <c r="AI868" s="2">
        <f t="shared" ref="AI868:AI899" si="761">(EX868)</f>
        <v>0</v>
      </c>
      <c r="AJ868" s="2">
        <f t="shared" si="738"/>
        <v>0</v>
      </c>
      <c r="AK868" s="2">
        <v>37.369999999999997</v>
      </c>
      <c r="AL868" s="2">
        <v>37.369999999999997</v>
      </c>
      <c r="AM868" s="2">
        <v>0</v>
      </c>
      <c r="AN868" s="2">
        <v>0</v>
      </c>
      <c r="AO868" s="2">
        <v>0</v>
      </c>
      <c r="AP868" s="2">
        <v>0</v>
      </c>
      <c r="AQ868" s="2">
        <v>0</v>
      </c>
      <c r="AR868" s="2">
        <v>0</v>
      </c>
      <c r="AS868" s="2">
        <v>0</v>
      </c>
      <c r="AT868" s="2">
        <v>114</v>
      </c>
      <c r="AU868" s="2">
        <v>67</v>
      </c>
      <c r="AV868" s="2">
        <v>1</v>
      </c>
      <c r="AW868" s="2">
        <v>1</v>
      </c>
      <c r="AX868" s="2"/>
      <c r="AY868" s="2"/>
      <c r="AZ868" s="2">
        <v>1</v>
      </c>
      <c r="BA868" s="2">
        <v>1</v>
      </c>
      <c r="BB868" s="2">
        <v>1</v>
      </c>
      <c r="BC868" s="2">
        <v>1</v>
      </c>
      <c r="BD868" s="2" t="s">
        <v>3</v>
      </c>
      <c r="BE868" s="2" t="s">
        <v>3</v>
      </c>
      <c r="BF868" s="2" t="s">
        <v>3</v>
      </c>
      <c r="BG868" s="2" t="s">
        <v>3</v>
      </c>
      <c r="BH868" s="2">
        <v>3</v>
      </c>
      <c r="BI868" s="2">
        <v>2</v>
      </c>
      <c r="BJ868" s="2" t="s">
        <v>747</v>
      </c>
      <c r="BK868" s="2"/>
      <c r="BL868" s="2"/>
      <c r="BM868" s="2">
        <v>333</v>
      </c>
      <c r="BN868" s="2">
        <v>0</v>
      </c>
      <c r="BO868" s="2" t="s">
        <v>3</v>
      </c>
      <c r="BP868" s="2">
        <v>0</v>
      </c>
      <c r="BQ868" s="2">
        <v>40</v>
      </c>
      <c r="BR868" s="2">
        <v>0</v>
      </c>
      <c r="BS868" s="2">
        <v>1</v>
      </c>
      <c r="BT868" s="2">
        <v>1</v>
      </c>
      <c r="BU868" s="2">
        <v>1</v>
      </c>
      <c r="BV868" s="2">
        <v>1</v>
      </c>
      <c r="BW868" s="2">
        <v>1</v>
      </c>
      <c r="BX868" s="2">
        <v>1</v>
      </c>
      <c r="BY868" s="2" t="s">
        <v>3</v>
      </c>
      <c r="BZ868" s="2">
        <v>114</v>
      </c>
      <c r="CA868" s="2">
        <v>67</v>
      </c>
      <c r="CB868" s="2" t="s">
        <v>3</v>
      </c>
      <c r="CC868" s="2"/>
      <c r="CD868" s="2"/>
      <c r="CE868" s="2">
        <v>30</v>
      </c>
      <c r="CF868" s="2">
        <v>0</v>
      </c>
      <c r="CG868" s="2">
        <v>0</v>
      </c>
      <c r="CH868" s="2"/>
      <c r="CI868" s="2"/>
      <c r="CJ868" s="2"/>
      <c r="CK868" s="2"/>
      <c r="CL868" s="2"/>
      <c r="CM868" s="2">
        <v>0</v>
      </c>
      <c r="CN868" s="2" t="s">
        <v>3</v>
      </c>
      <c r="CO868" s="2">
        <v>0</v>
      </c>
      <c r="CP868" s="2">
        <f t="shared" si="739"/>
        <v>37.369999999999997</v>
      </c>
      <c r="CQ868" s="2">
        <f t="shared" si="740"/>
        <v>37.369999999999997</v>
      </c>
      <c r="CR868" s="2">
        <f t="shared" ref="CR868:CR899" si="762">(ROUND((ROUND(((ET868)*AV868*1),2)*BB868),2)+ROUND((ROUND(((AE868-(EU868))*AV868*1),2)*BS868),2))</f>
        <v>0</v>
      </c>
      <c r="CS868" s="2">
        <f t="shared" si="741"/>
        <v>0</v>
      </c>
      <c r="CT868" s="2">
        <f t="shared" si="742"/>
        <v>0</v>
      </c>
      <c r="CU868" s="2">
        <f t="shared" si="743"/>
        <v>0</v>
      </c>
      <c r="CV868" s="2">
        <f t="shared" si="744"/>
        <v>0</v>
      </c>
      <c r="CW868" s="2">
        <f t="shared" si="745"/>
        <v>0</v>
      </c>
      <c r="CX868" s="2">
        <f t="shared" si="746"/>
        <v>0</v>
      </c>
      <c r="CY868" s="2">
        <f>((S868*BZ868)/100)</f>
        <v>0</v>
      </c>
      <c r="CZ868" s="2">
        <f>((S868*CA868)/100)</f>
        <v>0</v>
      </c>
      <c r="DA868" s="2"/>
      <c r="DB868" s="2"/>
      <c r="DC868" s="2" t="s">
        <v>3</v>
      </c>
      <c r="DD868" s="2" t="s">
        <v>3</v>
      </c>
      <c r="DE868" s="2" t="s">
        <v>3</v>
      </c>
      <c r="DF868" s="2" t="s">
        <v>3</v>
      </c>
      <c r="DG868" s="2" t="s">
        <v>3</v>
      </c>
      <c r="DH868" s="2" t="s">
        <v>3</v>
      </c>
      <c r="DI868" s="2" t="s">
        <v>3</v>
      </c>
      <c r="DJ868" s="2" t="s">
        <v>3</v>
      </c>
      <c r="DK868" s="2" t="s">
        <v>3</v>
      </c>
      <c r="DL868" s="2" t="s">
        <v>3</v>
      </c>
      <c r="DM868" s="2" t="s">
        <v>3</v>
      </c>
      <c r="DN868" s="2">
        <v>0</v>
      </c>
      <c r="DO868" s="2">
        <v>0</v>
      </c>
      <c r="DP868" s="2">
        <v>1</v>
      </c>
      <c r="DQ868" s="2">
        <v>1</v>
      </c>
      <c r="DR868" s="2"/>
      <c r="DS868" s="2"/>
      <c r="DT868" s="2"/>
      <c r="DU868" s="2">
        <v>1010</v>
      </c>
      <c r="DV868" s="2" t="s">
        <v>250</v>
      </c>
      <c r="DW868" s="2" t="s">
        <v>250</v>
      </c>
      <c r="DX868" s="2">
        <v>1</v>
      </c>
      <c r="DY868" s="2"/>
      <c r="DZ868" s="2" t="s">
        <v>3</v>
      </c>
      <c r="EA868" s="2" t="s">
        <v>3</v>
      </c>
      <c r="EB868" s="2" t="s">
        <v>3</v>
      </c>
      <c r="EC868" s="2" t="s">
        <v>3</v>
      </c>
      <c r="ED868" s="2"/>
      <c r="EE868" s="2">
        <v>126051794</v>
      </c>
      <c r="EF868" s="2">
        <v>40</v>
      </c>
      <c r="EG868" s="2" t="s">
        <v>621</v>
      </c>
      <c r="EH868" s="2">
        <v>0</v>
      </c>
      <c r="EI868" s="2" t="s">
        <v>3</v>
      </c>
      <c r="EJ868" s="2">
        <v>2</v>
      </c>
      <c r="EK868" s="2">
        <v>333</v>
      </c>
      <c r="EL868" s="2" t="s">
        <v>656</v>
      </c>
      <c r="EM868" s="2" t="s">
        <v>657</v>
      </c>
      <c r="EN868" s="2"/>
      <c r="EO868" s="2" t="s">
        <v>3</v>
      </c>
      <c r="EP868" s="2"/>
      <c r="EQ868" s="2">
        <v>0</v>
      </c>
      <c r="ER868" s="2">
        <v>37.369999999999997</v>
      </c>
      <c r="ES868" s="2">
        <v>37.369999999999997</v>
      </c>
      <c r="ET868" s="2">
        <v>0</v>
      </c>
      <c r="EU868" s="2">
        <v>0</v>
      </c>
      <c r="EV868" s="2">
        <v>0</v>
      </c>
      <c r="EW868" s="2">
        <v>0</v>
      </c>
      <c r="EX868" s="2">
        <v>0</v>
      </c>
      <c r="EY868" s="2"/>
      <c r="EZ868" s="2"/>
      <c r="FA868" s="2"/>
      <c r="FB868" s="2"/>
      <c r="FC868" s="2"/>
      <c r="FD868" s="2"/>
      <c r="FE868" s="2"/>
      <c r="FF868" s="2"/>
      <c r="FG868" s="2"/>
      <c r="FH868" s="2"/>
      <c r="FI868" s="2"/>
      <c r="FJ868" s="2"/>
      <c r="FK868" s="2"/>
      <c r="FL868" s="2"/>
      <c r="FM868" s="2"/>
      <c r="FN868" s="2"/>
      <c r="FO868" s="2"/>
      <c r="FP868" s="2"/>
      <c r="FQ868" s="2">
        <v>0</v>
      </c>
      <c r="FR868" s="2">
        <f t="shared" si="747"/>
        <v>0</v>
      </c>
      <c r="FS868" s="2">
        <v>0</v>
      </c>
      <c r="FT868" s="2"/>
      <c r="FU868" s="2"/>
      <c r="FV868" s="2"/>
      <c r="FW868" s="2"/>
      <c r="FX868" s="2">
        <v>114</v>
      </c>
      <c r="FY868" s="2">
        <v>67</v>
      </c>
      <c r="FZ868" s="2"/>
      <c r="GA868" s="2" t="s">
        <v>3</v>
      </c>
      <c r="GB868" s="2"/>
      <c r="GC868" s="2"/>
      <c r="GD868" s="2">
        <v>0</v>
      </c>
      <c r="GE868" s="2"/>
      <c r="GF868" s="2">
        <v>1794565900</v>
      </c>
      <c r="GG868" s="2">
        <v>2</v>
      </c>
      <c r="GH868" s="2">
        <v>1</v>
      </c>
      <c r="GI868" s="2">
        <v>-2</v>
      </c>
      <c r="GJ868" s="2">
        <v>0</v>
      </c>
      <c r="GK868" s="2">
        <f>ROUND(R868*(R12)/100,2)</f>
        <v>0</v>
      </c>
      <c r="GL868" s="2">
        <f t="shared" si="748"/>
        <v>0</v>
      </c>
      <c r="GM868" s="2">
        <f t="shared" si="749"/>
        <v>37.369999999999997</v>
      </c>
      <c r="GN868" s="2">
        <f t="shared" si="750"/>
        <v>0</v>
      </c>
      <c r="GO868" s="2">
        <f t="shared" si="751"/>
        <v>37.369999999999997</v>
      </c>
      <c r="GP868" s="2">
        <f t="shared" si="752"/>
        <v>0</v>
      </c>
      <c r="GQ868" s="2"/>
      <c r="GR868" s="2">
        <v>0</v>
      </c>
      <c r="GS868" s="2">
        <v>0</v>
      </c>
      <c r="GT868" s="2">
        <v>0</v>
      </c>
      <c r="GU868" s="2" t="s">
        <v>3</v>
      </c>
      <c r="GV868" s="2">
        <f t="shared" si="753"/>
        <v>0</v>
      </c>
      <c r="GW868" s="2">
        <v>1</v>
      </c>
      <c r="GX868" s="2">
        <f t="shared" si="754"/>
        <v>0</v>
      </c>
      <c r="GY868" s="2"/>
      <c r="GZ868" s="2"/>
      <c r="HA868" s="2">
        <v>0</v>
      </c>
      <c r="HB868" s="2">
        <v>0</v>
      </c>
      <c r="HC868" s="2">
        <f t="shared" si="755"/>
        <v>0</v>
      </c>
      <c r="HD868" s="2"/>
      <c r="HE868" s="2" t="s">
        <v>3</v>
      </c>
      <c r="HF868" s="2" t="s">
        <v>3</v>
      </c>
      <c r="HG868" s="2"/>
      <c r="HH868" s="2"/>
      <c r="HI868" s="2"/>
      <c r="HJ868" s="2"/>
      <c r="HK868" s="2"/>
      <c r="HL868" s="2"/>
      <c r="HM868" s="2" t="s">
        <v>3</v>
      </c>
      <c r="HN868" s="2" t="s">
        <v>3</v>
      </c>
      <c r="HO868" s="2" t="s">
        <v>3</v>
      </c>
      <c r="HP868" s="2" t="s">
        <v>3</v>
      </c>
      <c r="HQ868" s="2" t="s">
        <v>3</v>
      </c>
      <c r="HR868" s="2"/>
      <c r="HS868" s="2"/>
      <c r="HT868" s="2"/>
      <c r="HU868" s="2"/>
      <c r="HV868" s="2"/>
      <c r="HW868" s="2"/>
      <c r="HX868" s="2"/>
      <c r="HY868" s="2"/>
      <c r="HZ868" s="2"/>
      <c r="IA868" s="2"/>
      <c r="IB868" s="2"/>
      <c r="IC868" s="2"/>
      <c r="ID868" s="2"/>
      <c r="IE868" s="2"/>
      <c r="IF868" s="2"/>
      <c r="IG868" s="2"/>
      <c r="IH868" s="2"/>
      <c r="II868" s="2"/>
      <c r="IJ868" s="2"/>
      <c r="IK868" s="2">
        <v>0</v>
      </c>
      <c r="IL868" s="2"/>
      <c r="IM868" s="2"/>
      <c r="IN868" s="2"/>
      <c r="IO868" s="2"/>
      <c r="IP868" s="2"/>
      <c r="IQ868" s="2"/>
      <c r="IR868" s="2"/>
      <c r="IS868" s="2"/>
      <c r="IT868" s="2"/>
      <c r="IU868" s="2"/>
    </row>
    <row r="869" spans="1:255" x14ac:dyDescent="0.2">
      <c r="A869">
        <v>18</v>
      </c>
      <c r="B869">
        <v>1</v>
      </c>
      <c r="C869">
        <v>730</v>
      </c>
      <c r="E869" t="s">
        <v>100</v>
      </c>
      <c r="F869" t="s">
        <v>745</v>
      </c>
      <c r="G869" t="s">
        <v>746</v>
      </c>
      <c r="H869" t="s">
        <v>250</v>
      </c>
      <c r="I869">
        <f>I867*J869</f>
        <v>1</v>
      </c>
      <c r="J869">
        <v>1</v>
      </c>
      <c r="K869">
        <v>1</v>
      </c>
      <c r="O869">
        <f t="shared" si="725"/>
        <v>520.55999999999995</v>
      </c>
      <c r="P869">
        <f t="shared" si="726"/>
        <v>520.55999999999995</v>
      </c>
      <c r="Q869">
        <f t="shared" si="756"/>
        <v>0</v>
      </c>
      <c r="R869">
        <f t="shared" si="727"/>
        <v>0</v>
      </c>
      <c r="S869">
        <f t="shared" si="728"/>
        <v>0</v>
      </c>
      <c r="T869">
        <f t="shared" si="729"/>
        <v>0</v>
      </c>
      <c r="U869">
        <f t="shared" si="730"/>
        <v>0</v>
      </c>
      <c r="V869">
        <f t="shared" si="731"/>
        <v>0</v>
      </c>
      <c r="W869">
        <f t="shared" si="732"/>
        <v>0</v>
      </c>
      <c r="X869">
        <f t="shared" si="733"/>
        <v>0</v>
      </c>
      <c r="Y869">
        <f t="shared" si="734"/>
        <v>0</v>
      </c>
      <c r="AA869">
        <v>129761633</v>
      </c>
      <c r="AB869">
        <f t="shared" si="735"/>
        <v>37.369999999999997</v>
      </c>
      <c r="AC869">
        <f t="shared" si="736"/>
        <v>37.369999999999997</v>
      </c>
      <c r="AD869">
        <f t="shared" si="757"/>
        <v>0</v>
      </c>
      <c r="AE869">
        <f t="shared" si="758"/>
        <v>0</v>
      </c>
      <c r="AF869">
        <f t="shared" si="759"/>
        <v>0</v>
      </c>
      <c r="AG869">
        <f t="shared" si="737"/>
        <v>0</v>
      </c>
      <c r="AH869">
        <f t="shared" si="760"/>
        <v>0</v>
      </c>
      <c r="AI869">
        <f t="shared" si="761"/>
        <v>0</v>
      </c>
      <c r="AJ869">
        <f t="shared" si="738"/>
        <v>0</v>
      </c>
      <c r="AK869">
        <v>37.369999999999997</v>
      </c>
      <c r="AL869">
        <v>37.369999999999997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  <c r="AV869">
        <v>1</v>
      </c>
      <c r="AW869">
        <v>1</v>
      </c>
      <c r="AZ869">
        <v>1</v>
      </c>
      <c r="BA869">
        <v>1</v>
      </c>
      <c r="BB869">
        <v>1</v>
      </c>
      <c r="BC869">
        <v>13.93</v>
      </c>
      <c r="BD869" t="s">
        <v>3</v>
      </c>
      <c r="BE869" t="s">
        <v>3</v>
      </c>
      <c r="BF869" t="s">
        <v>3</v>
      </c>
      <c r="BG869" t="s">
        <v>3</v>
      </c>
      <c r="BH869">
        <v>3</v>
      </c>
      <c r="BI869">
        <v>2</v>
      </c>
      <c r="BJ869" t="s">
        <v>747</v>
      </c>
      <c r="BM869">
        <v>333</v>
      </c>
      <c r="BN869">
        <v>0</v>
      </c>
      <c r="BO869" t="s">
        <v>745</v>
      </c>
      <c r="BP869">
        <v>1</v>
      </c>
      <c r="BQ869">
        <v>40</v>
      </c>
      <c r="BR869">
        <v>0</v>
      </c>
      <c r="BS869">
        <v>1</v>
      </c>
      <c r="BT869">
        <v>1</v>
      </c>
      <c r="BU869">
        <v>1</v>
      </c>
      <c r="BV869">
        <v>1</v>
      </c>
      <c r="BW869">
        <v>1</v>
      </c>
      <c r="BX869">
        <v>1</v>
      </c>
      <c r="BY869" t="s">
        <v>3</v>
      </c>
      <c r="BZ869">
        <v>0</v>
      </c>
      <c r="CA869">
        <v>0</v>
      </c>
      <c r="CB869" t="s">
        <v>3</v>
      </c>
      <c r="CE869">
        <v>30</v>
      </c>
      <c r="CF869">
        <v>0</v>
      </c>
      <c r="CG869">
        <v>0</v>
      </c>
      <c r="CM869">
        <v>0</v>
      </c>
      <c r="CN869" t="s">
        <v>3</v>
      </c>
      <c r="CO869">
        <v>0</v>
      </c>
      <c r="CP869">
        <f t="shared" si="739"/>
        <v>520.55999999999995</v>
      </c>
      <c r="CQ869">
        <f t="shared" si="740"/>
        <v>520.55999999999995</v>
      </c>
      <c r="CR869">
        <f t="shared" si="762"/>
        <v>0</v>
      </c>
      <c r="CS869">
        <f t="shared" si="741"/>
        <v>0</v>
      </c>
      <c r="CT869">
        <f t="shared" si="742"/>
        <v>0</v>
      </c>
      <c r="CU869">
        <f t="shared" si="743"/>
        <v>0</v>
      </c>
      <c r="CV869">
        <f t="shared" si="744"/>
        <v>0</v>
      </c>
      <c r="CW869">
        <f t="shared" si="745"/>
        <v>0</v>
      </c>
      <c r="CX869">
        <f t="shared" si="746"/>
        <v>0</v>
      </c>
      <c r="CY869">
        <f>S869*(BZ869/100)</f>
        <v>0</v>
      </c>
      <c r="CZ869">
        <f>S869*(CA869/100)</f>
        <v>0</v>
      </c>
      <c r="DC869" t="s">
        <v>3</v>
      </c>
      <c r="DD869" t="s">
        <v>3</v>
      </c>
      <c r="DE869" t="s">
        <v>3</v>
      </c>
      <c r="DF869" t="s">
        <v>3</v>
      </c>
      <c r="DG869" t="s">
        <v>3</v>
      </c>
      <c r="DH869" t="s">
        <v>3</v>
      </c>
      <c r="DI869" t="s">
        <v>3</v>
      </c>
      <c r="DJ869" t="s">
        <v>3</v>
      </c>
      <c r="DK869" t="s">
        <v>3</v>
      </c>
      <c r="DL869" t="s">
        <v>3</v>
      </c>
      <c r="DM869" t="s">
        <v>3</v>
      </c>
      <c r="DN869">
        <v>114</v>
      </c>
      <c r="DO869">
        <v>67</v>
      </c>
      <c r="DP869">
        <v>1</v>
      </c>
      <c r="DQ869">
        <v>1</v>
      </c>
      <c r="DU869">
        <v>1010</v>
      </c>
      <c r="DV869" t="s">
        <v>250</v>
      </c>
      <c r="DW869" t="s">
        <v>250</v>
      </c>
      <c r="DX869">
        <v>1</v>
      </c>
      <c r="DZ869" t="s">
        <v>3</v>
      </c>
      <c r="EA869" t="s">
        <v>3</v>
      </c>
      <c r="EB869" t="s">
        <v>3</v>
      </c>
      <c r="EC869" t="s">
        <v>3</v>
      </c>
      <c r="EE869">
        <v>126051794</v>
      </c>
      <c r="EF869">
        <v>40</v>
      </c>
      <c r="EG869" t="s">
        <v>621</v>
      </c>
      <c r="EH869">
        <v>0</v>
      </c>
      <c r="EI869" t="s">
        <v>3</v>
      </c>
      <c r="EJ869">
        <v>2</v>
      </c>
      <c r="EK869">
        <v>333</v>
      </c>
      <c r="EL869" t="s">
        <v>656</v>
      </c>
      <c r="EM869" t="s">
        <v>657</v>
      </c>
      <c r="EO869" t="s">
        <v>3</v>
      </c>
      <c r="EQ869">
        <v>0</v>
      </c>
      <c r="ER869">
        <v>37.369999999999997</v>
      </c>
      <c r="ES869">
        <v>37.369999999999997</v>
      </c>
      <c r="ET869">
        <v>0</v>
      </c>
      <c r="EU869">
        <v>0</v>
      </c>
      <c r="EV869">
        <v>0</v>
      </c>
      <c r="EW869">
        <v>0</v>
      </c>
      <c r="EX869">
        <v>0</v>
      </c>
      <c r="FQ869">
        <v>0</v>
      </c>
      <c r="FR869">
        <f t="shared" si="747"/>
        <v>0</v>
      </c>
      <c r="FS869">
        <v>0</v>
      </c>
      <c r="FX869">
        <v>114</v>
      </c>
      <c r="FY869">
        <v>67</v>
      </c>
      <c r="GA869" t="s">
        <v>3</v>
      </c>
      <c r="GD869">
        <v>0</v>
      </c>
      <c r="GF869">
        <v>1794565900</v>
      </c>
      <c r="GG869">
        <v>2</v>
      </c>
      <c r="GH869">
        <v>1</v>
      </c>
      <c r="GI869">
        <v>2</v>
      </c>
      <c r="GJ869">
        <v>0</v>
      </c>
      <c r="GK869">
        <f>ROUND(R869*(S12)/100,2)</f>
        <v>0</v>
      </c>
      <c r="GL869">
        <f t="shared" si="748"/>
        <v>0</v>
      </c>
      <c r="GM869">
        <f t="shared" si="749"/>
        <v>520.55999999999995</v>
      </c>
      <c r="GN869">
        <f t="shared" si="750"/>
        <v>0</v>
      </c>
      <c r="GO869">
        <f t="shared" si="751"/>
        <v>520.55999999999995</v>
      </c>
      <c r="GP869">
        <f t="shared" si="752"/>
        <v>0</v>
      </c>
      <c r="GR869">
        <v>0</v>
      </c>
      <c r="GS869">
        <v>3</v>
      </c>
      <c r="GT869">
        <v>0</v>
      </c>
      <c r="GU869" t="s">
        <v>3</v>
      </c>
      <c r="GV869">
        <f t="shared" si="753"/>
        <v>0</v>
      </c>
      <c r="GW869">
        <v>1</v>
      </c>
      <c r="GX869">
        <f t="shared" si="754"/>
        <v>0</v>
      </c>
      <c r="HA869">
        <v>0</v>
      </c>
      <c r="HB869">
        <v>0</v>
      </c>
      <c r="HC869">
        <f t="shared" si="755"/>
        <v>0</v>
      </c>
      <c r="HE869" t="s">
        <v>3</v>
      </c>
      <c r="HF869" t="s">
        <v>3</v>
      </c>
      <c r="HM869" t="s">
        <v>3</v>
      </c>
      <c r="HN869" t="s">
        <v>3</v>
      </c>
      <c r="HO869" t="s">
        <v>3</v>
      </c>
      <c r="HP869" t="s">
        <v>3</v>
      </c>
      <c r="HQ869" t="s">
        <v>3</v>
      </c>
      <c r="IK869">
        <v>0</v>
      </c>
    </row>
    <row r="870" spans="1:255" x14ac:dyDescent="0.2">
      <c r="A870" s="2">
        <v>17</v>
      </c>
      <c r="B870" s="2">
        <v>1</v>
      </c>
      <c r="C870" s="2">
        <f>ROW(SmtRes!A734)</f>
        <v>734</v>
      </c>
      <c r="D870" s="2">
        <f>ROW(EtalonRes!A719)</f>
        <v>719</v>
      </c>
      <c r="E870" s="2" t="s">
        <v>104</v>
      </c>
      <c r="F870" s="2" t="s">
        <v>748</v>
      </c>
      <c r="G870" s="2" t="s">
        <v>749</v>
      </c>
      <c r="H870" s="2" t="s">
        <v>551</v>
      </c>
      <c r="I870" s="2">
        <v>0.05</v>
      </c>
      <c r="J870" s="2">
        <v>0</v>
      </c>
      <c r="K870" s="2">
        <v>0.05</v>
      </c>
      <c r="L870" s="2"/>
      <c r="M870" s="2"/>
      <c r="N870" s="2"/>
      <c r="O870" s="2">
        <f t="shared" si="725"/>
        <v>103.33</v>
      </c>
      <c r="P870" s="2">
        <f t="shared" si="726"/>
        <v>14.77</v>
      </c>
      <c r="Q870" s="2">
        <f t="shared" si="756"/>
        <v>6.01</v>
      </c>
      <c r="R870" s="2">
        <f t="shared" si="727"/>
        <v>1.4</v>
      </c>
      <c r="S870" s="2">
        <f t="shared" si="728"/>
        <v>82.55</v>
      </c>
      <c r="T870" s="2">
        <f t="shared" si="729"/>
        <v>0</v>
      </c>
      <c r="U870" s="2">
        <f t="shared" si="730"/>
        <v>6.3500000000000005</v>
      </c>
      <c r="V870" s="2">
        <f t="shared" si="731"/>
        <v>0</v>
      </c>
      <c r="W870" s="2">
        <f t="shared" si="732"/>
        <v>0</v>
      </c>
      <c r="X870" s="2">
        <f t="shared" si="733"/>
        <v>94.11</v>
      </c>
      <c r="Y870" s="2">
        <f t="shared" si="734"/>
        <v>55.31</v>
      </c>
      <c r="Z870" s="2"/>
      <c r="AA870" s="2">
        <v>129761636</v>
      </c>
      <c r="AB870" s="2">
        <f t="shared" si="735"/>
        <v>2066.62</v>
      </c>
      <c r="AC870" s="2">
        <f t="shared" si="736"/>
        <v>295.39999999999998</v>
      </c>
      <c r="AD870" s="2">
        <f t="shared" si="757"/>
        <v>120.22</v>
      </c>
      <c r="AE870" s="2">
        <f t="shared" si="758"/>
        <v>27.92</v>
      </c>
      <c r="AF870" s="2">
        <f t="shared" si="759"/>
        <v>1651</v>
      </c>
      <c r="AG870" s="2">
        <f t="shared" si="737"/>
        <v>0</v>
      </c>
      <c r="AH870" s="2">
        <f t="shared" si="760"/>
        <v>127</v>
      </c>
      <c r="AI870" s="2">
        <f t="shared" si="761"/>
        <v>0</v>
      </c>
      <c r="AJ870" s="2">
        <f t="shared" si="738"/>
        <v>0</v>
      </c>
      <c r="AK870" s="2">
        <v>2066.62</v>
      </c>
      <c r="AL870" s="2">
        <v>295.39999999999998</v>
      </c>
      <c r="AM870" s="2">
        <v>120.22</v>
      </c>
      <c r="AN870" s="2">
        <v>27.92</v>
      </c>
      <c r="AO870" s="2">
        <v>1651</v>
      </c>
      <c r="AP870" s="2">
        <v>0</v>
      </c>
      <c r="AQ870" s="2">
        <v>127</v>
      </c>
      <c r="AR870" s="2">
        <v>0</v>
      </c>
      <c r="AS870" s="2">
        <v>0</v>
      </c>
      <c r="AT870" s="2">
        <v>114</v>
      </c>
      <c r="AU870" s="2">
        <v>67</v>
      </c>
      <c r="AV870" s="2">
        <v>1</v>
      </c>
      <c r="AW870" s="2">
        <v>1</v>
      </c>
      <c r="AX870" s="2"/>
      <c r="AY870" s="2"/>
      <c r="AZ870" s="2">
        <v>1</v>
      </c>
      <c r="BA870" s="2">
        <v>1</v>
      </c>
      <c r="BB870" s="2">
        <v>1</v>
      </c>
      <c r="BC870" s="2">
        <v>1</v>
      </c>
      <c r="BD870" s="2" t="s">
        <v>3</v>
      </c>
      <c r="BE870" s="2" t="s">
        <v>3</v>
      </c>
      <c r="BF870" s="2" t="s">
        <v>3</v>
      </c>
      <c r="BG870" s="2" t="s">
        <v>3</v>
      </c>
      <c r="BH870" s="2">
        <v>0</v>
      </c>
      <c r="BI870" s="2">
        <v>2</v>
      </c>
      <c r="BJ870" s="2" t="s">
        <v>750</v>
      </c>
      <c r="BK870" s="2"/>
      <c r="BL870" s="2"/>
      <c r="BM870" s="2">
        <v>333</v>
      </c>
      <c r="BN870" s="2">
        <v>0</v>
      </c>
      <c r="BO870" s="2" t="s">
        <v>3</v>
      </c>
      <c r="BP870" s="2">
        <v>0</v>
      </c>
      <c r="BQ870" s="2">
        <v>40</v>
      </c>
      <c r="BR870" s="2">
        <v>0</v>
      </c>
      <c r="BS870" s="2">
        <v>1</v>
      </c>
      <c r="BT870" s="2">
        <v>1</v>
      </c>
      <c r="BU870" s="2">
        <v>1</v>
      </c>
      <c r="BV870" s="2">
        <v>1</v>
      </c>
      <c r="BW870" s="2">
        <v>1</v>
      </c>
      <c r="BX870" s="2">
        <v>1</v>
      </c>
      <c r="BY870" s="2" t="s">
        <v>3</v>
      </c>
      <c r="BZ870" s="2">
        <v>114</v>
      </c>
      <c r="CA870" s="2">
        <v>67</v>
      </c>
      <c r="CB870" s="2" t="s">
        <v>3</v>
      </c>
      <c r="CC870" s="2"/>
      <c r="CD870" s="2"/>
      <c r="CE870" s="2">
        <v>30</v>
      </c>
      <c r="CF870" s="2">
        <v>0</v>
      </c>
      <c r="CG870" s="2">
        <v>0</v>
      </c>
      <c r="CH870" s="2"/>
      <c r="CI870" s="2"/>
      <c r="CJ870" s="2"/>
      <c r="CK870" s="2"/>
      <c r="CL870" s="2"/>
      <c r="CM870" s="2">
        <v>0</v>
      </c>
      <c r="CN870" s="2" t="s">
        <v>3</v>
      </c>
      <c r="CO870" s="2">
        <v>0</v>
      </c>
      <c r="CP870" s="2">
        <f t="shared" si="739"/>
        <v>103.33</v>
      </c>
      <c r="CQ870" s="2">
        <f t="shared" si="740"/>
        <v>295.39999999999998</v>
      </c>
      <c r="CR870" s="2">
        <f t="shared" si="762"/>
        <v>120.22</v>
      </c>
      <c r="CS870" s="2">
        <f t="shared" si="741"/>
        <v>27.92</v>
      </c>
      <c r="CT870" s="2">
        <f t="shared" si="742"/>
        <v>1651</v>
      </c>
      <c r="CU870" s="2">
        <f t="shared" si="743"/>
        <v>0</v>
      </c>
      <c r="CV870" s="2">
        <f t="shared" si="744"/>
        <v>127</v>
      </c>
      <c r="CW870" s="2">
        <f t="shared" si="745"/>
        <v>0</v>
      </c>
      <c r="CX870" s="2">
        <f t="shared" si="746"/>
        <v>0</v>
      </c>
      <c r="CY870" s="2">
        <f>((S870*BZ870)/100)</f>
        <v>94.106999999999985</v>
      </c>
      <c r="CZ870" s="2">
        <f>((S870*CA870)/100)</f>
        <v>55.308499999999995</v>
      </c>
      <c r="DA870" s="2"/>
      <c r="DB870" s="2"/>
      <c r="DC870" s="2" t="s">
        <v>3</v>
      </c>
      <c r="DD870" s="2" t="s">
        <v>3</v>
      </c>
      <c r="DE870" s="2" t="s">
        <v>3</v>
      </c>
      <c r="DF870" s="2" t="s">
        <v>3</v>
      </c>
      <c r="DG870" s="2" t="s">
        <v>3</v>
      </c>
      <c r="DH870" s="2" t="s">
        <v>3</v>
      </c>
      <c r="DI870" s="2" t="s">
        <v>3</v>
      </c>
      <c r="DJ870" s="2" t="s">
        <v>3</v>
      </c>
      <c r="DK870" s="2" t="s">
        <v>3</v>
      </c>
      <c r="DL870" s="2" t="s">
        <v>3</v>
      </c>
      <c r="DM870" s="2" t="s">
        <v>3</v>
      </c>
      <c r="DN870" s="2">
        <v>0</v>
      </c>
      <c r="DO870" s="2">
        <v>0</v>
      </c>
      <c r="DP870" s="2">
        <v>1</v>
      </c>
      <c r="DQ870" s="2">
        <v>1</v>
      </c>
      <c r="DR870" s="2"/>
      <c r="DS870" s="2"/>
      <c r="DT870" s="2"/>
      <c r="DU870" s="2">
        <v>1010</v>
      </c>
      <c r="DV870" s="2" t="s">
        <v>551</v>
      </c>
      <c r="DW870" s="2" t="s">
        <v>551</v>
      </c>
      <c r="DX870" s="2">
        <v>100</v>
      </c>
      <c r="DY870" s="2"/>
      <c r="DZ870" s="2" t="s">
        <v>3</v>
      </c>
      <c r="EA870" s="2" t="s">
        <v>3</v>
      </c>
      <c r="EB870" s="2" t="s">
        <v>3</v>
      </c>
      <c r="EC870" s="2" t="s">
        <v>3</v>
      </c>
      <c r="ED870" s="2"/>
      <c r="EE870" s="2">
        <v>126051794</v>
      </c>
      <c r="EF870" s="2">
        <v>40</v>
      </c>
      <c r="EG870" s="2" t="s">
        <v>621</v>
      </c>
      <c r="EH870" s="2">
        <v>0</v>
      </c>
      <c r="EI870" s="2" t="s">
        <v>3</v>
      </c>
      <c r="EJ870" s="2">
        <v>2</v>
      </c>
      <c r="EK870" s="2">
        <v>333</v>
      </c>
      <c r="EL870" s="2" t="s">
        <v>656</v>
      </c>
      <c r="EM870" s="2" t="s">
        <v>657</v>
      </c>
      <c r="EN870" s="2"/>
      <c r="EO870" s="2" t="s">
        <v>3</v>
      </c>
      <c r="EP870" s="2"/>
      <c r="EQ870" s="2">
        <v>131072</v>
      </c>
      <c r="ER870" s="2">
        <v>2066.62</v>
      </c>
      <c r="ES870" s="2">
        <v>295.39999999999998</v>
      </c>
      <c r="ET870" s="2">
        <v>120.22</v>
      </c>
      <c r="EU870" s="2">
        <v>27.92</v>
      </c>
      <c r="EV870" s="2">
        <v>1651</v>
      </c>
      <c r="EW870" s="2">
        <v>127</v>
      </c>
      <c r="EX870" s="2">
        <v>0</v>
      </c>
      <c r="EY870" s="2">
        <v>0</v>
      </c>
      <c r="EZ870" s="2"/>
      <c r="FA870" s="2"/>
      <c r="FB870" s="2"/>
      <c r="FC870" s="2"/>
      <c r="FD870" s="2"/>
      <c r="FE870" s="2"/>
      <c r="FF870" s="2"/>
      <c r="FG870" s="2"/>
      <c r="FH870" s="2"/>
      <c r="FI870" s="2"/>
      <c r="FJ870" s="2"/>
      <c r="FK870" s="2"/>
      <c r="FL870" s="2"/>
      <c r="FM870" s="2"/>
      <c r="FN870" s="2"/>
      <c r="FO870" s="2"/>
      <c r="FP870" s="2"/>
      <c r="FQ870" s="2">
        <v>0</v>
      </c>
      <c r="FR870" s="2">
        <f t="shared" si="747"/>
        <v>0</v>
      </c>
      <c r="FS870" s="2">
        <v>0</v>
      </c>
      <c r="FT870" s="2"/>
      <c r="FU870" s="2"/>
      <c r="FV870" s="2"/>
      <c r="FW870" s="2"/>
      <c r="FX870" s="2">
        <v>114</v>
      </c>
      <c r="FY870" s="2">
        <v>67</v>
      </c>
      <c r="FZ870" s="2"/>
      <c r="GA870" s="2" t="s">
        <v>3</v>
      </c>
      <c r="GB870" s="2"/>
      <c r="GC870" s="2"/>
      <c r="GD870" s="2">
        <v>0</v>
      </c>
      <c r="GE870" s="2"/>
      <c r="GF870" s="2">
        <v>-2135086201</v>
      </c>
      <c r="GG870" s="2">
        <v>2</v>
      </c>
      <c r="GH870" s="2">
        <v>1</v>
      </c>
      <c r="GI870" s="2">
        <v>-2</v>
      </c>
      <c r="GJ870" s="2">
        <v>0</v>
      </c>
      <c r="GK870" s="2">
        <f>ROUND(R870*(R12)/100,2)</f>
        <v>2.4500000000000002</v>
      </c>
      <c r="GL870" s="2">
        <f t="shared" si="748"/>
        <v>0</v>
      </c>
      <c r="GM870" s="2">
        <f t="shared" si="749"/>
        <v>255.2</v>
      </c>
      <c r="GN870" s="2">
        <f t="shared" si="750"/>
        <v>0</v>
      </c>
      <c r="GO870" s="2">
        <f t="shared" si="751"/>
        <v>255.2</v>
      </c>
      <c r="GP870" s="2">
        <f t="shared" si="752"/>
        <v>0</v>
      </c>
      <c r="GQ870" s="2"/>
      <c r="GR870" s="2">
        <v>0</v>
      </c>
      <c r="GS870" s="2">
        <v>0</v>
      </c>
      <c r="GT870" s="2">
        <v>0</v>
      </c>
      <c r="GU870" s="2" t="s">
        <v>3</v>
      </c>
      <c r="GV870" s="2">
        <f t="shared" si="753"/>
        <v>0</v>
      </c>
      <c r="GW870" s="2">
        <v>1</v>
      </c>
      <c r="GX870" s="2">
        <f t="shared" si="754"/>
        <v>0</v>
      </c>
      <c r="GY870" s="2"/>
      <c r="GZ870" s="2"/>
      <c r="HA870" s="2">
        <v>0</v>
      </c>
      <c r="HB870" s="2">
        <v>0</v>
      </c>
      <c r="HC870" s="2">
        <f t="shared" si="755"/>
        <v>0</v>
      </c>
      <c r="HD870" s="2"/>
      <c r="HE870" s="2" t="s">
        <v>3</v>
      </c>
      <c r="HF870" s="2" t="s">
        <v>3</v>
      </c>
      <c r="HG870" s="2"/>
      <c r="HH870" s="2"/>
      <c r="HI870" s="2"/>
      <c r="HJ870" s="2"/>
      <c r="HK870" s="2"/>
      <c r="HL870" s="2"/>
      <c r="HM870" s="2" t="s">
        <v>3</v>
      </c>
      <c r="HN870" s="2" t="s">
        <v>3</v>
      </c>
      <c r="HO870" s="2" t="s">
        <v>3</v>
      </c>
      <c r="HP870" s="2" t="s">
        <v>3</v>
      </c>
      <c r="HQ870" s="2" t="s">
        <v>3</v>
      </c>
      <c r="HR870" s="2"/>
      <c r="HS870" s="2"/>
      <c r="HT870" s="2"/>
      <c r="HU870" s="2"/>
      <c r="HV870" s="2"/>
      <c r="HW870" s="2"/>
      <c r="HX870" s="2"/>
      <c r="HY870" s="2"/>
      <c r="HZ870" s="2"/>
      <c r="IA870" s="2"/>
      <c r="IB870" s="2"/>
      <c r="IC870" s="2"/>
      <c r="ID870" s="2"/>
      <c r="IE870" s="2"/>
      <c r="IF870" s="2"/>
      <c r="IG870" s="2"/>
      <c r="IH870" s="2"/>
      <c r="II870" s="2"/>
      <c r="IJ870" s="2"/>
      <c r="IK870" s="2">
        <v>0</v>
      </c>
      <c r="IL870" s="2"/>
      <c r="IM870" s="2"/>
      <c r="IN870" s="2"/>
      <c r="IO870" s="2"/>
      <c r="IP870" s="2"/>
      <c r="IQ870" s="2"/>
      <c r="IR870" s="2"/>
      <c r="IS870" s="2"/>
      <c r="IT870" s="2"/>
      <c r="IU870" s="2"/>
    </row>
    <row r="871" spans="1:255" x14ac:dyDescent="0.2">
      <c r="A871">
        <v>17</v>
      </c>
      <c r="B871">
        <v>1</v>
      </c>
      <c r="C871">
        <f>ROW(SmtRes!A738)</f>
        <v>738</v>
      </c>
      <c r="D871">
        <f>ROW(EtalonRes!A720)</f>
        <v>720</v>
      </c>
      <c r="E871" t="s">
        <v>104</v>
      </c>
      <c r="F871" t="s">
        <v>748</v>
      </c>
      <c r="G871" t="s">
        <v>749</v>
      </c>
      <c r="H871" t="s">
        <v>551</v>
      </c>
      <c r="I871">
        <v>0.05</v>
      </c>
      <c r="J871">
        <v>0</v>
      </c>
      <c r="K871">
        <v>0.05</v>
      </c>
      <c r="O871">
        <f t="shared" si="725"/>
        <v>2555.75</v>
      </c>
      <c r="P871">
        <f t="shared" si="726"/>
        <v>90.69</v>
      </c>
      <c r="Q871">
        <f t="shared" si="756"/>
        <v>68.63</v>
      </c>
      <c r="R871">
        <f t="shared" si="727"/>
        <v>40.64</v>
      </c>
      <c r="S871">
        <f t="shared" si="728"/>
        <v>2396.4299999999998</v>
      </c>
      <c r="T871">
        <f t="shared" si="729"/>
        <v>0</v>
      </c>
      <c r="U871">
        <f t="shared" si="730"/>
        <v>6.3500000000000005</v>
      </c>
      <c r="V871">
        <f t="shared" si="731"/>
        <v>0</v>
      </c>
      <c r="W871">
        <f t="shared" si="732"/>
        <v>0</v>
      </c>
      <c r="X871">
        <f t="shared" si="733"/>
        <v>1893.18</v>
      </c>
      <c r="Y871">
        <f t="shared" si="734"/>
        <v>982.54</v>
      </c>
      <c r="AA871">
        <v>129761633</v>
      </c>
      <c r="AB871">
        <f t="shared" si="735"/>
        <v>2066.62</v>
      </c>
      <c r="AC871">
        <f t="shared" si="736"/>
        <v>295.39999999999998</v>
      </c>
      <c r="AD871">
        <f t="shared" si="757"/>
        <v>120.22</v>
      </c>
      <c r="AE871">
        <f t="shared" si="758"/>
        <v>27.92</v>
      </c>
      <c r="AF871">
        <f t="shared" si="759"/>
        <v>1651</v>
      </c>
      <c r="AG871">
        <f t="shared" si="737"/>
        <v>0</v>
      </c>
      <c r="AH871">
        <f t="shared" si="760"/>
        <v>127</v>
      </c>
      <c r="AI871">
        <f t="shared" si="761"/>
        <v>0</v>
      </c>
      <c r="AJ871">
        <f t="shared" si="738"/>
        <v>0</v>
      </c>
      <c r="AK871">
        <v>2066.62</v>
      </c>
      <c r="AL871">
        <v>295.39999999999998</v>
      </c>
      <c r="AM871">
        <v>120.22</v>
      </c>
      <c r="AN871">
        <v>27.92</v>
      </c>
      <c r="AO871">
        <v>1651</v>
      </c>
      <c r="AP871">
        <v>0</v>
      </c>
      <c r="AQ871">
        <v>127</v>
      </c>
      <c r="AR871">
        <v>0</v>
      </c>
      <c r="AS871">
        <v>0</v>
      </c>
      <c r="AT871">
        <v>79</v>
      </c>
      <c r="AU871">
        <v>41</v>
      </c>
      <c r="AV871">
        <v>1</v>
      </c>
      <c r="AW871">
        <v>1</v>
      </c>
      <c r="AZ871">
        <v>1</v>
      </c>
      <c r="BA871">
        <v>29.03</v>
      </c>
      <c r="BB871">
        <v>11.42</v>
      </c>
      <c r="BC871">
        <v>6.14</v>
      </c>
      <c r="BD871" t="s">
        <v>3</v>
      </c>
      <c r="BE871" t="s">
        <v>3</v>
      </c>
      <c r="BF871" t="s">
        <v>3</v>
      </c>
      <c r="BG871" t="s">
        <v>3</v>
      </c>
      <c r="BH871">
        <v>0</v>
      </c>
      <c r="BI871">
        <v>2</v>
      </c>
      <c r="BJ871" t="s">
        <v>750</v>
      </c>
      <c r="BM871">
        <v>333</v>
      </c>
      <c r="BN871">
        <v>0</v>
      </c>
      <c r="BO871" t="s">
        <v>748</v>
      </c>
      <c r="BP871">
        <v>1</v>
      </c>
      <c r="BQ871">
        <v>40</v>
      </c>
      <c r="BR871">
        <v>0</v>
      </c>
      <c r="BS871">
        <v>29.03</v>
      </c>
      <c r="BT871">
        <v>1</v>
      </c>
      <c r="BU871">
        <v>1</v>
      </c>
      <c r="BV871">
        <v>1</v>
      </c>
      <c r="BW871">
        <v>1</v>
      </c>
      <c r="BX871">
        <v>1</v>
      </c>
      <c r="BY871" t="s">
        <v>3</v>
      </c>
      <c r="BZ871">
        <v>79</v>
      </c>
      <c r="CA871">
        <v>41</v>
      </c>
      <c r="CB871" t="s">
        <v>3</v>
      </c>
      <c r="CE871">
        <v>30</v>
      </c>
      <c r="CF871">
        <v>0</v>
      </c>
      <c r="CG871">
        <v>0</v>
      </c>
      <c r="CM871">
        <v>0</v>
      </c>
      <c r="CN871" t="s">
        <v>3</v>
      </c>
      <c r="CO871">
        <v>0</v>
      </c>
      <c r="CP871">
        <f t="shared" si="739"/>
        <v>2555.75</v>
      </c>
      <c r="CQ871">
        <f t="shared" si="740"/>
        <v>1813.76</v>
      </c>
      <c r="CR871">
        <f t="shared" si="762"/>
        <v>1372.91</v>
      </c>
      <c r="CS871">
        <f t="shared" si="741"/>
        <v>810.52</v>
      </c>
      <c r="CT871">
        <f t="shared" si="742"/>
        <v>47928.53</v>
      </c>
      <c r="CU871">
        <f t="shared" si="743"/>
        <v>0</v>
      </c>
      <c r="CV871">
        <f t="shared" si="744"/>
        <v>127</v>
      </c>
      <c r="CW871">
        <f t="shared" si="745"/>
        <v>0</v>
      </c>
      <c r="CX871">
        <f t="shared" si="746"/>
        <v>0</v>
      </c>
      <c r="CY871">
        <f>S871*(BZ871/100)</f>
        <v>1893.1796999999999</v>
      </c>
      <c r="CZ871">
        <f>S871*(CA871/100)</f>
        <v>982.53629999999987</v>
      </c>
      <c r="DC871" t="s">
        <v>3</v>
      </c>
      <c r="DD871" t="s">
        <v>3</v>
      </c>
      <c r="DE871" t="s">
        <v>3</v>
      </c>
      <c r="DF871" t="s">
        <v>3</v>
      </c>
      <c r="DG871" t="s">
        <v>3</v>
      </c>
      <c r="DH871" t="s">
        <v>3</v>
      </c>
      <c r="DI871" t="s">
        <v>3</v>
      </c>
      <c r="DJ871" t="s">
        <v>3</v>
      </c>
      <c r="DK871" t="s">
        <v>3</v>
      </c>
      <c r="DL871" t="s">
        <v>3</v>
      </c>
      <c r="DM871" t="s">
        <v>3</v>
      </c>
      <c r="DN871">
        <v>114</v>
      </c>
      <c r="DO871">
        <v>67</v>
      </c>
      <c r="DP871">
        <v>1</v>
      </c>
      <c r="DQ871">
        <v>1</v>
      </c>
      <c r="DU871">
        <v>1010</v>
      </c>
      <c r="DV871" t="s">
        <v>551</v>
      </c>
      <c r="DW871" t="s">
        <v>551</v>
      </c>
      <c r="DX871">
        <v>100</v>
      </c>
      <c r="DZ871" t="s">
        <v>3</v>
      </c>
      <c r="EA871" t="s">
        <v>3</v>
      </c>
      <c r="EB871" t="s">
        <v>3</v>
      </c>
      <c r="EC871" t="s">
        <v>3</v>
      </c>
      <c r="EE871">
        <v>126051794</v>
      </c>
      <c r="EF871">
        <v>40</v>
      </c>
      <c r="EG871" t="s">
        <v>621</v>
      </c>
      <c r="EH871">
        <v>0</v>
      </c>
      <c r="EI871" t="s">
        <v>3</v>
      </c>
      <c r="EJ871">
        <v>2</v>
      </c>
      <c r="EK871">
        <v>333</v>
      </c>
      <c r="EL871" t="s">
        <v>656</v>
      </c>
      <c r="EM871" t="s">
        <v>657</v>
      </c>
      <c r="EO871" t="s">
        <v>3</v>
      </c>
      <c r="EQ871">
        <v>131072</v>
      </c>
      <c r="ER871">
        <v>2066.62</v>
      </c>
      <c r="ES871">
        <v>295.39999999999998</v>
      </c>
      <c r="ET871">
        <v>120.22</v>
      </c>
      <c r="EU871">
        <v>27.92</v>
      </c>
      <c r="EV871">
        <v>1651</v>
      </c>
      <c r="EW871">
        <v>127</v>
      </c>
      <c r="EX871">
        <v>0</v>
      </c>
      <c r="EY871">
        <v>0</v>
      </c>
      <c r="FQ871">
        <v>0</v>
      </c>
      <c r="FR871">
        <f t="shared" si="747"/>
        <v>0</v>
      </c>
      <c r="FS871">
        <v>0</v>
      </c>
      <c r="FX871">
        <v>114</v>
      </c>
      <c r="FY871">
        <v>67</v>
      </c>
      <c r="GA871" t="s">
        <v>3</v>
      </c>
      <c r="GD871">
        <v>0</v>
      </c>
      <c r="GF871">
        <v>-2135086201</v>
      </c>
      <c r="GG871">
        <v>2</v>
      </c>
      <c r="GH871">
        <v>1</v>
      </c>
      <c r="GI871">
        <v>2</v>
      </c>
      <c r="GJ871">
        <v>0</v>
      </c>
      <c r="GK871">
        <f>ROUND(R871*(S12)/100,2)</f>
        <v>65.02</v>
      </c>
      <c r="GL871">
        <f t="shared" si="748"/>
        <v>0</v>
      </c>
      <c r="GM871">
        <f t="shared" si="749"/>
        <v>5496.49</v>
      </c>
      <c r="GN871">
        <f t="shared" si="750"/>
        <v>0</v>
      </c>
      <c r="GO871">
        <f t="shared" si="751"/>
        <v>5496.49</v>
      </c>
      <c r="GP871">
        <f t="shared" si="752"/>
        <v>0</v>
      </c>
      <c r="GR871">
        <v>0</v>
      </c>
      <c r="GS871">
        <v>3</v>
      </c>
      <c r="GT871">
        <v>0</v>
      </c>
      <c r="GU871" t="s">
        <v>3</v>
      </c>
      <c r="GV871">
        <f t="shared" si="753"/>
        <v>0</v>
      </c>
      <c r="GW871">
        <v>1</v>
      </c>
      <c r="GX871">
        <f t="shared" si="754"/>
        <v>0</v>
      </c>
      <c r="HA871">
        <v>0</v>
      </c>
      <c r="HB871">
        <v>0</v>
      </c>
      <c r="HC871">
        <f t="shared" si="755"/>
        <v>0</v>
      </c>
      <c r="HE871" t="s">
        <v>3</v>
      </c>
      <c r="HF871" t="s">
        <v>3</v>
      </c>
      <c r="HM871" t="s">
        <v>3</v>
      </c>
      <c r="HN871" t="s">
        <v>3</v>
      </c>
      <c r="HO871" t="s">
        <v>3</v>
      </c>
      <c r="HP871" t="s">
        <v>3</v>
      </c>
      <c r="HQ871" t="s">
        <v>3</v>
      </c>
      <c r="IK871">
        <v>0</v>
      </c>
    </row>
    <row r="872" spans="1:255" x14ac:dyDescent="0.2">
      <c r="A872" s="2">
        <v>18</v>
      </c>
      <c r="B872" s="2">
        <v>1</v>
      </c>
      <c r="C872" s="2">
        <v>732</v>
      </c>
      <c r="D872" s="2"/>
      <c r="E872" s="2" t="s">
        <v>111</v>
      </c>
      <c r="F872" s="2" t="s">
        <v>248</v>
      </c>
      <c r="G872" s="2" t="s">
        <v>751</v>
      </c>
      <c r="H872" s="2" t="s">
        <v>250</v>
      </c>
      <c r="I872" s="2">
        <f>I870*J872</f>
        <v>3</v>
      </c>
      <c r="J872" s="2">
        <v>60</v>
      </c>
      <c r="K872" s="2">
        <v>60</v>
      </c>
      <c r="L872" s="2"/>
      <c r="M872" s="2"/>
      <c r="N872" s="2"/>
      <c r="O872" s="2">
        <f t="shared" si="725"/>
        <v>246.15</v>
      </c>
      <c r="P872" s="2">
        <f t="shared" si="726"/>
        <v>246.15</v>
      </c>
      <c r="Q872" s="2">
        <f t="shared" si="756"/>
        <v>0</v>
      </c>
      <c r="R872" s="2">
        <f t="shared" si="727"/>
        <v>0</v>
      </c>
      <c r="S872" s="2">
        <f t="shared" si="728"/>
        <v>0</v>
      </c>
      <c r="T872" s="2">
        <f t="shared" si="729"/>
        <v>0</v>
      </c>
      <c r="U872" s="2">
        <f t="shared" si="730"/>
        <v>0</v>
      </c>
      <c r="V872" s="2">
        <f t="shared" si="731"/>
        <v>0</v>
      </c>
      <c r="W872" s="2">
        <f t="shared" si="732"/>
        <v>0</v>
      </c>
      <c r="X872" s="2">
        <f t="shared" si="733"/>
        <v>0</v>
      </c>
      <c r="Y872" s="2">
        <f t="shared" si="734"/>
        <v>0</v>
      </c>
      <c r="Z872" s="2"/>
      <c r="AA872" s="2">
        <v>129761636</v>
      </c>
      <c r="AB872" s="2">
        <f t="shared" si="735"/>
        <v>82.05</v>
      </c>
      <c r="AC872" s="2">
        <f t="shared" si="736"/>
        <v>82.05</v>
      </c>
      <c r="AD872" s="2">
        <f t="shared" si="757"/>
        <v>0</v>
      </c>
      <c r="AE872" s="2">
        <f t="shared" si="758"/>
        <v>0</v>
      </c>
      <c r="AF872" s="2">
        <f t="shared" si="759"/>
        <v>0</v>
      </c>
      <c r="AG872" s="2">
        <f t="shared" si="737"/>
        <v>0</v>
      </c>
      <c r="AH872" s="2">
        <f t="shared" si="760"/>
        <v>0</v>
      </c>
      <c r="AI872" s="2">
        <f t="shared" si="761"/>
        <v>0</v>
      </c>
      <c r="AJ872" s="2">
        <f t="shared" si="738"/>
        <v>0</v>
      </c>
      <c r="AK872" s="2">
        <v>82.05</v>
      </c>
      <c r="AL872" s="2">
        <v>82.05</v>
      </c>
      <c r="AM872" s="2">
        <v>0</v>
      </c>
      <c r="AN872" s="2">
        <v>0</v>
      </c>
      <c r="AO872" s="2">
        <v>0</v>
      </c>
      <c r="AP872" s="2">
        <v>0</v>
      </c>
      <c r="AQ872" s="2">
        <v>0</v>
      </c>
      <c r="AR872" s="2">
        <v>0</v>
      </c>
      <c r="AS872" s="2">
        <v>0</v>
      </c>
      <c r="AT872" s="2">
        <v>114</v>
      </c>
      <c r="AU872" s="2">
        <v>67</v>
      </c>
      <c r="AV872" s="2">
        <v>1</v>
      </c>
      <c r="AW872" s="2">
        <v>1</v>
      </c>
      <c r="AX872" s="2"/>
      <c r="AY872" s="2"/>
      <c r="AZ872" s="2">
        <v>1</v>
      </c>
      <c r="BA872" s="2">
        <v>1</v>
      </c>
      <c r="BB872" s="2">
        <v>1</v>
      </c>
      <c r="BC872" s="2">
        <v>1</v>
      </c>
      <c r="BD872" s="2" t="s">
        <v>3</v>
      </c>
      <c r="BE872" s="2" t="s">
        <v>3</v>
      </c>
      <c r="BF872" s="2" t="s">
        <v>3</v>
      </c>
      <c r="BG872" s="2" t="s">
        <v>3</v>
      </c>
      <c r="BH872" s="2">
        <v>3</v>
      </c>
      <c r="BI872" s="2">
        <v>2</v>
      </c>
      <c r="BJ872" s="2" t="s">
        <v>3</v>
      </c>
      <c r="BK872" s="2"/>
      <c r="BL872" s="2"/>
      <c r="BM872" s="2">
        <v>333</v>
      </c>
      <c r="BN872" s="2">
        <v>0</v>
      </c>
      <c r="BO872" s="2" t="s">
        <v>3</v>
      </c>
      <c r="BP872" s="2">
        <v>0</v>
      </c>
      <c r="BQ872" s="2">
        <v>40</v>
      </c>
      <c r="BR872" s="2">
        <v>0</v>
      </c>
      <c r="BS872" s="2">
        <v>1</v>
      </c>
      <c r="BT872" s="2">
        <v>1</v>
      </c>
      <c r="BU872" s="2">
        <v>1</v>
      </c>
      <c r="BV872" s="2">
        <v>1</v>
      </c>
      <c r="BW872" s="2">
        <v>1</v>
      </c>
      <c r="BX872" s="2">
        <v>1</v>
      </c>
      <c r="BY872" s="2" t="s">
        <v>3</v>
      </c>
      <c r="BZ872" s="2">
        <v>114</v>
      </c>
      <c r="CA872" s="2">
        <v>67</v>
      </c>
      <c r="CB872" s="2" t="s">
        <v>3</v>
      </c>
      <c r="CC872" s="2"/>
      <c r="CD872" s="2"/>
      <c r="CE872" s="2">
        <v>30</v>
      </c>
      <c r="CF872" s="2">
        <v>0</v>
      </c>
      <c r="CG872" s="2">
        <v>0</v>
      </c>
      <c r="CH872" s="2"/>
      <c r="CI872" s="2"/>
      <c r="CJ872" s="2"/>
      <c r="CK872" s="2"/>
      <c r="CL872" s="2"/>
      <c r="CM872" s="2">
        <v>0</v>
      </c>
      <c r="CN872" s="2" t="s">
        <v>3</v>
      </c>
      <c r="CO872" s="2">
        <v>0</v>
      </c>
      <c r="CP872" s="2">
        <f t="shared" si="739"/>
        <v>246.15</v>
      </c>
      <c r="CQ872" s="2">
        <f t="shared" si="740"/>
        <v>82.05</v>
      </c>
      <c r="CR872" s="2">
        <f t="shared" si="762"/>
        <v>0</v>
      </c>
      <c r="CS872" s="2">
        <f t="shared" si="741"/>
        <v>0</v>
      </c>
      <c r="CT872" s="2">
        <f t="shared" si="742"/>
        <v>0</v>
      </c>
      <c r="CU872" s="2">
        <f t="shared" si="743"/>
        <v>0</v>
      </c>
      <c r="CV872" s="2">
        <f t="shared" si="744"/>
        <v>0</v>
      </c>
      <c r="CW872" s="2">
        <f t="shared" si="745"/>
        <v>0</v>
      </c>
      <c r="CX872" s="2">
        <f t="shared" si="746"/>
        <v>0</v>
      </c>
      <c r="CY872" s="2">
        <f>((S872*BZ872)/100)</f>
        <v>0</v>
      </c>
      <c r="CZ872" s="2">
        <f>((S872*CA872)/100)</f>
        <v>0</v>
      </c>
      <c r="DA872" s="2"/>
      <c r="DB872" s="2"/>
      <c r="DC872" s="2" t="s">
        <v>3</v>
      </c>
      <c r="DD872" s="2" t="s">
        <v>3</v>
      </c>
      <c r="DE872" s="2" t="s">
        <v>3</v>
      </c>
      <c r="DF872" s="2" t="s">
        <v>3</v>
      </c>
      <c r="DG872" s="2" t="s">
        <v>3</v>
      </c>
      <c r="DH872" s="2" t="s">
        <v>3</v>
      </c>
      <c r="DI872" s="2" t="s">
        <v>3</v>
      </c>
      <c r="DJ872" s="2" t="s">
        <v>3</v>
      </c>
      <c r="DK872" s="2" t="s">
        <v>3</v>
      </c>
      <c r="DL872" s="2" t="s">
        <v>3</v>
      </c>
      <c r="DM872" s="2" t="s">
        <v>3</v>
      </c>
      <c r="DN872" s="2">
        <v>0</v>
      </c>
      <c r="DO872" s="2">
        <v>0</v>
      </c>
      <c r="DP872" s="2">
        <v>1</v>
      </c>
      <c r="DQ872" s="2">
        <v>1</v>
      </c>
      <c r="DR872" s="2"/>
      <c r="DS872" s="2"/>
      <c r="DT872" s="2"/>
      <c r="DU872" s="2">
        <v>1010</v>
      </c>
      <c r="DV872" s="2" t="s">
        <v>250</v>
      </c>
      <c r="DW872" s="2" t="s">
        <v>250</v>
      </c>
      <c r="DX872" s="2">
        <v>1</v>
      </c>
      <c r="DY872" s="2"/>
      <c r="DZ872" s="2" t="s">
        <v>3</v>
      </c>
      <c r="EA872" s="2" t="s">
        <v>3</v>
      </c>
      <c r="EB872" s="2" t="s">
        <v>3</v>
      </c>
      <c r="EC872" s="2" t="s">
        <v>3</v>
      </c>
      <c r="ED872" s="2"/>
      <c r="EE872" s="2">
        <v>126051794</v>
      </c>
      <c r="EF872" s="2">
        <v>40</v>
      </c>
      <c r="EG872" s="2" t="s">
        <v>621</v>
      </c>
      <c r="EH872" s="2">
        <v>0</v>
      </c>
      <c r="EI872" s="2" t="s">
        <v>3</v>
      </c>
      <c r="EJ872" s="2">
        <v>2</v>
      </c>
      <c r="EK872" s="2">
        <v>333</v>
      </c>
      <c r="EL872" s="2" t="s">
        <v>656</v>
      </c>
      <c r="EM872" s="2" t="s">
        <v>657</v>
      </c>
      <c r="EN872" s="2"/>
      <c r="EO872" s="2" t="s">
        <v>3</v>
      </c>
      <c r="EP872" s="2"/>
      <c r="EQ872" s="2">
        <v>0</v>
      </c>
      <c r="ER872" s="2">
        <v>82.05</v>
      </c>
      <c r="ES872" s="2">
        <v>82.05</v>
      </c>
      <c r="ET872" s="2">
        <v>0</v>
      </c>
      <c r="EU872" s="2">
        <v>0</v>
      </c>
      <c r="EV872" s="2">
        <v>0</v>
      </c>
      <c r="EW872" s="2">
        <v>0</v>
      </c>
      <c r="EX872" s="2">
        <v>0</v>
      </c>
      <c r="EY872" s="2"/>
      <c r="EZ872" s="2"/>
      <c r="FA872" s="2"/>
      <c r="FB872" s="2"/>
      <c r="FC872" s="2"/>
      <c r="FD872" s="2"/>
      <c r="FE872" s="2"/>
      <c r="FF872" s="2"/>
      <c r="FG872" s="2"/>
      <c r="FH872" s="2"/>
      <c r="FI872" s="2"/>
      <c r="FJ872" s="2"/>
      <c r="FK872" s="2"/>
      <c r="FL872" s="2"/>
      <c r="FM872" s="2"/>
      <c r="FN872" s="2"/>
      <c r="FO872" s="2"/>
      <c r="FP872" s="2"/>
      <c r="FQ872" s="2">
        <v>0</v>
      </c>
      <c r="FR872" s="2">
        <f t="shared" si="747"/>
        <v>0</v>
      </c>
      <c r="FS872" s="2">
        <v>0</v>
      </c>
      <c r="FT872" s="2"/>
      <c r="FU872" s="2"/>
      <c r="FV872" s="2"/>
      <c r="FW872" s="2"/>
      <c r="FX872" s="2">
        <v>114</v>
      </c>
      <c r="FY872" s="2">
        <v>67</v>
      </c>
      <c r="FZ872" s="2"/>
      <c r="GA872" s="2" t="s">
        <v>3</v>
      </c>
      <c r="GB872" s="2"/>
      <c r="GC872" s="2"/>
      <c r="GD872" s="2">
        <v>0</v>
      </c>
      <c r="GE872" s="2"/>
      <c r="GF872" s="2">
        <v>1673954470</v>
      </c>
      <c r="GG872" s="2">
        <v>2</v>
      </c>
      <c r="GH872" s="2">
        <v>0</v>
      </c>
      <c r="GI872" s="2">
        <v>-2</v>
      </c>
      <c r="GJ872" s="2">
        <v>0</v>
      </c>
      <c r="GK872" s="2">
        <f>ROUND(R872*(R12)/100,2)</f>
        <v>0</v>
      </c>
      <c r="GL872" s="2">
        <f t="shared" si="748"/>
        <v>0</v>
      </c>
      <c r="GM872" s="2">
        <f t="shared" si="749"/>
        <v>246.15</v>
      </c>
      <c r="GN872" s="2">
        <f t="shared" si="750"/>
        <v>0</v>
      </c>
      <c r="GO872" s="2">
        <f t="shared" si="751"/>
        <v>246.15</v>
      </c>
      <c r="GP872" s="2">
        <f t="shared" si="752"/>
        <v>0</v>
      </c>
      <c r="GQ872" s="2"/>
      <c r="GR872" s="2">
        <v>0</v>
      </c>
      <c r="GS872" s="2">
        <v>0</v>
      </c>
      <c r="GT872" s="2">
        <v>0</v>
      </c>
      <c r="GU872" s="2" t="s">
        <v>3</v>
      </c>
      <c r="GV872" s="2">
        <f t="shared" si="753"/>
        <v>0</v>
      </c>
      <c r="GW872" s="2">
        <v>1</v>
      </c>
      <c r="GX872" s="2">
        <f t="shared" si="754"/>
        <v>0</v>
      </c>
      <c r="GY872" s="2"/>
      <c r="GZ872" s="2"/>
      <c r="HA872" s="2">
        <v>0</v>
      </c>
      <c r="HB872" s="2">
        <v>0</v>
      </c>
      <c r="HC872" s="2">
        <f t="shared" si="755"/>
        <v>0</v>
      </c>
      <c r="HD872" s="2"/>
      <c r="HE872" s="2" t="s">
        <v>3</v>
      </c>
      <c r="HF872" s="2" t="s">
        <v>3</v>
      </c>
      <c r="HG872" s="2"/>
      <c r="HH872" s="2"/>
      <c r="HI872" s="2"/>
      <c r="HJ872" s="2"/>
      <c r="HK872" s="2"/>
      <c r="HL872" s="2"/>
      <c r="HM872" s="2" t="s">
        <v>3</v>
      </c>
      <c r="HN872" s="2" t="s">
        <v>3</v>
      </c>
      <c r="HO872" s="2" t="s">
        <v>3</v>
      </c>
      <c r="HP872" s="2" t="s">
        <v>3</v>
      </c>
      <c r="HQ872" s="2" t="s">
        <v>3</v>
      </c>
      <c r="HR872" s="2"/>
      <c r="HS872" s="2"/>
      <c r="HT872" s="2"/>
      <c r="HU872" s="2"/>
      <c r="HV872" s="2"/>
      <c r="HW872" s="2"/>
      <c r="HX872" s="2"/>
      <c r="HY872" s="2"/>
      <c r="HZ872" s="2"/>
      <c r="IA872" s="2"/>
      <c r="IB872" s="2"/>
      <c r="IC872" s="2"/>
      <c r="ID872" s="2"/>
      <c r="IE872" s="2"/>
      <c r="IF872" s="2"/>
      <c r="IG872" s="2"/>
      <c r="IH872" s="2"/>
      <c r="II872" s="2"/>
      <c r="IJ872" s="2"/>
      <c r="IK872" s="2">
        <v>0</v>
      </c>
      <c r="IL872" s="2"/>
      <c r="IM872" s="2"/>
      <c r="IN872" s="2"/>
      <c r="IO872" s="2"/>
      <c r="IP872" s="2"/>
      <c r="IQ872" s="2"/>
      <c r="IR872" s="2"/>
      <c r="IS872" s="2"/>
      <c r="IT872" s="2"/>
      <c r="IU872" s="2"/>
    </row>
    <row r="873" spans="1:255" x14ac:dyDescent="0.2">
      <c r="A873">
        <v>18</v>
      </c>
      <c r="B873">
        <v>1</v>
      </c>
      <c r="C873">
        <v>736</v>
      </c>
      <c r="E873" t="s">
        <v>111</v>
      </c>
      <c r="F873" t="s">
        <v>248</v>
      </c>
      <c r="G873" t="s">
        <v>751</v>
      </c>
      <c r="H873" t="s">
        <v>250</v>
      </c>
      <c r="I873">
        <f>I871*J873</f>
        <v>3</v>
      </c>
      <c r="J873">
        <v>60</v>
      </c>
      <c r="K873">
        <v>60</v>
      </c>
      <c r="O873">
        <f t="shared" si="725"/>
        <v>4250.87</v>
      </c>
      <c r="P873">
        <f t="shared" si="726"/>
        <v>4250.87</v>
      </c>
      <c r="Q873">
        <f t="shared" si="756"/>
        <v>0</v>
      </c>
      <c r="R873">
        <f t="shared" si="727"/>
        <v>0</v>
      </c>
      <c r="S873">
        <f t="shared" si="728"/>
        <v>0</v>
      </c>
      <c r="T873">
        <f t="shared" si="729"/>
        <v>0</v>
      </c>
      <c r="U873">
        <f t="shared" si="730"/>
        <v>0</v>
      </c>
      <c r="V873">
        <f t="shared" si="731"/>
        <v>0</v>
      </c>
      <c r="W873">
        <f t="shared" si="732"/>
        <v>0</v>
      </c>
      <c r="X873">
        <f t="shared" si="733"/>
        <v>0</v>
      </c>
      <c r="Y873">
        <f t="shared" si="734"/>
        <v>0</v>
      </c>
      <c r="AA873">
        <v>129761633</v>
      </c>
      <c r="AB873">
        <f t="shared" si="735"/>
        <v>163.81</v>
      </c>
      <c r="AC873">
        <f t="shared" si="736"/>
        <v>163.81</v>
      </c>
      <c r="AD873">
        <f t="shared" si="757"/>
        <v>0</v>
      </c>
      <c r="AE873">
        <f t="shared" si="758"/>
        <v>0</v>
      </c>
      <c r="AF873">
        <f t="shared" si="759"/>
        <v>0</v>
      </c>
      <c r="AG873">
        <f t="shared" si="737"/>
        <v>0</v>
      </c>
      <c r="AH873">
        <f t="shared" si="760"/>
        <v>0</v>
      </c>
      <c r="AI873">
        <f t="shared" si="761"/>
        <v>0</v>
      </c>
      <c r="AJ873">
        <f t="shared" si="738"/>
        <v>0</v>
      </c>
      <c r="AK873">
        <v>163.81</v>
      </c>
      <c r="AL873">
        <v>163.81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1</v>
      </c>
      <c r="AW873">
        <v>1</v>
      </c>
      <c r="AZ873">
        <v>1</v>
      </c>
      <c r="BA873">
        <v>1</v>
      </c>
      <c r="BB873">
        <v>1</v>
      </c>
      <c r="BC873">
        <v>8.65</v>
      </c>
      <c r="BD873" t="s">
        <v>3</v>
      </c>
      <c r="BE873" t="s">
        <v>3</v>
      </c>
      <c r="BF873" t="s">
        <v>3</v>
      </c>
      <c r="BG873" t="s">
        <v>3</v>
      </c>
      <c r="BH873">
        <v>3</v>
      </c>
      <c r="BI873">
        <v>2</v>
      </c>
      <c r="BJ873" t="s">
        <v>3</v>
      </c>
      <c r="BM873">
        <v>333</v>
      </c>
      <c r="BN873">
        <v>0</v>
      </c>
      <c r="BO873" t="s">
        <v>3</v>
      </c>
      <c r="BP873">
        <v>0</v>
      </c>
      <c r="BQ873">
        <v>40</v>
      </c>
      <c r="BR873">
        <v>0</v>
      </c>
      <c r="BS873">
        <v>1</v>
      </c>
      <c r="BT873">
        <v>1</v>
      </c>
      <c r="BU873">
        <v>1</v>
      </c>
      <c r="BV873">
        <v>1</v>
      </c>
      <c r="BW873">
        <v>1</v>
      </c>
      <c r="BX873">
        <v>1</v>
      </c>
      <c r="BY873" t="s">
        <v>3</v>
      </c>
      <c r="BZ873">
        <v>0</v>
      </c>
      <c r="CA873">
        <v>0</v>
      </c>
      <c r="CB873" t="s">
        <v>3</v>
      </c>
      <c r="CE873">
        <v>30</v>
      </c>
      <c r="CF873">
        <v>0</v>
      </c>
      <c r="CG873">
        <v>0</v>
      </c>
      <c r="CM873">
        <v>0</v>
      </c>
      <c r="CN873" t="s">
        <v>3</v>
      </c>
      <c r="CO873">
        <v>0</v>
      </c>
      <c r="CP873">
        <f t="shared" si="739"/>
        <v>4250.87</v>
      </c>
      <c r="CQ873">
        <f t="shared" si="740"/>
        <v>1416.96</v>
      </c>
      <c r="CR873">
        <f t="shared" si="762"/>
        <v>0</v>
      </c>
      <c r="CS873">
        <f t="shared" si="741"/>
        <v>0</v>
      </c>
      <c r="CT873">
        <f t="shared" si="742"/>
        <v>0</v>
      </c>
      <c r="CU873">
        <f t="shared" si="743"/>
        <v>0</v>
      </c>
      <c r="CV873">
        <f t="shared" si="744"/>
        <v>0</v>
      </c>
      <c r="CW873">
        <f t="shared" si="745"/>
        <v>0</v>
      </c>
      <c r="CX873">
        <f t="shared" si="746"/>
        <v>0</v>
      </c>
      <c r="CY873">
        <f>S873*(BZ873/100)</f>
        <v>0</v>
      </c>
      <c r="CZ873">
        <f>S873*(CA873/100)</f>
        <v>0</v>
      </c>
      <c r="DC873" t="s">
        <v>3</v>
      </c>
      <c r="DD873" t="s">
        <v>3</v>
      </c>
      <c r="DE873" t="s">
        <v>3</v>
      </c>
      <c r="DF873" t="s">
        <v>3</v>
      </c>
      <c r="DG873" t="s">
        <v>3</v>
      </c>
      <c r="DH873" t="s">
        <v>3</v>
      </c>
      <c r="DI873" t="s">
        <v>3</v>
      </c>
      <c r="DJ873" t="s">
        <v>3</v>
      </c>
      <c r="DK873" t="s">
        <v>3</v>
      </c>
      <c r="DL873" t="s">
        <v>3</v>
      </c>
      <c r="DM873" t="s">
        <v>3</v>
      </c>
      <c r="DN873">
        <v>114</v>
      </c>
      <c r="DO873">
        <v>67</v>
      </c>
      <c r="DP873">
        <v>1</v>
      </c>
      <c r="DQ873">
        <v>1</v>
      </c>
      <c r="DU873">
        <v>1010</v>
      </c>
      <c r="DV873" t="s">
        <v>250</v>
      </c>
      <c r="DW873" t="s">
        <v>250</v>
      </c>
      <c r="DX873">
        <v>1</v>
      </c>
      <c r="DZ873" t="s">
        <v>3</v>
      </c>
      <c r="EA873" t="s">
        <v>3</v>
      </c>
      <c r="EB873" t="s">
        <v>3</v>
      </c>
      <c r="EC873" t="s">
        <v>3</v>
      </c>
      <c r="EE873">
        <v>126051794</v>
      </c>
      <c r="EF873">
        <v>40</v>
      </c>
      <c r="EG873" t="s">
        <v>621</v>
      </c>
      <c r="EH873">
        <v>0</v>
      </c>
      <c r="EI873" t="s">
        <v>3</v>
      </c>
      <c r="EJ873">
        <v>2</v>
      </c>
      <c r="EK873">
        <v>333</v>
      </c>
      <c r="EL873" t="s">
        <v>656</v>
      </c>
      <c r="EM873" t="s">
        <v>657</v>
      </c>
      <c r="EO873" t="s">
        <v>3</v>
      </c>
      <c r="EQ873">
        <v>0</v>
      </c>
      <c r="ER873">
        <v>163.81</v>
      </c>
      <c r="ES873">
        <v>163.81</v>
      </c>
      <c r="ET873">
        <v>0</v>
      </c>
      <c r="EU873">
        <v>0</v>
      </c>
      <c r="EV873">
        <v>0</v>
      </c>
      <c r="EW873">
        <v>0</v>
      </c>
      <c r="EX873">
        <v>0</v>
      </c>
      <c r="EZ873">
        <v>5</v>
      </c>
      <c r="FC873">
        <v>1</v>
      </c>
      <c r="FD873">
        <v>18</v>
      </c>
      <c r="FF873">
        <v>1667</v>
      </c>
      <c r="FQ873">
        <v>0</v>
      </c>
      <c r="FR873">
        <f t="shared" si="747"/>
        <v>0</v>
      </c>
      <c r="FS873">
        <v>0</v>
      </c>
      <c r="FX873">
        <v>114</v>
      </c>
      <c r="FY873">
        <v>67</v>
      </c>
      <c r="GA873" t="s">
        <v>752</v>
      </c>
      <c r="GD873">
        <v>0</v>
      </c>
      <c r="GF873">
        <v>1673954470</v>
      </c>
      <c r="GG873">
        <v>2</v>
      </c>
      <c r="GH873">
        <v>3</v>
      </c>
      <c r="GI873">
        <v>5</v>
      </c>
      <c r="GJ873">
        <v>0</v>
      </c>
      <c r="GK873">
        <f>ROUND(R873*(S12)/100,2)</f>
        <v>0</v>
      </c>
      <c r="GL873">
        <f t="shared" si="748"/>
        <v>0</v>
      </c>
      <c r="GM873">
        <f t="shared" si="749"/>
        <v>4250.87</v>
      </c>
      <c r="GN873">
        <f t="shared" si="750"/>
        <v>0</v>
      </c>
      <c r="GO873">
        <f t="shared" si="751"/>
        <v>4250.87</v>
      </c>
      <c r="GP873">
        <f t="shared" si="752"/>
        <v>0</v>
      </c>
      <c r="GR873">
        <v>1</v>
      </c>
      <c r="GS873">
        <v>1</v>
      </c>
      <c r="GT873">
        <v>0</v>
      </c>
      <c r="GU873" t="s">
        <v>3</v>
      </c>
      <c r="GV873">
        <f t="shared" si="753"/>
        <v>0</v>
      </c>
      <c r="GW873">
        <v>1</v>
      </c>
      <c r="GX873">
        <f t="shared" si="754"/>
        <v>0</v>
      </c>
      <c r="HA873">
        <v>0</v>
      </c>
      <c r="HB873">
        <v>0</v>
      </c>
      <c r="HC873">
        <f t="shared" si="755"/>
        <v>0</v>
      </c>
      <c r="HE873" t="s">
        <v>81</v>
      </c>
      <c r="HF873" t="s">
        <v>252</v>
      </c>
      <c r="HM873" t="s">
        <v>3</v>
      </c>
      <c r="HN873" t="s">
        <v>3</v>
      </c>
      <c r="HO873" t="s">
        <v>3</v>
      </c>
      <c r="HP873" t="s">
        <v>3</v>
      </c>
      <c r="HQ873" t="s">
        <v>3</v>
      </c>
      <c r="IK873">
        <v>0</v>
      </c>
    </row>
    <row r="874" spans="1:255" x14ac:dyDescent="0.2">
      <c r="A874" s="2">
        <v>18</v>
      </c>
      <c r="B874" s="2">
        <v>1</v>
      </c>
      <c r="C874" s="2">
        <v>733</v>
      </c>
      <c r="D874" s="2"/>
      <c r="E874" s="2" t="s">
        <v>753</v>
      </c>
      <c r="F874" s="2" t="s">
        <v>248</v>
      </c>
      <c r="G874" s="2" t="s">
        <v>754</v>
      </c>
      <c r="H874" s="2" t="s">
        <v>250</v>
      </c>
      <c r="I874" s="2">
        <f>I870*J874</f>
        <v>1</v>
      </c>
      <c r="J874" s="2">
        <v>20</v>
      </c>
      <c r="K874" s="2">
        <v>20</v>
      </c>
      <c r="L874" s="2"/>
      <c r="M874" s="2"/>
      <c r="N874" s="2"/>
      <c r="O874" s="2">
        <f t="shared" si="725"/>
        <v>725.89</v>
      </c>
      <c r="P874" s="2">
        <f t="shared" si="726"/>
        <v>725.89</v>
      </c>
      <c r="Q874" s="2">
        <f t="shared" si="756"/>
        <v>0</v>
      </c>
      <c r="R874" s="2">
        <f t="shared" si="727"/>
        <v>0</v>
      </c>
      <c r="S874" s="2">
        <f t="shared" si="728"/>
        <v>0</v>
      </c>
      <c r="T874" s="2">
        <f t="shared" si="729"/>
        <v>0</v>
      </c>
      <c r="U874" s="2">
        <f t="shared" si="730"/>
        <v>0</v>
      </c>
      <c r="V874" s="2">
        <f t="shared" si="731"/>
        <v>0</v>
      </c>
      <c r="W874" s="2">
        <f t="shared" si="732"/>
        <v>0</v>
      </c>
      <c r="X874" s="2">
        <f t="shared" si="733"/>
        <v>0</v>
      </c>
      <c r="Y874" s="2">
        <f t="shared" si="734"/>
        <v>0</v>
      </c>
      <c r="Z874" s="2"/>
      <c r="AA874" s="2">
        <v>129761636</v>
      </c>
      <c r="AB874" s="2">
        <f t="shared" si="735"/>
        <v>725.89</v>
      </c>
      <c r="AC874" s="2">
        <f t="shared" si="736"/>
        <v>725.89</v>
      </c>
      <c r="AD874" s="2">
        <f t="shared" si="757"/>
        <v>0</v>
      </c>
      <c r="AE874" s="2">
        <f t="shared" si="758"/>
        <v>0</v>
      </c>
      <c r="AF874" s="2">
        <f t="shared" si="759"/>
        <v>0</v>
      </c>
      <c r="AG874" s="2">
        <f t="shared" si="737"/>
        <v>0</v>
      </c>
      <c r="AH874" s="2">
        <f t="shared" si="760"/>
        <v>0</v>
      </c>
      <c r="AI874" s="2">
        <f t="shared" si="761"/>
        <v>0</v>
      </c>
      <c r="AJ874" s="2">
        <f t="shared" si="738"/>
        <v>0</v>
      </c>
      <c r="AK874" s="2">
        <v>725.89</v>
      </c>
      <c r="AL874" s="2">
        <v>725.89</v>
      </c>
      <c r="AM874" s="2">
        <v>0</v>
      </c>
      <c r="AN874" s="2">
        <v>0</v>
      </c>
      <c r="AO874" s="2">
        <v>0</v>
      </c>
      <c r="AP874" s="2">
        <v>0</v>
      </c>
      <c r="AQ874" s="2">
        <v>0</v>
      </c>
      <c r="AR874" s="2">
        <v>0</v>
      </c>
      <c r="AS874" s="2">
        <v>0</v>
      </c>
      <c r="AT874" s="2">
        <v>114</v>
      </c>
      <c r="AU874" s="2">
        <v>67</v>
      </c>
      <c r="AV874" s="2">
        <v>1</v>
      </c>
      <c r="AW874" s="2">
        <v>1</v>
      </c>
      <c r="AX874" s="2"/>
      <c r="AY874" s="2"/>
      <c r="AZ874" s="2">
        <v>1</v>
      </c>
      <c r="BA874" s="2">
        <v>1</v>
      </c>
      <c r="BB874" s="2">
        <v>1</v>
      </c>
      <c r="BC874" s="2">
        <v>1</v>
      </c>
      <c r="BD874" s="2" t="s">
        <v>3</v>
      </c>
      <c r="BE874" s="2" t="s">
        <v>3</v>
      </c>
      <c r="BF874" s="2" t="s">
        <v>3</v>
      </c>
      <c r="BG874" s="2" t="s">
        <v>3</v>
      </c>
      <c r="BH874" s="2">
        <v>3</v>
      </c>
      <c r="BI874" s="2">
        <v>2</v>
      </c>
      <c r="BJ874" s="2" t="s">
        <v>3</v>
      </c>
      <c r="BK874" s="2"/>
      <c r="BL874" s="2"/>
      <c r="BM874" s="2">
        <v>333</v>
      </c>
      <c r="BN874" s="2">
        <v>0</v>
      </c>
      <c r="BO874" s="2" t="s">
        <v>3</v>
      </c>
      <c r="BP874" s="2">
        <v>0</v>
      </c>
      <c r="BQ874" s="2">
        <v>40</v>
      </c>
      <c r="BR874" s="2">
        <v>0</v>
      </c>
      <c r="BS874" s="2">
        <v>1</v>
      </c>
      <c r="BT874" s="2">
        <v>1</v>
      </c>
      <c r="BU874" s="2">
        <v>1</v>
      </c>
      <c r="BV874" s="2">
        <v>1</v>
      </c>
      <c r="BW874" s="2">
        <v>1</v>
      </c>
      <c r="BX874" s="2">
        <v>1</v>
      </c>
      <c r="BY874" s="2" t="s">
        <v>3</v>
      </c>
      <c r="BZ874" s="2">
        <v>114</v>
      </c>
      <c r="CA874" s="2">
        <v>67</v>
      </c>
      <c r="CB874" s="2" t="s">
        <v>3</v>
      </c>
      <c r="CC874" s="2"/>
      <c r="CD874" s="2"/>
      <c r="CE874" s="2">
        <v>30</v>
      </c>
      <c r="CF874" s="2">
        <v>0</v>
      </c>
      <c r="CG874" s="2">
        <v>0</v>
      </c>
      <c r="CH874" s="2"/>
      <c r="CI874" s="2"/>
      <c r="CJ874" s="2"/>
      <c r="CK874" s="2"/>
      <c r="CL874" s="2"/>
      <c r="CM874" s="2">
        <v>0</v>
      </c>
      <c r="CN874" s="2" t="s">
        <v>3</v>
      </c>
      <c r="CO874" s="2">
        <v>0</v>
      </c>
      <c r="CP874" s="2">
        <f t="shared" si="739"/>
        <v>725.89</v>
      </c>
      <c r="CQ874" s="2">
        <f t="shared" si="740"/>
        <v>725.89</v>
      </c>
      <c r="CR874" s="2">
        <f t="shared" si="762"/>
        <v>0</v>
      </c>
      <c r="CS874" s="2">
        <f t="shared" si="741"/>
        <v>0</v>
      </c>
      <c r="CT874" s="2">
        <f t="shared" si="742"/>
        <v>0</v>
      </c>
      <c r="CU874" s="2">
        <f t="shared" si="743"/>
        <v>0</v>
      </c>
      <c r="CV874" s="2">
        <f t="shared" si="744"/>
        <v>0</v>
      </c>
      <c r="CW874" s="2">
        <f t="shared" si="745"/>
        <v>0</v>
      </c>
      <c r="CX874" s="2">
        <f t="shared" si="746"/>
        <v>0</v>
      </c>
      <c r="CY874" s="2">
        <f>((S874*BZ874)/100)</f>
        <v>0</v>
      </c>
      <c r="CZ874" s="2">
        <f>((S874*CA874)/100)</f>
        <v>0</v>
      </c>
      <c r="DA874" s="2"/>
      <c r="DB874" s="2"/>
      <c r="DC874" s="2" t="s">
        <v>3</v>
      </c>
      <c r="DD874" s="2" t="s">
        <v>3</v>
      </c>
      <c r="DE874" s="2" t="s">
        <v>3</v>
      </c>
      <c r="DF874" s="2" t="s">
        <v>3</v>
      </c>
      <c r="DG874" s="2" t="s">
        <v>3</v>
      </c>
      <c r="DH874" s="2" t="s">
        <v>3</v>
      </c>
      <c r="DI874" s="2" t="s">
        <v>3</v>
      </c>
      <c r="DJ874" s="2" t="s">
        <v>3</v>
      </c>
      <c r="DK874" s="2" t="s">
        <v>3</v>
      </c>
      <c r="DL874" s="2" t="s">
        <v>3</v>
      </c>
      <c r="DM874" s="2" t="s">
        <v>3</v>
      </c>
      <c r="DN874" s="2">
        <v>0</v>
      </c>
      <c r="DO874" s="2">
        <v>0</v>
      </c>
      <c r="DP874" s="2">
        <v>1</v>
      </c>
      <c r="DQ874" s="2">
        <v>1</v>
      </c>
      <c r="DR874" s="2"/>
      <c r="DS874" s="2"/>
      <c r="DT874" s="2"/>
      <c r="DU874" s="2">
        <v>1010</v>
      </c>
      <c r="DV874" s="2" t="s">
        <v>250</v>
      </c>
      <c r="DW874" s="2" t="s">
        <v>250</v>
      </c>
      <c r="DX874" s="2">
        <v>1</v>
      </c>
      <c r="DY874" s="2"/>
      <c r="DZ874" s="2" t="s">
        <v>3</v>
      </c>
      <c r="EA874" s="2" t="s">
        <v>3</v>
      </c>
      <c r="EB874" s="2" t="s">
        <v>3</v>
      </c>
      <c r="EC874" s="2" t="s">
        <v>3</v>
      </c>
      <c r="ED874" s="2"/>
      <c r="EE874" s="2">
        <v>126051794</v>
      </c>
      <c r="EF874" s="2">
        <v>40</v>
      </c>
      <c r="EG874" s="2" t="s">
        <v>621</v>
      </c>
      <c r="EH874" s="2">
        <v>0</v>
      </c>
      <c r="EI874" s="2" t="s">
        <v>3</v>
      </c>
      <c r="EJ874" s="2">
        <v>2</v>
      </c>
      <c r="EK874" s="2">
        <v>333</v>
      </c>
      <c r="EL874" s="2" t="s">
        <v>656</v>
      </c>
      <c r="EM874" s="2" t="s">
        <v>657</v>
      </c>
      <c r="EN874" s="2"/>
      <c r="EO874" s="2" t="s">
        <v>3</v>
      </c>
      <c r="EP874" s="2"/>
      <c r="EQ874" s="2">
        <v>0</v>
      </c>
      <c r="ER874" s="2">
        <v>725.89</v>
      </c>
      <c r="ES874" s="2">
        <v>725.89</v>
      </c>
      <c r="ET874" s="2">
        <v>0</v>
      </c>
      <c r="EU874" s="2">
        <v>0</v>
      </c>
      <c r="EV874" s="2">
        <v>0</v>
      </c>
      <c r="EW874" s="2">
        <v>0</v>
      </c>
      <c r="EX874" s="2">
        <v>0</v>
      </c>
      <c r="EY874" s="2"/>
      <c r="EZ874" s="2"/>
      <c r="FA874" s="2"/>
      <c r="FB874" s="2"/>
      <c r="FC874" s="2"/>
      <c r="FD874" s="2"/>
      <c r="FE874" s="2"/>
      <c r="FF874" s="2"/>
      <c r="FG874" s="2"/>
      <c r="FH874" s="2"/>
      <c r="FI874" s="2"/>
      <c r="FJ874" s="2"/>
      <c r="FK874" s="2"/>
      <c r="FL874" s="2"/>
      <c r="FM874" s="2"/>
      <c r="FN874" s="2"/>
      <c r="FO874" s="2"/>
      <c r="FP874" s="2"/>
      <c r="FQ874" s="2">
        <v>0</v>
      </c>
      <c r="FR874" s="2">
        <f t="shared" si="747"/>
        <v>0</v>
      </c>
      <c r="FS874" s="2">
        <v>0</v>
      </c>
      <c r="FT874" s="2"/>
      <c r="FU874" s="2"/>
      <c r="FV874" s="2"/>
      <c r="FW874" s="2"/>
      <c r="FX874" s="2">
        <v>114</v>
      </c>
      <c r="FY874" s="2">
        <v>67</v>
      </c>
      <c r="FZ874" s="2"/>
      <c r="GA874" s="2" t="s">
        <v>3</v>
      </c>
      <c r="GB874" s="2"/>
      <c r="GC874" s="2"/>
      <c r="GD874" s="2">
        <v>0</v>
      </c>
      <c r="GE874" s="2"/>
      <c r="GF874" s="2">
        <v>-707882540</v>
      </c>
      <c r="GG874" s="2">
        <v>2</v>
      </c>
      <c r="GH874" s="2">
        <v>0</v>
      </c>
      <c r="GI874" s="2">
        <v>-2</v>
      </c>
      <c r="GJ874" s="2">
        <v>0</v>
      </c>
      <c r="GK874" s="2">
        <f>ROUND(R874*(R12)/100,2)</f>
        <v>0</v>
      </c>
      <c r="GL874" s="2">
        <f t="shared" si="748"/>
        <v>0</v>
      </c>
      <c r="GM874" s="2">
        <f t="shared" si="749"/>
        <v>725.89</v>
      </c>
      <c r="GN874" s="2">
        <f t="shared" si="750"/>
        <v>0</v>
      </c>
      <c r="GO874" s="2">
        <f t="shared" si="751"/>
        <v>725.89</v>
      </c>
      <c r="GP874" s="2">
        <f t="shared" si="752"/>
        <v>0</v>
      </c>
      <c r="GQ874" s="2"/>
      <c r="GR874" s="2">
        <v>0</v>
      </c>
      <c r="GS874" s="2">
        <v>0</v>
      </c>
      <c r="GT874" s="2">
        <v>0</v>
      </c>
      <c r="GU874" s="2" t="s">
        <v>3</v>
      </c>
      <c r="GV874" s="2">
        <f t="shared" si="753"/>
        <v>0</v>
      </c>
      <c r="GW874" s="2">
        <v>1</v>
      </c>
      <c r="GX874" s="2">
        <f t="shared" si="754"/>
        <v>0</v>
      </c>
      <c r="GY874" s="2"/>
      <c r="GZ874" s="2"/>
      <c r="HA874" s="2">
        <v>0</v>
      </c>
      <c r="HB874" s="2">
        <v>0</v>
      </c>
      <c r="HC874" s="2">
        <f t="shared" si="755"/>
        <v>0</v>
      </c>
      <c r="HD874" s="2"/>
      <c r="HE874" s="2" t="s">
        <v>3</v>
      </c>
      <c r="HF874" s="2" t="s">
        <v>3</v>
      </c>
      <c r="HG874" s="2"/>
      <c r="HH874" s="2"/>
      <c r="HI874" s="2"/>
      <c r="HJ874" s="2"/>
      <c r="HK874" s="2"/>
      <c r="HL874" s="2"/>
      <c r="HM874" s="2" t="s">
        <v>3</v>
      </c>
      <c r="HN874" s="2" t="s">
        <v>3</v>
      </c>
      <c r="HO874" s="2" t="s">
        <v>3</v>
      </c>
      <c r="HP874" s="2" t="s">
        <v>3</v>
      </c>
      <c r="HQ874" s="2" t="s">
        <v>3</v>
      </c>
      <c r="HR874" s="2"/>
      <c r="HS874" s="2"/>
      <c r="HT874" s="2"/>
      <c r="HU874" s="2"/>
      <c r="HV874" s="2"/>
      <c r="HW874" s="2"/>
      <c r="HX874" s="2"/>
      <c r="HY874" s="2"/>
      <c r="HZ874" s="2"/>
      <c r="IA874" s="2"/>
      <c r="IB874" s="2"/>
      <c r="IC874" s="2"/>
      <c r="ID874" s="2"/>
      <c r="IE874" s="2"/>
      <c r="IF874" s="2"/>
      <c r="IG874" s="2"/>
      <c r="IH874" s="2"/>
      <c r="II874" s="2"/>
      <c r="IJ874" s="2"/>
      <c r="IK874" s="2">
        <v>0</v>
      </c>
      <c r="IL874" s="2"/>
      <c r="IM874" s="2"/>
      <c r="IN874" s="2"/>
      <c r="IO874" s="2"/>
      <c r="IP874" s="2"/>
      <c r="IQ874" s="2"/>
      <c r="IR874" s="2"/>
      <c r="IS874" s="2"/>
      <c r="IT874" s="2"/>
      <c r="IU874" s="2"/>
    </row>
    <row r="875" spans="1:255" x14ac:dyDescent="0.2">
      <c r="A875">
        <v>18</v>
      </c>
      <c r="B875">
        <v>1</v>
      </c>
      <c r="C875">
        <v>737</v>
      </c>
      <c r="E875" t="s">
        <v>753</v>
      </c>
      <c r="F875" t="s">
        <v>248</v>
      </c>
      <c r="G875" t="s">
        <v>754</v>
      </c>
      <c r="H875" t="s">
        <v>250</v>
      </c>
      <c r="I875">
        <f>I871*J875</f>
        <v>1</v>
      </c>
      <c r="J875">
        <v>20</v>
      </c>
      <c r="K875">
        <v>20</v>
      </c>
      <c r="O875">
        <f t="shared" si="725"/>
        <v>6806.77</v>
      </c>
      <c r="P875">
        <f t="shared" si="726"/>
        <v>6806.77</v>
      </c>
      <c r="Q875">
        <f t="shared" si="756"/>
        <v>0</v>
      </c>
      <c r="R875">
        <f t="shared" si="727"/>
        <v>0</v>
      </c>
      <c r="S875">
        <f t="shared" si="728"/>
        <v>0</v>
      </c>
      <c r="T875">
        <f t="shared" si="729"/>
        <v>0</v>
      </c>
      <c r="U875">
        <f t="shared" si="730"/>
        <v>0</v>
      </c>
      <c r="V875">
        <f t="shared" si="731"/>
        <v>0</v>
      </c>
      <c r="W875">
        <f t="shared" si="732"/>
        <v>0</v>
      </c>
      <c r="X875">
        <f t="shared" si="733"/>
        <v>0</v>
      </c>
      <c r="Y875">
        <f t="shared" si="734"/>
        <v>0</v>
      </c>
      <c r="AA875">
        <v>129761633</v>
      </c>
      <c r="AB875">
        <f t="shared" si="735"/>
        <v>786.91</v>
      </c>
      <c r="AC875">
        <f t="shared" si="736"/>
        <v>786.91</v>
      </c>
      <c r="AD875">
        <f t="shared" si="757"/>
        <v>0</v>
      </c>
      <c r="AE875">
        <f t="shared" si="758"/>
        <v>0</v>
      </c>
      <c r="AF875">
        <f t="shared" si="759"/>
        <v>0</v>
      </c>
      <c r="AG875">
        <f t="shared" si="737"/>
        <v>0</v>
      </c>
      <c r="AH875">
        <f t="shared" si="760"/>
        <v>0</v>
      </c>
      <c r="AI875">
        <f t="shared" si="761"/>
        <v>0</v>
      </c>
      <c r="AJ875">
        <f t="shared" si="738"/>
        <v>0</v>
      </c>
      <c r="AK875">
        <v>786.91</v>
      </c>
      <c r="AL875">
        <v>786.91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1</v>
      </c>
      <c r="AW875">
        <v>1</v>
      </c>
      <c r="AZ875">
        <v>1</v>
      </c>
      <c r="BA875">
        <v>1</v>
      </c>
      <c r="BB875">
        <v>1</v>
      </c>
      <c r="BC875">
        <v>8.65</v>
      </c>
      <c r="BD875" t="s">
        <v>3</v>
      </c>
      <c r="BE875" t="s">
        <v>3</v>
      </c>
      <c r="BF875" t="s">
        <v>3</v>
      </c>
      <c r="BG875" t="s">
        <v>3</v>
      </c>
      <c r="BH875">
        <v>3</v>
      </c>
      <c r="BI875">
        <v>2</v>
      </c>
      <c r="BJ875" t="s">
        <v>3</v>
      </c>
      <c r="BM875">
        <v>333</v>
      </c>
      <c r="BN875">
        <v>0</v>
      </c>
      <c r="BO875" t="s">
        <v>3</v>
      </c>
      <c r="BP875">
        <v>0</v>
      </c>
      <c r="BQ875">
        <v>40</v>
      </c>
      <c r="BR875">
        <v>0</v>
      </c>
      <c r="BS875">
        <v>1</v>
      </c>
      <c r="BT875">
        <v>1</v>
      </c>
      <c r="BU875">
        <v>1</v>
      </c>
      <c r="BV875">
        <v>1</v>
      </c>
      <c r="BW875">
        <v>1</v>
      </c>
      <c r="BX875">
        <v>1</v>
      </c>
      <c r="BY875" t="s">
        <v>3</v>
      </c>
      <c r="BZ875">
        <v>0</v>
      </c>
      <c r="CA875">
        <v>0</v>
      </c>
      <c r="CB875" t="s">
        <v>3</v>
      </c>
      <c r="CE875">
        <v>30</v>
      </c>
      <c r="CF875">
        <v>0</v>
      </c>
      <c r="CG875">
        <v>0</v>
      </c>
      <c r="CM875">
        <v>0</v>
      </c>
      <c r="CN875" t="s">
        <v>3</v>
      </c>
      <c r="CO875">
        <v>0</v>
      </c>
      <c r="CP875">
        <f t="shared" si="739"/>
        <v>6806.77</v>
      </c>
      <c r="CQ875">
        <f t="shared" si="740"/>
        <v>6806.77</v>
      </c>
      <c r="CR875">
        <f t="shared" si="762"/>
        <v>0</v>
      </c>
      <c r="CS875">
        <f t="shared" si="741"/>
        <v>0</v>
      </c>
      <c r="CT875">
        <f t="shared" si="742"/>
        <v>0</v>
      </c>
      <c r="CU875">
        <f t="shared" si="743"/>
        <v>0</v>
      </c>
      <c r="CV875">
        <f t="shared" si="744"/>
        <v>0</v>
      </c>
      <c r="CW875">
        <f t="shared" si="745"/>
        <v>0</v>
      </c>
      <c r="CX875">
        <f t="shared" si="746"/>
        <v>0</v>
      </c>
      <c r="CY875">
        <f>S875*(BZ875/100)</f>
        <v>0</v>
      </c>
      <c r="CZ875">
        <f>S875*(CA875/100)</f>
        <v>0</v>
      </c>
      <c r="DC875" t="s">
        <v>3</v>
      </c>
      <c r="DD875" t="s">
        <v>3</v>
      </c>
      <c r="DE875" t="s">
        <v>3</v>
      </c>
      <c r="DF875" t="s">
        <v>3</v>
      </c>
      <c r="DG875" t="s">
        <v>3</v>
      </c>
      <c r="DH875" t="s">
        <v>3</v>
      </c>
      <c r="DI875" t="s">
        <v>3</v>
      </c>
      <c r="DJ875" t="s">
        <v>3</v>
      </c>
      <c r="DK875" t="s">
        <v>3</v>
      </c>
      <c r="DL875" t="s">
        <v>3</v>
      </c>
      <c r="DM875" t="s">
        <v>3</v>
      </c>
      <c r="DN875">
        <v>114</v>
      </c>
      <c r="DO875">
        <v>67</v>
      </c>
      <c r="DP875">
        <v>1</v>
      </c>
      <c r="DQ875">
        <v>1</v>
      </c>
      <c r="DU875">
        <v>1010</v>
      </c>
      <c r="DV875" t="s">
        <v>250</v>
      </c>
      <c r="DW875" t="s">
        <v>250</v>
      </c>
      <c r="DX875">
        <v>1</v>
      </c>
      <c r="DZ875" t="s">
        <v>3</v>
      </c>
      <c r="EA875" t="s">
        <v>3</v>
      </c>
      <c r="EB875" t="s">
        <v>3</v>
      </c>
      <c r="EC875" t="s">
        <v>3</v>
      </c>
      <c r="EE875">
        <v>126051794</v>
      </c>
      <c r="EF875">
        <v>40</v>
      </c>
      <c r="EG875" t="s">
        <v>621</v>
      </c>
      <c r="EH875">
        <v>0</v>
      </c>
      <c r="EI875" t="s">
        <v>3</v>
      </c>
      <c r="EJ875">
        <v>2</v>
      </c>
      <c r="EK875">
        <v>333</v>
      </c>
      <c r="EL875" t="s">
        <v>656</v>
      </c>
      <c r="EM875" t="s">
        <v>657</v>
      </c>
      <c r="EO875" t="s">
        <v>3</v>
      </c>
      <c r="EQ875">
        <v>0</v>
      </c>
      <c r="ER875">
        <v>786.91</v>
      </c>
      <c r="ES875">
        <v>786.91</v>
      </c>
      <c r="ET875">
        <v>0</v>
      </c>
      <c r="EU875">
        <v>0</v>
      </c>
      <c r="EV875">
        <v>0</v>
      </c>
      <c r="EW875">
        <v>0</v>
      </c>
      <c r="EX875">
        <v>0</v>
      </c>
      <c r="EZ875">
        <v>5</v>
      </c>
      <c r="FC875">
        <v>1</v>
      </c>
      <c r="FD875">
        <v>18</v>
      </c>
      <c r="FF875">
        <v>8008</v>
      </c>
      <c r="FQ875">
        <v>0</v>
      </c>
      <c r="FR875">
        <f t="shared" si="747"/>
        <v>0</v>
      </c>
      <c r="FS875">
        <v>0</v>
      </c>
      <c r="FX875">
        <v>114</v>
      </c>
      <c r="FY875">
        <v>67</v>
      </c>
      <c r="GA875" t="s">
        <v>755</v>
      </c>
      <c r="GD875">
        <v>0</v>
      </c>
      <c r="GF875">
        <v>-707882540</v>
      </c>
      <c r="GG875">
        <v>2</v>
      </c>
      <c r="GH875">
        <v>3</v>
      </c>
      <c r="GI875">
        <v>5</v>
      </c>
      <c r="GJ875">
        <v>0</v>
      </c>
      <c r="GK875">
        <f>ROUND(R875*(S12)/100,2)</f>
        <v>0</v>
      </c>
      <c r="GL875">
        <f t="shared" si="748"/>
        <v>0</v>
      </c>
      <c r="GM875">
        <f t="shared" si="749"/>
        <v>6806.77</v>
      </c>
      <c r="GN875">
        <f t="shared" si="750"/>
        <v>0</v>
      </c>
      <c r="GO875">
        <f t="shared" si="751"/>
        <v>6806.77</v>
      </c>
      <c r="GP875">
        <f t="shared" si="752"/>
        <v>0</v>
      </c>
      <c r="GR875">
        <v>1</v>
      </c>
      <c r="GS875">
        <v>1</v>
      </c>
      <c r="GT875">
        <v>0</v>
      </c>
      <c r="GU875" t="s">
        <v>3</v>
      </c>
      <c r="GV875">
        <f t="shared" si="753"/>
        <v>0</v>
      </c>
      <c r="GW875">
        <v>1</v>
      </c>
      <c r="GX875">
        <f t="shared" si="754"/>
        <v>0</v>
      </c>
      <c r="HA875">
        <v>0</v>
      </c>
      <c r="HB875">
        <v>0</v>
      </c>
      <c r="HC875">
        <f t="shared" si="755"/>
        <v>0</v>
      </c>
      <c r="HE875" t="s">
        <v>81</v>
      </c>
      <c r="HF875" t="s">
        <v>252</v>
      </c>
      <c r="HM875" t="s">
        <v>3</v>
      </c>
      <c r="HN875" t="s">
        <v>3</v>
      </c>
      <c r="HO875" t="s">
        <v>3</v>
      </c>
      <c r="HP875" t="s">
        <v>3</v>
      </c>
      <c r="HQ875" t="s">
        <v>3</v>
      </c>
      <c r="IK875">
        <v>0</v>
      </c>
    </row>
    <row r="876" spans="1:255" x14ac:dyDescent="0.2">
      <c r="A876" s="2">
        <v>18</v>
      </c>
      <c r="B876" s="2">
        <v>1</v>
      </c>
      <c r="C876" s="2">
        <v>734</v>
      </c>
      <c r="D876" s="2"/>
      <c r="E876" s="2" t="s">
        <v>756</v>
      </c>
      <c r="F876" s="2" t="s">
        <v>248</v>
      </c>
      <c r="G876" s="2" t="s">
        <v>757</v>
      </c>
      <c r="H876" s="2" t="s">
        <v>250</v>
      </c>
      <c r="I876" s="2">
        <f>I870*J876</f>
        <v>1</v>
      </c>
      <c r="J876" s="2">
        <v>20</v>
      </c>
      <c r="K876" s="2">
        <v>20</v>
      </c>
      <c r="L876" s="2"/>
      <c r="M876" s="2"/>
      <c r="N876" s="2"/>
      <c r="O876" s="2">
        <f t="shared" si="725"/>
        <v>1345.77</v>
      </c>
      <c r="P876" s="2">
        <f t="shared" si="726"/>
        <v>1345.77</v>
      </c>
      <c r="Q876" s="2">
        <f t="shared" si="756"/>
        <v>0</v>
      </c>
      <c r="R876" s="2">
        <f t="shared" si="727"/>
        <v>0</v>
      </c>
      <c r="S876" s="2">
        <f t="shared" si="728"/>
        <v>0</v>
      </c>
      <c r="T876" s="2">
        <f t="shared" si="729"/>
        <v>0</v>
      </c>
      <c r="U876" s="2">
        <f t="shared" si="730"/>
        <v>0</v>
      </c>
      <c r="V876" s="2">
        <f t="shared" si="731"/>
        <v>0</v>
      </c>
      <c r="W876" s="2">
        <f t="shared" si="732"/>
        <v>0</v>
      </c>
      <c r="X876" s="2">
        <f t="shared" si="733"/>
        <v>0</v>
      </c>
      <c r="Y876" s="2">
        <f t="shared" si="734"/>
        <v>0</v>
      </c>
      <c r="Z876" s="2"/>
      <c r="AA876" s="2">
        <v>129761636</v>
      </c>
      <c r="AB876" s="2">
        <f t="shared" si="735"/>
        <v>1345.77</v>
      </c>
      <c r="AC876" s="2">
        <f t="shared" si="736"/>
        <v>1345.77</v>
      </c>
      <c r="AD876" s="2">
        <f t="shared" si="757"/>
        <v>0</v>
      </c>
      <c r="AE876" s="2">
        <f t="shared" si="758"/>
        <v>0</v>
      </c>
      <c r="AF876" s="2">
        <f t="shared" si="759"/>
        <v>0</v>
      </c>
      <c r="AG876" s="2">
        <f t="shared" si="737"/>
        <v>0</v>
      </c>
      <c r="AH876" s="2">
        <f t="shared" si="760"/>
        <v>0</v>
      </c>
      <c r="AI876" s="2">
        <f t="shared" si="761"/>
        <v>0</v>
      </c>
      <c r="AJ876" s="2">
        <f t="shared" si="738"/>
        <v>0</v>
      </c>
      <c r="AK876" s="2">
        <v>1345.7700000000002</v>
      </c>
      <c r="AL876" s="2">
        <v>1345.7700000000002</v>
      </c>
      <c r="AM876" s="2">
        <v>0</v>
      </c>
      <c r="AN876" s="2">
        <v>0</v>
      </c>
      <c r="AO876" s="2">
        <v>0</v>
      </c>
      <c r="AP876" s="2">
        <v>0</v>
      </c>
      <c r="AQ876" s="2">
        <v>0</v>
      </c>
      <c r="AR876" s="2">
        <v>0</v>
      </c>
      <c r="AS876" s="2">
        <v>0</v>
      </c>
      <c r="AT876" s="2">
        <v>114</v>
      </c>
      <c r="AU876" s="2">
        <v>67</v>
      </c>
      <c r="AV876" s="2">
        <v>1</v>
      </c>
      <c r="AW876" s="2">
        <v>1</v>
      </c>
      <c r="AX876" s="2"/>
      <c r="AY876" s="2"/>
      <c r="AZ876" s="2">
        <v>1</v>
      </c>
      <c r="BA876" s="2">
        <v>1</v>
      </c>
      <c r="BB876" s="2">
        <v>1</v>
      </c>
      <c r="BC876" s="2">
        <v>1</v>
      </c>
      <c r="BD876" s="2" t="s">
        <v>3</v>
      </c>
      <c r="BE876" s="2" t="s">
        <v>3</v>
      </c>
      <c r="BF876" s="2" t="s">
        <v>3</v>
      </c>
      <c r="BG876" s="2" t="s">
        <v>3</v>
      </c>
      <c r="BH876" s="2">
        <v>3</v>
      </c>
      <c r="BI876" s="2">
        <v>2</v>
      </c>
      <c r="BJ876" s="2" t="s">
        <v>3</v>
      </c>
      <c r="BK876" s="2"/>
      <c r="BL876" s="2"/>
      <c r="BM876" s="2">
        <v>333</v>
      </c>
      <c r="BN876" s="2">
        <v>0</v>
      </c>
      <c r="BO876" s="2" t="s">
        <v>3</v>
      </c>
      <c r="BP876" s="2">
        <v>0</v>
      </c>
      <c r="BQ876" s="2">
        <v>40</v>
      </c>
      <c r="BR876" s="2">
        <v>0</v>
      </c>
      <c r="BS876" s="2">
        <v>1</v>
      </c>
      <c r="BT876" s="2">
        <v>1</v>
      </c>
      <c r="BU876" s="2">
        <v>1</v>
      </c>
      <c r="BV876" s="2">
        <v>1</v>
      </c>
      <c r="BW876" s="2">
        <v>1</v>
      </c>
      <c r="BX876" s="2">
        <v>1</v>
      </c>
      <c r="BY876" s="2" t="s">
        <v>3</v>
      </c>
      <c r="BZ876" s="2">
        <v>114</v>
      </c>
      <c r="CA876" s="2">
        <v>67</v>
      </c>
      <c r="CB876" s="2" t="s">
        <v>3</v>
      </c>
      <c r="CC876" s="2"/>
      <c r="CD876" s="2"/>
      <c r="CE876" s="2">
        <v>30</v>
      </c>
      <c r="CF876" s="2">
        <v>0</v>
      </c>
      <c r="CG876" s="2">
        <v>0</v>
      </c>
      <c r="CH876" s="2"/>
      <c r="CI876" s="2"/>
      <c r="CJ876" s="2"/>
      <c r="CK876" s="2"/>
      <c r="CL876" s="2"/>
      <c r="CM876" s="2">
        <v>0</v>
      </c>
      <c r="CN876" s="2" t="s">
        <v>3</v>
      </c>
      <c r="CO876" s="2">
        <v>0</v>
      </c>
      <c r="CP876" s="2">
        <f t="shared" si="739"/>
        <v>1345.77</v>
      </c>
      <c r="CQ876" s="2">
        <f t="shared" si="740"/>
        <v>1345.77</v>
      </c>
      <c r="CR876" s="2">
        <f t="shared" si="762"/>
        <v>0</v>
      </c>
      <c r="CS876" s="2">
        <f t="shared" si="741"/>
        <v>0</v>
      </c>
      <c r="CT876" s="2">
        <f t="shared" si="742"/>
        <v>0</v>
      </c>
      <c r="CU876" s="2">
        <f t="shared" si="743"/>
        <v>0</v>
      </c>
      <c r="CV876" s="2">
        <f t="shared" si="744"/>
        <v>0</v>
      </c>
      <c r="CW876" s="2">
        <f t="shared" si="745"/>
        <v>0</v>
      </c>
      <c r="CX876" s="2">
        <f t="shared" si="746"/>
        <v>0</v>
      </c>
      <c r="CY876" s="2">
        <f>((S876*BZ876)/100)</f>
        <v>0</v>
      </c>
      <c r="CZ876" s="2">
        <f>((S876*CA876)/100)</f>
        <v>0</v>
      </c>
      <c r="DA876" s="2"/>
      <c r="DB876" s="2"/>
      <c r="DC876" s="2" t="s">
        <v>3</v>
      </c>
      <c r="DD876" s="2" t="s">
        <v>3</v>
      </c>
      <c r="DE876" s="2" t="s">
        <v>3</v>
      </c>
      <c r="DF876" s="2" t="s">
        <v>3</v>
      </c>
      <c r="DG876" s="2" t="s">
        <v>3</v>
      </c>
      <c r="DH876" s="2" t="s">
        <v>3</v>
      </c>
      <c r="DI876" s="2" t="s">
        <v>3</v>
      </c>
      <c r="DJ876" s="2" t="s">
        <v>3</v>
      </c>
      <c r="DK876" s="2" t="s">
        <v>3</v>
      </c>
      <c r="DL876" s="2" t="s">
        <v>3</v>
      </c>
      <c r="DM876" s="2" t="s">
        <v>3</v>
      </c>
      <c r="DN876" s="2">
        <v>0</v>
      </c>
      <c r="DO876" s="2">
        <v>0</v>
      </c>
      <c r="DP876" s="2">
        <v>1</v>
      </c>
      <c r="DQ876" s="2">
        <v>1</v>
      </c>
      <c r="DR876" s="2"/>
      <c r="DS876" s="2"/>
      <c r="DT876" s="2"/>
      <c r="DU876" s="2">
        <v>1010</v>
      </c>
      <c r="DV876" s="2" t="s">
        <v>250</v>
      </c>
      <c r="DW876" s="2" t="s">
        <v>250</v>
      </c>
      <c r="DX876" s="2">
        <v>1</v>
      </c>
      <c r="DY876" s="2"/>
      <c r="DZ876" s="2" t="s">
        <v>3</v>
      </c>
      <c r="EA876" s="2" t="s">
        <v>3</v>
      </c>
      <c r="EB876" s="2" t="s">
        <v>3</v>
      </c>
      <c r="EC876" s="2" t="s">
        <v>3</v>
      </c>
      <c r="ED876" s="2"/>
      <c r="EE876" s="2">
        <v>126051794</v>
      </c>
      <c r="EF876" s="2">
        <v>40</v>
      </c>
      <c r="EG876" s="2" t="s">
        <v>621</v>
      </c>
      <c r="EH876" s="2">
        <v>0</v>
      </c>
      <c r="EI876" s="2" t="s">
        <v>3</v>
      </c>
      <c r="EJ876" s="2">
        <v>2</v>
      </c>
      <c r="EK876" s="2">
        <v>333</v>
      </c>
      <c r="EL876" s="2" t="s">
        <v>656</v>
      </c>
      <c r="EM876" s="2" t="s">
        <v>657</v>
      </c>
      <c r="EN876" s="2"/>
      <c r="EO876" s="2" t="s">
        <v>3</v>
      </c>
      <c r="EP876" s="2"/>
      <c r="EQ876" s="2">
        <v>0</v>
      </c>
      <c r="ER876" s="2">
        <v>1345.7700000000002</v>
      </c>
      <c r="ES876" s="2">
        <v>1345.7700000000002</v>
      </c>
      <c r="ET876" s="2">
        <v>0</v>
      </c>
      <c r="EU876" s="2">
        <v>0</v>
      </c>
      <c r="EV876" s="2">
        <v>0</v>
      </c>
      <c r="EW876" s="2">
        <v>0</v>
      </c>
      <c r="EX876" s="2">
        <v>0</v>
      </c>
      <c r="EY876" s="2"/>
      <c r="EZ876" s="2"/>
      <c r="FA876" s="2"/>
      <c r="FB876" s="2"/>
      <c r="FC876" s="2"/>
      <c r="FD876" s="2"/>
      <c r="FE876" s="2"/>
      <c r="FF876" s="2"/>
      <c r="FG876" s="2"/>
      <c r="FH876" s="2"/>
      <c r="FI876" s="2"/>
      <c r="FJ876" s="2"/>
      <c r="FK876" s="2"/>
      <c r="FL876" s="2"/>
      <c r="FM876" s="2"/>
      <c r="FN876" s="2"/>
      <c r="FO876" s="2"/>
      <c r="FP876" s="2"/>
      <c r="FQ876" s="2">
        <v>0</v>
      </c>
      <c r="FR876" s="2">
        <f t="shared" si="747"/>
        <v>0</v>
      </c>
      <c r="FS876" s="2">
        <v>0</v>
      </c>
      <c r="FT876" s="2"/>
      <c r="FU876" s="2"/>
      <c r="FV876" s="2"/>
      <c r="FW876" s="2"/>
      <c r="FX876" s="2">
        <v>114</v>
      </c>
      <c r="FY876" s="2">
        <v>67</v>
      </c>
      <c r="FZ876" s="2"/>
      <c r="GA876" s="2" t="s">
        <v>3</v>
      </c>
      <c r="GB876" s="2"/>
      <c r="GC876" s="2"/>
      <c r="GD876" s="2">
        <v>0</v>
      </c>
      <c r="GE876" s="2"/>
      <c r="GF876" s="2">
        <v>-824144964</v>
      </c>
      <c r="GG876" s="2">
        <v>2</v>
      </c>
      <c r="GH876" s="2">
        <v>0</v>
      </c>
      <c r="GI876" s="2">
        <v>-2</v>
      </c>
      <c r="GJ876" s="2">
        <v>0</v>
      </c>
      <c r="GK876" s="2">
        <f>ROUND(R876*(R12)/100,2)</f>
        <v>0</v>
      </c>
      <c r="GL876" s="2">
        <f t="shared" si="748"/>
        <v>0</v>
      </c>
      <c r="GM876" s="2">
        <f t="shared" si="749"/>
        <v>1345.77</v>
      </c>
      <c r="GN876" s="2">
        <f t="shared" si="750"/>
        <v>0</v>
      </c>
      <c r="GO876" s="2">
        <f t="shared" si="751"/>
        <v>1345.77</v>
      </c>
      <c r="GP876" s="2">
        <f t="shared" si="752"/>
        <v>0</v>
      </c>
      <c r="GQ876" s="2"/>
      <c r="GR876" s="2">
        <v>0</v>
      </c>
      <c r="GS876" s="2">
        <v>0</v>
      </c>
      <c r="GT876" s="2">
        <v>0</v>
      </c>
      <c r="GU876" s="2" t="s">
        <v>3</v>
      </c>
      <c r="GV876" s="2">
        <f t="shared" si="753"/>
        <v>0</v>
      </c>
      <c r="GW876" s="2">
        <v>1</v>
      </c>
      <c r="GX876" s="2">
        <f t="shared" si="754"/>
        <v>0</v>
      </c>
      <c r="GY876" s="2"/>
      <c r="GZ876" s="2"/>
      <c r="HA876" s="2">
        <v>0</v>
      </c>
      <c r="HB876" s="2">
        <v>0</v>
      </c>
      <c r="HC876" s="2">
        <f t="shared" si="755"/>
        <v>0</v>
      </c>
      <c r="HD876" s="2"/>
      <c r="HE876" s="2" t="s">
        <v>3</v>
      </c>
      <c r="HF876" s="2" t="s">
        <v>3</v>
      </c>
      <c r="HG876" s="2"/>
      <c r="HH876" s="2"/>
      <c r="HI876" s="2"/>
      <c r="HJ876" s="2"/>
      <c r="HK876" s="2"/>
      <c r="HL876" s="2"/>
      <c r="HM876" s="2" t="s">
        <v>3</v>
      </c>
      <c r="HN876" s="2" t="s">
        <v>3</v>
      </c>
      <c r="HO876" s="2" t="s">
        <v>3</v>
      </c>
      <c r="HP876" s="2" t="s">
        <v>3</v>
      </c>
      <c r="HQ876" s="2" t="s">
        <v>3</v>
      </c>
      <c r="HR876" s="2"/>
      <c r="HS876" s="2"/>
      <c r="HT876" s="2"/>
      <c r="HU876" s="2"/>
      <c r="HV876" s="2"/>
      <c r="HW876" s="2"/>
      <c r="HX876" s="2"/>
      <c r="HY876" s="2"/>
      <c r="HZ876" s="2"/>
      <c r="IA876" s="2"/>
      <c r="IB876" s="2"/>
      <c r="IC876" s="2"/>
      <c r="ID876" s="2"/>
      <c r="IE876" s="2"/>
      <c r="IF876" s="2"/>
      <c r="IG876" s="2"/>
      <c r="IH876" s="2"/>
      <c r="II876" s="2"/>
      <c r="IJ876" s="2"/>
      <c r="IK876" s="2">
        <v>0</v>
      </c>
      <c r="IL876" s="2"/>
      <c r="IM876" s="2"/>
      <c r="IN876" s="2"/>
      <c r="IO876" s="2"/>
      <c r="IP876" s="2"/>
      <c r="IQ876" s="2"/>
      <c r="IR876" s="2"/>
      <c r="IS876" s="2"/>
      <c r="IT876" s="2"/>
      <c r="IU876" s="2"/>
    </row>
    <row r="877" spans="1:255" x14ac:dyDescent="0.2">
      <c r="A877">
        <v>18</v>
      </c>
      <c r="B877">
        <v>1</v>
      </c>
      <c r="C877">
        <v>738</v>
      </c>
      <c r="E877" t="s">
        <v>756</v>
      </c>
      <c r="F877" t="s">
        <v>248</v>
      </c>
      <c r="G877" t="s">
        <v>757</v>
      </c>
      <c r="H877" t="s">
        <v>250</v>
      </c>
      <c r="I877">
        <f>I871*J877</f>
        <v>1</v>
      </c>
      <c r="J877">
        <v>20</v>
      </c>
      <c r="K877">
        <v>20</v>
      </c>
      <c r="O877">
        <f t="shared" si="725"/>
        <v>9968.8700000000008</v>
      </c>
      <c r="P877">
        <f t="shared" si="726"/>
        <v>9968.8700000000008</v>
      </c>
      <c r="Q877">
        <f t="shared" si="756"/>
        <v>0</v>
      </c>
      <c r="R877">
        <f t="shared" si="727"/>
        <v>0</v>
      </c>
      <c r="S877">
        <f t="shared" si="728"/>
        <v>0</v>
      </c>
      <c r="T877">
        <f t="shared" si="729"/>
        <v>0</v>
      </c>
      <c r="U877">
        <f t="shared" si="730"/>
        <v>0</v>
      </c>
      <c r="V877">
        <f t="shared" si="731"/>
        <v>0</v>
      </c>
      <c r="W877">
        <f t="shared" si="732"/>
        <v>0</v>
      </c>
      <c r="X877">
        <f t="shared" si="733"/>
        <v>0</v>
      </c>
      <c r="Y877">
        <f t="shared" si="734"/>
        <v>0</v>
      </c>
      <c r="AA877">
        <v>129761633</v>
      </c>
      <c r="AB877">
        <f t="shared" si="735"/>
        <v>1152.47</v>
      </c>
      <c r="AC877">
        <f t="shared" si="736"/>
        <v>1152.47</v>
      </c>
      <c r="AD877">
        <f t="shared" si="757"/>
        <v>0</v>
      </c>
      <c r="AE877">
        <f t="shared" si="758"/>
        <v>0</v>
      </c>
      <c r="AF877">
        <f t="shared" si="759"/>
        <v>0</v>
      </c>
      <c r="AG877">
        <f t="shared" si="737"/>
        <v>0</v>
      </c>
      <c r="AH877">
        <f t="shared" si="760"/>
        <v>0</v>
      </c>
      <c r="AI877">
        <f t="shared" si="761"/>
        <v>0</v>
      </c>
      <c r="AJ877">
        <f t="shared" si="738"/>
        <v>0</v>
      </c>
      <c r="AK877">
        <v>1152.4699999999998</v>
      </c>
      <c r="AL877">
        <v>1152.4699999999998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0</v>
      </c>
      <c r="AU877">
        <v>0</v>
      </c>
      <c r="AV877">
        <v>1</v>
      </c>
      <c r="AW877">
        <v>1</v>
      </c>
      <c r="AZ877">
        <v>1</v>
      </c>
      <c r="BA877">
        <v>1</v>
      </c>
      <c r="BB877">
        <v>1</v>
      </c>
      <c r="BC877">
        <v>8.65</v>
      </c>
      <c r="BD877" t="s">
        <v>3</v>
      </c>
      <c r="BE877" t="s">
        <v>3</v>
      </c>
      <c r="BF877" t="s">
        <v>3</v>
      </c>
      <c r="BG877" t="s">
        <v>3</v>
      </c>
      <c r="BH877">
        <v>3</v>
      </c>
      <c r="BI877">
        <v>2</v>
      </c>
      <c r="BJ877" t="s">
        <v>3</v>
      </c>
      <c r="BM877">
        <v>333</v>
      </c>
      <c r="BN877">
        <v>0</v>
      </c>
      <c r="BO877" t="s">
        <v>3</v>
      </c>
      <c r="BP877">
        <v>0</v>
      </c>
      <c r="BQ877">
        <v>40</v>
      </c>
      <c r="BR877">
        <v>0</v>
      </c>
      <c r="BS877">
        <v>1</v>
      </c>
      <c r="BT877">
        <v>1</v>
      </c>
      <c r="BU877">
        <v>1</v>
      </c>
      <c r="BV877">
        <v>1</v>
      </c>
      <c r="BW877">
        <v>1</v>
      </c>
      <c r="BX877">
        <v>1</v>
      </c>
      <c r="BY877" t="s">
        <v>3</v>
      </c>
      <c r="BZ877">
        <v>0</v>
      </c>
      <c r="CA877">
        <v>0</v>
      </c>
      <c r="CB877" t="s">
        <v>3</v>
      </c>
      <c r="CE877">
        <v>30</v>
      </c>
      <c r="CF877">
        <v>0</v>
      </c>
      <c r="CG877">
        <v>0</v>
      </c>
      <c r="CM877">
        <v>0</v>
      </c>
      <c r="CN877" t="s">
        <v>3</v>
      </c>
      <c r="CO877">
        <v>0</v>
      </c>
      <c r="CP877">
        <f t="shared" si="739"/>
        <v>9968.8700000000008</v>
      </c>
      <c r="CQ877">
        <f t="shared" si="740"/>
        <v>9968.8700000000008</v>
      </c>
      <c r="CR877">
        <f t="shared" si="762"/>
        <v>0</v>
      </c>
      <c r="CS877">
        <f t="shared" si="741"/>
        <v>0</v>
      </c>
      <c r="CT877">
        <f t="shared" si="742"/>
        <v>0</v>
      </c>
      <c r="CU877">
        <f t="shared" si="743"/>
        <v>0</v>
      </c>
      <c r="CV877">
        <f t="shared" si="744"/>
        <v>0</v>
      </c>
      <c r="CW877">
        <f t="shared" si="745"/>
        <v>0</v>
      </c>
      <c r="CX877">
        <f t="shared" si="746"/>
        <v>0</v>
      </c>
      <c r="CY877">
        <f>S877*(BZ877/100)</f>
        <v>0</v>
      </c>
      <c r="CZ877">
        <f>S877*(CA877/100)</f>
        <v>0</v>
      </c>
      <c r="DC877" t="s">
        <v>3</v>
      </c>
      <c r="DD877" t="s">
        <v>3</v>
      </c>
      <c r="DE877" t="s">
        <v>3</v>
      </c>
      <c r="DF877" t="s">
        <v>3</v>
      </c>
      <c r="DG877" t="s">
        <v>3</v>
      </c>
      <c r="DH877" t="s">
        <v>3</v>
      </c>
      <c r="DI877" t="s">
        <v>3</v>
      </c>
      <c r="DJ877" t="s">
        <v>3</v>
      </c>
      <c r="DK877" t="s">
        <v>3</v>
      </c>
      <c r="DL877" t="s">
        <v>3</v>
      </c>
      <c r="DM877" t="s">
        <v>3</v>
      </c>
      <c r="DN877">
        <v>114</v>
      </c>
      <c r="DO877">
        <v>67</v>
      </c>
      <c r="DP877">
        <v>1</v>
      </c>
      <c r="DQ877">
        <v>1</v>
      </c>
      <c r="DU877">
        <v>1010</v>
      </c>
      <c r="DV877" t="s">
        <v>250</v>
      </c>
      <c r="DW877" t="s">
        <v>250</v>
      </c>
      <c r="DX877">
        <v>1</v>
      </c>
      <c r="DZ877" t="s">
        <v>3</v>
      </c>
      <c r="EA877" t="s">
        <v>3</v>
      </c>
      <c r="EB877" t="s">
        <v>3</v>
      </c>
      <c r="EC877" t="s">
        <v>3</v>
      </c>
      <c r="EE877">
        <v>126051794</v>
      </c>
      <c r="EF877">
        <v>40</v>
      </c>
      <c r="EG877" t="s">
        <v>621</v>
      </c>
      <c r="EH877">
        <v>0</v>
      </c>
      <c r="EI877" t="s">
        <v>3</v>
      </c>
      <c r="EJ877">
        <v>2</v>
      </c>
      <c r="EK877">
        <v>333</v>
      </c>
      <c r="EL877" t="s">
        <v>656</v>
      </c>
      <c r="EM877" t="s">
        <v>657</v>
      </c>
      <c r="EO877" t="s">
        <v>3</v>
      </c>
      <c r="EQ877">
        <v>0</v>
      </c>
      <c r="ER877">
        <v>1152.4699999999998</v>
      </c>
      <c r="ES877">
        <v>1152.4699999999998</v>
      </c>
      <c r="ET877">
        <v>0</v>
      </c>
      <c r="EU877">
        <v>0</v>
      </c>
      <c r="EV877">
        <v>0</v>
      </c>
      <c r="EW877">
        <v>0</v>
      </c>
      <c r="EX877">
        <v>0</v>
      </c>
      <c r="EZ877">
        <v>5</v>
      </c>
      <c r="FC877">
        <v>1</v>
      </c>
      <c r="FD877">
        <v>18</v>
      </c>
      <c r="FF877">
        <v>11728</v>
      </c>
      <c r="FQ877">
        <v>0</v>
      </c>
      <c r="FR877">
        <f t="shared" si="747"/>
        <v>0</v>
      </c>
      <c r="FS877">
        <v>0</v>
      </c>
      <c r="FX877">
        <v>114</v>
      </c>
      <c r="FY877">
        <v>67</v>
      </c>
      <c r="GA877" t="s">
        <v>758</v>
      </c>
      <c r="GD877">
        <v>0</v>
      </c>
      <c r="GF877">
        <v>-824144964</v>
      </c>
      <c r="GG877">
        <v>2</v>
      </c>
      <c r="GH877">
        <v>3</v>
      </c>
      <c r="GI877">
        <v>5</v>
      </c>
      <c r="GJ877">
        <v>0</v>
      </c>
      <c r="GK877">
        <f>ROUND(R877*(S12)/100,2)</f>
        <v>0</v>
      </c>
      <c r="GL877">
        <f t="shared" si="748"/>
        <v>0</v>
      </c>
      <c r="GM877">
        <f t="shared" si="749"/>
        <v>9968.8700000000008</v>
      </c>
      <c r="GN877">
        <f t="shared" si="750"/>
        <v>0</v>
      </c>
      <c r="GO877">
        <f t="shared" si="751"/>
        <v>9968.8700000000008</v>
      </c>
      <c r="GP877">
        <f t="shared" si="752"/>
        <v>0</v>
      </c>
      <c r="GR877">
        <v>1</v>
      </c>
      <c r="GS877">
        <v>1</v>
      </c>
      <c r="GT877">
        <v>0</v>
      </c>
      <c r="GU877" t="s">
        <v>3</v>
      </c>
      <c r="GV877">
        <f t="shared" si="753"/>
        <v>0</v>
      </c>
      <c r="GW877">
        <v>1</v>
      </c>
      <c r="GX877">
        <f t="shared" si="754"/>
        <v>0</v>
      </c>
      <c r="HA877">
        <v>0</v>
      </c>
      <c r="HB877">
        <v>0</v>
      </c>
      <c r="HC877">
        <f t="shared" si="755"/>
        <v>0</v>
      </c>
      <c r="HE877" t="s">
        <v>81</v>
      </c>
      <c r="HF877" t="s">
        <v>252</v>
      </c>
      <c r="HM877" t="s">
        <v>3</v>
      </c>
      <c r="HN877" t="s">
        <v>3</v>
      </c>
      <c r="HO877" t="s">
        <v>3</v>
      </c>
      <c r="HP877" t="s">
        <v>3</v>
      </c>
      <c r="HQ877" t="s">
        <v>3</v>
      </c>
      <c r="IK877">
        <v>0</v>
      </c>
    </row>
    <row r="878" spans="1:255" x14ac:dyDescent="0.2">
      <c r="A878" s="2">
        <v>17</v>
      </c>
      <c r="B878" s="2">
        <v>1</v>
      </c>
      <c r="C878" s="2">
        <f>ROW(SmtRes!A741)</f>
        <v>741</v>
      </c>
      <c r="D878" s="2">
        <f>ROW(EtalonRes!A721)</f>
        <v>721</v>
      </c>
      <c r="E878" s="2" t="s">
        <v>116</v>
      </c>
      <c r="F878" s="2" t="s">
        <v>653</v>
      </c>
      <c r="G878" s="2" t="s">
        <v>654</v>
      </c>
      <c r="H878" s="2" t="s">
        <v>551</v>
      </c>
      <c r="I878" s="2">
        <v>0.03</v>
      </c>
      <c r="J878" s="2">
        <v>0</v>
      </c>
      <c r="K878" s="2">
        <v>0.03</v>
      </c>
      <c r="L878" s="2"/>
      <c r="M878" s="2"/>
      <c r="N878" s="2"/>
      <c r="O878" s="2">
        <f t="shared" si="725"/>
        <v>40.71</v>
      </c>
      <c r="P878" s="2">
        <f t="shared" si="726"/>
        <v>3.51</v>
      </c>
      <c r="Q878" s="2">
        <f t="shared" si="756"/>
        <v>4.18</v>
      </c>
      <c r="R878" s="2">
        <f t="shared" si="727"/>
        <v>0.67</v>
      </c>
      <c r="S878" s="2">
        <f t="shared" si="728"/>
        <v>33.020000000000003</v>
      </c>
      <c r="T878" s="2">
        <f t="shared" si="729"/>
        <v>0</v>
      </c>
      <c r="U878" s="2">
        <f t="shared" si="730"/>
        <v>2.5400999999999998</v>
      </c>
      <c r="V878" s="2">
        <f t="shared" si="731"/>
        <v>0</v>
      </c>
      <c r="W878" s="2">
        <f t="shared" si="732"/>
        <v>0</v>
      </c>
      <c r="X878" s="2">
        <f t="shared" si="733"/>
        <v>37.64</v>
      </c>
      <c r="Y878" s="2">
        <f t="shared" si="734"/>
        <v>22.12</v>
      </c>
      <c r="Z878" s="2"/>
      <c r="AA878" s="2">
        <v>129761636</v>
      </c>
      <c r="AB878" s="2">
        <f t="shared" si="735"/>
        <v>1356.92</v>
      </c>
      <c r="AC878" s="2">
        <f t="shared" si="736"/>
        <v>116.9</v>
      </c>
      <c r="AD878" s="2">
        <f t="shared" si="757"/>
        <v>139.31</v>
      </c>
      <c r="AE878" s="2">
        <f t="shared" si="758"/>
        <v>22.46</v>
      </c>
      <c r="AF878" s="2">
        <f t="shared" si="759"/>
        <v>1100.71</v>
      </c>
      <c r="AG878" s="2">
        <f t="shared" si="737"/>
        <v>0</v>
      </c>
      <c r="AH878" s="2">
        <f t="shared" si="760"/>
        <v>84.67</v>
      </c>
      <c r="AI878" s="2">
        <f t="shared" si="761"/>
        <v>0</v>
      </c>
      <c r="AJ878" s="2">
        <f t="shared" si="738"/>
        <v>0</v>
      </c>
      <c r="AK878" s="2">
        <v>1356.92</v>
      </c>
      <c r="AL878" s="2">
        <v>116.9</v>
      </c>
      <c r="AM878" s="2">
        <v>139.31</v>
      </c>
      <c r="AN878" s="2">
        <v>22.46</v>
      </c>
      <c r="AO878" s="2">
        <v>1100.71</v>
      </c>
      <c r="AP878" s="2">
        <v>0</v>
      </c>
      <c r="AQ878" s="2">
        <v>84.67</v>
      </c>
      <c r="AR878" s="2">
        <v>0</v>
      </c>
      <c r="AS878" s="2">
        <v>0</v>
      </c>
      <c r="AT878" s="2">
        <v>114</v>
      </c>
      <c r="AU878" s="2">
        <v>67</v>
      </c>
      <c r="AV878" s="2">
        <v>1</v>
      </c>
      <c r="AW878" s="2">
        <v>1</v>
      </c>
      <c r="AX878" s="2"/>
      <c r="AY878" s="2"/>
      <c r="AZ878" s="2">
        <v>1</v>
      </c>
      <c r="BA878" s="2">
        <v>1</v>
      </c>
      <c r="BB878" s="2">
        <v>1</v>
      </c>
      <c r="BC878" s="2">
        <v>1</v>
      </c>
      <c r="BD878" s="2" t="s">
        <v>3</v>
      </c>
      <c r="BE878" s="2" t="s">
        <v>3</v>
      </c>
      <c r="BF878" s="2" t="s">
        <v>3</v>
      </c>
      <c r="BG878" s="2" t="s">
        <v>3</v>
      </c>
      <c r="BH878" s="2">
        <v>0</v>
      </c>
      <c r="BI878" s="2">
        <v>2</v>
      </c>
      <c r="BJ878" s="2" t="s">
        <v>655</v>
      </c>
      <c r="BK878" s="2"/>
      <c r="BL878" s="2"/>
      <c r="BM878" s="2">
        <v>333</v>
      </c>
      <c r="BN878" s="2">
        <v>0</v>
      </c>
      <c r="BO878" s="2" t="s">
        <v>3</v>
      </c>
      <c r="BP878" s="2">
        <v>0</v>
      </c>
      <c r="BQ878" s="2">
        <v>40</v>
      </c>
      <c r="BR878" s="2">
        <v>0</v>
      </c>
      <c r="BS878" s="2">
        <v>1</v>
      </c>
      <c r="BT878" s="2">
        <v>1</v>
      </c>
      <c r="BU878" s="2">
        <v>1</v>
      </c>
      <c r="BV878" s="2">
        <v>1</v>
      </c>
      <c r="BW878" s="2">
        <v>1</v>
      </c>
      <c r="BX878" s="2">
        <v>1</v>
      </c>
      <c r="BY878" s="2" t="s">
        <v>3</v>
      </c>
      <c r="BZ878" s="2">
        <v>114</v>
      </c>
      <c r="CA878" s="2">
        <v>67</v>
      </c>
      <c r="CB878" s="2" t="s">
        <v>3</v>
      </c>
      <c r="CC878" s="2"/>
      <c r="CD878" s="2"/>
      <c r="CE878" s="2">
        <v>30</v>
      </c>
      <c r="CF878" s="2">
        <v>0</v>
      </c>
      <c r="CG878" s="2">
        <v>0</v>
      </c>
      <c r="CH878" s="2"/>
      <c r="CI878" s="2"/>
      <c r="CJ878" s="2"/>
      <c r="CK878" s="2"/>
      <c r="CL878" s="2"/>
      <c r="CM878" s="2">
        <v>0</v>
      </c>
      <c r="CN878" s="2" t="s">
        <v>3</v>
      </c>
      <c r="CO878" s="2">
        <v>0</v>
      </c>
      <c r="CP878" s="2">
        <f t="shared" si="739"/>
        <v>40.71</v>
      </c>
      <c r="CQ878" s="2">
        <f t="shared" si="740"/>
        <v>116.9</v>
      </c>
      <c r="CR878" s="2">
        <f t="shared" si="762"/>
        <v>139.31</v>
      </c>
      <c r="CS878" s="2">
        <f t="shared" si="741"/>
        <v>22.46</v>
      </c>
      <c r="CT878" s="2">
        <f t="shared" si="742"/>
        <v>1100.71</v>
      </c>
      <c r="CU878" s="2">
        <f t="shared" si="743"/>
        <v>0</v>
      </c>
      <c r="CV878" s="2">
        <f t="shared" si="744"/>
        <v>84.67</v>
      </c>
      <c r="CW878" s="2">
        <f t="shared" si="745"/>
        <v>0</v>
      </c>
      <c r="CX878" s="2">
        <f t="shared" si="746"/>
        <v>0</v>
      </c>
      <c r="CY878" s="2">
        <f>((S878*BZ878)/100)</f>
        <v>37.642800000000001</v>
      </c>
      <c r="CZ878" s="2">
        <f>((S878*CA878)/100)</f>
        <v>22.1234</v>
      </c>
      <c r="DA878" s="2"/>
      <c r="DB878" s="2"/>
      <c r="DC878" s="2" t="s">
        <v>3</v>
      </c>
      <c r="DD878" s="2" t="s">
        <v>3</v>
      </c>
      <c r="DE878" s="2" t="s">
        <v>3</v>
      </c>
      <c r="DF878" s="2" t="s">
        <v>3</v>
      </c>
      <c r="DG878" s="2" t="s">
        <v>3</v>
      </c>
      <c r="DH878" s="2" t="s">
        <v>3</v>
      </c>
      <c r="DI878" s="2" t="s">
        <v>3</v>
      </c>
      <c r="DJ878" s="2" t="s">
        <v>3</v>
      </c>
      <c r="DK878" s="2" t="s">
        <v>3</v>
      </c>
      <c r="DL878" s="2" t="s">
        <v>3</v>
      </c>
      <c r="DM878" s="2" t="s">
        <v>3</v>
      </c>
      <c r="DN878" s="2">
        <v>0</v>
      </c>
      <c r="DO878" s="2">
        <v>0</v>
      </c>
      <c r="DP878" s="2">
        <v>1</v>
      </c>
      <c r="DQ878" s="2">
        <v>1</v>
      </c>
      <c r="DR878" s="2"/>
      <c r="DS878" s="2"/>
      <c r="DT878" s="2"/>
      <c r="DU878" s="2">
        <v>1010</v>
      </c>
      <c r="DV878" s="2" t="s">
        <v>551</v>
      </c>
      <c r="DW878" s="2" t="s">
        <v>551</v>
      </c>
      <c r="DX878" s="2">
        <v>100</v>
      </c>
      <c r="DY878" s="2"/>
      <c r="DZ878" s="2" t="s">
        <v>3</v>
      </c>
      <c r="EA878" s="2" t="s">
        <v>3</v>
      </c>
      <c r="EB878" s="2" t="s">
        <v>3</v>
      </c>
      <c r="EC878" s="2" t="s">
        <v>3</v>
      </c>
      <c r="ED878" s="2"/>
      <c r="EE878" s="2">
        <v>126051794</v>
      </c>
      <c r="EF878" s="2">
        <v>40</v>
      </c>
      <c r="EG878" s="2" t="s">
        <v>621</v>
      </c>
      <c r="EH878" s="2">
        <v>0</v>
      </c>
      <c r="EI878" s="2" t="s">
        <v>3</v>
      </c>
      <c r="EJ878" s="2">
        <v>2</v>
      </c>
      <c r="EK878" s="2">
        <v>333</v>
      </c>
      <c r="EL878" s="2" t="s">
        <v>656</v>
      </c>
      <c r="EM878" s="2" t="s">
        <v>657</v>
      </c>
      <c r="EN878" s="2"/>
      <c r="EO878" s="2" t="s">
        <v>3</v>
      </c>
      <c r="EP878" s="2"/>
      <c r="EQ878" s="2">
        <v>131072</v>
      </c>
      <c r="ER878" s="2">
        <v>1356.92</v>
      </c>
      <c r="ES878" s="2">
        <v>116.9</v>
      </c>
      <c r="ET878" s="2">
        <v>139.31</v>
      </c>
      <c r="EU878" s="2">
        <v>22.46</v>
      </c>
      <c r="EV878" s="2">
        <v>1100.71</v>
      </c>
      <c r="EW878" s="2">
        <v>84.67</v>
      </c>
      <c r="EX878" s="2">
        <v>0</v>
      </c>
      <c r="EY878" s="2">
        <v>0</v>
      </c>
      <c r="EZ878" s="2"/>
      <c r="FA878" s="2"/>
      <c r="FB878" s="2"/>
      <c r="FC878" s="2"/>
      <c r="FD878" s="2"/>
      <c r="FE878" s="2"/>
      <c r="FF878" s="2"/>
      <c r="FG878" s="2"/>
      <c r="FH878" s="2"/>
      <c r="FI878" s="2"/>
      <c r="FJ878" s="2"/>
      <c r="FK878" s="2"/>
      <c r="FL878" s="2"/>
      <c r="FM878" s="2"/>
      <c r="FN878" s="2"/>
      <c r="FO878" s="2"/>
      <c r="FP878" s="2"/>
      <c r="FQ878" s="2">
        <v>0</v>
      </c>
      <c r="FR878" s="2">
        <f t="shared" si="747"/>
        <v>0</v>
      </c>
      <c r="FS878" s="2">
        <v>0</v>
      </c>
      <c r="FT878" s="2"/>
      <c r="FU878" s="2"/>
      <c r="FV878" s="2"/>
      <c r="FW878" s="2"/>
      <c r="FX878" s="2">
        <v>114</v>
      </c>
      <c r="FY878" s="2">
        <v>67</v>
      </c>
      <c r="FZ878" s="2"/>
      <c r="GA878" s="2" t="s">
        <v>3</v>
      </c>
      <c r="GB878" s="2"/>
      <c r="GC878" s="2"/>
      <c r="GD878" s="2">
        <v>0</v>
      </c>
      <c r="GE878" s="2"/>
      <c r="GF878" s="2">
        <v>-940201519</v>
      </c>
      <c r="GG878" s="2">
        <v>2</v>
      </c>
      <c r="GH878" s="2">
        <v>1</v>
      </c>
      <c r="GI878" s="2">
        <v>-2</v>
      </c>
      <c r="GJ878" s="2">
        <v>0</v>
      </c>
      <c r="GK878" s="2">
        <f>ROUND(R878*(R12)/100,2)</f>
        <v>1.17</v>
      </c>
      <c r="GL878" s="2">
        <f t="shared" si="748"/>
        <v>0</v>
      </c>
      <c r="GM878" s="2">
        <f t="shared" si="749"/>
        <v>101.64</v>
      </c>
      <c r="GN878" s="2">
        <f t="shared" si="750"/>
        <v>0</v>
      </c>
      <c r="GO878" s="2">
        <f t="shared" si="751"/>
        <v>101.64</v>
      </c>
      <c r="GP878" s="2">
        <f t="shared" si="752"/>
        <v>0</v>
      </c>
      <c r="GQ878" s="2"/>
      <c r="GR878" s="2">
        <v>0</v>
      </c>
      <c r="GS878" s="2">
        <v>0</v>
      </c>
      <c r="GT878" s="2">
        <v>0</v>
      </c>
      <c r="GU878" s="2" t="s">
        <v>3</v>
      </c>
      <c r="GV878" s="2">
        <f t="shared" si="753"/>
        <v>0</v>
      </c>
      <c r="GW878" s="2">
        <v>1</v>
      </c>
      <c r="GX878" s="2">
        <f t="shared" si="754"/>
        <v>0</v>
      </c>
      <c r="GY878" s="2"/>
      <c r="GZ878" s="2"/>
      <c r="HA878" s="2">
        <v>0</v>
      </c>
      <c r="HB878" s="2">
        <v>0</v>
      </c>
      <c r="HC878" s="2">
        <f t="shared" si="755"/>
        <v>0</v>
      </c>
      <c r="HD878" s="2"/>
      <c r="HE878" s="2" t="s">
        <v>3</v>
      </c>
      <c r="HF878" s="2" t="s">
        <v>3</v>
      </c>
      <c r="HG878" s="2"/>
      <c r="HH878" s="2"/>
      <c r="HI878" s="2"/>
      <c r="HJ878" s="2"/>
      <c r="HK878" s="2"/>
      <c r="HL878" s="2"/>
      <c r="HM878" s="2" t="s">
        <v>3</v>
      </c>
      <c r="HN878" s="2" t="s">
        <v>3</v>
      </c>
      <c r="HO878" s="2" t="s">
        <v>3</v>
      </c>
      <c r="HP878" s="2" t="s">
        <v>3</v>
      </c>
      <c r="HQ878" s="2" t="s">
        <v>3</v>
      </c>
      <c r="HR878" s="2"/>
      <c r="HS878" s="2"/>
      <c r="HT878" s="2"/>
      <c r="HU878" s="2"/>
      <c r="HV878" s="2"/>
      <c r="HW878" s="2"/>
      <c r="HX878" s="2"/>
      <c r="HY878" s="2"/>
      <c r="HZ878" s="2"/>
      <c r="IA878" s="2"/>
      <c r="IB878" s="2"/>
      <c r="IC878" s="2"/>
      <c r="ID878" s="2"/>
      <c r="IE878" s="2"/>
      <c r="IF878" s="2"/>
      <c r="IG878" s="2"/>
      <c r="IH878" s="2"/>
      <c r="II878" s="2"/>
      <c r="IJ878" s="2"/>
      <c r="IK878" s="2">
        <v>0</v>
      </c>
      <c r="IL878" s="2"/>
      <c r="IM878" s="2"/>
      <c r="IN878" s="2"/>
      <c r="IO878" s="2"/>
      <c r="IP878" s="2"/>
      <c r="IQ878" s="2"/>
      <c r="IR878" s="2"/>
      <c r="IS878" s="2"/>
      <c r="IT878" s="2"/>
      <c r="IU878" s="2"/>
    </row>
    <row r="879" spans="1:255" x14ac:dyDescent="0.2">
      <c r="A879">
        <v>17</v>
      </c>
      <c r="B879">
        <v>1</v>
      </c>
      <c r="C879">
        <f>ROW(SmtRes!A744)</f>
        <v>744</v>
      </c>
      <c r="D879">
        <f>ROW(EtalonRes!A722)</f>
        <v>722</v>
      </c>
      <c r="E879" t="s">
        <v>116</v>
      </c>
      <c r="F879" t="s">
        <v>653</v>
      </c>
      <c r="G879" t="s">
        <v>654</v>
      </c>
      <c r="H879" t="s">
        <v>551</v>
      </c>
      <c r="I879">
        <v>0.03</v>
      </c>
      <c r="J879">
        <v>0</v>
      </c>
      <c r="K879">
        <v>0.03</v>
      </c>
      <c r="O879">
        <f t="shared" si="725"/>
        <v>1033.58</v>
      </c>
      <c r="P879">
        <f t="shared" si="726"/>
        <v>28.57</v>
      </c>
      <c r="Q879">
        <f t="shared" si="756"/>
        <v>46.44</v>
      </c>
      <c r="R879">
        <f t="shared" si="727"/>
        <v>19.45</v>
      </c>
      <c r="S879">
        <f t="shared" si="728"/>
        <v>958.57</v>
      </c>
      <c r="T879">
        <f t="shared" si="729"/>
        <v>0</v>
      </c>
      <c r="U879">
        <f t="shared" si="730"/>
        <v>2.5400999999999998</v>
      </c>
      <c r="V879">
        <f t="shared" si="731"/>
        <v>0</v>
      </c>
      <c r="W879">
        <f t="shared" si="732"/>
        <v>0</v>
      </c>
      <c r="X879">
        <f t="shared" si="733"/>
        <v>757.27</v>
      </c>
      <c r="Y879">
        <f t="shared" si="734"/>
        <v>393.01</v>
      </c>
      <c r="AA879">
        <v>129761633</v>
      </c>
      <c r="AB879">
        <f t="shared" si="735"/>
        <v>1356.92</v>
      </c>
      <c r="AC879">
        <f t="shared" si="736"/>
        <v>116.9</v>
      </c>
      <c r="AD879">
        <f t="shared" si="757"/>
        <v>139.31</v>
      </c>
      <c r="AE879">
        <f t="shared" si="758"/>
        <v>22.46</v>
      </c>
      <c r="AF879">
        <f t="shared" si="759"/>
        <v>1100.71</v>
      </c>
      <c r="AG879">
        <f t="shared" si="737"/>
        <v>0</v>
      </c>
      <c r="AH879">
        <f t="shared" si="760"/>
        <v>84.67</v>
      </c>
      <c r="AI879">
        <f t="shared" si="761"/>
        <v>0</v>
      </c>
      <c r="AJ879">
        <f t="shared" si="738"/>
        <v>0</v>
      </c>
      <c r="AK879">
        <v>1356.92</v>
      </c>
      <c r="AL879">
        <v>116.9</v>
      </c>
      <c r="AM879">
        <v>139.31</v>
      </c>
      <c r="AN879">
        <v>22.46</v>
      </c>
      <c r="AO879">
        <v>1100.71</v>
      </c>
      <c r="AP879">
        <v>0</v>
      </c>
      <c r="AQ879">
        <v>84.67</v>
      </c>
      <c r="AR879">
        <v>0</v>
      </c>
      <c r="AS879">
        <v>0</v>
      </c>
      <c r="AT879">
        <v>79</v>
      </c>
      <c r="AU879">
        <v>41</v>
      </c>
      <c r="AV879">
        <v>1</v>
      </c>
      <c r="AW879">
        <v>1</v>
      </c>
      <c r="AZ879">
        <v>1</v>
      </c>
      <c r="BA879">
        <v>29.03</v>
      </c>
      <c r="BB879">
        <v>11.11</v>
      </c>
      <c r="BC879">
        <v>8.14</v>
      </c>
      <c r="BD879" t="s">
        <v>3</v>
      </c>
      <c r="BE879" t="s">
        <v>3</v>
      </c>
      <c r="BF879" t="s">
        <v>3</v>
      </c>
      <c r="BG879" t="s">
        <v>3</v>
      </c>
      <c r="BH879">
        <v>0</v>
      </c>
      <c r="BI879">
        <v>2</v>
      </c>
      <c r="BJ879" t="s">
        <v>655</v>
      </c>
      <c r="BM879">
        <v>333</v>
      </c>
      <c r="BN879">
        <v>0</v>
      </c>
      <c r="BO879" t="s">
        <v>653</v>
      </c>
      <c r="BP879">
        <v>1</v>
      </c>
      <c r="BQ879">
        <v>40</v>
      </c>
      <c r="BR879">
        <v>0</v>
      </c>
      <c r="BS879">
        <v>29.03</v>
      </c>
      <c r="BT879">
        <v>1</v>
      </c>
      <c r="BU879">
        <v>1</v>
      </c>
      <c r="BV879">
        <v>1</v>
      </c>
      <c r="BW879">
        <v>1</v>
      </c>
      <c r="BX879">
        <v>1</v>
      </c>
      <c r="BY879" t="s">
        <v>3</v>
      </c>
      <c r="BZ879">
        <v>79</v>
      </c>
      <c r="CA879">
        <v>41</v>
      </c>
      <c r="CB879" t="s">
        <v>3</v>
      </c>
      <c r="CE879">
        <v>30</v>
      </c>
      <c r="CF879">
        <v>0</v>
      </c>
      <c r="CG879">
        <v>0</v>
      </c>
      <c r="CM879">
        <v>0</v>
      </c>
      <c r="CN879" t="s">
        <v>3</v>
      </c>
      <c r="CO879">
        <v>0</v>
      </c>
      <c r="CP879">
        <f t="shared" si="739"/>
        <v>1033.58</v>
      </c>
      <c r="CQ879">
        <f t="shared" si="740"/>
        <v>951.57</v>
      </c>
      <c r="CR879">
        <f t="shared" si="762"/>
        <v>1547.73</v>
      </c>
      <c r="CS879">
        <f t="shared" si="741"/>
        <v>652.01</v>
      </c>
      <c r="CT879">
        <f t="shared" si="742"/>
        <v>31953.61</v>
      </c>
      <c r="CU879">
        <f t="shared" si="743"/>
        <v>0</v>
      </c>
      <c r="CV879">
        <f t="shared" si="744"/>
        <v>84.67</v>
      </c>
      <c r="CW879">
        <f t="shared" si="745"/>
        <v>0</v>
      </c>
      <c r="CX879">
        <f t="shared" si="746"/>
        <v>0</v>
      </c>
      <c r="CY879">
        <f>S879*(BZ879/100)</f>
        <v>757.27030000000002</v>
      </c>
      <c r="CZ879">
        <f>S879*(CA879/100)</f>
        <v>393.01369999999997</v>
      </c>
      <c r="DC879" t="s">
        <v>3</v>
      </c>
      <c r="DD879" t="s">
        <v>3</v>
      </c>
      <c r="DE879" t="s">
        <v>3</v>
      </c>
      <c r="DF879" t="s">
        <v>3</v>
      </c>
      <c r="DG879" t="s">
        <v>3</v>
      </c>
      <c r="DH879" t="s">
        <v>3</v>
      </c>
      <c r="DI879" t="s">
        <v>3</v>
      </c>
      <c r="DJ879" t="s">
        <v>3</v>
      </c>
      <c r="DK879" t="s">
        <v>3</v>
      </c>
      <c r="DL879" t="s">
        <v>3</v>
      </c>
      <c r="DM879" t="s">
        <v>3</v>
      </c>
      <c r="DN879">
        <v>114</v>
      </c>
      <c r="DO879">
        <v>67</v>
      </c>
      <c r="DP879">
        <v>1</v>
      </c>
      <c r="DQ879">
        <v>1</v>
      </c>
      <c r="DU879">
        <v>1010</v>
      </c>
      <c r="DV879" t="s">
        <v>551</v>
      </c>
      <c r="DW879" t="s">
        <v>551</v>
      </c>
      <c r="DX879">
        <v>100</v>
      </c>
      <c r="DZ879" t="s">
        <v>3</v>
      </c>
      <c r="EA879" t="s">
        <v>3</v>
      </c>
      <c r="EB879" t="s">
        <v>3</v>
      </c>
      <c r="EC879" t="s">
        <v>3</v>
      </c>
      <c r="EE879">
        <v>126051794</v>
      </c>
      <c r="EF879">
        <v>40</v>
      </c>
      <c r="EG879" t="s">
        <v>621</v>
      </c>
      <c r="EH879">
        <v>0</v>
      </c>
      <c r="EI879" t="s">
        <v>3</v>
      </c>
      <c r="EJ879">
        <v>2</v>
      </c>
      <c r="EK879">
        <v>333</v>
      </c>
      <c r="EL879" t="s">
        <v>656</v>
      </c>
      <c r="EM879" t="s">
        <v>657</v>
      </c>
      <c r="EO879" t="s">
        <v>3</v>
      </c>
      <c r="EQ879">
        <v>131072</v>
      </c>
      <c r="ER879">
        <v>1356.92</v>
      </c>
      <c r="ES879">
        <v>116.9</v>
      </c>
      <c r="ET879">
        <v>139.31</v>
      </c>
      <c r="EU879">
        <v>22.46</v>
      </c>
      <c r="EV879">
        <v>1100.71</v>
      </c>
      <c r="EW879">
        <v>84.67</v>
      </c>
      <c r="EX879">
        <v>0</v>
      </c>
      <c r="EY879">
        <v>0</v>
      </c>
      <c r="FQ879">
        <v>0</v>
      </c>
      <c r="FR879">
        <f t="shared" si="747"/>
        <v>0</v>
      </c>
      <c r="FS879">
        <v>0</v>
      </c>
      <c r="FX879">
        <v>114</v>
      </c>
      <c r="FY879">
        <v>67</v>
      </c>
      <c r="GA879" t="s">
        <v>3</v>
      </c>
      <c r="GD879">
        <v>0</v>
      </c>
      <c r="GF879">
        <v>-940201519</v>
      </c>
      <c r="GG879">
        <v>2</v>
      </c>
      <c r="GH879">
        <v>1</v>
      </c>
      <c r="GI879">
        <v>2</v>
      </c>
      <c r="GJ879">
        <v>0</v>
      </c>
      <c r="GK879">
        <f>ROUND(R879*(S12)/100,2)</f>
        <v>31.12</v>
      </c>
      <c r="GL879">
        <f t="shared" si="748"/>
        <v>0</v>
      </c>
      <c r="GM879">
        <f t="shared" si="749"/>
        <v>2214.98</v>
      </c>
      <c r="GN879">
        <f t="shared" si="750"/>
        <v>0</v>
      </c>
      <c r="GO879">
        <f t="shared" si="751"/>
        <v>2214.98</v>
      </c>
      <c r="GP879">
        <f t="shared" si="752"/>
        <v>0</v>
      </c>
      <c r="GR879">
        <v>0</v>
      </c>
      <c r="GS879">
        <v>3</v>
      </c>
      <c r="GT879">
        <v>0</v>
      </c>
      <c r="GU879" t="s">
        <v>3</v>
      </c>
      <c r="GV879">
        <f t="shared" si="753"/>
        <v>0</v>
      </c>
      <c r="GW879">
        <v>1</v>
      </c>
      <c r="GX879">
        <f t="shared" si="754"/>
        <v>0</v>
      </c>
      <c r="HA879">
        <v>0</v>
      </c>
      <c r="HB879">
        <v>0</v>
      </c>
      <c r="HC879">
        <f t="shared" si="755"/>
        <v>0</v>
      </c>
      <c r="HE879" t="s">
        <v>3</v>
      </c>
      <c r="HF879" t="s">
        <v>3</v>
      </c>
      <c r="HM879" t="s">
        <v>3</v>
      </c>
      <c r="HN879" t="s">
        <v>3</v>
      </c>
      <c r="HO879" t="s">
        <v>3</v>
      </c>
      <c r="HP879" t="s">
        <v>3</v>
      </c>
      <c r="HQ879" t="s">
        <v>3</v>
      </c>
      <c r="IK879">
        <v>0</v>
      </c>
    </row>
    <row r="880" spans="1:255" x14ac:dyDescent="0.2">
      <c r="A880" s="2">
        <v>18</v>
      </c>
      <c r="B880" s="2">
        <v>1</v>
      </c>
      <c r="C880" s="2">
        <v>741</v>
      </c>
      <c r="D880" s="2"/>
      <c r="E880" s="2" t="s">
        <v>123</v>
      </c>
      <c r="F880" s="2" t="s">
        <v>759</v>
      </c>
      <c r="G880" s="2" t="s">
        <v>760</v>
      </c>
      <c r="H880" s="2" t="s">
        <v>250</v>
      </c>
      <c r="I880" s="2">
        <f>I878*J880</f>
        <v>3</v>
      </c>
      <c r="J880" s="2">
        <v>100</v>
      </c>
      <c r="K880" s="2">
        <v>100</v>
      </c>
      <c r="L880" s="2"/>
      <c r="M880" s="2"/>
      <c r="N880" s="2"/>
      <c r="O880" s="2">
        <f t="shared" si="725"/>
        <v>1041.5999999999999</v>
      </c>
      <c r="P880" s="2">
        <f t="shared" si="726"/>
        <v>1041.5999999999999</v>
      </c>
      <c r="Q880" s="2">
        <f t="shared" si="756"/>
        <v>0</v>
      </c>
      <c r="R880" s="2">
        <f t="shared" si="727"/>
        <v>0</v>
      </c>
      <c r="S880" s="2">
        <f t="shared" si="728"/>
        <v>0</v>
      </c>
      <c r="T880" s="2">
        <f t="shared" si="729"/>
        <v>0</v>
      </c>
      <c r="U880" s="2">
        <f t="shared" si="730"/>
        <v>0</v>
      </c>
      <c r="V880" s="2">
        <f t="shared" si="731"/>
        <v>0</v>
      </c>
      <c r="W880" s="2">
        <f t="shared" si="732"/>
        <v>0</v>
      </c>
      <c r="X880" s="2">
        <f t="shared" si="733"/>
        <v>0</v>
      </c>
      <c r="Y880" s="2">
        <f t="shared" si="734"/>
        <v>0</v>
      </c>
      <c r="Z880" s="2"/>
      <c r="AA880" s="2">
        <v>129761636</v>
      </c>
      <c r="AB880" s="2">
        <f t="shared" si="735"/>
        <v>347.2</v>
      </c>
      <c r="AC880" s="2">
        <f t="shared" si="736"/>
        <v>347.2</v>
      </c>
      <c r="AD880" s="2">
        <f t="shared" si="757"/>
        <v>0</v>
      </c>
      <c r="AE880" s="2">
        <f t="shared" si="758"/>
        <v>0</v>
      </c>
      <c r="AF880" s="2">
        <f t="shared" si="759"/>
        <v>0</v>
      </c>
      <c r="AG880" s="2">
        <f t="shared" si="737"/>
        <v>0</v>
      </c>
      <c r="AH880" s="2">
        <f t="shared" si="760"/>
        <v>0</v>
      </c>
      <c r="AI880" s="2">
        <f t="shared" si="761"/>
        <v>0</v>
      </c>
      <c r="AJ880" s="2">
        <f t="shared" si="738"/>
        <v>0</v>
      </c>
      <c r="AK880" s="2">
        <v>347.2</v>
      </c>
      <c r="AL880" s="2">
        <v>347.2</v>
      </c>
      <c r="AM880" s="2">
        <v>0</v>
      </c>
      <c r="AN880" s="2">
        <v>0</v>
      </c>
      <c r="AO880" s="2">
        <v>0</v>
      </c>
      <c r="AP880" s="2">
        <v>0</v>
      </c>
      <c r="AQ880" s="2">
        <v>0</v>
      </c>
      <c r="AR880" s="2">
        <v>0</v>
      </c>
      <c r="AS880" s="2">
        <v>0</v>
      </c>
      <c r="AT880" s="2">
        <v>114</v>
      </c>
      <c r="AU880" s="2">
        <v>67</v>
      </c>
      <c r="AV880" s="2">
        <v>1</v>
      </c>
      <c r="AW880" s="2">
        <v>1</v>
      </c>
      <c r="AX880" s="2"/>
      <c r="AY880" s="2"/>
      <c r="AZ880" s="2">
        <v>1</v>
      </c>
      <c r="BA880" s="2">
        <v>1</v>
      </c>
      <c r="BB880" s="2">
        <v>1</v>
      </c>
      <c r="BC880" s="2">
        <v>1</v>
      </c>
      <c r="BD880" s="2" t="s">
        <v>3</v>
      </c>
      <c r="BE880" s="2" t="s">
        <v>3</v>
      </c>
      <c r="BF880" s="2" t="s">
        <v>3</v>
      </c>
      <c r="BG880" s="2" t="s">
        <v>3</v>
      </c>
      <c r="BH880" s="2">
        <v>3</v>
      </c>
      <c r="BI880" s="2">
        <v>2</v>
      </c>
      <c r="BJ880" s="2" t="s">
        <v>761</v>
      </c>
      <c r="BK880" s="2"/>
      <c r="BL880" s="2"/>
      <c r="BM880" s="2">
        <v>333</v>
      </c>
      <c r="BN880" s="2">
        <v>0</v>
      </c>
      <c r="BO880" s="2" t="s">
        <v>3</v>
      </c>
      <c r="BP880" s="2">
        <v>0</v>
      </c>
      <c r="BQ880" s="2">
        <v>40</v>
      </c>
      <c r="BR880" s="2">
        <v>0</v>
      </c>
      <c r="BS880" s="2">
        <v>1</v>
      </c>
      <c r="BT880" s="2">
        <v>1</v>
      </c>
      <c r="BU880" s="2">
        <v>1</v>
      </c>
      <c r="BV880" s="2">
        <v>1</v>
      </c>
      <c r="BW880" s="2">
        <v>1</v>
      </c>
      <c r="BX880" s="2">
        <v>1</v>
      </c>
      <c r="BY880" s="2" t="s">
        <v>3</v>
      </c>
      <c r="BZ880" s="2">
        <v>114</v>
      </c>
      <c r="CA880" s="2">
        <v>67</v>
      </c>
      <c r="CB880" s="2" t="s">
        <v>3</v>
      </c>
      <c r="CC880" s="2"/>
      <c r="CD880" s="2"/>
      <c r="CE880" s="2">
        <v>30</v>
      </c>
      <c r="CF880" s="2">
        <v>0</v>
      </c>
      <c r="CG880" s="2">
        <v>0</v>
      </c>
      <c r="CH880" s="2"/>
      <c r="CI880" s="2"/>
      <c r="CJ880" s="2"/>
      <c r="CK880" s="2"/>
      <c r="CL880" s="2"/>
      <c r="CM880" s="2">
        <v>0</v>
      </c>
      <c r="CN880" s="2" t="s">
        <v>3</v>
      </c>
      <c r="CO880" s="2">
        <v>0</v>
      </c>
      <c r="CP880" s="2">
        <f t="shared" si="739"/>
        <v>1041.5999999999999</v>
      </c>
      <c r="CQ880" s="2">
        <f t="shared" si="740"/>
        <v>347.2</v>
      </c>
      <c r="CR880" s="2">
        <f t="shared" si="762"/>
        <v>0</v>
      </c>
      <c r="CS880" s="2">
        <f t="shared" si="741"/>
        <v>0</v>
      </c>
      <c r="CT880" s="2">
        <f t="shared" si="742"/>
        <v>0</v>
      </c>
      <c r="CU880" s="2">
        <f t="shared" si="743"/>
        <v>0</v>
      </c>
      <c r="CV880" s="2">
        <f t="shared" si="744"/>
        <v>0</v>
      </c>
      <c r="CW880" s="2">
        <f t="shared" si="745"/>
        <v>0</v>
      </c>
      <c r="CX880" s="2">
        <f t="shared" si="746"/>
        <v>0</v>
      </c>
      <c r="CY880" s="2">
        <f>((S880*BZ880)/100)</f>
        <v>0</v>
      </c>
      <c r="CZ880" s="2">
        <f>((S880*CA880)/100)</f>
        <v>0</v>
      </c>
      <c r="DA880" s="2"/>
      <c r="DB880" s="2"/>
      <c r="DC880" s="2" t="s">
        <v>3</v>
      </c>
      <c r="DD880" s="2" t="s">
        <v>3</v>
      </c>
      <c r="DE880" s="2" t="s">
        <v>3</v>
      </c>
      <c r="DF880" s="2" t="s">
        <v>3</v>
      </c>
      <c r="DG880" s="2" t="s">
        <v>3</v>
      </c>
      <c r="DH880" s="2" t="s">
        <v>3</v>
      </c>
      <c r="DI880" s="2" t="s">
        <v>3</v>
      </c>
      <c r="DJ880" s="2" t="s">
        <v>3</v>
      </c>
      <c r="DK880" s="2" t="s">
        <v>3</v>
      </c>
      <c r="DL880" s="2" t="s">
        <v>3</v>
      </c>
      <c r="DM880" s="2" t="s">
        <v>3</v>
      </c>
      <c r="DN880" s="2">
        <v>0</v>
      </c>
      <c r="DO880" s="2">
        <v>0</v>
      </c>
      <c r="DP880" s="2">
        <v>1</v>
      </c>
      <c r="DQ880" s="2">
        <v>1</v>
      </c>
      <c r="DR880" s="2"/>
      <c r="DS880" s="2"/>
      <c r="DT880" s="2"/>
      <c r="DU880" s="2">
        <v>1010</v>
      </c>
      <c r="DV880" s="2" t="s">
        <v>250</v>
      </c>
      <c r="DW880" s="2" t="s">
        <v>250</v>
      </c>
      <c r="DX880" s="2">
        <v>1</v>
      </c>
      <c r="DY880" s="2"/>
      <c r="DZ880" s="2" t="s">
        <v>3</v>
      </c>
      <c r="EA880" s="2" t="s">
        <v>3</v>
      </c>
      <c r="EB880" s="2" t="s">
        <v>3</v>
      </c>
      <c r="EC880" s="2" t="s">
        <v>3</v>
      </c>
      <c r="ED880" s="2"/>
      <c r="EE880" s="2">
        <v>126051794</v>
      </c>
      <c r="EF880" s="2">
        <v>40</v>
      </c>
      <c r="EG880" s="2" t="s">
        <v>621</v>
      </c>
      <c r="EH880" s="2">
        <v>0</v>
      </c>
      <c r="EI880" s="2" t="s">
        <v>3</v>
      </c>
      <c r="EJ880" s="2">
        <v>2</v>
      </c>
      <c r="EK880" s="2">
        <v>333</v>
      </c>
      <c r="EL880" s="2" t="s">
        <v>656</v>
      </c>
      <c r="EM880" s="2" t="s">
        <v>657</v>
      </c>
      <c r="EN880" s="2"/>
      <c r="EO880" s="2" t="s">
        <v>3</v>
      </c>
      <c r="EP880" s="2"/>
      <c r="EQ880" s="2">
        <v>0</v>
      </c>
      <c r="ER880" s="2">
        <v>347.2</v>
      </c>
      <c r="ES880" s="2">
        <v>347.2</v>
      </c>
      <c r="ET880" s="2">
        <v>0</v>
      </c>
      <c r="EU880" s="2">
        <v>0</v>
      </c>
      <c r="EV880" s="2">
        <v>0</v>
      </c>
      <c r="EW880" s="2">
        <v>0</v>
      </c>
      <c r="EX880" s="2">
        <v>0</v>
      </c>
      <c r="EY880" s="2"/>
      <c r="EZ880" s="2"/>
      <c r="FA880" s="2"/>
      <c r="FB880" s="2"/>
      <c r="FC880" s="2"/>
      <c r="FD880" s="2"/>
      <c r="FE880" s="2"/>
      <c r="FF880" s="2"/>
      <c r="FG880" s="2"/>
      <c r="FH880" s="2"/>
      <c r="FI880" s="2"/>
      <c r="FJ880" s="2"/>
      <c r="FK880" s="2"/>
      <c r="FL880" s="2"/>
      <c r="FM880" s="2"/>
      <c r="FN880" s="2"/>
      <c r="FO880" s="2"/>
      <c r="FP880" s="2"/>
      <c r="FQ880" s="2">
        <v>0</v>
      </c>
      <c r="FR880" s="2">
        <f t="shared" si="747"/>
        <v>0</v>
      </c>
      <c r="FS880" s="2">
        <v>0</v>
      </c>
      <c r="FT880" s="2"/>
      <c r="FU880" s="2"/>
      <c r="FV880" s="2"/>
      <c r="FW880" s="2"/>
      <c r="FX880" s="2">
        <v>114</v>
      </c>
      <c r="FY880" s="2">
        <v>67</v>
      </c>
      <c r="FZ880" s="2"/>
      <c r="GA880" s="2" t="s">
        <v>3</v>
      </c>
      <c r="GB880" s="2"/>
      <c r="GC880" s="2"/>
      <c r="GD880" s="2">
        <v>0</v>
      </c>
      <c r="GE880" s="2"/>
      <c r="GF880" s="2">
        <v>-2016539353</v>
      </c>
      <c r="GG880" s="2">
        <v>2</v>
      </c>
      <c r="GH880" s="2">
        <v>1</v>
      </c>
      <c r="GI880" s="2">
        <v>-2</v>
      </c>
      <c r="GJ880" s="2">
        <v>0</v>
      </c>
      <c r="GK880" s="2">
        <f>ROUND(R880*(R12)/100,2)</f>
        <v>0</v>
      </c>
      <c r="GL880" s="2">
        <f t="shared" si="748"/>
        <v>0</v>
      </c>
      <c r="GM880" s="2">
        <f t="shared" si="749"/>
        <v>1041.5999999999999</v>
      </c>
      <c r="GN880" s="2">
        <f t="shared" si="750"/>
        <v>0</v>
      </c>
      <c r="GO880" s="2">
        <f t="shared" si="751"/>
        <v>1041.5999999999999</v>
      </c>
      <c r="GP880" s="2">
        <f t="shared" si="752"/>
        <v>0</v>
      </c>
      <c r="GQ880" s="2"/>
      <c r="GR880" s="2">
        <v>0</v>
      </c>
      <c r="GS880" s="2">
        <v>0</v>
      </c>
      <c r="GT880" s="2">
        <v>0</v>
      </c>
      <c r="GU880" s="2" t="s">
        <v>3</v>
      </c>
      <c r="GV880" s="2">
        <f t="shared" si="753"/>
        <v>0</v>
      </c>
      <c r="GW880" s="2">
        <v>1</v>
      </c>
      <c r="GX880" s="2">
        <f t="shared" si="754"/>
        <v>0</v>
      </c>
      <c r="GY880" s="2"/>
      <c r="GZ880" s="2"/>
      <c r="HA880" s="2">
        <v>0</v>
      </c>
      <c r="HB880" s="2">
        <v>0</v>
      </c>
      <c r="HC880" s="2">
        <f t="shared" si="755"/>
        <v>0</v>
      </c>
      <c r="HD880" s="2"/>
      <c r="HE880" s="2" t="s">
        <v>3</v>
      </c>
      <c r="HF880" s="2" t="s">
        <v>3</v>
      </c>
      <c r="HG880" s="2"/>
      <c r="HH880" s="2"/>
      <c r="HI880" s="2"/>
      <c r="HJ880" s="2"/>
      <c r="HK880" s="2"/>
      <c r="HL880" s="2"/>
      <c r="HM880" s="2" t="s">
        <v>3</v>
      </c>
      <c r="HN880" s="2" t="s">
        <v>3</v>
      </c>
      <c r="HO880" s="2" t="s">
        <v>3</v>
      </c>
      <c r="HP880" s="2" t="s">
        <v>3</v>
      </c>
      <c r="HQ880" s="2" t="s">
        <v>3</v>
      </c>
      <c r="HR880" s="2"/>
      <c r="HS880" s="2"/>
      <c r="HT880" s="2"/>
      <c r="HU880" s="2"/>
      <c r="HV880" s="2"/>
      <c r="HW880" s="2"/>
      <c r="HX880" s="2"/>
      <c r="HY880" s="2"/>
      <c r="HZ880" s="2"/>
      <c r="IA880" s="2"/>
      <c r="IB880" s="2"/>
      <c r="IC880" s="2"/>
      <c r="ID880" s="2"/>
      <c r="IE880" s="2"/>
      <c r="IF880" s="2"/>
      <c r="IG880" s="2"/>
      <c r="IH880" s="2"/>
      <c r="II880" s="2"/>
      <c r="IJ880" s="2"/>
      <c r="IK880" s="2">
        <v>0</v>
      </c>
      <c r="IL880" s="2"/>
      <c r="IM880" s="2"/>
      <c r="IN880" s="2"/>
      <c r="IO880" s="2"/>
      <c r="IP880" s="2"/>
      <c r="IQ880" s="2"/>
      <c r="IR880" s="2"/>
      <c r="IS880" s="2"/>
      <c r="IT880" s="2"/>
      <c r="IU880" s="2"/>
    </row>
    <row r="881" spans="1:255" x14ac:dyDescent="0.2">
      <c r="A881">
        <v>18</v>
      </c>
      <c r="B881">
        <v>1</v>
      </c>
      <c r="C881">
        <v>744</v>
      </c>
      <c r="E881" t="s">
        <v>123</v>
      </c>
      <c r="F881" t="s">
        <v>759</v>
      </c>
      <c r="G881" t="s">
        <v>760</v>
      </c>
      <c r="H881" t="s">
        <v>250</v>
      </c>
      <c r="I881">
        <f>I879*J881</f>
        <v>3</v>
      </c>
      <c r="J881">
        <v>100</v>
      </c>
      <c r="K881">
        <v>100</v>
      </c>
      <c r="O881">
        <f t="shared" si="725"/>
        <v>13697.04</v>
      </c>
      <c r="P881">
        <f t="shared" si="726"/>
        <v>13697.04</v>
      </c>
      <c r="Q881">
        <f t="shared" si="756"/>
        <v>0</v>
      </c>
      <c r="R881">
        <f t="shared" si="727"/>
        <v>0</v>
      </c>
      <c r="S881">
        <f t="shared" si="728"/>
        <v>0</v>
      </c>
      <c r="T881">
        <f t="shared" si="729"/>
        <v>0</v>
      </c>
      <c r="U881">
        <f t="shared" si="730"/>
        <v>0</v>
      </c>
      <c r="V881">
        <f t="shared" si="731"/>
        <v>0</v>
      </c>
      <c r="W881">
        <f t="shared" si="732"/>
        <v>0</v>
      </c>
      <c r="X881">
        <f t="shared" si="733"/>
        <v>0</v>
      </c>
      <c r="Y881">
        <f t="shared" si="734"/>
        <v>0</v>
      </c>
      <c r="AA881">
        <v>129761633</v>
      </c>
      <c r="AB881">
        <f t="shared" si="735"/>
        <v>347.2</v>
      </c>
      <c r="AC881">
        <f t="shared" si="736"/>
        <v>347.2</v>
      </c>
      <c r="AD881">
        <f t="shared" si="757"/>
        <v>0</v>
      </c>
      <c r="AE881">
        <f t="shared" si="758"/>
        <v>0</v>
      </c>
      <c r="AF881">
        <f t="shared" si="759"/>
        <v>0</v>
      </c>
      <c r="AG881">
        <f t="shared" si="737"/>
        <v>0</v>
      </c>
      <c r="AH881">
        <f t="shared" si="760"/>
        <v>0</v>
      </c>
      <c r="AI881">
        <f t="shared" si="761"/>
        <v>0</v>
      </c>
      <c r="AJ881">
        <f t="shared" si="738"/>
        <v>0</v>
      </c>
      <c r="AK881">
        <v>347.2</v>
      </c>
      <c r="AL881">
        <v>347.2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1</v>
      </c>
      <c r="AW881">
        <v>1</v>
      </c>
      <c r="AZ881">
        <v>1</v>
      </c>
      <c r="BA881">
        <v>1</v>
      </c>
      <c r="BB881">
        <v>1</v>
      </c>
      <c r="BC881">
        <v>13.15</v>
      </c>
      <c r="BD881" t="s">
        <v>3</v>
      </c>
      <c r="BE881" t="s">
        <v>3</v>
      </c>
      <c r="BF881" t="s">
        <v>3</v>
      </c>
      <c r="BG881" t="s">
        <v>3</v>
      </c>
      <c r="BH881">
        <v>3</v>
      </c>
      <c r="BI881">
        <v>2</v>
      </c>
      <c r="BJ881" t="s">
        <v>761</v>
      </c>
      <c r="BM881">
        <v>333</v>
      </c>
      <c r="BN881">
        <v>0</v>
      </c>
      <c r="BO881" t="s">
        <v>759</v>
      </c>
      <c r="BP881">
        <v>1</v>
      </c>
      <c r="BQ881">
        <v>40</v>
      </c>
      <c r="BR881">
        <v>0</v>
      </c>
      <c r="BS881">
        <v>1</v>
      </c>
      <c r="BT881">
        <v>1</v>
      </c>
      <c r="BU881">
        <v>1</v>
      </c>
      <c r="BV881">
        <v>1</v>
      </c>
      <c r="BW881">
        <v>1</v>
      </c>
      <c r="BX881">
        <v>1</v>
      </c>
      <c r="BY881" t="s">
        <v>3</v>
      </c>
      <c r="BZ881">
        <v>0</v>
      </c>
      <c r="CA881">
        <v>0</v>
      </c>
      <c r="CB881" t="s">
        <v>3</v>
      </c>
      <c r="CE881">
        <v>30</v>
      </c>
      <c r="CF881">
        <v>0</v>
      </c>
      <c r="CG881">
        <v>0</v>
      </c>
      <c r="CM881">
        <v>0</v>
      </c>
      <c r="CN881" t="s">
        <v>3</v>
      </c>
      <c r="CO881">
        <v>0</v>
      </c>
      <c r="CP881">
        <f t="shared" si="739"/>
        <v>13697.04</v>
      </c>
      <c r="CQ881">
        <f t="shared" si="740"/>
        <v>4565.68</v>
      </c>
      <c r="CR881">
        <f t="shared" si="762"/>
        <v>0</v>
      </c>
      <c r="CS881">
        <f t="shared" si="741"/>
        <v>0</v>
      </c>
      <c r="CT881">
        <f t="shared" si="742"/>
        <v>0</v>
      </c>
      <c r="CU881">
        <f t="shared" si="743"/>
        <v>0</v>
      </c>
      <c r="CV881">
        <f t="shared" si="744"/>
        <v>0</v>
      </c>
      <c r="CW881">
        <f t="shared" si="745"/>
        <v>0</v>
      </c>
      <c r="CX881">
        <f t="shared" si="746"/>
        <v>0</v>
      </c>
      <c r="CY881">
        <f>S881*(BZ881/100)</f>
        <v>0</v>
      </c>
      <c r="CZ881">
        <f>S881*(CA881/100)</f>
        <v>0</v>
      </c>
      <c r="DC881" t="s">
        <v>3</v>
      </c>
      <c r="DD881" t="s">
        <v>3</v>
      </c>
      <c r="DE881" t="s">
        <v>3</v>
      </c>
      <c r="DF881" t="s">
        <v>3</v>
      </c>
      <c r="DG881" t="s">
        <v>3</v>
      </c>
      <c r="DH881" t="s">
        <v>3</v>
      </c>
      <c r="DI881" t="s">
        <v>3</v>
      </c>
      <c r="DJ881" t="s">
        <v>3</v>
      </c>
      <c r="DK881" t="s">
        <v>3</v>
      </c>
      <c r="DL881" t="s">
        <v>3</v>
      </c>
      <c r="DM881" t="s">
        <v>3</v>
      </c>
      <c r="DN881">
        <v>114</v>
      </c>
      <c r="DO881">
        <v>67</v>
      </c>
      <c r="DP881">
        <v>1</v>
      </c>
      <c r="DQ881">
        <v>1</v>
      </c>
      <c r="DU881">
        <v>1010</v>
      </c>
      <c r="DV881" t="s">
        <v>250</v>
      </c>
      <c r="DW881" t="s">
        <v>250</v>
      </c>
      <c r="DX881">
        <v>1</v>
      </c>
      <c r="DZ881" t="s">
        <v>3</v>
      </c>
      <c r="EA881" t="s">
        <v>3</v>
      </c>
      <c r="EB881" t="s">
        <v>3</v>
      </c>
      <c r="EC881" t="s">
        <v>3</v>
      </c>
      <c r="EE881">
        <v>126051794</v>
      </c>
      <c r="EF881">
        <v>40</v>
      </c>
      <c r="EG881" t="s">
        <v>621</v>
      </c>
      <c r="EH881">
        <v>0</v>
      </c>
      <c r="EI881" t="s">
        <v>3</v>
      </c>
      <c r="EJ881">
        <v>2</v>
      </c>
      <c r="EK881">
        <v>333</v>
      </c>
      <c r="EL881" t="s">
        <v>656</v>
      </c>
      <c r="EM881" t="s">
        <v>657</v>
      </c>
      <c r="EO881" t="s">
        <v>3</v>
      </c>
      <c r="EQ881">
        <v>0</v>
      </c>
      <c r="ER881">
        <v>347.2</v>
      </c>
      <c r="ES881">
        <v>347.2</v>
      </c>
      <c r="ET881">
        <v>0</v>
      </c>
      <c r="EU881">
        <v>0</v>
      </c>
      <c r="EV881">
        <v>0</v>
      </c>
      <c r="EW881">
        <v>0</v>
      </c>
      <c r="EX881">
        <v>0</v>
      </c>
      <c r="FQ881">
        <v>0</v>
      </c>
      <c r="FR881">
        <f t="shared" si="747"/>
        <v>0</v>
      </c>
      <c r="FS881">
        <v>0</v>
      </c>
      <c r="FX881">
        <v>114</v>
      </c>
      <c r="FY881">
        <v>67</v>
      </c>
      <c r="GA881" t="s">
        <v>3</v>
      </c>
      <c r="GD881">
        <v>0</v>
      </c>
      <c r="GF881">
        <v>-2016539353</v>
      </c>
      <c r="GG881">
        <v>2</v>
      </c>
      <c r="GH881">
        <v>1</v>
      </c>
      <c r="GI881">
        <v>2</v>
      </c>
      <c r="GJ881">
        <v>0</v>
      </c>
      <c r="GK881">
        <f>ROUND(R881*(S12)/100,2)</f>
        <v>0</v>
      </c>
      <c r="GL881">
        <f t="shared" si="748"/>
        <v>0</v>
      </c>
      <c r="GM881">
        <f t="shared" si="749"/>
        <v>13697.04</v>
      </c>
      <c r="GN881">
        <f t="shared" si="750"/>
        <v>0</v>
      </c>
      <c r="GO881">
        <f t="shared" si="751"/>
        <v>13697.04</v>
      </c>
      <c r="GP881">
        <f t="shared" si="752"/>
        <v>0</v>
      </c>
      <c r="GR881">
        <v>0</v>
      </c>
      <c r="GS881">
        <v>3</v>
      </c>
      <c r="GT881">
        <v>0</v>
      </c>
      <c r="GU881" t="s">
        <v>3</v>
      </c>
      <c r="GV881">
        <f t="shared" si="753"/>
        <v>0</v>
      </c>
      <c r="GW881">
        <v>1</v>
      </c>
      <c r="GX881">
        <f t="shared" si="754"/>
        <v>0</v>
      </c>
      <c r="HA881">
        <v>0</v>
      </c>
      <c r="HB881">
        <v>0</v>
      </c>
      <c r="HC881">
        <f t="shared" si="755"/>
        <v>0</v>
      </c>
      <c r="HE881" t="s">
        <v>3</v>
      </c>
      <c r="HF881" t="s">
        <v>3</v>
      </c>
      <c r="HM881" t="s">
        <v>3</v>
      </c>
      <c r="HN881" t="s">
        <v>3</v>
      </c>
      <c r="HO881" t="s">
        <v>3</v>
      </c>
      <c r="HP881" t="s">
        <v>3</v>
      </c>
      <c r="HQ881" t="s">
        <v>3</v>
      </c>
      <c r="IK881">
        <v>0</v>
      </c>
    </row>
    <row r="882" spans="1:255" x14ac:dyDescent="0.2">
      <c r="A882" s="2">
        <v>18</v>
      </c>
      <c r="B882" s="2">
        <v>1</v>
      </c>
      <c r="C882" s="2">
        <v>740</v>
      </c>
      <c r="D882" s="2"/>
      <c r="E882" s="2" t="s">
        <v>533</v>
      </c>
      <c r="F882" s="2" t="s">
        <v>648</v>
      </c>
      <c r="G882" s="2" t="s">
        <v>649</v>
      </c>
      <c r="H882" s="2" t="s">
        <v>250</v>
      </c>
      <c r="I882" s="2">
        <f>I878*J882</f>
        <v>3</v>
      </c>
      <c r="J882" s="2">
        <v>100</v>
      </c>
      <c r="K882" s="2">
        <v>100</v>
      </c>
      <c r="L882" s="2"/>
      <c r="M882" s="2"/>
      <c r="N882" s="2"/>
      <c r="O882" s="2">
        <f t="shared" si="725"/>
        <v>46.08</v>
      </c>
      <c r="P882" s="2">
        <f t="shared" si="726"/>
        <v>46.08</v>
      </c>
      <c r="Q882" s="2">
        <f t="shared" si="756"/>
        <v>0</v>
      </c>
      <c r="R882" s="2">
        <f t="shared" si="727"/>
        <v>0</v>
      </c>
      <c r="S882" s="2">
        <f t="shared" si="728"/>
        <v>0</v>
      </c>
      <c r="T882" s="2">
        <f t="shared" si="729"/>
        <v>0</v>
      </c>
      <c r="U882" s="2">
        <f t="shared" si="730"/>
        <v>0</v>
      </c>
      <c r="V882" s="2">
        <f t="shared" si="731"/>
        <v>0</v>
      </c>
      <c r="W882" s="2">
        <f t="shared" si="732"/>
        <v>0</v>
      </c>
      <c r="X882" s="2">
        <f t="shared" si="733"/>
        <v>0</v>
      </c>
      <c r="Y882" s="2">
        <f t="shared" si="734"/>
        <v>0</v>
      </c>
      <c r="Z882" s="2"/>
      <c r="AA882" s="2">
        <v>129761636</v>
      </c>
      <c r="AB882" s="2">
        <f t="shared" si="735"/>
        <v>15.36</v>
      </c>
      <c r="AC882" s="2">
        <f t="shared" si="736"/>
        <v>15.36</v>
      </c>
      <c r="AD882" s="2">
        <f t="shared" si="757"/>
        <v>0</v>
      </c>
      <c r="AE882" s="2">
        <f t="shared" si="758"/>
        <v>0</v>
      </c>
      <c r="AF882" s="2">
        <f t="shared" si="759"/>
        <v>0</v>
      </c>
      <c r="AG882" s="2">
        <f t="shared" si="737"/>
        <v>0</v>
      </c>
      <c r="AH882" s="2">
        <f t="shared" si="760"/>
        <v>0</v>
      </c>
      <c r="AI882" s="2">
        <f t="shared" si="761"/>
        <v>0</v>
      </c>
      <c r="AJ882" s="2">
        <f t="shared" si="738"/>
        <v>0</v>
      </c>
      <c r="AK882" s="2">
        <v>15.36</v>
      </c>
      <c r="AL882" s="2">
        <v>15.36</v>
      </c>
      <c r="AM882" s="2">
        <v>0</v>
      </c>
      <c r="AN882" s="2">
        <v>0</v>
      </c>
      <c r="AO882" s="2">
        <v>0</v>
      </c>
      <c r="AP882" s="2">
        <v>0</v>
      </c>
      <c r="AQ882" s="2">
        <v>0</v>
      </c>
      <c r="AR882" s="2">
        <v>0</v>
      </c>
      <c r="AS882" s="2">
        <v>0</v>
      </c>
      <c r="AT882" s="2">
        <v>114</v>
      </c>
      <c r="AU882" s="2">
        <v>67</v>
      </c>
      <c r="AV882" s="2">
        <v>1</v>
      </c>
      <c r="AW882" s="2">
        <v>1</v>
      </c>
      <c r="AX882" s="2"/>
      <c r="AY882" s="2"/>
      <c r="AZ882" s="2">
        <v>1</v>
      </c>
      <c r="BA882" s="2">
        <v>1</v>
      </c>
      <c r="BB882" s="2">
        <v>1</v>
      </c>
      <c r="BC882" s="2">
        <v>1</v>
      </c>
      <c r="BD882" s="2" t="s">
        <v>3</v>
      </c>
      <c r="BE882" s="2" t="s">
        <v>3</v>
      </c>
      <c r="BF882" s="2" t="s">
        <v>3</v>
      </c>
      <c r="BG882" s="2" t="s">
        <v>3</v>
      </c>
      <c r="BH882" s="2">
        <v>3</v>
      </c>
      <c r="BI882" s="2">
        <v>2</v>
      </c>
      <c r="BJ882" s="2" t="s">
        <v>650</v>
      </c>
      <c r="BK882" s="2"/>
      <c r="BL882" s="2"/>
      <c r="BM882" s="2">
        <v>333</v>
      </c>
      <c r="BN882" s="2">
        <v>0</v>
      </c>
      <c r="BO882" s="2" t="s">
        <v>3</v>
      </c>
      <c r="BP882" s="2">
        <v>0</v>
      </c>
      <c r="BQ882" s="2">
        <v>40</v>
      </c>
      <c r="BR882" s="2">
        <v>0</v>
      </c>
      <c r="BS882" s="2">
        <v>1</v>
      </c>
      <c r="BT882" s="2">
        <v>1</v>
      </c>
      <c r="BU882" s="2">
        <v>1</v>
      </c>
      <c r="BV882" s="2">
        <v>1</v>
      </c>
      <c r="BW882" s="2">
        <v>1</v>
      </c>
      <c r="BX882" s="2">
        <v>1</v>
      </c>
      <c r="BY882" s="2" t="s">
        <v>3</v>
      </c>
      <c r="BZ882" s="2">
        <v>114</v>
      </c>
      <c r="CA882" s="2">
        <v>67</v>
      </c>
      <c r="CB882" s="2" t="s">
        <v>3</v>
      </c>
      <c r="CC882" s="2"/>
      <c r="CD882" s="2"/>
      <c r="CE882" s="2">
        <v>30</v>
      </c>
      <c r="CF882" s="2">
        <v>0</v>
      </c>
      <c r="CG882" s="2">
        <v>0</v>
      </c>
      <c r="CH882" s="2"/>
      <c r="CI882" s="2"/>
      <c r="CJ882" s="2"/>
      <c r="CK882" s="2"/>
      <c r="CL882" s="2"/>
      <c r="CM882" s="2">
        <v>0</v>
      </c>
      <c r="CN882" s="2" t="s">
        <v>3</v>
      </c>
      <c r="CO882" s="2">
        <v>0</v>
      </c>
      <c r="CP882" s="2">
        <f t="shared" si="739"/>
        <v>46.08</v>
      </c>
      <c r="CQ882" s="2">
        <f t="shared" si="740"/>
        <v>15.36</v>
      </c>
      <c r="CR882" s="2">
        <f t="shared" si="762"/>
        <v>0</v>
      </c>
      <c r="CS882" s="2">
        <f t="shared" si="741"/>
        <v>0</v>
      </c>
      <c r="CT882" s="2">
        <f t="shared" si="742"/>
        <v>0</v>
      </c>
      <c r="CU882" s="2">
        <f t="shared" si="743"/>
        <v>0</v>
      </c>
      <c r="CV882" s="2">
        <f t="shared" si="744"/>
        <v>0</v>
      </c>
      <c r="CW882" s="2">
        <f t="shared" si="745"/>
        <v>0</v>
      </c>
      <c r="CX882" s="2">
        <f t="shared" si="746"/>
        <v>0</v>
      </c>
      <c r="CY882" s="2">
        <f>((S882*BZ882)/100)</f>
        <v>0</v>
      </c>
      <c r="CZ882" s="2">
        <f>((S882*CA882)/100)</f>
        <v>0</v>
      </c>
      <c r="DA882" s="2"/>
      <c r="DB882" s="2"/>
      <c r="DC882" s="2" t="s">
        <v>3</v>
      </c>
      <c r="DD882" s="2" t="s">
        <v>3</v>
      </c>
      <c r="DE882" s="2" t="s">
        <v>3</v>
      </c>
      <c r="DF882" s="2" t="s">
        <v>3</v>
      </c>
      <c r="DG882" s="2" t="s">
        <v>3</v>
      </c>
      <c r="DH882" s="2" t="s">
        <v>3</v>
      </c>
      <c r="DI882" s="2" t="s">
        <v>3</v>
      </c>
      <c r="DJ882" s="2" t="s">
        <v>3</v>
      </c>
      <c r="DK882" s="2" t="s">
        <v>3</v>
      </c>
      <c r="DL882" s="2" t="s">
        <v>3</v>
      </c>
      <c r="DM882" s="2" t="s">
        <v>3</v>
      </c>
      <c r="DN882" s="2">
        <v>0</v>
      </c>
      <c r="DO882" s="2">
        <v>0</v>
      </c>
      <c r="DP882" s="2">
        <v>1</v>
      </c>
      <c r="DQ882" s="2">
        <v>1</v>
      </c>
      <c r="DR882" s="2"/>
      <c r="DS882" s="2"/>
      <c r="DT882" s="2"/>
      <c r="DU882" s="2">
        <v>1010</v>
      </c>
      <c r="DV882" s="2" t="s">
        <v>250</v>
      </c>
      <c r="DW882" s="2" t="s">
        <v>250</v>
      </c>
      <c r="DX882" s="2">
        <v>1</v>
      </c>
      <c r="DY882" s="2"/>
      <c r="DZ882" s="2" t="s">
        <v>3</v>
      </c>
      <c r="EA882" s="2" t="s">
        <v>3</v>
      </c>
      <c r="EB882" s="2" t="s">
        <v>3</v>
      </c>
      <c r="EC882" s="2" t="s">
        <v>3</v>
      </c>
      <c r="ED882" s="2"/>
      <c r="EE882" s="2">
        <v>126051794</v>
      </c>
      <c r="EF882" s="2">
        <v>40</v>
      </c>
      <c r="EG882" s="2" t="s">
        <v>621</v>
      </c>
      <c r="EH882" s="2">
        <v>0</v>
      </c>
      <c r="EI882" s="2" t="s">
        <v>3</v>
      </c>
      <c r="EJ882" s="2">
        <v>2</v>
      </c>
      <c r="EK882" s="2">
        <v>333</v>
      </c>
      <c r="EL882" s="2" t="s">
        <v>656</v>
      </c>
      <c r="EM882" s="2" t="s">
        <v>657</v>
      </c>
      <c r="EN882" s="2"/>
      <c r="EO882" s="2" t="s">
        <v>3</v>
      </c>
      <c r="EP882" s="2"/>
      <c r="EQ882" s="2">
        <v>0</v>
      </c>
      <c r="ER882" s="2">
        <v>15.36</v>
      </c>
      <c r="ES882" s="2">
        <v>15.36</v>
      </c>
      <c r="ET882" s="2">
        <v>0</v>
      </c>
      <c r="EU882" s="2">
        <v>0</v>
      </c>
      <c r="EV882" s="2">
        <v>0</v>
      </c>
      <c r="EW882" s="2">
        <v>0</v>
      </c>
      <c r="EX882" s="2">
        <v>0</v>
      </c>
      <c r="EY882" s="2"/>
      <c r="EZ882" s="2"/>
      <c r="FA882" s="2"/>
      <c r="FB882" s="2"/>
      <c r="FC882" s="2"/>
      <c r="FD882" s="2"/>
      <c r="FE882" s="2"/>
      <c r="FF882" s="2"/>
      <c r="FG882" s="2"/>
      <c r="FH882" s="2"/>
      <c r="FI882" s="2"/>
      <c r="FJ882" s="2"/>
      <c r="FK882" s="2"/>
      <c r="FL882" s="2"/>
      <c r="FM882" s="2"/>
      <c r="FN882" s="2"/>
      <c r="FO882" s="2"/>
      <c r="FP882" s="2"/>
      <c r="FQ882" s="2">
        <v>0</v>
      </c>
      <c r="FR882" s="2">
        <f t="shared" si="747"/>
        <v>0</v>
      </c>
      <c r="FS882" s="2">
        <v>0</v>
      </c>
      <c r="FT882" s="2"/>
      <c r="FU882" s="2"/>
      <c r="FV882" s="2"/>
      <c r="FW882" s="2"/>
      <c r="FX882" s="2">
        <v>114</v>
      </c>
      <c r="FY882" s="2">
        <v>67</v>
      </c>
      <c r="FZ882" s="2"/>
      <c r="GA882" s="2" t="s">
        <v>3</v>
      </c>
      <c r="GB882" s="2"/>
      <c r="GC882" s="2"/>
      <c r="GD882" s="2">
        <v>0</v>
      </c>
      <c r="GE882" s="2"/>
      <c r="GF882" s="2">
        <v>1588752738</v>
      </c>
      <c r="GG882" s="2">
        <v>2</v>
      </c>
      <c r="GH882" s="2">
        <v>1</v>
      </c>
      <c r="GI882" s="2">
        <v>-2</v>
      </c>
      <c r="GJ882" s="2">
        <v>0</v>
      </c>
      <c r="GK882" s="2">
        <f>ROUND(R882*(R12)/100,2)</f>
        <v>0</v>
      </c>
      <c r="GL882" s="2">
        <f t="shared" si="748"/>
        <v>0</v>
      </c>
      <c r="GM882" s="2">
        <f t="shared" si="749"/>
        <v>46.08</v>
      </c>
      <c r="GN882" s="2">
        <f t="shared" si="750"/>
        <v>0</v>
      </c>
      <c r="GO882" s="2">
        <f t="shared" si="751"/>
        <v>46.08</v>
      </c>
      <c r="GP882" s="2">
        <f t="shared" si="752"/>
        <v>0</v>
      </c>
      <c r="GQ882" s="2"/>
      <c r="GR882" s="2">
        <v>0</v>
      </c>
      <c r="GS882" s="2">
        <v>0</v>
      </c>
      <c r="GT882" s="2">
        <v>0</v>
      </c>
      <c r="GU882" s="2" t="s">
        <v>3</v>
      </c>
      <c r="GV882" s="2">
        <f t="shared" si="753"/>
        <v>0</v>
      </c>
      <c r="GW882" s="2">
        <v>1</v>
      </c>
      <c r="GX882" s="2">
        <f t="shared" si="754"/>
        <v>0</v>
      </c>
      <c r="GY882" s="2"/>
      <c r="GZ882" s="2"/>
      <c r="HA882" s="2">
        <v>0</v>
      </c>
      <c r="HB882" s="2">
        <v>0</v>
      </c>
      <c r="HC882" s="2">
        <f t="shared" si="755"/>
        <v>0</v>
      </c>
      <c r="HD882" s="2"/>
      <c r="HE882" s="2" t="s">
        <v>3</v>
      </c>
      <c r="HF882" s="2" t="s">
        <v>3</v>
      </c>
      <c r="HG882" s="2"/>
      <c r="HH882" s="2"/>
      <c r="HI882" s="2"/>
      <c r="HJ882" s="2"/>
      <c r="HK882" s="2"/>
      <c r="HL882" s="2"/>
      <c r="HM882" s="2" t="s">
        <v>3</v>
      </c>
      <c r="HN882" s="2" t="s">
        <v>3</v>
      </c>
      <c r="HO882" s="2" t="s">
        <v>3</v>
      </c>
      <c r="HP882" s="2" t="s">
        <v>3</v>
      </c>
      <c r="HQ882" s="2" t="s">
        <v>3</v>
      </c>
      <c r="HR882" s="2"/>
      <c r="HS882" s="2"/>
      <c r="HT882" s="2"/>
      <c r="HU882" s="2"/>
      <c r="HV882" s="2"/>
      <c r="HW882" s="2"/>
      <c r="HX882" s="2"/>
      <c r="HY882" s="2"/>
      <c r="HZ882" s="2"/>
      <c r="IA882" s="2"/>
      <c r="IB882" s="2"/>
      <c r="IC882" s="2"/>
      <c r="ID882" s="2"/>
      <c r="IE882" s="2"/>
      <c r="IF882" s="2"/>
      <c r="IG882" s="2"/>
      <c r="IH882" s="2"/>
      <c r="II882" s="2"/>
      <c r="IJ882" s="2"/>
      <c r="IK882" s="2">
        <v>0</v>
      </c>
      <c r="IL882" s="2"/>
      <c r="IM882" s="2"/>
      <c r="IN882" s="2"/>
      <c r="IO882" s="2"/>
      <c r="IP882" s="2"/>
      <c r="IQ882" s="2"/>
      <c r="IR882" s="2"/>
      <c r="IS882" s="2"/>
      <c r="IT882" s="2"/>
      <c r="IU882" s="2"/>
    </row>
    <row r="883" spans="1:255" x14ac:dyDescent="0.2">
      <c r="A883">
        <v>18</v>
      </c>
      <c r="B883">
        <v>1</v>
      </c>
      <c r="C883">
        <v>743</v>
      </c>
      <c r="E883" t="s">
        <v>533</v>
      </c>
      <c r="F883" t="s">
        <v>648</v>
      </c>
      <c r="G883" t="s">
        <v>649</v>
      </c>
      <c r="H883" t="s">
        <v>250</v>
      </c>
      <c r="I883">
        <f>I879*J883</f>
        <v>3</v>
      </c>
      <c r="J883">
        <v>100</v>
      </c>
      <c r="K883">
        <v>100</v>
      </c>
      <c r="O883">
        <f t="shared" si="725"/>
        <v>181.56</v>
      </c>
      <c r="P883">
        <f t="shared" si="726"/>
        <v>181.56</v>
      </c>
      <c r="Q883">
        <f t="shared" si="756"/>
        <v>0</v>
      </c>
      <c r="R883">
        <f t="shared" si="727"/>
        <v>0</v>
      </c>
      <c r="S883">
        <f t="shared" si="728"/>
        <v>0</v>
      </c>
      <c r="T883">
        <f t="shared" si="729"/>
        <v>0</v>
      </c>
      <c r="U883">
        <f t="shared" si="730"/>
        <v>0</v>
      </c>
      <c r="V883">
        <f t="shared" si="731"/>
        <v>0</v>
      </c>
      <c r="W883">
        <f t="shared" si="732"/>
        <v>0</v>
      </c>
      <c r="X883">
        <f t="shared" si="733"/>
        <v>0</v>
      </c>
      <c r="Y883">
        <f t="shared" si="734"/>
        <v>0</v>
      </c>
      <c r="AA883">
        <v>129761633</v>
      </c>
      <c r="AB883">
        <f t="shared" si="735"/>
        <v>15.36</v>
      </c>
      <c r="AC883">
        <f t="shared" si="736"/>
        <v>15.36</v>
      </c>
      <c r="AD883">
        <f t="shared" si="757"/>
        <v>0</v>
      </c>
      <c r="AE883">
        <f t="shared" si="758"/>
        <v>0</v>
      </c>
      <c r="AF883">
        <f t="shared" si="759"/>
        <v>0</v>
      </c>
      <c r="AG883">
        <f t="shared" si="737"/>
        <v>0</v>
      </c>
      <c r="AH883">
        <f t="shared" si="760"/>
        <v>0</v>
      </c>
      <c r="AI883">
        <f t="shared" si="761"/>
        <v>0</v>
      </c>
      <c r="AJ883">
        <f t="shared" si="738"/>
        <v>0</v>
      </c>
      <c r="AK883">
        <v>15.36</v>
      </c>
      <c r="AL883">
        <v>15.36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1</v>
      </c>
      <c r="AW883">
        <v>1</v>
      </c>
      <c r="AZ883">
        <v>1</v>
      </c>
      <c r="BA883">
        <v>1</v>
      </c>
      <c r="BB883">
        <v>1</v>
      </c>
      <c r="BC883">
        <v>3.94</v>
      </c>
      <c r="BD883" t="s">
        <v>3</v>
      </c>
      <c r="BE883" t="s">
        <v>3</v>
      </c>
      <c r="BF883" t="s">
        <v>3</v>
      </c>
      <c r="BG883" t="s">
        <v>3</v>
      </c>
      <c r="BH883">
        <v>3</v>
      </c>
      <c r="BI883">
        <v>2</v>
      </c>
      <c r="BJ883" t="s">
        <v>650</v>
      </c>
      <c r="BM883">
        <v>333</v>
      </c>
      <c r="BN883">
        <v>0</v>
      </c>
      <c r="BO883" t="s">
        <v>648</v>
      </c>
      <c r="BP883">
        <v>1</v>
      </c>
      <c r="BQ883">
        <v>40</v>
      </c>
      <c r="BR883">
        <v>0</v>
      </c>
      <c r="BS883">
        <v>1</v>
      </c>
      <c r="BT883">
        <v>1</v>
      </c>
      <c r="BU883">
        <v>1</v>
      </c>
      <c r="BV883">
        <v>1</v>
      </c>
      <c r="BW883">
        <v>1</v>
      </c>
      <c r="BX883">
        <v>1</v>
      </c>
      <c r="BY883" t="s">
        <v>3</v>
      </c>
      <c r="BZ883">
        <v>0</v>
      </c>
      <c r="CA883">
        <v>0</v>
      </c>
      <c r="CB883" t="s">
        <v>3</v>
      </c>
      <c r="CE883">
        <v>30</v>
      </c>
      <c r="CF883">
        <v>0</v>
      </c>
      <c r="CG883">
        <v>0</v>
      </c>
      <c r="CM883">
        <v>0</v>
      </c>
      <c r="CN883" t="s">
        <v>3</v>
      </c>
      <c r="CO883">
        <v>0</v>
      </c>
      <c r="CP883">
        <f t="shared" si="739"/>
        <v>181.56</v>
      </c>
      <c r="CQ883">
        <f t="shared" si="740"/>
        <v>60.52</v>
      </c>
      <c r="CR883">
        <f t="shared" si="762"/>
        <v>0</v>
      </c>
      <c r="CS883">
        <f t="shared" si="741"/>
        <v>0</v>
      </c>
      <c r="CT883">
        <f t="shared" si="742"/>
        <v>0</v>
      </c>
      <c r="CU883">
        <f t="shared" si="743"/>
        <v>0</v>
      </c>
      <c r="CV883">
        <f t="shared" si="744"/>
        <v>0</v>
      </c>
      <c r="CW883">
        <f t="shared" si="745"/>
        <v>0</v>
      </c>
      <c r="CX883">
        <f t="shared" si="746"/>
        <v>0</v>
      </c>
      <c r="CY883">
        <f>S883*(BZ883/100)</f>
        <v>0</v>
      </c>
      <c r="CZ883">
        <f>S883*(CA883/100)</f>
        <v>0</v>
      </c>
      <c r="DC883" t="s">
        <v>3</v>
      </c>
      <c r="DD883" t="s">
        <v>3</v>
      </c>
      <c r="DE883" t="s">
        <v>3</v>
      </c>
      <c r="DF883" t="s">
        <v>3</v>
      </c>
      <c r="DG883" t="s">
        <v>3</v>
      </c>
      <c r="DH883" t="s">
        <v>3</v>
      </c>
      <c r="DI883" t="s">
        <v>3</v>
      </c>
      <c r="DJ883" t="s">
        <v>3</v>
      </c>
      <c r="DK883" t="s">
        <v>3</v>
      </c>
      <c r="DL883" t="s">
        <v>3</v>
      </c>
      <c r="DM883" t="s">
        <v>3</v>
      </c>
      <c r="DN883">
        <v>114</v>
      </c>
      <c r="DO883">
        <v>67</v>
      </c>
      <c r="DP883">
        <v>1</v>
      </c>
      <c r="DQ883">
        <v>1</v>
      </c>
      <c r="DU883">
        <v>1010</v>
      </c>
      <c r="DV883" t="s">
        <v>250</v>
      </c>
      <c r="DW883" t="s">
        <v>250</v>
      </c>
      <c r="DX883">
        <v>1</v>
      </c>
      <c r="DZ883" t="s">
        <v>3</v>
      </c>
      <c r="EA883" t="s">
        <v>3</v>
      </c>
      <c r="EB883" t="s">
        <v>3</v>
      </c>
      <c r="EC883" t="s">
        <v>3</v>
      </c>
      <c r="EE883">
        <v>126051794</v>
      </c>
      <c r="EF883">
        <v>40</v>
      </c>
      <c r="EG883" t="s">
        <v>621</v>
      </c>
      <c r="EH883">
        <v>0</v>
      </c>
      <c r="EI883" t="s">
        <v>3</v>
      </c>
      <c r="EJ883">
        <v>2</v>
      </c>
      <c r="EK883">
        <v>333</v>
      </c>
      <c r="EL883" t="s">
        <v>656</v>
      </c>
      <c r="EM883" t="s">
        <v>657</v>
      </c>
      <c r="EO883" t="s">
        <v>3</v>
      </c>
      <c r="EQ883">
        <v>0</v>
      </c>
      <c r="ER883">
        <v>15.36</v>
      </c>
      <c r="ES883">
        <v>15.36</v>
      </c>
      <c r="ET883">
        <v>0</v>
      </c>
      <c r="EU883">
        <v>0</v>
      </c>
      <c r="EV883">
        <v>0</v>
      </c>
      <c r="EW883">
        <v>0</v>
      </c>
      <c r="EX883">
        <v>0</v>
      </c>
      <c r="FQ883">
        <v>0</v>
      </c>
      <c r="FR883">
        <f t="shared" si="747"/>
        <v>0</v>
      </c>
      <c r="FS883">
        <v>0</v>
      </c>
      <c r="FX883">
        <v>114</v>
      </c>
      <c r="FY883">
        <v>67</v>
      </c>
      <c r="GA883" t="s">
        <v>3</v>
      </c>
      <c r="GD883">
        <v>0</v>
      </c>
      <c r="GF883">
        <v>1588752738</v>
      </c>
      <c r="GG883">
        <v>2</v>
      </c>
      <c r="GH883">
        <v>1</v>
      </c>
      <c r="GI883">
        <v>2</v>
      </c>
      <c r="GJ883">
        <v>0</v>
      </c>
      <c r="GK883">
        <f>ROUND(R883*(S12)/100,2)</f>
        <v>0</v>
      </c>
      <c r="GL883">
        <f t="shared" si="748"/>
        <v>0</v>
      </c>
      <c r="GM883">
        <f t="shared" si="749"/>
        <v>181.56</v>
      </c>
      <c r="GN883">
        <f t="shared" si="750"/>
        <v>0</v>
      </c>
      <c r="GO883">
        <f t="shared" si="751"/>
        <v>181.56</v>
      </c>
      <c r="GP883">
        <f t="shared" si="752"/>
        <v>0</v>
      </c>
      <c r="GR883">
        <v>0</v>
      </c>
      <c r="GS883">
        <v>3</v>
      </c>
      <c r="GT883">
        <v>0</v>
      </c>
      <c r="GU883" t="s">
        <v>3</v>
      </c>
      <c r="GV883">
        <f t="shared" si="753"/>
        <v>0</v>
      </c>
      <c r="GW883">
        <v>1</v>
      </c>
      <c r="GX883">
        <f t="shared" si="754"/>
        <v>0</v>
      </c>
      <c r="HA883">
        <v>0</v>
      </c>
      <c r="HB883">
        <v>0</v>
      </c>
      <c r="HC883">
        <f t="shared" si="755"/>
        <v>0</v>
      </c>
      <c r="HE883" t="s">
        <v>3</v>
      </c>
      <c r="HF883" t="s">
        <v>3</v>
      </c>
      <c r="HM883" t="s">
        <v>3</v>
      </c>
      <c r="HN883" t="s">
        <v>3</v>
      </c>
      <c r="HO883" t="s">
        <v>3</v>
      </c>
      <c r="HP883" t="s">
        <v>3</v>
      </c>
      <c r="HQ883" t="s">
        <v>3</v>
      </c>
      <c r="IK883">
        <v>0</v>
      </c>
    </row>
    <row r="884" spans="1:255" x14ac:dyDescent="0.2">
      <c r="A884" s="2">
        <v>17</v>
      </c>
      <c r="B884" s="2">
        <v>1</v>
      </c>
      <c r="C884" s="2">
        <f>ROW(SmtRes!A747)</f>
        <v>747</v>
      </c>
      <c r="D884" s="2">
        <f>ROW(EtalonRes!A724)</f>
        <v>724</v>
      </c>
      <c r="E884" s="2" t="s">
        <v>124</v>
      </c>
      <c r="F884" s="2" t="s">
        <v>762</v>
      </c>
      <c r="G884" s="2" t="s">
        <v>763</v>
      </c>
      <c r="H884" s="2" t="s">
        <v>231</v>
      </c>
      <c r="I884" s="2">
        <v>1</v>
      </c>
      <c r="J884" s="2">
        <v>0</v>
      </c>
      <c r="K884" s="2">
        <v>1</v>
      </c>
      <c r="L884" s="2"/>
      <c r="M884" s="2"/>
      <c r="N884" s="2"/>
      <c r="O884" s="2">
        <f t="shared" si="725"/>
        <v>5.95</v>
      </c>
      <c r="P884" s="2">
        <f t="shared" si="726"/>
        <v>0</v>
      </c>
      <c r="Q884" s="2">
        <f t="shared" si="756"/>
        <v>0</v>
      </c>
      <c r="R884" s="2">
        <f t="shared" si="727"/>
        <v>0</v>
      </c>
      <c r="S884" s="2">
        <f t="shared" si="728"/>
        <v>5.95</v>
      </c>
      <c r="T884" s="2">
        <f t="shared" si="729"/>
        <v>0</v>
      </c>
      <c r="U884" s="2">
        <f t="shared" si="730"/>
        <v>0.5</v>
      </c>
      <c r="V884" s="2">
        <f t="shared" si="731"/>
        <v>0</v>
      </c>
      <c r="W884" s="2">
        <f t="shared" si="732"/>
        <v>0</v>
      </c>
      <c r="X884" s="2">
        <f t="shared" si="733"/>
        <v>6.78</v>
      </c>
      <c r="Y884" s="2">
        <f t="shared" si="734"/>
        <v>3.99</v>
      </c>
      <c r="Z884" s="2"/>
      <c r="AA884" s="2">
        <v>129761636</v>
      </c>
      <c r="AB884" s="2">
        <f t="shared" si="735"/>
        <v>5.95</v>
      </c>
      <c r="AC884" s="2">
        <f t="shared" si="736"/>
        <v>0</v>
      </c>
      <c r="AD884" s="2">
        <f t="shared" si="757"/>
        <v>0</v>
      </c>
      <c r="AE884" s="2">
        <f t="shared" si="758"/>
        <v>0</v>
      </c>
      <c r="AF884" s="2">
        <f t="shared" si="759"/>
        <v>5.95</v>
      </c>
      <c r="AG884" s="2">
        <f t="shared" si="737"/>
        <v>0</v>
      </c>
      <c r="AH884" s="2">
        <f t="shared" si="760"/>
        <v>0.5</v>
      </c>
      <c r="AI884" s="2">
        <f t="shared" si="761"/>
        <v>0</v>
      </c>
      <c r="AJ884" s="2">
        <f t="shared" si="738"/>
        <v>0</v>
      </c>
      <c r="AK884" s="2">
        <v>5.95</v>
      </c>
      <c r="AL884" s="2">
        <v>0</v>
      </c>
      <c r="AM884" s="2">
        <v>0</v>
      </c>
      <c r="AN884" s="2">
        <v>0</v>
      </c>
      <c r="AO884" s="2">
        <v>5.95</v>
      </c>
      <c r="AP884" s="2">
        <v>0</v>
      </c>
      <c r="AQ884" s="2">
        <v>0.5</v>
      </c>
      <c r="AR884" s="2">
        <v>0</v>
      </c>
      <c r="AS884" s="2">
        <v>0</v>
      </c>
      <c r="AT884" s="2">
        <v>114</v>
      </c>
      <c r="AU884" s="2">
        <v>67</v>
      </c>
      <c r="AV884" s="2">
        <v>1</v>
      </c>
      <c r="AW884" s="2">
        <v>1</v>
      </c>
      <c r="AX884" s="2"/>
      <c r="AY884" s="2"/>
      <c r="AZ884" s="2">
        <v>1</v>
      </c>
      <c r="BA884" s="2">
        <v>1</v>
      </c>
      <c r="BB884" s="2">
        <v>1</v>
      </c>
      <c r="BC884" s="2">
        <v>1</v>
      </c>
      <c r="BD884" s="2" t="s">
        <v>3</v>
      </c>
      <c r="BE884" s="2" t="s">
        <v>3</v>
      </c>
      <c r="BF884" s="2" t="s">
        <v>3</v>
      </c>
      <c r="BG884" s="2" t="s">
        <v>3</v>
      </c>
      <c r="BH884" s="2">
        <v>0</v>
      </c>
      <c r="BI884" s="2">
        <v>2</v>
      </c>
      <c r="BJ884" s="2" t="s">
        <v>764</v>
      </c>
      <c r="BK884" s="2"/>
      <c r="BL884" s="2"/>
      <c r="BM884" s="2">
        <v>336</v>
      </c>
      <c r="BN884" s="2">
        <v>0</v>
      </c>
      <c r="BO884" s="2" t="s">
        <v>3</v>
      </c>
      <c r="BP884" s="2">
        <v>0</v>
      </c>
      <c r="BQ884" s="2">
        <v>40</v>
      </c>
      <c r="BR884" s="2">
        <v>0</v>
      </c>
      <c r="BS884" s="2">
        <v>1</v>
      </c>
      <c r="BT884" s="2">
        <v>1</v>
      </c>
      <c r="BU884" s="2">
        <v>1</v>
      </c>
      <c r="BV884" s="2">
        <v>1</v>
      </c>
      <c r="BW884" s="2">
        <v>1</v>
      </c>
      <c r="BX884" s="2">
        <v>1</v>
      </c>
      <c r="BY884" s="2" t="s">
        <v>3</v>
      </c>
      <c r="BZ884" s="2">
        <v>114</v>
      </c>
      <c r="CA884" s="2">
        <v>67</v>
      </c>
      <c r="CB884" s="2" t="s">
        <v>3</v>
      </c>
      <c r="CC884" s="2"/>
      <c r="CD884" s="2"/>
      <c r="CE884" s="2">
        <v>30</v>
      </c>
      <c r="CF884" s="2">
        <v>0</v>
      </c>
      <c r="CG884" s="2">
        <v>0</v>
      </c>
      <c r="CH884" s="2"/>
      <c r="CI884" s="2"/>
      <c r="CJ884" s="2"/>
      <c r="CK884" s="2"/>
      <c r="CL884" s="2"/>
      <c r="CM884" s="2">
        <v>0</v>
      </c>
      <c r="CN884" s="2" t="s">
        <v>3</v>
      </c>
      <c r="CO884" s="2">
        <v>0</v>
      </c>
      <c r="CP884" s="2">
        <f t="shared" si="739"/>
        <v>5.95</v>
      </c>
      <c r="CQ884" s="2">
        <f t="shared" si="740"/>
        <v>0</v>
      </c>
      <c r="CR884" s="2">
        <f t="shared" si="762"/>
        <v>0</v>
      </c>
      <c r="CS884" s="2">
        <f t="shared" si="741"/>
        <v>0</v>
      </c>
      <c r="CT884" s="2">
        <f t="shared" si="742"/>
        <v>5.95</v>
      </c>
      <c r="CU884" s="2">
        <f t="shared" si="743"/>
        <v>0</v>
      </c>
      <c r="CV884" s="2">
        <f t="shared" si="744"/>
        <v>0.5</v>
      </c>
      <c r="CW884" s="2">
        <f t="shared" si="745"/>
        <v>0</v>
      </c>
      <c r="CX884" s="2">
        <f t="shared" si="746"/>
        <v>0</v>
      </c>
      <c r="CY884" s="2">
        <f>((S884*BZ884)/100)</f>
        <v>6.7830000000000004</v>
      </c>
      <c r="CZ884" s="2">
        <f>((S884*CA884)/100)</f>
        <v>3.9865000000000004</v>
      </c>
      <c r="DA884" s="2"/>
      <c r="DB884" s="2"/>
      <c r="DC884" s="2" t="s">
        <v>3</v>
      </c>
      <c r="DD884" s="2" t="s">
        <v>3</v>
      </c>
      <c r="DE884" s="2" t="s">
        <v>3</v>
      </c>
      <c r="DF884" s="2" t="s">
        <v>3</v>
      </c>
      <c r="DG884" s="2" t="s">
        <v>3</v>
      </c>
      <c r="DH884" s="2" t="s">
        <v>3</v>
      </c>
      <c r="DI884" s="2" t="s">
        <v>3</v>
      </c>
      <c r="DJ884" s="2" t="s">
        <v>3</v>
      </c>
      <c r="DK884" s="2" t="s">
        <v>3</v>
      </c>
      <c r="DL884" s="2" t="s">
        <v>3</v>
      </c>
      <c r="DM884" s="2" t="s">
        <v>3</v>
      </c>
      <c r="DN884" s="2">
        <v>0</v>
      </c>
      <c r="DO884" s="2">
        <v>0</v>
      </c>
      <c r="DP884" s="2">
        <v>1</v>
      </c>
      <c r="DQ884" s="2">
        <v>1</v>
      </c>
      <c r="DR884" s="2"/>
      <c r="DS884" s="2"/>
      <c r="DT884" s="2"/>
      <c r="DU884" s="2">
        <v>1013</v>
      </c>
      <c r="DV884" s="2" t="s">
        <v>231</v>
      </c>
      <c r="DW884" s="2" t="s">
        <v>231</v>
      </c>
      <c r="DX884" s="2">
        <v>1</v>
      </c>
      <c r="DY884" s="2"/>
      <c r="DZ884" s="2" t="s">
        <v>3</v>
      </c>
      <c r="EA884" s="2" t="s">
        <v>3</v>
      </c>
      <c r="EB884" s="2" t="s">
        <v>3</v>
      </c>
      <c r="EC884" s="2" t="s">
        <v>3</v>
      </c>
      <c r="ED884" s="2"/>
      <c r="EE884" s="2">
        <v>126051797</v>
      </c>
      <c r="EF884" s="2">
        <v>40</v>
      </c>
      <c r="EG884" s="2" t="s">
        <v>621</v>
      </c>
      <c r="EH884" s="2">
        <v>0</v>
      </c>
      <c r="EI884" s="2" t="s">
        <v>3</v>
      </c>
      <c r="EJ884" s="2">
        <v>2</v>
      </c>
      <c r="EK884" s="2">
        <v>336</v>
      </c>
      <c r="EL884" s="2" t="s">
        <v>632</v>
      </c>
      <c r="EM884" s="2" t="s">
        <v>633</v>
      </c>
      <c r="EN884" s="2"/>
      <c r="EO884" s="2" t="s">
        <v>3</v>
      </c>
      <c r="EP884" s="2"/>
      <c r="EQ884" s="2">
        <v>131072</v>
      </c>
      <c r="ER884" s="2">
        <v>5.95</v>
      </c>
      <c r="ES884" s="2">
        <v>0</v>
      </c>
      <c r="ET884" s="2">
        <v>0</v>
      </c>
      <c r="EU884" s="2">
        <v>0</v>
      </c>
      <c r="EV884" s="2">
        <v>5.95</v>
      </c>
      <c r="EW884" s="2">
        <v>0.5</v>
      </c>
      <c r="EX884" s="2">
        <v>0</v>
      </c>
      <c r="EY884" s="2">
        <v>0</v>
      </c>
      <c r="EZ884" s="2"/>
      <c r="FA884" s="2"/>
      <c r="FB884" s="2"/>
      <c r="FC884" s="2"/>
      <c r="FD884" s="2"/>
      <c r="FE884" s="2"/>
      <c r="FF884" s="2"/>
      <c r="FG884" s="2"/>
      <c r="FH884" s="2"/>
      <c r="FI884" s="2"/>
      <c r="FJ884" s="2"/>
      <c r="FK884" s="2"/>
      <c r="FL884" s="2"/>
      <c r="FM884" s="2"/>
      <c r="FN884" s="2"/>
      <c r="FO884" s="2"/>
      <c r="FP884" s="2"/>
      <c r="FQ884" s="2">
        <v>0</v>
      </c>
      <c r="FR884" s="2">
        <f t="shared" si="747"/>
        <v>0</v>
      </c>
      <c r="FS884" s="2">
        <v>0</v>
      </c>
      <c r="FT884" s="2"/>
      <c r="FU884" s="2"/>
      <c r="FV884" s="2"/>
      <c r="FW884" s="2"/>
      <c r="FX884" s="2">
        <v>114</v>
      </c>
      <c r="FY884" s="2">
        <v>67</v>
      </c>
      <c r="FZ884" s="2"/>
      <c r="GA884" s="2" t="s">
        <v>3</v>
      </c>
      <c r="GB884" s="2"/>
      <c r="GC884" s="2"/>
      <c r="GD884" s="2">
        <v>0</v>
      </c>
      <c r="GE884" s="2"/>
      <c r="GF884" s="2">
        <v>-254030100</v>
      </c>
      <c r="GG884" s="2">
        <v>2</v>
      </c>
      <c r="GH884" s="2">
        <v>1</v>
      </c>
      <c r="GI884" s="2">
        <v>-2</v>
      </c>
      <c r="GJ884" s="2">
        <v>0</v>
      </c>
      <c r="GK884" s="2">
        <f>ROUND(R884*(R12)/100,2)</f>
        <v>0</v>
      </c>
      <c r="GL884" s="2">
        <f t="shared" si="748"/>
        <v>0</v>
      </c>
      <c r="GM884" s="2">
        <f t="shared" si="749"/>
        <v>16.72</v>
      </c>
      <c r="GN884" s="2">
        <f t="shared" si="750"/>
        <v>0</v>
      </c>
      <c r="GO884" s="2">
        <f t="shared" si="751"/>
        <v>16.72</v>
      </c>
      <c r="GP884" s="2">
        <f t="shared" si="752"/>
        <v>0</v>
      </c>
      <c r="GQ884" s="2"/>
      <c r="GR884" s="2">
        <v>0</v>
      </c>
      <c r="GS884" s="2">
        <v>0</v>
      </c>
      <c r="GT884" s="2">
        <v>0</v>
      </c>
      <c r="GU884" s="2" t="s">
        <v>3</v>
      </c>
      <c r="GV884" s="2">
        <f t="shared" si="753"/>
        <v>0</v>
      </c>
      <c r="GW884" s="2">
        <v>1</v>
      </c>
      <c r="GX884" s="2">
        <f t="shared" si="754"/>
        <v>0</v>
      </c>
      <c r="GY884" s="2"/>
      <c r="GZ884" s="2"/>
      <c r="HA884" s="2">
        <v>0</v>
      </c>
      <c r="HB884" s="2">
        <v>0</v>
      </c>
      <c r="HC884" s="2">
        <f t="shared" si="755"/>
        <v>0</v>
      </c>
      <c r="HD884" s="2"/>
      <c r="HE884" s="2" t="s">
        <v>3</v>
      </c>
      <c r="HF884" s="2" t="s">
        <v>3</v>
      </c>
      <c r="HG884" s="2"/>
      <c r="HH884" s="2"/>
      <c r="HI884" s="2"/>
      <c r="HJ884" s="2"/>
      <c r="HK884" s="2"/>
      <c r="HL884" s="2"/>
      <c r="HM884" s="2" t="s">
        <v>3</v>
      </c>
      <c r="HN884" s="2" t="s">
        <v>3</v>
      </c>
      <c r="HO884" s="2" t="s">
        <v>3</v>
      </c>
      <c r="HP884" s="2" t="s">
        <v>3</v>
      </c>
      <c r="HQ884" s="2" t="s">
        <v>3</v>
      </c>
      <c r="HR884" s="2"/>
      <c r="HS884" s="2"/>
      <c r="HT884" s="2"/>
      <c r="HU884" s="2"/>
      <c r="HV884" s="2"/>
      <c r="HW884" s="2"/>
      <c r="HX884" s="2"/>
      <c r="HY884" s="2"/>
      <c r="HZ884" s="2"/>
      <c r="IA884" s="2"/>
      <c r="IB884" s="2"/>
      <c r="IC884" s="2"/>
      <c r="ID884" s="2"/>
      <c r="IE884" s="2"/>
      <c r="IF884" s="2"/>
      <c r="IG884" s="2"/>
      <c r="IH884" s="2"/>
      <c r="II884" s="2"/>
      <c r="IJ884" s="2"/>
      <c r="IK884" s="2">
        <v>0</v>
      </c>
      <c r="IL884" s="2"/>
      <c r="IM884" s="2"/>
      <c r="IN884" s="2"/>
      <c r="IO884" s="2"/>
      <c r="IP884" s="2"/>
      <c r="IQ884" s="2"/>
      <c r="IR884" s="2"/>
      <c r="IS884" s="2"/>
      <c r="IT884" s="2"/>
      <c r="IU884" s="2"/>
    </row>
    <row r="885" spans="1:255" x14ac:dyDescent="0.2">
      <c r="A885">
        <v>17</v>
      </c>
      <c r="B885">
        <v>1</v>
      </c>
      <c r="C885">
        <f>ROW(SmtRes!A750)</f>
        <v>750</v>
      </c>
      <c r="D885">
        <f>ROW(EtalonRes!A726)</f>
        <v>726</v>
      </c>
      <c r="E885" t="s">
        <v>124</v>
      </c>
      <c r="F885" t="s">
        <v>762</v>
      </c>
      <c r="G885" t="s">
        <v>763</v>
      </c>
      <c r="H885" t="s">
        <v>231</v>
      </c>
      <c r="I885">
        <v>1</v>
      </c>
      <c r="J885">
        <v>0</v>
      </c>
      <c r="K885">
        <v>1</v>
      </c>
      <c r="O885">
        <f t="shared" si="725"/>
        <v>172.73</v>
      </c>
      <c r="P885">
        <f t="shared" si="726"/>
        <v>0</v>
      </c>
      <c r="Q885">
        <f t="shared" si="756"/>
        <v>0</v>
      </c>
      <c r="R885">
        <f t="shared" si="727"/>
        <v>0</v>
      </c>
      <c r="S885">
        <f t="shared" si="728"/>
        <v>172.73</v>
      </c>
      <c r="T885">
        <f t="shared" si="729"/>
        <v>0</v>
      </c>
      <c r="U885">
        <f t="shared" si="730"/>
        <v>0.5</v>
      </c>
      <c r="V885">
        <f t="shared" si="731"/>
        <v>0</v>
      </c>
      <c r="W885">
        <f t="shared" si="732"/>
        <v>0</v>
      </c>
      <c r="X885">
        <f t="shared" si="733"/>
        <v>136.46</v>
      </c>
      <c r="Y885">
        <f t="shared" si="734"/>
        <v>70.819999999999993</v>
      </c>
      <c r="AA885">
        <v>129761633</v>
      </c>
      <c r="AB885">
        <f t="shared" si="735"/>
        <v>5.95</v>
      </c>
      <c r="AC885">
        <f t="shared" si="736"/>
        <v>0</v>
      </c>
      <c r="AD885">
        <f t="shared" si="757"/>
        <v>0</v>
      </c>
      <c r="AE885">
        <f t="shared" si="758"/>
        <v>0</v>
      </c>
      <c r="AF885">
        <f t="shared" si="759"/>
        <v>5.95</v>
      </c>
      <c r="AG885">
        <f t="shared" si="737"/>
        <v>0</v>
      </c>
      <c r="AH885">
        <f t="shared" si="760"/>
        <v>0.5</v>
      </c>
      <c r="AI885">
        <f t="shared" si="761"/>
        <v>0</v>
      </c>
      <c r="AJ885">
        <f t="shared" si="738"/>
        <v>0</v>
      </c>
      <c r="AK885">
        <v>5.95</v>
      </c>
      <c r="AL885">
        <v>0</v>
      </c>
      <c r="AM885">
        <v>0</v>
      </c>
      <c r="AN885">
        <v>0</v>
      </c>
      <c r="AO885">
        <v>5.95</v>
      </c>
      <c r="AP885">
        <v>0</v>
      </c>
      <c r="AQ885">
        <v>0.5</v>
      </c>
      <c r="AR885">
        <v>0</v>
      </c>
      <c r="AS885">
        <v>0</v>
      </c>
      <c r="AT885">
        <v>79</v>
      </c>
      <c r="AU885">
        <v>41</v>
      </c>
      <c r="AV885">
        <v>1</v>
      </c>
      <c r="AW885">
        <v>1</v>
      </c>
      <c r="AZ885">
        <v>1</v>
      </c>
      <c r="BA885">
        <v>29.03</v>
      </c>
      <c r="BB885">
        <v>1</v>
      </c>
      <c r="BC885">
        <v>1</v>
      </c>
      <c r="BD885" t="s">
        <v>3</v>
      </c>
      <c r="BE885" t="s">
        <v>3</v>
      </c>
      <c r="BF885" t="s">
        <v>3</v>
      </c>
      <c r="BG885" t="s">
        <v>3</v>
      </c>
      <c r="BH885">
        <v>0</v>
      </c>
      <c r="BI885">
        <v>2</v>
      </c>
      <c r="BJ885" t="s">
        <v>764</v>
      </c>
      <c r="BM885">
        <v>336</v>
      </c>
      <c r="BN885">
        <v>0</v>
      </c>
      <c r="BO885" t="s">
        <v>762</v>
      </c>
      <c r="BP885">
        <v>1</v>
      </c>
      <c r="BQ885">
        <v>40</v>
      </c>
      <c r="BR885">
        <v>0</v>
      </c>
      <c r="BS885">
        <v>29.03</v>
      </c>
      <c r="BT885">
        <v>1</v>
      </c>
      <c r="BU885">
        <v>1</v>
      </c>
      <c r="BV885">
        <v>1</v>
      </c>
      <c r="BW885">
        <v>1</v>
      </c>
      <c r="BX885">
        <v>1</v>
      </c>
      <c r="BY885" t="s">
        <v>3</v>
      </c>
      <c r="BZ885">
        <v>79</v>
      </c>
      <c r="CA885">
        <v>41</v>
      </c>
      <c r="CB885" t="s">
        <v>3</v>
      </c>
      <c r="CE885">
        <v>30</v>
      </c>
      <c r="CF885">
        <v>0</v>
      </c>
      <c r="CG885">
        <v>0</v>
      </c>
      <c r="CM885">
        <v>0</v>
      </c>
      <c r="CN885" t="s">
        <v>3</v>
      </c>
      <c r="CO885">
        <v>0</v>
      </c>
      <c r="CP885">
        <f t="shared" si="739"/>
        <v>172.73</v>
      </c>
      <c r="CQ885">
        <f t="shared" si="740"/>
        <v>0</v>
      </c>
      <c r="CR885">
        <f t="shared" si="762"/>
        <v>0</v>
      </c>
      <c r="CS885">
        <f t="shared" si="741"/>
        <v>0</v>
      </c>
      <c r="CT885">
        <f t="shared" si="742"/>
        <v>172.73</v>
      </c>
      <c r="CU885">
        <f t="shared" si="743"/>
        <v>0</v>
      </c>
      <c r="CV885">
        <f t="shared" si="744"/>
        <v>0.5</v>
      </c>
      <c r="CW885">
        <f t="shared" si="745"/>
        <v>0</v>
      </c>
      <c r="CX885">
        <f t="shared" si="746"/>
        <v>0</v>
      </c>
      <c r="CY885">
        <f>S885*(BZ885/100)</f>
        <v>136.45670000000001</v>
      </c>
      <c r="CZ885">
        <f>S885*(CA885/100)</f>
        <v>70.819299999999998</v>
      </c>
      <c r="DC885" t="s">
        <v>3</v>
      </c>
      <c r="DD885" t="s">
        <v>3</v>
      </c>
      <c r="DE885" t="s">
        <v>3</v>
      </c>
      <c r="DF885" t="s">
        <v>3</v>
      </c>
      <c r="DG885" t="s">
        <v>3</v>
      </c>
      <c r="DH885" t="s">
        <v>3</v>
      </c>
      <c r="DI885" t="s">
        <v>3</v>
      </c>
      <c r="DJ885" t="s">
        <v>3</v>
      </c>
      <c r="DK885" t="s">
        <v>3</v>
      </c>
      <c r="DL885" t="s">
        <v>3</v>
      </c>
      <c r="DM885" t="s">
        <v>3</v>
      </c>
      <c r="DN885">
        <v>114</v>
      </c>
      <c r="DO885">
        <v>67</v>
      </c>
      <c r="DP885">
        <v>1</v>
      </c>
      <c r="DQ885">
        <v>1</v>
      </c>
      <c r="DU885">
        <v>1013</v>
      </c>
      <c r="DV885" t="s">
        <v>231</v>
      </c>
      <c r="DW885" t="s">
        <v>231</v>
      </c>
      <c r="DX885">
        <v>1</v>
      </c>
      <c r="DZ885" t="s">
        <v>3</v>
      </c>
      <c r="EA885" t="s">
        <v>3</v>
      </c>
      <c r="EB885" t="s">
        <v>3</v>
      </c>
      <c r="EC885" t="s">
        <v>3</v>
      </c>
      <c r="EE885">
        <v>126051797</v>
      </c>
      <c r="EF885">
        <v>40</v>
      </c>
      <c r="EG885" t="s">
        <v>621</v>
      </c>
      <c r="EH885">
        <v>0</v>
      </c>
      <c r="EI885" t="s">
        <v>3</v>
      </c>
      <c r="EJ885">
        <v>2</v>
      </c>
      <c r="EK885">
        <v>336</v>
      </c>
      <c r="EL885" t="s">
        <v>632</v>
      </c>
      <c r="EM885" t="s">
        <v>633</v>
      </c>
      <c r="EO885" t="s">
        <v>3</v>
      </c>
      <c r="EQ885">
        <v>131072</v>
      </c>
      <c r="ER885">
        <v>5.95</v>
      </c>
      <c r="ES885">
        <v>0</v>
      </c>
      <c r="ET885">
        <v>0</v>
      </c>
      <c r="EU885">
        <v>0</v>
      </c>
      <c r="EV885">
        <v>5.95</v>
      </c>
      <c r="EW885">
        <v>0.5</v>
      </c>
      <c r="EX885">
        <v>0</v>
      </c>
      <c r="EY885">
        <v>0</v>
      </c>
      <c r="FQ885">
        <v>0</v>
      </c>
      <c r="FR885">
        <f t="shared" si="747"/>
        <v>0</v>
      </c>
      <c r="FS885">
        <v>0</v>
      </c>
      <c r="FX885">
        <v>114</v>
      </c>
      <c r="FY885">
        <v>67</v>
      </c>
      <c r="GA885" t="s">
        <v>3</v>
      </c>
      <c r="GD885">
        <v>0</v>
      </c>
      <c r="GF885">
        <v>-254030100</v>
      </c>
      <c r="GG885">
        <v>2</v>
      </c>
      <c r="GH885">
        <v>1</v>
      </c>
      <c r="GI885">
        <v>2</v>
      </c>
      <c r="GJ885">
        <v>0</v>
      </c>
      <c r="GK885">
        <f>ROUND(R885*(S12)/100,2)</f>
        <v>0</v>
      </c>
      <c r="GL885">
        <f t="shared" si="748"/>
        <v>0</v>
      </c>
      <c r="GM885">
        <f t="shared" si="749"/>
        <v>380.01</v>
      </c>
      <c r="GN885">
        <f t="shared" si="750"/>
        <v>0</v>
      </c>
      <c r="GO885">
        <f t="shared" si="751"/>
        <v>380.01</v>
      </c>
      <c r="GP885">
        <f t="shared" si="752"/>
        <v>0</v>
      </c>
      <c r="GR885">
        <v>0</v>
      </c>
      <c r="GS885">
        <v>3</v>
      </c>
      <c r="GT885">
        <v>0</v>
      </c>
      <c r="GU885" t="s">
        <v>3</v>
      </c>
      <c r="GV885">
        <f t="shared" si="753"/>
        <v>0</v>
      </c>
      <c r="GW885">
        <v>1</v>
      </c>
      <c r="GX885">
        <f t="shared" si="754"/>
        <v>0</v>
      </c>
      <c r="HA885">
        <v>0</v>
      </c>
      <c r="HB885">
        <v>0</v>
      </c>
      <c r="HC885">
        <f t="shared" si="755"/>
        <v>0</v>
      </c>
      <c r="HE885" t="s">
        <v>3</v>
      </c>
      <c r="HF885" t="s">
        <v>3</v>
      </c>
      <c r="HM885" t="s">
        <v>3</v>
      </c>
      <c r="HN885" t="s">
        <v>3</v>
      </c>
      <c r="HO885" t="s">
        <v>3</v>
      </c>
      <c r="HP885" t="s">
        <v>3</v>
      </c>
      <c r="HQ885" t="s">
        <v>3</v>
      </c>
      <c r="IK885">
        <v>0</v>
      </c>
    </row>
    <row r="886" spans="1:255" x14ac:dyDescent="0.2">
      <c r="A886" s="2">
        <v>18</v>
      </c>
      <c r="B886" s="2">
        <v>1</v>
      </c>
      <c r="C886" s="2">
        <v>747</v>
      </c>
      <c r="D886" s="2"/>
      <c r="E886" s="2" t="s">
        <v>131</v>
      </c>
      <c r="F886" s="2" t="s">
        <v>248</v>
      </c>
      <c r="G886" s="2" t="s">
        <v>765</v>
      </c>
      <c r="H886" s="2" t="s">
        <v>250</v>
      </c>
      <c r="I886" s="2">
        <f>I884*J886</f>
        <v>1</v>
      </c>
      <c r="J886" s="2">
        <v>1</v>
      </c>
      <c r="K886" s="2">
        <v>1</v>
      </c>
      <c r="L886" s="2"/>
      <c r="M886" s="2"/>
      <c r="N886" s="2"/>
      <c r="O886" s="2">
        <f t="shared" si="725"/>
        <v>30.5</v>
      </c>
      <c r="P886" s="2">
        <f t="shared" si="726"/>
        <v>30.5</v>
      </c>
      <c r="Q886" s="2">
        <f t="shared" si="756"/>
        <v>0</v>
      </c>
      <c r="R886" s="2">
        <f t="shared" si="727"/>
        <v>0</v>
      </c>
      <c r="S886" s="2">
        <f t="shared" si="728"/>
        <v>0</v>
      </c>
      <c r="T886" s="2">
        <f t="shared" si="729"/>
        <v>0</v>
      </c>
      <c r="U886" s="2">
        <f t="shared" si="730"/>
        <v>0</v>
      </c>
      <c r="V886" s="2">
        <f t="shared" si="731"/>
        <v>0</v>
      </c>
      <c r="W886" s="2">
        <f t="shared" si="732"/>
        <v>0</v>
      </c>
      <c r="X886" s="2">
        <f t="shared" si="733"/>
        <v>0</v>
      </c>
      <c r="Y886" s="2">
        <f t="shared" si="734"/>
        <v>0</v>
      </c>
      <c r="Z886" s="2"/>
      <c r="AA886" s="2">
        <v>129761636</v>
      </c>
      <c r="AB886" s="2">
        <f t="shared" si="735"/>
        <v>30.5</v>
      </c>
      <c r="AC886" s="2">
        <f t="shared" si="736"/>
        <v>30.5</v>
      </c>
      <c r="AD886" s="2">
        <f t="shared" si="757"/>
        <v>0</v>
      </c>
      <c r="AE886" s="2">
        <f t="shared" si="758"/>
        <v>0</v>
      </c>
      <c r="AF886" s="2">
        <f t="shared" si="759"/>
        <v>0</v>
      </c>
      <c r="AG886" s="2">
        <f t="shared" si="737"/>
        <v>0</v>
      </c>
      <c r="AH886" s="2">
        <f t="shared" si="760"/>
        <v>0</v>
      </c>
      <c r="AI886" s="2">
        <f t="shared" si="761"/>
        <v>0</v>
      </c>
      <c r="AJ886" s="2">
        <f t="shared" si="738"/>
        <v>0</v>
      </c>
      <c r="AK886" s="2">
        <v>30.5</v>
      </c>
      <c r="AL886" s="2">
        <v>30.5</v>
      </c>
      <c r="AM886" s="2">
        <v>0</v>
      </c>
      <c r="AN886" s="2">
        <v>0</v>
      </c>
      <c r="AO886" s="2">
        <v>0</v>
      </c>
      <c r="AP886" s="2">
        <v>0</v>
      </c>
      <c r="AQ886" s="2">
        <v>0</v>
      </c>
      <c r="AR886" s="2">
        <v>0</v>
      </c>
      <c r="AS886" s="2">
        <v>0</v>
      </c>
      <c r="AT886" s="2">
        <v>114</v>
      </c>
      <c r="AU886" s="2">
        <v>67</v>
      </c>
      <c r="AV886" s="2">
        <v>1</v>
      </c>
      <c r="AW886" s="2">
        <v>1</v>
      </c>
      <c r="AX886" s="2"/>
      <c r="AY886" s="2"/>
      <c r="AZ886" s="2">
        <v>1</v>
      </c>
      <c r="BA886" s="2">
        <v>1</v>
      </c>
      <c r="BB886" s="2">
        <v>1</v>
      </c>
      <c r="BC886" s="2">
        <v>1</v>
      </c>
      <c r="BD886" s="2" t="s">
        <v>3</v>
      </c>
      <c r="BE886" s="2" t="s">
        <v>3</v>
      </c>
      <c r="BF886" s="2" t="s">
        <v>3</v>
      </c>
      <c r="BG886" s="2" t="s">
        <v>3</v>
      </c>
      <c r="BH886" s="2">
        <v>3</v>
      </c>
      <c r="BI886" s="2">
        <v>2</v>
      </c>
      <c r="BJ886" s="2" t="s">
        <v>3</v>
      </c>
      <c r="BK886" s="2"/>
      <c r="BL886" s="2"/>
      <c r="BM886" s="2">
        <v>336</v>
      </c>
      <c r="BN886" s="2">
        <v>0</v>
      </c>
      <c r="BO886" s="2" t="s">
        <v>3</v>
      </c>
      <c r="BP886" s="2">
        <v>0</v>
      </c>
      <c r="BQ886" s="2">
        <v>40</v>
      </c>
      <c r="BR886" s="2">
        <v>0</v>
      </c>
      <c r="BS886" s="2">
        <v>1</v>
      </c>
      <c r="BT886" s="2">
        <v>1</v>
      </c>
      <c r="BU886" s="2">
        <v>1</v>
      </c>
      <c r="BV886" s="2">
        <v>1</v>
      </c>
      <c r="BW886" s="2">
        <v>1</v>
      </c>
      <c r="BX886" s="2">
        <v>1</v>
      </c>
      <c r="BY886" s="2" t="s">
        <v>3</v>
      </c>
      <c r="BZ886" s="2">
        <v>114</v>
      </c>
      <c r="CA886" s="2">
        <v>67</v>
      </c>
      <c r="CB886" s="2" t="s">
        <v>3</v>
      </c>
      <c r="CC886" s="2"/>
      <c r="CD886" s="2"/>
      <c r="CE886" s="2">
        <v>30</v>
      </c>
      <c r="CF886" s="2">
        <v>0</v>
      </c>
      <c r="CG886" s="2">
        <v>0</v>
      </c>
      <c r="CH886" s="2"/>
      <c r="CI886" s="2"/>
      <c r="CJ886" s="2"/>
      <c r="CK886" s="2"/>
      <c r="CL886" s="2"/>
      <c r="CM886" s="2">
        <v>0</v>
      </c>
      <c r="CN886" s="2" t="s">
        <v>3</v>
      </c>
      <c r="CO886" s="2">
        <v>0</v>
      </c>
      <c r="CP886" s="2">
        <f t="shared" si="739"/>
        <v>30.5</v>
      </c>
      <c r="CQ886" s="2">
        <f t="shared" si="740"/>
        <v>30.5</v>
      </c>
      <c r="CR886" s="2">
        <f t="shared" si="762"/>
        <v>0</v>
      </c>
      <c r="CS886" s="2">
        <f t="shared" si="741"/>
        <v>0</v>
      </c>
      <c r="CT886" s="2">
        <f t="shared" si="742"/>
        <v>0</v>
      </c>
      <c r="CU886" s="2">
        <f t="shared" si="743"/>
        <v>0</v>
      </c>
      <c r="CV886" s="2">
        <f t="shared" si="744"/>
        <v>0</v>
      </c>
      <c r="CW886" s="2">
        <f t="shared" si="745"/>
        <v>0</v>
      </c>
      <c r="CX886" s="2">
        <f t="shared" si="746"/>
        <v>0</v>
      </c>
      <c r="CY886" s="2">
        <f>((S886*BZ886)/100)</f>
        <v>0</v>
      </c>
      <c r="CZ886" s="2">
        <f>((S886*CA886)/100)</f>
        <v>0</v>
      </c>
      <c r="DA886" s="2"/>
      <c r="DB886" s="2"/>
      <c r="DC886" s="2" t="s">
        <v>3</v>
      </c>
      <c r="DD886" s="2" t="s">
        <v>3</v>
      </c>
      <c r="DE886" s="2" t="s">
        <v>3</v>
      </c>
      <c r="DF886" s="2" t="s">
        <v>3</v>
      </c>
      <c r="DG886" s="2" t="s">
        <v>3</v>
      </c>
      <c r="DH886" s="2" t="s">
        <v>3</v>
      </c>
      <c r="DI886" s="2" t="s">
        <v>3</v>
      </c>
      <c r="DJ886" s="2" t="s">
        <v>3</v>
      </c>
      <c r="DK886" s="2" t="s">
        <v>3</v>
      </c>
      <c r="DL886" s="2" t="s">
        <v>3</v>
      </c>
      <c r="DM886" s="2" t="s">
        <v>3</v>
      </c>
      <c r="DN886" s="2">
        <v>0</v>
      </c>
      <c r="DO886" s="2">
        <v>0</v>
      </c>
      <c r="DP886" s="2">
        <v>1</v>
      </c>
      <c r="DQ886" s="2">
        <v>1</v>
      </c>
      <c r="DR886" s="2"/>
      <c r="DS886" s="2"/>
      <c r="DT886" s="2"/>
      <c r="DU886" s="2">
        <v>1010</v>
      </c>
      <c r="DV886" s="2" t="s">
        <v>250</v>
      </c>
      <c r="DW886" s="2" t="s">
        <v>250</v>
      </c>
      <c r="DX886" s="2">
        <v>1</v>
      </c>
      <c r="DY886" s="2"/>
      <c r="DZ886" s="2" t="s">
        <v>3</v>
      </c>
      <c r="EA886" s="2" t="s">
        <v>3</v>
      </c>
      <c r="EB886" s="2" t="s">
        <v>3</v>
      </c>
      <c r="EC886" s="2" t="s">
        <v>3</v>
      </c>
      <c r="ED886" s="2"/>
      <c r="EE886" s="2">
        <v>126051797</v>
      </c>
      <c r="EF886" s="2">
        <v>40</v>
      </c>
      <c r="EG886" s="2" t="s">
        <v>621</v>
      </c>
      <c r="EH886" s="2">
        <v>0</v>
      </c>
      <c r="EI886" s="2" t="s">
        <v>3</v>
      </c>
      <c r="EJ886" s="2">
        <v>2</v>
      </c>
      <c r="EK886" s="2">
        <v>336</v>
      </c>
      <c r="EL886" s="2" t="s">
        <v>632</v>
      </c>
      <c r="EM886" s="2" t="s">
        <v>633</v>
      </c>
      <c r="EN886" s="2"/>
      <c r="EO886" s="2" t="s">
        <v>3</v>
      </c>
      <c r="EP886" s="2"/>
      <c r="EQ886" s="2">
        <v>0</v>
      </c>
      <c r="ER886" s="2">
        <v>30.5</v>
      </c>
      <c r="ES886" s="2">
        <v>30.5</v>
      </c>
      <c r="ET886" s="2">
        <v>0</v>
      </c>
      <c r="EU886" s="2">
        <v>0</v>
      </c>
      <c r="EV886" s="2">
        <v>0</v>
      </c>
      <c r="EW886" s="2">
        <v>0</v>
      </c>
      <c r="EX886" s="2">
        <v>0</v>
      </c>
      <c r="EY886" s="2"/>
      <c r="EZ886" s="2"/>
      <c r="FA886" s="2"/>
      <c r="FB886" s="2"/>
      <c r="FC886" s="2"/>
      <c r="FD886" s="2"/>
      <c r="FE886" s="2"/>
      <c r="FF886" s="2"/>
      <c r="FG886" s="2"/>
      <c r="FH886" s="2"/>
      <c r="FI886" s="2"/>
      <c r="FJ886" s="2"/>
      <c r="FK886" s="2"/>
      <c r="FL886" s="2"/>
      <c r="FM886" s="2"/>
      <c r="FN886" s="2"/>
      <c r="FO886" s="2"/>
      <c r="FP886" s="2"/>
      <c r="FQ886" s="2">
        <v>0</v>
      </c>
      <c r="FR886" s="2">
        <f t="shared" si="747"/>
        <v>0</v>
      </c>
      <c r="FS886" s="2">
        <v>0</v>
      </c>
      <c r="FT886" s="2"/>
      <c r="FU886" s="2"/>
      <c r="FV886" s="2"/>
      <c r="FW886" s="2"/>
      <c r="FX886" s="2">
        <v>114</v>
      </c>
      <c r="FY886" s="2">
        <v>67</v>
      </c>
      <c r="FZ886" s="2"/>
      <c r="GA886" s="2" t="s">
        <v>3</v>
      </c>
      <c r="GB886" s="2"/>
      <c r="GC886" s="2"/>
      <c r="GD886" s="2">
        <v>0</v>
      </c>
      <c r="GE886" s="2"/>
      <c r="GF886" s="2">
        <v>3657451</v>
      </c>
      <c r="GG886" s="2">
        <v>2</v>
      </c>
      <c r="GH886" s="2">
        <v>0</v>
      </c>
      <c r="GI886" s="2">
        <v>-2</v>
      </c>
      <c r="GJ886" s="2">
        <v>0</v>
      </c>
      <c r="GK886" s="2">
        <f>ROUND(R886*(R12)/100,2)</f>
        <v>0</v>
      </c>
      <c r="GL886" s="2">
        <f t="shared" si="748"/>
        <v>0</v>
      </c>
      <c r="GM886" s="2">
        <f t="shared" si="749"/>
        <v>30.5</v>
      </c>
      <c r="GN886" s="2">
        <f t="shared" si="750"/>
        <v>0</v>
      </c>
      <c r="GO886" s="2">
        <f t="shared" si="751"/>
        <v>30.5</v>
      </c>
      <c r="GP886" s="2">
        <f t="shared" si="752"/>
        <v>0</v>
      </c>
      <c r="GQ886" s="2"/>
      <c r="GR886" s="2">
        <v>0</v>
      </c>
      <c r="GS886" s="2">
        <v>0</v>
      </c>
      <c r="GT886" s="2">
        <v>0</v>
      </c>
      <c r="GU886" s="2" t="s">
        <v>3</v>
      </c>
      <c r="GV886" s="2">
        <f t="shared" si="753"/>
        <v>0</v>
      </c>
      <c r="GW886" s="2">
        <v>1</v>
      </c>
      <c r="GX886" s="2">
        <f t="shared" si="754"/>
        <v>0</v>
      </c>
      <c r="GY886" s="2"/>
      <c r="GZ886" s="2"/>
      <c r="HA886" s="2">
        <v>0</v>
      </c>
      <c r="HB886" s="2">
        <v>0</v>
      </c>
      <c r="HC886" s="2">
        <f t="shared" si="755"/>
        <v>0</v>
      </c>
      <c r="HD886" s="2"/>
      <c r="HE886" s="2" t="s">
        <v>3</v>
      </c>
      <c r="HF886" s="2" t="s">
        <v>3</v>
      </c>
      <c r="HG886" s="2"/>
      <c r="HH886" s="2"/>
      <c r="HI886" s="2"/>
      <c r="HJ886" s="2"/>
      <c r="HK886" s="2"/>
      <c r="HL886" s="2"/>
      <c r="HM886" s="2" t="s">
        <v>3</v>
      </c>
      <c r="HN886" s="2" t="s">
        <v>3</v>
      </c>
      <c r="HO886" s="2" t="s">
        <v>3</v>
      </c>
      <c r="HP886" s="2" t="s">
        <v>3</v>
      </c>
      <c r="HQ886" s="2" t="s">
        <v>3</v>
      </c>
      <c r="HR886" s="2"/>
      <c r="HS886" s="2"/>
      <c r="HT886" s="2"/>
      <c r="HU886" s="2"/>
      <c r="HV886" s="2"/>
      <c r="HW886" s="2"/>
      <c r="HX886" s="2"/>
      <c r="HY886" s="2"/>
      <c r="HZ886" s="2"/>
      <c r="IA886" s="2"/>
      <c r="IB886" s="2"/>
      <c r="IC886" s="2"/>
      <c r="ID886" s="2"/>
      <c r="IE886" s="2"/>
      <c r="IF886" s="2"/>
      <c r="IG886" s="2"/>
      <c r="IH886" s="2"/>
      <c r="II886" s="2"/>
      <c r="IJ886" s="2"/>
      <c r="IK886" s="2">
        <v>0</v>
      </c>
      <c r="IL886" s="2"/>
      <c r="IM886" s="2"/>
      <c r="IN886" s="2"/>
      <c r="IO886" s="2"/>
      <c r="IP886" s="2"/>
      <c r="IQ886" s="2"/>
      <c r="IR886" s="2"/>
      <c r="IS886" s="2"/>
      <c r="IT886" s="2"/>
      <c r="IU886" s="2"/>
    </row>
    <row r="887" spans="1:255" x14ac:dyDescent="0.2">
      <c r="A887">
        <v>18</v>
      </c>
      <c r="B887">
        <v>1</v>
      </c>
      <c r="C887">
        <v>750</v>
      </c>
      <c r="E887" t="s">
        <v>131</v>
      </c>
      <c r="F887" t="s">
        <v>248</v>
      </c>
      <c r="G887" t="s">
        <v>765</v>
      </c>
      <c r="H887" t="s">
        <v>250</v>
      </c>
      <c r="I887">
        <f>I885*J887</f>
        <v>1</v>
      </c>
      <c r="J887">
        <v>1</v>
      </c>
      <c r="K887">
        <v>1</v>
      </c>
      <c r="O887">
        <f t="shared" si="725"/>
        <v>202.24</v>
      </c>
      <c r="P887">
        <f t="shared" si="726"/>
        <v>202.24</v>
      </c>
      <c r="Q887">
        <f t="shared" si="756"/>
        <v>0</v>
      </c>
      <c r="R887">
        <f t="shared" si="727"/>
        <v>0</v>
      </c>
      <c r="S887">
        <f t="shared" si="728"/>
        <v>0</v>
      </c>
      <c r="T887">
        <f t="shared" si="729"/>
        <v>0</v>
      </c>
      <c r="U887">
        <f t="shared" si="730"/>
        <v>0</v>
      </c>
      <c r="V887">
        <f t="shared" si="731"/>
        <v>0</v>
      </c>
      <c r="W887">
        <f t="shared" si="732"/>
        <v>0</v>
      </c>
      <c r="X887">
        <f t="shared" si="733"/>
        <v>0</v>
      </c>
      <c r="Y887">
        <f t="shared" si="734"/>
        <v>0</v>
      </c>
      <c r="AA887">
        <v>129761633</v>
      </c>
      <c r="AB887">
        <f t="shared" si="735"/>
        <v>23.38</v>
      </c>
      <c r="AC887">
        <f t="shared" si="736"/>
        <v>23.38</v>
      </c>
      <c r="AD887">
        <f t="shared" si="757"/>
        <v>0</v>
      </c>
      <c r="AE887">
        <f t="shared" si="758"/>
        <v>0</v>
      </c>
      <c r="AF887">
        <f t="shared" si="759"/>
        <v>0</v>
      </c>
      <c r="AG887">
        <f t="shared" si="737"/>
        <v>0</v>
      </c>
      <c r="AH887">
        <f t="shared" si="760"/>
        <v>0</v>
      </c>
      <c r="AI887">
        <f t="shared" si="761"/>
        <v>0</v>
      </c>
      <c r="AJ887">
        <f t="shared" si="738"/>
        <v>0</v>
      </c>
      <c r="AK887">
        <v>23.380000000000003</v>
      </c>
      <c r="AL887">
        <v>23.380000000000003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1</v>
      </c>
      <c r="AW887">
        <v>1</v>
      </c>
      <c r="AZ887">
        <v>1</v>
      </c>
      <c r="BA887">
        <v>1</v>
      </c>
      <c r="BB887">
        <v>1</v>
      </c>
      <c r="BC887">
        <v>8.65</v>
      </c>
      <c r="BD887" t="s">
        <v>3</v>
      </c>
      <c r="BE887" t="s">
        <v>3</v>
      </c>
      <c r="BF887" t="s">
        <v>3</v>
      </c>
      <c r="BG887" t="s">
        <v>3</v>
      </c>
      <c r="BH887">
        <v>3</v>
      </c>
      <c r="BI887">
        <v>2</v>
      </c>
      <c r="BJ887" t="s">
        <v>3</v>
      </c>
      <c r="BM887">
        <v>336</v>
      </c>
      <c r="BN887">
        <v>0</v>
      </c>
      <c r="BO887" t="s">
        <v>3</v>
      </c>
      <c r="BP887">
        <v>0</v>
      </c>
      <c r="BQ887">
        <v>40</v>
      </c>
      <c r="BR887">
        <v>0</v>
      </c>
      <c r="BS887">
        <v>1</v>
      </c>
      <c r="BT887">
        <v>1</v>
      </c>
      <c r="BU887">
        <v>1</v>
      </c>
      <c r="BV887">
        <v>1</v>
      </c>
      <c r="BW887">
        <v>1</v>
      </c>
      <c r="BX887">
        <v>1</v>
      </c>
      <c r="BY887" t="s">
        <v>3</v>
      </c>
      <c r="BZ887">
        <v>0</v>
      </c>
      <c r="CA887">
        <v>0</v>
      </c>
      <c r="CB887" t="s">
        <v>3</v>
      </c>
      <c r="CE887">
        <v>30</v>
      </c>
      <c r="CF887">
        <v>0</v>
      </c>
      <c r="CG887">
        <v>0</v>
      </c>
      <c r="CM887">
        <v>0</v>
      </c>
      <c r="CN887" t="s">
        <v>3</v>
      </c>
      <c r="CO887">
        <v>0</v>
      </c>
      <c r="CP887">
        <f t="shared" si="739"/>
        <v>202.24</v>
      </c>
      <c r="CQ887">
        <f t="shared" si="740"/>
        <v>202.24</v>
      </c>
      <c r="CR887">
        <f t="shared" si="762"/>
        <v>0</v>
      </c>
      <c r="CS887">
        <f t="shared" si="741"/>
        <v>0</v>
      </c>
      <c r="CT887">
        <f t="shared" si="742"/>
        <v>0</v>
      </c>
      <c r="CU887">
        <f t="shared" si="743"/>
        <v>0</v>
      </c>
      <c r="CV887">
        <f t="shared" si="744"/>
        <v>0</v>
      </c>
      <c r="CW887">
        <f t="shared" si="745"/>
        <v>0</v>
      </c>
      <c r="CX887">
        <f t="shared" si="746"/>
        <v>0</v>
      </c>
      <c r="CY887">
        <f>S887*(BZ887/100)</f>
        <v>0</v>
      </c>
      <c r="CZ887">
        <f>S887*(CA887/100)</f>
        <v>0</v>
      </c>
      <c r="DC887" t="s">
        <v>3</v>
      </c>
      <c r="DD887" t="s">
        <v>3</v>
      </c>
      <c r="DE887" t="s">
        <v>3</v>
      </c>
      <c r="DF887" t="s">
        <v>3</v>
      </c>
      <c r="DG887" t="s">
        <v>3</v>
      </c>
      <c r="DH887" t="s">
        <v>3</v>
      </c>
      <c r="DI887" t="s">
        <v>3</v>
      </c>
      <c r="DJ887" t="s">
        <v>3</v>
      </c>
      <c r="DK887" t="s">
        <v>3</v>
      </c>
      <c r="DL887" t="s">
        <v>3</v>
      </c>
      <c r="DM887" t="s">
        <v>3</v>
      </c>
      <c r="DN887">
        <v>114</v>
      </c>
      <c r="DO887">
        <v>67</v>
      </c>
      <c r="DP887">
        <v>1</v>
      </c>
      <c r="DQ887">
        <v>1</v>
      </c>
      <c r="DU887">
        <v>1010</v>
      </c>
      <c r="DV887" t="s">
        <v>250</v>
      </c>
      <c r="DW887" t="s">
        <v>250</v>
      </c>
      <c r="DX887">
        <v>1</v>
      </c>
      <c r="DZ887" t="s">
        <v>3</v>
      </c>
      <c r="EA887" t="s">
        <v>3</v>
      </c>
      <c r="EB887" t="s">
        <v>3</v>
      </c>
      <c r="EC887" t="s">
        <v>3</v>
      </c>
      <c r="EE887">
        <v>126051797</v>
      </c>
      <c r="EF887">
        <v>40</v>
      </c>
      <c r="EG887" t="s">
        <v>621</v>
      </c>
      <c r="EH887">
        <v>0</v>
      </c>
      <c r="EI887" t="s">
        <v>3</v>
      </c>
      <c r="EJ887">
        <v>2</v>
      </c>
      <c r="EK887">
        <v>336</v>
      </c>
      <c r="EL887" t="s">
        <v>632</v>
      </c>
      <c r="EM887" t="s">
        <v>633</v>
      </c>
      <c r="EO887" t="s">
        <v>3</v>
      </c>
      <c r="EQ887">
        <v>0</v>
      </c>
      <c r="ER887">
        <v>30.5</v>
      </c>
      <c r="ES887">
        <v>23.380000000000003</v>
      </c>
      <c r="ET887">
        <v>0</v>
      </c>
      <c r="EU887">
        <v>0</v>
      </c>
      <c r="EV887">
        <v>0</v>
      </c>
      <c r="EW887">
        <v>0</v>
      </c>
      <c r="EX887">
        <v>0</v>
      </c>
      <c r="EZ887">
        <v>5</v>
      </c>
      <c r="FC887">
        <v>1</v>
      </c>
      <c r="FD887">
        <v>18</v>
      </c>
      <c r="FF887">
        <v>237.86</v>
      </c>
      <c r="FQ887">
        <v>0</v>
      </c>
      <c r="FR887">
        <f t="shared" si="747"/>
        <v>0</v>
      </c>
      <c r="FS887">
        <v>0</v>
      </c>
      <c r="FX887">
        <v>114</v>
      </c>
      <c r="FY887">
        <v>67</v>
      </c>
      <c r="GA887" t="s">
        <v>766</v>
      </c>
      <c r="GD887">
        <v>0</v>
      </c>
      <c r="GF887">
        <v>3657451</v>
      </c>
      <c r="GG887">
        <v>2</v>
      </c>
      <c r="GH887">
        <v>3</v>
      </c>
      <c r="GI887">
        <v>5</v>
      </c>
      <c r="GJ887">
        <v>0</v>
      </c>
      <c r="GK887">
        <f>ROUND(R887*(S12)/100,2)</f>
        <v>0</v>
      </c>
      <c r="GL887">
        <f t="shared" si="748"/>
        <v>0</v>
      </c>
      <c r="GM887">
        <f t="shared" si="749"/>
        <v>202.24</v>
      </c>
      <c r="GN887">
        <f t="shared" si="750"/>
        <v>0</v>
      </c>
      <c r="GO887">
        <f t="shared" si="751"/>
        <v>202.24</v>
      </c>
      <c r="GP887">
        <f t="shared" si="752"/>
        <v>0</v>
      </c>
      <c r="GR887">
        <v>1</v>
      </c>
      <c r="GS887">
        <v>1</v>
      </c>
      <c r="GT887">
        <v>0</v>
      </c>
      <c r="GU887" t="s">
        <v>3</v>
      </c>
      <c r="GV887">
        <f t="shared" si="753"/>
        <v>0</v>
      </c>
      <c r="GW887">
        <v>1</v>
      </c>
      <c r="GX887">
        <f t="shared" si="754"/>
        <v>0</v>
      </c>
      <c r="HA887">
        <v>0</v>
      </c>
      <c r="HB887">
        <v>0</v>
      </c>
      <c r="HC887">
        <f t="shared" si="755"/>
        <v>0</v>
      </c>
      <c r="HE887" t="s">
        <v>81</v>
      </c>
      <c r="HF887" t="s">
        <v>252</v>
      </c>
      <c r="HM887" t="s">
        <v>3</v>
      </c>
      <c r="HN887" t="s">
        <v>3</v>
      </c>
      <c r="HO887" t="s">
        <v>3</v>
      </c>
      <c r="HP887" t="s">
        <v>3</v>
      </c>
      <c r="HQ887" t="s">
        <v>3</v>
      </c>
      <c r="IK887">
        <v>0</v>
      </c>
    </row>
    <row r="888" spans="1:255" x14ac:dyDescent="0.2">
      <c r="A888" s="2">
        <v>17</v>
      </c>
      <c r="B888" s="2">
        <v>1</v>
      </c>
      <c r="C888" s="2">
        <f>ROW(SmtRes!A754)</f>
        <v>754</v>
      </c>
      <c r="D888" s="2">
        <f>ROW(EtalonRes!A734)</f>
        <v>734</v>
      </c>
      <c r="E888" s="2" t="s">
        <v>176</v>
      </c>
      <c r="F888" s="2" t="s">
        <v>668</v>
      </c>
      <c r="G888" s="2" t="s">
        <v>669</v>
      </c>
      <c r="H888" s="2" t="s">
        <v>455</v>
      </c>
      <c r="I888" s="2">
        <v>0.9</v>
      </c>
      <c r="J888" s="2">
        <v>0</v>
      </c>
      <c r="K888" s="2">
        <v>0.9</v>
      </c>
      <c r="L888" s="2"/>
      <c r="M888" s="2"/>
      <c r="N888" s="2"/>
      <c r="O888" s="2">
        <f t="shared" si="725"/>
        <v>2128.87</v>
      </c>
      <c r="P888" s="2">
        <f t="shared" si="726"/>
        <v>1660.13</v>
      </c>
      <c r="Q888" s="2">
        <f t="shared" si="756"/>
        <v>26.52</v>
      </c>
      <c r="R888" s="2">
        <f t="shared" si="727"/>
        <v>3.55</v>
      </c>
      <c r="S888" s="2">
        <f t="shared" si="728"/>
        <v>442.22</v>
      </c>
      <c r="T888" s="2">
        <f t="shared" si="729"/>
        <v>0</v>
      </c>
      <c r="U888" s="2">
        <f t="shared" si="730"/>
        <v>36.603000000000002</v>
      </c>
      <c r="V888" s="2">
        <f t="shared" si="731"/>
        <v>0</v>
      </c>
      <c r="W888" s="2">
        <f t="shared" si="732"/>
        <v>0</v>
      </c>
      <c r="X888" s="2">
        <f t="shared" si="733"/>
        <v>504.13</v>
      </c>
      <c r="Y888" s="2">
        <f t="shared" si="734"/>
        <v>296.29000000000002</v>
      </c>
      <c r="Z888" s="2"/>
      <c r="AA888" s="2">
        <v>129761636</v>
      </c>
      <c r="AB888" s="2">
        <f t="shared" si="735"/>
        <v>2365.41</v>
      </c>
      <c r="AC888" s="2">
        <f t="shared" si="736"/>
        <v>1844.59</v>
      </c>
      <c r="AD888" s="2">
        <f t="shared" si="757"/>
        <v>29.47</v>
      </c>
      <c r="AE888" s="2">
        <f t="shared" si="758"/>
        <v>3.94</v>
      </c>
      <c r="AF888" s="2">
        <f t="shared" si="759"/>
        <v>491.35</v>
      </c>
      <c r="AG888" s="2">
        <f t="shared" si="737"/>
        <v>0</v>
      </c>
      <c r="AH888" s="2">
        <f t="shared" si="760"/>
        <v>40.67</v>
      </c>
      <c r="AI888" s="2">
        <f t="shared" si="761"/>
        <v>0</v>
      </c>
      <c r="AJ888" s="2">
        <f t="shared" si="738"/>
        <v>0</v>
      </c>
      <c r="AK888" s="2">
        <v>2365.41</v>
      </c>
      <c r="AL888" s="2">
        <v>1844.59</v>
      </c>
      <c r="AM888" s="2">
        <v>29.47</v>
      </c>
      <c r="AN888" s="2">
        <v>3.94</v>
      </c>
      <c r="AO888" s="2">
        <v>491.35</v>
      </c>
      <c r="AP888" s="2">
        <v>0</v>
      </c>
      <c r="AQ888" s="2">
        <v>40.67</v>
      </c>
      <c r="AR888" s="2">
        <v>0</v>
      </c>
      <c r="AS888" s="2">
        <v>0</v>
      </c>
      <c r="AT888" s="2">
        <v>114</v>
      </c>
      <c r="AU888" s="2">
        <v>67</v>
      </c>
      <c r="AV888" s="2">
        <v>1</v>
      </c>
      <c r="AW888" s="2">
        <v>1</v>
      </c>
      <c r="AX888" s="2"/>
      <c r="AY888" s="2"/>
      <c r="AZ888" s="2">
        <v>1</v>
      </c>
      <c r="BA888" s="2">
        <v>1</v>
      </c>
      <c r="BB888" s="2">
        <v>1</v>
      </c>
      <c r="BC888" s="2">
        <v>1</v>
      </c>
      <c r="BD888" s="2" t="s">
        <v>3</v>
      </c>
      <c r="BE888" s="2" t="s">
        <v>3</v>
      </c>
      <c r="BF888" s="2" t="s">
        <v>3</v>
      </c>
      <c r="BG888" s="2" t="s">
        <v>3</v>
      </c>
      <c r="BH888" s="2">
        <v>0</v>
      </c>
      <c r="BI888" s="2">
        <v>2</v>
      </c>
      <c r="BJ888" s="2" t="s">
        <v>670</v>
      </c>
      <c r="BK888" s="2"/>
      <c r="BL888" s="2"/>
      <c r="BM888" s="2">
        <v>335</v>
      </c>
      <c r="BN888" s="2">
        <v>0</v>
      </c>
      <c r="BO888" s="2" t="s">
        <v>3</v>
      </c>
      <c r="BP888" s="2">
        <v>0</v>
      </c>
      <c r="BQ888" s="2">
        <v>40</v>
      </c>
      <c r="BR888" s="2">
        <v>0</v>
      </c>
      <c r="BS888" s="2">
        <v>1</v>
      </c>
      <c r="BT888" s="2">
        <v>1</v>
      </c>
      <c r="BU888" s="2">
        <v>1</v>
      </c>
      <c r="BV888" s="2">
        <v>1</v>
      </c>
      <c r="BW888" s="2">
        <v>1</v>
      </c>
      <c r="BX888" s="2">
        <v>1</v>
      </c>
      <c r="BY888" s="2" t="s">
        <v>3</v>
      </c>
      <c r="BZ888" s="2">
        <v>114</v>
      </c>
      <c r="CA888" s="2">
        <v>67</v>
      </c>
      <c r="CB888" s="2" t="s">
        <v>3</v>
      </c>
      <c r="CC888" s="2"/>
      <c r="CD888" s="2"/>
      <c r="CE888" s="2">
        <v>30</v>
      </c>
      <c r="CF888" s="2">
        <v>0</v>
      </c>
      <c r="CG888" s="2">
        <v>0</v>
      </c>
      <c r="CH888" s="2"/>
      <c r="CI888" s="2"/>
      <c r="CJ888" s="2"/>
      <c r="CK888" s="2"/>
      <c r="CL888" s="2"/>
      <c r="CM888" s="2">
        <v>0</v>
      </c>
      <c r="CN888" s="2" t="s">
        <v>3</v>
      </c>
      <c r="CO888" s="2">
        <v>0</v>
      </c>
      <c r="CP888" s="2">
        <f t="shared" si="739"/>
        <v>2128.87</v>
      </c>
      <c r="CQ888" s="2">
        <f t="shared" si="740"/>
        <v>1844.59</v>
      </c>
      <c r="CR888" s="2">
        <f t="shared" si="762"/>
        <v>29.47</v>
      </c>
      <c r="CS888" s="2">
        <f t="shared" si="741"/>
        <v>3.94</v>
      </c>
      <c r="CT888" s="2">
        <f t="shared" si="742"/>
        <v>491.35</v>
      </c>
      <c r="CU888" s="2">
        <f t="shared" si="743"/>
        <v>0</v>
      </c>
      <c r="CV888" s="2">
        <f t="shared" si="744"/>
        <v>40.67</v>
      </c>
      <c r="CW888" s="2">
        <f t="shared" si="745"/>
        <v>0</v>
      </c>
      <c r="CX888" s="2">
        <f t="shared" si="746"/>
        <v>0</v>
      </c>
      <c r="CY888" s="2">
        <f>((S888*BZ888)/100)</f>
        <v>504.13080000000002</v>
      </c>
      <c r="CZ888" s="2">
        <f>((S888*CA888)/100)</f>
        <v>296.28739999999999</v>
      </c>
      <c r="DA888" s="2"/>
      <c r="DB888" s="2"/>
      <c r="DC888" s="2" t="s">
        <v>3</v>
      </c>
      <c r="DD888" s="2" t="s">
        <v>3</v>
      </c>
      <c r="DE888" s="2" t="s">
        <v>3</v>
      </c>
      <c r="DF888" s="2" t="s">
        <v>3</v>
      </c>
      <c r="DG888" s="2" t="s">
        <v>3</v>
      </c>
      <c r="DH888" s="2" t="s">
        <v>3</v>
      </c>
      <c r="DI888" s="2" t="s">
        <v>3</v>
      </c>
      <c r="DJ888" s="2" t="s">
        <v>3</v>
      </c>
      <c r="DK888" s="2" t="s">
        <v>3</v>
      </c>
      <c r="DL888" s="2" t="s">
        <v>3</v>
      </c>
      <c r="DM888" s="2" t="s">
        <v>3</v>
      </c>
      <c r="DN888" s="2">
        <v>0</v>
      </c>
      <c r="DO888" s="2">
        <v>0</v>
      </c>
      <c r="DP888" s="2">
        <v>1</v>
      </c>
      <c r="DQ888" s="2">
        <v>1</v>
      </c>
      <c r="DR888" s="2"/>
      <c r="DS888" s="2"/>
      <c r="DT888" s="2"/>
      <c r="DU888" s="2">
        <v>1003</v>
      </c>
      <c r="DV888" s="2" t="s">
        <v>455</v>
      </c>
      <c r="DW888" s="2" t="s">
        <v>455</v>
      </c>
      <c r="DX888" s="2">
        <v>100</v>
      </c>
      <c r="DY888" s="2"/>
      <c r="DZ888" s="2" t="s">
        <v>3</v>
      </c>
      <c r="EA888" s="2" t="s">
        <v>3</v>
      </c>
      <c r="EB888" s="2" t="s">
        <v>3</v>
      </c>
      <c r="EC888" s="2" t="s">
        <v>3</v>
      </c>
      <c r="ED888" s="2"/>
      <c r="EE888" s="2">
        <v>126051796</v>
      </c>
      <c r="EF888" s="2">
        <v>40</v>
      </c>
      <c r="EG888" s="2" t="s">
        <v>621</v>
      </c>
      <c r="EH888" s="2">
        <v>0</v>
      </c>
      <c r="EI888" s="2" t="s">
        <v>3</v>
      </c>
      <c r="EJ888" s="2">
        <v>2</v>
      </c>
      <c r="EK888" s="2">
        <v>335</v>
      </c>
      <c r="EL888" s="2" t="s">
        <v>671</v>
      </c>
      <c r="EM888" s="2" t="s">
        <v>672</v>
      </c>
      <c r="EN888" s="2"/>
      <c r="EO888" s="2" t="s">
        <v>3</v>
      </c>
      <c r="EP888" s="2"/>
      <c r="EQ888" s="2">
        <v>131072</v>
      </c>
      <c r="ER888" s="2">
        <v>2365.41</v>
      </c>
      <c r="ES888" s="2">
        <v>1844.59</v>
      </c>
      <c r="ET888" s="2">
        <v>29.47</v>
      </c>
      <c r="EU888" s="2">
        <v>3.94</v>
      </c>
      <c r="EV888" s="2">
        <v>491.35</v>
      </c>
      <c r="EW888" s="2">
        <v>40.67</v>
      </c>
      <c r="EX888" s="2">
        <v>0</v>
      </c>
      <c r="EY888" s="2">
        <v>0</v>
      </c>
      <c r="EZ888" s="2"/>
      <c r="FA888" s="2"/>
      <c r="FB888" s="2"/>
      <c r="FC888" s="2"/>
      <c r="FD888" s="2"/>
      <c r="FE888" s="2"/>
      <c r="FF888" s="2"/>
      <c r="FG888" s="2"/>
      <c r="FH888" s="2"/>
      <c r="FI888" s="2"/>
      <c r="FJ888" s="2"/>
      <c r="FK888" s="2"/>
      <c r="FL888" s="2"/>
      <c r="FM888" s="2"/>
      <c r="FN888" s="2"/>
      <c r="FO888" s="2"/>
      <c r="FP888" s="2"/>
      <c r="FQ888" s="2">
        <v>0</v>
      </c>
      <c r="FR888" s="2">
        <f t="shared" si="747"/>
        <v>0</v>
      </c>
      <c r="FS888" s="2">
        <v>0</v>
      </c>
      <c r="FT888" s="2"/>
      <c r="FU888" s="2"/>
      <c r="FV888" s="2"/>
      <c r="FW888" s="2"/>
      <c r="FX888" s="2">
        <v>114</v>
      </c>
      <c r="FY888" s="2">
        <v>67</v>
      </c>
      <c r="FZ888" s="2"/>
      <c r="GA888" s="2" t="s">
        <v>3</v>
      </c>
      <c r="GB888" s="2"/>
      <c r="GC888" s="2"/>
      <c r="GD888" s="2">
        <v>0</v>
      </c>
      <c r="GE888" s="2"/>
      <c r="GF888" s="2">
        <v>634789835</v>
      </c>
      <c r="GG888" s="2">
        <v>2</v>
      </c>
      <c r="GH888" s="2">
        <v>1</v>
      </c>
      <c r="GI888" s="2">
        <v>-2</v>
      </c>
      <c r="GJ888" s="2">
        <v>0</v>
      </c>
      <c r="GK888" s="2">
        <f>ROUND(R888*(R12)/100,2)</f>
        <v>6.21</v>
      </c>
      <c r="GL888" s="2">
        <f t="shared" si="748"/>
        <v>0</v>
      </c>
      <c r="GM888" s="2">
        <f t="shared" si="749"/>
        <v>2935.5</v>
      </c>
      <c r="GN888" s="2">
        <f t="shared" si="750"/>
        <v>0</v>
      </c>
      <c r="GO888" s="2">
        <f t="shared" si="751"/>
        <v>2935.5</v>
      </c>
      <c r="GP888" s="2">
        <f t="shared" si="752"/>
        <v>0</v>
      </c>
      <c r="GQ888" s="2"/>
      <c r="GR888" s="2">
        <v>0</v>
      </c>
      <c r="GS888" s="2">
        <v>0</v>
      </c>
      <c r="GT888" s="2">
        <v>0</v>
      </c>
      <c r="GU888" s="2" t="s">
        <v>3</v>
      </c>
      <c r="GV888" s="2">
        <f t="shared" si="753"/>
        <v>0</v>
      </c>
      <c r="GW888" s="2">
        <v>1</v>
      </c>
      <c r="GX888" s="2">
        <f t="shared" si="754"/>
        <v>0</v>
      </c>
      <c r="GY888" s="2"/>
      <c r="GZ888" s="2"/>
      <c r="HA888" s="2">
        <v>0</v>
      </c>
      <c r="HB888" s="2">
        <v>0</v>
      </c>
      <c r="HC888" s="2">
        <f t="shared" si="755"/>
        <v>0</v>
      </c>
      <c r="HD888" s="2"/>
      <c r="HE888" s="2" t="s">
        <v>3</v>
      </c>
      <c r="HF888" s="2" t="s">
        <v>3</v>
      </c>
      <c r="HG888" s="2"/>
      <c r="HH888" s="2"/>
      <c r="HI888" s="2"/>
      <c r="HJ888" s="2"/>
      <c r="HK888" s="2"/>
      <c r="HL888" s="2"/>
      <c r="HM888" s="2" t="s">
        <v>3</v>
      </c>
      <c r="HN888" s="2" t="s">
        <v>3</v>
      </c>
      <c r="HO888" s="2" t="s">
        <v>3</v>
      </c>
      <c r="HP888" s="2" t="s">
        <v>3</v>
      </c>
      <c r="HQ888" s="2" t="s">
        <v>3</v>
      </c>
      <c r="HR888" s="2"/>
      <c r="HS888" s="2"/>
      <c r="HT888" s="2"/>
      <c r="HU888" s="2"/>
      <c r="HV888" s="2"/>
      <c r="HW888" s="2"/>
      <c r="HX888" s="2"/>
      <c r="HY888" s="2"/>
      <c r="HZ888" s="2"/>
      <c r="IA888" s="2"/>
      <c r="IB888" s="2"/>
      <c r="IC888" s="2"/>
      <c r="ID888" s="2"/>
      <c r="IE888" s="2"/>
      <c r="IF888" s="2"/>
      <c r="IG888" s="2"/>
      <c r="IH888" s="2"/>
      <c r="II888" s="2"/>
      <c r="IJ888" s="2"/>
      <c r="IK888" s="2">
        <v>0</v>
      </c>
      <c r="IL888" s="2"/>
      <c r="IM888" s="2"/>
      <c r="IN888" s="2"/>
      <c r="IO888" s="2"/>
      <c r="IP888" s="2"/>
      <c r="IQ888" s="2"/>
      <c r="IR888" s="2"/>
      <c r="IS888" s="2"/>
      <c r="IT888" s="2"/>
      <c r="IU888" s="2"/>
    </row>
    <row r="889" spans="1:255" x14ac:dyDescent="0.2">
      <c r="A889">
        <v>17</v>
      </c>
      <c r="B889">
        <v>1</v>
      </c>
      <c r="C889">
        <f>ROW(SmtRes!A758)</f>
        <v>758</v>
      </c>
      <c r="D889">
        <f>ROW(EtalonRes!A742)</f>
        <v>742</v>
      </c>
      <c r="E889" t="s">
        <v>176</v>
      </c>
      <c r="F889" t="s">
        <v>668</v>
      </c>
      <c r="G889" t="s">
        <v>669</v>
      </c>
      <c r="H889" t="s">
        <v>455</v>
      </c>
      <c r="I889">
        <v>0.9</v>
      </c>
      <c r="J889">
        <v>0</v>
      </c>
      <c r="K889">
        <v>0.9</v>
      </c>
      <c r="O889">
        <f t="shared" si="725"/>
        <v>27864</v>
      </c>
      <c r="P889">
        <f t="shared" si="726"/>
        <v>14725.35</v>
      </c>
      <c r="Q889">
        <f t="shared" si="756"/>
        <v>301</v>
      </c>
      <c r="R889">
        <f t="shared" si="727"/>
        <v>103.06</v>
      </c>
      <c r="S889">
        <f t="shared" si="728"/>
        <v>12837.65</v>
      </c>
      <c r="T889">
        <f t="shared" si="729"/>
        <v>0</v>
      </c>
      <c r="U889">
        <f t="shared" si="730"/>
        <v>36.603000000000002</v>
      </c>
      <c r="V889">
        <f t="shared" si="731"/>
        <v>0</v>
      </c>
      <c r="W889">
        <f t="shared" si="732"/>
        <v>0</v>
      </c>
      <c r="X889">
        <f t="shared" si="733"/>
        <v>10141.74</v>
      </c>
      <c r="Y889">
        <f t="shared" si="734"/>
        <v>5263.44</v>
      </c>
      <c r="AA889">
        <v>129761633</v>
      </c>
      <c r="AB889">
        <f t="shared" si="735"/>
        <v>2365.41</v>
      </c>
      <c r="AC889">
        <f t="shared" si="736"/>
        <v>1844.59</v>
      </c>
      <c r="AD889">
        <f t="shared" si="757"/>
        <v>29.47</v>
      </c>
      <c r="AE889">
        <f t="shared" si="758"/>
        <v>3.94</v>
      </c>
      <c r="AF889">
        <f t="shared" si="759"/>
        <v>491.35</v>
      </c>
      <c r="AG889">
        <f t="shared" si="737"/>
        <v>0</v>
      </c>
      <c r="AH889">
        <f t="shared" si="760"/>
        <v>40.67</v>
      </c>
      <c r="AI889">
        <f t="shared" si="761"/>
        <v>0</v>
      </c>
      <c r="AJ889">
        <f t="shared" si="738"/>
        <v>0</v>
      </c>
      <c r="AK889">
        <v>2365.41</v>
      </c>
      <c r="AL889">
        <v>1844.59</v>
      </c>
      <c r="AM889">
        <v>29.47</v>
      </c>
      <c r="AN889">
        <v>3.94</v>
      </c>
      <c r="AO889">
        <v>491.35</v>
      </c>
      <c r="AP889">
        <v>0</v>
      </c>
      <c r="AQ889">
        <v>40.67</v>
      </c>
      <c r="AR889">
        <v>0</v>
      </c>
      <c r="AS889">
        <v>0</v>
      </c>
      <c r="AT889">
        <v>79</v>
      </c>
      <c r="AU889">
        <v>41</v>
      </c>
      <c r="AV889">
        <v>1</v>
      </c>
      <c r="AW889">
        <v>1</v>
      </c>
      <c r="AZ889">
        <v>1</v>
      </c>
      <c r="BA889">
        <v>29.03</v>
      </c>
      <c r="BB889">
        <v>11.35</v>
      </c>
      <c r="BC889">
        <v>8.8699999999999992</v>
      </c>
      <c r="BD889" t="s">
        <v>3</v>
      </c>
      <c r="BE889" t="s">
        <v>3</v>
      </c>
      <c r="BF889" t="s">
        <v>3</v>
      </c>
      <c r="BG889" t="s">
        <v>3</v>
      </c>
      <c r="BH889">
        <v>0</v>
      </c>
      <c r="BI889">
        <v>2</v>
      </c>
      <c r="BJ889" t="s">
        <v>670</v>
      </c>
      <c r="BM889">
        <v>335</v>
      </c>
      <c r="BN889">
        <v>0</v>
      </c>
      <c r="BO889" t="s">
        <v>668</v>
      </c>
      <c r="BP889">
        <v>1</v>
      </c>
      <c r="BQ889">
        <v>40</v>
      </c>
      <c r="BR889">
        <v>0</v>
      </c>
      <c r="BS889">
        <v>29.03</v>
      </c>
      <c r="BT889">
        <v>1</v>
      </c>
      <c r="BU889">
        <v>1</v>
      </c>
      <c r="BV889">
        <v>1</v>
      </c>
      <c r="BW889">
        <v>1</v>
      </c>
      <c r="BX889">
        <v>1</v>
      </c>
      <c r="BY889" t="s">
        <v>3</v>
      </c>
      <c r="BZ889">
        <v>79</v>
      </c>
      <c r="CA889">
        <v>41</v>
      </c>
      <c r="CB889" t="s">
        <v>3</v>
      </c>
      <c r="CE889">
        <v>30</v>
      </c>
      <c r="CF889">
        <v>0</v>
      </c>
      <c r="CG889">
        <v>0</v>
      </c>
      <c r="CM889">
        <v>0</v>
      </c>
      <c r="CN889" t="s">
        <v>3</v>
      </c>
      <c r="CO889">
        <v>0</v>
      </c>
      <c r="CP889">
        <f t="shared" si="739"/>
        <v>27864</v>
      </c>
      <c r="CQ889">
        <f t="shared" si="740"/>
        <v>16361.51</v>
      </c>
      <c r="CR889">
        <f t="shared" si="762"/>
        <v>334.48</v>
      </c>
      <c r="CS889">
        <f t="shared" si="741"/>
        <v>114.38</v>
      </c>
      <c r="CT889">
        <f t="shared" si="742"/>
        <v>14263.89</v>
      </c>
      <c r="CU889">
        <f t="shared" si="743"/>
        <v>0</v>
      </c>
      <c r="CV889">
        <f t="shared" si="744"/>
        <v>40.67</v>
      </c>
      <c r="CW889">
        <f t="shared" si="745"/>
        <v>0</v>
      </c>
      <c r="CX889">
        <f t="shared" si="746"/>
        <v>0</v>
      </c>
      <c r="CY889">
        <f>S889*(BZ889/100)</f>
        <v>10141.7435</v>
      </c>
      <c r="CZ889">
        <f>S889*(CA889/100)</f>
        <v>5263.4364999999998</v>
      </c>
      <c r="DC889" t="s">
        <v>3</v>
      </c>
      <c r="DD889" t="s">
        <v>3</v>
      </c>
      <c r="DE889" t="s">
        <v>3</v>
      </c>
      <c r="DF889" t="s">
        <v>3</v>
      </c>
      <c r="DG889" t="s">
        <v>3</v>
      </c>
      <c r="DH889" t="s">
        <v>3</v>
      </c>
      <c r="DI889" t="s">
        <v>3</v>
      </c>
      <c r="DJ889" t="s">
        <v>3</v>
      </c>
      <c r="DK889" t="s">
        <v>3</v>
      </c>
      <c r="DL889" t="s">
        <v>3</v>
      </c>
      <c r="DM889" t="s">
        <v>3</v>
      </c>
      <c r="DN889">
        <v>114</v>
      </c>
      <c r="DO889">
        <v>67</v>
      </c>
      <c r="DP889">
        <v>1</v>
      </c>
      <c r="DQ889">
        <v>1</v>
      </c>
      <c r="DU889">
        <v>1003</v>
      </c>
      <c r="DV889" t="s">
        <v>455</v>
      </c>
      <c r="DW889" t="s">
        <v>455</v>
      </c>
      <c r="DX889">
        <v>100</v>
      </c>
      <c r="DZ889" t="s">
        <v>3</v>
      </c>
      <c r="EA889" t="s">
        <v>3</v>
      </c>
      <c r="EB889" t="s">
        <v>3</v>
      </c>
      <c r="EC889" t="s">
        <v>3</v>
      </c>
      <c r="EE889">
        <v>126051796</v>
      </c>
      <c r="EF889">
        <v>40</v>
      </c>
      <c r="EG889" t="s">
        <v>621</v>
      </c>
      <c r="EH889">
        <v>0</v>
      </c>
      <c r="EI889" t="s">
        <v>3</v>
      </c>
      <c r="EJ889">
        <v>2</v>
      </c>
      <c r="EK889">
        <v>335</v>
      </c>
      <c r="EL889" t="s">
        <v>671</v>
      </c>
      <c r="EM889" t="s">
        <v>672</v>
      </c>
      <c r="EO889" t="s">
        <v>3</v>
      </c>
      <c r="EQ889">
        <v>131072</v>
      </c>
      <c r="ER889">
        <v>2365.41</v>
      </c>
      <c r="ES889">
        <v>1844.59</v>
      </c>
      <c r="ET889">
        <v>29.47</v>
      </c>
      <c r="EU889">
        <v>3.94</v>
      </c>
      <c r="EV889">
        <v>491.35</v>
      </c>
      <c r="EW889">
        <v>40.67</v>
      </c>
      <c r="EX889">
        <v>0</v>
      </c>
      <c r="EY889">
        <v>0</v>
      </c>
      <c r="FQ889">
        <v>0</v>
      </c>
      <c r="FR889">
        <f t="shared" si="747"/>
        <v>0</v>
      </c>
      <c r="FS889">
        <v>0</v>
      </c>
      <c r="FX889">
        <v>114</v>
      </c>
      <c r="FY889">
        <v>67</v>
      </c>
      <c r="GA889" t="s">
        <v>3</v>
      </c>
      <c r="GD889">
        <v>0</v>
      </c>
      <c r="GF889">
        <v>634789835</v>
      </c>
      <c r="GG889">
        <v>2</v>
      </c>
      <c r="GH889">
        <v>1</v>
      </c>
      <c r="GI889">
        <v>2</v>
      </c>
      <c r="GJ889">
        <v>0</v>
      </c>
      <c r="GK889">
        <f>ROUND(R889*(S12)/100,2)</f>
        <v>164.9</v>
      </c>
      <c r="GL889">
        <f t="shared" si="748"/>
        <v>0</v>
      </c>
      <c r="GM889">
        <f t="shared" si="749"/>
        <v>43434.080000000002</v>
      </c>
      <c r="GN889">
        <f t="shared" si="750"/>
        <v>0</v>
      </c>
      <c r="GO889">
        <f t="shared" si="751"/>
        <v>43434.080000000002</v>
      </c>
      <c r="GP889">
        <f t="shared" si="752"/>
        <v>0</v>
      </c>
      <c r="GR889">
        <v>0</v>
      </c>
      <c r="GS889">
        <v>3</v>
      </c>
      <c r="GT889">
        <v>0</v>
      </c>
      <c r="GU889" t="s">
        <v>3</v>
      </c>
      <c r="GV889">
        <f t="shared" si="753"/>
        <v>0</v>
      </c>
      <c r="GW889">
        <v>1</v>
      </c>
      <c r="GX889">
        <f t="shared" si="754"/>
        <v>0</v>
      </c>
      <c r="HA889">
        <v>0</v>
      </c>
      <c r="HB889">
        <v>0</v>
      </c>
      <c r="HC889">
        <f t="shared" si="755"/>
        <v>0</v>
      </c>
      <c r="HE889" t="s">
        <v>3</v>
      </c>
      <c r="HF889" t="s">
        <v>3</v>
      </c>
      <c r="HM889" t="s">
        <v>3</v>
      </c>
      <c r="HN889" t="s">
        <v>3</v>
      </c>
      <c r="HO889" t="s">
        <v>3</v>
      </c>
      <c r="HP889" t="s">
        <v>3</v>
      </c>
      <c r="HQ889" t="s">
        <v>3</v>
      </c>
      <c r="IK889">
        <v>0</v>
      </c>
    </row>
    <row r="890" spans="1:255" x14ac:dyDescent="0.2">
      <c r="A890" s="2">
        <v>18</v>
      </c>
      <c r="B890" s="2">
        <v>1</v>
      </c>
      <c r="C890" s="2">
        <v>752</v>
      </c>
      <c r="D890" s="2"/>
      <c r="E890" s="2" t="s">
        <v>548</v>
      </c>
      <c r="F890" s="2" t="s">
        <v>673</v>
      </c>
      <c r="G890" s="2" t="s">
        <v>674</v>
      </c>
      <c r="H890" s="2" t="s">
        <v>270</v>
      </c>
      <c r="I890" s="2">
        <f>I888*J890</f>
        <v>90</v>
      </c>
      <c r="J890" s="2">
        <v>100</v>
      </c>
      <c r="K890" s="2">
        <v>100</v>
      </c>
      <c r="L890" s="2"/>
      <c r="M890" s="2"/>
      <c r="N890" s="2"/>
      <c r="O890" s="2">
        <f t="shared" si="725"/>
        <v>876.6</v>
      </c>
      <c r="P890" s="2">
        <f t="shared" si="726"/>
        <v>876.6</v>
      </c>
      <c r="Q890" s="2">
        <f t="shared" si="756"/>
        <v>0</v>
      </c>
      <c r="R890" s="2">
        <f t="shared" si="727"/>
        <v>0</v>
      </c>
      <c r="S890" s="2">
        <f t="shared" si="728"/>
        <v>0</v>
      </c>
      <c r="T890" s="2">
        <f t="shared" si="729"/>
        <v>0</v>
      </c>
      <c r="U890" s="2">
        <f t="shared" si="730"/>
        <v>0</v>
      </c>
      <c r="V890" s="2">
        <f t="shared" si="731"/>
        <v>0</v>
      </c>
      <c r="W890" s="2">
        <f t="shared" si="732"/>
        <v>0</v>
      </c>
      <c r="X890" s="2">
        <f t="shared" si="733"/>
        <v>0</v>
      </c>
      <c r="Y890" s="2">
        <f t="shared" si="734"/>
        <v>0</v>
      </c>
      <c r="Z890" s="2"/>
      <c r="AA890" s="2">
        <v>129761636</v>
      </c>
      <c r="AB890" s="2">
        <f t="shared" si="735"/>
        <v>9.74</v>
      </c>
      <c r="AC890" s="2">
        <f t="shared" si="736"/>
        <v>9.74</v>
      </c>
      <c r="AD890" s="2">
        <f t="shared" si="757"/>
        <v>0</v>
      </c>
      <c r="AE890" s="2">
        <f t="shared" si="758"/>
        <v>0</v>
      </c>
      <c r="AF890" s="2">
        <f t="shared" si="759"/>
        <v>0</v>
      </c>
      <c r="AG890" s="2">
        <f t="shared" si="737"/>
        <v>0</v>
      </c>
      <c r="AH890" s="2">
        <f t="shared" si="760"/>
        <v>0</v>
      </c>
      <c r="AI890" s="2">
        <f t="shared" si="761"/>
        <v>0</v>
      </c>
      <c r="AJ890" s="2">
        <f t="shared" si="738"/>
        <v>0</v>
      </c>
      <c r="AK890" s="2">
        <v>9.74</v>
      </c>
      <c r="AL890" s="2">
        <v>9.74</v>
      </c>
      <c r="AM890" s="2">
        <v>0</v>
      </c>
      <c r="AN890" s="2">
        <v>0</v>
      </c>
      <c r="AO890" s="2">
        <v>0</v>
      </c>
      <c r="AP890" s="2">
        <v>0</v>
      </c>
      <c r="AQ890" s="2">
        <v>0</v>
      </c>
      <c r="AR890" s="2">
        <v>0</v>
      </c>
      <c r="AS890" s="2">
        <v>0</v>
      </c>
      <c r="AT890" s="2">
        <v>114</v>
      </c>
      <c r="AU890" s="2">
        <v>67</v>
      </c>
      <c r="AV890" s="2">
        <v>1</v>
      </c>
      <c r="AW890" s="2">
        <v>1</v>
      </c>
      <c r="AX890" s="2"/>
      <c r="AY890" s="2"/>
      <c r="AZ890" s="2">
        <v>1</v>
      </c>
      <c r="BA890" s="2">
        <v>1</v>
      </c>
      <c r="BB890" s="2">
        <v>1</v>
      </c>
      <c r="BC890" s="2">
        <v>1</v>
      </c>
      <c r="BD890" s="2" t="s">
        <v>3</v>
      </c>
      <c r="BE890" s="2" t="s">
        <v>3</v>
      </c>
      <c r="BF890" s="2" t="s">
        <v>3</v>
      </c>
      <c r="BG890" s="2" t="s">
        <v>3</v>
      </c>
      <c r="BH890" s="2">
        <v>3</v>
      </c>
      <c r="BI890" s="2">
        <v>2</v>
      </c>
      <c r="BJ890" s="2" t="s">
        <v>675</v>
      </c>
      <c r="BK890" s="2"/>
      <c r="BL890" s="2"/>
      <c r="BM890" s="2">
        <v>335</v>
      </c>
      <c r="BN890" s="2">
        <v>0</v>
      </c>
      <c r="BO890" s="2" t="s">
        <v>3</v>
      </c>
      <c r="BP890" s="2">
        <v>0</v>
      </c>
      <c r="BQ890" s="2">
        <v>40</v>
      </c>
      <c r="BR890" s="2">
        <v>0</v>
      </c>
      <c r="BS890" s="2">
        <v>1</v>
      </c>
      <c r="BT890" s="2">
        <v>1</v>
      </c>
      <c r="BU890" s="2">
        <v>1</v>
      </c>
      <c r="BV890" s="2">
        <v>1</v>
      </c>
      <c r="BW890" s="2">
        <v>1</v>
      </c>
      <c r="BX890" s="2">
        <v>1</v>
      </c>
      <c r="BY890" s="2" t="s">
        <v>3</v>
      </c>
      <c r="BZ890" s="2">
        <v>114</v>
      </c>
      <c r="CA890" s="2">
        <v>67</v>
      </c>
      <c r="CB890" s="2" t="s">
        <v>3</v>
      </c>
      <c r="CC890" s="2"/>
      <c r="CD890" s="2"/>
      <c r="CE890" s="2">
        <v>30</v>
      </c>
      <c r="CF890" s="2">
        <v>0</v>
      </c>
      <c r="CG890" s="2">
        <v>0</v>
      </c>
      <c r="CH890" s="2"/>
      <c r="CI890" s="2"/>
      <c r="CJ890" s="2"/>
      <c r="CK890" s="2"/>
      <c r="CL890" s="2"/>
      <c r="CM890" s="2">
        <v>0</v>
      </c>
      <c r="CN890" s="2" t="s">
        <v>3</v>
      </c>
      <c r="CO890" s="2">
        <v>0</v>
      </c>
      <c r="CP890" s="2">
        <f t="shared" si="739"/>
        <v>876.6</v>
      </c>
      <c r="CQ890" s="2">
        <f t="shared" si="740"/>
        <v>9.74</v>
      </c>
      <c r="CR890" s="2">
        <f t="shared" si="762"/>
        <v>0</v>
      </c>
      <c r="CS890" s="2">
        <f t="shared" si="741"/>
        <v>0</v>
      </c>
      <c r="CT890" s="2">
        <f t="shared" si="742"/>
        <v>0</v>
      </c>
      <c r="CU890" s="2">
        <f t="shared" si="743"/>
        <v>0</v>
      </c>
      <c r="CV890" s="2">
        <f t="shared" si="744"/>
        <v>0</v>
      </c>
      <c r="CW890" s="2">
        <f t="shared" si="745"/>
        <v>0</v>
      </c>
      <c r="CX890" s="2">
        <f t="shared" si="746"/>
        <v>0</v>
      </c>
      <c r="CY890" s="2">
        <f>((S890*BZ890)/100)</f>
        <v>0</v>
      </c>
      <c r="CZ890" s="2">
        <f>((S890*CA890)/100)</f>
        <v>0</v>
      </c>
      <c r="DA890" s="2"/>
      <c r="DB890" s="2"/>
      <c r="DC890" s="2" t="s">
        <v>3</v>
      </c>
      <c r="DD890" s="2" t="s">
        <v>3</v>
      </c>
      <c r="DE890" s="2" t="s">
        <v>3</v>
      </c>
      <c r="DF890" s="2" t="s">
        <v>3</v>
      </c>
      <c r="DG890" s="2" t="s">
        <v>3</v>
      </c>
      <c r="DH890" s="2" t="s">
        <v>3</v>
      </c>
      <c r="DI890" s="2" t="s">
        <v>3</v>
      </c>
      <c r="DJ890" s="2" t="s">
        <v>3</v>
      </c>
      <c r="DK890" s="2" t="s">
        <v>3</v>
      </c>
      <c r="DL890" s="2" t="s">
        <v>3</v>
      </c>
      <c r="DM890" s="2" t="s">
        <v>3</v>
      </c>
      <c r="DN890" s="2">
        <v>0</v>
      </c>
      <c r="DO890" s="2">
        <v>0</v>
      </c>
      <c r="DP890" s="2">
        <v>1</v>
      </c>
      <c r="DQ890" s="2">
        <v>1</v>
      </c>
      <c r="DR890" s="2"/>
      <c r="DS890" s="2"/>
      <c r="DT890" s="2"/>
      <c r="DU890" s="2">
        <v>1003</v>
      </c>
      <c r="DV890" s="2" t="s">
        <v>270</v>
      </c>
      <c r="DW890" s="2" t="s">
        <v>270</v>
      </c>
      <c r="DX890" s="2">
        <v>1</v>
      </c>
      <c r="DY890" s="2"/>
      <c r="DZ890" s="2" t="s">
        <v>3</v>
      </c>
      <c r="EA890" s="2" t="s">
        <v>3</v>
      </c>
      <c r="EB890" s="2" t="s">
        <v>3</v>
      </c>
      <c r="EC890" s="2" t="s">
        <v>3</v>
      </c>
      <c r="ED890" s="2"/>
      <c r="EE890" s="2">
        <v>126051796</v>
      </c>
      <c r="EF890" s="2">
        <v>40</v>
      </c>
      <c r="EG890" s="2" t="s">
        <v>621</v>
      </c>
      <c r="EH890" s="2">
        <v>0</v>
      </c>
      <c r="EI890" s="2" t="s">
        <v>3</v>
      </c>
      <c r="EJ890" s="2">
        <v>2</v>
      </c>
      <c r="EK890" s="2">
        <v>335</v>
      </c>
      <c r="EL890" s="2" t="s">
        <v>671</v>
      </c>
      <c r="EM890" s="2" t="s">
        <v>672</v>
      </c>
      <c r="EN890" s="2"/>
      <c r="EO890" s="2" t="s">
        <v>3</v>
      </c>
      <c r="EP890" s="2"/>
      <c r="EQ890" s="2">
        <v>0</v>
      </c>
      <c r="ER890" s="2">
        <v>9.74</v>
      </c>
      <c r="ES890" s="2">
        <v>9.74</v>
      </c>
      <c r="ET890" s="2">
        <v>0</v>
      </c>
      <c r="EU890" s="2">
        <v>0</v>
      </c>
      <c r="EV890" s="2">
        <v>0</v>
      </c>
      <c r="EW890" s="2">
        <v>0</v>
      </c>
      <c r="EX890" s="2">
        <v>0</v>
      </c>
      <c r="EY890" s="2"/>
      <c r="EZ890" s="2"/>
      <c r="FA890" s="2"/>
      <c r="FB890" s="2"/>
      <c r="FC890" s="2"/>
      <c r="FD890" s="2"/>
      <c r="FE890" s="2"/>
      <c r="FF890" s="2"/>
      <c r="FG890" s="2"/>
      <c r="FH890" s="2"/>
      <c r="FI890" s="2"/>
      <c r="FJ890" s="2"/>
      <c r="FK890" s="2"/>
      <c r="FL890" s="2"/>
      <c r="FM890" s="2"/>
      <c r="FN890" s="2"/>
      <c r="FO890" s="2"/>
      <c r="FP890" s="2"/>
      <c r="FQ890" s="2">
        <v>0</v>
      </c>
      <c r="FR890" s="2">
        <f t="shared" si="747"/>
        <v>0</v>
      </c>
      <c r="FS890" s="2">
        <v>0</v>
      </c>
      <c r="FT890" s="2"/>
      <c r="FU890" s="2"/>
      <c r="FV890" s="2"/>
      <c r="FW890" s="2"/>
      <c r="FX890" s="2">
        <v>114</v>
      </c>
      <c r="FY890" s="2">
        <v>67</v>
      </c>
      <c r="FZ890" s="2"/>
      <c r="GA890" s="2" t="s">
        <v>3</v>
      </c>
      <c r="GB890" s="2"/>
      <c r="GC890" s="2"/>
      <c r="GD890" s="2">
        <v>0</v>
      </c>
      <c r="GE890" s="2"/>
      <c r="GF890" s="2">
        <v>-961474962</v>
      </c>
      <c r="GG890" s="2">
        <v>2</v>
      </c>
      <c r="GH890" s="2">
        <v>1</v>
      </c>
      <c r="GI890" s="2">
        <v>-2</v>
      </c>
      <c r="GJ890" s="2">
        <v>0</v>
      </c>
      <c r="GK890" s="2">
        <f>ROUND(R890*(R12)/100,2)</f>
        <v>0</v>
      </c>
      <c r="GL890" s="2">
        <f t="shared" si="748"/>
        <v>0</v>
      </c>
      <c r="GM890" s="2">
        <f t="shared" si="749"/>
        <v>876.6</v>
      </c>
      <c r="GN890" s="2">
        <f t="shared" si="750"/>
        <v>0</v>
      </c>
      <c r="GO890" s="2">
        <f t="shared" si="751"/>
        <v>876.6</v>
      </c>
      <c r="GP890" s="2">
        <f t="shared" si="752"/>
        <v>0</v>
      </c>
      <c r="GQ890" s="2"/>
      <c r="GR890" s="2">
        <v>0</v>
      </c>
      <c r="GS890" s="2">
        <v>0</v>
      </c>
      <c r="GT890" s="2">
        <v>0</v>
      </c>
      <c r="GU890" s="2" t="s">
        <v>3</v>
      </c>
      <c r="GV890" s="2">
        <f t="shared" si="753"/>
        <v>0</v>
      </c>
      <c r="GW890" s="2">
        <v>1</v>
      </c>
      <c r="GX890" s="2">
        <f t="shared" si="754"/>
        <v>0</v>
      </c>
      <c r="GY890" s="2"/>
      <c r="GZ890" s="2"/>
      <c r="HA890" s="2">
        <v>0</v>
      </c>
      <c r="HB890" s="2">
        <v>0</v>
      </c>
      <c r="HC890" s="2">
        <f t="shared" si="755"/>
        <v>0</v>
      </c>
      <c r="HD890" s="2"/>
      <c r="HE890" s="2" t="s">
        <v>3</v>
      </c>
      <c r="HF890" s="2" t="s">
        <v>3</v>
      </c>
      <c r="HG890" s="2"/>
      <c r="HH890" s="2"/>
      <c r="HI890" s="2"/>
      <c r="HJ890" s="2"/>
      <c r="HK890" s="2"/>
      <c r="HL890" s="2"/>
      <c r="HM890" s="2" t="s">
        <v>3</v>
      </c>
      <c r="HN890" s="2" t="s">
        <v>3</v>
      </c>
      <c r="HO890" s="2" t="s">
        <v>3</v>
      </c>
      <c r="HP890" s="2" t="s">
        <v>3</v>
      </c>
      <c r="HQ890" s="2" t="s">
        <v>3</v>
      </c>
      <c r="HR890" s="2"/>
      <c r="HS890" s="2"/>
      <c r="HT890" s="2"/>
      <c r="HU890" s="2"/>
      <c r="HV890" s="2"/>
      <c r="HW890" s="2"/>
      <c r="HX890" s="2"/>
      <c r="HY890" s="2"/>
      <c r="HZ890" s="2"/>
      <c r="IA890" s="2"/>
      <c r="IB890" s="2"/>
      <c r="IC890" s="2"/>
      <c r="ID890" s="2"/>
      <c r="IE890" s="2"/>
      <c r="IF890" s="2"/>
      <c r="IG890" s="2"/>
      <c r="IH890" s="2"/>
      <c r="II890" s="2"/>
      <c r="IJ890" s="2"/>
      <c r="IK890" s="2">
        <v>0</v>
      </c>
      <c r="IL890" s="2"/>
      <c r="IM890" s="2"/>
      <c r="IN890" s="2"/>
      <c r="IO890" s="2"/>
      <c r="IP890" s="2"/>
      <c r="IQ890" s="2"/>
      <c r="IR890" s="2"/>
      <c r="IS890" s="2"/>
      <c r="IT890" s="2"/>
      <c r="IU890" s="2"/>
    </row>
    <row r="891" spans="1:255" x14ac:dyDescent="0.2">
      <c r="A891">
        <v>18</v>
      </c>
      <c r="B891">
        <v>1</v>
      </c>
      <c r="C891">
        <v>756</v>
      </c>
      <c r="E891" t="s">
        <v>548</v>
      </c>
      <c r="F891" t="s">
        <v>673</v>
      </c>
      <c r="G891" t="s">
        <v>674</v>
      </c>
      <c r="H891" t="s">
        <v>270</v>
      </c>
      <c r="I891">
        <f>I889*J891</f>
        <v>90</v>
      </c>
      <c r="J891">
        <v>100</v>
      </c>
      <c r="K891">
        <v>100</v>
      </c>
      <c r="O891">
        <f t="shared" si="725"/>
        <v>6109.9</v>
      </c>
      <c r="P891">
        <f t="shared" si="726"/>
        <v>6109.9</v>
      </c>
      <c r="Q891">
        <f t="shared" si="756"/>
        <v>0</v>
      </c>
      <c r="R891">
        <f t="shared" si="727"/>
        <v>0</v>
      </c>
      <c r="S891">
        <f t="shared" si="728"/>
        <v>0</v>
      </c>
      <c r="T891">
        <f t="shared" si="729"/>
        <v>0</v>
      </c>
      <c r="U891">
        <f t="shared" si="730"/>
        <v>0</v>
      </c>
      <c r="V891">
        <f t="shared" si="731"/>
        <v>0</v>
      </c>
      <c r="W891">
        <f t="shared" si="732"/>
        <v>0</v>
      </c>
      <c r="X891">
        <f t="shared" si="733"/>
        <v>0</v>
      </c>
      <c r="Y891">
        <f t="shared" si="734"/>
        <v>0</v>
      </c>
      <c r="AA891">
        <v>129761633</v>
      </c>
      <c r="AB891">
        <f t="shared" si="735"/>
        <v>9.74</v>
      </c>
      <c r="AC891">
        <f t="shared" si="736"/>
        <v>9.74</v>
      </c>
      <c r="AD891">
        <f t="shared" si="757"/>
        <v>0</v>
      </c>
      <c r="AE891">
        <f t="shared" si="758"/>
        <v>0</v>
      </c>
      <c r="AF891">
        <f t="shared" si="759"/>
        <v>0</v>
      </c>
      <c r="AG891">
        <f t="shared" si="737"/>
        <v>0</v>
      </c>
      <c r="AH891">
        <f t="shared" si="760"/>
        <v>0</v>
      </c>
      <c r="AI891">
        <f t="shared" si="761"/>
        <v>0</v>
      </c>
      <c r="AJ891">
        <f t="shared" si="738"/>
        <v>0</v>
      </c>
      <c r="AK891">
        <v>9.74</v>
      </c>
      <c r="AL891">
        <v>9.74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1</v>
      </c>
      <c r="AW891">
        <v>1</v>
      </c>
      <c r="AZ891">
        <v>1</v>
      </c>
      <c r="BA891">
        <v>1</v>
      </c>
      <c r="BB891">
        <v>1</v>
      </c>
      <c r="BC891">
        <v>6.97</v>
      </c>
      <c r="BD891" t="s">
        <v>3</v>
      </c>
      <c r="BE891" t="s">
        <v>3</v>
      </c>
      <c r="BF891" t="s">
        <v>3</v>
      </c>
      <c r="BG891" t="s">
        <v>3</v>
      </c>
      <c r="BH891">
        <v>3</v>
      </c>
      <c r="BI891">
        <v>2</v>
      </c>
      <c r="BJ891" t="s">
        <v>675</v>
      </c>
      <c r="BM891">
        <v>335</v>
      </c>
      <c r="BN891">
        <v>0</v>
      </c>
      <c r="BO891" t="s">
        <v>673</v>
      </c>
      <c r="BP891">
        <v>1</v>
      </c>
      <c r="BQ891">
        <v>40</v>
      </c>
      <c r="BR891">
        <v>0</v>
      </c>
      <c r="BS891">
        <v>1</v>
      </c>
      <c r="BT891">
        <v>1</v>
      </c>
      <c r="BU891">
        <v>1</v>
      </c>
      <c r="BV891">
        <v>1</v>
      </c>
      <c r="BW891">
        <v>1</v>
      </c>
      <c r="BX891">
        <v>1</v>
      </c>
      <c r="BY891" t="s">
        <v>3</v>
      </c>
      <c r="BZ891">
        <v>0</v>
      </c>
      <c r="CA891">
        <v>0</v>
      </c>
      <c r="CB891" t="s">
        <v>3</v>
      </c>
      <c r="CE891">
        <v>30</v>
      </c>
      <c r="CF891">
        <v>0</v>
      </c>
      <c r="CG891">
        <v>0</v>
      </c>
      <c r="CM891">
        <v>0</v>
      </c>
      <c r="CN891" t="s">
        <v>3</v>
      </c>
      <c r="CO891">
        <v>0</v>
      </c>
      <c r="CP891">
        <f t="shared" si="739"/>
        <v>6109.9</v>
      </c>
      <c r="CQ891">
        <f t="shared" si="740"/>
        <v>67.89</v>
      </c>
      <c r="CR891">
        <f t="shared" si="762"/>
        <v>0</v>
      </c>
      <c r="CS891">
        <f t="shared" si="741"/>
        <v>0</v>
      </c>
      <c r="CT891">
        <f t="shared" si="742"/>
        <v>0</v>
      </c>
      <c r="CU891">
        <f t="shared" si="743"/>
        <v>0</v>
      </c>
      <c r="CV891">
        <f t="shared" si="744"/>
        <v>0</v>
      </c>
      <c r="CW891">
        <f t="shared" si="745"/>
        <v>0</v>
      </c>
      <c r="CX891">
        <f t="shared" si="746"/>
        <v>0</v>
      </c>
      <c r="CY891">
        <f>S891*(BZ891/100)</f>
        <v>0</v>
      </c>
      <c r="CZ891">
        <f>S891*(CA891/100)</f>
        <v>0</v>
      </c>
      <c r="DC891" t="s">
        <v>3</v>
      </c>
      <c r="DD891" t="s">
        <v>3</v>
      </c>
      <c r="DE891" t="s">
        <v>3</v>
      </c>
      <c r="DF891" t="s">
        <v>3</v>
      </c>
      <c r="DG891" t="s">
        <v>3</v>
      </c>
      <c r="DH891" t="s">
        <v>3</v>
      </c>
      <c r="DI891" t="s">
        <v>3</v>
      </c>
      <c r="DJ891" t="s">
        <v>3</v>
      </c>
      <c r="DK891" t="s">
        <v>3</v>
      </c>
      <c r="DL891" t="s">
        <v>3</v>
      </c>
      <c r="DM891" t="s">
        <v>3</v>
      </c>
      <c r="DN891">
        <v>114</v>
      </c>
      <c r="DO891">
        <v>67</v>
      </c>
      <c r="DP891">
        <v>1</v>
      </c>
      <c r="DQ891">
        <v>1</v>
      </c>
      <c r="DU891">
        <v>1003</v>
      </c>
      <c r="DV891" t="s">
        <v>270</v>
      </c>
      <c r="DW891" t="s">
        <v>270</v>
      </c>
      <c r="DX891">
        <v>1</v>
      </c>
      <c r="DZ891" t="s">
        <v>3</v>
      </c>
      <c r="EA891" t="s">
        <v>3</v>
      </c>
      <c r="EB891" t="s">
        <v>3</v>
      </c>
      <c r="EC891" t="s">
        <v>3</v>
      </c>
      <c r="EE891">
        <v>126051796</v>
      </c>
      <c r="EF891">
        <v>40</v>
      </c>
      <c r="EG891" t="s">
        <v>621</v>
      </c>
      <c r="EH891">
        <v>0</v>
      </c>
      <c r="EI891" t="s">
        <v>3</v>
      </c>
      <c r="EJ891">
        <v>2</v>
      </c>
      <c r="EK891">
        <v>335</v>
      </c>
      <c r="EL891" t="s">
        <v>671</v>
      </c>
      <c r="EM891" t="s">
        <v>672</v>
      </c>
      <c r="EO891" t="s">
        <v>3</v>
      </c>
      <c r="EQ891">
        <v>0</v>
      </c>
      <c r="ER891">
        <v>9.74</v>
      </c>
      <c r="ES891">
        <v>9.74</v>
      </c>
      <c r="ET891">
        <v>0</v>
      </c>
      <c r="EU891">
        <v>0</v>
      </c>
      <c r="EV891">
        <v>0</v>
      </c>
      <c r="EW891">
        <v>0</v>
      </c>
      <c r="EX891">
        <v>0</v>
      </c>
      <c r="FQ891">
        <v>0</v>
      </c>
      <c r="FR891">
        <f t="shared" si="747"/>
        <v>0</v>
      </c>
      <c r="FS891">
        <v>0</v>
      </c>
      <c r="FX891">
        <v>114</v>
      </c>
      <c r="FY891">
        <v>67</v>
      </c>
      <c r="GA891" t="s">
        <v>3</v>
      </c>
      <c r="GD891">
        <v>0</v>
      </c>
      <c r="GF891">
        <v>-961474962</v>
      </c>
      <c r="GG891">
        <v>2</v>
      </c>
      <c r="GH891">
        <v>1</v>
      </c>
      <c r="GI891">
        <v>2</v>
      </c>
      <c r="GJ891">
        <v>0</v>
      </c>
      <c r="GK891">
        <f>ROUND(R891*(S12)/100,2)</f>
        <v>0</v>
      </c>
      <c r="GL891">
        <f t="shared" si="748"/>
        <v>0</v>
      </c>
      <c r="GM891">
        <f t="shared" si="749"/>
        <v>6109.9</v>
      </c>
      <c r="GN891">
        <f t="shared" si="750"/>
        <v>0</v>
      </c>
      <c r="GO891">
        <f t="shared" si="751"/>
        <v>6109.9</v>
      </c>
      <c r="GP891">
        <f t="shared" si="752"/>
        <v>0</v>
      </c>
      <c r="GR891">
        <v>0</v>
      </c>
      <c r="GS891">
        <v>3</v>
      </c>
      <c r="GT891">
        <v>0</v>
      </c>
      <c r="GU891" t="s">
        <v>3</v>
      </c>
      <c r="GV891">
        <f t="shared" si="753"/>
        <v>0</v>
      </c>
      <c r="GW891">
        <v>1</v>
      </c>
      <c r="GX891">
        <f t="shared" si="754"/>
        <v>0</v>
      </c>
      <c r="HA891">
        <v>0</v>
      </c>
      <c r="HB891">
        <v>0</v>
      </c>
      <c r="HC891">
        <f t="shared" si="755"/>
        <v>0</v>
      </c>
      <c r="HE891" t="s">
        <v>3</v>
      </c>
      <c r="HF891" t="s">
        <v>3</v>
      </c>
      <c r="HM891" t="s">
        <v>3</v>
      </c>
      <c r="HN891" t="s">
        <v>3</v>
      </c>
      <c r="HO891" t="s">
        <v>3</v>
      </c>
      <c r="HP891" t="s">
        <v>3</v>
      </c>
      <c r="HQ891" t="s">
        <v>3</v>
      </c>
      <c r="IK891">
        <v>0</v>
      </c>
    </row>
    <row r="892" spans="1:255" x14ac:dyDescent="0.2">
      <c r="A892" s="2">
        <v>18</v>
      </c>
      <c r="B892" s="2">
        <v>1</v>
      </c>
      <c r="C892" s="2">
        <v>753</v>
      </c>
      <c r="D892" s="2"/>
      <c r="E892" s="2" t="s">
        <v>552</v>
      </c>
      <c r="F892" s="2" t="s">
        <v>767</v>
      </c>
      <c r="G892" s="2" t="s">
        <v>768</v>
      </c>
      <c r="H892" s="2" t="s">
        <v>250</v>
      </c>
      <c r="I892" s="2">
        <f>I888*J892</f>
        <v>7</v>
      </c>
      <c r="J892" s="2">
        <v>7.7777777777777777</v>
      </c>
      <c r="K892" s="2">
        <v>7.7777777777777777</v>
      </c>
      <c r="L892" s="2"/>
      <c r="M892" s="2"/>
      <c r="N892" s="2"/>
      <c r="O892" s="2">
        <f t="shared" si="725"/>
        <v>183.33</v>
      </c>
      <c r="P892" s="2">
        <f t="shared" si="726"/>
        <v>183.33</v>
      </c>
      <c r="Q892" s="2">
        <f t="shared" si="756"/>
        <v>0</v>
      </c>
      <c r="R892" s="2">
        <f t="shared" si="727"/>
        <v>0</v>
      </c>
      <c r="S892" s="2">
        <f t="shared" si="728"/>
        <v>0</v>
      </c>
      <c r="T892" s="2">
        <f t="shared" si="729"/>
        <v>0</v>
      </c>
      <c r="U892" s="2">
        <f t="shared" si="730"/>
        <v>0</v>
      </c>
      <c r="V892" s="2">
        <f t="shared" si="731"/>
        <v>0</v>
      </c>
      <c r="W892" s="2">
        <f t="shared" si="732"/>
        <v>0</v>
      </c>
      <c r="X892" s="2">
        <f t="shared" si="733"/>
        <v>0</v>
      </c>
      <c r="Y892" s="2">
        <f t="shared" si="734"/>
        <v>0</v>
      </c>
      <c r="Z892" s="2"/>
      <c r="AA892" s="2">
        <v>129761636</v>
      </c>
      <c r="AB892" s="2">
        <f t="shared" si="735"/>
        <v>26.19</v>
      </c>
      <c r="AC892" s="2">
        <f t="shared" si="736"/>
        <v>26.19</v>
      </c>
      <c r="AD892" s="2">
        <f t="shared" si="757"/>
        <v>0</v>
      </c>
      <c r="AE892" s="2">
        <f t="shared" si="758"/>
        <v>0</v>
      </c>
      <c r="AF892" s="2">
        <f t="shared" si="759"/>
        <v>0</v>
      </c>
      <c r="AG892" s="2">
        <f t="shared" si="737"/>
        <v>0</v>
      </c>
      <c r="AH892" s="2">
        <f t="shared" si="760"/>
        <v>0</v>
      </c>
      <c r="AI892" s="2">
        <f t="shared" si="761"/>
        <v>0</v>
      </c>
      <c r="AJ892" s="2">
        <f t="shared" si="738"/>
        <v>0</v>
      </c>
      <c r="AK892" s="2">
        <v>26.19</v>
      </c>
      <c r="AL892" s="2">
        <v>26.19</v>
      </c>
      <c r="AM892" s="2">
        <v>0</v>
      </c>
      <c r="AN892" s="2">
        <v>0</v>
      </c>
      <c r="AO892" s="2">
        <v>0</v>
      </c>
      <c r="AP892" s="2">
        <v>0</v>
      </c>
      <c r="AQ892" s="2">
        <v>0</v>
      </c>
      <c r="AR892" s="2">
        <v>0</v>
      </c>
      <c r="AS892" s="2">
        <v>0</v>
      </c>
      <c r="AT892" s="2">
        <v>114</v>
      </c>
      <c r="AU892" s="2">
        <v>67</v>
      </c>
      <c r="AV892" s="2">
        <v>1</v>
      </c>
      <c r="AW892" s="2">
        <v>1</v>
      </c>
      <c r="AX892" s="2"/>
      <c r="AY892" s="2"/>
      <c r="AZ892" s="2">
        <v>1</v>
      </c>
      <c r="BA892" s="2">
        <v>1</v>
      </c>
      <c r="BB892" s="2">
        <v>1</v>
      </c>
      <c r="BC892" s="2">
        <v>1</v>
      </c>
      <c r="BD892" s="2" t="s">
        <v>3</v>
      </c>
      <c r="BE892" s="2" t="s">
        <v>3</v>
      </c>
      <c r="BF892" s="2" t="s">
        <v>3</v>
      </c>
      <c r="BG892" s="2" t="s">
        <v>3</v>
      </c>
      <c r="BH892" s="2">
        <v>3</v>
      </c>
      <c r="BI892" s="2">
        <v>2</v>
      </c>
      <c r="BJ892" s="2" t="s">
        <v>769</v>
      </c>
      <c r="BK892" s="2"/>
      <c r="BL892" s="2"/>
      <c r="BM892" s="2">
        <v>335</v>
      </c>
      <c r="BN892" s="2">
        <v>0</v>
      </c>
      <c r="BO892" s="2" t="s">
        <v>3</v>
      </c>
      <c r="BP892" s="2">
        <v>0</v>
      </c>
      <c r="BQ892" s="2">
        <v>40</v>
      </c>
      <c r="BR892" s="2">
        <v>0</v>
      </c>
      <c r="BS892" s="2">
        <v>1</v>
      </c>
      <c r="BT892" s="2">
        <v>1</v>
      </c>
      <c r="BU892" s="2">
        <v>1</v>
      </c>
      <c r="BV892" s="2">
        <v>1</v>
      </c>
      <c r="BW892" s="2">
        <v>1</v>
      </c>
      <c r="BX892" s="2">
        <v>1</v>
      </c>
      <c r="BY892" s="2" t="s">
        <v>3</v>
      </c>
      <c r="BZ892" s="2">
        <v>114</v>
      </c>
      <c r="CA892" s="2">
        <v>67</v>
      </c>
      <c r="CB892" s="2" t="s">
        <v>3</v>
      </c>
      <c r="CC892" s="2"/>
      <c r="CD892" s="2"/>
      <c r="CE892" s="2">
        <v>30</v>
      </c>
      <c r="CF892" s="2">
        <v>0</v>
      </c>
      <c r="CG892" s="2">
        <v>0</v>
      </c>
      <c r="CH892" s="2"/>
      <c r="CI892" s="2"/>
      <c r="CJ892" s="2"/>
      <c r="CK892" s="2"/>
      <c r="CL892" s="2"/>
      <c r="CM892" s="2">
        <v>0</v>
      </c>
      <c r="CN892" s="2" t="s">
        <v>3</v>
      </c>
      <c r="CO892" s="2">
        <v>0</v>
      </c>
      <c r="CP892" s="2">
        <f t="shared" si="739"/>
        <v>183.33</v>
      </c>
      <c r="CQ892" s="2">
        <f t="shared" si="740"/>
        <v>26.19</v>
      </c>
      <c r="CR892" s="2">
        <f t="shared" si="762"/>
        <v>0</v>
      </c>
      <c r="CS892" s="2">
        <f t="shared" si="741"/>
        <v>0</v>
      </c>
      <c r="CT892" s="2">
        <f t="shared" si="742"/>
        <v>0</v>
      </c>
      <c r="CU892" s="2">
        <f t="shared" si="743"/>
        <v>0</v>
      </c>
      <c r="CV892" s="2">
        <f t="shared" si="744"/>
        <v>0</v>
      </c>
      <c r="CW892" s="2">
        <f t="shared" si="745"/>
        <v>0</v>
      </c>
      <c r="CX892" s="2">
        <f t="shared" si="746"/>
        <v>0</v>
      </c>
      <c r="CY892" s="2">
        <f>((S892*BZ892)/100)</f>
        <v>0</v>
      </c>
      <c r="CZ892" s="2">
        <f>((S892*CA892)/100)</f>
        <v>0</v>
      </c>
      <c r="DA892" s="2"/>
      <c r="DB892" s="2"/>
      <c r="DC892" s="2" t="s">
        <v>3</v>
      </c>
      <c r="DD892" s="2" t="s">
        <v>3</v>
      </c>
      <c r="DE892" s="2" t="s">
        <v>3</v>
      </c>
      <c r="DF892" s="2" t="s">
        <v>3</v>
      </c>
      <c r="DG892" s="2" t="s">
        <v>3</v>
      </c>
      <c r="DH892" s="2" t="s">
        <v>3</v>
      </c>
      <c r="DI892" s="2" t="s">
        <v>3</v>
      </c>
      <c r="DJ892" s="2" t="s">
        <v>3</v>
      </c>
      <c r="DK892" s="2" t="s">
        <v>3</v>
      </c>
      <c r="DL892" s="2" t="s">
        <v>3</v>
      </c>
      <c r="DM892" s="2" t="s">
        <v>3</v>
      </c>
      <c r="DN892" s="2">
        <v>0</v>
      </c>
      <c r="DO892" s="2">
        <v>0</v>
      </c>
      <c r="DP892" s="2">
        <v>1</v>
      </c>
      <c r="DQ892" s="2">
        <v>1</v>
      </c>
      <c r="DR892" s="2"/>
      <c r="DS892" s="2"/>
      <c r="DT892" s="2"/>
      <c r="DU892" s="2">
        <v>1010</v>
      </c>
      <c r="DV892" s="2" t="s">
        <v>250</v>
      </c>
      <c r="DW892" s="2" t="s">
        <v>250</v>
      </c>
      <c r="DX892" s="2">
        <v>1</v>
      </c>
      <c r="DY892" s="2"/>
      <c r="DZ892" s="2" t="s">
        <v>3</v>
      </c>
      <c r="EA892" s="2" t="s">
        <v>3</v>
      </c>
      <c r="EB892" s="2" t="s">
        <v>3</v>
      </c>
      <c r="EC892" s="2" t="s">
        <v>3</v>
      </c>
      <c r="ED892" s="2"/>
      <c r="EE892" s="2">
        <v>126051796</v>
      </c>
      <c r="EF892" s="2">
        <v>40</v>
      </c>
      <c r="EG892" s="2" t="s">
        <v>621</v>
      </c>
      <c r="EH892" s="2">
        <v>0</v>
      </c>
      <c r="EI892" s="2" t="s">
        <v>3</v>
      </c>
      <c r="EJ892" s="2">
        <v>2</v>
      </c>
      <c r="EK892" s="2">
        <v>335</v>
      </c>
      <c r="EL892" s="2" t="s">
        <v>671</v>
      </c>
      <c r="EM892" s="2" t="s">
        <v>672</v>
      </c>
      <c r="EN892" s="2"/>
      <c r="EO892" s="2" t="s">
        <v>3</v>
      </c>
      <c r="EP892" s="2"/>
      <c r="EQ892" s="2">
        <v>0</v>
      </c>
      <c r="ER892" s="2">
        <v>26.19</v>
      </c>
      <c r="ES892" s="2">
        <v>26.19</v>
      </c>
      <c r="ET892" s="2">
        <v>0</v>
      </c>
      <c r="EU892" s="2">
        <v>0</v>
      </c>
      <c r="EV892" s="2">
        <v>0</v>
      </c>
      <c r="EW892" s="2">
        <v>0</v>
      </c>
      <c r="EX892" s="2">
        <v>0</v>
      </c>
      <c r="EY892" s="2"/>
      <c r="EZ892" s="2"/>
      <c r="FA892" s="2"/>
      <c r="FB892" s="2"/>
      <c r="FC892" s="2"/>
      <c r="FD892" s="2"/>
      <c r="FE892" s="2"/>
      <c r="FF892" s="2"/>
      <c r="FG892" s="2"/>
      <c r="FH892" s="2"/>
      <c r="FI892" s="2"/>
      <c r="FJ892" s="2"/>
      <c r="FK892" s="2"/>
      <c r="FL892" s="2"/>
      <c r="FM892" s="2"/>
      <c r="FN892" s="2"/>
      <c r="FO892" s="2"/>
      <c r="FP892" s="2"/>
      <c r="FQ892" s="2">
        <v>0</v>
      </c>
      <c r="FR892" s="2">
        <f t="shared" si="747"/>
        <v>0</v>
      </c>
      <c r="FS892" s="2">
        <v>0</v>
      </c>
      <c r="FT892" s="2"/>
      <c r="FU892" s="2"/>
      <c r="FV892" s="2"/>
      <c r="FW892" s="2"/>
      <c r="FX892" s="2">
        <v>114</v>
      </c>
      <c r="FY892" s="2">
        <v>67</v>
      </c>
      <c r="FZ892" s="2"/>
      <c r="GA892" s="2" t="s">
        <v>3</v>
      </c>
      <c r="GB892" s="2"/>
      <c r="GC892" s="2"/>
      <c r="GD892" s="2">
        <v>0</v>
      </c>
      <c r="GE892" s="2"/>
      <c r="GF892" s="2">
        <v>-838499012</v>
      </c>
      <c r="GG892" s="2">
        <v>2</v>
      </c>
      <c r="GH892" s="2">
        <v>1</v>
      </c>
      <c r="GI892" s="2">
        <v>-2</v>
      </c>
      <c r="GJ892" s="2">
        <v>0</v>
      </c>
      <c r="GK892" s="2">
        <f>ROUND(R892*(R12)/100,2)</f>
        <v>0</v>
      </c>
      <c r="GL892" s="2">
        <f t="shared" si="748"/>
        <v>0</v>
      </c>
      <c r="GM892" s="2">
        <f t="shared" si="749"/>
        <v>183.33</v>
      </c>
      <c r="GN892" s="2">
        <f t="shared" si="750"/>
        <v>0</v>
      </c>
      <c r="GO892" s="2">
        <f t="shared" si="751"/>
        <v>183.33</v>
      </c>
      <c r="GP892" s="2">
        <f t="shared" si="752"/>
        <v>0</v>
      </c>
      <c r="GQ892" s="2"/>
      <c r="GR892" s="2">
        <v>0</v>
      </c>
      <c r="GS892" s="2">
        <v>0</v>
      </c>
      <c r="GT892" s="2">
        <v>0</v>
      </c>
      <c r="GU892" s="2" t="s">
        <v>3</v>
      </c>
      <c r="GV892" s="2">
        <f t="shared" si="753"/>
        <v>0</v>
      </c>
      <c r="GW892" s="2">
        <v>1</v>
      </c>
      <c r="GX892" s="2">
        <f t="shared" si="754"/>
        <v>0</v>
      </c>
      <c r="GY892" s="2"/>
      <c r="GZ892" s="2"/>
      <c r="HA892" s="2">
        <v>0</v>
      </c>
      <c r="HB892" s="2">
        <v>0</v>
      </c>
      <c r="HC892" s="2">
        <f t="shared" si="755"/>
        <v>0</v>
      </c>
      <c r="HD892" s="2"/>
      <c r="HE892" s="2" t="s">
        <v>3</v>
      </c>
      <c r="HF892" s="2" t="s">
        <v>3</v>
      </c>
      <c r="HG892" s="2"/>
      <c r="HH892" s="2"/>
      <c r="HI892" s="2"/>
      <c r="HJ892" s="2"/>
      <c r="HK892" s="2"/>
      <c r="HL892" s="2"/>
      <c r="HM892" s="2" t="s">
        <v>3</v>
      </c>
      <c r="HN892" s="2" t="s">
        <v>3</v>
      </c>
      <c r="HO892" s="2" t="s">
        <v>3</v>
      </c>
      <c r="HP892" s="2" t="s">
        <v>3</v>
      </c>
      <c r="HQ892" s="2" t="s">
        <v>3</v>
      </c>
      <c r="HR892" s="2"/>
      <c r="HS892" s="2"/>
      <c r="HT892" s="2"/>
      <c r="HU892" s="2"/>
      <c r="HV892" s="2"/>
      <c r="HW892" s="2"/>
      <c r="HX892" s="2"/>
      <c r="HY892" s="2"/>
      <c r="HZ892" s="2"/>
      <c r="IA892" s="2"/>
      <c r="IB892" s="2"/>
      <c r="IC892" s="2"/>
      <c r="ID892" s="2"/>
      <c r="IE892" s="2"/>
      <c r="IF892" s="2"/>
      <c r="IG892" s="2"/>
      <c r="IH892" s="2"/>
      <c r="II892" s="2"/>
      <c r="IJ892" s="2"/>
      <c r="IK892" s="2">
        <v>0</v>
      </c>
      <c r="IL892" s="2"/>
      <c r="IM892" s="2"/>
      <c r="IN892" s="2"/>
      <c r="IO892" s="2"/>
      <c r="IP892" s="2"/>
      <c r="IQ892" s="2"/>
      <c r="IR892" s="2"/>
      <c r="IS892" s="2"/>
      <c r="IT892" s="2"/>
      <c r="IU892" s="2"/>
    </row>
    <row r="893" spans="1:255" x14ac:dyDescent="0.2">
      <c r="A893">
        <v>18</v>
      </c>
      <c r="B893">
        <v>1</v>
      </c>
      <c r="C893">
        <v>757</v>
      </c>
      <c r="E893" t="s">
        <v>552</v>
      </c>
      <c r="F893" t="s">
        <v>767</v>
      </c>
      <c r="G893" t="s">
        <v>768</v>
      </c>
      <c r="H893" t="s">
        <v>250</v>
      </c>
      <c r="I893">
        <f>I889*J893</f>
        <v>7</v>
      </c>
      <c r="J893">
        <v>7.7777777777777777</v>
      </c>
      <c r="K893">
        <v>7.7777777777777777</v>
      </c>
      <c r="O893">
        <f t="shared" si="725"/>
        <v>2001.96</v>
      </c>
      <c r="P893">
        <f t="shared" si="726"/>
        <v>2001.96</v>
      </c>
      <c r="Q893">
        <f t="shared" si="756"/>
        <v>0</v>
      </c>
      <c r="R893">
        <f t="shared" si="727"/>
        <v>0</v>
      </c>
      <c r="S893">
        <f t="shared" si="728"/>
        <v>0</v>
      </c>
      <c r="T893">
        <f t="shared" si="729"/>
        <v>0</v>
      </c>
      <c r="U893">
        <f t="shared" si="730"/>
        <v>0</v>
      </c>
      <c r="V893">
        <f t="shared" si="731"/>
        <v>0</v>
      </c>
      <c r="W893">
        <f t="shared" si="732"/>
        <v>0</v>
      </c>
      <c r="X893">
        <f t="shared" si="733"/>
        <v>0</v>
      </c>
      <c r="Y893">
        <f t="shared" si="734"/>
        <v>0</v>
      </c>
      <c r="AA893">
        <v>129761633</v>
      </c>
      <c r="AB893">
        <f t="shared" si="735"/>
        <v>26.19</v>
      </c>
      <c r="AC893">
        <f t="shared" si="736"/>
        <v>26.19</v>
      </c>
      <c r="AD893">
        <f t="shared" si="757"/>
        <v>0</v>
      </c>
      <c r="AE893">
        <f t="shared" si="758"/>
        <v>0</v>
      </c>
      <c r="AF893">
        <f t="shared" si="759"/>
        <v>0</v>
      </c>
      <c r="AG893">
        <f t="shared" si="737"/>
        <v>0</v>
      </c>
      <c r="AH893">
        <f t="shared" si="760"/>
        <v>0</v>
      </c>
      <c r="AI893">
        <f t="shared" si="761"/>
        <v>0</v>
      </c>
      <c r="AJ893">
        <f t="shared" si="738"/>
        <v>0</v>
      </c>
      <c r="AK893">
        <v>26.19</v>
      </c>
      <c r="AL893">
        <v>26.19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1</v>
      </c>
      <c r="AW893">
        <v>1</v>
      </c>
      <c r="AZ893">
        <v>1</v>
      </c>
      <c r="BA893">
        <v>1</v>
      </c>
      <c r="BB893">
        <v>1</v>
      </c>
      <c r="BC893">
        <v>10.92</v>
      </c>
      <c r="BD893" t="s">
        <v>3</v>
      </c>
      <c r="BE893" t="s">
        <v>3</v>
      </c>
      <c r="BF893" t="s">
        <v>3</v>
      </c>
      <c r="BG893" t="s">
        <v>3</v>
      </c>
      <c r="BH893">
        <v>3</v>
      </c>
      <c r="BI893">
        <v>2</v>
      </c>
      <c r="BJ893" t="s">
        <v>769</v>
      </c>
      <c r="BM893">
        <v>335</v>
      </c>
      <c r="BN893">
        <v>0</v>
      </c>
      <c r="BO893" t="s">
        <v>767</v>
      </c>
      <c r="BP893">
        <v>1</v>
      </c>
      <c r="BQ893">
        <v>40</v>
      </c>
      <c r="BR893">
        <v>0</v>
      </c>
      <c r="BS893">
        <v>1</v>
      </c>
      <c r="BT893">
        <v>1</v>
      </c>
      <c r="BU893">
        <v>1</v>
      </c>
      <c r="BV893">
        <v>1</v>
      </c>
      <c r="BW893">
        <v>1</v>
      </c>
      <c r="BX893">
        <v>1</v>
      </c>
      <c r="BY893" t="s">
        <v>3</v>
      </c>
      <c r="BZ893">
        <v>0</v>
      </c>
      <c r="CA893">
        <v>0</v>
      </c>
      <c r="CB893" t="s">
        <v>3</v>
      </c>
      <c r="CE893">
        <v>30</v>
      </c>
      <c r="CF893">
        <v>0</v>
      </c>
      <c r="CG893">
        <v>0</v>
      </c>
      <c r="CM893">
        <v>0</v>
      </c>
      <c r="CN893" t="s">
        <v>3</v>
      </c>
      <c r="CO893">
        <v>0</v>
      </c>
      <c r="CP893">
        <f t="shared" si="739"/>
        <v>2001.96</v>
      </c>
      <c r="CQ893">
        <f t="shared" si="740"/>
        <v>285.99</v>
      </c>
      <c r="CR893">
        <f t="shared" si="762"/>
        <v>0</v>
      </c>
      <c r="CS893">
        <f t="shared" si="741"/>
        <v>0</v>
      </c>
      <c r="CT893">
        <f t="shared" si="742"/>
        <v>0</v>
      </c>
      <c r="CU893">
        <f t="shared" si="743"/>
        <v>0</v>
      </c>
      <c r="CV893">
        <f t="shared" si="744"/>
        <v>0</v>
      </c>
      <c r="CW893">
        <f t="shared" si="745"/>
        <v>0</v>
      </c>
      <c r="CX893">
        <f t="shared" si="746"/>
        <v>0</v>
      </c>
      <c r="CY893">
        <f>S893*(BZ893/100)</f>
        <v>0</v>
      </c>
      <c r="CZ893">
        <f>S893*(CA893/100)</f>
        <v>0</v>
      </c>
      <c r="DC893" t="s">
        <v>3</v>
      </c>
      <c r="DD893" t="s">
        <v>3</v>
      </c>
      <c r="DE893" t="s">
        <v>3</v>
      </c>
      <c r="DF893" t="s">
        <v>3</v>
      </c>
      <c r="DG893" t="s">
        <v>3</v>
      </c>
      <c r="DH893" t="s">
        <v>3</v>
      </c>
      <c r="DI893" t="s">
        <v>3</v>
      </c>
      <c r="DJ893" t="s">
        <v>3</v>
      </c>
      <c r="DK893" t="s">
        <v>3</v>
      </c>
      <c r="DL893" t="s">
        <v>3</v>
      </c>
      <c r="DM893" t="s">
        <v>3</v>
      </c>
      <c r="DN893">
        <v>114</v>
      </c>
      <c r="DO893">
        <v>67</v>
      </c>
      <c r="DP893">
        <v>1</v>
      </c>
      <c r="DQ893">
        <v>1</v>
      </c>
      <c r="DU893">
        <v>1010</v>
      </c>
      <c r="DV893" t="s">
        <v>250</v>
      </c>
      <c r="DW893" t="s">
        <v>250</v>
      </c>
      <c r="DX893">
        <v>1</v>
      </c>
      <c r="DZ893" t="s">
        <v>3</v>
      </c>
      <c r="EA893" t="s">
        <v>3</v>
      </c>
      <c r="EB893" t="s">
        <v>3</v>
      </c>
      <c r="EC893" t="s">
        <v>3</v>
      </c>
      <c r="EE893">
        <v>126051796</v>
      </c>
      <c r="EF893">
        <v>40</v>
      </c>
      <c r="EG893" t="s">
        <v>621</v>
      </c>
      <c r="EH893">
        <v>0</v>
      </c>
      <c r="EI893" t="s">
        <v>3</v>
      </c>
      <c r="EJ893">
        <v>2</v>
      </c>
      <c r="EK893">
        <v>335</v>
      </c>
      <c r="EL893" t="s">
        <v>671</v>
      </c>
      <c r="EM893" t="s">
        <v>672</v>
      </c>
      <c r="EO893" t="s">
        <v>3</v>
      </c>
      <c r="EQ893">
        <v>0</v>
      </c>
      <c r="ER893">
        <v>26.19</v>
      </c>
      <c r="ES893">
        <v>26.19</v>
      </c>
      <c r="ET893">
        <v>0</v>
      </c>
      <c r="EU893">
        <v>0</v>
      </c>
      <c r="EV893">
        <v>0</v>
      </c>
      <c r="EW893">
        <v>0</v>
      </c>
      <c r="EX893">
        <v>0</v>
      </c>
      <c r="FQ893">
        <v>0</v>
      </c>
      <c r="FR893">
        <f t="shared" si="747"/>
        <v>0</v>
      </c>
      <c r="FS893">
        <v>0</v>
      </c>
      <c r="FX893">
        <v>114</v>
      </c>
      <c r="FY893">
        <v>67</v>
      </c>
      <c r="GA893" t="s">
        <v>3</v>
      </c>
      <c r="GD893">
        <v>0</v>
      </c>
      <c r="GF893">
        <v>-838499012</v>
      </c>
      <c r="GG893">
        <v>2</v>
      </c>
      <c r="GH893">
        <v>1</v>
      </c>
      <c r="GI893">
        <v>2</v>
      </c>
      <c r="GJ893">
        <v>0</v>
      </c>
      <c r="GK893">
        <f>ROUND(R893*(S12)/100,2)</f>
        <v>0</v>
      </c>
      <c r="GL893">
        <f t="shared" si="748"/>
        <v>0</v>
      </c>
      <c r="GM893">
        <f t="shared" si="749"/>
        <v>2001.96</v>
      </c>
      <c r="GN893">
        <f t="shared" si="750"/>
        <v>0</v>
      </c>
      <c r="GO893">
        <f t="shared" si="751"/>
        <v>2001.96</v>
      </c>
      <c r="GP893">
        <f t="shared" si="752"/>
        <v>0</v>
      </c>
      <c r="GR893">
        <v>0</v>
      </c>
      <c r="GS893">
        <v>3</v>
      </c>
      <c r="GT893">
        <v>0</v>
      </c>
      <c r="GU893" t="s">
        <v>3</v>
      </c>
      <c r="GV893">
        <f t="shared" si="753"/>
        <v>0</v>
      </c>
      <c r="GW893">
        <v>1</v>
      </c>
      <c r="GX893">
        <f t="shared" si="754"/>
        <v>0</v>
      </c>
      <c r="HA893">
        <v>0</v>
      </c>
      <c r="HB893">
        <v>0</v>
      </c>
      <c r="HC893">
        <f t="shared" si="755"/>
        <v>0</v>
      </c>
      <c r="HE893" t="s">
        <v>3</v>
      </c>
      <c r="HF893" t="s">
        <v>3</v>
      </c>
      <c r="HM893" t="s">
        <v>3</v>
      </c>
      <c r="HN893" t="s">
        <v>3</v>
      </c>
      <c r="HO893" t="s">
        <v>3</v>
      </c>
      <c r="HP893" t="s">
        <v>3</v>
      </c>
      <c r="HQ893" t="s">
        <v>3</v>
      </c>
      <c r="IK893">
        <v>0</v>
      </c>
    </row>
    <row r="894" spans="1:255" x14ac:dyDescent="0.2">
      <c r="A894" s="2">
        <v>18</v>
      </c>
      <c r="B894" s="2">
        <v>1</v>
      </c>
      <c r="C894" s="2">
        <v>754</v>
      </c>
      <c r="D894" s="2"/>
      <c r="E894" s="2" t="s">
        <v>555</v>
      </c>
      <c r="F894" s="2" t="s">
        <v>248</v>
      </c>
      <c r="G894" s="2" t="s">
        <v>770</v>
      </c>
      <c r="H894" s="2" t="s">
        <v>250</v>
      </c>
      <c r="I894" s="2">
        <f>I888*J894</f>
        <v>21</v>
      </c>
      <c r="J894" s="2">
        <v>23.333333333333332</v>
      </c>
      <c r="K894" s="2">
        <v>23.333333333333332</v>
      </c>
      <c r="L894" s="2"/>
      <c r="M894" s="2"/>
      <c r="N894" s="2"/>
      <c r="O894" s="2">
        <f t="shared" si="725"/>
        <v>86.1</v>
      </c>
      <c r="P894" s="2">
        <f t="shared" si="726"/>
        <v>86.1</v>
      </c>
      <c r="Q894" s="2">
        <f t="shared" si="756"/>
        <v>0</v>
      </c>
      <c r="R894" s="2">
        <f t="shared" si="727"/>
        <v>0</v>
      </c>
      <c r="S894" s="2">
        <f t="shared" si="728"/>
        <v>0</v>
      </c>
      <c r="T894" s="2">
        <f t="shared" si="729"/>
        <v>0</v>
      </c>
      <c r="U894" s="2">
        <f t="shared" si="730"/>
        <v>0</v>
      </c>
      <c r="V894" s="2">
        <f t="shared" si="731"/>
        <v>0</v>
      </c>
      <c r="W894" s="2">
        <f t="shared" si="732"/>
        <v>0</v>
      </c>
      <c r="X894" s="2">
        <f t="shared" si="733"/>
        <v>0</v>
      </c>
      <c r="Y894" s="2">
        <f t="shared" si="734"/>
        <v>0</v>
      </c>
      <c r="Z894" s="2"/>
      <c r="AA894" s="2">
        <v>129761636</v>
      </c>
      <c r="AB894" s="2">
        <f t="shared" si="735"/>
        <v>4.0999999999999996</v>
      </c>
      <c r="AC894" s="2">
        <f t="shared" si="736"/>
        <v>4.0999999999999996</v>
      </c>
      <c r="AD894" s="2">
        <f t="shared" si="757"/>
        <v>0</v>
      </c>
      <c r="AE894" s="2">
        <f t="shared" si="758"/>
        <v>0</v>
      </c>
      <c r="AF894" s="2">
        <f t="shared" si="759"/>
        <v>0</v>
      </c>
      <c r="AG894" s="2">
        <f t="shared" si="737"/>
        <v>0</v>
      </c>
      <c r="AH894" s="2">
        <f t="shared" si="760"/>
        <v>0</v>
      </c>
      <c r="AI894" s="2">
        <f t="shared" si="761"/>
        <v>0</v>
      </c>
      <c r="AJ894" s="2">
        <f t="shared" si="738"/>
        <v>0</v>
      </c>
      <c r="AK894" s="2">
        <v>4.0999999999999996</v>
      </c>
      <c r="AL894" s="2">
        <v>4.0999999999999996</v>
      </c>
      <c r="AM894" s="2">
        <v>0</v>
      </c>
      <c r="AN894" s="2">
        <v>0</v>
      </c>
      <c r="AO894" s="2">
        <v>0</v>
      </c>
      <c r="AP894" s="2">
        <v>0</v>
      </c>
      <c r="AQ894" s="2">
        <v>0</v>
      </c>
      <c r="AR894" s="2">
        <v>0</v>
      </c>
      <c r="AS894" s="2">
        <v>0</v>
      </c>
      <c r="AT894" s="2">
        <v>114</v>
      </c>
      <c r="AU894" s="2">
        <v>67</v>
      </c>
      <c r="AV894" s="2">
        <v>1</v>
      </c>
      <c r="AW894" s="2">
        <v>1</v>
      </c>
      <c r="AX894" s="2"/>
      <c r="AY894" s="2"/>
      <c r="AZ894" s="2">
        <v>1</v>
      </c>
      <c r="BA894" s="2">
        <v>1</v>
      </c>
      <c r="BB894" s="2">
        <v>1</v>
      </c>
      <c r="BC894" s="2">
        <v>1</v>
      </c>
      <c r="BD894" s="2" t="s">
        <v>3</v>
      </c>
      <c r="BE894" s="2" t="s">
        <v>3</v>
      </c>
      <c r="BF894" s="2" t="s">
        <v>3</v>
      </c>
      <c r="BG894" s="2" t="s">
        <v>3</v>
      </c>
      <c r="BH894" s="2">
        <v>3</v>
      </c>
      <c r="BI894" s="2">
        <v>2</v>
      </c>
      <c r="BJ894" s="2" t="s">
        <v>3</v>
      </c>
      <c r="BK894" s="2"/>
      <c r="BL894" s="2"/>
      <c r="BM894" s="2">
        <v>335</v>
      </c>
      <c r="BN894" s="2">
        <v>0</v>
      </c>
      <c r="BO894" s="2" t="s">
        <v>3</v>
      </c>
      <c r="BP894" s="2">
        <v>0</v>
      </c>
      <c r="BQ894" s="2">
        <v>40</v>
      </c>
      <c r="BR894" s="2">
        <v>0</v>
      </c>
      <c r="BS894" s="2">
        <v>1</v>
      </c>
      <c r="BT894" s="2">
        <v>1</v>
      </c>
      <c r="BU894" s="2">
        <v>1</v>
      </c>
      <c r="BV894" s="2">
        <v>1</v>
      </c>
      <c r="BW894" s="2">
        <v>1</v>
      </c>
      <c r="BX894" s="2">
        <v>1</v>
      </c>
      <c r="BY894" s="2" t="s">
        <v>3</v>
      </c>
      <c r="BZ894" s="2">
        <v>114</v>
      </c>
      <c r="CA894" s="2">
        <v>67</v>
      </c>
      <c r="CB894" s="2" t="s">
        <v>3</v>
      </c>
      <c r="CC894" s="2"/>
      <c r="CD894" s="2"/>
      <c r="CE894" s="2">
        <v>30</v>
      </c>
      <c r="CF894" s="2">
        <v>0</v>
      </c>
      <c r="CG894" s="2">
        <v>0</v>
      </c>
      <c r="CH894" s="2"/>
      <c r="CI894" s="2"/>
      <c r="CJ894" s="2"/>
      <c r="CK894" s="2"/>
      <c r="CL894" s="2"/>
      <c r="CM894" s="2">
        <v>0</v>
      </c>
      <c r="CN894" s="2" t="s">
        <v>3</v>
      </c>
      <c r="CO894" s="2">
        <v>0</v>
      </c>
      <c r="CP894" s="2">
        <f t="shared" si="739"/>
        <v>86.1</v>
      </c>
      <c r="CQ894" s="2">
        <f t="shared" si="740"/>
        <v>4.0999999999999996</v>
      </c>
      <c r="CR894" s="2">
        <f t="shared" si="762"/>
        <v>0</v>
      </c>
      <c r="CS894" s="2">
        <f t="shared" si="741"/>
        <v>0</v>
      </c>
      <c r="CT894" s="2">
        <f t="shared" si="742"/>
        <v>0</v>
      </c>
      <c r="CU894" s="2">
        <f t="shared" si="743"/>
        <v>0</v>
      </c>
      <c r="CV894" s="2">
        <f t="shared" si="744"/>
        <v>0</v>
      </c>
      <c r="CW894" s="2">
        <f t="shared" si="745"/>
        <v>0</v>
      </c>
      <c r="CX894" s="2">
        <f t="shared" si="746"/>
        <v>0</v>
      </c>
      <c r="CY894" s="2">
        <f>((S894*BZ894)/100)</f>
        <v>0</v>
      </c>
      <c r="CZ894" s="2">
        <f>((S894*CA894)/100)</f>
        <v>0</v>
      </c>
      <c r="DA894" s="2"/>
      <c r="DB894" s="2"/>
      <c r="DC894" s="2" t="s">
        <v>3</v>
      </c>
      <c r="DD894" s="2" t="s">
        <v>3</v>
      </c>
      <c r="DE894" s="2" t="s">
        <v>3</v>
      </c>
      <c r="DF894" s="2" t="s">
        <v>3</v>
      </c>
      <c r="DG894" s="2" t="s">
        <v>3</v>
      </c>
      <c r="DH894" s="2" t="s">
        <v>3</v>
      </c>
      <c r="DI894" s="2" t="s">
        <v>3</v>
      </c>
      <c r="DJ894" s="2" t="s">
        <v>3</v>
      </c>
      <c r="DK894" s="2" t="s">
        <v>3</v>
      </c>
      <c r="DL894" s="2" t="s">
        <v>3</v>
      </c>
      <c r="DM894" s="2" t="s">
        <v>3</v>
      </c>
      <c r="DN894" s="2">
        <v>0</v>
      </c>
      <c r="DO894" s="2">
        <v>0</v>
      </c>
      <c r="DP894" s="2">
        <v>1</v>
      </c>
      <c r="DQ894" s="2">
        <v>1</v>
      </c>
      <c r="DR894" s="2"/>
      <c r="DS894" s="2"/>
      <c r="DT894" s="2"/>
      <c r="DU894" s="2">
        <v>1010</v>
      </c>
      <c r="DV894" s="2" t="s">
        <v>250</v>
      </c>
      <c r="DW894" s="2" t="s">
        <v>250</v>
      </c>
      <c r="DX894" s="2">
        <v>1</v>
      </c>
      <c r="DY894" s="2"/>
      <c r="DZ894" s="2" t="s">
        <v>3</v>
      </c>
      <c r="EA894" s="2" t="s">
        <v>3</v>
      </c>
      <c r="EB894" s="2" t="s">
        <v>3</v>
      </c>
      <c r="EC894" s="2" t="s">
        <v>3</v>
      </c>
      <c r="ED894" s="2"/>
      <c r="EE894" s="2">
        <v>126051796</v>
      </c>
      <c r="EF894" s="2">
        <v>40</v>
      </c>
      <c r="EG894" s="2" t="s">
        <v>621</v>
      </c>
      <c r="EH894" s="2">
        <v>0</v>
      </c>
      <c r="EI894" s="2" t="s">
        <v>3</v>
      </c>
      <c r="EJ894" s="2">
        <v>2</v>
      </c>
      <c r="EK894" s="2">
        <v>335</v>
      </c>
      <c r="EL894" s="2" t="s">
        <v>671</v>
      </c>
      <c r="EM894" s="2" t="s">
        <v>672</v>
      </c>
      <c r="EN894" s="2"/>
      <c r="EO894" s="2" t="s">
        <v>3</v>
      </c>
      <c r="EP894" s="2"/>
      <c r="EQ894" s="2">
        <v>0</v>
      </c>
      <c r="ER894" s="2">
        <v>4.0999999999999996</v>
      </c>
      <c r="ES894" s="2">
        <v>4.0999999999999996</v>
      </c>
      <c r="ET894" s="2">
        <v>0</v>
      </c>
      <c r="EU894" s="2">
        <v>0</v>
      </c>
      <c r="EV894" s="2">
        <v>0</v>
      </c>
      <c r="EW894" s="2">
        <v>0</v>
      </c>
      <c r="EX894" s="2">
        <v>0</v>
      </c>
      <c r="EY894" s="2"/>
      <c r="EZ894" s="2"/>
      <c r="FA894" s="2"/>
      <c r="FB894" s="2"/>
      <c r="FC894" s="2"/>
      <c r="FD894" s="2"/>
      <c r="FE894" s="2"/>
      <c r="FF894" s="2"/>
      <c r="FG894" s="2"/>
      <c r="FH894" s="2"/>
      <c r="FI894" s="2"/>
      <c r="FJ894" s="2"/>
      <c r="FK894" s="2"/>
      <c r="FL894" s="2"/>
      <c r="FM894" s="2"/>
      <c r="FN894" s="2"/>
      <c r="FO894" s="2"/>
      <c r="FP894" s="2"/>
      <c r="FQ894" s="2">
        <v>0</v>
      </c>
      <c r="FR894" s="2">
        <f t="shared" si="747"/>
        <v>0</v>
      </c>
      <c r="FS894" s="2">
        <v>0</v>
      </c>
      <c r="FT894" s="2"/>
      <c r="FU894" s="2"/>
      <c r="FV894" s="2"/>
      <c r="FW894" s="2"/>
      <c r="FX894" s="2">
        <v>114</v>
      </c>
      <c r="FY894" s="2">
        <v>67</v>
      </c>
      <c r="FZ894" s="2"/>
      <c r="GA894" s="2" t="s">
        <v>3</v>
      </c>
      <c r="GB894" s="2"/>
      <c r="GC894" s="2"/>
      <c r="GD894" s="2">
        <v>0</v>
      </c>
      <c r="GE894" s="2"/>
      <c r="GF894" s="2">
        <v>1560097417</v>
      </c>
      <c r="GG894" s="2">
        <v>2</v>
      </c>
      <c r="GH894" s="2">
        <v>0</v>
      </c>
      <c r="GI894" s="2">
        <v>-2</v>
      </c>
      <c r="GJ894" s="2">
        <v>0</v>
      </c>
      <c r="GK894" s="2">
        <f>ROUND(R894*(R12)/100,2)</f>
        <v>0</v>
      </c>
      <c r="GL894" s="2">
        <f t="shared" si="748"/>
        <v>0</v>
      </c>
      <c r="GM894" s="2">
        <f t="shared" si="749"/>
        <v>86.1</v>
      </c>
      <c r="GN894" s="2">
        <f t="shared" si="750"/>
        <v>0</v>
      </c>
      <c r="GO894" s="2">
        <f t="shared" si="751"/>
        <v>86.1</v>
      </c>
      <c r="GP894" s="2">
        <f t="shared" si="752"/>
        <v>0</v>
      </c>
      <c r="GQ894" s="2"/>
      <c r="GR894" s="2">
        <v>0</v>
      </c>
      <c r="GS894" s="2">
        <v>0</v>
      </c>
      <c r="GT894" s="2">
        <v>0</v>
      </c>
      <c r="GU894" s="2" t="s">
        <v>3</v>
      </c>
      <c r="GV894" s="2">
        <f t="shared" si="753"/>
        <v>0</v>
      </c>
      <c r="GW894" s="2">
        <v>1</v>
      </c>
      <c r="GX894" s="2">
        <f t="shared" si="754"/>
        <v>0</v>
      </c>
      <c r="GY894" s="2"/>
      <c r="GZ894" s="2"/>
      <c r="HA894" s="2">
        <v>0</v>
      </c>
      <c r="HB894" s="2">
        <v>0</v>
      </c>
      <c r="HC894" s="2">
        <f t="shared" si="755"/>
        <v>0</v>
      </c>
      <c r="HD894" s="2"/>
      <c r="HE894" s="2" t="s">
        <v>3</v>
      </c>
      <c r="HF894" s="2" t="s">
        <v>3</v>
      </c>
      <c r="HG894" s="2"/>
      <c r="HH894" s="2"/>
      <c r="HI894" s="2"/>
      <c r="HJ894" s="2"/>
      <c r="HK894" s="2"/>
      <c r="HL894" s="2"/>
      <c r="HM894" s="2" t="s">
        <v>3</v>
      </c>
      <c r="HN894" s="2" t="s">
        <v>3</v>
      </c>
      <c r="HO894" s="2" t="s">
        <v>3</v>
      </c>
      <c r="HP894" s="2" t="s">
        <v>3</v>
      </c>
      <c r="HQ894" s="2" t="s">
        <v>3</v>
      </c>
      <c r="HR894" s="2"/>
      <c r="HS894" s="2"/>
      <c r="HT894" s="2"/>
      <c r="HU894" s="2"/>
      <c r="HV894" s="2"/>
      <c r="HW894" s="2"/>
      <c r="HX894" s="2"/>
      <c r="HY894" s="2"/>
      <c r="HZ894" s="2"/>
      <c r="IA894" s="2"/>
      <c r="IB894" s="2"/>
      <c r="IC894" s="2"/>
      <c r="ID894" s="2"/>
      <c r="IE894" s="2"/>
      <c r="IF894" s="2"/>
      <c r="IG894" s="2"/>
      <c r="IH894" s="2"/>
      <c r="II894" s="2"/>
      <c r="IJ894" s="2"/>
      <c r="IK894" s="2">
        <v>0</v>
      </c>
      <c r="IL894" s="2"/>
      <c r="IM894" s="2"/>
      <c r="IN894" s="2"/>
      <c r="IO894" s="2"/>
      <c r="IP894" s="2"/>
      <c r="IQ894" s="2"/>
      <c r="IR894" s="2"/>
      <c r="IS894" s="2"/>
      <c r="IT894" s="2"/>
      <c r="IU894" s="2"/>
    </row>
    <row r="895" spans="1:255" x14ac:dyDescent="0.2">
      <c r="A895">
        <v>18</v>
      </c>
      <c r="B895">
        <v>1</v>
      </c>
      <c r="C895">
        <v>758</v>
      </c>
      <c r="E895" t="s">
        <v>555</v>
      </c>
      <c r="F895" t="s">
        <v>248</v>
      </c>
      <c r="G895" t="s">
        <v>770</v>
      </c>
      <c r="H895" t="s">
        <v>250</v>
      </c>
      <c r="I895">
        <f>I889*J895</f>
        <v>21</v>
      </c>
      <c r="J895">
        <v>23.333333333333332</v>
      </c>
      <c r="K895">
        <v>23.333333333333332</v>
      </c>
      <c r="O895">
        <f t="shared" si="725"/>
        <v>570.38</v>
      </c>
      <c r="P895">
        <f t="shared" si="726"/>
        <v>570.38</v>
      </c>
      <c r="Q895">
        <f t="shared" si="756"/>
        <v>0</v>
      </c>
      <c r="R895">
        <f t="shared" si="727"/>
        <v>0</v>
      </c>
      <c r="S895">
        <f t="shared" si="728"/>
        <v>0</v>
      </c>
      <c r="T895">
        <f t="shared" si="729"/>
        <v>0</v>
      </c>
      <c r="U895">
        <f t="shared" si="730"/>
        <v>0</v>
      </c>
      <c r="V895">
        <f t="shared" si="731"/>
        <v>0</v>
      </c>
      <c r="W895">
        <f t="shared" si="732"/>
        <v>0</v>
      </c>
      <c r="X895">
        <f t="shared" si="733"/>
        <v>0</v>
      </c>
      <c r="Y895">
        <f t="shared" si="734"/>
        <v>0</v>
      </c>
      <c r="AA895">
        <v>129761633</v>
      </c>
      <c r="AB895">
        <f t="shared" si="735"/>
        <v>3.14</v>
      </c>
      <c r="AC895">
        <f t="shared" si="736"/>
        <v>3.14</v>
      </c>
      <c r="AD895">
        <f t="shared" si="757"/>
        <v>0</v>
      </c>
      <c r="AE895">
        <f t="shared" si="758"/>
        <v>0</v>
      </c>
      <c r="AF895">
        <f t="shared" si="759"/>
        <v>0</v>
      </c>
      <c r="AG895">
        <f t="shared" si="737"/>
        <v>0</v>
      </c>
      <c r="AH895">
        <f t="shared" si="760"/>
        <v>0</v>
      </c>
      <c r="AI895">
        <f t="shared" si="761"/>
        <v>0</v>
      </c>
      <c r="AJ895">
        <f t="shared" si="738"/>
        <v>0</v>
      </c>
      <c r="AK895">
        <v>3.14</v>
      </c>
      <c r="AL895">
        <v>3.14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1</v>
      </c>
      <c r="AW895">
        <v>1</v>
      </c>
      <c r="AZ895">
        <v>1</v>
      </c>
      <c r="BA895">
        <v>1</v>
      </c>
      <c r="BB895">
        <v>1</v>
      </c>
      <c r="BC895">
        <v>8.65</v>
      </c>
      <c r="BD895" t="s">
        <v>3</v>
      </c>
      <c r="BE895" t="s">
        <v>3</v>
      </c>
      <c r="BF895" t="s">
        <v>3</v>
      </c>
      <c r="BG895" t="s">
        <v>3</v>
      </c>
      <c r="BH895">
        <v>3</v>
      </c>
      <c r="BI895">
        <v>2</v>
      </c>
      <c r="BJ895" t="s">
        <v>3</v>
      </c>
      <c r="BM895">
        <v>335</v>
      </c>
      <c r="BN895">
        <v>0</v>
      </c>
      <c r="BO895" t="s">
        <v>3</v>
      </c>
      <c r="BP895">
        <v>0</v>
      </c>
      <c r="BQ895">
        <v>40</v>
      </c>
      <c r="BR895">
        <v>0</v>
      </c>
      <c r="BS895">
        <v>1</v>
      </c>
      <c r="BT895">
        <v>1</v>
      </c>
      <c r="BU895">
        <v>1</v>
      </c>
      <c r="BV895">
        <v>1</v>
      </c>
      <c r="BW895">
        <v>1</v>
      </c>
      <c r="BX895">
        <v>1</v>
      </c>
      <c r="BY895" t="s">
        <v>3</v>
      </c>
      <c r="BZ895">
        <v>0</v>
      </c>
      <c r="CA895">
        <v>0</v>
      </c>
      <c r="CB895" t="s">
        <v>3</v>
      </c>
      <c r="CE895">
        <v>30</v>
      </c>
      <c r="CF895">
        <v>0</v>
      </c>
      <c r="CG895">
        <v>0</v>
      </c>
      <c r="CM895">
        <v>0</v>
      </c>
      <c r="CN895" t="s">
        <v>3</v>
      </c>
      <c r="CO895">
        <v>0</v>
      </c>
      <c r="CP895">
        <f t="shared" si="739"/>
        <v>570.38</v>
      </c>
      <c r="CQ895">
        <f t="shared" si="740"/>
        <v>27.16</v>
      </c>
      <c r="CR895">
        <f t="shared" si="762"/>
        <v>0</v>
      </c>
      <c r="CS895">
        <f t="shared" si="741"/>
        <v>0</v>
      </c>
      <c r="CT895">
        <f t="shared" si="742"/>
        <v>0</v>
      </c>
      <c r="CU895">
        <f t="shared" si="743"/>
        <v>0</v>
      </c>
      <c r="CV895">
        <f t="shared" si="744"/>
        <v>0</v>
      </c>
      <c r="CW895">
        <f t="shared" si="745"/>
        <v>0</v>
      </c>
      <c r="CX895">
        <f t="shared" si="746"/>
        <v>0</v>
      </c>
      <c r="CY895">
        <f>S895*(BZ895/100)</f>
        <v>0</v>
      </c>
      <c r="CZ895">
        <f>S895*(CA895/100)</f>
        <v>0</v>
      </c>
      <c r="DC895" t="s">
        <v>3</v>
      </c>
      <c r="DD895" t="s">
        <v>3</v>
      </c>
      <c r="DE895" t="s">
        <v>3</v>
      </c>
      <c r="DF895" t="s">
        <v>3</v>
      </c>
      <c r="DG895" t="s">
        <v>3</v>
      </c>
      <c r="DH895" t="s">
        <v>3</v>
      </c>
      <c r="DI895" t="s">
        <v>3</v>
      </c>
      <c r="DJ895" t="s">
        <v>3</v>
      </c>
      <c r="DK895" t="s">
        <v>3</v>
      </c>
      <c r="DL895" t="s">
        <v>3</v>
      </c>
      <c r="DM895" t="s">
        <v>3</v>
      </c>
      <c r="DN895">
        <v>114</v>
      </c>
      <c r="DO895">
        <v>67</v>
      </c>
      <c r="DP895">
        <v>1</v>
      </c>
      <c r="DQ895">
        <v>1</v>
      </c>
      <c r="DU895">
        <v>1010</v>
      </c>
      <c r="DV895" t="s">
        <v>250</v>
      </c>
      <c r="DW895" t="s">
        <v>250</v>
      </c>
      <c r="DX895">
        <v>1</v>
      </c>
      <c r="DZ895" t="s">
        <v>3</v>
      </c>
      <c r="EA895" t="s">
        <v>3</v>
      </c>
      <c r="EB895" t="s">
        <v>3</v>
      </c>
      <c r="EC895" t="s">
        <v>3</v>
      </c>
      <c r="EE895">
        <v>126051796</v>
      </c>
      <c r="EF895">
        <v>40</v>
      </c>
      <c r="EG895" t="s">
        <v>621</v>
      </c>
      <c r="EH895">
        <v>0</v>
      </c>
      <c r="EI895" t="s">
        <v>3</v>
      </c>
      <c r="EJ895">
        <v>2</v>
      </c>
      <c r="EK895">
        <v>335</v>
      </c>
      <c r="EL895" t="s">
        <v>671</v>
      </c>
      <c r="EM895" t="s">
        <v>672</v>
      </c>
      <c r="EO895" t="s">
        <v>3</v>
      </c>
      <c r="EQ895">
        <v>0</v>
      </c>
      <c r="ER895">
        <v>4.0999999999999996</v>
      </c>
      <c r="ES895">
        <v>3.14</v>
      </c>
      <c r="ET895">
        <v>0</v>
      </c>
      <c r="EU895">
        <v>0</v>
      </c>
      <c r="EV895">
        <v>0</v>
      </c>
      <c r="EW895">
        <v>0</v>
      </c>
      <c r="EX895">
        <v>0</v>
      </c>
      <c r="EZ895">
        <v>5</v>
      </c>
      <c r="FC895">
        <v>1</v>
      </c>
      <c r="FD895">
        <v>18</v>
      </c>
      <c r="FF895">
        <v>32</v>
      </c>
      <c r="FQ895">
        <v>0</v>
      </c>
      <c r="FR895">
        <f t="shared" si="747"/>
        <v>0</v>
      </c>
      <c r="FS895">
        <v>0</v>
      </c>
      <c r="FX895">
        <v>114</v>
      </c>
      <c r="FY895">
        <v>67</v>
      </c>
      <c r="GA895" t="s">
        <v>771</v>
      </c>
      <c r="GD895">
        <v>0</v>
      </c>
      <c r="GF895">
        <v>1560097417</v>
      </c>
      <c r="GG895">
        <v>2</v>
      </c>
      <c r="GH895">
        <v>3</v>
      </c>
      <c r="GI895">
        <v>5</v>
      </c>
      <c r="GJ895">
        <v>0</v>
      </c>
      <c r="GK895">
        <f>ROUND(R895*(S12)/100,2)</f>
        <v>0</v>
      </c>
      <c r="GL895">
        <f t="shared" si="748"/>
        <v>0</v>
      </c>
      <c r="GM895">
        <f t="shared" si="749"/>
        <v>570.38</v>
      </c>
      <c r="GN895">
        <f t="shared" si="750"/>
        <v>0</v>
      </c>
      <c r="GO895">
        <f t="shared" si="751"/>
        <v>570.38</v>
      </c>
      <c r="GP895">
        <f t="shared" si="752"/>
        <v>0</v>
      </c>
      <c r="GR895">
        <v>1</v>
      </c>
      <c r="GS895">
        <v>1</v>
      </c>
      <c r="GT895">
        <v>0</v>
      </c>
      <c r="GU895" t="s">
        <v>3</v>
      </c>
      <c r="GV895">
        <f t="shared" si="753"/>
        <v>0</v>
      </c>
      <c r="GW895">
        <v>1</v>
      </c>
      <c r="GX895">
        <f t="shared" si="754"/>
        <v>0</v>
      </c>
      <c r="HA895">
        <v>0</v>
      </c>
      <c r="HB895">
        <v>0</v>
      </c>
      <c r="HC895">
        <f t="shared" si="755"/>
        <v>0</v>
      </c>
      <c r="HE895" t="s">
        <v>81</v>
      </c>
      <c r="HF895" t="s">
        <v>252</v>
      </c>
      <c r="HM895" t="s">
        <v>3</v>
      </c>
      <c r="HN895" t="s">
        <v>3</v>
      </c>
      <c r="HO895" t="s">
        <v>3</v>
      </c>
      <c r="HP895" t="s">
        <v>3</v>
      </c>
      <c r="HQ895" t="s">
        <v>3</v>
      </c>
      <c r="IK895">
        <v>0</v>
      </c>
    </row>
    <row r="896" spans="1:255" x14ac:dyDescent="0.2">
      <c r="A896" s="2">
        <v>17</v>
      </c>
      <c r="B896" s="2">
        <v>1</v>
      </c>
      <c r="C896" s="2">
        <f>ROW(SmtRes!A760)</f>
        <v>760</v>
      </c>
      <c r="D896" s="2">
        <f>ROW(EtalonRes!A743)</f>
        <v>743</v>
      </c>
      <c r="E896" s="2" t="s">
        <v>181</v>
      </c>
      <c r="F896" s="2" t="s">
        <v>676</v>
      </c>
      <c r="G896" s="2" t="s">
        <v>677</v>
      </c>
      <c r="H896" s="2" t="s">
        <v>455</v>
      </c>
      <c r="I896" s="2">
        <v>2.8000000000000001E-2</v>
      </c>
      <c r="J896" s="2">
        <v>0</v>
      </c>
      <c r="K896" s="2">
        <v>2.8000000000000001E-2</v>
      </c>
      <c r="L896" s="2"/>
      <c r="M896" s="2"/>
      <c r="N896" s="2"/>
      <c r="O896" s="2">
        <f t="shared" si="725"/>
        <v>13.73</v>
      </c>
      <c r="P896" s="2">
        <f t="shared" si="726"/>
        <v>3.33</v>
      </c>
      <c r="Q896" s="2">
        <f t="shared" si="756"/>
        <v>3.25</v>
      </c>
      <c r="R896" s="2">
        <f t="shared" si="727"/>
        <v>0.24</v>
      </c>
      <c r="S896" s="2">
        <f t="shared" si="728"/>
        <v>7.15</v>
      </c>
      <c r="T896" s="2">
        <f t="shared" si="729"/>
        <v>0</v>
      </c>
      <c r="U896" s="2">
        <f t="shared" si="730"/>
        <v>0.5796</v>
      </c>
      <c r="V896" s="2">
        <f t="shared" si="731"/>
        <v>0</v>
      </c>
      <c r="W896" s="2">
        <f t="shared" si="732"/>
        <v>0</v>
      </c>
      <c r="X896" s="2">
        <f t="shared" si="733"/>
        <v>8.15</v>
      </c>
      <c r="Y896" s="2">
        <f t="shared" si="734"/>
        <v>4.79</v>
      </c>
      <c r="Z896" s="2"/>
      <c r="AA896" s="2">
        <v>129761636</v>
      </c>
      <c r="AB896" s="2">
        <f t="shared" si="735"/>
        <v>490.45</v>
      </c>
      <c r="AC896" s="2">
        <f t="shared" si="736"/>
        <v>119</v>
      </c>
      <c r="AD896" s="2">
        <f t="shared" si="757"/>
        <v>116.22</v>
      </c>
      <c r="AE896" s="2">
        <f t="shared" si="758"/>
        <v>8.59</v>
      </c>
      <c r="AF896" s="2">
        <f t="shared" si="759"/>
        <v>255.23</v>
      </c>
      <c r="AG896" s="2">
        <f t="shared" si="737"/>
        <v>0</v>
      </c>
      <c r="AH896" s="2">
        <f t="shared" si="760"/>
        <v>20.7</v>
      </c>
      <c r="AI896" s="2">
        <f t="shared" si="761"/>
        <v>0</v>
      </c>
      <c r="AJ896" s="2">
        <f t="shared" si="738"/>
        <v>0</v>
      </c>
      <c r="AK896" s="2">
        <v>490.45</v>
      </c>
      <c r="AL896" s="2">
        <v>119</v>
      </c>
      <c r="AM896" s="2">
        <v>116.22</v>
      </c>
      <c r="AN896" s="2">
        <v>8.59</v>
      </c>
      <c r="AO896" s="2">
        <v>255.23</v>
      </c>
      <c r="AP896" s="2">
        <v>0</v>
      </c>
      <c r="AQ896" s="2">
        <v>20.7</v>
      </c>
      <c r="AR896" s="2">
        <v>0</v>
      </c>
      <c r="AS896" s="2">
        <v>0</v>
      </c>
      <c r="AT896" s="2">
        <v>114</v>
      </c>
      <c r="AU896" s="2">
        <v>67</v>
      </c>
      <c r="AV896" s="2">
        <v>1</v>
      </c>
      <c r="AW896" s="2">
        <v>1</v>
      </c>
      <c r="AX896" s="2"/>
      <c r="AY896" s="2"/>
      <c r="AZ896" s="2">
        <v>1</v>
      </c>
      <c r="BA896" s="2">
        <v>1</v>
      </c>
      <c r="BB896" s="2">
        <v>1</v>
      </c>
      <c r="BC896" s="2">
        <v>1</v>
      </c>
      <c r="BD896" s="2" t="s">
        <v>3</v>
      </c>
      <c r="BE896" s="2" t="s">
        <v>3</v>
      </c>
      <c r="BF896" s="2" t="s">
        <v>3</v>
      </c>
      <c r="BG896" s="2" t="s">
        <v>3</v>
      </c>
      <c r="BH896" s="2">
        <v>0</v>
      </c>
      <c r="BI896" s="2">
        <v>2</v>
      </c>
      <c r="BJ896" s="2" t="s">
        <v>678</v>
      </c>
      <c r="BK896" s="2"/>
      <c r="BL896" s="2"/>
      <c r="BM896" s="2">
        <v>331</v>
      </c>
      <c r="BN896" s="2">
        <v>0</v>
      </c>
      <c r="BO896" s="2" t="s">
        <v>3</v>
      </c>
      <c r="BP896" s="2">
        <v>0</v>
      </c>
      <c r="BQ896" s="2">
        <v>40</v>
      </c>
      <c r="BR896" s="2">
        <v>0</v>
      </c>
      <c r="BS896" s="2">
        <v>1</v>
      </c>
      <c r="BT896" s="2">
        <v>1</v>
      </c>
      <c r="BU896" s="2">
        <v>1</v>
      </c>
      <c r="BV896" s="2">
        <v>1</v>
      </c>
      <c r="BW896" s="2">
        <v>1</v>
      </c>
      <c r="BX896" s="2">
        <v>1</v>
      </c>
      <c r="BY896" s="2" t="s">
        <v>3</v>
      </c>
      <c r="BZ896" s="2">
        <v>114</v>
      </c>
      <c r="CA896" s="2">
        <v>67</v>
      </c>
      <c r="CB896" s="2" t="s">
        <v>3</v>
      </c>
      <c r="CC896" s="2"/>
      <c r="CD896" s="2"/>
      <c r="CE896" s="2">
        <v>30</v>
      </c>
      <c r="CF896" s="2">
        <v>0</v>
      </c>
      <c r="CG896" s="2">
        <v>0</v>
      </c>
      <c r="CH896" s="2"/>
      <c r="CI896" s="2"/>
      <c r="CJ896" s="2"/>
      <c r="CK896" s="2"/>
      <c r="CL896" s="2"/>
      <c r="CM896" s="2">
        <v>0</v>
      </c>
      <c r="CN896" s="2" t="s">
        <v>3</v>
      </c>
      <c r="CO896" s="2">
        <v>0</v>
      </c>
      <c r="CP896" s="2">
        <f t="shared" si="739"/>
        <v>13.73</v>
      </c>
      <c r="CQ896" s="2">
        <f t="shared" si="740"/>
        <v>119</v>
      </c>
      <c r="CR896" s="2">
        <f t="shared" si="762"/>
        <v>116.22</v>
      </c>
      <c r="CS896" s="2">
        <f t="shared" si="741"/>
        <v>8.59</v>
      </c>
      <c r="CT896" s="2">
        <f t="shared" si="742"/>
        <v>255.23</v>
      </c>
      <c r="CU896" s="2">
        <f t="shared" si="743"/>
        <v>0</v>
      </c>
      <c r="CV896" s="2">
        <f t="shared" si="744"/>
        <v>20.7</v>
      </c>
      <c r="CW896" s="2">
        <f t="shared" si="745"/>
        <v>0</v>
      </c>
      <c r="CX896" s="2">
        <f t="shared" si="746"/>
        <v>0</v>
      </c>
      <c r="CY896" s="2">
        <f>((S896*BZ896)/100)</f>
        <v>8.1509999999999998</v>
      </c>
      <c r="CZ896" s="2">
        <f>((S896*CA896)/100)</f>
        <v>4.7904999999999998</v>
      </c>
      <c r="DA896" s="2"/>
      <c r="DB896" s="2"/>
      <c r="DC896" s="2" t="s">
        <v>3</v>
      </c>
      <c r="DD896" s="2" t="s">
        <v>3</v>
      </c>
      <c r="DE896" s="2" t="s">
        <v>3</v>
      </c>
      <c r="DF896" s="2" t="s">
        <v>3</v>
      </c>
      <c r="DG896" s="2" t="s">
        <v>3</v>
      </c>
      <c r="DH896" s="2" t="s">
        <v>3</v>
      </c>
      <c r="DI896" s="2" t="s">
        <v>3</v>
      </c>
      <c r="DJ896" s="2" t="s">
        <v>3</v>
      </c>
      <c r="DK896" s="2" t="s">
        <v>3</v>
      </c>
      <c r="DL896" s="2" t="s">
        <v>3</v>
      </c>
      <c r="DM896" s="2" t="s">
        <v>3</v>
      </c>
      <c r="DN896" s="2">
        <v>0</v>
      </c>
      <c r="DO896" s="2">
        <v>0</v>
      </c>
      <c r="DP896" s="2">
        <v>1</v>
      </c>
      <c r="DQ896" s="2">
        <v>1</v>
      </c>
      <c r="DR896" s="2"/>
      <c r="DS896" s="2"/>
      <c r="DT896" s="2"/>
      <c r="DU896" s="2">
        <v>1003</v>
      </c>
      <c r="DV896" s="2" t="s">
        <v>455</v>
      </c>
      <c r="DW896" s="2" t="s">
        <v>455</v>
      </c>
      <c r="DX896" s="2">
        <v>100</v>
      </c>
      <c r="DY896" s="2"/>
      <c r="DZ896" s="2" t="s">
        <v>3</v>
      </c>
      <c r="EA896" s="2" t="s">
        <v>3</v>
      </c>
      <c r="EB896" s="2" t="s">
        <v>3</v>
      </c>
      <c r="EC896" s="2" t="s">
        <v>3</v>
      </c>
      <c r="ED896" s="2"/>
      <c r="EE896" s="2">
        <v>126051792</v>
      </c>
      <c r="EF896" s="2">
        <v>40</v>
      </c>
      <c r="EG896" s="2" t="s">
        <v>621</v>
      </c>
      <c r="EH896" s="2">
        <v>0</v>
      </c>
      <c r="EI896" s="2" t="s">
        <v>3</v>
      </c>
      <c r="EJ896" s="2">
        <v>2</v>
      </c>
      <c r="EK896" s="2">
        <v>331</v>
      </c>
      <c r="EL896" s="2" t="s">
        <v>679</v>
      </c>
      <c r="EM896" s="2" t="s">
        <v>680</v>
      </c>
      <c r="EN896" s="2"/>
      <c r="EO896" s="2" t="s">
        <v>3</v>
      </c>
      <c r="EP896" s="2"/>
      <c r="EQ896" s="2">
        <v>131072</v>
      </c>
      <c r="ER896" s="2">
        <v>490.45</v>
      </c>
      <c r="ES896" s="2">
        <v>119</v>
      </c>
      <c r="ET896" s="2">
        <v>116.22</v>
      </c>
      <c r="EU896" s="2">
        <v>8.59</v>
      </c>
      <c r="EV896" s="2">
        <v>255.23</v>
      </c>
      <c r="EW896" s="2">
        <v>20.7</v>
      </c>
      <c r="EX896" s="2">
        <v>0</v>
      </c>
      <c r="EY896" s="2">
        <v>0</v>
      </c>
      <c r="EZ896" s="2"/>
      <c r="FA896" s="2"/>
      <c r="FB896" s="2"/>
      <c r="FC896" s="2"/>
      <c r="FD896" s="2"/>
      <c r="FE896" s="2"/>
      <c r="FF896" s="2"/>
      <c r="FG896" s="2"/>
      <c r="FH896" s="2"/>
      <c r="FI896" s="2"/>
      <c r="FJ896" s="2"/>
      <c r="FK896" s="2"/>
      <c r="FL896" s="2"/>
      <c r="FM896" s="2"/>
      <c r="FN896" s="2"/>
      <c r="FO896" s="2"/>
      <c r="FP896" s="2"/>
      <c r="FQ896" s="2">
        <v>0</v>
      </c>
      <c r="FR896" s="2">
        <f t="shared" si="747"/>
        <v>0</v>
      </c>
      <c r="FS896" s="2">
        <v>0</v>
      </c>
      <c r="FT896" s="2"/>
      <c r="FU896" s="2"/>
      <c r="FV896" s="2"/>
      <c r="FW896" s="2"/>
      <c r="FX896" s="2">
        <v>114</v>
      </c>
      <c r="FY896" s="2">
        <v>67</v>
      </c>
      <c r="FZ896" s="2"/>
      <c r="GA896" s="2" t="s">
        <v>3</v>
      </c>
      <c r="GB896" s="2"/>
      <c r="GC896" s="2"/>
      <c r="GD896" s="2">
        <v>0</v>
      </c>
      <c r="GE896" s="2"/>
      <c r="GF896" s="2">
        <v>-1325536271</v>
      </c>
      <c r="GG896" s="2">
        <v>2</v>
      </c>
      <c r="GH896" s="2">
        <v>1</v>
      </c>
      <c r="GI896" s="2">
        <v>-2</v>
      </c>
      <c r="GJ896" s="2">
        <v>0</v>
      </c>
      <c r="GK896" s="2">
        <f>ROUND(R896*(R12)/100,2)</f>
        <v>0.42</v>
      </c>
      <c r="GL896" s="2">
        <f t="shared" si="748"/>
        <v>0</v>
      </c>
      <c r="GM896" s="2">
        <f t="shared" si="749"/>
        <v>27.09</v>
      </c>
      <c r="GN896" s="2">
        <f t="shared" si="750"/>
        <v>0</v>
      </c>
      <c r="GO896" s="2">
        <f t="shared" si="751"/>
        <v>27.09</v>
      </c>
      <c r="GP896" s="2">
        <f t="shared" si="752"/>
        <v>0</v>
      </c>
      <c r="GQ896" s="2"/>
      <c r="GR896" s="2">
        <v>0</v>
      </c>
      <c r="GS896" s="2">
        <v>0</v>
      </c>
      <c r="GT896" s="2">
        <v>0</v>
      </c>
      <c r="GU896" s="2" t="s">
        <v>3</v>
      </c>
      <c r="GV896" s="2">
        <f t="shared" si="753"/>
        <v>0</v>
      </c>
      <c r="GW896" s="2">
        <v>1</v>
      </c>
      <c r="GX896" s="2">
        <f t="shared" si="754"/>
        <v>0</v>
      </c>
      <c r="GY896" s="2"/>
      <c r="GZ896" s="2"/>
      <c r="HA896" s="2">
        <v>0</v>
      </c>
      <c r="HB896" s="2">
        <v>0</v>
      </c>
      <c r="HC896" s="2">
        <f t="shared" si="755"/>
        <v>0</v>
      </c>
      <c r="HD896" s="2"/>
      <c r="HE896" s="2" t="s">
        <v>3</v>
      </c>
      <c r="HF896" s="2" t="s">
        <v>3</v>
      </c>
      <c r="HG896" s="2"/>
      <c r="HH896" s="2"/>
      <c r="HI896" s="2"/>
      <c r="HJ896" s="2"/>
      <c r="HK896" s="2"/>
      <c r="HL896" s="2"/>
      <c r="HM896" s="2" t="s">
        <v>3</v>
      </c>
      <c r="HN896" s="2" t="s">
        <v>3</v>
      </c>
      <c r="HO896" s="2" t="s">
        <v>3</v>
      </c>
      <c r="HP896" s="2" t="s">
        <v>3</v>
      </c>
      <c r="HQ896" s="2" t="s">
        <v>3</v>
      </c>
      <c r="HR896" s="2"/>
      <c r="HS896" s="2"/>
      <c r="HT896" s="2"/>
      <c r="HU896" s="2"/>
      <c r="HV896" s="2"/>
      <c r="HW896" s="2"/>
      <c r="HX896" s="2"/>
      <c r="HY896" s="2"/>
      <c r="HZ896" s="2"/>
      <c r="IA896" s="2"/>
      <c r="IB896" s="2"/>
      <c r="IC896" s="2"/>
      <c r="ID896" s="2"/>
      <c r="IE896" s="2"/>
      <c r="IF896" s="2"/>
      <c r="IG896" s="2"/>
      <c r="IH896" s="2"/>
      <c r="II896" s="2"/>
      <c r="IJ896" s="2"/>
      <c r="IK896" s="2">
        <v>0</v>
      </c>
      <c r="IL896" s="2"/>
      <c r="IM896" s="2"/>
      <c r="IN896" s="2"/>
      <c r="IO896" s="2"/>
      <c r="IP896" s="2"/>
      <c r="IQ896" s="2"/>
      <c r="IR896" s="2"/>
      <c r="IS896" s="2"/>
      <c r="IT896" s="2"/>
      <c r="IU896" s="2"/>
    </row>
    <row r="897" spans="1:255" x14ac:dyDescent="0.2">
      <c r="A897">
        <v>17</v>
      </c>
      <c r="B897">
        <v>1</v>
      </c>
      <c r="C897">
        <f>ROW(SmtRes!A762)</f>
        <v>762</v>
      </c>
      <c r="D897">
        <f>ROW(EtalonRes!A744)</f>
        <v>744</v>
      </c>
      <c r="E897" t="s">
        <v>181</v>
      </c>
      <c r="F897" t="s">
        <v>676</v>
      </c>
      <c r="G897" t="s">
        <v>677</v>
      </c>
      <c r="H897" t="s">
        <v>455</v>
      </c>
      <c r="I897">
        <v>2.8000000000000001E-2</v>
      </c>
      <c r="J897">
        <v>0</v>
      </c>
      <c r="K897">
        <v>2.8000000000000001E-2</v>
      </c>
      <c r="O897">
        <f t="shared" si="725"/>
        <v>250.62</v>
      </c>
      <c r="P897">
        <f t="shared" si="726"/>
        <v>9.52</v>
      </c>
      <c r="Q897">
        <f t="shared" si="756"/>
        <v>33.54</v>
      </c>
      <c r="R897">
        <f t="shared" si="727"/>
        <v>6.97</v>
      </c>
      <c r="S897">
        <f t="shared" si="728"/>
        <v>207.56</v>
      </c>
      <c r="T897">
        <f t="shared" si="729"/>
        <v>0</v>
      </c>
      <c r="U897">
        <f t="shared" si="730"/>
        <v>0.5796</v>
      </c>
      <c r="V897">
        <f t="shared" si="731"/>
        <v>0</v>
      </c>
      <c r="W897">
        <f t="shared" si="732"/>
        <v>0</v>
      </c>
      <c r="X897">
        <f t="shared" si="733"/>
        <v>163.97</v>
      </c>
      <c r="Y897">
        <f t="shared" si="734"/>
        <v>85.1</v>
      </c>
      <c r="AA897">
        <v>129761633</v>
      </c>
      <c r="AB897">
        <f t="shared" si="735"/>
        <v>490.45</v>
      </c>
      <c r="AC897">
        <f t="shared" si="736"/>
        <v>119</v>
      </c>
      <c r="AD897">
        <f t="shared" si="757"/>
        <v>116.22</v>
      </c>
      <c r="AE897">
        <f t="shared" si="758"/>
        <v>8.59</v>
      </c>
      <c r="AF897">
        <f t="shared" si="759"/>
        <v>255.23</v>
      </c>
      <c r="AG897">
        <f t="shared" si="737"/>
        <v>0</v>
      </c>
      <c r="AH897">
        <f t="shared" si="760"/>
        <v>20.7</v>
      </c>
      <c r="AI897">
        <f t="shared" si="761"/>
        <v>0</v>
      </c>
      <c r="AJ897">
        <f t="shared" si="738"/>
        <v>0</v>
      </c>
      <c r="AK897">
        <v>490.45</v>
      </c>
      <c r="AL897">
        <v>119</v>
      </c>
      <c r="AM897">
        <v>116.22</v>
      </c>
      <c r="AN897">
        <v>8.59</v>
      </c>
      <c r="AO897">
        <v>255.23</v>
      </c>
      <c r="AP897">
        <v>0</v>
      </c>
      <c r="AQ897">
        <v>20.7</v>
      </c>
      <c r="AR897">
        <v>0</v>
      </c>
      <c r="AS897">
        <v>0</v>
      </c>
      <c r="AT897">
        <v>79</v>
      </c>
      <c r="AU897">
        <v>41</v>
      </c>
      <c r="AV897">
        <v>1</v>
      </c>
      <c r="AW897">
        <v>1</v>
      </c>
      <c r="AZ897">
        <v>1</v>
      </c>
      <c r="BA897">
        <v>29.03</v>
      </c>
      <c r="BB897">
        <v>10.32</v>
      </c>
      <c r="BC897">
        <v>2.86</v>
      </c>
      <c r="BD897" t="s">
        <v>3</v>
      </c>
      <c r="BE897" t="s">
        <v>3</v>
      </c>
      <c r="BF897" t="s">
        <v>3</v>
      </c>
      <c r="BG897" t="s">
        <v>3</v>
      </c>
      <c r="BH897">
        <v>0</v>
      </c>
      <c r="BI897">
        <v>2</v>
      </c>
      <c r="BJ897" t="s">
        <v>678</v>
      </c>
      <c r="BM897">
        <v>331</v>
      </c>
      <c r="BN897">
        <v>0</v>
      </c>
      <c r="BO897" t="s">
        <v>676</v>
      </c>
      <c r="BP897">
        <v>1</v>
      </c>
      <c r="BQ897">
        <v>40</v>
      </c>
      <c r="BR897">
        <v>0</v>
      </c>
      <c r="BS897">
        <v>29.03</v>
      </c>
      <c r="BT897">
        <v>1</v>
      </c>
      <c r="BU897">
        <v>1</v>
      </c>
      <c r="BV897">
        <v>1</v>
      </c>
      <c r="BW897">
        <v>1</v>
      </c>
      <c r="BX897">
        <v>1</v>
      </c>
      <c r="BY897" t="s">
        <v>3</v>
      </c>
      <c r="BZ897">
        <v>79</v>
      </c>
      <c r="CA897">
        <v>41</v>
      </c>
      <c r="CB897" t="s">
        <v>3</v>
      </c>
      <c r="CE897">
        <v>30</v>
      </c>
      <c r="CF897">
        <v>0</v>
      </c>
      <c r="CG897">
        <v>0</v>
      </c>
      <c r="CM897">
        <v>0</v>
      </c>
      <c r="CN897" t="s">
        <v>3</v>
      </c>
      <c r="CO897">
        <v>0</v>
      </c>
      <c r="CP897">
        <f t="shared" si="739"/>
        <v>250.62</v>
      </c>
      <c r="CQ897">
        <f t="shared" si="740"/>
        <v>340.34</v>
      </c>
      <c r="CR897">
        <f t="shared" si="762"/>
        <v>1199.3900000000001</v>
      </c>
      <c r="CS897">
        <f t="shared" si="741"/>
        <v>249.37</v>
      </c>
      <c r="CT897">
        <f t="shared" si="742"/>
        <v>7409.33</v>
      </c>
      <c r="CU897">
        <f t="shared" si="743"/>
        <v>0</v>
      </c>
      <c r="CV897">
        <f t="shared" si="744"/>
        <v>20.7</v>
      </c>
      <c r="CW897">
        <f t="shared" si="745"/>
        <v>0</v>
      </c>
      <c r="CX897">
        <f t="shared" si="746"/>
        <v>0</v>
      </c>
      <c r="CY897">
        <f>S897*(BZ897/100)</f>
        <v>163.97240000000002</v>
      </c>
      <c r="CZ897">
        <f>S897*(CA897/100)</f>
        <v>85.099599999999995</v>
      </c>
      <c r="DC897" t="s">
        <v>3</v>
      </c>
      <c r="DD897" t="s">
        <v>3</v>
      </c>
      <c r="DE897" t="s">
        <v>3</v>
      </c>
      <c r="DF897" t="s">
        <v>3</v>
      </c>
      <c r="DG897" t="s">
        <v>3</v>
      </c>
      <c r="DH897" t="s">
        <v>3</v>
      </c>
      <c r="DI897" t="s">
        <v>3</v>
      </c>
      <c r="DJ897" t="s">
        <v>3</v>
      </c>
      <c r="DK897" t="s">
        <v>3</v>
      </c>
      <c r="DL897" t="s">
        <v>3</v>
      </c>
      <c r="DM897" t="s">
        <v>3</v>
      </c>
      <c r="DN897">
        <v>114</v>
      </c>
      <c r="DO897">
        <v>67</v>
      </c>
      <c r="DP897">
        <v>1</v>
      </c>
      <c r="DQ897">
        <v>1</v>
      </c>
      <c r="DU897">
        <v>1003</v>
      </c>
      <c r="DV897" t="s">
        <v>455</v>
      </c>
      <c r="DW897" t="s">
        <v>455</v>
      </c>
      <c r="DX897">
        <v>100</v>
      </c>
      <c r="DZ897" t="s">
        <v>3</v>
      </c>
      <c r="EA897" t="s">
        <v>3</v>
      </c>
      <c r="EB897" t="s">
        <v>3</v>
      </c>
      <c r="EC897" t="s">
        <v>3</v>
      </c>
      <c r="EE897">
        <v>126051792</v>
      </c>
      <c r="EF897">
        <v>40</v>
      </c>
      <c r="EG897" t="s">
        <v>621</v>
      </c>
      <c r="EH897">
        <v>0</v>
      </c>
      <c r="EI897" t="s">
        <v>3</v>
      </c>
      <c r="EJ897">
        <v>2</v>
      </c>
      <c r="EK897">
        <v>331</v>
      </c>
      <c r="EL897" t="s">
        <v>679</v>
      </c>
      <c r="EM897" t="s">
        <v>680</v>
      </c>
      <c r="EO897" t="s">
        <v>3</v>
      </c>
      <c r="EQ897">
        <v>131072</v>
      </c>
      <c r="ER897">
        <v>490.45</v>
      </c>
      <c r="ES897">
        <v>119</v>
      </c>
      <c r="ET897">
        <v>116.22</v>
      </c>
      <c r="EU897">
        <v>8.59</v>
      </c>
      <c r="EV897">
        <v>255.23</v>
      </c>
      <c r="EW897">
        <v>20.7</v>
      </c>
      <c r="EX897">
        <v>0</v>
      </c>
      <c r="EY897">
        <v>0</v>
      </c>
      <c r="FQ897">
        <v>0</v>
      </c>
      <c r="FR897">
        <f t="shared" si="747"/>
        <v>0</v>
      </c>
      <c r="FS897">
        <v>0</v>
      </c>
      <c r="FX897">
        <v>114</v>
      </c>
      <c r="FY897">
        <v>67</v>
      </c>
      <c r="GA897" t="s">
        <v>3</v>
      </c>
      <c r="GD897">
        <v>0</v>
      </c>
      <c r="GF897">
        <v>-1325536271</v>
      </c>
      <c r="GG897">
        <v>2</v>
      </c>
      <c r="GH897">
        <v>1</v>
      </c>
      <c r="GI897">
        <v>2</v>
      </c>
      <c r="GJ897">
        <v>0</v>
      </c>
      <c r="GK897">
        <f>ROUND(R897*(S12)/100,2)</f>
        <v>11.15</v>
      </c>
      <c r="GL897">
        <f t="shared" si="748"/>
        <v>0</v>
      </c>
      <c r="GM897">
        <f t="shared" si="749"/>
        <v>510.84</v>
      </c>
      <c r="GN897">
        <f t="shared" si="750"/>
        <v>0</v>
      </c>
      <c r="GO897">
        <f t="shared" si="751"/>
        <v>510.84</v>
      </c>
      <c r="GP897">
        <f t="shared" si="752"/>
        <v>0</v>
      </c>
      <c r="GR897">
        <v>0</v>
      </c>
      <c r="GS897">
        <v>3</v>
      </c>
      <c r="GT897">
        <v>0</v>
      </c>
      <c r="GU897" t="s">
        <v>3</v>
      </c>
      <c r="GV897">
        <f t="shared" si="753"/>
        <v>0</v>
      </c>
      <c r="GW897">
        <v>1</v>
      </c>
      <c r="GX897">
        <f t="shared" si="754"/>
        <v>0</v>
      </c>
      <c r="HA897">
        <v>0</v>
      </c>
      <c r="HB897">
        <v>0</v>
      </c>
      <c r="HC897">
        <f t="shared" si="755"/>
        <v>0</v>
      </c>
      <c r="HE897" t="s">
        <v>3</v>
      </c>
      <c r="HF897" t="s">
        <v>3</v>
      </c>
      <c r="HM897" t="s">
        <v>3</v>
      </c>
      <c r="HN897" t="s">
        <v>3</v>
      </c>
      <c r="HO897" t="s">
        <v>3</v>
      </c>
      <c r="HP897" t="s">
        <v>3</v>
      </c>
      <c r="HQ897" t="s">
        <v>3</v>
      </c>
      <c r="IK897">
        <v>0</v>
      </c>
    </row>
    <row r="898" spans="1:255" x14ac:dyDescent="0.2">
      <c r="A898" s="2">
        <v>18</v>
      </c>
      <c r="B898" s="2">
        <v>1</v>
      </c>
      <c r="C898" s="2">
        <v>760</v>
      </c>
      <c r="D898" s="2"/>
      <c r="E898" s="2" t="s">
        <v>190</v>
      </c>
      <c r="F898" s="2" t="s">
        <v>772</v>
      </c>
      <c r="G898" s="2" t="s">
        <v>773</v>
      </c>
      <c r="H898" s="2" t="s">
        <v>270</v>
      </c>
      <c r="I898" s="2">
        <f>I896*J898</f>
        <v>2.8559999999999999</v>
      </c>
      <c r="J898" s="2">
        <v>102</v>
      </c>
      <c r="K898" s="2">
        <v>102</v>
      </c>
      <c r="L898" s="2"/>
      <c r="M898" s="2"/>
      <c r="N898" s="2"/>
      <c r="O898" s="2">
        <f t="shared" ref="O898:O929" si="763">ROUND(CP898,2)</f>
        <v>13.11</v>
      </c>
      <c r="P898" s="2">
        <f t="shared" ref="P898:P929" si="764">ROUND((ROUND((AC898*AW898*I898),2)*BC898),2)</f>
        <v>13.11</v>
      </c>
      <c r="Q898" s="2">
        <f t="shared" si="756"/>
        <v>0</v>
      </c>
      <c r="R898" s="2">
        <f t="shared" ref="R898:R929" si="765">ROUND((ROUND((AE898*AV898*I898),2)*BS898),2)</f>
        <v>0</v>
      </c>
      <c r="S898" s="2">
        <f t="shared" ref="S898:S929" si="766">ROUND((ROUND((AF898*AV898*I898),2)*BA898),2)</f>
        <v>0</v>
      </c>
      <c r="T898" s="2">
        <f t="shared" ref="T898:T929" si="767">ROUND(CU898*I898,2)</f>
        <v>0</v>
      </c>
      <c r="U898" s="2">
        <f t="shared" ref="U898:U929" si="768">CV898*I898</f>
        <v>0</v>
      </c>
      <c r="V898" s="2">
        <f t="shared" ref="V898:V929" si="769">CW898*I898</f>
        <v>0</v>
      </c>
      <c r="W898" s="2">
        <f t="shared" ref="W898:W929" si="770">ROUND(CX898*I898,2)</f>
        <v>0</v>
      </c>
      <c r="X898" s="2">
        <f t="shared" ref="X898:X929" si="771">ROUND(CY898,2)</f>
        <v>0</v>
      </c>
      <c r="Y898" s="2">
        <f t="shared" ref="Y898:Y929" si="772">ROUND(CZ898,2)</f>
        <v>0</v>
      </c>
      <c r="Z898" s="2"/>
      <c r="AA898" s="2">
        <v>129761636</v>
      </c>
      <c r="AB898" s="2">
        <f t="shared" ref="AB898:AB929" si="773">ROUND((AC898+AD898+AF898),6)</f>
        <v>4.59</v>
      </c>
      <c r="AC898" s="2">
        <f t="shared" ref="AC898:AC929" si="774">ROUND((ES898),6)</f>
        <v>4.59</v>
      </c>
      <c r="AD898" s="2">
        <f t="shared" si="757"/>
        <v>0</v>
      </c>
      <c r="AE898" s="2">
        <f t="shared" si="758"/>
        <v>0</v>
      </c>
      <c r="AF898" s="2">
        <f t="shared" si="759"/>
        <v>0</v>
      </c>
      <c r="AG898" s="2">
        <f t="shared" ref="AG898:AG929" si="775">ROUND((AP898),6)</f>
        <v>0</v>
      </c>
      <c r="AH898" s="2">
        <f t="shared" si="760"/>
        <v>0</v>
      </c>
      <c r="AI898" s="2">
        <f t="shared" si="761"/>
        <v>0</v>
      </c>
      <c r="AJ898" s="2">
        <f t="shared" ref="AJ898:AJ929" si="776">(AS898)</f>
        <v>0</v>
      </c>
      <c r="AK898" s="2">
        <v>4.59</v>
      </c>
      <c r="AL898" s="2">
        <v>4.59</v>
      </c>
      <c r="AM898" s="2">
        <v>0</v>
      </c>
      <c r="AN898" s="2">
        <v>0</v>
      </c>
      <c r="AO898" s="2">
        <v>0</v>
      </c>
      <c r="AP898" s="2">
        <v>0</v>
      </c>
      <c r="AQ898" s="2">
        <v>0</v>
      </c>
      <c r="AR898" s="2">
        <v>0</v>
      </c>
      <c r="AS898" s="2">
        <v>0</v>
      </c>
      <c r="AT898" s="2">
        <v>114</v>
      </c>
      <c r="AU898" s="2">
        <v>67</v>
      </c>
      <c r="AV898" s="2">
        <v>1</v>
      </c>
      <c r="AW898" s="2">
        <v>1</v>
      </c>
      <c r="AX898" s="2"/>
      <c r="AY898" s="2"/>
      <c r="AZ898" s="2">
        <v>1</v>
      </c>
      <c r="BA898" s="2">
        <v>1</v>
      </c>
      <c r="BB898" s="2">
        <v>1</v>
      </c>
      <c r="BC898" s="2">
        <v>1</v>
      </c>
      <c r="BD898" s="2" t="s">
        <v>3</v>
      </c>
      <c r="BE898" s="2" t="s">
        <v>3</v>
      </c>
      <c r="BF898" s="2" t="s">
        <v>3</v>
      </c>
      <c r="BG898" s="2" t="s">
        <v>3</v>
      </c>
      <c r="BH898" s="2">
        <v>3</v>
      </c>
      <c r="BI898" s="2">
        <v>2</v>
      </c>
      <c r="BJ898" s="2" t="s">
        <v>774</v>
      </c>
      <c r="BK898" s="2"/>
      <c r="BL898" s="2"/>
      <c r="BM898" s="2">
        <v>331</v>
      </c>
      <c r="BN898" s="2">
        <v>0</v>
      </c>
      <c r="BO898" s="2" t="s">
        <v>3</v>
      </c>
      <c r="BP898" s="2">
        <v>0</v>
      </c>
      <c r="BQ898" s="2">
        <v>40</v>
      </c>
      <c r="BR898" s="2">
        <v>0</v>
      </c>
      <c r="BS898" s="2">
        <v>1</v>
      </c>
      <c r="BT898" s="2">
        <v>1</v>
      </c>
      <c r="BU898" s="2">
        <v>1</v>
      </c>
      <c r="BV898" s="2">
        <v>1</v>
      </c>
      <c r="BW898" s="2">
        <v>1</v>
      </c>
      <c r="BX898" s="2">
        <v>1</v>
      </c>
      <c r="BY898" s="2" t="s">
        <v>3</v>
      </c>
      <c r="BZ898" s="2">
        <v>114</v>
      </c>
      <c r="CA898" s="2">
        <v>67</v>
      </c>
      <c r="CB898" s="2" t="s">
        <v>3</v>
      </c>
      <c r="CC898" s="2"/>
      <c r="CD898" s="2"/>
      <c r="CE898" s="2">
        <v>30</v>
      </c>
      <c r="CF898" s="2">
        <v>0</v>
      </c>
      <c r="CG898" s="2">
        <v>0</v>
      </c>
      <c r="CH898" s="2"/>
      <c r="CI898" s="2"/>
      <c r="CJ898" s="2"/>
      <c r="CK898" s="2"/>
      <c r="CL898" s="2"/>
      <c r="CM898" s="2">
        <v>0</v>
      </c>
      <c r="CN898" s="2" t="s">
        <v>3</v>
      </c>
      <c r="CO898" s="2">
        <v>0</v>
      </c>
      <c r="CP898" s="2">
        <f t="shared" ref="CP898:CP929" si="777">(P898+Q898+S898)</f>
        <v>13.11</v>
      </c>
      <c r="CQ898" s="2">
        <f t="shared" ref="CQ898:CQ929" si="778">ROUND((ROUND((AC898*AW898*1),2)*BC898),2)</f>
        <v>4.59</v>
      </c>
      <c r="CR898" s="2">
        <f t="shared" si="762"/>
        <v>0</v>
      </c>
      <c r="CS898" s="2">
        <f t="shared" ref="CS898:CS929" si="779">ROUND((ROUND((AE898*AV898*1),2)*BS898),2)</f>
        <v>0</v>
      </c>
      <c r="CT898" s="2">
        <f t="shared" ref="CT898:CT929" si="780">ROUND((ROUND((AF898*AV898*1),2)*BA898),2)</f>
        <v>0</v>
      </c>
      <c r="CU898" s="2">
        <f t="shared" ref="CU898:CU929" si="781">AG898</f>
        <v>0</v>
      </c>
      <c r="CV898" s="2">
        <f t="shared" ref="CV898:CV929" si="782">(AH898*AV898)</f>
        <v>0</v>
      </c>
      <c r="CW898" s="2">
        <f t="shared" ref="CW898:CW929" si="783">AI898</f>
        <v>0</v>
      </c>
      <c r="CX898" s="2">
        <f t="shared" ref="CX898:CX929" si="784">AJ898</f>
        <v>0</v>
      </c>
      <c r="CY898" s="2">
        <f>((S898*BZ898)/100)</f>
        <v>0</v>
      </c>
      <c r="CZ898" s="2">
        <f>((S898*CA898)/100)</f>
        <v>0</v>
      </c>
      <c r="DA898" s="2"/>
      <c r="DB898" s="2"/>
      <c r="DC898" s="2" t="s">
        <v>3</v>
      </c>
      <c r="DD898" s="2" t="s">
        <v>3</v>
      </c>
      <c r="DE898" s="2" t="s">
        <v>3</v>
      </c>
      <c r="DF898" s="2" t="s">
        <v>3</v>
      </c>
      <c r="DG898" s="2" t="s">
        <v>3</v>
      </c>
      <c r="DH898" s="2" t="s">
        <v>3</v>
      </c>
      <c r="DI898" s="2" t="s">
        <v>3</v>
      </c>
      <c r="DJ898" s="2" t="s">
        <v>3</v>
      </c>
      <c r="DK898" s="2" t="s">
        <v>3</v>
      </c>
      <c r="DL898" s="2" t="s">
        <v>3</v>
      </c>
      <c r="DM898" s="2" t="s">
        <v>3</v>
      </c>
      <c r="DN898" s="2">
        <v>0</v>
      </c>
      <c r="DO898" s="2">
        <v>0</v>
      </c>
      <c r="DP898" s="2">
        <v>1</v>
      </c>
      <c r="DQ898" s="2">
        <v>1</v>
      </c>
      <c r="DR898" s="2"/>
      <c r="DS898" s="2"/>
      <c r="DT898" s="2"/>
      <c r="DU898" s="2">
        <v>1003</v>
      </c>
      <c r="DV898" s="2" t="s">
        <v>270</v>
      </c>
      <c r="DW898" s="2" t="s">
        <v>270</v>
      </c>
      <c r="DX898" s="2">
        <v>1</v>
      </c>
      <c r="DY898" s="2"/>
      <c r="DZ898" s="2" t="s">
        <v>3</v>
      </c>
      <c r="EA898" s="2" t="s">
        <v>3</v>
      </c>
      <c r="EB898" s="2" t="s">
        <v>3</v>
      </c>
      <c r="EC898" s="2" t="s">
        <v>3</v>
      </c>
      <c r="ED898" s="2"/>
      <c r="EE898" s="2">
        <v>126051792</v>
      </c>
      <c r="EF898" s="2">
        <v>40</v>
      </c>
      <c r="EG898" s="2" t="s">
        <v>621</v>
      </c>
      <c r="EH898" s="2">
        <v>0</v>
      </c>
      <c r="EI898" s="2" t="s">
        <v>3</v>
      </c>
      <c r="EJ898" s="2">
        <v>2</v>
      </c>
      <c r="EK898" s="2">
        <v>331</v>
      </c>
      <c r="EL898" s="2" t="s">
        <v>679</v>
      </c>
      <c r="EM898" s="2" t="s">
        <v>680</v>
      </c>
      <c r="EN898" s="2"/>
      <c r="EO898" s="2" t="s">
        <v>3</v>
      </c>
      <c r="EP898" s="2"/>
      <c r="EQ898" s="2">
        <v>0</v>
      </c>
      <c r="ER898" s="2">
        <v>4.59</v>
      </c>
      <c r="ES898" s="2">
        <v>4.59</v>
      </c>
      <c r="ET898" s="2">
        <v>0</v>
      </c>
      <c r="EU898" s="2">
        <v>0</v>
      </c>
      <c r="EV898" s="2">
        <v>0</v>
      </c>
      <c r="EW898" s="2">
        <v>0</v>
      </c>
      <c r="EX898" s="2">
        <v>0</v>
      </c>
      <c r="EY898" s="2"/>
      <c r="EZ898" s="2"/>
      <c r="FA898" s="2"/>
      <c r="FB898" s="2"/>
      <c r="FC898" s="2"/>
      <c r="FD898" s="2"/>
      <c r="FE898" s="2"/>
      <c r="FF898" s="2"/>
      <c r="FG898" s="2"/>
      <c r="FH898" s="2"/>
      <c r="FI898" s="2"/>
      <c r="FJ898" s="2"/>
      <c r="FK898" s="2"/>
      <c r="FL898" s="2"/>
      <c r="FM898" s="2"/>
      <c r="FN898" s="2"/>
      <c r="FO898" s="2"/>
      <c r="FP898" s="2"/>
      <c r="FQ898" s="2">
        <v>0</v>
      </c>
      <c r="FR898" s="2">
        <f t="shared" ref="FR898:FR929" si="785">ROUND(IF(AND(BH898=3,BI898=3),P898,0),2)</f>
        <v>0</v>
      </c>
      <c r="FS898" s="2">
        <v>0</v>
      </c>
      <c r="FT898" s="2"/>
      <c r="FU898" s="2"/>
      <c r="FV898" s="2"/>
      <c r="FW898" s="2"/>
      <c r="FX898" s="2">
        <v>114</v>
      </c>
      <c r="FY898" s="2">
        <v>67</v>
      </c>
      <c r="FZ898" s="2"/>
      <c r="GA898" s="2" t="s">
        <v>3</v>
      </c>
      <c r="GB898" s="2"/>
      <c r="GC898" s="2"/>
      <c r="GD898" s="2">
        <v>0</v>
      </c>
      <c r="GE898" s="2"/>
      <c r="GF898" s="2">
        <v>-1102095183</v>
      </c>
      <c r="GG898" s="2">
        <v>2</v>
      </c>
      <c r="GH898" s="2">
        <v>1</v>
      </c>
      <c r="GI898" s="2">
        <v>-2</v>
      </c>
      <c r="GJ898" s="2">
        <v>0</v>
      </c>
      <c r="GK898" s="2">
        <f>ROUND(R898*(R12)/100,2)</f>
        <v>0</v>
      </c>
      <c r="GL898" s="2">
        <f t="shared" ref="GL898:GL929" si="786">ROUND(IF(AND(BH898=3,BI898=3,FS898&lt;&gt;0),P898,0),2)</f>
        <v>0</v>
      </c>
      <c r="GM898" s="2">
        <f t="shared" ref="GM898:GM929" si="787">ROUND(O898+X898+Y898+GK898,2)+GX898</f>
        <v>13.11</v>
      </c>
      <c r="GN898" s="2">
        <f t="shared" ref="GN898:GN929" si="788">IF(OR(BI898=0,BI898=1),ROUND(O898+X898+Y898+GK898,2),0)</f>
        <v>0</v>
      </c>
      <c r="GO898" s="2">
        <f t="shared" ref="GO898:GO929" si="789">IF(BI898=2,ROUND(O898+X898+Y898+GK898,2),0)</f>
        <v>13.11</v>
      </c>
      <c r="GP898" s="2">
        <f t="shared" ref="GP898:GP929" si="790">IF(BI898=4,ROUND(O898+X898+Y898+GK898,2)+GX898,0)</f>
        <v>0</v>
      </c>
      <c r="GQ898" s="2"/>
      <c r="GR898" s="2">
        <v>0</v>
      </c>
      <c r="GS898" s="2">
        <v>0</v>
      </c>
      <c r="GT898" s="2">
        <v>0</v>
      </c>
      <c r="GU898" s="2" t="s">
        <v>3</v>
      </c>
      <c r="GV898" s="2">
        <f t="shared" ref="GV898:GV929" si="791">ROUND((GT898),6)</f>
        <v>0</v>
      </c>
      <c r="GW898" s="2">
        <v>1</v>
      </c>
      <c r="GX898" s="2">
        <f t="shared" ref="GX898:GX929" si="792">ROUND(HC898*I898,2)</f>
        <v>0</v>
      </c>
      <c r="GY898" s="2"/>
      <c r="GZ898" s="2"/>
      <c r="HA898" s="2">
        <v>0</v>
      </c>
      <c r="HB898" s="2">
        <v>0</v>
      </c>
      <c r="HC898" s="2">
        <f t="shared" ref="HC898:HC929" si="793">GV898*GW898</f>
        <v>0</v>
      </c>
      <c r="HD898" s="2"/>
      <c r="HE898" s="2" t="s">
        <v>3</v>
      </c>
      <c r="HF898" s="2" t="s">
        <v>3</v>
      </c>
      <c r="HG898" s="2"/>
      <c r="HH898" s="2"/>
      <c r="HI898" s="2"/>
      <c r="HJ898" s="2"/>
      <c r="HK898" s="2"/>
      <c r="HL898" s="2"/>
      <c r="HM898" s="2" t="s">
        <v>3</v>
      </c>
      <c r="HN898" s="2" t="s">
        <v>3</v>
      </c>
      <c r="HO898" s="2" t="s">
        <v>3</v>
      </c>
      <c r="HP898" s="2" t="s">
        <v>3</v>
      </c>
      <c r="HQ898" s="2" t="s">
        <v>3</v>
      </c>
      <c r="HR898" s="2"/>
      <c r="HS898" s="2"/>
      <c r="HT898" s="2"/>
      <c r="HU898" s="2"/>
      <c r="HV898" s="2"/>
      <c r="HW898" s="2"/>
      <c r="HX898" s="2"/>
      <c r="HY898" s="2"/>
      <c r="HZ898" s="2"/>
      <c r="IA898" s="2"/>
      <c r="IB898" s="2"/>
      <c r="IC898" s="2"/>
      <c r="ID898" s="2"/>
      <c r="IE898" s="2"/>
      <c r="IF898" s="2"/>
      <c r="IG898" s="2"/>
      <c r="IH898" s="2"/>
      <c r="II898" s="2"/>
      <c r="IJ898" s="2"/>
      <c r="IK898" s="2">
        <v>0</v>
      </c>
      <c r="IL898" s="2"/>
      <c r="IM898" s="2"/>
      <c r="IN898" s="2"/>
      <c r="IO898" s="2"/>
      <c r="IP898" s="2"/>
      <c r="IQ898" s="2"/>
      <c r="IR898" s="2"/>
      <c r="IS898" s="2"/>
      <c r="IT898" s="2"/>
      <c r="IU898" s="2"/>
    </row>
    <row r="899" spans="1:255" x14ac:dyDescent="0.2">
      <c r="A899">
        <v>18</v>
      </c>
      <c r="B899">
        <v>1</v>
      </c>
      <c r="C899">
        <v>762</v>
      </c>
      <c r="E899" t="s">
        <v>190</v>
      </c>
      <c r="F899" t="s">
        <v>772</v>
      </c>
      <c r="G899" t="s">
        <v>773</v>
      </c>
      <c r="H899" t="s">
        <v>270</v>
      </c>
      <c r="I899">
        <f>I897*J899</f>
        <v>2.8559999999999999</v>
      </c>
      <c r="J899">
        <v>102</v>
      </c>
      <c r="K899">
        <v>102</v>
      </c>
      <c r="O899">
        <f t="shared" si="763"/>
        <v>64.63</v>
      </c>
      <c r="P899">
        <f t="shared" si="764"/>
        <v>64.63</v>
      </c>
      <c r="Q899">
        <f t="shared" si="756"/>
        <v>0</v>
      </c>
      <c r="R899">
        <f t="shared" si="765"/>
        <v>0</v>
      </c>
      <c r="S899">
        <f t="shared" si="766"/>
        <v>0</v>
      </c>
      <c r="T899">
        <f t="shared" si="767"/>
        <v>0</v>
      </c>
      <c r="U899">
        <f t="shared" si="768"/>
        <v>0</v>
      </c>
      <c r="V899">
        <f t="shared" si="769"/>
        <v>0</v>
      </c>
      <c r="W899">
        <f t="shared" si="770"/>
        <v>0</v>
      </c>
      <c r="X899">
        <f t="shared" si="771"/>
        <v>0</v>
      </c>
      <c r="Y899">
        <f t="shared" si="772"/>
        <v>0</v>
      </c>
      <c r="AA899">
        <v>129761633</v>
      </c>
      <c r="AB899">
        <f t="shared" si="773"/>
        <v>4.59</v>
      </c>
      <c r="AC899">
        <f t="shared" si="774"/>
        <v>4.59</v>
      </c>
      <c r="AD899">
        <f t="shared" si="757"/>
        <v>0</v>
      </c>
      <c r="AE899">
        <f t="shared" si="758"/>
        <v>0</v>
      </c>
      <c r="AF899">
        <f t="shared" si="759"/>
        <v>0</v>
      </c>
      <c r="AG899">
        <f t="shared" si="775"/>
        <v>0</v>
      </c>
      <c r="AH899">
        <f t="shared" si="760"/>
        <v>0</v>
      </c>
      <c r="AI899">
        <f t="shared" si="761"/>
        <v>0</v>
      </c>
      <c r="AJ899">
        <f t="shared" si="776"/>
        <v>0</v>
      </c>
      <c r="AK899">
        <v>4.59</v>
      </c>
      <c r="AL899">
        <v>4.59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  <c r="AV899">
        <v>1</v>
      </c>
      <c r="AW899">
        <v>1</v>
      </c>
      <c r="AZ899">
        <v>1</v>
      </c>
      <c r="BA899">
        <v>1</v>
      </c>
      <c r="BB899">
        <v>1</v>
      </c>
      <c r="BC899">
        <v>4.93</v>
      </c>
      <c r="BD899" t="s">
        <v>3</v>
      </c>
      <c r="BE899" t="s">
        <v>3</v>
      </c>
      <c r="BF899" t="s">
        <v>3</v>
      </c>
      <c r="BG899" t="s">
        <v>3</v>
      </c>
      <c r="BH899">
        <v>3</v>
      </c>
      <c r="BI899">
        <v>2</v>
      </c>
      <c r="BJ899" t="s">
        <v>774</v>
      </c>
      <c r="BM899">
        <v>331</v>
      </c>
      <c r="BN899">
        <v>0</v>
      </c>
      <c r="BO899" t="s">
        <v>772</v>
      </c>
      <c r="BP899">
        <v>1</v>
      </c>
      <c r="BQ899">
        <v>40</v>
      </c>
      <c r="BR899">
        <v>0</v>
      </c>
      <c r="BS899">
        <v>1</v>
      </c>
      <c r="BT899">
        <v>1</v>
      </c>
      <c r="BU899">
        <v>1</v>
      </c>
      <c r="BV899">
        <v>1</v>
      </c>
      <c r="BW899">
        <v>1</v>
      </c>
      <c r="BX899">
        <v>1</v>
      </c>
      <c r="BY899" t="s">
        <v>3</v>
      </c>
      <c r="BZ899">
        <v>0</v>
      </c>
      <c r="CA899">
        <v>0</v>
      </c>
      <c r="CB899" t="s">
        <v>3</v>
      </c>
      <c r="CE899">
        <v>30</v>
      </c>
      <c r="CF899">
        <v>0</v>
      </c>
      <c r="CG899">
        <v>0</v>
      </c>
      <c r="CM899">
        <v>0</v>
      </c>
      <c r="CN899" t="s">
        <v>3</v>
      </c>
      <c r="CO899">
        <v>0</v>
      </c>
      <c r="CP899">
        <f t="shared" si="777"/>
        <v>64.63</v>
      </c>
      <c r="CQ899">
        <f t="shared" si="778"/>
        <v>22.63</v>
      </c>
      <c r="CR899">
        <f t="shared" si="762"/>
        <v>0</v>
      </c>
      <c r="CS899">
        <f t="shared" si="779"/>
        <v>0</v>
      </c>
      <c r="CT899">
        <f t="shared" si="780"/>
        <v>0</v>
      </c>
      <c r="CU899">
        <f t="shared" si="781"/>
        <v>0</v>
      </c>
      <c r="CV899">
        <f t="shared" si="782"/>
        <v>0</v>
      </c>
      <c r="CW899">
        <f t="shared" si="783"/>
        <v>0</v>
      </c>
      <c r="CX899">
        <f t="shared" si="784"/>
        <v>0</v>
      </c>
      <c r="CY899">
        <f>S899*(BZ899/100)</f>
        <v>0</v>
      </c>
      <c r="CZ899">
        <f>S899*(CA899/100)</f>
        <v>0</v>
      </c>
      <c r="DC899" t="s">
        <v>3</v>
      </c>
      <c r="DD899" t="s">
        <v>3</v>
      </c>
      <c r="DE899" t="s">
        <v>3</v>
      </c>
      <c r="DF899" t="s">
        <v>3</v>
      </c>
      <c r="DG899" t="s">
        <v>3</v>
      </c>
      <c r="DH899" t="s">
        <v>3</v>
      </c>
      <c r="DI899" t="s">
        <v>3</v>
      </c>
      <c r="DJ899" t="s">
        <v>3</v>
      </c>
      <c r="DK899" t="s">
        <v>3</v>
      </c>
      <c r="DL899" t="s">
        <v>3</v>
      </c>
      <c r="DM899" t="s">
        <v>3</v>
      </c>
      <c r="DN899">
        <v>114</v>
      </c>
      <c r="DO899">
        <v>67</v>
      </c>
      <c r="DP899">
        <v>1</v>
      </c>
      <c r="DQ899">
        <v>1</v>
      </c>
      <c r="DU899">
        <v>1003</v>
      </c>
      <c r="DV899" t="s">
        <v>270</v>
      </c>
      <c r="DW899" t="s">
        <v>270</v>
      </c>
      <c r="DX899">
        <v>1</v>
      </c>
      <c r="DZ899" t="s">
        <v>3</v>
      </c>
      <c r="EA899" t="s">
        <v>3</v>
      </c>
      <c r="EB899" t="s">
        <v>3</v>
      </c>
      <c r="EC899" t="s">
        <v>3</v>
      </c>
      <c r="EE899">
        <v>126051792</v>
      </c>
      <c r="EF899">
        <v>40</v>
      </c>
      <c r="EG899" t="s">
        <v>621</v>
      </c>
      <c r="EH899">
        <v>0</v>
      </c>
      <c r="EI899" t="s">
        <v>3</v>
      </c>
      <c r="EJ899">
        <v>2</v>
      </c>
      <c r="EK899">
        <v>331</v>
      </c>
      <c r="EL899" t="s">
        <v>679</v>
      </c>
      <c r="EM899" t="s">
        <v>680</v>
      </c>
      <c r="EO899" t="s">
        <v>3</v>
      </c>
      <c r="EQ899">
        <v>0</v>
      </c>
      <c r="ER899">
        <v>4.59</v>
      </c>
      <c r="ES899">
        <v>4.59</v>
      </c>
      <c r="ET899">
        <v>0</v>
      </c>
      <c r="EU899">
        <v>0</v>
      </c>
      <c r="EV899">
        <v>0</v>
      </c>
      <c r="EW899">
        <v>0</v>
      </c>
      <c r="EX899">
        <v>0</v>
      </c>
      <c r="FQ899">
        <v>0</v>
      </c>
      <c r="FR899">
        <f t="shared" si="785"/>
        <v>0</v>
      </c>
      <c r="FS899">
        <v>0</v>
      </c>
      <c r="FX899">
        <v>114</v>
      </c>
      <c r="FY899">
        <v>67</v>
      </c>
      <c r="GA899" t="s">
        <v>3</v>
      </c>
      <c r="GD899">
        <v>0</v>
      </c>
      <c r="GF899">
        <v>-1102095183</v>
      </c>
      <c r="GG899">
        <v>2</v>
      </c>
      <c r="GH899">
        <v>1</v>
      </c>
      <c r="GI899">
        <v>2</v>
      </c>
      <c r="GJ899">
        <v>0</v>
      </c>
      <c r="GK899">
        <f>ROUND(R899*(S12)/100,2)</f>
        <v>0</v>
      </c>
      <c r="GL899">
        <f t="shared" si="786"/>
        <v>0</v>
      </c>
      <c r="GM899">
        <f t="shared" si="787"/>
        <v>64.63</v>
      </c>
      <c r="GN899">
        <f t="shared" si="788"/>
        <v>0</v>
      </c>
      <c r="GO899">
        <f t="shared" si="789"/>
        <v>64.63</v>
      </c>
      <c r="GP899">
        <f t="shared" si="790"/>
        <v>0</v>
      </c>
      <c r="GR899">
        <v>0</v>
      </c>
      <c r="GS899">
        <v>3</v>
      </c>
      <c r="GT899">
        <v>0</v>
      </c>
      <c r="GU899" t="s">
        <v>3</v>
      </c>
      <c r="GV899">
        <f t="shared" si="791"/>
        <v>0</v>
      </c>
      <c r="GW899">
        <v>1</v>
      </c>
      <c r="GX899">
        <f t="shared" si="792"/>
        <v>0</v>
      </c>
      <c r="HA899">
        <v>0</v>
      </c>
      <c r="HB899">
        <v>0</v>
      </c>
      <c r="HC899">
        <f t="shared" si="793"/>
        <v>0</v>
      </c>
      <c r="HE899" t="s">
        <v>3</v>
      </c>
      <c r="HF899" t="s">
        <v>3</v>
      </c>
      <c r="HM899" t="s">
        <v>3</v>
      </c>
      <c r="HN899" t="s">
        <v>3</v>
      </c>
      <c r="HO899" t="s">
        <v>3</v>
      </c>
      <c r="HP899" t="s">
        <v>3</v>
      </c>
      <c r="HQ899" t="s">
        <v>3</v>
      </c>
      <c r="IK899">
        <v>0</v>
      </c>
    </row>
    <row r="900" spans="1:255" x14ac:dyDescent="0.2">
      <c r="A900" s="2">
        <v>17</v>
      </c>
      <c r="B900" s="2">
        <v>1</v>
      </c>
      <c r="C900" s="2">
        <f>ROW(SmtRes!A764)</f>
        <v>764</v>
      </c>
      <c r="D900" s="2">
        <f>ROW(EtalonRes!A745)</f>
        <v>745</v>
      </c>
      <c r="E900" s="2" t="s">
        <v>191</v>
      </c>
      <c r="F900" s="2" t="s">
        <v>684</v>
      </c>
      <c r="G900" s="2" t="s">
        <v>685</v>
      </c>
      <c r="H900" s="2" t="s">
        <v>455</v>
      </c>
      <c r="I900" s="2">
        <v>0.05</v>
      </c>
      <c r="J900" s="2">
        <v>0</v>
      </c>
      <c r="K900" s="2">
        <v>0.05</v>
      </c>
      <c r="L900" s="2"/>
      <c r="M900" s="2"/>
      <c r="N900" s="2"/>
      <c r="O900" s="2">
        <f t="shared" si="763"/>
        <v>70.12</v>
      </c>
      <c r="P900" s="2">
        <f t="shared" si="764"/>
        <v>17.12</v>
      </c>
      <c r="Q900" s="2">
        <f t="shared" ref="Q900:Q929" si="794">(ROUND((ROUND(((ET900)*AV900*I900),2)*BB900),2)+ROUND((ROUND(((AE900-(EU900))*AV900*I900),2)*BS900),2))</f>
        <v>34.57</v>
      </c>
      <c r="R900" s="2">
        <f t="shared" si="765"/>
        <v>2.2799999999999998</v>
      </c>
      <c r="S900" s="2">
        <f t="shared" si="766"/>
        <v>18.43</v>
      </c>
      <c r="T900" s="2">
        <f t="shared" si="767"/>
        <v>0</v>
      </c>
      <c r="U900" s="2">
        <f t="shared" si="768"/>
        <v>1.4950000000000001</v>
      </c>
      <c r="V900" s="2">
        <f t="shared" si="769"/>
        <v>0</v>
      </c>
      <c r="W900" s="2">
        <f t="shared" si="770"/>
        <v>0</v>
      </c>
      <c r="X900" s="2">
        <f t="shared" si="771"/>
        <v>21.01</v>
      </c>
      <c r="Y900" s="2">
        <f t="shared" si="772"/>
        <v>12.35</v>
      </c>
      <c r="Z900" s="2"/>
      <c r="AA900" s="2">
        <v>129761636</v>
      </c>
      <c r="AB900" s="2">
        <f t="shared" si="773"/>
        <v>1402.35</v>
      </c>
      <c r="AC900" s="2">
        <f t="shared" si="774"/>
        <v>342.3</v>
      </c>
      <c r="AD900" s="2">
        <f t="shared" ref="AD900:AD929" si="795">ROUND((((ET900)-(EU900))+AE900),6)</f>
        <v>691.38</v>
      </c>
      <c r="AE900" s="2">
        <f t="shared" ref="AE900:AE929" si="796">ROUND((EU900),6)</f>
        <v>45.55</v>
      </c>
      <c r="AF900" s="2">
        <f t="shared" ref="AF900:AF929" si="797">ROUND((EV900),6)</f>
        <v>368.67</v>
      </c>
      <c r="AG900" s="2">
        <f t="shared" si="775"/>
        <v>0</v>
      </c>
      <c r="AH900" s="2">
        <f t="shared" ref="AH900:AH929" si="798">(EW900)</f>
        <v>29.9</v>
      </c>
      <c r="AI900" s="2">
        <f t="shared" ref="AI900:AI929" si="799">(EX900)</f>
        <v>0</v>
      </c>
      <c r="AJ900" s="2">
        <f t="shared" si="776"/>
        <v>0</v>
      </c>
      <c r="AK900" s="2">
        <v>1402.35</v>
      </c>
      <c r="AL900" s="2">
        <v>342.3</v>
      </c>
      <c r="AM900" s="2">
        <v>691.38</v>
      </c>
      <c r="AN900" s="2">
        <v>45.55</v>
      </c>
      <c r="AO900" s="2">
        <v>368.67</v>
      </c>
      <c r="AP900" s="2">
        <v>0</v>
      </c>
      <c r="AQ900" s="2">
        <v>29.9</v>
      </c>
      <c r="AR900" s="2">
        <v>0</v>
      </c>
      <c r="AS900" s="2">
        <v>0</v>
      </c>
      <c r="AT900" s="2">
        <v>114</v>
      </c>
      <c r="AU900" s="2">
        <v>67</v>
      </c>
      <c r="AV900" s="2">
        <v>1</v>
      </c>
      <c r="AW900" s="2">
        <v>1</v>
      </c>
      <c r="AX900" s="2"/>
      <c r="AY900" s="2"/>
      <c r="AZ900" s="2">
        <v>1</v>
      </c>
      <c r="BA900" s="2">
        <v>1</v>
      </c>
      <c r="BB900" s="2">
        <v>1</v>
      </c>
      <c r="BC900" s="2">
        <v>1</v>
      </c>
      <c r="BD900" s="2" t="s">
        <v>3</v>
      </c>
      <c r="BE900" s="2" t="s">
        <v>3</v>
      </c>
      <c r="BF900" s="2" t="s">
        <v>3</v>
      </c>
      <c r="BG900" s="2" t="s">
        <v>3</v>
      </c>
      <c r="BH900" s="2">
        <v>0</v>
      </c>
      <c r="BI900" s="2">
        <v>2</v>
      </c>
      <c r="BJ900" s="2" t="s">
        <v>686</v>
      </c>
      <c r="BK900" s="2"/>
      <c r="BL900" s="2"/>
      <c r="BM900" s="2">
        <v>331</v>
      </c>
      <c r="BN900" s="2">
        <v>0</v>
      </c>
      <c r="BO900" s="2" t="s">
        <v>3</v>
      </c>
      <c r="BP900" s="2">
        <v>0</v>
      </c>
      <c r="BQ900" s="2">
        <v>40</v>
      </c>
      <c r="BR900" s="2">
        <v>0</v>
      </c>
      <c r="BS900" s="2">
        <v>1</v>
      </c>
      <c r="BT900" s="2">
        <v>1</v>
      </c>
      <c r="BU900" s="2">
        <v>1</v>
      </c>
      <c r="BV900" s="2">
        <v>1</v>
      </c>
      <c r="BW900" s="2">
        <v>1</v>
      </c>
      <c r="BX900" s="2">
        <v>1</v>
      </c>
      <c r="BY900" s="2" t="s">
        <v>3</v>
      </c>
      <c r="BZ900" s="2">
        <v>114</v>
      </c>
      <c r="CA900" s="2">
        <v>67</v>
      </c>
      <c r="CB900" s="2" t="s">
        <v>3</v>
      </c>
      <c r="CC900" s="2"/>
      <c r="CD900" s="2"/>
      <c r="CE900" s="2">
        <v>30</v>
      </c>
      <c r="CF900" s="2">
        <v>0</v>
      </c>
      <c r="CG900" s="2">
        <v>0</v>
      </c>
      <c r="CH900" s="2"/>
      <c r="CI900" s="2"/>
      <c r="CJ900" s="2"/>
      <c r="CK900" s="2"/>
      <c r="CL900" s="2"/>
      <c r="CM900" s="2">
        <v>0</v>
      </c>
      <c r="CN900" s="2" t="s">
        <v>3</v>
      </c>
      <c r="CO900" s="2">
        <v>0</v>
      </c>
      <c r="CP900" s="2">
        <f t="shared" si="777"/>
        <v>70.12</v>
      </c>
      <c r="CQ900" s="2">
        <f t="shared" si="778"/>
        <v>342.3</v>
      </c>
      <c r="CR900" s="2">
        <f t="shared" ref="CR900:CR929" si="800">(ROUND((ROUND(((ET900)*AV900*1),2)*BB900),2)+ROUND((ROUND(((AE900-(EU900))*AV900*1),2)*BS900),2))</f>
        <v>691.38</v>
      </c>
      <c r="CS900" s="2">
        <f t="shared" si="779"/>
        <v>45.55</v>
      </c>
      <c r="CT900" s="2">
        <f t="shared" si="780"/>
        <v>368.67</v>
      </c>
      <c r="CU900" s="2">
        <f t="shared" si="781"/>
        <v>0</v>
      </c>
      <c r="CV900" s="2">
        <f t="shared" si="782"/>
        <v>29.9</v>
      </c>
      <c r="CW900" s="2">
        <f t="shared" si="783"/>
        <v>0</v>
      </c>
      <c r="CX900" s="2">
        <f t="shared" si="784"/>
        <v>0</v>
      </c>
      <c r="CY900" s="2">
        <f>((S900*BZ900)/100)</f>
        <v>21.010200000000001</v>
      </c>
      <c r="CZ900" s="2">
        <f>((S900*CA900)/100)</f>
        <v>12.348099999999999</v>
      </c>
      <c r="DA900" s="2"/>
      <c r="DB900" s="2"/>
      <c r="DC900" s="2" t="s">
        <v>3</v>
      </c>
      <c r="DD900" s="2" t="s">
        <v>3</v>
      </c>
      <c r="DE900" s="2" t="s">
        <v>3</v>
      </c>
      <c r="DF900" s="2" t="s">
        <v>3</v>
      </c>
      <c r="DG900" s="2" t="s">
        <v>3</v>
      </c>
      <c r="DH900" s="2" t="s">
        <v>3</v>
      </c>
      <c r="DI900" s="2" t="s">
        <v>3</v>
      </c>
      <c r="DJ900" s="2" t="s">
        <v>3</v>
      </c>
      <c r="DK900" s="2" t="s">
        <v>3</v>
      </c>
      <c r="DL900" s="2" t="s">
        <v>3</v>
      </c>
      <c r="DM900" s="2" t="s">
        <v>3</v>
      </c>
      <c r="DN900" s="2">
        <v>0</v>
      </c>
      <c r="DO900" s="2">
        <v>0</v>
      </c>
      <c r="DP900" s="2">
        <v>1</v>
      </c>
      <c r="DQ900" s="2">
        <v>1</v>
      </c>
      <c r="DR900" s="2"/>
      <c r="DS900" s="2"/>
      <c r="DT900" s="2"/>
      <c r="DU900" s="2">
        <v>1003</v>
      </c>
      <c r="DV900" s="2" t="s">
        <v>455</v>
      </c>
      <c r="DW900" s="2" t="s">
        <v>455</v>
      </c>
      <c r="DX900" s="2">
        <v>100</v>
      </c>
      <c r="DY900" s="2"/>
      <c r="DZ900" s="2" t="s">
        <v>3</v>
      </c>
      <c r="EA900" s="2" t="s">
        <v>3</v>
      </c>
      <c r="EB900" s="2" t="s">
        <v>3</v>
      </c>
      <c r="EC900" s="2" t="s">
        <v>3</v>
      </c>
      <c r="ED900" s="2"/>
      <c r="EE900" s="2">
        <v>126051792</v>
      </c>
      <c r="EF900" s="2">
        <v>40</v>
      </c>
      <c r="EG900" s="2" t="s">
        <v>621</v>
      </c>
      <c r="EH900" s="2">
        <v>0</v>
      </c>
      <c r="EI900" s="2" t="s">
        <v>3</v>
      </c>
      <c r="EJ900" s="2">
        <v>2</v>
      </c>
      <c r="EK900" s="2">
        <v>331</v>
      </c>
      <c r="EL900" s="2" t="s">
        <v>679</v>
      </c>
      <c r="EM900" s="2" t="s">
        <v>680</v>
      </c>
      <c r="EN900" s="2"/>
      <c r="EO900" s="2" t="s">
        <v>3</v>
      </c>
      <c r="EP900" s="2"/>
      <c r="EQ900" s="2">
        <v>131072</v>
      </c>
      <c r="ER900" s="2">
        <v>1402.35</v>
      </c>
      <c r="ES900" s="2">
        <v>342.3</v>
      </c>
      <c r="ET900" s="2">
        <v>691.38</v>
      </c>
      <c r="EU900" s="2">
        <v>45.55</v>
      </c>
      <c r="EV900" s="2">
        <v>368.67</v>
      </c>
      <c r="EW900" s="2">
        <v>29.9</v>
      </c>
      <c r="EX900" s="2">
        <v>0</v>
      </c>
      <c r="EY900" s="2">
        <v>0</v>
      </c>
      <c r="EZ900" s="2"/>
      <c r="FA900" s="2"/>
      <c r="FB900" s="2"/>
      <c r="FC900" s="2"/>
      <c r="FD900" s="2"/>
      <c r="FE900" s="2"/>
      <c r="FF900" s="2"/>
      <c r="FG900" s="2"/>
      <c r="FH900" s="2"/>
      <c r="FI900" s="2"/>
      <c r="FJ900" s="2"/>
      <c r="FK900" s="2"/>
      <c r="FL900" s="2"/>
      <c r="FM900" s="2"/>
      <c r="FN900" s="2"/>
      <c r="FO900" s="2"/>
      <c r="FP900" s="2"/>
      <c r="FQ900" s="2">
        <v>0</v>
      </c>
      <c r="FR900" s="2">
        <f t="shared" si="785"/>
        <v>0</v>
      </c>
      <c r="FS900" s="2">
        <v>0</v>
      </c>
      <c r="FT900" s="2"/>
      <c r="FU900" s="2"/>
      <c r="FV900" s="2"/>
      <c r="FW900" s="2"/>
      <c r="FX900" s="2">
        <v>114</v>
      </c>
      <c r="FY900" s="2">
        <v>67</v>
      </c>
      <c r="FZ900" s="2"/>
      <c r="GA900" s="2" t="s">
        <v>3</v>
      </c>
      <c r="GB900" s="2"/>
      <c r="GC900" s="2"/>
      <c r="GD900" s="2">
        <v>0</v>
      </c>
      <c r="GE900" s="2"/>
      <c r="GF900" s="2">
        <v>-725271137</v>
      </c>
      <c r="GG900" s="2">
        <v>2</v>
      </c>
      <c r="GH900" s="2">
        <v>1</v>
      </c>
      <c r="GI900" s="2">
        <v>-2</v>
      </c>
      <c r="GJ900" s="2">
        <v>0</v>
      </c>
      <c r="GK900" s="2">
        <f>ROUND(R900*(R12)/100,2)</f>
        <v>3.99</v>
      </c>
      <c r="GL900" s="2">
        <f t="shared" si="786"/>
        <v>0</v>
      </c>
      <c r="GM900" s="2">
        <f t="shared" si="787"/>
        <v>107.47</v>
      </c>
      <c r="GN900" s="2">
        <f t="shared" si="788"/>
        <v>0</v>
      </c>
      <c r="GO900" s="2">
        <f t="shared" si="789"/>
        <v>107.47</v>
      </c>
      <c r="GP900" s="2">
        <f t="shared" si="790"/>
        <v>0</v>
      </c>
      <c r="GQ900" s="2"/>
      <c r="GR900" s="2">
        <v>0</v>
      </c>
      <c r="GS900" s="2">
        <v>0</v>
      </c>
      <c r="GT900" s="2">
        <v>0</v>
      </c>
      <c r="GU900" s="2" t="s">
        <v>3</v>
      </c>
      <c r="GV900" s="2">
        <f t="shared" si="791"/>
        <v>0</v>
      </c>
      <c r="GW900" s="2">
        <v>1</v>
      </c>
      <c r="GX900" s="2">
        <f t="shared" si="792"/>
        <v>0</v>
      </c>
      <c r="GY900" s="2"/>
      <c r="GZ900" s="2"/>
      <c r="HA900" s="2">
        <v>0</v>
      </c>
      <c r="HB900" s="2">
        <v>0</v>
      </c>
      <c r="HC900" s="2">
        <f t="shared" si="793"/>
        <v>0</v>
      </c>
      <c r="HD900" s="2"/>
      <c r="HE900" s="2" t="s">
        <v>3</v>
      </c>
      <c r="HF900" s="2" t="s">
        <v>3</v>
      </c>
      <c r="HG900" s="2"/>
      <c r="HH900" s="2"/>
      <c r="HI900" s="2"/>
      <c r="HJ900" s="2"/>
      <c r="HK900" s="2"/>
      <c r="HL900" s="2"/>
      <c r="HM900" s="2" t="s">
        <v>3</v>
      </c>
      <c r="HN900" s="2" t="s">
        <v>3</v>
      </c>
      <c r="HO900" s="2" t="s">
        <v>3</v>
      </c>
      <c r="HP900" s="2" t="s">
        <v>3</v>
      </c>
      <c r="HQ900" s="2" t="s">
        <v>3</v>
      </c>
      <c r="HR900" s="2"/>
      <c r="HS900" s="2"/>
      <c r="HT900" s="2"/>
      <c r="HU900" s="2"/>
      <c r="HV900" s="2"/>
      <c r="HW900" s="2"/>
      <c r="HX900" s="2"/>
      <c r="HY900" s="2"/>
      <c r="HZ900" s="2"/>
      <c r="IA900" s="2"/>
      <c r="IB900" s="2"/>
      <c r="IC900" s="2"/>
      <c r="ID900" s="2"/>
      <c r="IE900" s="2"/>
      <c r="IF900" s="2"/>
      <c r="IG900" s="2"/>
      <c r="IH900" s="2"/>
      <c r="II900" s="2"/>
      <c r="IJ900" s="2"/>
      <c r="IK900" s="2">
        <v>0</v>
      </c>
      <c r="IL900" s="2"/>
      <c r="IM900" s="2"/>
      <c r="IN900" s="2"/>
      <c r="IO900" s="2"/>
      <c r="IP900" s="2"/>
      <c r="IQ900" s="2"/>
      <c r="IR900" s="2"/>
      <c r="IS900" s="2"/>
      <c r="IT900" s="2"/>
      <c r="IU900" s="2"/>
    </row>
    <row r="901" spans="1:255" x14ac:dyDescent="0.2">
      <c r="A901">
        <v>17</v>
      </c>
      <c r="B901">
        <v>1</v>
      </c>
      <c r="C901">
        <f>ROW(SmtRes!A766)</f>
        <v>766</v>
      </c>
      <c r="D901">
        <f>ROW(EtalonRes!A746)</f>
        <v>746</v>
      </c>
      <c r="E901" t="s">
        <v>191</v>
      </c>
      <c r="F901" t="s">
        <v>684</v>
      </c>
      <c r="G901" t="s">
        <v>685</v>
      </c>
      <c r="H901" t="s">
        <v>455</v>
      </c>
      <c r="I901">
        <v>0.05</v>
      </c>
      <c r="J901">
        <v>0</v>
      </c>
      <c r="K901">
        <v>0.05</v>
      </c>
      <c r="O901">
        <f t="shared" si="763"/>
        <v>969.34</v>
      </c>
      <c r="P901">
        <f t="shared" si="764"/>
        <v>77.209999999999994</v>
      </c>
      <c r="Q901">
        <f t="shared" si="794"/>
        <v>357.11</v>
      </c>
      <c r="R901">
        <f t="shared" si="765"/>
        <v>66.19</v>
      </c>
      <c r="S901">
        <f t="shared" si="766"/>
        <v>535.02</v>
      </c>
      <c r="T901">
        <f t="shared" si="767"/>
        <v>0</v>
      </c>
      <c r="U901">
        <f t="shared" si="768"/>
        <v>1.4950000000000001</v>
      </c>
      <c r="V901">
        <f t="shared" si="769"/>
        <v>0</v>
      </c>
      <c r="W901">
        <f t="shared" si="770"/>
        <v>0</v>
      </c>
      <c r="X901">
        <f t="shared" si="771"/>
        <v>422.67</v>
      </c>
      <c r="Y901">
        <f t="shared" si="772"/>
        <v>219.36</v>
      </c>
      <c r="AA901">
        <v>129761633</v>
      </c>
      <c r="AB901">
        <f t="shared" si="773"/>
        <v>1402.35</v>
      </c>
      <c r="AC901">
        <f t="shared" si="774"/>
        <v>342.3</v>
      </c>
      <c r="AD901">
        <f t="shared" si="795"/>
        <v>691.38</v>
      </c>
      <c r="AE901">
        <f t="shared" si="796"/>
        <v>45.55</v>
      </c>
      <c r="AF901">
        <f t="shared" si="797"/>
        <v>368.67</v>
      </c>
      <c r="AG901">
        <f t="shared" si="775"/>
        <v>0</v>
      </c>
      <c r="AH901">
        <f t="shared" si="798"/>
        <v>29.9</v>
      </c>
      <c r="AI901">
        <f t="shared" si="799"/>
        <v>0</v>
      </c>
      <c r="AJ901">
        <f t="shared" si="776"/>
        <v>0</v>
      </c>
      <c r="AK901">
        <v>1402.35</v>
      </c>
      <c r="AL901">
        <v>342.3</v>
      </c>
      <c r="AM901">
        <v>691.38</v>
      </c>
      <c r="AN901">
        <v>45.55</v>
      </c>
      <c r="AO901">
        <v>368.67</v>
      </c>
      <c r="AP901">
        <v>0</v>
      </c>
      <c r="AQ901">
        <v>29.9</v>
      </c>
      <c r="AR901">
        <v>0</v>
      </c>
      <c r="AS901">
        <v>0</v>
      </c>
      <c r="AT901">
        <v>79</v>
      </c>
      <c r="AU901">
        <v>41</v>
      </c>
      <c r="AV901">
        <v>1</v>
      </c>
      <c r="AW901">
        <v>1</v>
      </c>
      <c r="AZ901">
        <v>1</v>
      </c>
      <c r="BA901">
        <v>29.03</v>
      </c>
      <c r="BB901">
        <v>10.33</v>
      </c>
      <c r="BC901">
        <v>4.51</v>
      </c>
      <c r="BD901" t="s">
        <v>3</v>
      </c>
      <c r="BE901" t="s">
        <v>3</v>
      </c>
      <c r="BF901" t="s">
        <v>3</v>
      </c>
      <c r="BG901" t="s">
        <v>3</v>
      </c>
      <c r="BH901">
        <v>0</v>
      </c>
      <c r="BI901">
        <v>2</v>
      </c>
      <c r="BJ901" t="s">
        <v>686</v>
      </c>
      <c r="BM901">
        <v>331</v>
      </c>
      <c r="BN901">
        <v>0</v>
      </c>
      <c r="BO901" t="s">
        <v>684</v>
      </c>
      <c r="BP901">
        <v>1</v>
      </c>
      <c r="BQ901">
        <v>40</v>
      </c>
      <c r="BR901">
        <v>0</v>
      </c>
      <c r="BS901">
        <v>29.03</v>
      </c>
      <c r="BT901">
        <v>1</v>
      </c>
      <c r="BU901">
        <v>1</v>
      </c>
      <c r="BV901">
        <v>1</v>
      </c>
      <c r="BW901">
        <v>1</v>
      </c>
      <c r="BX901">
        <v>1</v>
      </c>
      <c r="BY901" t="s">
        <v>3</v>
      </c>
      <c r="BZ901">
        <v>79</v>
      </c>
      <c r="CA901">
        <v>41</v>
      </c>
      <c r="CB901" t="s">
        <v>3</v>
      </c>
      <c r="CE901">
        <v>30</v>
      </c>
      <c r="CF901">
        <v>0</v>
      </c>
      <c r="CG901">
        <v>0</v>
      </c>
      <c r="CM901">
        <v>0</v>
      </c>
      <c r="CN901" t="s">
        <v>3</v>
      </c>
      <c r="CO901">
        <v>0</v>
      </c>
      <c r="CP901">
        <f t="shared" si="777"/>
        <v>969.33999999999992</v>
      </c>
      <c r="CQ901">
        <f t="shared" si="778"/>
        <v>1543.77</v>
      </c>
      <c r="CR901">
        <f t="shared" si="800"/>
        <v>7141.96</v>
      </c>
      <c r="CS901">
        <f t="shared" si="779"/>
        <v>1322.32</v>
      </c>
      <c r="CT901">
        <f t="shared" si="780"/>
        <v>10702.49</v>
      </c>
      <c r="CU901">
        <f t="shared" si="781"/>
        <v>0</v>
      </c>
      <c r="CV901">
        <f t="shared" si="782"/>
        <v>29.9</v>
      </c>
      <c r="CW901">
        <f t="shared" si="783"/>
        <v>0</v>
      </c>
      <c r="CX901">
        <f t="shared" si="784"/>
        <v>0</v>
      </c>
      <c r="CY901">
        <f>S901*(BZ901/100)</f>
        <v>422.66579999999999</v>
      </c>
      <c r="CZ901">
        <f>S901*(CA901/100)</f>
        <v>219.35819999999998</v>
      </c>
      <c r="DC901" t="s">
        <v>3</v>
      </c>
      <c r="DD901" t="s">
        <v>3</v>
      </c>
      <c r="DE901" t="s">
        <v>3</v>
      </c>
      <c r="DF901" t="s">
        <v>3</v>
      </c>
      <c r="DG901" t="s">
        <v>3</v>
      </c>
      <c r="DH901" t="s">
        <v>3</v>
      </c>
      <c r="DI901" t="s">
        <v>3</v>
      </c>
      <c r="DJ901" t="s">
        <v>3</v>
      </c>
      <c r="DK901" t="s">
        <v>3</v>
      </c>
      <c r="DL901" t="s">
        <v>3</v>
      </c>
      <c r="DM901" t="s">
        <v>3</v>
      </c>
      <c r="DN901">
        <v>114</v>
      </c>
      <c r="DO901">
        <v>67</v>
      </c>
      <c r="DP901">
        <v>1</v>
      </c>
      <c r="DQ901">
        <v>1</v>
      </c>
      <c r="DU901">
        <v>1003</v>
      </c>
      <c r="DV901" t="s">
        <v>455</v>
      </c>
      <c r="DW901" t="s">
        <v>455</v>
      </c>
      <c r="DX901">
        <v>100</v>
      </c>
      <c r="DZ901" t="s">
        <v>3</v>
      </c>
      <c r="EA901" t="s">
        <v>3</v>
      </c>
      <c r="EB901" t="s">
        <v>3</v>
      </c>
      <c r="EC901" t="s">
        <v>3</v>
      </c>
      <c r="EE901">
        <v>126051792</v>
      </c>
      <c r="EF901">
        <v>40</v>
      </c>
      <c r="EG901" t="s">
        <v>621</v>
      </c>
      <c r="EH901">
        <v>0</v>
      </c>
      <c r="EI901" t="s">
        <v>3</v>
      </c>
      <c r="EJ901">
        <v>2</v>
      </c>
      <c r="EK901">
        <v>331</v>
      </c>
      <c r="EL901" t="s">
        <v>679</v>
      </c>
      <c r="EM901" t="s">
        <v>680</v>
      </c>
      <c r="EO901" t="s">
        <v>3</v>
      </c>
      <c r="EQ901">
        <v>131072</v>
      </c>
      <c r="ER901">
        <v>1402.35</v>
      </c>
      <c r="ES901">
        <v>342.3</v>
      </c>
      <c r="ET901">
        <v>691.38</v>
      </c>
      <c r="EU901">
        <v>45.55</v>
      </c>
      <c r="EV901">
        <v>368.67</v>
      </c>
      <c r="EW901">
        <v>29.9</v>
      </c>
      <c r="EX901">
        <v>0</v>
      </c>
      <c r="EY901">
        <v>0</v>
      </c>
      <c r="FQ901">
        <v>0</v>
      </c>
      <c r="FR901">
        <f t="shared" si="785"/>
        <v>0</v>
      </c>
      <c r="FS901">
        <v>0</v>
      </c>
      <c r="FX901">
        <v>114</v>
      </c>
      <c r="FY901">
        <v>67</v>
      </c>
      <c r="GA901" t="s">
        <v>3</v>
      </c>
      <c r="GD901">
        <v>0</v>
      </c>
      <c r="GF901">
        <v>-725271137</v>
      </c>
      <c r="GG901">
        <v>2</v>
      </c>
      <c r="GH901">
        <v>1</v>
      </c>
      <c r="GI901">
        <v>2</v>
      </c>
      <c r="GJ901">
        <v>0</v>
      </c>
      <c r="GK901">
        <f>ROUND(R901*(S12)/100,2)</f>
        <v>105.9</v>
      </c>
      <c r="GL901">
        <f t="shared" si="786"/>
        <v>0</v>
      </c>
      <c r="GM901">
        <f t="shared" si="787"/>
        <v>1717.27</v>
      </c>
      <c r="GN901">
        <f t="shared" si="788"/>
        <v>0</v>
      </c>
      <c r="GO901">
        <f t="shared" si="789"/>
        <v>1717.27</v>
      </c>
      <c r="GP901">
        <f t="shared" si="790"/>
        <v>0</v>
      </c>
      <c r="GR901">
        <v>0</v>
      </c>
      <c r="GS901">
        <v>3</v>
      </c>
      <c r="GT901">
        <v>0</v>
      </c>
      <c r="GU901" t="s">
        <v>3</v>
      </c>
      <c r="GV901">
        <f t="shared" si="791"/>
        <v>0</v>
      </c>
      <c r="GW901">
        <v>1</v>
      </c>
      <c r="GX901">
        <f t="shared" si="792"/>
        <v>0</v>
      </c>
      <c r="HA901">
        <v>0</v>
      </c>
      <c r="HB901">
        <v>0</v>
      </c>
      <c r="HC901">
        <f t="shared" si="793"/>
        <v>0</v>
      </c>
      <c r="HE901" t="s">
        <v>3</v>
      </c>
      <c r="HF901" t="s">
        <v>3</v>
      </c>
      <c r="HM901" t="s">
        <v>3</v>
      </c>
      <c r="HN901" t="s">
        <v>3</v>
      </c>
      <c r="HO901" t="s">
        <v>3</v>
      </c>
      <c r="HP901" t="s">
        <v>3</v>
      </c>
      <c r="HQ901" t="s">
        <v>3</v>
      </c>
      <c r="IK901">
        <v>0</v>
      </c>
    </row>
    <row r="902" spans="1:255" x14ac:dyDescent="0.2">
      <c r="A902" s="2">
        <v>18</v>
      </c>
      <c r="B902" s="2">
        <v>1</v>
      </c>
      <c r="C902" s="2">
        <v>764</v>
      </c>
      <c r="D902" s="2"/>
      <c r="E902" s="2" t="s">
        <v>195</v>
      </c>
      <c r="F902" s="2" t="s">
        <v>248</v>
      </c>
      <c r="G902" s="2" t="s">
        <v>775</v>
      </c>
      <c r="H902" s="2" t="s">
        <v>270</v>
      </c>
      <c r="I902" s="2">
        <f>I900*J902</f>
        <v>5.15</v>
      </c>
      <c r="J902" s="2">
        <v>103</v>
      </c>
      <c r="K902" s="2">
        <v>103</v>
      </c>
      <c r="L902" s="2"/>
      <c r="M902" s="2"/>
      <c r="N902" s="2"/>
      <c r="O902" s="2">
        <f t="shared" si="763"/>
        <v>98.37</v>
      </c>
      <c r="P902" s="2">
        <f t="shared" si="764"/>
        <v>98.37</v>
      </c>
      <c r="Q902" s="2">
        <f t="shared" si="794"/>
        <v>0</v>
      </c>
      <c r="R902" s="2">
        <f t="shared" si="765"/>
        <v>0</v>
      </c>
      <c r="S902" s="2">
        <f t="shared" si="766"/>
        <v>0</v>
      </c>
      <c r="T902" s="2">
        <f t="shared" si="767"/>
        <v>0</v>
      </c>
      <c r="U902" s="2">
        <f t="shared" si="768"/>
        <v>0</v>
      </c>
      <c r="V902" s="2">
        <f t="shared" si="769"/>
        <v>0</v>
      </c>
      <c r="W902" s="2">
        <f t="shared" si="770"/>
        <v>0</v>
      </c>
      <c r="X902" s="2">
        <f t="shared" si="771"/>
        <v>0</v>
      </c>
      <c r="Y902" s="2">
        <f t="shared" si="772"/>
        <v>0</v>
      </c>
      <c r="Z902" s="2"/>
      <c r="AA902" s="2">
        <v>129761636</v>
      </c>
      <c r="AB902" s="2">
        <f t="shared" si="773"/>
        <v>19.100000000000001</v>
      </c>
      <c r="AC902" s="2">
        <f t="shared" si="774"/>
        <v>19.100000000000001</v>
      </c>
      <c r="AD902" s="2">
        <f t="shared" si="795"/>
        <v>0</v>
      </c>
      <c r="AE902" s="2">
        <f t="shared" si="796"/>
        <v>0</v>
      </c>
      <c r="AF902" s="2">
        <f t="shared" si="797"/>
        <v>0</v>
      </c>
      <c r="AG902" s="2">
        <f t="shared" si="775"/>
        <v>0</v>
      </c>
      <c r="AH902" s="2">
        <f t="shared" si="798"/>
        <v>0</v>
      </c>
      <c r="AI902" s="2">
        <f t="shared" si="799"/>
        <v>0</v>
      </c>
      <c r="AJ902" s="2">
        <f t="shared" si="776"/>
        <v>0</v>
      </c>
      <c r="AK902" s="2">
        <v>19.100000000000001</v>
      </c>
      <c r="AL902" s="2">
        <v>19.100000000000001</v>
      </c>
      <c r="AM902" s="2">
        <v>0</v>
      </c>
      <c r="AN902" s="2">
        <v>0</v>
      </c>
      <c r="AO902" s="2">
        <v>0</v>
      </c>
      <c r="AP902" s="2">
        <v>0</v>
      </c>
      <c r="AQ902" s="2">
        <v>0</v>
      </c>
      <c r="AR902" s="2">
        <v>0</v>
      </c>
      <c r="AS902" s="2">
        <v>0</v>
      </c>
      <c r="AT902" s="2">
        <v>114</v>
      </c>
      <c r="AU902" s="2">
        <v>67</v>
      </c>
      <c r="AV902" s="2">
        <v>1</v>
      </c>
      <c r="AW902" s="2">
        <v>1</v>
      </c>
      <c r="AX902" s="2"/>
      <c r="AY902" s="2"/>
      <c r="AZ902" s="2">
        <v>1</v>
      </c>
      <c r="BA902" s="2">
        <v>1</v>
      </c>
      <c r="BB902" s="2">
        <v>1</v>
      </c>
      <c r="BC902" s="2">
        <v>1</v>
      </c>
      <c r="BD902" s="2" t="s">
        <v>3</v>
      </c>
      <c r="BE902" s="2" t="s">
        <v>3</v>
      </c>
      <c r="BF902" s="2" t="s">
        <v>3</v>
      </c>
      <c r="BG902" s="2" t="s">
        <v>3</v>
      </c>
      <c r="BH902" s="2">
        <v>3</v>
      </c>
      <c r="BI902" s="2">
        <v>2</v>
      </c>
      <c r="BJ902" s="2" t="s">
        <v>3</v>
      </c>
      <c r="BK902" s="2"/>
      <c r="BL902" s="2"/>
      <c r="BM902" s="2">
        <v>331</v>
      </c>
      <c r="BN902" s="2">
        <v>0</v>
      </c>
      <c r="BO902" s="2" t="s">
        <v>3</v>
      </c>
      <c r="BP902" s="2">
        <v>0</v>
      </c>
      <c r="BQ902" s="2">
        <v>40</v>
      </c>
      <c r="BR902" s="2">
        <v>0</v>
      </c>
      <c r="BS902" s="2">
        <v>1</v>
      </c>
      <c r="BT902" s="2">
        <v>1</v>
      </c>
      <c r="BU902" s="2">
        <v>1</v>
      </c>
      <c r="BV902" s="2">
        <v>1</v>
      </c>
      <c r="BW902" s="2">
        <v>1</v>
      </c>
      <c r="BX902" s="2">
        <v>1</v>
      </c>
      <c r="BY902" s="2" t="s">
        <v>3</v>
      </c>
      <c r="BZ902" s="2">
        <v>114</v>
      </c>
      <c r="CA902" s="2">
        <v>67</v>
      </c>
      <c r="CB902" s="2" t="s">
        <v>3</v>
      </c>
      <c r="CC902" s="2"/>
      <c r="CD902" s="2"/>
      <c r="CE902" s="2">
        <v>30</v>
      </c>
      <c r="CF902" s="2">
        <v>0</v>
      </c>
      <c r="CG902" s="2">
        <v>0</v>
      </c>
      <c r="CH902" s="2"/>
      <c r="CI902" s="2"/>
      <c r="CJ902" s="2"/>
      <c r="CK902" s="2"/>
      <c r="CL902" s="2"/>
      <c r="CM902" s="2">
        <v>0</v>
      </c>
      <c r="CN902" s="2" t="s">
        <v>3</v>
      </c>
      <c r="CO902" s="2">
        <v>0</v>
      </c>
      <c r="CP902" s="2">
        <f t="shared" si="777"/>
        <v>98.37</v>
      </c>
      <c r="CQ902" s="2">
        <f t="shared" si="778"/>
        <v>19.100000000000001</v>
      </c>
      <c r="CR902" s="2">
        <f t="shared" si="800"/>
        <v>0</v>
      </c>
      <c r="CS902" s="2">
        <f t="shared" si="779"/>
        <v>0</v>
      </c>
      <c r="CT902" s="2">
        <f t="shared" si="780"/>
        <v>0</v>
      </c>
      <c r="CU902" s="2">
        <f t="shared" si="781"/>
        <v>0</v>
      </c>
      <c r="CV902" s="2">
        <f t="shared" si="782"/>
        <v>0</v>
      </c>
      <c r="CW902" s="2">
        <f t="shared" si="783"/>
        <v>0</v>
      </c>
      <c r="CX902" s="2">
        <f t="shared" si="784"/>
        <v>0</v>
      </c>
      <c r="CY902" s="2">
        <f>((S902*BZ902)/100)</f>
        <v>0</v>
      </c>
      <c r="CZ902" s="2">
        <f>((S902*CA902)/100)</f>
        <v>0</v>
      </c>
      <c r="DA902" s="2"/>
      <c r="DB902" s="2"/>
      <c r="DC902" s="2" t="s">
        <v>3</v>
      </c>
      <c r="DD902" s="2" t="s">
        <v>3</v>
      </c>
      <c r="DE902" s="2" t="s">
        <v>3</v>
      </c>
      <c r="DF902" s="2" t="s">
        <v>3</v>
      </c>
      <c r="DG902" s="2" t="s">
        <v>3</v>
      </c>
      <c r="DH902" s="2" t="s">
        <v>3</v>
      </c>
      <c r="DI902" s="2" t="s">
        <v>3</v>
      </c>
      <c r="DJ902" s="2" t="s">
        <v>3</v>
      </c>
      <c r="DK902" s="2" t="s">
        <v>3</v>
      </c>
      <c r="DL902" s="2" t="s">
        <v>3</v>
      </c>
      <c r="DM902" s="2" t="s">
        <v>3</v>
      </c>
      <c r="DN902" s="2">
        <v>0</v>
      </c>
      <c r="DO902" s="2">
        <v>0</v>
      </c>
      <c r="DP902" s="2">
        <v>1</v>
      </c>
      <c r="DQ902" s="2">
        <v>1</v>
      </c>
      <c r="DR902" s="2"/>
      <c r="DS902" s="2"/>
      <c r="DT902" s="2"/>
      <c r="DU902" s="2">
        <v>1003</v>
      </c>
      <c r="DV902" s="2" t="s">
        <v>270</v>
      </c>
      <c r="DW902" s="2" t="s">
        <v>270</v>
      </c>
      <c r="DX902" s="2">
        <v>1</v>
      </c>
      <c r="DY902" s="2"/>
      <c r="DZ902" s="2" t="s">
        <v>3</v>
      </c>
      <c r="EA902" s="2" t="s">
        <v>3</v>
      </c>
      <c r="EB902" s="2" t="s">
        <v>3</v>
      </c>
      <c r="EC902" s="2" t="s">
        <v>3</v>
      </c>
      <c r="ED902" s="2"/>
      <c r="EE902" s="2">
        <v>126051792</v>
      </c>
      <c r="EF902" s="2">
        <v>40</v>
      </c>
      <c r="EG902" s="2" t="s">
        <v>621</v>
      </c>
      <c r="EH902" s="2">
        <v>0</v>
      </c>
      <c r="EI902" s="2" t="s">
        <v>3</v>
      </c>
      <c r="EJ902" s="2">
        <v>2</v>
      </c>
      <c r="EK902" s="2">
        <v>331</v>
      </c>
      <c r="EL902" s="2" t="s">
        <v>679</v>
      </c>
      <c r="EM902" s="2" t="s">
        <v>680</v>
      </c>
      <c r="EN902" s="2"/>
      <c r="EO902" s="2" t="s">
        <v>3</v>
      </c>
      <c r="EP902" s="2"/>
      <c r="EQ902" s="2">
        <v>0</v>
      </c>
      <c r="ER902" s="2">
        <v>19.100000000000001</v>
      </c>
      <c r="ES902" s="2">
        <v>19.100000000000001</v>
      </c>
      <c r="ET902" s="2">
        <v>0</v>
      </c>
      <c r="EU902" s="2">
        <v>0</v>
      </c>
      <c r="EV902" s="2">
        <v>0</v>
      </c>
      <c r="EW902" s="2">
        <v>0</v>
      </c>
      <c r="EX902" s="2">
        <v>0</v>
      </c>
      <c r="EY902" s="2"/>
      <c r="EZ902" s="2"/>
      <c r="FA902" s="2"/>
      <c r="FB902" s="2"/>
      <c r="FC902" s="2"/>
      <c r="FD902" s="2"/>
      <c r="FE902" s="2"/>
      <c r="FF902" s="2"/>
      <c r="FG902" s="2"/>
      <c r="FH902" s="2"/>
      <c r="FI902" s="2"/>
      <c r="FJ902" s="2"/>
      <c r="FK902" s="2"/>
      <c r="FL902" s="2"/>
      <c r="FM902" s="2"/>
      <c r="FN902" s="2"/>
      <c r="FO902" s="2"/>
      <c r="FP902" s="2"/>
      <c r="FQ902" s="2">
        <v>0</v>
      </c>
      <c r="FR902" s="2">
        <f t="shared" si="785"/>
        <v>0</v>
      </c>
      <c r="FS902" s="2">
        <v>0</v>
      </c>
      <c r="FT902" s="2"/>
      <c r="FU902" s="2"/>
      <c r="FV902" s="2"/>
      <c r="FW902" s="2"/>
      <c r="FX902" s="2">
        <v>114</v>
      </c>
      <c r="FY902" s="2">
        <v>67</v>
      </c>
      <c r="FZ902" s="2"/>
      <c r="GA902" s="2" t="s">
        <v>3</v>
      </c>
      <c r="GB902" s="2"/>
      <c r="GC902" s="2"/>
      <c r="GD902" s="2">
        <v>0</v>
      </c>
      <c r="GE902" s="2"/>
      <c r="GF902" s="2">
        <v>-473689300</v>
      </c>
      <c r="GG902" s="2">
        <v>2</v>
      </c>
      <c r="GH902" s="2">
        <v>0</v>
      </c>
      <c r="GI902" s="2">
        <v>-2</v>
      </c>
      <c r="GJ902" s="2">
        <v>0</v>
      </c>
      <c r="GK902" s="2">
        <f>ROUND(R902*(R12)/100,2)</f>
        <v>0</v>
      </c>
      <c r="GL902" s="2">
        <f t="shared" si="786"/>
        <v>0</v>
      </c>
      <c r="GM902" s="2">
        <f t="shared" si="787"/>
        <v>98.37</v>
      </c>
      <c r="GN902" s="2">
        <f t="shared" si="788"/>
        <v>0</v>
      </c>
      <c r="GO902" s="2">
        <f t="shared" si="789"/>
        <v>98.37</v>
      </c>
      <c r="GP902" s="2">
        <f t="shared" si="790"/>
        <v>0</v>
      </c>
      <c r="GQ902" s="2"/>
      <c r="GR902" s="2">
        <v>0</v>
      </c>
      <c r="GS902" s="2">
        <v>0</v>
      </c>
      <c r="GT902" s="2">
        <v>0</v>
      </c>
      <c r="GU902" s="2" t="s">
        <v>3</v>
      </c>
      <c r="GV902" s="2">
        <f t="shared" si="791"/>
        <v>0</v>
      </c>
      <c r="GW902" s="2">
        <v>1</v>
      </c>
      <c r="GX902" s="2">
        <f t="shared" si="792"/>
        <v>0</v>
      </c>
      <c r="GY902" s="2"/>
      <c r="GZ902" s="2"/>
      <c r="HA902" s="2">
        <v>0</v>
      </c>
      <c r="HB902" s="2">
        <v>0</v>
      </c>
      <c r="HC902" s="2">
        <f t="shared" si="793"/>
        <v>0</v>
      </c>
      <c r="HD902" s="2"/>
      <c r="HE902" s="2" t="s">
        <v>3</v>
      </c>
      <c r="HF902" s="2" t="s">
        <v>3</v>
      </c>
      <c r="HG902" s="2"/>
      <c r="HH902" s="2"/>
      <c r="HI902" s="2"/>
      <c r="HJ902" s="2"/>
      <c r="HK902" s="2"/>
      <c r="HL902" s="2"/>
      <c r="HM902" s="2" t="s">
        <v>3</v>
      </c>
      <c r="HN902" s="2" t="s">
        <v>3</v>
      </c>
      <c r="HO902" s="2" t="s">
        <v>3</v>
      </c>
      <c r="HP902" s="2" t="s">
        <v>3</v>
      </c>
      <c r="HQ902" s="2" t="s">
        <v>3</v>
      </c>
      <c r="HR902" s="2"/>
      <c r="HS902" s="2"/>
      <c r="HT902" s="2"/>
      <c r="HU902" s="2"/>
      <c r="HV902" s="2"/>
      <c r="HW902" s="2"/>
      <c r="HX902" s="2"/>
      <c r="HY902" s="2"/>
      <c r="HZ902" s="2"/>
      <c r="IA902" s="2"/>
      <c r="IB902" s="2"/>
      <c r="IC902" s="2"/>
      <c r="ID902" s="2"/>
      <c r="IE902" s="2"/>
      <c r="IF902" s="2"/>
      <c r="IG902" s="2"/>
      <c r="IH902" s="2"/>
      <c r="II902" s="2"/>
      <c r="IJ902" s="2"/>
      <c r="IK902" s="2">
        <v>0</v>
      </c>
      <c r="IL902" s="2"/>
      <c r="IM902" s="2"/>
      <c r="IN902" s="2"/>
      <c r="IO902" s="2"/>
      <c r="IP902" s="2"/>
      <c r="IQ902" s="2"/>
      <c r="IR902" s="2"/>
      <c r="IS902" s="2"/>
      <c r="IT902" s="2"/>
      <c r="IU902" s="2"/>
    </row>
    <row r="903" spans="1:255" x14ac:dyDescent="0.2">
      <c r="A903">
        <v>18</v>
      </c>
      <c r="B903">
        <v>1</v>
      </c>
      <c r="C903">
        <v>766</v>
      </c>
      <c r="E903" t="s">
        <v>195</v>
      </c>
      <c r="F903" t="s">
        <v>248</v>
      </c>
      <c r="G903" t="s">
        <v>775</v>
      </c>
      <c r="H903" t="s">
        <v>270</v>
      </c>
      <c r="I903">
        <f>I901*J903</f>
        <v>5.15</v>
      </c>
      <c r="J903">
        <v>103</v>
      </c>
      <c r="K903">
        <v>103</v>
      </c>
      <c r="O903">
        <f t="shared" si="763"/>
        <v>652.21</v>
      </c>
      <c r="P903">
        <f t="shared" si="764"/>
        <v>652.21</v>
      </c>
      <c r="Q903">
        <f t="shared" si="794"/>
        <v>0</v>
      </c>
      <c r="R903">
        <f t="shared" si="765"/>
        <v>0</v>
      </c>
      <c r="S903">
        <f t="shared" si="766"/>
        <v>0</v>
      </c>
      <c r="T903">
        <f t="shared" si="767"/>
        <v>0</v>
      </c>
      <c r="U903">
        <f t="shared" si="768"/>
        <v>0</v>
      </c>
      <c r="V903">
        <f t="shared" si="769"/>
        <v>0</v>
      </c>
      <c r="W903">
        <f t="shared" si="770"/>
        <v>0</v>
      </c>
      <c r="X903">
        <f t="shared" si="771"/>
        <v>0</v>
      </c>
      <c r="Y903">
        <f t="shared" si="772"/>
        <v>0</v>
      </c>
      <c r="AA903">
        <v>129761633</v>
      </c>
      <c r="AB903">
        <f t="shared" si="773"/>
        <v>14.64</v>
      </c>
      <c r="AC903">
        <f t="shared" si="774"/>
        <v>14.64</v>
      </c>
      <c r="AD903">
        <f t="shared" si="795"/>
        <v>0</v>
      </c>
      <c r="AE903">
        <f t="shared" si="796"/>
        <v>0</v>
      </c>
      <c r="AF903">
        <f t="shared" si="797"/>
        <v>0</v>
      </c>
      <c r="AG903">
        <f t="shared" si="775"/>
        <v>0</v>
      </c>
      <c r="AH903">
        <f t="shared" si="798"/>
        <v>0</v>
      </c>
      <c r="AI903">
        <f t="shared" si="799"/>
        <v>0</v>
      </c>
      <c r="AJ903">
        <f t="shared" si="776"/>
        <v>0</v>
      </c>
      <c r="AK903">
        <v>14.639999999999999</v>
      </c>
      <c r="AL903">
        <v>14.639999999999999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1</v>
      </c>
      <c r="AW903">
        <v>1</v>
      </c>
      <c r="AZ903">
        <v>1</v>
      </c>
      <c r="BA903">
        <v>1</v>
      </c>
      <c r="BB903">
        <v>1</v>
      </c>
      <c r="BC903">
        <v>8.65</v>
      </c>
      <c r="BD903" t="s">
        <v>3</v>
      </c>
      <c r="BE903" t="s">
        <v>3</v>
      </c>
      <c r="BF903" t="s">
        <v>3</v>
      </c>
      <c r="BG903" t="s">
        <v>3</v>
      </c>
      <c r="BH903">
        <v>3</v>
      </c>
      <c r="BI903">
        <v>2</v>
      </c>
      <c r="BJ903" t="s">
        <v>3</v>
      </c>
      <c r="BM903">
        <v>331</v>
      </c>
      <c r="BN903">
        <v>0</v>
      </c>
      <c r="BO903" t="s">
        <v>3</v>
      </c>
      <c r="BP903">
        <v>0</v>
      </c>
      <c r="BQ903">
        <v>40</v>
      </c>
      <c r="BR903">
        <v>0</v>
      </c>
      <c r="BS903">
        <v>1</v>
      </c>
      <c r="BT903">
        <v>1</v>
      </c>
      <c r="BU903">
        <v>1</v>
      </c>
      <c r="BV903">
        <v>1</v>
      </c>
      <c r="BW903">
        <v>1</v>
      </c>
      <c r="BX903">
        <v>1</v>
      </c>
      <c r="BY903" t="s">
        <v>3</v>
      </c>
      <c r="BZ903">
        <v>0</v>
      </c>
      <c r="CA903">
        <v>0</v>
      </c>
      <c r="CB903" t="s">
        <v>3</v>
      </c>
      <c r="CE903">
        <v>30</v>
      </c>
      <c r="CF903">
        <v>0</v>
      </c>
      <c r="CG903">
        <v>0</v>
      </c>
      <c r="CM903">
        <v>0</v>
      </c>
      <c r="CN903" t="s">
        <v>3</v>
      </c>
      <c r="CO903">
        <v>0</v>
      </c>
      <c r="CP903">
        <f t="shared" si="777"/>
        <v>652.21</v>
      </c>
      <c r="CQ903">
        <f t="shared" si="778"/>
        <v>126.64</v>
      </c>
      <c r="CR903">
        <f t="shared" si="800"/>
        <v>0</v>
      </c>
      <c r="CS903">
        <f t="shared" si="779"/>
        <v>0</v>
      </c>
      <c r="CT903">
        <f t="shared" si="780"/>
        <v>0</v>
      </c>
      <c r="CU903">
        <f t="shared" si="781"/>
        <v>0</v>
      </c>
      <c r="CV903">
        <f t="shared" si="782"/>
        <v>0</v>
      </c>
      <c r="CW903">
        <f t="shared" si="783"/>
        <v>0</v>
      </c>
      <c r="CX903">
        <f t="shared" si="784"/>
        <v>0</v>
      </c>
      <c r="CY903">
        <f>S903*(BZ903/100)</f>
        <v>0</v>
      </c>
      <c r="CZ903">
        <f>S903*(CA903/100)</f>
        <v>0</v>
      </c>
      <c r="DC903" t="s">
        <v>3</v>
      </c>
      <c r="DD903" t="s">
        <v>3</v>
      </c>
      <c r="DE903" t="s">
        <v>3</v>
      </c>
      <c r="DF903" t="s">
        <v>3</v>
      </c>
      <c r="DG903" t="s">
        <v>3</v>
      </c>
      <c r="DH903" t="s">
        <v>3</v>
      </c>
      <c r="DI903" t="s">
        <v>3</v>
      </c>
      <c r="DJ903" t="s">
        <v>3</v>
      </c>
      <c r="DK903" t="s">
        <v>3</v>
      </c>
      <c r="DL903" t="s">
        <v>3</v>
      </c>
      <c r="DM903" t="s">
        <v>3</v>
      </c>
      <c r="DN903">
        <v>114</v>
      </c>
      <c r="DO903">
        <v>67</v>
      </c>
      <c r="DP903">
        <v>1</v>
      </c>
      <c r="DQ903">
        <v>1</v>
      </c>
      <c r="DU903">
        <v>1003</v>
      </c>
      <c r="DV903" t="s">
        <v>270</v>
      </c>
      <c r="DW903" t="s">
        <v>270</v>
      </c>
      <c r="DX903">
        <v>1</v>
      </c>
      <c r="DZ903" t="s">
        <v>3</v>
      </c>
      <c r="EA903" t="s">
        <v>3</v>
      </c>
      <c r="EB903" t="s">
        <v>3</v>
      </c>
      <c r="EC903" t="s">
        <v>3</v>
      </c>
      <c r="EE903">
        <v>126051792</v>
      </c>
      <c r="EF903">
        <v>40</v>
      </c>
      <c r="EG903" t="s">
        <v>621</v>
      </c>
      <c r="EH903">
        <v>0</v>
      </c>
      <c r="EI903" t="s">
        <v>3</v>
      </c>
      <c r="EJ903">
        <v>2</v>
      </c>
      <c r="EK903">
        <v>331</v>
      </c>
      <c r="EL903" t="s">
        <v>679</v>
      </c>
      <c r="EM903" t="s">
        <v>680</v>
      </c>
      <c r="EO903" t="s">
        <v>3</v>
      </c>
      <c r="EQ903">
        <v>0</v>
      </c>
      <c r="ER903">
        <v>19.100000000000001</v>
      </c>
      <c r="ES903">
        <v>14.639999999999999</v>
      </c>
      <c r="ET903">
        <v>0</v>
      </c>
      <c r="EU903">
        <v>0</v>
      </c>
      <c r="EV903">
        <v>0</v>
      </c>
      <c r="EW903">
        <v>0</v>
      </c>
      <c r="EX903">
        <v>0</v>
      </c>
      <c r="EZ903">
        <v>5</v>
      </c>
      <c r="FC903">
        <v>1</v>
      </c>
      <c r="FD903">
        <v>18</v>
      </c>
      <c r="FF903">
        <v>149</v>
      </c>
      <c r="FQ903">
        <v>0</v>
      </c>
      <c r="FR903">
        <f t="shared" si="785"/>
        <v>0</v>
      </c>
      <c r="FS903">
        <v>0</v>
      </c>
      <c r="FX903">
        <v>114</v>
      </c>
      <c r="FY903">
        <v>67</v>
      </c>
      <c r="GA903" t="s">
        <v>776</v>
      </c>
      <c r="GD903">
        <v>0</v>
      </c>
      <c r="GF903">
        <v>-473689300</v>
      </c>
      <c r="GG903">
        <v>2</v>
      </c>
      <c r="GH903">
        <v>3</v>
      </c>
      <c r="GI903">
        <v>5</v>
      </c>
      <c r="GJ903">
        <v>0</v>
      </c>
      <c r="GK903">
        <f>ROUND(R903*(S12)/100,2)</f>
        <v>0</v>
      </c>
      <c r="GL903">
        <f t="shared" si="786"/>
        <v>0</v>
      </c>
      <c r="GM903">
        <f t="shared" si="787"/>
        <v>652.21</v>
      </c>
      <c r="GN903">
        <f t="shared" si="788"/>
        <v>0</v>
      </c>
      <c r="GO903">
        <f t="shared" si="789"/>
        <v>652.21</v>
      </c>
      <c r="GP903">
        <f t="shared" si="790"/>
        <v>0</v>
      </c>
      <c r="GR903">
        <v>1</v>
      </c>
      <c r="GS903">
        <v>1</v>
      </c>
      <c r="GT903">
        <v>0</v>
      </c>
      <c r="GU903" t="s">
        <v>3</v>
      </c>
      <c r="GV903">
        <f t="shared" si="791"/>
        <v>0</v>
      </c>
      <c r="GW903">
        <v>1</v>
      </c>
      <c r="GX903">
        <f t="shared" si="792"/>
        <v>0</v>
      </c>
      <c r="HA903">
        <v>0</v>
      </c>
      <c r="HB903">
        <v>0</v>
      </c>
      <c r="HC903">
        <f t="shared" si="793"/>
        <v>0</v>
      </c>
      <c r="HE903" t="s">
        <v>81</v>
      </c>
      <c r="HF903" t="s">
        <v>252</v>
      </c>
      <c r="HM903" t="s">
        <v>3</v>
      </c>
      <c r="HN903" t="s">
        <v>3</v>
      </c>
      <c r="HO903" t="s">
        <v>3</v>
      </c>
      <c r="HP903" t="s">
        <v>3</v>
      </c>
      <c r="HQ903" t="s">
        <v>3</v>
      </c>
      <c r="IK903">
        <v>0</v>
      </c>
    </row>
    <row r="904" spans="1:255" x14ac:dyDescent="0.2">
      <c r="A904" s="2">
        <v>17</v>
      </c>
      <c r="B904" s="2">
        <v>1</v>
      </c>
      <c r="C904" s="2">
        <f>ROW(SmtRes!A768)</f>
        <v>768</v>
      </c>
      <c r="D904" s="2">
        <f>ROW(EtalonRes!A747)</f>
        <v>747</v>
      </c>
      <c r="E904" s="2" t="s">
        <v>196</v>
      </c>
      <c r="F904" s="2" t="s">
        <v>699</v>
      </c>
      <c r="G904" s="2" t="s">
        <v>700</v>
      </c>
      <c r="H904" s="2" t="s">
        <v>455</v>
      </c>
      <c r="I904" s="2">
        <v>0.05</v>
      </c>
      <c r="J904" s="2">
        <v>0</v>
      </c>
      <c r="K904" s="2">
        <v>0.05</v>
      </c>
      <c r="L904" s="2"/>
      <c r="M904" s="2"/>
      <c r="N904" s="2"/>
      <c r="O904" s="2">
        <f t="shared" si="763"/>
        <v>4.3899999999999997</v>
      </c>
      <c r="P904" s="2">
        <f t="shared" si="764"/>
        <v>0.5</v>
      </c>
      <c r="Q904" s="2">
        <f t="shared" si="794"/>
        <v>0.08</v>
      </c>
      <c r="R904" s="2">
        <f t="shared" si="765"/>
        <v>0.02</v>
      </c>
      <c r="S904" s="2">
        <f t="shared" si="766"/>
        <v>3.81</v>
      </c>
      <c r="T904" s="2">
        <f t="shared" si="767"/>
        <v>0</v>
      </c>
      <c r="U904" s="2">
        <f t="shared" si="768"/>
        <v>0.309</v>
      </c>
      <c r="V904" s="2">
        <f t="shared" si="769"/>
        <v>0</v>
      </c>
      <c r="W904" s="2">
        <f t="shared" si="770"/>
        <v>0</v>
      </c>
      <c r="X904" s="2">
        <f t="shared" si="771"/>
        <v>4.34</v>
      </c>
      <c r="Y904" s="2">
        <f t="shared" si="772"/>
        <v>2.5499999999999998</v>
      </c>
      <c r="Z904" s="2"/>
      <c r="AA904" s="2">
        <v>129761636</v>
      </c>
      <c r="AB904" s="2">
        <f t="shared" si="773"/>
        <v>87.83</v>
      </c>
      <c r="AC904" s="2">
        <f t="shared" si="774"/>
        <v>9.94</v>
      </c>
      <c r="AD904" s="2">
        <f t="shared" si="795"/>
        <v>1.69</v>
      </c>
      <c r="AE904" s="2">
        <f t="shared" si="796"/>
        <v>0.39</v>
      </c>
      <c r="AF904" s="2">
        <f t="shared" si="797"/>
        <v>76.2</v>
      </c>
      <c r="AG904" s="2">
        <f t="shared" si="775"/>
        <v>0</v>
      </c>
      <c r="AH904" s="2">
        <f t="shared" si="798"/>
        <v>6.18</v>
      </c>
      <c r="AI904" s="2">
        <f t="shared" si="799"/>
        <v>0</v>
      </c>
      <c r="AJ904" s="2">
        <f t="shared" si="776"/>
        <v>0</v>
      </c>
      <c r="AK904" s="2">
        <v>87.83</v>
      </c>
      <c r="AL904" s="2">
        <v>9.94</v>
      </c>
      <c r="AM904" s="2">
        <v>1.69</v>
      </c>
      <c r="AN904" s="2">
        <v>0.39</v>
      </c>
      <c r="AO904" s="2">
        <v>76.2</v>
      </c>
      <c r="AP904" s="2">
        <v>0</v>
      </c>
      <c r="AQ904" s="2">
        <v>6.18</v>
      </c>
      <c r="AR904" s="2">
        <v>0</v>
      </c>
      <c r="AS904" s="2">
        <v>0</v>
      </c>
      <c r="AT904" s="2">
        <v>114</v>
      </c>
      <c r="AU904" s="2">
        <v>67</v>
      </c>
      <c r="AV904" s="2">
        <v>1</v>
      </c>
      <c r="AW904" s="2">
        <v>1</v>
      </c>
      <c r="AX904" s="2"/>
      <c r="AY904" s="2"/>
      <c r="AZ904" s="2">
        <v>1</v>
      </c>
      <c r="BA904" s="2">
        <v>1</v>
      </c>
      <c r="BB904" s="2">
        <v>1</v>
      </c>
      <c r="BC904" s="2">
        <v>1</v>
      </c>
      <c r="BD904" s="2" t="s">
        <v>3</v>
      </c>
      <c r="BE904" s="2" t="s">
        <v>3</v>
      </c>
      <c r="BF904" s="2" t="s">
        <v>3</v>
      </c>
      <c r="BG904" s="2" t="s">
        <v>3</v>
      </c>
      <c r="BH904" s="2">
        <v>0</v>
      </c>
      <c r="BI904" s="2">
        <v>2</v>
      </c>
      <c r="BJ904" s="2" t="s">
        <v>701</v>
      </c>
      <c r="BK904" s="2"/>
      <c r="BL904" s="2"/>
      <c r="BM904" s="2">
        <v>331</v>
      </c>
      <c r="BN904" s="2">
        <v>0</v>
      </c>
      <c r="BO904" s="2" t="s">
        <v>3</v>
      </c>
      <c r="BP904" s="2">
        <v>0</v>
      </c>
      <c r="BQ904" s="2">
        <v>40</v>
      </c>
      <c r="BR904" s="2">
        <v>0</v>
      </c>
      <c r="BS904" s="2">
        <v>1</v>
      </c>
      <c r="BT904" s="2">
        <v>1</v>
      </c>
      <c r="BU904" s="2">
        <v>1</v>
      </c>
      <c r="BV904" s="2">
        <v>1</v>
      </c>
      <c r="BW904" s="2">
        <v>1</v>
      </c>
      <c r="BX904" s="2">
        <v>1</v>
      </c>
      <c r="BY904" s="2" t="s">
        <v>3</v>
      </c>
      <c r="BZ904" s="2">
        <v>114</v>
      </c>
      <c r="CA904" s="2">
        <v>67</v>
      </c>
      <c r="CB904" s="2" t="s">
        <v>3</v>
      </c>
      <c r="CC904" s="2"/>
      <c r="CD904" s="2"/>
      <c r="CE904" s="2">
        <v>30</v>
      </c>
      <c r="CF904" s="2">
        <v>0</v>
      </c>
      <c r="CG904" s="2">
        <v>0</v>
      </c>
      <c r="CH904" s="2"/>
      <c r="CI904" s="2"/>
      <c r="CJ904" s="2"/>
      <c r="CK904" s="2"/>
      <c r="CL904" s="2"/>
      <c r="CM904" s="2">
        <v>0</v>
      </c>
      <c r="CN904" s="2" t="s">
        <v>3</v>
      </c>
      <c r="CO904" s="2">
        <v>0</v>
      </c>
      <c r="CP904" s="2">
        <f t="shared" si="777"/>
        <v>4.3899999999999997</v>
      </c>
      <c r="CQ904" s="2">
        <f t="shared" si="778"/>
        <v>9.94</v>
      </c>
      <c r="CR904" s="2">
        <f t="shared" si="800"/>
        <v>1.69</v>
      </c>
      <c r="CS904" s="2">
        <f t="shared" si="779"/>
        <v>0.39</v>
      </c>
      <c r="CT904" s="2">
        <f t="shared" si="780"/>
        <v>76.2</v>
      </c>
      <c r="CU904" s="2">
        <f t="shared" si="781"/>
        <v>0</v>
      </c>
      <c r="CV904" s="2">
        <f t="shared" si="782"/>
        <v>6.18</v>
      </c>
      <c r="CW904" s="2">
        <f t="shared" si="783"/>
        <v>0</v>
      </c>
      <c r="CX904" s="2">
        <f t="shared" si="784"/>
        <v>0</v>
      </c>
      <c r="CY904" s="2">
        <f>((S904*BZ904)/100)</f>
        <v>4.3433999999999999</v>
      </c>
      <c r="CZ904" s="2">
        <f>((S904*CA904)/100)</f>
        <v>2.5527000000000002</v>
      </c>
      <c r="DA904" s="2"/>
      <c r="DB904" s="2"/>
      <c r="DC904" s="2" t="s">
        <v>3</v>
      </c>
      <c r="DD904" s="2" t="s">
        <v>3</v>
      </c>
      <c r="DE904" s="2" t="s">
        <v>3</v>
      </c>
      <c r="DF904" s="2" t="s">
        <v>3</v>
      </c>
      <c r="DG904" s="2" t="s">
        <v>3</v>
      </c>
      <c r="DH904" s="2" t="s">
        <v>3</v>
      </c>
      <c r="DI904" s="2" t="s">
        <v>3</v>
      </c>
      <c r="DJ904" s="2" t="s">
        <v>3</v>
      </c>
      <c r="DK904" s="2" t="s">
        <v>3</v>
      </c>
      <c r="DL904" s="2" t="s">
        <v>3</v>
      </c>
      <c r="DM904" s="2" t="s">
        <v>3</v>
      </c>
      <c r="DN904" s="2">
        <v>0</v>
      </c>
      <c r="DO904" s="2">
        <v>0</v>
      </c>
      <c r="DP904" s="2">
        <v>1</v>
      </c>
      <c r="DQ904" s="2">
        <v>1</v>
      </c>
      <c r="DR904" s="2"/>
      <c r="DS904" s="2"/>
      <c r="DT904" s="2"/>
      <c r="DU904" s="2">
        <v>1003</v>
      </c>
      <c r="DV904" s="2" t="s">
        <v>455</v>
      </c>
      <c r="DW904" s="2" t="s">
        <v>455</v>
      </c>
      <c r="DX904" s="2">
        <v>100</v>
      </c>
      <c r="DY904" s="2"/>
      <c r="DZ904" s="2" t="s">
        <v>3</v>
      </c>
      <c r="EA904" s="2" t="s">
        <v>3</v>
      </c>
      <c r="EB904" s="2" t="s">
        <v>3</v>
      </c>
      <c r="EC904" s="2" t="s">
        <v>3</v>
      </c>
      <c r="ED904" s="2"/>
      <c r="EE904" s="2">
        <v>126051792</v>
      </c>
      <c r="EF904" s="2">
        <v>40</v>
      </c>
      <c r="EG904" s="2" t="s">
        <v>621</v>
      </c>
      <c r="EH904" s="2">
        <v>0</v>
      </c>
      <c r="EI904" s="2" t="s">
        <v>3</v>
      </c>
      <c r="EJ904" s="2">
        <v>2</v>
      </c>
      <c r="EK904" s="2">
        <v>331</v>
      </c>
      <c r="EL904" s="2" t="s">
        <v>679</v>
      </c>
      <c r="EM904" s="2" t="s">
        <v>680</v>
      </c>
      <c r="EN904" s="2"/>
      <c r="EO904" s="2" t="s">
        <v>3</v>
      </c>
      <c r="EP904" s="2"/>
      <c r="EQ904" s="2">
        <v>131072</v>
      </c>
      <c r="ER904" s="2">
        <v>87.83</v>
      </c>
      <c r="ES904" s="2">
        <v>9.94</v>
      </c>
      <c r="ET904" s="2">
        <v>1.69</v>
      </c>
      <c r="EU904" s="2">
        <v>0.39</v>
      </c>
      <c r="EV904" s="2">
        <v>76.2</v>
      </c>
      <c r="EW904" s="2">
        <v>6.18</v>
      </c>
      <c r="EX904" s="2">
        <v>0</v>
      </c>
      <c r="EY904" s="2">
        <v>0</v>
      </c>
      <c r="EZ904" s="2"/>
      <c r="FA904" s="2"/>
      <c r="FB904" s="2"/>
      <c r="FC904" s="2"/>
      <c r="FD904" s="2"/>
      <c r="FE904" s="2"/>
      <c r="FF904" s="2"/>
      <c r="FG904" s="2"/>
      <c r="FH904" s="2"/>
      <c r="FI904" s="2"/>
      <c r="FJ904" s="2"/>
      <c r="FK904" s="2"/>
      <c r="FL904" s="2"/>
      <c r="FM904" s="2"/>
      <c r="FN904" s="2"/>
      <c r="FO904" s="2"/>
      <c r="FP904" s="2"/>
      <c r="FQ904" s="2">
        <v>0</v>
      </c>
      <c r="FR904" s="2">
        <f t="shared" si="785"/>
        <v>0</v>
      </c>
      <c r="FS904" s="2">
        <v>0</v>
      </c>
      <c r="FT904" s="2"/>
      <c r="FU904" s="2"/>
      <c r="FV904" s="2"/>
      <c r="FW904" s="2"/>
      <c r="FX904" s="2">
        <v>114</v>
      </c>
      <c r="FY904" s="2">
        <v>67</v>
      </c>
      <c r="FZ904" s="2"/>
      <c r="GA904" s="2" t="s">
        <v>3</v>
      </c>
      <c r="GB904" s="2"/>
      <c r="GC904" s="2"/>
      <c r="GD904" s="2">
        <v>0</v>
      </c>
      <c r="GE904" s="2"/>
      <c r="GF904" s="2">
        <v>-1874974313</v>
      </c>
      <c r="GG904" s="2">
        <v>2</v>
      </c>
      <c r="GH904" s="2">
        <v>1</v>
      </c>
      <c r="GI904" s="2">
        <v>-2</v>
      </c>
      <c r="GJ904" s="2">
        <v>0</v>
      </c>
      <c r="GK904" s="2">
        <f>ROUND(R904*(R12)/100,2)</f>
        <v>0.04</v>
      </c>
      <c r="GL904" s="2">
        <f t="shared" si="786"/>
        <v>0</v>
      </c>
      <c r="GM904" s="2">
        <f t="shared" si="787"/>
        <v>11.32</v>
      </c>
      <c r="GN904" s="2">
        <f t="shared" si="788"/>
        <v>0</v>
      </c>
      <c r="GO904" s="2">
        <f t="shared" si="789"/>
        <v>11.32</v>
      </c>
      <c r="GP904" s="2">
        <f t="shared" si="790"/>
        <v>0</v>
      </c>
      <c r="GQ904" s="2"/>
      <c r="GR904" s="2">
        <v>0</v>
      </c>
      <c r="GS904" s="2">
        <v>0</v>
      </c>
      <c r="GT904" s="2">
        <v>0</v>
      </c>
      <c r="GU904" s="2" t="s">
        <v>3</v>
      </c>
      <c r="GV904" s="2">
        <f t="shared" si="791"/>
        <v>0</v>
      </c>
      <c r="GW904" s="2">
        <v>1</v>
      </c>
      <c r="GX904" s="2">
        <f t="shared" si="792"/>
        <v>0</v>
      </c>
      <c r="GY904" s="2"/>
      <c r="GZ904" s="2"/>
      <c r="HA904" s="2">
        <v>0</v>
      </c>
      <c r="HB904" s="2">
        <v>0</v>
      </c>
      <c r="HC904" s="2">
        <f t="shared" si="793"/>
        <v>0</v>
      </c>
      <c r="HD904" s="2"/>
      <c r="HE904" s="2" t="s">
        <v>3</v>
      </c>
      <c r="HF904" s="2" t="s">
        <v>3</v>
      </c>
      <c r="HG904" s="2"/>
      <c r="HH904" s="2"/>
      <c r="HI904" s="2"/>
      <c r="HJ904" s="2"/>
      <c r="HK904" s="2"/>
      <c r="HL904" s="2"/>
      <c r="HM904" s="2" t="s">
        <v>3</v>
      </c>
      <c r="HN904" s="2" t="s">
        <v>3</v>
      </c>
      <c r="HO904" s="2" t="s">
        <v>3</v>
      </c>
      <c r="HP904" s="2" t="s">
        <v>3</v>
      </c>
      <c r="HQ904" s="2" t="s">
        <v>3</v>
      </c>
      <c r="HR904" s="2"/>
      <c r="HS904" s="2"/>
      <c r="HT904" s="2"/>
      <c r="HU904" s="2"/>
      <c r="HV904" s="2"/>
      <c r="HW904" s="2"/>
      <c r="HX904" s="2"/>
      <c r="HY904" s="2"/>
      <c r="HZ904" s="2"/>
      <c r="IA904" s="2"/>
      <c r="IB904" s="2"/>
      <c r="IC904" s="2"/>
      <c r="ID904" s="2"/>
      <c r="IE904" s="2"/>
      <c r="IF904" s="2"/>
      <c r="IG904" s="2"/>
      <c r="IH904" s="2"/>
      <c r="II904" s="2"/>
      <c r="IJ904" s="2"/>
      <c r="IK904" s="2">
        <v>0</v>
      </c>
      <c r="IL904" s="2"/>
      <c r="IM904" s="2"/>
      <c r="IN904" s="2"/>
      <c r="IO904" s="2"/>
      <c r="IP904" s="2"/>
      <c r="IQ904" s="2"/>
      <c r="IR904" s="2"/>
      <c r="IS904" s="2"/>
      <c r="IT904" s="2"/>
      <c r="IU904" s="2"/>
    </row>
    <row r="905" spans="1:255" x14ac:dyDescent="0.2">
      <c r="A905">
        <v>17</v>
      </c>
      <c r="B905">
        <v>1</v>
      </c>
      <c r="C905">
        <f>ROW(SmtRes!A770)</f>
        <v>770</v>
      </c>
      <c r="D905">
        <f>ROW(EtalonRes!A748)</f>
        <v>748</v>
      </c>
      <c r="E905" t="s">
        <v>196</v>
      </c>
      <c r="F905" t="s">
        <v>699</v>
      </c>
      <c r="G905" t="s">
        <v>700</v>
      </c>
      <c r="H905" t="s">
        <v>455</v>
      </c>
      <c r="I905">
        <v>0.05</v>
      </c>
      <c r="J905">
        <v>0</v>
      </c>
      <c r="K905">
        <v>0.05</v>
      </c>
      <c r="O905">
        <f t="shared" si="763"/>
        <v>113.27</v>
      </c>
      <c r="P905">
        <f t="shared" si="764"/>
        <v>1.76</v>
      </c>
      <c r="Q905">
        <f t="shared" si="794"/>
        <v>0.91</v>
      </c>
      <c r="R905">
        <f t="shared" si="765"/>
        <v>0.57999999999999996</v>
      </c>
      <c r="S905">
        <f t="shared" si="766"/>
        <v>110.6</v>
      </c>
      <c r="T905">
        <f t="shared" si="767"/>
        <v>0</v>
      </c>
      <c r="U905">
        <f t="shared" si="768"/>
        <v>0.309</v>
      </c>
      <c r="V905">
        <f t="shared" si="769"/>
        <v>0</v>
      </c>
      <c r="W905">
        <f t="shared" si="770"/>
        <v>0</v>
      </c>
      <c r="X905">
        <f t="shared" si="771"/>
        <v>87.37</v>
      </c>
      <c r="Y905">
        <f t="shared" si="772"/>
        <v>45.35</v>
      </c>
      <c r="AA905">
        <v>129761633</v>
      </c>
      <c r="AB905">
        <f t="shared" si="773"/>
        <v>87.83</v>
      </c>
      <c r="AC905">
        <f t="shared" si="774"/>
        <v>9.94</v>
      </c>
      <c r="AD905">
        <f t="shared" si="795"/>
        <v>1.69</v>
      </c>
      <c r="AE905">
        <f t="shared" si="796"/>
        <v>0.39</v>
      </c>
      <c r="AF905">
        <f t="shared" si="797"/>
        <v>76.2</v>
      </c>
      <c r="AG905">
        <f t="shared" si="775"/>
        <v>0</v>
      </c>
      <c r="AH905">
        <f t="shared" si="798"/>
        <v>6.18</v>
      </c>
      <c r="AI905">
        <f t="shared" si="799"/>
        <v>0</v>
      </c>
      <c r="AJ905">
        <f t="shared" si="776"/>
        <v>0</v>
      </c>
      <c r="AK905">
        <v>87.83</v>
      </c>
      <c r="AL905">
        <v>9.94</v>
      </c>
      <c r="AM905">
        <v>1.69</v>
      </c>
      <c r="AN905">
        <v>0.39</v>
      </c>
      <c r="AO905">
        <v>76.2</v>
      </c>
      <c r="AP905">
        <v>0</v>
      </c>
      <c r="AQ905">
        <v>6.18</v>
      </c>
      <c r="AR905">
        <v>0</v>
      </c>
      <c r="AS905">
        <v>0</v>
      </c>
      <c r="AT905">
        <v>79</v>
      </c>
      <c r="AU905">
        <v>41</v>
      </c>
      <c r="AV905">
        <v>1</v>
      </c>
      <c r="AW905">
        <v>1</v>
      </c>
      <c r="AZ905">
        <v>1</v>
      </c>
      <c r="BA905">
        <v>29.03</v>
      </c>
      <c r="BB905">
        <v>11.43</v>
      </c>
      <c r="BC905">
        <v>3.51</v>
      </c>
      <c r="BD905" t="s">
        <v>3</v>
      </c>
      <c r="BE905" t="s">
        <v>3</v>
      </c>
      <c r="BF905" t="s">
        <v>3</v>
      </c>
      <c r="BG905" t="s">
        <v>3</v>
      </c>
      <c r="BH905">
        <v>0</v>
      </c>
      <c r="BI905">
        <v>2</v>
      </c>
      <c r="BJ905" t="s">
        <v>701</v>
      </c>
      <c r="BM905">
        <v>331</v>
      </c>
      <c r="BN905">
        <v>0</v>
      </c>
      <c r="BO905" t="s">
        <v>699</v>
      </c>
      <c r="BP905">
        <v>1</v>
      </c>
      <c r="BQ905">
        <v>40</v>
      </c>
      <c r="BR905">
        <v>0</v>
      </c>
      <c r="BS905">
        <v>29.03</v>
      </c>
      <c r="BT905">
        <v>1</v>
      </c>
      <c r="BU905">
        <v>1</v>
      </c>
      <c r="BV905">
        <v>1</v>
      </c>
      <c r="BW905">
        <v>1</v>
      </c>
      <c r="BX905">
        <v>1</v>
      </c>
      <c r="BY905" t="s">
        <v>3</v>
      </c>
      <c r="BZ905">
        <v>79</v>
      </c>
      <c r="CA905">
        <v>41</v>
      </c>
      <c r="CB905" t="s">
        <v>3</v>
      </c>
      <c r="CE905">
        <v>30</v>
      </c>
      <c r="CF905">
        <v>0</v>
      </c>
      <c r="CG905">
        <v>0</v>
      </c>
      <c r="CM905">
        <v>0</v>
      </c>
      <c r="CN905" t="s">
        <v>3</v>
      </c>
      <c r="CO905">
        <v>0</v>
      </c>
      <c r="CP905">
        <f t="shared" si="777"/>
        <v>113.27</v>
      </c>
      <c r="CQ905">
        <f t="shared" si="778"/>
        <v>34.89</v>
      </c>
      <c r="CR905">
        <f t="shared" si="800"/>
        <v>19.32</v>
      </c>
      <c r="CS905">
        <f t="shared" si="779"/>
        <v>11.32</v>
      </c>
      <c r="CT905">
        <f t="shared" si="780"/>
        <v>2212.09</v>
      </c>
      <c r="CU905">
        <f t="shared" si="781"/>
        <v>0</v>
      </c>
      <c r="CV905">
        <f t="shared" si="782"/>
        <v>6.18</v>
      </c>
      <c r="CW905">
        <f t="shared" si="783"/>
        <v>0</v>
      </c>
      <c r="CX905">
        <f t="shared" si="784"/>
        <v>0</v>
      </c>
      <c r="CY905">
        <f>S905*(BZ905/100)</f>
        <v>87.373999999999995</v>
      </c>
      <c r="CZ905">
        <f>S905*(CA905/100)</f>
        <v>45.345999999999997</v>
      </c>
      <c r="DC905" t="s">
        <v>3</v>
      </c>
      <c r="DD905" t="s">
        <v>3</v>
      </c>
      <c r="DE905" t="s">
        <v>3</v>
      </c>
      <c r="DF905" t="s">
        <v>3</v>
      </c>
      <c r="DG905" t="s">
        <v>3</v>
      </c>
      <c r="DH905" t="s">
        <v>3</v>
      </c>
      <c r="DI905" t="s">
        <v>3</v>
      </c>
      <c r="DJ905" t="s">
        <v>3</v>
      </c>
      <c r="DK905" t="s">
        <v>3</v>
      </c>
      <c r="DL905" t="s">
        <v>3</v>
      </c>
      <c r="DM905" t="s">
        <v>3</v>
      </c>
      <c r="DN905">
        <v>114</v>
      </c>
      <c r="DO905">
        <v>67</v>
      </c>
      <c r="DP905">
        <v>1</v>
      </c>
      <c r="DQ905">
        <v>1</v>
      </c>
      <c r="DU905">
        <v>1003</v>
      </c>
      <c r="DV905" t="s">
        <v>455</v>
      </c>
      <c r="DW905" t="s">
        <v>455</v>
      </c>
      <c r="DX905">
        <v>100</v>
      </c>
      <c r="DZ905" t="s">
        <v>3</v>
      </c>
      <c r="EA905" t="s">
        <v>3</v>
      </c>
      <c r="EB905" t="s">
        <v>3</v>
      </c>
      <c r="EC905" t="s">
        <v>3</v>
      </c>
      <c r="EE905">
        <v>126051792</v>
      </c>
      <c r="EF905">
        <v>40</v>
      </c>
      <c r="EG905" t="s">
        <v>621</v>
      </c>
      <c r="EH905">
        <v>0</v>
      </c>
      <c r="EI905" t="s">
        <v>3</v>
      </c>
      <c r="EJ905">
        <v>2</v>
      </c>
      <c r="EK905">
        <v>331</v>
      </c>
      <c r="EL905" t="s">
        <v>679</v>
      </c>
      <c r="EM905" t="s">
        <v>680</v>
      </c>
      <c r="EO905" t="s">
        <v>3</v>
      </c>
      <c r="EQ905">
        <v>131072</v>
      </c>
      <c r="ER905">
        <v>87.83</v>
      </c>
      <c r="ES905">
        <v>9.94</v>
      </c>
      <c r="ET905">
        <v>1.69</v>
      </c>
      <c r="EU905">
        <v>0.39</v>
      </c>
      <c r="EV905">
        <v>76.2</v>
      </c>
      <c r="EW905">
        <v>6.18</v>
      </c>
      <c r="EX905">
        <v>0</v>
      </c>
      <c r="EY905">
        <v>0</v>
      </c>
      <c r="FQ905">
        <v>0</v>
      </c>
      <c r="FR905">
        <f t="shared" si="785"/>
        <v>0</v>
      </c>
      <c r="FS905">
        <v>0</v>
      </c>
      <c r="FX905">
        <v>114</v>
      </c>
      <c r="FY905">
        <v>67</v>
      </c>
      <c r="GA905" t="s">
        <v>3</v>
      </c>
      <c r="GD905">
        <v>0</v>
      </c>
      <c r="GF905">
        <v>-1874974313</v>
      </c>
      <c r="GG905">
        <v>2</v>
      </c>
      <c r="GH905">
        <v>1</v>
      </c>
      <c r="GI905">
        <v>2</v>
      </c>
      <c r="GJ905">
        <v>0</v>
      </c>
      <c r="GK905">
        <f>ROUND(R905*(S12)/100,2)</f>
        <v>0.93</v>
      </c>
      <c r="GL905">
        <f t="shared" si="786"/>
        <v>0</v>
      </c>
      <c r="GM905">
        <f t="shared" si="787"/>
        <v>246.92</v>
      </c>
      <c r="GN905">
        <f t="shared" si="788"/>
        <v>0</v>
      </c>
      <c r="GO905">
        <f t="shared" si="789"/>
        <v>246.92</v>
      </c>
      <c r="GP905">
        <f t="shared" si="790"/>
        <v>0</v>
      </c>
      <c r="GR905">
        <v>0</v>
      </c>
      <c r="GS905">
        <v>3</v>
      </c>
      <c r="GT905">
        <v>0</v>
      </c>
      <c r="GU905" t="s">
        <v>3</v>
      </c>
      <c r="GV905">
        <f t="shared" si="791"/>
        <v>0</v>
      </c>
      <c r="GW905">
        <v>1</v>
      </c>
      <c r="GX905">
        <f t="shared" si="792"/>
        <v>0</v>
      </c>
      <c r="HA905">
        <v>0</v>
      </c>
      <c r="HB905">
        <v>0</v>
      </c>
      <c r="HC905">
        <f t="shared" si="793"/>
        <v>0</v>
      </c>
      <c r="HE905" t="s">
        <v>3</v>
      </c>
      <c r="HF905" t="s">
        <v>3</v>
      </c>
      <c r="HM905" t="s">
        <v>3</v>
      </c>
      <c r="HN905" t="s">
        <v>3</v>
      </c>
      <c r="HO905" t="s">
        <v>3</v>
      </c>
      <c r="HP905" t="s">
        <v>3</v>
      </c>
      <c r="HQ905" t="s">
        <v>3</v>
      </c>
      <c r="IK905">
        <v>0</v>
      </c>
    </row>
    <row r="906" spans="1:255" x14ac:dyDescent="0.2">
      <c r="A906" s="2">
        <v>18</v>
      </c>
      <c r="B906" s="2">
        <v>1</v>
      </c>
      <c r="C906" s="2">
        <v>768</v>
      </c>
      <c r="D906" s="2"/>
      <c r="E906" s="2" t="s">
        <v>201</v>
      </c>
      <c r="F906" s="2" t="s">
        <v>777</v>
      </c>
      <c r="G906" s="2" t="s">
        <v>1565</v>
      </c>
      <c r="H906" s="2" t="s">
        <v>694</v>
      </c>
      <c r="I906" s="2">
        <f>I904*J906</f>
        <v>5.1000000000000004E-3</v>
      </c>
      <c r="J906" s="2">
        <v>0.10200000000000001</v>
      </c>
      <c r="K906" s="2">
        <v>0.10200000000000001</v>
      </c>
      <c r="L906" s="2"/>
      <c r="M906" s="2"/>
      <c r="N906" s="2"/>
      <c r="O906" s="2">
        <f t="shared" si="763"/>
        <v>49.51</v>
      </c>
      <c r="P906" s="2">
        <f t="shared" si="764"/>
        <v>49.51</v>
      </c>
      <c r="Q906" s="2">
        <f t="shared" si="794"/>
        <v>0</v>
      </c>
      <c r="R906" s="2">
        <f t="shared" si="765"/>
        <v>0</v>
      </c>
      <c r="S906" s="2">
        <f t="shared" si="766"/>
        <v>0</v>
      </c>
      <c r="T906" s="2">
        <f t="shared" si="767"/>
        <v>0</v>
      </c>
      <c r="U906" s="2">
        <f t="shared" si="768"/>
        <v>0</v>
      </c>
      <c r="V906" s="2">
        <f t="shared" si="769"/>
        <v>0</v>
      </c>
      <c r="W906" s="2">
        <f t="shared" si="770"/>
        <v>0</v>
      </c>
      <c r="X906" s="2">
        <f t="shared" si="771"/>
        <v>0</v>
      </c>
      <c r="Y906" s="2">
        <f t="shared" si="772"/>
        <v>0</v>
      </c>
      <c r="Z906" s="2"/>
      <c r="AA906" s="2">
        <v>129761636</v>
      </c>
      <c r="AB906" s="2">
        <f t="shared" si="773"/>
        <v>9707.41</v>
      </c>
      <c r="AC906" s="2">
        <f t="shared" si="774"/>
        <v>9707.41</v>
      </c>
      <c r="AD906" s="2">
        <f t="shared" si="795"/>
        <v>0</v>
      </c>
      <c r="AE906" s="2">
        <f t="shared" si="796"/>
        <v>0</v>
      </c>
      <c r="AF906" s="2">
        <f t="shared" si="797"/>
        <v>0</v>
      </c>
      <c r="AG906" s="2">
        <f t="shared" si="775"/>
        <v>0</v>
      </c>
      <c r="AH906" s="2">
        <f t="shared" si="798"/>
        <v>0</v>
      </c>
      <c r="AI906" s="2">
        <f t="shared" si="799"/>
        <v>0</v>
      </c>
      <c r="AJ906" s="2">
        <f t="shared" si="776"/>
        <v>0</v>
      </c>
      <c r="AK906" s="2">
        <v>9707.41</v>
      </c>
      <c r="AL906" s="2">
        <v>9707.41</v>
      </c>
      <c r="AM906" s="2">
        <v>0</v>
      </c>
      <c r="AN906" s="2">
        <v>0</v>
      </c>
      <c r="AO906" s="2">
        <v>0</v>
      </c>
      <c r="AP906" s="2">
        <v>0</v>
      </c>
      <c r="AQ906" s="2">
        <v>0</v>
      </c>
      <c r="AR906" s="2">
        <v>0</v>
      </c>
      <c r="AS906" s="2">
        <v>0</v>
      </c>
      <c r="AT906" s="2">
        <v>114</v>
      </c>
      <c r="AU906" s="2">
        <v>67</v>
      </c>
      <c r="AV906" s="2">
        <v>1</v>
      </c>
      <c r="AW906" s="2">
        <v>1</v>
      </c>
      <c r="AX906" s="2"/>
      <c r="AY906" s="2"/>
      <c r="AZ906" s="2">
        <v>1</v>
      </c>
      <c r="BA906" s="2">
        <v>1</v>
      </c>
      <c r="BB906" s="2">
        <v>1</v>
      </c>
      <c r="BC906" s="2">
        <v>1</v>
      </c>
      <c r="BD906" s="2" t="s">
        <v>3</v>
      </c>
      <c r="BE906" s="2" t="s">
        <v>3</v>
      </c>
      <c r="BF906" s="2" t="s">
        <v>3</v>
      </c>
      <c r="BG906" s="2" t="s">
        <v>3</v>
      </c>
      <c r="BH906" s="2">
        <v>3</v>
      </c>
      <c r="BI906" s="2">
        <v>2</v>
      </c>
      <c r="BJ906" s="2" t="s">
        <v>778</v>
      </c>
      <c r="BK906" s="2"/>
      <c r="BL906" s="2"/>
      <c r="BM906" s="2">
        <v>331</v>
      </c>
      <c r="BN906" s="2">
        <v>0</v>
      </c>
      <c r="BO906" s="2" t="s">
        <v>3</v>
      </c>
      <c r="BP906" s="2">
        <v>0</v>
      </c>
      <c r="BQ906" s="2">
        <v>40</v>
      </c>
      <c r="BR906" s="2">
        <v>0</v>
      </c>
      <c r="BS906" s="2">
        <v>1</v>
      </c>
      <c r="BT906" s="2">
        <v>1</v>
      </c>
      <c r="BU906" s="2">
        <v>1</v>
      </c>
      <c r="BV906" s="2">
        <v>1</v>
      </c>
      <c r="BW906" s="2">
        <v>1</v>
      </c>
      <c r="BX906" s="2">
        <v>1</v>
      </c>
      <c r="BY906" s="2" t="s">
        <v>3</v>
      </c>
      <c r="BZ906" s="2">
        <v>114</v>
      </c>
      <c r="CA906" s="2">
        <v>67</v>
      </c>
      <c r="CB906" s="2" t="s">
        <v>3</v>
      </c>
      <c r="CC906" s="2"/>
      <c r="CD906" s="2"/>
      <c r="CE906" s="2">
        <v>30</v>
      </c>
      <c r="CF906" s="2">
        <v>0</v>
      </c>
      <c r="CG906" s="2">
        <v>0</v>
      </c>
      <c r="CH906" s="2"/>
      <c r="CI906" s="2"/>
      <c r="CJ906" s="2"/>
      <c r="CK906" s="2"/>
      <c r="CL906" s="2"/>
      <c r="CM906" s="2">
        <v>0</v>
      </c>
      <c r="CN906" s="2" t="s">
        <v>3</v>
      </c>
      <c r="CO906" s="2">
        <v>0</v>
      </c>
      <c r="CP906" s="2">
        <f t="shared" si="777"/>
        <v>49.51</v>
      </c>
      <c r="CQ906" s="2">
        <f t="shared" si="778"/>
        <v>9707.41</v>
      </c>
      <c r="CR906" s="2">
        <f t="shared" si="800"/>
        <v>0</v>
      </c>
      <c r="CS906" s="2">
        <f t="shared" si="779"/>
        <v>0</v>
      </c>
      <c r="CT906" s="2">
        <f t="shared" si="780"/>
        <v>0</v>
      </c>
      <c r="CU906" s="2">
        <f t="shared" si="781"/>
        <v>0</v>
      </c>
      <c r="CV906" s="2">
        <f t="shared" si="782"/>
        <v>0</v>
      </c>
      <c r="CW906" s="2">
        <f t="shared" si="783"/>
        <v>0</v>
      </c>
      <c r="CX906" s="2">
        <f t="shared" si="784"/>
        <v>0</v>
      </c>
      <c r="CY906" s="2">
        <f>((S906*BZ906)/100)</f>
        <v>0</v>
      </c>
      <c r="CZ906" s="2">
        <f>((S906*CA906)/100)</f>
        <v>0</v>
      </c>
      <c r="DA906" s="2"/>
      <c r="DB906" s="2"/>
      <c r="DC906" s="2" t="s">
        <v>3</v>
      </c>
      <c r="DD906" s="2" t="s">
        <v>3</v>
      </c>
      <c r="DE906" s="2" t="s">
        <v>3</v>
      </c>
      <c r="DF906" s="2" t="s">
        <v>3</v>
      </c>
      <c r="DG906" s="2" t="s">
        <v>3</v>
      </c>
      <c r="DH906" s="2" t="s">
        <v>3</v>
      </c>
      <c r="DI906" s="2" t="s">
        <v>3</v>
      </c>
      <c r="DJ906" s="2" t="s">
        <v>3</v>
      </c>
      <c r="DK906" s="2" t="s">
        <v>3</v>
      </c>
      <c r="DL906" s="2" t="s">
        <v>3</v>
      </c>
      <c r="DM906" s="2" t="s">
        <v>3</v>
      </c>
      <c r="DN906" s="2">
        <v>0</v>
      </c>
      <c r="DO906" s="2">
        <v>0</v>
      </c>
      <c r="DP906" s="2">
        <v>1</v>
      </c>
      <c r="DQ906" s="2">
        <v>1</v>
      </c>
      <c r="DR906" s="2"/>
      <c r="DS906" s="2"/>
      <c r="DT906" s="2"/>
      <c r="DU906" s="2">
        <v>1003</v>
      </c>
      <c r="DV906" s="2" t="s">
        <v>694</v>
      </c>
      <c r="DW906" s="2" t="s">
        <v>694</v>
      </c>
      <c r="DX906" s="2">
        <v>1000</v>
      </c>
      <c r="DY906" s="2"/>
      <c r="DZ906" s="2" t="s">
        <v>3</v>
      </c>
      <c r="EA906" s="2" t="s">
        <v>3</v>
      </c>
      <c r="EB906" s="2" t="s">
        <v>3</v>
      </c>
      <c r="EC906" s="2" t="s">
        <v>3</v>
      </c>
      <c r="ED906" s="2"/>
      <c r="EE906" s="2">
        <v>126051792</v>
      </c>
      <c r="EF906" s="2">
        <v>40</v>
      </c>
      <c r="EG906" s="2" t="s">
        <v>621</v>
      </c>
      <c r="EH906" s="2">
        <v>0</v>
      </c>
      <c r="EI906" s="2" t="s">
        <v>3</v>
      </c>
      <c r="EJ906" s="2">
        <v>2</v>
      </c>
      <c r="EK906" s="2">
        <v>331</v>
      </c>
      <c r="EL906" s="2" t="s">
        <v>679</v>
      </c>
      <c r="EM906" s="2" t="s">
        <v>680</v>
      </c>
      <c r="EN906" s="2"/>
      <c r="EO906" s="2" t="s">
        <v>3</v>
      </c>
      <c r="EP906" s="2"/>
      <c r="EQ906" s="2">
        <v>0</v>
      </c>
      <c r="ER906" s="2">
        <v>9707.41</v>
      </c>
      <c r="ES906" s="2">
        <v>9707.41</v>
      </c>
      <c r="ET906" s="2">
        <v>0</v>
      </c>
      <c r="EU906" s="2">
        <v>0</v>
      </c>
      <c r="EV906" s="2">
        <v>0</v>
      </c>
      <c r="EW906" s="2">
        <v>0</v>
      </c>
      <c r="EX906" s="2">
        <v>0</v>
      </c>
      <c r="EY906" s="2"/>
      <c r="EZ906" s="2"/>
      <c r="FA906" s="2"/>
      <c r="FB906" s="2"/>
      <c r="FC906" s="2"/>
      <c r="FD906" s="2"/>
      <c r="FE906" s="2"/>
      <c r="FF906" s="2"/>
      <c r="FG906" s="2"/>
      <c r="FH906" s="2"/>
      <c r="FI906" s="2"/>
      <c r="FJ906" s="2"/>
      <c r="FK906" s="2"/>
      <c r="FL906" s="2"/>
      <c r="FM906" s="2"/>
      <c r="FN906" s="2"/>
      <c r="FO906" s="2"/>
      <c r="FP906" s="2"/>
      <c r="FQ906" s="2">
        <v>0</v>
      </c>
      <c r="FR906" s="2">
        <f t="shared" si="785"/>
        <v>0</v>
      </c>
      <c r="FS906" s="2">
        <v>0</v>
      </c>
      <c r="FT906" s="2"/>
      <c r="FU906" s="2"/>
      <c r="FV906" s="2"/>
      <c r="FW906" s="2"/>
      <c r="FX906" s="2">
        <v>114</v>
      </c>
      <c r="FY906" s="2">
        <v>67</v>
      </c>
      <c r="FZ906" s="2"/>
      <c r="GA906" s="2" t="s">
        <v>3</v>
      </c>
      <c r="GB906" s="2"/>
      <c r="GC906" s="2"/>
      <c r="GD906" s="2">
        <v>0</v>
      </c>
      <c r="GE906" s="2"/>
      <c r="GF906" s="2">
        <v>-1303751812</v>
      </c>
      <c r="GG906" s="2">
        <v>2</v>
      </c>
      <c r="GH906" s="2">
        <v>1</v>
      </c>
      <c r="GI906" s="2">
        <v>-2</v>
      </c>
      <c r="GJ906" s="2">
        <v>0</v>
      </c>
      <c r="GK906" s="2">
        <f>ROUND(R906*(R12)/100,2)</f>
        <v>0</v>
      </c>
      <c r="GL906" s="2">
        <f t="shared" si="786"/>
        <v>0</v>
      </c>
      <c r="GM906" s="2">
        <f t="shared" si="787"/>
        <v>49.51</v>
      </c>
      <c r="GN906" s="2">
        <f t="shared" si="788"/>
        <v>0</v>
      </c>
      <c r="GO906" s="2">
        <f t="shared" si="789"/>
        <v>49.51</v>
      </c>
      <c r="GP906" s="2">
        <f t="shared" si="790"/>
        <v>0</v>
      </c>
      <c r="GQ906" s="2"/>
      <c r="GR906" s="2">
        <v>0</v>
      </c>
      <c r="GS906" s="2">
        <v>0</v>
      </c>
      <c r="GT906" s="2">
        <v>0</v>
      </c>
      <c r="GU906" s="2" t="s">
        <v>3</v>
      </c>
      <c r="GV906" s="2">
        <f t="shared" si="791"/>
        <v>0</v>
      </c>
      <c r="GW906" s="2">
        <v>1</v>
      </c>
      <c r="GX906" s="2">
        <f t="shared" si="792"/>
        <v>0</v>
      </c>
      <c r="GY906" s="2"/>
      <c r="GZ906" s="2"/>
      <c r="HA906" s="2">
        <v>0</v>
      </c>
      <c r="HB906" s="2">
        <v>0</v>
      </c>
      <c r="HC906" s="2">
        <f t="shared" si="793"/>
        <v>0</v>
      </c>
      <c r="HD906" s="2"/>
      <c r="HE906" s="2" t="s">
        <v>3</v>
      </c>
      <c r="HF906" s="2" t="s">
        <v>3</v>
      </c>
      <c r="HG906" s="2"/>
      <c r="HH906" s="2"/>
      <c r="HI906" s="2"/>
      <c r="HJ906" s="2"/>
      <c r="HK906" s="2"/>
      <c r="HL906" s="2"/>
      <c r="HM906" s="2" t="s">
        <v>3</v>
      </c>
      <c r="HN906" s="2" t="s">
        <v>3</v>
      </c>
      <c r="HO906" s="2" t="s">
        <v>3</v>
      </c>
      <c r="HP906" s="2" t="s">
        <v>3</v>
      </c>
      <c r="HQ906" s="2" t="s">
        <v>3</v>
      </c>
      <c r="HR906" s="2"/>
      <c r="HS906" s="2"/>
      <c r="HT906" s="2"/>
      <c r="HU906" s="2"/>
      <c r="HV906" s="2"/>
      <c r="HW906" s="2"/>
      <c r="HX906" s="2"/>
      <c r="HY906" s="2"/>
      <c r="HZ906" s="2"/>
      <c r="IA906" s="2"/>
      <c r="IB906" s="2"/>
      <c r="IC906" s="2"/>
      <c r="ID906" s="2"/>
      <c r="IE906" s="2"/>
      <c r="IF906" s="2"/>
      <c r="IG906" s="2"/>
      <c r="IH906" s="2"/>
      <c r="II906" s="2"/>
      <c r="IJ906" s="2"/>
      <c r="IK906" s="2">
        <v>0</v>
      </c>
      <c r="IL906" s="2"/>
      <c r="IM906" s="2"/>
      <c r="IN906" s="2"/>
      <c r="IO906" s="2"/>
      <c r="IP906" s="2"/>
      <c r="IQ906" s="2"/>
      <c r="IR906" s="2"/>
      <c r="IS906" s="2"/>
      <c r="IT906" s="2"/>
      <c r="IU906" s="2"/>
    </row>
    <row r="907" spans="1:255" x14ac:dyDescent="0.2">
      <c r="A907">
        <v>18</v>
      </c>
      <c r="B907">
        <v>1</v>
      </c>
      <c r="C907">
        <v>770</v>
      </c>
      <c r="E907" t="s">
        <v>201</v>
      </c>
      <c r="F907" t="s">
        <v>777</v>
      </c>
      <c r="G907" t="s">
        <v>1565</v>
      </c>
      <c r="H907" t="s">
        <v>694</v>
      </c>
      <c r="I907">
        <f>I905*J907</f>
        <v>5.1000000000000004E-3</v>
      </c>
      <c r="J907">
        <v>0.10200000000000001</v>
      </c>
      <c r="K907">
        <v>0.10200000000000001</v>
      </c>
      <c r="O907">
        <f t="shared" si="763"/>
        <v>256.95999999999998</v>
      </c>
      <c r="P907">
        <f t="shared" si="764"/>
        <v>256.95999999999998</v>
      </c>
      <c r="Q907">
        <f t="shared" si="794"/>
        <v>0</v>
      </c>
      <c r="R907">
        <f t="shared" si="765"/>
        <v>0</v>
      </c>
      <c r="S907">
        <f t="shared" si="766"/>
        <v>0</v>
      </c>
      <c r="T907">
        <f t="shared" si="767"/>
        <v>0</v>
      </c>
      <c r="U907">
        <f t="shared" si="768"/>
        <v>0</v>
      </c>
      <c r="V907">
        <f t="shared" si="769"/>
        <v>0</v>
      </c>
      <c r="W907">
        <f t="shared" si="770"/>
        <v>0</v>
      </c>
      <c r="X907">
        <f t="shared" si="771"/>
        <v>0</v>
      </c>
      <c r="Y907">
        <f t="shared" si="772"/>
        <v>0</v>
      </c>
      <c r="AA907">
        <v>129761633</v>
      </c>
      <c r="AB907">
        <f t="shared" si="773"/>
        <v>9707.41</v>
      </c>
      <c r="AC907">
        <f t="shared" si="774"/>
        <v>9707.41</v>
      </c>
      <c r="AD907">
        <f t="shared" si="795"/>
        <v>0</v>
      </c>
      <c r="AE907">
        <f t="shared" si="796"/>
        <v>0</v>
      </c>
      <c r="AF907">
        <f t="shared" si="797"/>
        <v>0</v>
      </c>
      <c r="AG907">
        <f t="shared" si="775"/>
        <v>0</v>
      </c>
      <c r="AH907">
        <f t="shared" si="798"/>
        <v>0</v>
      </c>
      <c r="AI907">
        <f t="shared" si="799"/>
        <v>0</v>
      </c>
      <c r="AJ907">
        <f t="shared" si="776"/>
        <v>0</v>
      </c>
      <c r="AK907">
        <v>9707.41</v>
      </c>
      <c r="AL907">
        <v>9707.41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1</v>
      </c>
      <c r="AW907">
        <v>1</v>
      </c>
      <c r="AZ907">
        <v>1</v>
      </c>
      <c r="BA907">
        <v>1</v>
      </c>
      <c r="BB907">
        <v>1</v>
      </c>
      <c r="BC907">
        <v>5.19</v>
      </c>
      <c r="BD907" t="s">
        <v>3</v>
      </c>
      <c r="BE907" t="s">
        <v>3</v>
      </c>
      <c r="BF907" t="s">
        <v>3</v>
      </c>
      <c r="BG907" t="s">
        <v>3</v>
      </c>
      <c r="BH907">
        <v>3</v>
      </c>
      <c r="BI907">
        <v>2</v>
      </c>
      <c r="BJ907" t="s">
        <v>778</v>
      </c>
      <c r="BM907">
        <v>331</v>
      </c>
      <c r="BN907">
        <v>0</v>
      </c>
      <c r="BO907" t="s">
        <v>777</v>
      </c>
      <c r="BP907">
        <v>1</v>
      </c>
      <c r="BQ907">
        <v>40</v>
      </c>
      <c r="BR907">
        <v>0</v>
      </c>
      <c r="BS907">
        <v>1</v>
      </c>
      <c r="BT907">
        <v>1</v>
      </c>
      <c r="BU907">
        <v>1</v>
      </c>
      <c r="BV907">
        <v>1</v>
      </c>
      <c r="BW907">
        <v>1</v>
      </c>
      <c r="BX907">
        <v>1</v>
      </c>
      <c r="BY907" t="s">
        <v>3</v>
      </c>
      <c r="BZ907">
        <v>0</v>
      </c>
      <c r="CA907">
        <v>0</v>
      </c>
      <c r="CB907" t="s">
        <v>3</v>
      </c>
      <c r="CE907">
        <v>30</v>
      </c>
      <c r="CF907">
        <v>0</v>
      </c>
      <c r="CG907">
        <v>0</v>
      </c>
      <c r="CM907">
        <v>0</v>
      </c>
      <c r="CN907" t="s">
        <v>3</v>
      </c>
      <c r="CO907">
        <v>0</v>
      </c>
      <c r="CP907">
        <f t="shared" si="777"/>
        <v>256.95999999999998</v>
      </c>
      <c r="CQ907">
        <f t="shared" si="778"/>
        <v>50381.46</v>
      </c>
      <c r="CR907">
        <f t="shared" si="800"/>
        <v>0</v>
      </c>
      <c r="CS907">
        <f t="shared" si="779"/>
        <v>0</v>
      </c>
      <c r="CT907">
        <f t="shared" si="780"/>
        <v>0</v>
      </c>
      <c r="CU907">
        <f t="shared" si="781"/>
        <v>0</v>
      </c>
      <c r="CV907">
        <f t="shared" si="782"/>
        <v>0</v>
      </c>
      <c r="CW907">
        <f t="shared" si="783"/>
        <v>0</v>
      </c>
      <c r="CX907">
        <f t="shared" si="784"/>
        <v>0</v>
      </c>
      <c r="CY907">
        <f>S907*(BZ907/100)</f>
        <v>0</v>
      </c>
      <c r="CZ907">
        <f>S907*(CA907/100)</f>
        <v>0</v>
      </c>
      <c r="DC907" t="s">
        <v>3</v>
      </c>
      <c r="DD907" t="s">
        <v>3</v>
      </c>
      <c r="DE907" t="s">
        <v>3</v>
      </c>
      <c r="DF907" t="s">
        <v>3</v>
      </c>
      <c r="DG907" t="s">
        <v>3</v>
      </c>
      <c r="DH907" t="s">
        <v>3</v>
      </c>
      <c r="DI907" t="s">
        <v>3</v>
      </c>
      <c r="DJ907" t="s">
        <v>3</v>
      </c>
      <c r="DK907" t="s">
        <v>3</v>
      </c>
      <c r="DL907" t="s">
        <v>3</v>
      </c>
      <c r="DM907" t="s">
        <v>3</v>
      </c>
      <c r="DN907">
        <v>114</v>
      </c>
      <c r="DO907">
        <v>67</v>
      </c>
      <c r="DP907">
        <v>1</v>
      </c>
      <c r="DQ907">
        <v>1</v>
      </c>
      <c r="DU907">
        <v>1003</v>
      </c>
      <c r="DV907" t="s">
        <v>694</v>
      </c>
      <c r="DW907" t="s">
        <v>694</v>
      </c>
      <c r="DX907">
        <v>1000</v>
      </c>
      <c r="DZ907" t="s">
        <v>3</v>
      </c>
      <c r="EA907" t="s">
        <v>3</v>
      </c>
      <c r="EB907" t="s">
        <v>3</v>
      </c>
      <c r="EC907" t="s">
        <v>3</v>
      </c>
      <c r="EE907">
        <v>126051792</v>
      </c>
      <c r="EF907">
        <v>40</v>
      </c>
      <c r="EG907" t="s">
        <v>621</v>
      </c>
      <c r="EH907">
        <v>0</v>
      </c>
      <c r="EI907" t="s">
        <v>3</v>
      </c>
      <c r="EJ907">
        <v>2</v>
      </c>
      <c r="EK907">
        <v>331</v>
      </c>
      <c r="EL907" t="s">
        <v>679</v>
      </c>
      <c r="EM907" t="s">
        <v>680</v>
      </c>
      <c r="EO907" t="s">
        <v>3</v>
      </c>
      <c r="EQ907">
        <v>0</v>
      </c>
      <c r="ER907">
        <v>9707.41</v>
      </c>
      <c r="ES907">
        <v>9707.41</v>
      </c>
      <c r="ET907">
        <v>0</v>
      </c>
      <c r="EU907">
        <v>0</v>
      </c>
      <c r="EV907">
        <v>0</v>
      </c>
      <c r="EW907">
        <v>0</v>
      </c>
      <c r="EX907">
        <v>0</v>
      </c>
      <c r="FQ907">
        <v>0</v>
      </c>
      <c r="FR907">
        <f t="shared" si="785"/>
        <v>0</v>
      </c>
      <c r="FS907">
        <v>0</v>
      </c>
      <c r="FX907">
        <v>114</v>
      </c>
      <c r="FY907">
        <v>67</v>
      </c>
      <c r="GA907" t="s">
        <v>3</v>
      </c>
      <c r="GD907">
        <v>0</v>
      </c>
      <c r="GF907">
        <v>-1303751812</v>
      </c>
      <c r="GG907">
        <v>2</v>
      </c>
      <c r="GH907">
        <v>1</v>
      </c>
      <c r="GI907">
        <v>2</v>
      </c>
      <c r="GJ907">
        <v>0</v>
      </c>
      <c r="GK907">
        <f>ROUND(R907*(S12)/100,2)</f>
        <v>0</v>
      </c>
      <c r="GL907">
        <f t="shared" si="786"/>
        <v>0</v>
      </c>
      <c r="GM907">
        <f t="shared" si="787"/>
        <v>256.95999999999998</v>
      </c>
      <c r="GN907">
        <f t="shared" si="788"/>
        <v>0</v>
      </c>
      <c r="GO907">
        <f t="shared" si="789"/>
        <v>256.95999999999998</v>
      </c>
      <c r="GP907">
        <f t="shared" si="790"/>
        <v>0</v>
      </c>
      <c r="GR907">
        <v>0</v>
      </c>
      <c r="GS907">
        <v>3</v>
      </c>
      <c r="GT907">
        <v>0</v>
      </c>
      <c r="GU907" t="s">
        <v>3</v>
      </c>
      <c r="GV907">
        <f t="shared" si="791"/>
        <v>0</v>
      </c>
      <c r="GW907">
        <v>1</v>
      </c>
      <c r="GX907">
        <f t="shared" si="792"/>
        <v>0</v>
      </c>
      <c r="HA907">
        <v>0</v>
      </c>
      <c r="HB907">
        <v>0</v>
      </c>
      <c r="HC907">
        <f t="shared" si="793"/>
        <v>0</v>
      </c>
      <c r="HE907" t="s">
        <v>3</v>
      </c>
      <c r="HF907" t="s">
        <v>3</v>
      </c>
      <c r="HM907" t="s">
        <v>3</v>
      </c>
      <c r="HN907" t="s">
        <v>3</v>
      </c>
      <c r="HO907" t="s">
        <v>3</v>
      </c>
      <c r="HP907" t="s">
        <v>3</v>
      </c>
      <c r="HQ907" t="s">
        <v>3</v>
      </c>
      <c r="IK907">
        <v>0</v>
      </c>
    </row>
    <row r="908" spans="1:255" x14ac:dyDescent="0.2">
      <c r="A908" s="2">
        <v>17</v>
      </c>
      <c r="B908" s="2">
        <v>1</v>
      </c>
      <c r="C908" s="2">
        <f>ROW(SmtRes!A775)</f>
        <v>775</v>
      </c>
      <c r="D908" s="2">
        <f>ROW(EtalonRes!A749)</f>
        <v>749</v>
      </c>
      <c r="E908" s="2" t="s">
        <v>202</v>
      </c>
      <c r="F908" s="2" t="s">
        <v>689</v>
      </c>
      <c r="G908" s="2" t="s">
        <v>690</v>
      </c>
      <c r="H908" s="2" t="s">
        <v>455</v>
      </c>
      <c r="I908" s="2">
        <v>0.46</v>
      </c>
      <c r="J908" s="2">
        <v>0</v>
      </c>
      <c r="K908" s="2">
        <v>0.46</v>
      </c>
      <c r="L908" s="2"/>
      <c r="M908" s="2"/>
      <c r="N908" s="2"/>
      <c r="O908" s="2">
        <f t="shared" si="763"/>
        <v>19.63</v>
      </c>
      <c r="P908" s="2">
        <f t="shared" si="764"/>
        <v>1.71</v>
      </c>
      <c r="Q908" s="2">
        <f t="shared" si="794"/>
        <v>0.39</v>
      </c>
      <c r="R908" s="2">
        <f t="shared" si="765"/>
        <v>0.09</v>
      </c>
      <c r="S908" s="2">
        <f t="shared" si="766"/>
        <v>17.53</v>
      </c>
      <c r="T908" s="2">
        <f t="shared" si="767"/>
        <v>0</v>
      </c>
      <c r="U908" s="2">
        <f t="shared" si="768"/>
        <v>1.4214</v>
      </c>
      <c r="V908" s="2">
        <f t="shared" si="769"/>
        <v>0</v>
      </c>
      <c r="W908" s="2">
        <f t="shared" si="770"/>
        <v>0</v>
      </c>
      <c r="X908" s="2">
        <f t="shared" si="771"/>
        <v>19.98</v>
      </c>
      <c r="Y908" s="2">
        <f t="shared" si="772"/>
        <v>11.75</v>
      </c>
      <c r="Z908" s="2"/>
      <c r="AA908" s="2">
        <v>129761636</v>
      </c>
      <c r="AB908" s="2">
        <f t="shared" si="773"/>
        <v>42.66</v>
      </c>
      <c r="AC908" s="2">
        <f t="shared" si="774"/>
        <v>3.71</v>
      </c>
      <c r="AD908" s="2">
        <f t="shared" si="795"/>
        <v>0.85</v>
      </c>
      <c r="AE908" s="2">
        <f t="shared" si="796"/>
        <v>0.2</v>
      </c>
      <c r="AF908" s="2">
        <f t="shared" si="797"/>
        <v>38.1</v>
      </c>
      <c r="AG908" s="2">
        <f t="shared" si="775"/>
        <v>0</v>
      </c>
      <c r="AH908" s="2">
        <f t="shared" si="798"/>
        <v>3.09</v>
      </c>
      <c r="AI908" s="2">
        <f t="shared" si="799"/>
        <v>0</v>
      </c>
      <c r="AJ908" s="2">
        <f t="shared" si="776"/>
        <v>0</v>
      </c>
      <c r="AK908" s="2">
        <v>42.66</v>
      </c>
      <c r="AL908" s="2">
        <v>3.71</v>
      </c>
      <c r="AM908" s="2">
        <v>0.85</v>
      </c>
      <c r="AN908" s="2">
        <v>0.2</v>
      </c>
      <c r="AO908" s="2">
        <v>38.1</v>
      </c>
      <c r="AP908" s="2">
        <v>0</v>
      </c>
      <c r="AQ908" s="2">
        <v>3.09</v>
      </c>
      <c r="AR908" s="2">
        <v>0</v>
      </c>
      <c r="AS908" s="2">
        <v>0</v>
      </c>
      <c r="AT908" s="2">
        <v>114</v>
      </c>
      <c r="AU908" s="2">
        <v>67</v>
      </c>
      <c r="AV908" s="2">
        <v>1</v>
      </c>
      <c r="AW908" s="2">
        <v>1</v>
      </c>
      <c r="AX908" s="2"/>
      <c r="AY908" s="2"/>
      <c r="AZ908" s="2">
        <v>1</v>
      </c>
      <c r="BA908" s="2">
        <v>1</v>
      </c>
      <c r="BB908" s="2">
        <v>1</v>
      </c>
      <c r="BC908" s="2">
        <v>1</v>
      </c>
      <c r="BD908" s="2" t="s">
        <v>3</v>
      </c>
      <c r="BE908" s="2" t="s">
        <v>3</v>
      </c>
      <c r="BF908" s="2" t="s">
        <v>3</v>
      </c>
      <c r="BG908" s="2" t="s">
        <v>3</v>
      </c>
      <c r="BH908" s="2">
        <v>0</v>
      </c>
      <c r="BI908" s="2">
        <v>2</v>
      </c>
      <c r="BJ908" s="2" t="s">
        <v>691</v>
      </c>
      <c r="BK908" s="2"/>
      <c r="BL908" s="2"/>
      <c r="BM908" s="2">
        <v>331</v>
      </c>
      <c r="BN908" s="2">
        <v>0</v>
      </c>
      <c r="BO908" s="2" t="s">
        <v>3</v>
      </c>
      <c r="BP908" s="2">
        <v>0</v>
      </c>
      <c r="BQ908" s="2">
        <v>40</v>
      </c>
      <c r="BR908" s="2">
        <v>0</v>
      </c>
      <c r="BS908" s="2">
        <v>1</v>
      </c>
      <c r="BT908" s="2">
        <v>1</v>
      </c>
      <c r="BU908" s="2">
        <v>1</v>
      </c>
      <c r="BV908" s="2">
        <v>1</v>
      </c>
      <c r="BW908" s="2">
        <v>1</v>
      </c>
      <c r="BX908" s="2">
        <v>1</v>
      </c>
      <c r="BY908" s="2" t="s">
        <v>3</v>
      </c>
      <c r="BZ908" s="2">
        <v>114</v>
      </c>
      <c r="CA908" s="2">
        <v>67</v>
      </c>
      <c r="CB908" s="2" t="s">
        <v>3</v>
      </c>
      <c r="CC908" s="2"/>
      <c r="CD908" s="2"/>
      <c r="CE908" s="2">
        <v>30</v>
      </c>
      <c r="CF908" s="2">
        <v>0</v>
      </c>
      <c r="CG908" s="2">
        <v>0</v>
      </c>
      <c r="CH908" s="2"/>
      <c r="CI908" s="2"/>
      <c r="CJ908" s="2"/>
      <c r="CK908" s="2"/>
      <c r="CL908" s="2"/>
      <c r="CM908" s="2">
        <v>0</v>
      </c>
      <c r="CN908" s="2" t="s">
        <v>3</v>
      </c>
      <c r="CO908" s="2">
        <v>0</v>
      </c>
      <c r="CP908" s="2">
        <f t="shared" si="777"/>
        <v>19.630000000000003</v>
      </c>
      <c r="CQ908" s="2">
        <f t="shared" si="778"/>
        <v>3.71</v>
      </c>
      <c r="CR908" s="2">
        <f t="shared" si="800"/>
        <v>0.85</v>
      </c>
      <c r="CS908" s="2">
        <f t="shared" si="779"/>
        <v>0.2</v>
      </c>
      <c r="CT908" s="2">
        <f t="shared" si="780"/>
        <v>38.1</v>
      </c>
      <c r="CU908" s="2">
        <f t="shared" si="781"/>
        <v>0</v>
      </c>
      <c r="CV908" s="2">
        <f t="shared" si="782"/>
        <v>3.09</v>
      </c>
      <c r="CW908" s="2">
        <f t="shared" si="783"/>
        <v>0</v>
      </c>
      <c r="CX908" s="2">
        <f t="shared" si="784"/>
        <v>0</v>
      </c>
      <c r="CY908" s="2">
        <f>((S908*BZ908)/100)</f>
        <v>19.984200000000001</v>
      </c>
      <c r="CZ908" s="2">
        <f>((S908*CA908)/100)</f>
        <v>11.745100000000001</v>
      </c>
      <c r="DA908" s="2"/>
      <c r="DB908" s="2"/>
      <c r="DC908" s="2" t="s">
        <v>3</v>
      </c>
      <c r="DD908" s="2" t="s">
        <v>3</v>
      </c>
      <c r="DE908" s="2" t="s">
        <v>3</v>
      </c>
      <c r="DF908" s="2" t="s">
        <v>3</v>
      </c>
      <c r="DG908" s="2" t="s">
        <v>3</v>
      </c>
      <c r="DH908" s="2" t="s">
        <v>3</v>
      </c>
      <c r="DI908" s="2" t="s">
        <v>3</v>
      </c>
      <c r="DJ908" s="2" t="s">
        <v>3</v>
      </c>
      <c r="DK908" s="2" t="s">
        <v>3</v>
      </c>
      <c r="DL908" s="2" t="s">
        <v>3</v>
      </c>
      <c r="DM908" s="2" t="s">
        <v>3</v>
      </c>
      <c r="DN908" s="2">
        <v>0</v>
      </c>
      <c r="DO908" s="2">
        <v>0</v>
      </c>
      <c r="DP908" s="2">
        <v>1</v>
      </c>
      <c r="DQ908" s="2">
        <v>1</v>
      </c>
      <c r="DR908" s="2"/>
      <c r="DS908" s="2"/>
      <c r="DT908" s="2"/>
      <c r="DU908" s="2">
        <v>1003</v>
      </c>
      <c r="DV908" s="2" t="s">
        <v>455</v>
      </c>
      <c r="DW908" s="2" t="s">
        <v>455</v>
      </c>
      <c r="DX908" s="2">
        <v>100</v>
      </c>
      <c r="DY908" s="2"/>
      <c r="DZ908" s="2" t="s">
        <v>3</v>
      </c>
      <c r="EA908" s="2" t="s">
        <v>3</v>
      </c>
      <c r="EB908" s="2" t="s">
        <v>3</v>
      </c>
      <c r="EC908" s="2" t="s">
        <v>3</v>
      </c>
      <c r="ED908" s="2"/>
      <c r="EE908" s="2">
        <v>126051792</v>
      </c>
      <c r="EF908" s="2">
        <v>40</v>
      </c>
      <c r="EG908" s="2" t="s">
        <v>621</v>
      </c>
      <c r="EH908" s="2">
        <v>0</v>
      </c>
      <c r="EI908" s="2" t="s">
        <v>3</v>
      </c>
      <c r="EJ908" s="2">
        <v>2</v>
      </c>
      <c r="EK908" s="2">
        <v>331</v>
      </c>
      <c r="EL908" s="2" t="s">
        <v>679</v>
      </c>
      <c r="EM908" s="2" t="s">
        <v>680</v>
      </c>
      <c r="EN908" s="2"/>
      <c r="EO908" s="2" t="s">
        <v>3</v>
      </c>
      <c r="EP908" s="2"/>
      <c r="EQ908" s="2">
        <v>131072</v>
      </c>
      <c r="ER908" s="2">
        <v>42.66</v>
      </c>
      <c r="ES908" s="2">
        <v>3.71</v>
      </c>
      <c r="ET908" s="2">
        <v>0.85</v>
      </c>
      <c r="EU908" s="2">
        <v>0.2</v>
      </c>
      <c r="EV908" s="2">
        <v>38.1</v>
      </c>
      <c r="EW908" s="2">
        <v>3.09</v>
      </c>
      <c r="EX908" s="2">
        <v>0</v>
      </c>
      <c r="EY908" s="2">
        <v>0</v>
      </c>
      <c r="EZ908" s="2"/>
      <c r="FA908" s="2"/>
      <c r="FB908" s="2"/>
      <c r="FC908" s="2"/>
      <c r="FD908" s="2"/>
      <c r="FE908" s="2"/>
      <c r="FF908" s="2"/>
      <c r="FG908" s="2"/>
      <c r="FH908" s="2"/>
      <c r="FI908" s="2"/>
      <c r="FJ908" s="2"/>
      <c r="FK908" s="2"/>
      <c r="FL908" s="2"/>
      <c r="FM908" s="2"/>
      <c r="FN908" s="2"/>
      <c r="FO908" s="2"/>
      <c r="FP908" s="2"/>
      <c r="FQ908" s="2">
        <v>0</v>
      </c>
      <c r="FR908" s="2">
        <f t="shared" si="785"/>
        <v>0</v>
      </c>
      <c r="FS908" s="2">
        <v>0</v>
      </c>
      <c r="FT908" s="2"/>
      <c r="FU908" s="2"/>
      <c r="FV908" s="2"/>
      <c r="FW908" s="2"/>
      <c r="FX908" s="2">
        <v>114</v>
      </c>
      <c r="FY908" s="2">
        <v>67</v>
      </c>
      <c r="FZ908" s="2"/>
      <c r="GA908" s="2" t="s">
        <v>3</v>
      </c>
      <c r="GB908" s="2"/>
      <c r="GC908" s="2"/>
      <c r="GD908" s="2">
        <v>0</v>
      </c>
      <c r="GE908" s="2"/>
      <c r="GF908" s="2">
        <v>-103104656</v>
      </c>
      <c r="GG908" s="2">
        <v>2</v>
      </c>
      <c r="GH908" s="2">
        <v>1</v>
      </c>
      <c r="GI908" s="2">
        <v>-2</v>
      </c>
      <c r="GJ908" s="2">
        <v>0</v>
      </c>
      <c r="GK908" s="2">
        <f>ROUND(R908*(R12)/100,2)</f>
        <v>0.16</v>
      </c>
      <c r="GL908" s="2">
        <f t="shared" si="786"/>
        <v>0</v>
      </c>
      <c r="GM908" s="2">
        <f t="shared" si="787"/>
        <v>51.52</v>
      </c>
      <c r="GN908" s="2">
        <f t="shared" si="788"/>
        <v>0</v>
      </c>
      <c r="GO908" s="2">
        <f t="shared" si="789"/>
        <v>51.52</v>
      </c>
      <c r="GP908" s="2">
        <f t="shared" si="790"/>
        <v>0</v>
      </c>
      <c r="GQ908" s="2"/>
      <c r="GR908" s="2">
        <v>0</v>
      </c>
      <c r="GS908" s="2">
        <v>0</v>
      </c>
      <c r="GT908" s="2">
        <v>0</v>
      </c>
      <c r="GU908" s="2" t="s">
        <v>3</v>
      </c>
      <c r="GV908" s="2">
        <f t="shared" si="791"/>
        <v>0</v>
      </c>
      <c r="GW908" s="2">
        <v>1</v>
      </c>
      <c r="GX908" s="2">
        <f t="shared" si="792"/>
        <v>0</v>
      </c>
      <c r="GY908" s="2"/>
      <c r="GZ908" s="2"/>
      <c r="HA908" s="2">
        <v>0</v>
      </c>
      <c r="HB908" s="2">
        <v>0</v>
      </c>
      <c r="HC908" s="2">
        <f t="shared" si="793"/>
        <v>0</v>
      </c>
      <c r="HD908" s="2"/>
      <c r="HE908" s="2" t="s">
        <v>3</v>
      </c>
      <c r="HF908" s="2" t="s">
        <v>3</v>
      </c>
      <c r="HG908" s="2"/>
      <c r="HH908" s="2"/>
      <c r="HI908" s="2"/>
      <c r="HJ908" s="2"/>
      <c r="HK908" s="2"/>
      <c r="HL908" s="2"/>
      <c r="HM908" s="2" t="s">
        <v>3</v>
      </c>
      <c r="HN908" s="2" t="s">
        <v>3</v>
      </c>
      <c r="HO908" s="2" t="s">
        <v>3</v>
      </c>
      <c r="HP908" s="2" t="s">
        <v>3</v>
      </c>
      <c r="HQ908" s="2" t="s">
        <v>3</v>
      </c>
      <c r="HR908" s="2"/>
      <c r="HS908" s="2"/>
      <c r="HT908" s="2"/>
      <c r="HU908" s="2"/>
      <c r="HV908" s="2"/>
      <c r="HW908" s="2"/>
      <c r="HX908" s="2"/>
      <c r="HY908" s="2"/>
      <c r="HZ908" s="2"/>
      <c r="IA908" s="2"/>
      <c r="IB908" s="2"/>
      <c r="IC908" s="2"/>
      <c r="ID908" s="2"/>
      <c r="IE908" s="2"/>
      <c r="IF908" s="2"/>
      <c r="IG908" s="2"/>
      <c r="IH908" s="2"/>
      <c r="II908" s="2"/>
      <c r="IJ908" s="2"/>
      <c r="IK908" s="2">
        <v>0</v>
      </c>
      <c r="IL908" s="2"/>
      <c r="IM908" s="2"/>
      <c r="IN908" s="2"/>
      <c r="IO908" s="2"/>
      <c r="IP908" s="2"/>
      <c r="IQ908" s="2"/>
      <c r="IR908" s="2"/>
      <c r="IS908" s="2"/>
      <c r="IT908" s="2"/>
      <c r="IU908" s="2"/>
    </row>
    <row r="909" spans="1:255" x14ac:dyDescent="0.2">
      <c r="A909">
        <v>17</v>
      </c>
      <c r="B909">
        <v>1</v>
      </c>
      <c r="C909">
        <f>ROW(SmtRes!A780)</f>
        <v>780</v>
      </c>
      <c r="D909">
        <f>ROW(EtalonRes!A750)</f>
        <v>750</v>
      </c>
      <c r="E909" t="s">
        <v>202</v>
      </c>
      <c r="F909" t="s">
        <v>689</v>
      </c>
      <c r="G909" t="s">
        <v>690</v>
      </c>
      <c r="H909" t="s">
        <v>455</v>
      </c>
      <c r="I909">
        <v>0.46</v>
      </c>
      <c r="J909">
        <v>0</v>
      </c>
      <c r="K909">
        <v>0.46</v>
      </c>
      <c r="O909">
        <f t="shared" si="763"/>
        <v>527.19000000000005</v>
      </c>
      <c r="P909">
        <f t="shared" si="764"/>
        <v>13.83</v>
      </c>
      <c r="Q909">
        <f t="shared" si="794"/>
        <v>4.46</v>
      </c>
      <c r="R909">
        <f t="shared" si="765"/>
        <v>2.61</v>
      </c>
      <c r="S909">
        <f t="shared" si="766"/>
        <v>508.9</v>
      </c>
      <c r="T909">
        <f t="shared" si="767"/>
        <v>0</v>
      </c>
      <c r="U909">
        <f t="shared" si="768"/>
        <v>1.4214</v>
      </c>
      <c r="V909">
        <f t="shared" si="769"/>
        <v>0</v>
      </c>
      <c r="W909">
        <f t="shared" si="770"/>
        <v>0</v>
      </c>
      <c r="X909">
        <f t="shared" si="771"/>
        <v>402.03</v>
      </c>
      <c r="Y909">
        <f t="shared" si="772"/>
        <v>208.65</v>
      </c>
      <c r="AA909">
        <v>129761633</v>
      </c>
      <c r="AB909">
        <f t="shared" si="773"/>
        <v>42.66</v>
      </c>
      <c r="AC909">
        <f t="shared" si="774"/>
        <v>3.71</v>
      </c>
      <c r="AD909">
        <f t="shared" si="795"/>
        <v>0.85</v>
      </c>
      <c r="AE909">
        <f t="shared" si="796"/>
        <v>0.2</v>
      </c>
      <c r="AF909">
        <f t="shared" si="797"/>
        <v>38.1</v>
      </c>
      <c r="AG909">
        <f t="shared" si="775"/>
        <v>0</v>
      </c>
      <c r="AH909">
        <f t="shared" si="798"/>
        <v>3.09</v>
      </c>
      <c r="AI909">
        <f t="shared" si="799"/>
        <v>0</v>
      </c>
      <c r="AJ909">
        <f t="shared" si="776"/>
        <v>0</v>
      </c>
      <c r="AK909">
        <v>42.66</v>
      </c>
      <c r="AL909">
        <v>3.71</v>
      </c>
      <c r="AM909">
        <v>0.85</v>
      </c>
      <c r="AN909">
        <v>0.2</v>
      </c>
      <c r="AO909">
        <v>38.1</v>
      </c>
      <c r="AP909">
        <v>0</v>
      </c>
      <c r="AQ909">
        <v>3.09</v>
      </c>
      <c r="AR909">
        <v>0</v>
      </c>
      <c r="AS909">
        <v>0</v>
      </c>
      <c r="AT909">
        <v>79</v>
      </c>
      <c r="AU909">
        <v>41</v>
      </c>
      <c r="AV909">
        <v>1</v>
      </c>
      <c r="AW909">
        <v>1</v>
      </c>
      <c r="AZ909">
        <v>1</v>
      </c>
      <c r="BA909">
        <v>29.03</v>
      </c>
      <c r="BB909">
        <v>11.43</v>
      </c>
      <c r="BC909">
        <v>8.09</v>
      </c>
      <c r="BD909" t="s">
        <v>3</v>
      </c>
      <c r="BE909" t="s">
        <v>3</v>
      </c>
      <c r="BF909" t="s">
        <v>3</v>
      </c>
      <c r="BG909" t="s">
        <v>3</v>
      </c>
      <c r="BH909">
        <v>0</v>
      </c>
      <c r="BI909">
        <v>2</v>
      </c>
      <c r="BJ909" t="s">
        <v>691</v>
      </c>
      <c r="BM909">
        <v>331</v>
      </c>
      <c r="BN909">
        <v>0</v>
      </c>
      <c r="BO909" t="s">
        <v>689</v>
      </c>
      <c r="BP909">
        <v>1</v>
      </c>
      <c r="BQ909">
        <v>40</v>
      </c>
      <c r="BR909">
        <v>0</v>
      </c>
      <c r="BS909">
        <v>29.03</v>
      </c>
      <c r="BT909">
        <v>1</v>
      </c>
      <c r="BU909">
        <v>1</v>
      </c>
      <c r="BV909">
        <v>1</v>
      </c>
      <c r="BW909">
        <v>1</v>
      </c>
      <c r="BX909">
        <v>1</v>
      </c>
      <c r="BY909" t="s">
        <v>3</v>
      </c>
      <c r="BZ909">
        <v>79</v>
      </c>
      <c r="CA909">
        <v>41</v>
      </c>
      <c r="CB909" t="s">
        <v>3</v>
      </c>
      <c r="CE909">
        <v>30</v>
      </c>
      <c r="CF909">
        <v>0</v>
      </c>
      <c r="CG909">
        <v>0</v>
      </c>
      <c r="CM909">
        <v>0</v>
      </c>
      <c r="CN909" t="s">
        <v>3</v>
      </c>
      <c r="CO909">
        <v>0</v>
      </c>
      <c r="CP909">
        <f t="shared" si="777"/>
        <v>527.18999999999994</v>
      </c>
      <c r="CQ909">
        <f t="shared" si="778"/>
        <v>30.01</v>
      </c>
      <c r="CR909">
        <f t="shared" si="800"/>
        <v>9.7200000000000006</v>
      </c>
      <c r="CS909">
        <f t="shared" si="779"/>
        <v>5.81</v>
      </c>
      <c r="CT909">
        <f t="shared" si="780"/>
        <v>1106.04</v>
      </c>
      <c r="CU909">
        <f t="shared" si="781"/>
        <v>0</v>
      </c>
      <c r="CV909">
        <f t="shared" si="782"/>
        <v>3.09</v>
      </c>
      <c r="CW909">
        <f t="shared" si="783"/>
        <v>0</v>
      </c>
      <c r="CX909">
        <f t="shared" si="784"/>
        <v>0</v>
      </c>
      <c r="CY909">
        <f>S909*(BZ909/100)</f>
        <v>402.03100000000001</v>
      </c>
      <c r="CZ909">
        <f>S909*(CA909/100)</f>
        <v>208.64899999999997</v>
      </c>
      <c r="DC909" t="s">
        <v>3</v>
      </c>
      <c r="DD909" t="s">
        <v>3</v>
      </c>
      <c r="DE909" t="s">
        <v>3</v>
      </c>
      <c r="DF909" t="s">
        <v>3</v>
      </c>
      <c r="DG909" t="s">
        <v>3</v>
      </c>
      <c r="DH909" t="s">
        <v>3</v>
      </c>
      <c r="DI909" t="s">
        <v>3</v>
      </c>
      <c r="DJ909" t="s">
        <v>3</v>
      </c>
      <c r="DK909" t="s">
        <v>3</v>
      </c>
      <c r="DL909" t="s">
        <v>3</v>
      </c>
      <c r="DM909" t="s">
        <v>3</v>
      </c>
      <c r="DN909">
        <v>114</v>
      </c>
      <c r="DO909">
        <v>67</v>
      </c>
      <c r="DP909">
        <v>1</v>
      </c>
      <c r="DQ909">
        <v>1</v>
      </c>
      <c r="DU909">
        <v>1003</v>
      </c>
      <c r="DV909" t="s">
        <v>455</v>
      </c>
      <c r="DW909" t="s">
        <v>455</v>
      </c>
      <c r="DX909">
        <v>100</v>
      </c>
      <c r="DZ909" t="s">
        <v>3</v>
      </c>
      <c r="EA909" t="s">
        <v>3</v>
      </c>
      <c r="EB909" t="s">
        <v>3</v>
      </c>
      <c r="EC909" t="s">
        <v>3</v>
      </c>
      <c r="EE909">
        <v>126051792</v>
      </c>
      <c r="EF909">
        <v>40</v>
      </c>
      <c r="EG909" t="s">
        <v>621</v>
      </c>
      <c r="EH909">
        <v>0</v>
      </c>
      <c r="EI909" t="s">
        <v>3</v>
      </c>
      <c r="EJ909">
        <v>2</v>
      </c>
      <c r="EK909">
        <v>331</v>
      </c>
      <c r="EL909" t="s">
        <v>679</v>
      </c>
      <c r="EM909" t="s">
        <v>680</v>
      </c>
      <c r="EO909" t="s">
        <v>3</v>
      </c>
      <c r="EQ909">
        <v>131072</v>
      </c>
      <c r="ER909">
        <v>42.66</v>
      </c>
      <c r="ES909">
        <v>3.71</v>
      </c>
      <c r="ET909">
        <v>0.85</v>
      </c>
      <c r="EU909">
        <v>0.2</v>
      </c>
      <c r="EV909">
        <v>38.1</v>
      </c>
      <c r="EW909">
        <v>3.09</v>
      </c>
      <c r="EX909">
        <v>0</v>
      </c>
      <c r="EY909">
        <v>0</v>
      </c>
      <c r="FQ909">
        <v>0</v>
      </c>
      <c r="FR909">
        <f t="shared" si="785"/>
        <v>0</v>
      </c>
      <c r="FS909">
        <v>0</v>
      </c>
      <c r="FX909">
        <v>114</v>
      </c>
      <c r="FY909">
        <v>67</v>
      </c>
      <c r="GA909" t="s">
        <v>3</v>
      </c>
      <c r="GD909">
        <v>0</v>
      </c>
      <c r="GF909">
        <v>-103104656</v>
      </c>
      <c r="GG909">
        <v>2</v>
      </c>
      <c r="GH909">
        <v>1</v>
      </c>
      <c r="GI909">
        <v>2</v>
      </c>
      <c r="GJ909">
        <v>0</v>
      </c>
      <c r="GK909">
        <f>ROUND(R909*(S12)/100,2)</f>
        <v>4.18</v>
      </c>
      <c r="GL909">
        <f t="shared" si="786"/>
        <v>0</v>
      </c>
      <c r="GM909">
        <f t="shared" si="787"/>
        <v>1142.05</v>
      </c>
      <c r="GN909">
        <f t="shared" si="788"/>
        <v>0</v>
      </c>
      <c r="GO909">
        <f t="shared" si="789"/>
        <v>1142.05</v>
      </c>
      <c r="GP909">
        <f t="shared" si="790"/>
        <v>0</v>
      </c>
      <c r="GR909">
        <v>0</v>
      </c>
      <c r="GS909">
        <v>3</v>
      </c>
      <c r="GT909">
        <v>0</v>
      </c>
      <c r="GU909" t="s">
        <v>3</v>
      </c>
      <c r="GV909">
        <f t="shared" si="791"/>
        <v>0</v>
      </c>
      <c r="GW909">
        <v>1</v>
      </c>
      <c r="GX909">
        <f t="shared" si="792"/>
        <v>0</v>
      </c>
      <c r="HA909">
        <v>0</v>
      </c>
      <c r="HB909">
        <v>0</v>
      </c>
      <c r="HC909">
        <f t="shared" si="793"/>
        <v>0</v>
      </c>
      <c r="HE909" t="s">
        <v>3</v>
      </c>
      <c r="HF909" t="s">
        <v>3</v>
      </c>
      <c r="HM909" t="s">
        <v>3</v>
      </c>
      <c r="HN909" t="s">
        <v>3</v>
      </c>
      <c r="HO909" t="s">
        <v>3</v>
      </c>
      <c r="HP909" t="s">
        <v>3</v>
      </c>
      <c r="HQ909" t="s">
        <v>3</v>
      </c>
      <c r="IK909">
        <v>0</v>
      </c>
    </row>
    <row r="910" spans="1:255" x14ac:dyDescent="0.2">
      <c r="A910" s="2">
        <v>18</v>
      </c>
      <c r="B910" s="2">
        <v>1</v>
      </c>
      <c r="C910" s="2">
        <v>774</v>
      </c>
      <c r="D910" s="2"/>
      <c r="E910" s="2" t="s">
        <v>209</v>
      </c>
      <c r="F910" s="2" t="s">
        <v>248</v>
      </c>
      <c r="G910" s="2" t="s">
        <v>779</v>
      </c>
      <c r="H910" s="2" t="s">
        <v>270</v>
      </c>
      <c r="I910" s="2">
        <f>I908*J910</f>
        <v>3.06</v>
      </c>
      <c r="J910" s="2">
        <v>6.6521739130434785</v>
      </c>
      <c r="K910" s="2">
        <v>6.6521739130434785</v>
      </c>
      <c r="L910" s="2"/>
      <c r="M910" s="2"/>
      <c r="N910" s="2"/>
      <c r="O910" s="2">
        <f t="shared" si="763"/>
        <v>21.57</v>
      </c>
      <c r="P910" s="2">
        <f t="shared" si="764"/>
        <v>21.57</v>
      </c>
      <c r="Q910" s="2">
        <f t="shared" si="794"/>
        <v>0</v>
      </c>
      <c r="R910" s="2">
        <f t="shared" si="765"/>
        <v>0</v>
      </c>
      <c r="S910" s="2">
        <f t="shared" si="766"/>
        <v>0</v>
      </c>
      <c r="T910" s="2">
        <f t="shared" si="767"/>
        <v>0</v>
      </c>
      <c r="U910" s="2">
        <f t="shared" si="768"/>
        <v>0</v>
      </c>
      <c r="V910" s="2">
        <f t="shared" si="769"/>
        <v>0</v>
      </c>
      <c r="W910" s="2">
        <f t="shared" si="770"/>
        <v>0</v>
      </c>
      <c r="X910" s="2">
        <f t="shared" si="771"/>
        <v>0</v>
      </c>
      <c r="Y910" s="2">
        <f t="shared" si="772"/>
        <v>0</v>
      </c>
      <c r="Z910" s="2"/>
      <c r="AA910" s="2">
        <v>129761636</v>
      </c>
      <c r="AB910" s="2">
        <f t="shared" si="773"/>
        <v>7.05</v>
      </c>
      <c r="AC910" s="2">
        <f t="shared" si="774"/>
        <v>7.05</v>
      </c>
      <c r="AD910" s="2">
        <f t="shared" si="795"/>
        <v>0</v>
      </c>
      <c r="AE910" s="2">
        <f t="shared" si="796"/>
        <v>0</v>
      </c>
      <c r="AF910" s="2">
        <f t="shared" si="797"/>
        <v>0</v>
      </c>
      <c r="AG910" s="2">
        <f t="shared" si="775"/>
        <v>0</v>
      </c>
      <c r="AH910" s="2">
        <f t="shared" si="798"/>
        <v>0</v>
      </c>
      <c r="AI910" s="2">
        <f t="shared" si="799"/>
        <v>0</v>
      </c>
      <c r="AJ910" s="2">
        <f t="shared" si="776"/>
        <v>0</v>
      </c>
      <c r="AK910" s="2">
        <v>7.05</v>
      </c>
      <c r="AL910" s="2">
        <v>7.05</v>
      </c>
      <c r="AM910" s="2">
        <v>0</v>
      </c>
      <c r="AN910" s="2">
        <v>0</v>
      </c>
      <c r="AO910" s="2">
        <v>0</v>
      </c>
      <c r="AP910" s="2">
        <v>0</v>
      </c>
      <c r="AQ910" s="2">
        <v>0</v>
      </c>
      <c r="AR910" s="2">
        <v>0</v>
      </c>
      <c r="AS910" s="2">
        <v>0</v>
      </c>
      <c r="AT910" s="2">
        <v>114</v>
      </c>
      <c r="AU910" s="2">
        <v>67</v>
      </c>
      <c r="AV910" s="2">
        <v>1</v>
      </c>
      <c r="AW910" s="2">
        <v>1</v>
      </c>
      <c r="AX910" s="2"/>
      <c r="AY910" s="2"/>
      <c r="AZ910" s="2">
        <v>1</v>
      </c>
      <c r="BA910" s="2">
        <v>1</v>
      </c>
      <c r="BB910" s="2">
        <v>1</v>
      </c>
      <c r="BC910" s="2">
        <v>1</v>
      </c>
      <c r="BD910" s="2" t="s">
        <v>3</v>
      </c>
      <c r="BE910" s="2" t="s">
        <v>3</v>
      </c>
      <c r="BF910" s="2" t="s">
        <v>3</v>
      </c>
      <c r="BG910" s="2" t="s">
        <v>3</v>
      </c>
      <c r="BH910" s="2">
        <v>3</v>
      </c>
      <c r="BI910" s="2">
        <v>2</v>
      </c>
      <c r="BJ910" s="2" t="s">
        <v>3</v>
      </c>
      <c r="BK910" s="2"/>
      <c r="BL910" s="2"/>
      <c r="BM910" s="2">
        <v>331</v>
      </c>
      <c r="BN910" s="2">
        <v>0</v>
      </c>
      <c r="BO910" s="2" t="s">
        <v>3</v>
      </c>
      <c r="BP910" s="2">
        <v>0</v>
      </c>
      <c r="BQ910" s="2">
        <v>40</v>
      </c>
      <c r="BR910" s="2">
        <v>0</v>
      </c>
      <c r="BS910" s="2">
        <v>1</v>
      </c>
      <c r="BT910" s="2">
        <v>1</v>
      </c>
      <c r="BU910" s="2">
        <v>1</v>
      </c>
      <c r="BV910" s="2">
        <v>1</v>
      </c>
      <c r="BW910" s="2">
        <v>1</v>
      </c>
      <c r="BX910" s="2">
        <v>1</v>
      </c>
      <c r="BY910" s="2" t="s">
        <v>3</v>
      </c>
      <c r="BZ910" s="2">
        <v>114</v>
      </c>
      <c r="CA910" s="2">
        <v>67</v>
      </c>
      <c r="CB910" s="2" t="s">
        <v>3</v>
      </c>
      <c r="CC910" s="2"/>
      <c r="CD910" s="2"/>
      <c r="CE910" s="2">
        <v>30</v>
      </c>
      <c r="CF910" s="2">
        <v>0</v>
      </c>
      <c r="CG910" s="2">
        <v>0</v>
      </c>
      <c r="CH910" s="2"/>
      <c r="CI910" s="2"/>
      <c r="CJ910" s="2"/>
      <c r="CK910" s="2"/>
      <c r="CL910" s="2"/>
      <c r="CM910" s="2">
        <v>0</v>
      </c>
      <c r="CN910" s="2" t="s">
        <v>3</v>
      </c>
      <c r="CO910" s="2">
        <v>0</v>
      </c>
      <c r="CP910" s="2">
        <f t="shared" si="777"/>
        <v>21.57</v>
      </c>
      <c r="CQ910" s="2">
        <f t="shared" si="778"/>
        <v>7.05</v>
      </c>
      <c r="CR910" s="2">
        <f t="shared" si="800"/>
        <v>0</v>
      </c>
      <c r="CS910" s="2">
        <f t="shared" si="779"/>
        <v>0</v>
      </c>
      <c r="CT910" s="2">
        <f t="shared" si="780"/>
        <v>0</v>
      </c>
      <c r="CU910" s="2">
        <f t="shared" si="781"/>
        <v>0</v>
      </c>
      <c r="CV910" s="2">
        <f t="shared" si="782"/>
        <v>0</v>
      </c>
      <c r="CW910" s="2">
        <f t="shared" si="783"/>
        <v>0</v>
      </c>
      <c r="CX910" s="2">
        <f t="shared" si="784"/>
        <v>0</v>
      </c>
      <c r="CY910" s="2">
        <f>((S910*BZ910)/100)</f>
        <v>0</v>
      </c>
      <c r="CZ910" s="2">
        <f>((S910*CA910)/100)</f>
        <v>0</v>
      </c>
      <c r="DA910" s="2"/>
      <c r="DB910" s="2"/>
      <c r="DC910" s="2" t="s">
        <v>3</v>
      </c>
      <c r="DD910" s="2" t="s">
        <v>3</v>
      </c>
      <c r="DE910" s="2" t="s">
        <v>3</v>
      </c>
      <c r="DF910" s="2" t="s">
        <v>3</v>
      </c>
      <c r="DG910" s="2" t="s">
        <v>3</v>
      </c>
      <c r="DH910" s="2" t="s">
        <v>3</v>
      </c>
      <c r="DI910" s="2" t="s">
        <v>3</v>
      </c>
      <c r="DJ910" s="2" t="s">
        <v>3</v>
      </c>
      <c r="DK910" s="2" t="s">
        <v>3</v>
      </c>
      <c r="DL910" s="2" t="s">
        <v>3</v>
      </c>
      <c r="DM910" s="2" t="s">
        <v>3</v>
      </c>
      <c r="DN910" s="2">
        <v>0</v>
      </c>
      <c r="DO910" s="2">
        <v>0</v>
      </c>
      <c r="DP910" s="2">
        <v>1</v>
      </c>
      <c r="DQ910" s="2">
        <v>1</v>
      </c>
      <c r="DR910" s="2"/>
      <c r="DS910" s="2"/>
      <c r="DT910" s="2"/>
      <c r="DU910" s="2">
        <v>1003</v>
      </c>
      <c r="DV910" s="2" t="s">
        <v>270</v>
      </c>
      <c r="DW910" s="2" t="s">
        <v>270</v>
      </c>
      <c r="DX910" s="2">
        <v>1</v>
      </c>
      <c r="DY910" s="2"/>
      <c r="DZ910" s="2" t="s">
        <v>3</v>
      </c>
      <c r="EA910" s="2" t="s">
        <v>3</v>
      </c>
      <c r="EB910" s="2" t="s">
        <v>3</v>
      </c>
      <c r="EC910" s="2" t="s">
        <v>3</v>
      </c>
      <c r="ED910" s="2"/>
      <c r="EE910" s="2">
        <v>126051792</v>
      </c>
      <c r="EF910" s="2">
        <v>40</v>
      </c>
      <c r="EG910" s="2" t="s">
        <v>621</v>
      </c>
      <c r="EH910" s="2">
        <v>0</v>
      </c>
      <c r="EI910" s="2" t="s">
        <v>3</v>
      </c>
      <c r="EJ910" s="2">
        <v>2</v>
      </c>
      <c r="EK910" s="2">
        <v>331</v>
      </c>
      <c r="EL910" s="2" t="s">
        <v>679</v>
      </c>
      <c r="EM910" s="2" t="s">
        <v>680</v>
      </c>
      <c r="EN910" s="2"/>
      <c r="EO910" s="2" t="s">
        <v>3</v>
      </c>
      <c r="EP910" s="2"/>
      <c r="EQ910" s="2">
        <v>0</v>
      </c>
      <c r="ER910" s="2">
        <v>7.05</v>
      </c>
      <c r="ES910" s="2">
        <v>7.05</v>
      </c>
      <c r="ET910" s="2">
        <v>0</v>
      </c>
      <c r="EU910" s="2">
        <v>0</v>
      </c>
      <c r="EV910" s="2">
        <v>0</v>
      </c>
      <c r="EW910" s="2">
        <v>0</v>
      </c>
      <c r="EX910" s="2">
        <v>0</v>
      </c>
      <c r="EY910" s="2"/>
      <c r="EZ910" s="2"/>
      <c r="FA910" s="2"/>
      <c r="FB910" s="2"/>
      <c r="FC910" s="2"/>
      <c r="FD910" s="2"/>
      <c r="FE910" s="2"/>
      <c r="FF910" s="2"/>
      <c r="FG910" s="2"/>
      <c r="FH910" s="2"/>
      <c r="FI910" s="2"/>
      <c r="FJ910" s="2"/>
      <c r="FK910" s="2"/>
      <c r="FL910" s="2"/>
      <c r="FM910" s="2"/>
      <c r="FN910" s="2"/>
      <c r="FO910" s="2"/>
      <c r="FP910" s="2"/>
      <c r="FQ910" s="2">
        <v>0</v>
      </c>
      <c r="FR910" s="2">
        <f t="shared" si="785"/>
        <v>0</v>
      </c>
      <c r="FS910" s="2">
        <v>0</v>
      </c>
      <c r="FT910" s="2"/>
      <c r="FU910" s="2"/>
      <c r="FV910" s="2"/>
      <c r="FW910" s="2"/>
      <c r="FX910" s="2">
        <v>114</v>
      </c>
      <c r="FY910" s="2">
        <v>67</v>
      </c>
      <c r="FZ910" s="2"/>
      <c r="GA910" s="2" t="s">
        <v>3</v>
      </c>
      <c r="GB910" s="2"/>
      <c r="GC910" s="2"/>
      <c r="GD910" s="2">
        <v>0</v>
      </c>
      <c r="GE910" s="2"/>
      <c r="GF910" s="2">
        <v>1541029887</v>
      </c>
      <c r="GG910" s="2">
        <v>2</v>
      </c>
      <c r="GH910" s="2">
        <v>0</v>
      </c>
      <c r="GI910" s="2">
        <v>-2</v>
      </c>
      <c r="GJ910" s="2">
        <v>0</v>
      </c>
      <c r="GK910" s="2">
        <f>ROUND(R910*(R12)/100,2)</f>
        <v>0</v>
      </c>
      <c r="GL910" s="2">
        <f t="shared" si="786"/>
        <v>0</v>
      </c>
      <c r="GM910" s="2">
        <f t="shared" si="787"/>
        <v>21.57</v>
      </c>
      <c r="GN910" s="2">
        <f t="shared" si="788"/>
        <v>0</v>
      </c>
      <c r="GO910" s="2">
        <f t="shared" si="789"/>
        <v>21.57</v>
      </c>
      <c r="GP910" s="2">
        <f t="shared" si="790"/>
        <v>0</v>
      </c>
      <c r="GQ910" s="2"/>
      <c r="GR910" s="2">
        <v>0</v>
      </c>
      <c r="GS910" s="2">
        <v>0</v>
      </c>
      <c r="GT910" s="2">
        <v>0</v>
      </c>
      <c r="GU910" s="2" t="s">
        <v>3</v>
      </c>
      <c r="GV910" s="2">
        <f t="shared" si="791"/>
        <v>0</v>
      </c>
      <c r="GW910" s="2">
        <v>1</v>
      </c>
      <c r="GX910" s="2">
        <f t="shared" si="792"/>
        <v>0</v>
      </c>
      <c r="GY910" s="2"/>
      <c r="GZ910" s="2"/>
      <c r="HA910" s="2">
        <v>0</v>
      </c>
      <c r="HB910" s="2">
        <v>0</v>
      </c>
      <c r="HC910" s="2">
        <f t="shared" si="793"/>
        <v>0</v>
      </c>
      <c r="HD910" s="2"/>
      <c r="HE910" s="2" t="s">
        <v>3</v>
      </c>
      <c r="HF910" s="2" t="s">
        <v>3</v>
      </c>
      <c r="HG910" s="2"/>
      <c r="HH910" s="2"/>
      <c r="HI910" s="2"/>
      <c r="HJ910" s="2"/>
      <c r="HK910" s="2"/>
      <c r="HL910" s="2"/>
      <c r="HM910" s="2" t="s">
        <v>3</v>
      </c>
      <c r="HN910" s="2" t="s">
        <v>3</v>
      </c>
      <c r="HO910" s="2" t="s">
        <v>3</v>
      </c>
      <c r="HP910" s="2" t="s">
        <v>3</v>
      </c>
      <c r="HQ910" s="2" t="s">
        <v>3</v>
      </c>
      <c r="HR910" s="2"/>
      <c r="HS910" s="2"/>
      <c r="HT910" s="2"/>
      <c r="HU910" s="2"/>
      <c r="HV910" s="2"/>
      <c r="HW910" s="2"/>
      <c r="HX910" s="2"/>
      <c r="HY910" s="2"/>
      <c r="HZ910" s="2"/>
      <c r="IA910" s="2"/>
      <c r="IB910" s="2"/>
      <c r="IC910" s="2"/>
      <c r="ID910" s="2"/>
      <c r="IE910" s="2"/>
      <c r="IF910" s="2"/>
      <c r="IG910" s="2"/>
      <c r="IH910" s="2"/>
      <c r="II910" s="2"/>
      <c r="IJ910" s="2"/>
      <c r="IK910" s="2">
        <v>0</v>
      </c>
      <c r="IL910" s="2"/>
      <c r="IM910" s="2"/>
      <c r="IN910" s="2"/>
      <c r="IO910" s="2"/>
      <c r="IP910" s="2"/>
      <c r="IQ910" s="2"/>
      <c r="IR910" s="2"/>
      <c r="IS910" s="2"/>
      <c r="IT910" s="2"/>
      <c r="IU910" s="2"/>
    </row>
    <row r="911" spans="1:255" x14ac:dyDescent="0.2">
      <c r="A911">
        <v>18</v>
      </c>
      <c r="B911">
        <v>1</v>
      </c>
      <c r="C911">
        <v>779</v>
      </c>
      <c r="E911" t="s">
        <v>209</v>
      </c>
      <c r="F911" t="s">
        <v>248</v>
      </c>
      <c r="G911" t="s">
        <v>779</v>
      </c>
      <c r="H911" t="s">
        <v>270</v>
      </c>
      <c r="I911">
        <f>I909*J911</f>
        <v>3.06</v>
      </c>
      <c r="J911">
        <v>6.6521739130434785</v>
      </c>
      <c r="K911">
        <v>6.6521739130434785</v>
      </c>
      <c r="O911">
        <f t="shared" si="763"/>
        <v>143.16</v>
      </c>
      <c r="P911">
        <f t="shared" si="764"/>
        <v>143.16</v>
      </c>
      <c r="Q911">
        <f t="shared" si="794"/>
        <v>0</v>
      </c>
      <c r="R911">
        <f t="shared" si="765"/>
        <v>0</v>
      </c>
      <c r="S911">
        <f t="shared" si="766"/>
        <v>0</v>
      </c>
      <c r="T911">
        <f t="shared" si="767"/>
        <v>0</v>
      </c>
      <c r="U911">
        <f t="shared" si="768"/>
        <v>0</v>
      </c>
      <c r="V911">
        <f t="shared" si="769"/>
        <v>0</v>
      </c>
      <c r="W911">
        <f t="shared" si="770"/>
        <v>0</v>
      </c>
      <c r="X911">
        <f t="shared" si="771"/>
        <v>0</v>
      </c>
      <c r="Y911">
        <f t="shared" si="772"/>
        <v>0</v>
      </c>
      <c r="AA911">
        <v>129761633</v>
      </c>
      <c r="AB911">
        <f t="shared" si="773"/>
        <v>5.41</v>
      </c>
      <c r="AC911">
        <f t="shared" si="774"/>
        <v>5.41</v>
      </c>
      <c r="AD911">
        <f t="shared" si="795"/>
        <v>0</v>
      </c>
      <c r="AE911">
        <f t="shared" si="796"/>
        <v>0</v>
      </c>
      <c r="AF911">
        <f t="shared" si="797"/>
        <v>0</v>
      </c>
      <c r="AG911">
        <f t="shared" si="775"/>
        <v>0</v>
      </c>
      <c r="AH911">
        <f t="shared" si="798"/>
        <v>0</v>
      </c>
      <c r="AI911">
        <f t="shared" si="799"/>
        <v>0</v>
      </c>
      <c r="AJ911">
        <f t="shared" si="776"/>
        <v>0</v>
      </c>
      <c r="AK911">
        <v>5.41</v>
      </c>
      <c r="AL911">
        <v>5.41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1</v>
      </c>
      <c r="AW911">
        <v>1</v>
      </c>
      <c r="AZ911">
        <v>1</v>
      </c>
      <c r="BA911">
        <v>1</v>
      </c>
      <c r="BB911">
        <v>1</v>
      </c>
      <c r="BC911">
        <v>8.65</v>
      </c>
      <c r="BD911" t="s">
        <v>3</v>
      </c>
      <c r="BE911" t="s">
        <v>3</v>
      </c>
      <c r="BF911" t="s">
        <v>3</v>
      </c>
      <c r="BG911" t="s">
        <v>3</v>
      </c>
      <c r="BH911">
        <v>3</v>
      </c>
      <c r="BI911">
        <v>2</v>
      </c>
      <c r="BJ911" t="s">
        <v>3</v>
      </c>
      <c r="BM911">
        <v>331</v>
      </c>
      <c r="BN911">
        <v>0</v>
      </c>
      <c r="BO911" t="s">
        <v>3</v>
      </c>
      <c r="BP911">
        <v>0</v>
      </c>
      <c r="BQ911">
        <v>40</v>
      </c>
      <c r="BR911">
        <v>0</v>
      </c>
      <c r="BS911">
        <v>1</v>
      </c>
      <c r="BT911">
        <v>1</v>
      </c>
      <c r="BU911">
        <v>1</v>
      </c>
      <c r="BV911">
        <v>1</v>
      </c>
      <c r="BW911">
        <v>1</v>
      </c>
      <c r="BX911">
        <v>1</v>
      </c>
      <c r="BY911" t="s">
        <v>3</v>
      </c>
      <c r="BZ911">
        <v>0</v>
      </c>
      <c r="CA911">
        <v>0</v>
      </c>
      <c r="CB911" t="s">
        <v>3</v>
      </c>
      <c r="CE911">
        <v>30</v>
      </c>
      <c r="CF911">
        <v>0</v>
      </c>
      <c r="CG911">
        <v>0</v>
      </c>
      <c r="CM911">
        <v>0</v>
      </c>
      <c r="CN911" t="s">
        <v>3</v>
      </c>
      <c r="CO911">
        <v>0</v>
      </c>
      <c r="CP911">
        <f t="shared" si="777"/>
        <v>143.16</v>
      </c>
      <c r="CQ911">
        <f t="shared" si="778"/>
        <v>46.8</v>
      </c>
      <c r="CR911">
        <f t="shared" si="800"/>
        <v>0</v>
      </c>
      <c r="CS911">
        <f t="shared" si="779"/>
        <v>0</v>
      </c>
      <c r="CT911">
        <f t="shared" si="780"/>
        <v>0</v>
      </c>
      <c r="CU911">
        <f t="shared" si="781"/>
        <v>0</v>
      </c>
      <c r="CV911">
        <f t="shared" si="782"/>
        <v>0</v>
      </c>
      <c r="CW911">
        <f t="shared" si="783"/>
        <v>0</v>
      </c>
      <c r="CX911">
        <f t="shared" si="784"/>
        <v>0</v>
      </c>
      <c r="CY911">
        <f>S911*(BZ911/100)</f>
        <v>0</v>
      </c>
      <c r="CZ911">
        <f>S911*(CA911/100)</f>
        <v>0</v>
      </c>
      <c r="DC911" t="s">
        <v>3</v>
      </c>
      <c r="DD911" t="s">
        <v>3</v>
      </c>
      <c r="DE911" t="s">
        <v>3</v>
      </c>
      <c r="DF911" t="s">
        <v>3</v>
      </c>
      <c r="DG911" t="s">
        <v>3</v>
      </c>
      <c r="DH911" t="s">
        <v>3</v>
      </c>
      <c r="DI911" t="s">
        <v>3</v>
      </c>
      <c r="DJ911" t="s">
        <v>3</v>
      </c>
      <c r="DK911" t="s">
        <v>3</v>
      </c>
      <c r="DL911" t="s">
        <v>3</v>
      </c>
      <c r="DM911" t="s">
        <v>3</v>
      </c>
      <c r="DN911">
        <v>114</v>
      </c>
      <c r="DO911">
        <v>67</v>
      </c>
      <c r="DP911">
        <v>1</v>
      </c>
      <c r="DQ911">
        <v>1</v>
      </c>
      <c r="DU911">
        <v>1003</v>
      </c>
      <c r="DV911" t="s">
        <v>270</v>
      </c>
      <c r="DW911" t="s">
        <v>270</v>
      </c>
      <c r="DX911">
        <v>1</v>
      </c>
      <c r="DZ911" t="s">
        <v>3</v>
      </c>
      <c r="EA911" t="s">
        <v>3</v>
      </c>
      <c r="EB911" t="s">
        <v>3</v>
      </c>
      <c r="EC911" t="s">
        <v>3</v>
      </c>
      <c r="EE911">
        <v>126051792</v>
      </c>
      <c r="EF911">
        <v>40</v>
      </c>
      <c r="EG911" t="s">
        <v>621</v>
      </c>
      <c r="EH911">
        <v>0</v>
      </c>
      <c r="EI911" t="s">
        <v>3</v>
      </c>
      <c r="EJ911">
        <v>2</v>
      </c>
      <c r="EK911">
        <v>331</v>
      </c>
      <c r="EL911" t="s">
        <v>679</v>
      </c>
      <c r="EM911" t="s">
        <v>680</v>
      </c>
      <c r="EO911" t="s">
        <v>3</v>
      </c>
      <c r="EQ911">
        <v>0</v>
      </c>
      <c r="ER911">
        <v>7.05</v>
      </c>
      <c r="ES911">
        <v>5.41</v>
      </c>
      <c r="ET911">
        <v>0</v>
      </c>
      <c r="EU911">
        <v>0</v>
      </c>
      <c r="EV911">
        <v>0</v>
      </c>
      <c r="EW911">
        <v>0</v>
      </c>
      <c r="EX911">
        <v>0</v>
      </c>
      <c r="EZ911">
        <v>5</v>
      </c>
      <c r="FC911">
        <v>1</v>
      </c>
      <c r="FD911">
        <v>18</v>
      </c>
      <c r="FF911">
        <v>55</v>
      </c>
      <c r="FQ911">
        <v>0</v>
      </c>
      <c r="FR911">
        <f t="shared" si="785"/>
        <v>0</v>
      </c>
      <c r="FS911">
        <v>0</v>
      </c>
      <c r="FX911">
        <v>114</v>
      </c>
      <c r="FY911">
        <v>67</v>
      </c>
      <c r="GA911" t="s">
        <v>780</v>
      </c>
      <c r="GD911">
        <v>0</v>
      </c>
      <c r="GF911">
        <v>1541029887</v>
      </c>
      <c r="GG911">
        <v>2</v>
      </c>
      <c r="GH911">
        <v>3</v>
      </c>
      <c r="GI911">
        <v>5</v>
      </c>
      <c r="GJ911">
        <v>0</v>
      </c>
      <c r="GK911">
        <f>ROUND(R911*(S12)/100,2)</f>
        <v>0</v>
      </c>
      <c r="GL911">
        <f t="shared" si="786"/>
        <v>0</v>
      </c>
      <c r="GM911">
        <f t="shared" si="787"/>
        <v>143.16</v>
      </c>
      <c r="GN911">
        <f t="shared" si="788"/>
        <v>0</v>
      </c>
      <c r="GO911">
        <f t="shared" si="789"/>
        <v>143.16</v>
      </c>
      <c r="GP911">
        <f t="shared" si="790"/>
        <v>0</v>
      </c>
      <c r="GR911">
        <v>1</v>
      </c>
      <c r="GS911">
        <v>1</v>
      </c>
      <c r="GT911">
        <v>0</v>
      </c>
      <c r="GU911" t="s">
        <v>3</v>
      </c>
      <c r="GV911">
        <f t="shared" si="791"/>
        <v>0</v>
      </c>
      <c r="GW911">
        <v>1</v>
      </c>
      <c r="GX911">
        <f t="shared" si="792"/>
        <v>0</v>
      </c>
      <c r="HA911">
        <v>0</v>
      </c>
      <c r="HB911">
        <v>0</v>
      </c>
      <c r="HC911">
        <f t="shared" si="793"/>
        <v>0</v>
      </c>
      <c r="HE911" t="s">
        <v>81</v>
      </c>
      <c r="HF911" t="s">
        <v>252</v>
      </c>
      <c r="HM911" t="s">
        <v>3</v>
      </c>
      <c r="HN911" t="s">
        <v>3</v>
      </c>
      <c r="HO911" t="s">
        <v>3</v>
      </c>
      <c r="HP911" t="s">
        <v>3</v>
      </c>
      <c r="HQ911" t="s">
        <v>3</v>
      </c>
      <c r="IK911">
        <v>0</v>
      </c>
    </row>
    <row r="912" spans="1:255" x14ac:dyDescent="0.2">
      <c r="A912" s="2">
        <v>18</v>
      </c>
      <c r="B912" s="2">
        <v>1</v>
      </c>
      <c r="C912" s="2">
        <v>773</v>
      </c>
      <c r="D912" s="2"/>
      <c r="E912" s="2" t="s">
        <v>781</v>
      </c>
      <c r="F912" s="2" t="s">
        <v>782</v>
      </c>
      <c r="G912" s="2" t="s">
        <v>1567</v>
      </c>
      <c r="H912" s="2" t="s">
        <v>694</v>
      </c>
      <c r="I912" s="2">
        <f>I908*J912</f>
        <v>3.5700000000000003E-2</v>
      </c>
      <c r="J912" s="2">
        <v>7.7608695652173917E-2</v>
      </c>
      <c r="K912" s="2">
        <v>7.7608999999999997E-2</v>
      </c>
      <c r="L912" s="2"/>
      <c r="M912" s="2"/>
      <c r="N912" s="2"/>
      <c r="O912" s="2">
        <f t="shared" si="763"/>
        <v>704.09</v>
      </c>
      <c r="P912" s="2">
        <f t="shared" si="764"/>
        <v>704.09</v>
      </c>
      <c r="Q912" s="2">
        <f t="shared" si="794"/>
        <v>0</v>
      </c>
      <c r="R912" s="2">
        <f t="shared" si="765"/>
        <v>0</v>
      </c>
      <c r="S912" s="2">
        <f t="shared" si="766"/>
        <v>0</v>
      </c>
      <c r="T912" s="2">
        <f t="shared" si="767"/>
        <v>0</v>
      </c>
      <c r="U912" s="2">
        <f t="shared" si="768"/>
        <v>0</v>
      </c>
      <c r="V912" s="2">
        <f t="shared" si="769"/>
        <v>0</v>
      </c>
      <c r="W912" s="2">
        <f t="shared" si="770"/>
        <v>0</v>
      </c>
      <c r="X912" s="2">
        <f t="shared" si="771"/>
        <v>0</v>
      </c>
      <c r="Y912" s="2">
        <f t="shared" si="772"/>
        <v>0</v>
      </c>
      <c r="Z912" s="2"/>
      <c r="AA912" s="2">
        <v>129761636</v>
      </c>
      <c r="AB912" s="2">
        <f t="shared" si="773"/>
        <v>19722.349999999999</v>
      </c>
      <c r="AC912" s="2">
        <f t="shared" si="774"/>
        <v>19722.349999999999</v>
      </c>
      <c r="AD912" s="2">
        <f t="shared" si="795"/>
        <v>0</v>
      </c>
      <c r="AE912" s="2">
        <f t="shared" si="796"/>
        <v>0</v>
      </c>
      <c r="AF912" s="2">
        <f t="shared" si="797"/>
        <v>0</v>
      </c>
      <c r="AG912" s="2">
        <f t="shared" si="775"/>
        <v>0</v>
      </c>
      <c r="AH912" s="2">
        <f t="shared" si="798"/>
        <v>0</v>
      </c>
      <c r="AI912" s="2">
        <f t="shared" si="799"/>
        <v>0</v>
      </c>
      <c r="AJ912" s="2">
        <f t="shared" si="776"/>
        <v>0</v>
      </c>
      <c r="AK912" s="2">
        <v>19722.349999999999</v>
      </c>
      <c r="AL912" s="2">
        <v>19722.349999999999</v>
      </c>
      <c r="AM912" s="2">
        <v>0</v>
      </c>
      <c r="AN912" s="2">
        <v>0</v>
      </c>
      <c r="AO912" s="2">
        <v>0</v>
      </c>
      <c r="AP912" s="2">
        <v>0</v>
      </c>
      <c r="AQ912" s="2">
        <v>0</v>
      </c>
      <c r="AR912" s="2">
        <v>0</v>
      </c>
      <c r="AS912" s="2">
        <v>0</v>
      </c>
      <c r="AT912" s="2">
        <v>114</v>
      </c>
      <c r="AU912" s="2">
        <v>67</v>
      </c>
      <c r="AV912" s="2">
        <v>1</v>
      </c>
      <c r="AW912" s="2">
        <v>1</v>
      </c>
      <c r="AX912" s="2"/>
      <c r="AY912" s="2"/>
      <c r="AZ912" s="2">
        <v>1</v>
      </c>
      <c r="BA912" s="2">
        <v>1</v>
      </c>
      <c r="BB912" s="2">
        <v>1</v>
      </c>
      <c r="BC912" s="2">
        <v>1</v>
      </c>
      <c r="BD912" s="2" t="s">
        <v>3</v>
      </c>
      <c r="BE912" s="2" t="s">
        <v>3</v>
      </c>
      <c r="BF912" s="2" t="s">
        <v>3</v>
      </c>
      <c r="BG912" s="2" t="s">
        <v>3</v>
      </c>
      <c r="BH912" s="2">
        <v>3</v>
      </c>
      <c r="BI912" s="2">
        <v>2</v>
      </c>
      <c r="BJ912" s="2" t="s">
        <v>783</v>
      </c>
      <c r="BK912" s="2"/>
      <c r="BL912" s="2"/>
      <c r="BM912" s="2">
        <v>331</v>
      </c>
      <c r="BN912" s="2">
        <v>0</v>
      </c>
      <c r="BO912" s="2" t="s">
        <v>3</v>
      </c>
      <c r="BP912" s="2">
        <v>0</v>
      </c>
      <c r="BQ912" s="2">
        <v>40</v>
      </c>
      <c r="BR912" s="2">
        <v>0</v>
      </c>
      <c r="BS912" s="2">
        <v>1</v>
      </c>
      <c r="BT912" s="2">
        <v>1</v>
      </c>
      <c r="BU912" s="2">
        <v>1</v>
      </c>
      <c r="BV912" s="2">
        <v>1</v>
      </c>
      <c r="BW912" s="2">
        <v>1</v>
      </c>
      <c r="BX912" s="2">
        <v>1</v>
      </c>
      <c r="BY912" s="2" t="s">
        <v>3</v>
      </c>
      <c r="BZ912" s="2">
        <v>114</v>
      </c>
      <c r="CA912" s="2">
        <v>67</v>
      </c>
      <c r="CB912" s="2" t="s">
        <v>3</v>
      </c>
      <c r="CC912" s="2"/>
      <c r="CD912" s="2"/>
      <c r="CE912" s="2">
        <v>30</v>
      </c>
      <c r="CF912" s="2">
        <v>0</v>
      </c>
      <c r="CG912" s="2">
        <v>0</v>
      </c>
      <c r="CH912" s="2"/>
      <c r="CI912" s="2"/>
      <c r="CJ912" s="2"/>
      <c r="CK912" s="2"/>
      <c r="CL912" s="2"/>
      <c r="CM912" s="2">
        <v>0</v>
      </c>
      <c r="CN912" s="2" t="s">
        <v>3</v>
      </c>
      <c r="CO912" s="2">
        <v>0</v>
      </c>
      <c r="CP912" s="2">
        <f t="shared" si="777"/>
        <v>704.09</v>
      </c>
      <c r="CQ912" s="2">
        <f t="shared" si="778"/>
        <v>19722.349999999999</v>
      </c>
      <c r="CR912" s="2">
        <f t="shared" si="800"/>
        <v>0</v>
      </c>
      <c r="CS912" s="2">
        <f t="shared" si="779"/>
        <v>0</v>
      </c>
      <c r="CT912" s="2">
        <f t="shared" si="780"/>
        <v>0</v>
      </c>
      <c r="CU912" s="2">
        <f t="shared" si="781"/>
        <v>0</v>
      </c>
      <c r="CV912" s="2">
        <f t="shared" si="782"/>
        <v>0</v>
      </c>
      <c r="CW912" s="2">
        <f t="shared" si="783"/>
        <v>0</v>
      </c>
      <c r="CX912" s="2">
        <f t="shared" si="784"/>
        <v>0</v>
      </c>
      <c r="CY912" s="2">
        <f>((S912*BZ912)/100)</f>
        <v>0</v>
      </c>
      <c r="CZ912" s="2">
        <f>((S912*CA912)/100)</f>
        <v>0</v>
      </c>
      <c r="DA912" s="2"/>
      <c r="DB912" s="2"/>
      <c r="DC912" s="2" t="s">
        <v>3</v>
      </c>
      <c r="DD912" s="2" t="s">
        <v>3</v>
      </c>
      <c r="DE912" s="2" t="s">
        <v>3</v>
      </c>
      <c r="DF912" s="2" t="s">
        <v>3</v>
      </c>
      <c r="DG912" s="2" t="s">
        <v>3</v>
      </c>
      <c r="DH912" s="2" t="s">
        <v>3</v>
      </c>
      <c r="DI912" s="2" t="s">
        <v>3</v>
      </c>
      <c r="DJ912" s="2" t="s">
        <v>3</v>
      </c>
      <c r="DK912" s="2" t="s">
        <v>3</v>
      </c>
      <c r="DL912" s="2" t="s">
        <v>3</v>
      </c>
      <c r="DM912" s="2" t="s">
        <v>3</v>
      </c>
      <c r="DN912" s="2">
        <v>0</v>
      </c>
      <c r="DO912" s="2">
        <v>0</v>
      </c>
      <c r="DP912" s="2">
        <v>1</v>
      </c>
      <c r="DQ912" s="2">
        <v>1</v>
      </c>
      <c r="DR912" s="2"/>
      <c r="DS912" s="2"/>
      <c r="DT912" s="2"/>
      <c r="DU912" s="2">
        <v>1003</v>
      </c>
      <c r="DV912" s="2" t="s">
        <v>694</v>
      </c>
      <c r="DW912" s="2" t="s">
        <v>694</v>
      </c>
      <c r="DX912" s="2">
        <v>1000</v>
      </c>
      <c r="DY912" s="2"/>
      <c r="DZ912" s="2" t="s">
        <v>3</v>
      </c>
      <c r="EA912" s="2" t="s">
        <v>3</v>
      </c>
      <c r="EB912" s="2" t="s">
        <v>3</v>
      </c>
      <c r="EC912" s="2" t="s">
        <v>3</v>
      </c>
      <c r="ED912" s="2"/>
      <c r="EE912" s="2">
        <v>126051792</v>
      </c>
      <c r="EF912" s="2">
        <v>40</v>
      </c>
      <c r="EG912" s="2" t="s">
        <v>621</v>
      </c>
      <c r="EH912" s="2">
        <v>0</v>
      </c>
      <c r="EI912" s="2" t="s">
        <v>3</v>
      </c>
      <c r="EJ912" s="2">
        <v>2</v>
      </c>
      <c r="EK912" s="2">
        <v>331</v>
      </c>
      <c r="EL912" s="2" t="s">
        <v>679</v>
      </c>
      <c r="EM912" s="2" t="s">
        <v>680</v>
      </c>
      <c r="EN912" s="2"/>
      <c r="EO912" s="2" t="s">
        <v>3</v>
      </c>
      <c r="EP912" s="2"/>
      <c r="EQ912" s="2">
        <v>0</v>
      </c>
      <c r="ER912" s="2">
        <v>19722.349999999999</v>
      </c>
      <c r="ES912" s="2">
        <v>19722.349999999999</v>
      </c>
      <c r="ET912" s="2">
        <v>0</v>
      </c>
      <c r="EU912" s="2">
        <v>0</v>
      </c>
      <c r="EV912" s="2">
        <v>0</v>
      </c>
      <c r="EW912" s="2">
        <v>0</v>
      </c>
      <c r="EX912" s="2">
        <v>0</v>
      </c>
      <c r="EY912" s="2"/>
      <c r="EZ912" s="2"/>
      <c r="FA912" s="2"/>
      <c r="FB912" s="2"/>
      <c r="FC912" s="2"/>
      <c r="FD912" s="2"/>
      <c r="FE912" s="2"/>
      <c r="FF912" s="2"/>
      <c r="FG912" s="2"/>
      <c r="FH912" s="2"/>
      <c r="FI912" s="2"/>
      <c r="FJ912" s="2"/>
      <c r="FK912" s="2"/>
      <c r="FL912" s="2"/>
      <c r="FM912" s="2"/>
      <c r="FN912" s="2"/>
      <c r="FO912" s="2"/>
      <c r="FP912" s="2"/>
      <c r="FQ912" s="2">
        <v>0</v>
      </c>
      <c r="FR912" s="2">
        <f t="shared" si="785"/>
        <v>0</v>
      </c>
      <c r="FS912" s="2">
        <v>0</v>
      </c>
      <c r="FT912" s="2"/>
      <c r="FU912" s="2"/>
      <c r="FV912" s="2"/>
      <c r="FW912" s="2"/>
      <c r="FX912" s="2">
        <v>114</v>
      </c>
      <c r="FY912" s="2">
        <v>67</v>
      </c>
      <c r="FZ912" s="2"/>
      <c r="GA912" s="2" t="s">
        <v>3</v>
      </c>
      <c r="GB912" s="2"/>
      <c r="GC912" s="2"/>
      <c r="GD912" s="2">
        <v>0</v>
      </c>
      <c r="GE912" s="2"/>
      <c r="GF912" s="2">
        <v>-198952881</v>
      </c>
      <c r="GG912" s="2">
        <v>2</v>
      </c>
      <c r="GH912" s="2">
        <v>1</v>
      </c>
      <c r="GI912" s="2">
        <v>-2</v>
      </c>
      <c r="GJ912" s="2">
        <v>0</v>
      </c>
      <c r="GK912" s="2">
        <f>ROUND(R912*(R12)/100,2)</f>
        <v>0</v>
      </c>
      <c r="GL912" s="2">
        <f t="shared" si="786"/>
        <v>0</v>
      </c>
      <c r="GM912" s="2">
        <f t="shared" si="787"/>
        <v>704.09</v>
      </c>
      <c r="GN912" s="2">
        <f t="shared" si="788"/>
        <v>0</v>
      </c>
      <c r="GO912" s="2">
        <f t="shared" si="789"/>
        <v>704.09</v>
      </c>
      <c r="GP912" s="2">
        <f t="shared" si="790"/>
        <v>0</v>
      </c>
      <c r="GQ912" s="2"/>
      <c r="GR912" s="2">
        <v>0</v>
      </c>
      <c r="GS912" s="2">
        <v>0</v>
      </c>
      <c r="GT912" s="2">
        <v>0</v>
      </c>
      <c r="GU912" s="2" t="s">
        <v>3</v>
      </c>
      <c r="GV912" s="2">
        <f t="shared" si="791"/>
        <v>0</v>
      </c>
      <c r="GW912" s="2">
        <v>1</v>
      </c>
      <c r="GX912" s="2">
        <f t="shared" si="792"/>
        <v>0</v>
      </c>
      <c r="GY912" s="2"/>
      <c r="GZ912" s="2"/>
      <c r="HA912" s="2">
        <v>0</v>
      </c>
      <c r="HB912" s="2">
        <v>0</v>
      </c>
      <c r="HC912" s="2">
        <f t="shared" si="793"/>
        <v>0</v>
      </c>
      <c r="HD912" s="2"/>
      <c r="HE912" s="2" t="s">
        <v>3</v>
      </c>
      <c r="HF912" s="2" t="s">
        <v>3</v>
      </c>
      <c r="HG912" s="2"/>
      <c r="HH912" s="2"/>
      <c r="HI912" s="2"/>
      <c r="HJ912" s="2"/>
      <c r="HK912" s="2"/>
      <c r="HL912" s="2"/>
      <c r="HM912" s="2" t="s">
        <v>3</v>
      </c>
      <c r="HN912" s="2" t="s">
        <v>3</v>
      </c>
      <c r="HO912" s="2" t="s">
        <v>3</v>
      </c>
      <c r="HP912" s="2" t="s">
        <v>3</v>
      </c>
      <c r="HQ912" s="2" t="s">
        <v>3</v>
      </c>
      <c r="HR912" s="2"/>
      <c r="HS912" s="2"/>
      <c r="HT912" s="2"/>
      <c r="HU912" s="2"/>
      <c r="HV912" s="2"/>
      <c r="HW912" s="2"/>
      <c r="HX912" s="2"/>
      <c r="HY912" s="2"/>
      <c r="HZ912" s="2"/>
      <c r="IA912" s="2"/>
      <c r="IB912" s="2"/>
      <c r="IC912" s="2"/>
      <c r="ID912" s="2"/>
      <c r="IE912" s="2"/>
      <c r="IF912" s="2"/>
      <c r="IG912" s="2"/>
      <c r="IH912" s="2"/>
      <c r="II912" s="2"/>
      <c r="IJ912" s="2"/>
      <c r="IK912" s="2">
        <v>0</v>
      </c>
      <c r="IL912" s="2"/>
      <c r="IM912" s="2"/>
      <c r="IN912" s="2"/>
      <c r="IO912" s="2"/>
      <c r="IP912" s="2"/>
      <c r="IQ912" s="2"/>
      <c r="IR912" s="2"/>
      <c r="IS912" s="2"/>
      <c r="IT912" s="2"/>
      <c r="IU912" s="2"/>
    </row>
    <row r="913" spans="1:255" x14ac:dyDescent="0.2">
      <c r="A913">
        <v>18</v>
      </c>
      <c r="B913">
        <v>1</v>
      </c>
      <c r="C913">
        <v>778</v>
      </c>
      <c r="E913" t="s">
        <v>781</v>
      </c>
      <c r="F913" t="s">
        <v>782</v>
      </c>
      <c r="G913" t="s">
        <v>1567</v>
      </c>
      <c r="H913" t="s">
        <v>694</v>
      </c>
      <c r="I913">
        <f>I909*J913</f>
        <v>3.5700000000000003E-2</v>
      </c>
      <c r="J913">
        <v>7.7608695652173917E-2</v>
      </c>
      <c r="K913">
        <v>7.7608999999999997E-2</v>
      </c>
      <c r="O913">
        <f t="shared" si="763"/>
        <v>2070.02</v>
      </c>
      <c r="P913">
        <f t="shared" si="764"/>
        <v>2070.02</v>
      </c>
      <c r="Q913">
        <f t="shared" si="794"/>
        <v>0</v>
      </c>
      <c r="R913">
        <f t="shared" si="765"/>
        <v>0</v>
      </c>
      <c r="S913">
        <f t="shared" si="766"/>
        <v>0</v>
      </c>
      <c r="T913">
        <f t="shared" si="767"/>
        <v>0</v>
      </c>
      <c r="U913">
        <f t="shared" si="768"/>
        <v>0</v>
      </c>
      <c r="V913">
        <f t="shared" si="769"/>
        <v>0</v>
      </c>
      <c r="W913">
        <f t="shared" si="770"/>
        <v>0</v>
      </c>
      <c r="X913">
        <f t="shared" si="771"/>
        <v>0</v>
      </c>
      <c r="Y913">
        <f t="shared" si="772"/>
        <v>0</v>
      </c>
      <c r="AA913">
        <v>129761633</v>
      </c>
      <c r="AB913">
        <f t="shared" si="773"/>
        <v>19722.349999999999</v>
      </c>
      <c r="AC913">
        <f t="shared" si="774"/>
        <v>19722.349999999999</v>
      </c>
      <c r="AD913">
        <f t="shared" si="795"/>
        <v>0</v>
      </c>
      <c r="AE913">
        <f t="shared" si="796"/>
        <v>0</v>
      </c>
      <c r="AF913">
        <f t="shared" si="797"/>
        <v>0</v>
      </c>
      <c r="AG913">
        <f t="shared" si="775"/>
        <v>0</v>
      </c>
      <c r="AH913">
        <f t="shared" si="798"/>
        <v>0</v>
      </c>
      <c r="AI913">
        <f t="shared" si="799"/>
        <v>0</v>
      </c>
      <c r="AJ913">
        <f t="shared" si="776"/>
        <v>0</v>
      </c>
      <c r="AK913">
        <v>19722.349999999999</v>
      </c>
      <c r="AL913">
        <v>19722.349999999999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1</v>
      </c>
      <c r="AW913">
        <v>1</v>
      </c>
      <c r="AZ913">
        <v>1</v>
      </c>
      <c r="BA913">
        <v>1</v>
      </c>
      <c r="BB913">
        <v>1</v>
      </c>
      <c r="BC913">
        <v>2.94</v>
      </c>
      <c r="BD913" t="s">
        <v>3</v>
      </c>
      <c r="BE913" t="s">
        <v>3</v>
      </c>
      <c r="BF913" t="s">
        <v>3</v>
      </c>
      <c r="BG913" t="s">
        <v>3</v>
      </c>
      <c r="BH913">
        <v>3</v>
      </c>
      <c r="BI913">
        <v>2</v>
      </c>
      <c r="BJ913" t="s">
        <v>783</v>
      </c>
      <c r="BM913">
        <v>331</v>
      </c>
      <c r="BN913">
        <v>0</v>
      </c>
      <c r="BO913" t="s">
        <v>782</v>
      </c>
      <c r="BP913">
        <v>1</v>
      </c>
      <c r="BQ913">
        <v>40</v>
      </c>
      <c r="BR913">
        <v>0</v>
      </c>
      <c r="BS913">
        <v>1</v>
      </c>
      <c r="BT913">
        <v>1</v>
      </c>
      <c r="BU913">
        <v>1</v>
      </c>
      <c r="BV913">
        <v>1</v>
      </c>
      <c r="BW913">
        <v>1</v>
      </c>
      <c r="BX913">
        <v>1</v>
      </c>
      <c r="BY913" t="s">
        <v>3</v>
      </c>
      <c r="BZ913">
        <v>0</v>
      </c>
      <c r="CA913">
        <v>0</v>
      </c>
      <c r="CB913" t="s">
        <v>3</v>
      </c>
      <c r="CE913">
        <v>30</v>
      </c>
      <c r="CF913">
        <v>0</v>
      </c>
      <c r="CG913">
        <v>0</v>
      </c>
      <c r="CM913">
        <v>0</v>
      </c>
      <c r="CN913" t="s">
        <v>3</v>
      </c>
      <c r="CO913">
        <v>0</v>
      </c>
      <c r="CP913">
        <f t="shared" si="777"/>
        <v>2070.02</v>
      </c>
      <c r="CQ913">
        <f t="shared" si="778"/>
        <v>57983.71</v>
      </c>
      <c r="CR913">
        <f t="shared" si="800"/>
        <v>0</v>
      </c>
      <c r="CS913">
        <f t="shared" si="779"/>
        <v>0</v>
      </c>
      <c r="CT913">
        <f t="shared" si="780"/>
        <v>0</v>
      </c>
      <c r="CU913">
        <f t="shared" si="781"/>
        <v>0</v>
      </c>
      <c r="CV913">
        <f t="shared" si="782"/>
        <v>0</v>
      </c>
      <c r="CW913">
        <f t="shared" si="783"/>
        <v>0</v>
      </c>
      <c r="CX913">
        <f t="shared" si="784"/>
        <v>0</v>
      </c>
      <c r="CY913">
        <f>S913*(BZ913/100)</f>
        <v>0</v>
      </c>
      <c r="CZ913">
        <f>S913*(CA913/100)</f>
        <v>0</v>
      </c>
      <c r="DC913" t="s">
        <v>3</v>
      </c>
      <c r="DD913" t="s">
        <v>3</v>
      </c>
      <c r="DE913" t="s">
        <v>3</v>
      </c>
      <c r="DF913" t="s">
        <v>3</v>
      </c>
      <c r="DG913" t="s">
        <v>3</v>
      </c>
      <c r="DH913" t="s">
        <v>3</v>
      </c>
      <c r="DI913" t="s">
        <v>3</v>
      </c>
      <c r="DJ913" t="s">
        <v>3</v>
      </c>
      <c r="DK913" t="s">
        <v>3</v>
      </c>
      <c r="DL913" t="s">
        <v>3</v>
      </c>
      <c r="DM913" t="s">
        <v>3</v>
      </c>
      <c r="DN913">
        <v>114</v>
      </c>
      <c r="DO913">
        <v>67</v>
      </c>
      <c r="DP913">
        <v>1</v>
      </c>
      <c r="DQ913">
        <v>1</v>
      </c>
      <c r="DU913">
        <v>1003</v>
      </c>
      <c r="DV913" t="s">
        <v>694</v>
      </c>
      <c r="DW913" t="s">
        <v>694</v>
      </c>
      <c r="DX913">
        <v>1000</v>
      </c>
      <c r="DZ913" t="s">
        <v>3</v>
      </c>
      <c r="EA913" t="s">
        <v>3</v>
      </c>
      <c r="EB913" t="s">
        <v>3</v>
      </c>
      <c r="EC913" t="s">
        <v>3</v>
      </c>
      <c r="EE913">
        <v>126051792</v>
      </c>
      <c r="EF913">
        <v>40</v>
      </c>
      <c r="EG913" t="s">
        <v>621</v>
      </c>
      <c r="EH913">
        <v>0</v>
      </c>
      <c r="EI913" t="s">
        <v>3</v>
      </c>
      <c r="EJ913">
        <v>2</v>
      </c>
      <c r="EK913">
        <v>331</v>
      </c>
      <c r="EL913" t="s">
        <v>679</v>
      </c>
      <c r="EM913" t="s">
        <v>680</v>
      </c>
      <c r="EO913" t="s">
        <v>3</v>
      </c>
      <c r="EQ913">
        <v>0</v>
      </c>
      <c r="ER913">
        <v>19722.349999999999</v>
      </c>
      <c r="ES913">
        <v>19722.349999999999</v>
      </c>
      <c r="ET913">
        <v>0</v>
      </c>
      <c r="EU913">
        <v>0</v>
      </c>
      <c r="EV913">
        <v>0</v>
      </c>
      <c r="EW913">
        <v>0</v>
      </c>
      <c r="EX913">
        <v>0</v>
      </c>
      <c r="FQ913">
        <v>0</v>
      </c>
      <c r="FR913">
        <f t="shared" si="785"/>
        <v>0</v>
      </c>
      <c r="FS913">
        <v>0</v>
      </c>
      <c r="FX913">
        <v>114</v>
      </c>
      <c r="FY913">
        <v>67</v>
      </c>
      <c r="GA913" t="s">
        <v>3</v>
      </c>
      <c r="GD913">
        <v>0</v>
      </c>
      <c r="GF913">
        <v>-198952881</v>
      </c>
      <c r="GG913">
        <v>2</v>
      </c>
      <c r="GH913">
        <v>1</v>
      </c>
      <c r="GI913">
        <v>2</v>
      </c>
      <c r="GJ913">
        <v>0</v>
      </c>
      <c r="GK913">
        <f>ROUND(R913*(S12)/100,2)</f>
        <v>0</v>
      </c>
      <c r="GL913">
        <f t="shared" si="786"/>
        <v>0</v>
      </c>
      <c r="GM913">
        <f t="shared" si="787"/>
        <v>2070.02</v>
      </c>
      <c r="GN913">
        <f t="shared" si="788"/>
        <v>0</v>
      </c>
      <c r="GO913">
        <f t="shared" si="789"/>
        <v>2070.02</v>
      </c>
      <c r="GP913">
        <f t="shared" si="790"/>
        <v>0</v>
      </c>
      <c r="GR913">
        <v>0</v>
      </c>
      <c r="GS913">
        <v>3</v>
      </c>
      <c r="GT913">
        <v>0</v>
      </c>
      <c r="GU913" t="s">
        <v>3</v>
      </c>
      <c r="GV913">
        <f t="shared" si="791"/>
        <v>0</v>
      </c>
      <c r="GW913">
        <v>1</v>
      </c>
      <c r="GX913">
        <f t="shared" si="792"/>
        <v>0</v>
      </c>
      <c r="HA913">
        <v>0</v>
      </c>
      <c r="HB913">
        <v>0</v>
      </c>
      <c r="HC913">
        <f t="shared" si="793"/>
        <v>0</v>
      </c>
      <c r="HE913" t="s">
        <v>3</v>
      </c>
      <c r="HF913" t="s">
        <v>3</v>
      </c>
      <c r="HM913" t="s">
        <v>3</v>
      </c>
      <c r="HN913" t="s">
        <v>3</v>
      </c>
      <c r="HO913" t="s">
        <v>3</v>
      </c>
      <c r="HP913" t="s">
        <v>3</v>
      </c>
      <c r="HQ913" t="s">
        <v>3</v>
      </c>
      <c r="IK913">
        <v>0</v>
      </c>
    </row>
    <row r="914" spans="1:255" x14ac:dyDescent="0.2">
      <c r="A914" s="2">
        <v>18</v>
      </c>
      <c r="B914" s="2">
        <v>1</v>
      </c>
      <c r="C914" s="2">
        <v>772</v>
      </c>
      <c r="D914" s="2"/>
      <c r="E914" s="2" t="s">
        <v>784</v>
      </c>
      <c r="F914" s="2" t="s">
        <v>785</v>
      </c>
      <c r="G914" s="2" t="s">
        <v>1566</v>
      </c>
      <c r="H914" s="2" t="s">
        <v>694</v>
      </c>
      <c r="I914" s="2">
        <f>I908*J914</f>
        <v>3.0599999999999998E-3</v>
      </c>
      <c r="J914" s="2">
        <v>6.6521739130434776E-3</v>
      </c>
      <c r="K914" s="2">
        <v>6.6519999999999999E-3</v>
      </c>
      <c r="L914" s="2"/>
      <c r="M914" s="2"/>
      <c r="N914" s="2"/>
      <c r="O914" s="2">
        <f t="shared" si="763"/>
        <v>39.53</v>
      </c>
      <c r="P914" s="2">
        <f t="shared" si="764"/>
        <v>39.53</v>
      </c>
      <c r="Q914" s="2">
        <f t="shared" si="794"/>
        <v>0</v>
      </c>
      <c r="R914" s="2">
        <f t="shared" si="765"/>
        <v>0</v>
      </c>
      <c r="S914" s="2">
        <f t="shared" si="766"/>
        <v>0</v>
      </c>
      <c r="T914" s="2">
        <f t="shared" si="767"/>
        <v>0</v>
      </c>
      <c r="U914" s="2">
        <f t="shared" si="768"/>
        <v>0</v>
      </c>
      <c r="V914" s="2">
        <f t="shared" si="769"/>
        <v>0</v>
      </c>
      <c r="W914" s="2">
        <f t="shared" si="770"/>
        <v>0</v>
      </c>
      <c r="X914" s="2">
        <f t="shared" si="771"/>
        <v>0</v>
      </c>
      <c r="Y914" s="2">
        <f t="shared" si="772"/>
        <v>0</v>
      </c>
      <c r="Z914" s="2"/>
      <c r="AA914" s="2">
        <v>129761636</v>
      </c>
      <c r="AB914" s="2">
        <f t="shared" si="773"/>
        <v>12919.08</v>
      </c>
      <c r="AC914" s="2">
        <f t="shared" si="774"/>
        <v>12919.08</v>
      </c>
      <c r="AD914" s="2">
        <f t="shared" si="795"/>
        <v>0</v>
      </c>
      <c r="AE914" s="2">
        <f t="shared" si="796"/>
        <v>0</v>
      </c>
      <c r="AF914" s="2">
        <f t="shared" si="797"/>
        <v>0</v>
      </c>
      <c r="AG914" s="2">
        <f t="shared" si="775"/>
        <v>0</v>
      </c>
      <c r="AH914" s="2">
        <f t="shared" si="798"/>
        <v>0</v>
      </c>
      <c r="AI914" s="2">
        <f t="shared" si="799"/>
        <v>0</v>
      </c>
      <c r="AJ914" s="2">
        <f t="shared" si="776"/>
        <v>0</v>
      </c>
      <c r="AK914" s="2">
        <v>12919.08</v>
      </c>
      <c r="AL914" s="2">
        <v>12919.08</v>
      </c>
      <c r="AM914" s="2">
        <v>0</v>
      </c>
      <c r="AN914" s="2">
        <v>0</v>
      </c>
      <c r="AO914" s="2">
        <v>0</v>
      </c>
      <c r="AP914" s="2">
        <v>0</v>
      </c>
      <c r="AQ914" s="2">
        <v>0</v>
      </c>
      <c r="AR914" s="2">
        <v>0</v>
      </c>
      <c r="AS914" s="2">
        <v>0</v>
      </c>
      <c r="AT914" s="2">
        <v>114</v>
      </c>
      <c r="AU914" s="2">
        <v>67</v>
      </c>
      <c r="AV914" s="2">
        <v>1</v>
      </c>
      <c r="AW914" s="2">
        <v>1</v>
      </c>
      <c r="AX914" s="2"/>
      <c r="AY914" s="2"/>
      <c r="AZ914" s="2">
        <v>1</v>
      </c>
      <c r="BA914" s="2">
        <v>1</v>
      </c>
      <c r="BB914" s="2">
        <v>1</v>
      </c>
      <c r="BC914" s="2">
        <v>1</v>
      </c>
      <c r="BD914" s="2" t="s">
        <v>3</v>
      </c>
      <c r="BE914" s="2" t="s">
        <v>3</v>
      </c>
      <c r="BF914" s="2" t="s">
        <v>3</v>
      </c>
      <c r="BG914" s="2" t="s">
        <v>3</v>
      </c>
      <c r="BH914" s="2">
        <v>3</v>
      </c>
      <c r="BI914" s="2">
        <v>2</v>
      </c>
      <c r="BJ914" s="2" t="s">
        <v>786</v>
      </c>
      <c r="BK914" s="2"/>
      <c r="BL914" s="2"/>
      <c r="BM914" s="2">
        <v>331</v>
      </c>
      <c r="BN914" s="2">
        <v>0</v>
      </c>
      <c r="BO914" s="2" t="s">
        <v>3</v>
      </c>
      <c r="BP914" s="2">
        <v>0</v>
      </c>
      <c r="BQ914" s="2">
        <v>40</v>
      </c>
      <c r="BR914" s="2">
        <v>0</v>
      </c>
      <c r="BS914" s="2">
        <v>1</v>
      </c>
      <c r="BT914" s="2">
        <v>1</v>
      </c>
      <c r="BU914" s="2">
        <v>1</v>
      </c>
      <c r="BV914" s="2">
        <v>1</v>
      </c>
      <c r="BW914" s="2">
        <v>1</v>
      </c>
      <c r="BX914" s="2">
        <v>1</v>
      </c>
      <c r="BY914" s="2" t="s">
        <v>3</v>
      </c>
      <c r="BZ914" s="2">
        <v>114</v>
      </c>
      <c r="CA914" s="2">
        <v>67</v>
      </c>
      <c r="CB914" s="2" t="s">
        <v>3</v>
      </c>
      <c r="CC914" s="2"/>
      <c r="CD914" s="2"/>
      <c r="CE914" s="2">
        <v>30</v>
      </c>
      <c r="CF914" s="2">
        <v>0</v>
      </c>
      <c r="CG914" s="2">
        <v>0</v>
      </c>
      <c r="CH914" s="2"/>
      <c r="CI914" s="2"/>
      <c r="CJ914" s="2"/>
      <c r="CK914" s="2"/>
      <c r="CL914" s="2"/>
      <c r="CM914" s="2">
        <v>0</v>
      </c>
      <c r="CN914" s="2" t="s">
        <v>3</v>
      </c>
      <c r="CO914" s="2">
        <v>0</v>
      </c>
      <c r="CP914" s="2">
        <f t="shared" si="777"/>
        <v>39.53</v>
      </c>
      <c r="CQ914" s="2">
        <f t="shared" si="778"/>
        <v>12919.08</v>
      </c>
      <c r="CR914" s="2">
        <f t="shared" si="800"/>
        <v>0</v>
      </c>
      <c r="CS914" s="2">
        <f t="shared" si="779"/>
        <v>0</v>
      </c>
      <c r="CT914" s="2">
        <f t="shared" si="780"/>
        <v>0</v>
      </c>
      <c r="CU914" s="2">
        <f t="shared" si="781"/>
        <v>0</v>
      </c>
      <c r="CV914" s="2">
        <f t="shared" si="782"/>
        <v>0</v>
      </c>
      <c r="CW914" s="2">
        <f t="shared" si="783"/>
        <v>0</v>
      </c>
      <c r="CX914" s="2">
        <f t="shared" si="784"/>
        <v>0</v>
      </c>
      <c r="CY914" s="2">
        <f>((S914*BZ914)/100)</f>
        <v>0</v>
      </c>
      <c r="CZ914" s="2">
        <f>((S914*CA914)/100)</f>
        <v>0</v>
      </c>
      <c r="DA914" s="2"/>
      <c r="DB914" s="2"/>
      <c r="DC914" s="2" t="s">
        <v>3</v>
      </c>
      <c r="DD914" s="2" t="s">
        <v>3</v>
      </c>
      <c r="DE914" s="2" t="s">
        <v>3</v>
      </c>
      <c r="DF914" s="2" t="s">
        <v>3</v>
      </c>
      <c r="DG914" s="2" t="s">
        <v>3</v>
      </c>
      <c r="DH914" s="2" t="s">
        <v>3</v>
      </c>
      <c r="DI914" s="2" t="s">
        <v>3</v>
      </c>
      <c r="DJ914" s="2" t="s">
        <v>3</v>
      </c>
      <c r="DK914" s="2" t="s">
        <v>3</v>
      </c>
      <c r="DL914" s="2" t="s">
        <v>3</v>
      </c>
      <c r="DM914" s="2" t="s">
        <v>3</v>
      </c>
      <c r="DN914" s="2">
        <v>0</v>
      </c>
      <c r="DO914" s="2">
        <v>0</v>
      </c>
      <c r="DP914" s="2">
        <v>1</v>
      </c>
      <c r="DQ914" s="2">
        <v>1</v>
      </c>
      <c r="DR914" s="2"/>
      <c r="DS914" s="2"/>
      <c r="DT914" s="2"/>
      <c r="DU914" s="2">
        <v>1003</v>
      </c>
      <c r="DV914" s="2" t="s">
        <v>694</v>
      </c>
      <c r="DW914" s="2" t="s">
        <v>694</v>
      </c>
      <c r="DX914" s="2">
        <v>1000</v>
      </c>
      <c r="DY914" s="2"/>
      <c r="DZ914" s="2" t="s">
        <v>3</v>
      </c>
      <c r="EA914" s="2" t="s">
        <v>3</v>
      </c>
      <c r="EB914" s="2" t="s">
        <v>3</v>
      </c>
      <c r="EC914" s="2" t="s">
        <v>3</v>
      </c>
      <c r="ED914" s="2"/>
      <c r="EE914" s="2">
        <v>126051792</v>
      </c>
      <c r="EF914" s="2">
        <v>40</v>
      </c>
      <c r="EG914" s="2" t="s">
        <v>621</v>
      </c>
      <c r="EH914" s="2">
        <v>0</v>
      </c>
      <c r="EI914" s="2" t="s">
        <v>3</v>
      </c>
      <c r="EJ914" s="2">
        <v>2</v>
      </c>
      <c r="EK914" s="2">
        <v>331</v>
      </c>
      <c r="EL914" s="2" t="s">
        <v>679</v>
      </c>
      <c r="EM914" s="2" t="s">
        <v>680</v>
      </c>
      <c r="EN914" s="2"/>
      <c r="EO914" s="2" t="s">
        <v>3</v>
      </c>
      <c r="EP914" s="2"/>
      <c r="EQ914" s="2">
        <v>0</v>
      </c>
      <c r="ER914" s="2">
        <v>12919.08</v>
      </c>
      <c r="ES914" s="2">
        <v>12919.08</v>
      </c>
      <c r="ET914" s="2">
        <v>0</v>
      </c>
      <c r="EU914" s="2">
        <v>0</v>
      </c>
      <c r="EV914" s="2">
        <v>0</v>
      </c>
      <c r="EW914" s="2">
        <v>0</v>
      </c>
      <c r="EX914" s="2">
        <v>0</v>
      </c>
      <c r="EY914" s="2"/>
      <c r="EZ914" s="2"/>
      <c r="FA914" s="2"/>
      <c r="FB914" s="2"/>
      <c r="FC914" s="2"/>
      <c r="FD914" s="2"/>
      <c r="FE914" s="2"/>
      <c r="FF914" s="2"/>
      <c r="FG914" s="2"/>
      <c r="FH914" s="2"/>
      <c r="FI914" s="2"/>
      <c r="FJ914" s="2"/>
      <c r="FK914" s="2"/>
      <c r="FL914" s="2"/>
      <c r="FM914" s="2"/>
      <c r="FN914" s="2"/>
      <c r="FO914" s="2"/>
      <c r="FP914" s="2"/>
      <c r="FQ914" s="2">
        <v>0</v>
      </c>
      <c r="FR914" s="2">
        <f t="shared" si="785"/>
        <v>0</v>
      </c>
      <c r="FS914" s="2">
        <v>0</v>
      </c>
      <c r="FT914" s="2"/>
      <c r="FU914" s="2"/>
      <c r="FV914" s="2"/>
      <c r="FW914" s="2"/>
      <c r="FX914" s="2">
        <v>114</v>
      </c>
      <c r="FY914" s="2">
        <v>67</v>
      </c>
      <c r="FZ914" s="2"/>
      <c r="GA914" s="2" t="s">
        <v>3</v>
      </c>
      <c r="GB914" s="2"/>
      <c r="GC914" s="2"/>
      <c r="GD914" s="2">
        <v>0</v>
      </c>
      <c r="GE914" s="2"/>
      <c r="GF914" s="2">
        <v>-1539127029</v>
      </c>
      <c r="GG914" s="2">
        <v>2</v>
      </c>
      <c r="GH914" s="2">
        <v>1</v>
      </c>
      <c r="GI914" s="2">
        <v>-2</v>
      </c>
      <c r="GJ914" s="2">
        <v>0</v>
      </c>
      <c r="GK914" s="2">
        <f>ROUND(R914*(R12)/100,2)</f>
        <v>0</v>
      </c>
      <c r="GL914" s="2">
        <f t="shared" si="786"/>
        <v>0</v>
      </c>
      <c r="GM914" s="2">
        <f t="shared" si="787"/>
        <v>39.53</v>
      </c>
      <c r="GN914" s="2">
        <f t="shared" si="788"/>
        <v>0</v>
      </c>
      <c r="GO914" s="2">
        <f t="shared" si="789"/>
        <v>39.53</v>
      </c>
      <c r="GP914" s="2">
        <f t="shared" si="790"/>
        <v>0</v>
      </c>
      <c r="GQ914" s="2"/>
      <c r="GR914" s="2">
        <v>0</v>
      </c>
      <c r="GS914" s="2">
        <v>0</v>
      </c>
      <c r="GT914" s="2">
        <v>0</v>
      </c>
      <c r="GU914" s="2" t="s">
        <v>3</v>
      </c>
      <c r="GV914" s="2">
        <f t="shared" si="791"/>
        <v>0</v>
      </c>
      <c r="GW914" s="2">
        <v>1</v>
      </c>
      <c r="GX914" s="2">
        <f t="shared" si="792"/>
        <v>0</v>
      </c>
      <c r="GY914" s="2"/>
      <c r="GZ914" s="2"/>
      <c r="HA914" s="2">
        <v>0</v>
      </c>
      <c r="HB914" s="2">
        <v>0</v>
      </c>
      <c r="HC914" s="2">
        <f t="shared" si="793"/>
        <v>0</v>
      </c>
      <c r="HD914" s="2"/>
      <c r="HE914" s="2" t="s">
        <v>3</v>
      </c>
      <c r="HF914" s="2" t="s">
        <v>3</v>
      </c>
      <c r="HG914" s="2"/>
      <c r="HH914" s="2"/>
      <c r="HI914" s="2"/>
      <c r="HJ914" s="2"/>
      <c r="HK914" s="2"/>
      <c r="HL914" s="2"/>
      <c r="HM914" s="2" t="s">
        <v>3</v>
      </c>
      <c r="HN914" s="2" t="s">
        <v>3</v>
      </c>
      <c r="HO914" s="2" t="s">
        <v>3</v>
      </c>
      <c r="HP914" s="2" t="s">
        <v>3</v>
      </c>
      <c r="HQ914" s="2" t="s">
        <v>3</v>
      </c>
      <c r="HR914" s="2"/>
      <c r="HS914" s="2"/>
      <c r="HT914" s="2"/>
      <c r="HU914" s="2"/>
      <c r="HV914" s="2"/>
      <c r="HW914" s="2"/>
      <c r="HX914" s="2"/>
      <c r="HY914" s="2"/>
      <c r="HZ914" s="2"/>
      <c r="IA914" s="2"/>
      <c r="IB914" s="2"/>
      <c r="IC914" s="2"/>
      <c r="ID914" s="2"/>
      <c r="IE914" s="2"/>
      <c r="IF914" s="2"/>
      <c r="IG914" s="2"/>
      <c r="IH914" s="2"/>
      <c r="II914" s="2"/>
      <c r="IJ914" s="2"/>
      <c r="IK914" s="2">
        <v>0</v>
      </c>
      <c r="IL914" s="2"/>
      <c r="IM914" s="2"/>
      <c r="IN914" s="2"/>
      <c r="IO914" s="2"/>
      <c r="IP914" s="2"/>
      <c r="IQ914" s="2"/>
      <c r="IR914" s="2"/>
      <c r="IS914" s="2"/>
      <c r="IT914" s="2"/>
      <c r="IU914" s="2"/>
    </row>
    <row r="915" spans="1:255" x14ac:dyDescent="0.2">
      <c r="A915">
        <v>18</v>
      </c>
      <c r="B915">
        <v>1</v>
      </c>
      <c r="C915">
        <v>777</v>
      </c>
      <c r="E915" t="s">
        <v>784</v>
      </c>
      <c r="F915" t="s">
        <v>785</v>
      </c>
      <c r="G915" t="s">
        <v>1566</v>
      </c>
      <c r="H915" t="s">
        <v>694</v>
      </c>
      <c r="I915">
        <f>I909*J915</f>
        <v>3.0599999999999998E-3</v>
      </c>
      <c r="J915">
        <v>6.6521739130434776E-3</v>
      </c>
      <c r="K915">
        <v>6.6519999999999999E-3</v>
      </c>
      <c r="O915">
        <f t="shared" si="763"/>
        <v>134.01</v>
      </c>
      <c r="P915">
        <f t="shared" si="764"/>
        <v>134.01</v>
      </c>
      <c r="Q915">
        <f t="shared" si="794"/>
        <v>0</v>
      </c>
      <c r="R915">
        <f t="shared" si="765"/>
        <v>0</v>
      </c>
      <c r="S915">
        <f t="shared" si="766"/>
        <v>0</v>
      </c>
      <c r="T915">
        <f t="shared" si="767"/>
        <v>0</v>
      </c>
      <c r="U915">
        <f t="shared" si="768"/>
        <v>0</v>
      </c>
      <c r="V915">
        <f t="shared" si="769"/>
        <v>0</v>
      </c>
      <c r="W915">
        <f t="shared" si="770"/>
        <v>0</v>
      </c>
      <c r="X915">
        <f t="shared" si="771"/>
        <v>0</v>
      </c>
      <c r="Y915">
        <f t="shared" si="772"/>
        <v>0</v>
      </c>
      <c r="AA915">
        <v>129761633</v>
      </c>
      <c r="AB915">
        <f t="shared" si="773"/>
        <v>12919.08</v>
      </c>
      <c r="AC915">
        <f t="shared" si="774"/>
        <v>12919.08</v>
      </c>
      <c r="AD915">
        <f t="shared" si="795"/>
        <v>0</v>
      </c>
      <c r="AE915">
        <f t="shared" si="796"/>
        <v>0</v>
      </c>
      <c r="AF915">
        <f t="shared" si="797"/>
        <v>0</v>
      </c>
      <c r="AG915">
        <f t="shared" si="775"/>
        <v>0</v>
      </c>
      <c r="AH915">
        <f t="shared" si="798"/>
        <v>0</v>
      </c>
      <c r="AI915">
        <f t="shared" si="799"/>
        <v>0</v>
      </c>
      <c r="AJ915">
        <f t="shared" si="776"/>
        <v>0</v>
      </c>
      <c r="AK915">
        <v>12919.08</v>
      </c>
      <c r="AL915">
        <v>12919.08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1</v>
      </c>
      <c r="AW915">
        <v>1</v>
      </c>
      <c r="AZ915">
        <v>1</v>
      </c>
      <c r="BA915">
        <v>1</v>
      </c>
      <c r="BB915">
        <v>1</v>
      </c>
      <c r="BC915">
        <v>3.39</v>
      </c>
      <c r="BD915" t="s">
        <v>3</v>
      </c>
      <c r="BE915" t="s">
        <v>3</v>
      </c>
      <c r="BF915" t="s">
        <v>3</v>
      </c>
      <c r="BG915" t="s">
        <v>3</v>
      </c>
      <c r="BH915">
        <v>3</v>
      </c>
      <c r="BI915">
        <v>2</v>
      </c>
      <c r="BJ915" t="s">
        <v>786</v>
      </c>
      <c r="BM915">
        <v>331</v>
      </c>
      <c r="BN915">
        <v>0</v>
      </c>
      <c r="BO915" t="s">
        <v>785</v>
      </c>
      <c r="BP915">
        <v>1</v>
      </c>
      <c r="BQ915">
        <v>40</v>
      </c>
      <c r="BR915">
        <v>0</v>
      </c>
      <c r="BS915">
        <v>1</v>
      </c>
      <c r="BT915">
        <v>1</v>
      </c>
      <c r="BU915">
        <v>1</v>
      </c>
      <c r="BV915">
        <v>1</v>
      </c>
      <c r="BW915">
        <v>1</v>
      </c>
      <c r="BX915">
        <v>1</v>
      </c>
      <c r="BY915" t="s">
        <v>3</v>
      </c>
      <c r="BZ915">
        <v>0</v>
      </c>
      <c r="CA915">
        <v>0</v>
      </c>
      <c r="CB915" t="s">
        <v>3</v>
      </c>
      <c r="CE915">
        <v>30</v>
      </c>
      <c r="CF915">
        <v>0</v>
      </c>
      <c r="CG915">
        <v>0</v>
      </c>
      <c r="CM915">
        <v>0</v>
      </c>
      <c r="CN915" t="s">
        <v>3</v>
      </c>
      <c r="CO915">
        <v>0</v>
      </c>
      <c r="CP915">
        <f t="shared" si="777"/>
        <v>134.01</v>
      </c>
      <c r="CQ915">
        <f t="shared" si="778"/>
        <v>43795.68</v>
      </c>
      <c r="CR915">
        <f t="shared" si="800"/>
        <v>0</v>
      </c>
      <c r="CS915">
        <f t="shared" si="779"/>
        <v>0</v>
      </c>
      <c r="CT915">
        <f t="shared" si="780"/>
        <v>0</v>
      </c>
      <c r="CU915">
        <f t="shared" si="781"/>
        <v>0</v>
      </c>
      <c r="CV915">
        <f t="shared" si="782"/>
        <v>0</v>
      </c>
      <c r="CW915">
        <f t="shared" si="783"/>
        <v>0</v>
      </c>
      <c r="CX915">
        <f t="shared" si="784"/>
        <v>0</v>
      </c>
      <c r="CY915">
        <f>S915*(BZ915/100)</f>
        <v>0</v>
      </c>
      <c r="CZ915">
        <f>S915*(CA915/100)</f>
        <v>0</v>
      </c>
      <c r="DC915" t="s">
        <v>3</v>
      </c>
      <c r="DD915" t="s">
        <v>3</v>
      </c>
      <c r="DE915" t="s">
        <v>3</v>
      </c>
      <c r="DF915" t="s">
        <v>3</v>
      </c>
      <c r="DG915" t="s">
        <v>3</v>
      </c>
      <c r="DH915" t="s">
        <v>3</v>
      </c>
      <c r="DI915" t="s">
        <v>3</v>
      </c>
      <c r="DJ915" t="s">
        <v>3</v>
      </c>
      <c r="DK915" t="s">
        <v>3</v>
      </c>
      <c r="DL915" t="s">
        <v>3</v>
      </c>
      <c r="DM915" t="s">
        <v>3</v>
      </c>
      <c r="DN915">
        <v>114</v>
      </c>
      <c r="DO915">
        <v>67</v>
      </c>
      <c r="DP915">
        <v>1</v>
      </c>
      <c r="DQ915">
        <v>1</v>
      </c>
      <c r="DU915">
        <v>1003</v>
      </c>
      <c r="DV915" t="s">
        <v>694</v>
      </c>
      <c r="DW915" t="s">
        <v>694</v>
      </c>
      <c r="DX915">
        <v>1000</v>
      </c>
      <c r="DZ915" t="s">
        <v>3</v>
      </c>
      <c r="EA915" t="s">
        <v>3</v>
      </c>
      <c r="EB915" t="s">
        <v>3</v>
      </c>
      <c r="EC915" t="s">
        <v>3</v>
      </c>
      <c r="EE915">
        <v>126051792</v>
      </c>
      <c r="EF915">
        <v>40</v>
      </c>
      <c r="EG915" t="s">
        <v>621</v>
      </c>
      <c r="EH915">
        <v>0</v>
      </c>
      <c r="EI915" t="s">
        <v>3</v>
      </c>
      <c r="EJ915">
        <v>2</v>
      </c>
      <c r="EK915">
        <v>331</v>
      </c>
      <c r="EL915" t="s">
        <v>679</v>
      </c>
      <c r="EM915" t="s">
        <v>680</v>
      </c>
      <c r="EO915" t="s">
        <v>3</v>
      </c>
      <c r="EQ915">
        <v>0</v>
      </c>
      <c r="ER915">
        <v>12919.08</v>
      </c>
      <c r="ES915">
        <v>12919.08</v>
      </c>
      <c r="ET915">
        <v>0</v>
      </c>
      <c r="EU915">
        <v>0</v>
      </c>
      <c r="EV915">
        <v>0</v>
      </c>
      <c r="EW915">
        <v>0</v>
      </c>
      <c r="EX915">
        <v>0</v>
      </c>
      <c r="FQ915">
        <v>0</v>
      </c>
      <c r="FR915">
        <f t="shared" si="785"/>
        <v>0</v>
      </c>
      <c r="FS915">
        <v>0</v>
      </c>
      <c r="FX915">
        <v>114</v>
      </c>
      <c r="FY915">
        <v>67</v>
      </c>
      <c r="GA915" t="s">
        <v>3</v>
      </c>
      <c r="GD915">
        <v>0</v>
      </c>
      <c r="GF915">
        <v>-1539127029</v>
      </c>
      <c r="GG915">
        <v>2</v>
      </c>
      <c r="GH915">
        <v>1</v>
      </c>
      <c r="GI915">
        <v>2</v>
      </c>
      <c r="GJ915">
        <v>0</v>
      </c>
      <c r="GK915">
        <f>ROUND(R915*(S12)/100,2)</f>
        <v>0</v>
      </c>
      <c r="GL915">
        <f t="shared" si="786"/>
        <v>0</v>
      </c>
      <c r="GM915">
        <f t="shared" si="787"/>
        <v>134.01</v>
      </c>
      <c r="GN915">
        <f t="shared" si="788"/>
        <v>0</v>
      </c>
      <c r="GO915">
        <f t="shared" si="789"/>
        <v>134.01</v>
      </c>
      <c r="GP915">
        <f t="shared" si="790"/>
        <v>0</v>
      </c>
      <c r="GR915">
        <v>0</v>
      </c>
      <c r="GS915">
        <v>3</v>
      </c>
      <c r="GT915">
        <v>0</v>
      </c>
      <c r="GU915" t="s">
        <v>3</v>
      </c>
      <c r="GV915">
        <f t="shared" si="791"/>
        <v>0</v>
      </c>
      <c r="GW915">
        <v>1</v>
      </c>
      <c r="GX915">
        <f t="shared" si="792"/>
        <v>0</v>
      </c>
      <c r="HA915">
        <v>0</v>
      </c>
      <c r="HB915">
        <v>0</v>
      </c>
      <c r="HC915">
        <f t="shared" si="793"/>
        <v>0</v>
      </c>
      <c r="HE915" t="s">
        <v>3</v>
      </c>
      <c r="HF915" t="s">
        <v>3</v>
      </c>
      <c r="HM915" t="s">
        <v>3</v>
      </c>
      <c r="HN915" t="s">
        <v>3</v>
      </c>
      <c r="HO915" t="s">
        <v>3</v>
      </c>
      <c r="HP915" t="s">
        <v>3</v>
      </c>
      <c r="HQ915" t="s">
        <v>3</v>
      </c>
      <c r="IK915">
        <v>0</v>
      </c>
    </row>
    <row r="916" spans="1:255" x14ac:dyDescent="0.2">
      <c r="A916" s="2">
        <v>18</v>
      </c>
      <c r="B916" s="2">
        <v>1</v>
      </c>
      <c r="C916" s="2">
        <v>775</v>
      </c>
      <c r="D916" s="2"/>
      <c r="E916" s="2" t="s">
        <v>787</v>
      </c>
      <c r="F916" s="2" t="s">
        <v>248</v>
      </c>
      <c r="G916" s="2" t="s">
        <v>788</v>
      </c>
      <c r="H916" s="2" t="s">
        <v>270</v>
      </c>
      <c r="I916" s="2">
        <f>I908*J916</f>
        <v>5.0999999999999996</v>
      </c>
      <c r="J916" s="2">
        <v>11.086956521739129</v>
      </c>
      <c r="K916" s="2">
        <v>11.086957</v>
      </c>
      <c r="L916" s="2"/>
      <c r="M916" s="2"/>
      <c r="N916" s="2"/>
      <c r="O916" s="2">
        <f t="shared" si="763"/>
        <v>58.19</v>
      </c>
      <c r="P916" s="2">
        <f t="shared" si="764"/>
        <v>58.19</v>
      </c>
      <c r="Q916" s="2">
        <f t="shared" si="794"/>
        <v>0</v>
      </c>
      <c r="R916" s="2">
        <f t="shared" si="765"/>
        <v>0</v>
      </c>
      <c r="S916" s="2">
        <f t="shared" si="766"/>
        <v>0</v>
      </c>
      <c r="T916" s="2">
        <f t="shared" si="767"/>
        <v>0</v>
      </c>
      <c r="U916" s="2">
        <f t="shared" si="768"/>
        <v>0</v>
      </c>
      <c r="V916" s="2">
        <f t="shared" si="769"/>
        <v>0</v>
      </c>
      <c r="W916" s="2">
        <f t="shared" si="770"/>
        <v>0</v>
      </c>
      <c r="X916" s="2">
        <f t="shared" si="771"/>
        <v>0</v>
      </c>
      <c r="Y916" s="2">
        <f t="shared" si="772"/>
        <v>0</v>
      </c>
      <c r="Z916" s="2"/>
      <c r="AA916" s="2">
        <v>129761636</v>
      </c>
      <c r="AB916" s="2">
        <f t="shared" si="773"/>
        <v>11.41</v>
      </c>
      <c r="AC916" s="2">
        <f t="shared" si="774"/>
        <v>11.41</v>
      </c>
      <c r="AD916" s="2">
        <f t="shared" si="795"/>
        <v>0</v>
      </c>
      <c r="AE916" s="2">
        <f t="shared" si="796"/>
        <v>0</v>
      </c>
      <c r="AF916" s="2">
        <f t="shared" si="797"/>
        <v>0</v>
      </c>
      <c r="AG916" s="2">
        <f t="shared" si="775"/>
        <v>0</v>
      </c>
      <c r="AH916" s="2">
        <f t="shared" si="798"/>
        <v>0</v>
      </c>
      <c r="AI916" s="2">
        <f t="shared" si="799"/>
        <v>0</v>
      </c>
      <c r="AJ916" s="2">
        <f t="shared" si="776"/>
        <v>0</v>
      </c>
      <c r="AK916" s="2">
        <v>11.41</v>
      </c>
      <c r="AL916" s="2">
        <v>11.41</v>
      </c>
      <c r="AM916" s="2">
        <v>0</v>
      </c>
      <c r="AN916" s="2">
        <v>0</v>
      </c>
      <c r="AO916" s="2">
        <v>0</v>
      </c>
      <c r="AP916" s="2">
        <v>0</v>
      </c>
      <c r="AQ916" s="2">
        <v>0</v>
      </c>
      <c r="AR916" s="2">
        <v>0</v>
      </c>
      <c r="AS916" s="2">
        <v>0</v>
      </c>
      <c r="AT916" s="2">
        <v>114</v>
      </c>
      <c r="AU916" s="2">
        <v>67</v>
      </c>
      <c r="AV916" s="2">
        <v>1</v>
      </c>
      <c r="AW916" s="2">
        <v>1</v>
      </c>
      <c r="AX916" s="2"/>
      <c r="AY916" s="2"/>
      <c r="AZ916" s="2">
        <v>1</v>
      </c>
      <c r="BA916" s="2">
        <v>1</v>
      </c>
      <c r="BB916" s="2">
        <v>1</v>
      </c>
      <c r="BC916" s="2">
        <v>1</v>
      </c>
      <c r="BD916" s="2" t="s">
        <v>3</v>
      </c>
      <c r="BE916" s="2" t="s">
        <v>3</v>
      </c>
      <c r="BF916" s="2" t="s">
        <v>3</v>
      </c>
      <c r="BG916" s="2" t="s">
        <v>3</v>
      </c>
      <c r="BH916" s="2">
        <v>3</v>
      </c>
      <c r="BI916" s="2">
        <v>2</v>
      </c>
      <c r="BJ916" s="2" t="s">
        <v>3</v>
      </c>
      <c r="BK916" s="2"/>
      <c r="BL916" s="2"/>
      <c r="BM916" s="2">
        <v>331</v>
      </c>
      <c r="BN916" s="2">
        <v>0</v>
      </c>
      <c r="BO916" s="2" t="s">
        <v>3</v>
      </c>
      <c r="BP916" s="2">
        <v>0</v>
      </c>
      <c r="BQ916" s="2">
        <v>40</v>
      </c>
      <c r="BR916" s="2">
        <v>0</v>
      </c>
      <c r="BS916" s="2">
        <v>1</v>
      </c>
      <c r="BT916" s="2">
        <v>1</v>
      </c>
      <c r="BU916" s="2">
        <v>1</v>
      </c>
      <c r="BV916" s="2">
        <v>1</v>
      </c>
      <c r="BW916" s="2">
        <v>1</v>
      </c>
      <c r="BX916" s="2">
        <v>1</v>
      </c>
      <c r="BY916" s="2" t="s">
        <v>3</v>
      </c>
      <c r="BZ916" s="2">
        <v>114</v>
      </c>
      <c r="CA916" s="2">
        <v>67</v>
      </c>
      <c r="CB916" s="2" t="s">
        <v>3</v>
      </c>
      <c r="CC916" s="2"/>
      <c r="CD916" s="2"/>
      <c r="CE916" s="2">
        <v>30</v>
      </c>
      <c r="CF916" s="2">
        <v>0</v>
      </c>
      <c r="CG916" s="2">
        <v>0</v>
      </c>
      <c r="CH916" s="2"/>
      <c r="CI916" s="2"/>
      <c r="CJ916" s="2"/>
      <c r="CK916" s="2"/>
      <c r="CL916" s="2"/>
      <c r="CM916" s="2">
        <v>0</v>
      </c>
      <c r="CN916" s="2" t="s">
        <v>3</v>
      </c>
      <c r="CO916" s="2">
        <v>0</v>
      </c>
      <c r="CP916" s="2">
        <f t="shared" si="777"/>
        <v>58.19</v>
      </c>
      <c r="CQ916" s="2">
        <f t="shared" si="778"/>
        <v>11.41</v>
      </c>
      <c r="CR916" s="2">
        <f t="shared" si="800"/>
        <v>0</v>
      </c>
      <c r="CS916" s="2">
        <f t="shared" si="779"/>
        <v>0</v>
      </c>
      <c r="CT916" s="2">
        <f t="shared" si="780"/>
        <v>0</v>
      </c>
      <c r="CU916" s="2">
        <f t="shared" si="781"/>
        <v>0</v>
      </c>
      <c r="CV916" s="2">
        <f t="shared" si="782"/>
        <v>0</v>
      </c>
      <c r="CW916" s="2">
        <f t="shared" si="783"/>
        <v>0</v>
      </c>
      <c r="CX916" s="2">
        <f t="shared" si="784"/>
        <v>0</v>
      </c>
      <c r="CY916" s="2">
        <f>((S916*BZ916)/100)</f>
        <v>0</v>
      </c>
      <c r="CZ916" s="2">
        <f>((S916*CA916)/100)</f>
        <v>0</v>
      </c>
      <c r="DA916" s="2"/>
      <c r="DB916" s="2"/>
      <c r="DC916" s="2" t="s">
        <v>3</v>
      </c>
      <c r="DD916" s="2" t="s">
        <v>3</v>
      </c>
      <c r="DE916" s="2" t="s">
        <v>3</v>
      </c>
      <c r="DF916" s="2" t="s">
        <v>3</v>
      </c>
      <c r="DG916" s="2" t="s">
        <v>3</v>
      </c>
      <c r="DH916" s="2" t="s">
        <v>3</v>
      </c>
      <c r="DI916" s="2" t="s">
        <v>3</v>
      </c>
      <c r="DJ916" s="2" t="s">
        <v>3</v>
      </c>
      <c r="DK916" s="2" t="s">
        <v>3</v>
      </c>
      <c r="DL916" s="2" t="s">
        <v>3</v>
      </c>
      <c r="DM916" s="2" t="s">
        <v>3</v>
      </c>
      <c r="DN916" s="2">
        <v>0</v>
      </c>
      <c r="DO916" s="2">
        <v>0</v>
      </c>
      <c r="DP916" s="2">
        <v>1</v>
      </c>
      <c r="DQ916" s="2">
        <v>1</v>
      </c>
      <c r="DR916" s="2"/>
      <c r="DS916" s="2"/>
      <c r="DT916" s="2"/>
      <c r="DU916" s="2">
        <v>1003</v>
      </c>
      <c r="DV916" s="2" t="s">
        <v>270</v>
      </c>
      <c r="DW916" s="2" t="s">
        <v>270</v>
      </c>
      <c r="DX916" s="2">
        <v>1</v>
      </c>
      <c r="DY916" s="2"/>
      <c r="DZ916" s="2" t="s">
        <v>3</v>
      </c>
      <c r="EA916" s="2" t="s">
        <v>3</v>
      </c>
      <c r="EB916" s="2" t="s">
        <v>3</v>
      </c>
      <c r="EC916" s="2" t="s">
        <v>3</v>
      </c>
      <c r="ED916" s="2"/>
      <c r="EE916" s="2">
        <v>126051792</v>
      </c>
      <c r="EF916" s="2">
        <v>40</v>
      </c>
      <c r="EG916" s="2" t="s">
        <v>621</v>
      </c>
      <c r="EH916" s="2">
        <v>0</v>
      </c>
      <c r="EI916" s="2" t="s">
        <v>3</v>
      </c>
      <c r="EJ916" s="2">
        <v>2</v>
      </c>
      <c r="EK916" s="2">
        <v>331</v>
      </c>
      <c r="EL916" s="2" t="s">
        <v>679</v>
      </c>
      <c r="EM916" s="2" t="s">
        <v>680</v>
      </c>
      <c r="EN916" s="2"/>
      <c r="EO916" s="2" t="s">
        <v>3</v>
      </c>
      <c r="EP916" s="2"/>
      <c r="EQ916" s="2">
        <v>0</v>
      </c>
      <c r="ER916" s="2">
        <v>11.41</v>
      </c>
      <c r="ES916" s="2">
        <v>11.41</v>
      </c>
      <c r="ET916" s="2">
        <v>0</v>
      </c>
      <c r="EU916" s="2">
        <v>0</v>
      </c>
      <c r="EV916" s="2">
        <v>0</v>
      </c>
      <c r="EW916" s="2">
        <v>0</v>
      </c>
      <c r="EX916" s="2">
        <v>0</v>
      </c>
      <c r="EY916" s="2"/>
      <c r="EZ916" s="2"/>
      <c r="FA916" s="2"/>
      <c r="FB916" s="2"/>
      <c r="FC916" s="2"/>
      <c r="FD916" s="2"/>
      <c r="FE916" s="2"/>
      <c r="FF916" s="2"/>
      <c r="FG916" s="2"/>
      <c r="FH916" s="2"/>
      <c r="FI916" s="2"/>
      <c r="FJ916" s="2"/>
      <c r="FK916" s="2"/>
      <c r="FL916" s="2"/>
      <c r="FM916" s="2"/>
      <c r="FN916" s="2"/>
      <c r="FO916" s="2"/>
      <c r="FP916" s="2"/>
      <c r="FQ916" s="2">
        <v>0</v>
      </c>
      <c r="FR916" s="2">
        <f t="shared" si="785"/>
        <v>0</v>
      </c>
      <c r="FS916" s="2">
        <v>0</v>
      </c>
      <c r="FT916" s="2"/>
      <c r="FU916" s="2"/>
      <c r="FV916" s="2"/>
      <c r="FW916" s="2"/>
      <c r="FX916" s="2">
        <v>114</v>
      </c>
      <c r="FY916" s="2">
        <v>67</v>
      </c>
      <c r="FZ916" s="2"/>
      <c r="GA916" s="2" t="s">
        <v>3</v>
      </c>
      <c r="GB916" s="2"/>
      <c r="GC916" s="2"/>
      <c r="GD916" s="2">
        <v>0</v>
      </c>
      <c r="GE916" s="2"/>
      <c r="GF916" s="2">
        <v>321724379</v>
      </c>
      <c r="GG916" s="2">
        <v>2</v>
      </c>
      <c r="GH916" s="2">
        <v>0</v>
      </c>
      <c r="GI916" s="2">
        <v>-2</v>
      </c>
      <c r="GJ916" s="2">
        <v>0</v>
      </c>
      <c r="GK916" s="2">
        <f>ROUND(R916*(R12)/100,2)</f>
        <v>0</v>
      </c>
      <c r="GL916" s="2">
        <f t="shared" si="786"/>
        <v>0</v>
      </c>
      <c r="GM916" s="2">
        <f t="shared" si="787"/>
        <v>58.19</v>
      </c>
      <c r="GN916" s="2">
        <f t="shared" si="788"/>
        <v>0</v>
      </c>
      <c r="GO916" s="2">
        <f t="shared" si="789"/>
        <v>58.19</v>
      </c>
      <c r="GP916" s="2">
        <f t="shared" si="790"/>
        <v>0</v>
      </c>
      <c r="GQ916" s="2"/>
      <c r="GR916" s="2">
        <v>0</v>
      </c>
      <c r="GS916" s="2">
        <v>0</v>
      </c>
      <c r="GT916" s="2">
        <v>0</v>
      </c>
      <c r="GU916" s="2" t="s">
        <v>3</v>
      </c>
      <c r="GV916" s="2">
        <f t="shared" si="791"/>
        <v>0</v>
      </c>
      <c r="GW916" s="2">
        <v>1</v>
      </c>
      <c r="GX916" s="2">
        <f t="shared" si="792"/>
        <v>0</v>
      </c>
      <c r="GY916" s="2"/>
      <c r="GZ916" s="2"/>
      <c r="HA916" s="2">
        <v>0</v>
      </c>
      <c r="HB916" s="2">
        <v>0</v>
      </c>
      <c r="HC916" s="2">
        <f t="shared" si="793"/>
        <v>0</v>
      </c>
      <c r="HD916" s="2"/>
      <c r="HE916" s="2" t="s">
        <v>3</v>
      </c>
      <c r="HF916" s="2" t="s">
        <v>3</v>
      </c>
      <c r="HG916" s="2"/>
      <c r="HH916" s="2"/>
      <c r="HI916" s="2"/>
      <c r="HJ916" s="2"/>
      <c r="HK916" s="2"/>
      <c r="HL916" s="2"/>
      <c r="HM916" s="2" t="s">
        <v>3</v>
      </c>
      <c r="HN916" s="2" t="s">
        <v>3</v>
      </c>
      <c r="HO916" s="2" t="s">
        <v>3</v>
      </c>
      <c r="HP916" s="2" t="s">
        <v>3</v>
      </c>
      <c r="HQ916" s="2" t="s">
        <v>3</v>
      </c>
      <c r="HR916" s="2"/>
      <c r="HS916" s="2"/>
      <c r="HT916" s="2"/>
      <c r="HU916" s="2"/>
      <c r="HV916" s="2"/>
      <c r="HW916" s="2"/>
      <c r="HX916" s="2"/>
      <c r="HY916" s="2"/>
      <c r="HZ916" s="2"/>
      <c r="IA916" s="2"/>
      <c r="IB916" s="2"/>
      <c r="IC916" s="2"/>
      <c r="ID916" s="2"/>
      <c r="IE916" s="2"/>
      <c r="IF916" s="2"/>
      <c r="IG916" s="2"/>
      <c r="IH916" s="2"/>
      <c r="II916" s="2"/>
      <c r="IJ916" s="2"/>
      <c r="IK916" s="2">
        <v>0</v>
      </c>
      <c r="IL916" s="2"/>
      <c r="IM916" s="2"/>
      <c r="IN916" s="2"/>
      <c r="IO916" s="2"/>
      <c r="IP916" s="2"/>
      <c r="IQ916" s="2"/>
      <c r="IR916" s="2"/>
      <c r="IS916" s="2"/>
      <c r="IT916" s="2"/>
      <c r="IU916" s="2"/>
    </row>
    <row r="917" spans="1:255" x14ac:dyDescent="0.2">
      <c r="A917">
        <v>18</v>
      </c>
      <c r="B917">
        <v>1</v>
      </c>
      <c r="C917">
        <v>780</v>
      </c>
      <c r="E917" t="s">
        <v>787</v>
      </c>
      <c r="F917" t="s">
        <v>248</v>
      </c>
      <c r="G917" t="s">
        <v>788</v>
      </c>
      <c r="H917" t="s">
        <v>270</v>
      </c>
      <c r="I917">
        <f>I909*J917</f>
        <v>5.0999999999999996</v>
      </c>
      <c r="J917">
        <v>11.086956521739129</v>
      </c>
      <c r="K917">
        <v>11.086957</v>
      </c>
      <c r="O917">
        <f t="shared" si="763"/>
        <v>385.53</v>
      </c>
      <c r="P917">
        <f t="shared" si="764"/>
        <v>385.53</v>
      </c>
      <c r="Q917">
        <f t="shared" si="794"/>
        <v>0</v>
      </c>
      <c r="R917">
        <f t="shared" si="765"/>
        <v>0</v>
      </c>
      <c r="S917">
        <f t="shared" si="766"/>
        <v>0</v>
      </c>
      <c r="T917">
        <f t="shared" si="767"/>
        <v>0</v>
      </c>
      <c r="U917">
        <f t="shared" si="768"/>
        <v>0</v>
      </c>
      <c r="V917">
        <f t="shared" si="769"/>
        <v>0</v>
      </c>
      <c r="W917">
        <f t="shared" si="770"/>
        <v>0</v>
      </c>
      <c r="X917">
        <f t="shared" si="771"/>
        <v>0</v>
      </c>
      <c r="Y917">
        <f t="shared" si="772"/>
        <v>0</v>
      </c>
      <c r="AA917">
        <v>129761633</v>
      </c>
      <c r="AB917">
        <f t="shared" si="773"/>
        <v>8.74</v>
      </c>
      <c r="AC917">
        <f t="shared" si="774"/>
        <v>8.74</v>
      </c>
      <c r="AD917">
        <f t="shared" si="795"/>
        <v>0</v>
      </c>
      <c r="AE917">
        <f t="shared" si="796"/>
        <v>0</v>
      </c>
      <c r="AF917">
        <f t="shared" si="797"/>
        <v>0</v>
      </c>
      <c r="AG917">
        <f t="shared" si="775"/>
        <v>0</v>
      </c>
      <c r="AH917">
        <f t="shared" si="798"/>
        <v>0</v>
      </c>
      <c r="AI917">
        <f t="shared" si="799"/>
        <v>0</v>
      </c>
      <c r="AJ917">
        <f t="shared" si="776"/>
        <v>0</v>
      </c>
      <c r="AK917">
        <v>8.74</v>
      </c>
      <c r="AL917">
        <v>8.74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1</v>
      </c>
      <c r="AW917">
        <v>1</v>
      </c>
      <c r="AZ917">
        <v>1</v>
      </c>
      <c r="BA917">
        <v>1</v>
      </c>
      <c r="BB917">
        <v>1</v>
      </c>
      <c r="BC917">
        <v>8.65</v>
      </c>
      <c r="BD917" t="s">
        <v>3</v>
      </c>
      <c r="BE917" t="s">
        <v>3</v>
      </c>
      <c r="BF917" t="s">
        <v>3</v>
      </c>
      <c r="BG917" t="s">
        <v>3</v>
      </c>
      <c r="BH917">
        <v>3</v>
      </c>
      <c r="BI917">
        <v>2</v>
      </c>
      <c r="BJ917" t="s">
        <v>3</v>
      </c>
      <c r="BM917">
        <v>331</v>
      </c>
      <c r="BN917">
        <v>0</v>
      </c>
      <c r="BO917" t="s">
        <v>3</v>
      </c>
      <c r="BP917">
        <v>0</v>
      </c>
      <c r="BQ917">
        <v>40</v>
      </c>
      <c r="BR917">
        <v>0</v>
      </c>
      <c r="BS917">
        <v>1</v>
      </c>
      <c r="BT917">
        <v>1</v>
      </c>
      <c r="BU917">
        <v>1</v>
      </c>
      <c r="BV917">
        <v>1</v>
      </c>
      <c r="BW917">
        <v>1</v>
      </c>
      <c r="BX917">
        <v>1</v>
      </c>
      <c r="BY917" t="s">
        <v>3</v>
      </c>
      <c r="BZ917">
        <v>0</v>
      </c>
      <c r="CA917">
        <v>0</v>
      </c>
      <c r="CB917" t="s">
        <v>3</v>
      </c>
      <c r="CE917">
        <v>30</v>
      </c>
      <c r="CF917">
        <v>0</v>
      </c>
      <c r="CG917">
        <v>0</v>
      </c>
      <c r="CM917">
        <v>0</v>
      </c>
      <c r="CN917" t="s">
        <v>3</v>
      </c>
      <c r="CO917">
        <v>0</v>
      </c>
      <c r="CP917">
        <f t="shared" si="777"/>
        <v>385.53</v>
      </c>
      <c r="CQ917">
        <f t="shared" si="778"/>
        <v>75.599999999999994</v>
      </c>
      <c r="CR917">
        <f t="shared" si="800"/>
        <v>0</v>
      </c>
      <c r="CS917">
        <f t="shared" si="779"/>
        <v>0</v>
      </c>
      <c r="CT917">
        <f t="shared" si="780"/>
        <v>0</v>
      </c>
      <c r="CU917">
        <f t="shared" si="781"/>
        <v>0</v>
      </c>
      <c r="CV917">
        <f t="shared" si="782"/>
        <v>0</v>
      </c>
      <c r="CW917">
        <f t="shared" si="783"/>
        <v>0</v>
      </c>
      <c r="CX917">
        <f t="shared" si="784"/>
        <v>0</v>
      </c>
      <c r="CY917">
        <f>S917*(BZ917/100)</f>
        <v>0</v>
      </c>
      <c r="CZ917">
        <f>S917*(CA917/100)</f>
        <v>0</v>
      </c>
      <c r="DC917" t="s">
        <v>3</v>
      </c>
      <c r="DD917" t="s">
        <v>3</v>
      </c>
      <c r="DE917" t="s">
        <v>3</v>
      </c>
      <c r="DF917" t="s">
        <v>3</v>
      </c>
      <c r="DG917" t="s">
        <v>3</v>
      </c>
      <c r="DH917" t="s">
        <v>3</v>
      </c>
      <c r="DI917" t="s">
        <v>3</v>
      </c>
      <c r="DJ917" t="s">
        <v>3</v>
      </c>
      <c r="DK917" t="s">
        <v>3</v>
      </c>
      <c r="DL917" t="s">
        <v>3</v>
      </c>
      <c r="DM917" t="s">
        <v>3</v>
      </c>
      <c r="DN917">
        <v>114</v>
      </c>
      <c r="DO917">
        <v>67</v>
      </c>
      <c r="DP917">
        <v>1</v>
      </c>
      <c r="DQ917">
        <v>1</v>
      </c>
      <c r="DU917">
        <v>1003</v>
      </c>
      <c r="DV917" t="s">
        <v>270</v>
      </c>
      <c r="DW917" t="s">
        <v>270</v>
      </c>
      <c r="DX917">
        <v>1</v>
      </c>
      <c r="DZ917" t="s">
        <v>3</v>
      </c>
      <c r="EA917" t="s">
        <v>3</v>
      </c>
      <c r="EB917" t="s">
        <v>3</v>
      </c>
      <c r="EC917" t="s">
        <v>3</v>
      </c>
      <c r="EE917">
        <v>126051792</v>
      </c>
      <c r="EF917">
        <v>40</v>
      </c>
      <c r="EG917" t="s">
        <v>621</v>
      </c>
      <c r="EH917">
        <v>0</v>
      </c>
      <c r="EI917" t="s">
        <v>3</v>
      </c>
      <c r="EJ917">
        <v>2</v>
      </c>
      <c r="EK917">
        <v>331</v>
      </c>
      <c r="EL917" t="s">
        <v>679</v>
      </c>
      <c r="EM917" t="s">
        <v>680</v>
      </c>
      <c r="EO917" t="s">
        <v>3</v>
      </c>
      <c r="EQ917">
        <v>0</v>
      </c>
      <c r="ER917">
        <v>11.41</v>
      </c>
      <c r="ES917">
        <v>8.74</v>
      </c>
      <c r="ET917">
        <v>0</v>
      </c>
      <c r="EU917">
        <v>0</v>
      </c>
      <c r="EV917">
        <v>0</v>
      </c>
      <c r="EW917">
        <v>0</v>
      </c>
      <c r="EX917">
        <v>0</v>
      </c>
      <c r="EZ917">
        <v>5</v>
      </c>
      <c r="FC917">
        <v>1</v>
      </c>
      <c r="FD917">
        <v>18</v>
      </c>
      <c r="FF917">
        <v>89</v>
      </c>
      <c r="FQ917">
        <v>0</v>
      </c>
      <c r="FR917">
        <f t="shared" si="785"/>
        <v>0</v>
      </c>
      <c r="FS917">
        <v>0</v>
      </c>
      <c r="FX917">
        <v>114</v>
      </c>
      <c r="FY917">
        <v>67</v>
      </c>
      <c r="GA917" t="s">
        <v>789</v>
      </c>
      <c r="GD917">
        <v>0</v>
      </c>
      <c r="GF917">
        <v>321724379</v>
      </c>
      <c r="GG917">
        <v>2</v>
      </c>
      <c r="GH917">
        <v>3</v>
      </c>
      <c r="GI917">
        <v>5</v>
      </c>
      <c r="GJ917">
        <v>0</v>
      </c>
      <c r="GK917">
        <f>ROUND(R917*(S12)/100,2)</f>
        <v>0</v>
      </c>
      <c r="GL917">
        <f t="shared" si="786"/>
        <v>0</v>
      </c>
      <c r="GM917">
        <f t="shared" si="787"/>
        <v>385.53</v>
      </c>
      <c r="GN917">
        <f t="shared" si="788"/>
        <v>0</v>
      </c>
      <c r="GO917">
        <f t="shared" si="789"/>
        <v>385.53</v>
      </c>
      <c r="GP917">
        <f t="shared" si="790"/>
        <v>0</v>
      </c>
      <c r="GR917">
        <v>1</v>
      </c>
      <c r="GS917">
        <v>1</v>
      </c>
      <c r="GT917">
        <v>0</v>
      </c>
      <c r="GU917" t="s">
        <v>3</v>
      </c>
      <c r="GV917">
        <f t="shared" si="791"/>
        <v>0</v>
      </c>
      <c r="GW917">
        <v>1</v>
      </c>
      <c r="GX917">
        <f t="shared" si="792"/>
        <v>0</v>
      </c>
      <c r="HA917">
        <v>0</v>
      </c>
      <c r="HB917">
        <v>0</v>
      </c>
      <c r="HC917">
        <f t="shared" si="793"/>
        <v>0</v>
      </c>
      <c r="HE917" t="s">
        <v>81</v>
      </c>
      <c r="HF917" t="s">
        <v>252</v>
      </c>
      <c r="HM917" t="s">
        <v>3</v>
      </c>
      <c r="HN917" t="s">
        <v>3</v>
      </c>
      <c r="HO917" t="s">
        <v>3</v>
      </c>
      <c r="HP917" t="s">
        <v>3</v>
      </c>
      <c r="HQ917" t="s">
        <v>3</v>
      </c>
      <c r="IK917">
        <v>0</v>
      </c>
    </row>
    <row r="918" spans="1:255" x14ac:dyDescent="0.2">
      <c r="A918" s="2">
        <v>17</v>
      </c>
      <c r="B918" s="2">
        <v>1</v>
      </c>
      <c r="C918" s="2">
        <f>ROW(SmtRes!A782)</f>
        <v>782</v>
      </c>
      <c r="D918" s="2">
        <f>ROW(EtalonRes!A751)</f>
        <v>751</v>
      </c>
      <c r="E918" s="2" t="s">
        <v>212</v>
      </c>
      <c r="F918" s="2" t="s">
        <v>790</v>
      </c>
      <c r="G918" s="2" t="s">
        <v>791</v>
      </c>
      <c r="H918" s="2" t="s">
        <v>455</v>
      </c>
      <c r="I918" s="2">
        <v>0.8</v>
      </c>
      <c r="J918" s="2">
        <v>0</v>
      </c>
      <c r="K918" s="2">
        <v>0.8</v>
      </c>
      <c r="L918" s="2"/>
      <c r="M918" s="2"/>
      <c r="N918" s="2"/>
      <c r="O918" s="2">
        <f t="shared" si="763"/>
        <v>46.03</v>
      </c>
      <c r="P918" s="2">
        <f t="shared" si="764"/>
        <v>3.36</v>
      </c>
      <c r="Q918" s="2">
        <f t="shared" si="794"/>
        <v>2.0299999999999998</v>
      </c>
      <c r="R918" s="2">
        <f t="shared" si="765"/>
        <v>0.47</v>
      </c>
      <c r="S918" s="2">
        <f t="shared" si="766"/>
        <v>40.64</v>
      </c>
      <c r="T918" s="2">
        <f t="shared" si="767"/>
        <v>0</v>
      </c>
      <c r="U918" s="2">
        <f t="shared" si="768"/>
        <v>3.2960000000000003</v>
      </c>
      <c r="V918" s="2">
        <f t="shared" si="769"/>
        <v>0</v>
      </c>
      <c r="W918" s="2">
        <f t="shared" si="770"/>
        <v>0</v>
      </c>
      <c r="X918" s="2">
        <f t="shared" si="771"/>
        <v>46.33</v>
      </c>
      <c r="Y918" s="2">
        <f t="shared" si="772"/>
        <v>27.23</v>
      </c>
      <c r="Z918" s="2"/>
      <c r="AA918" s="2">
        <v>129761636</v>
      </c>
      <c r="AB918" s="2">
        <f t="shared" si="773"/>
        <v>57.54</v>
      </c>
      <c r="AC918" s="2">
        <f t="shared" si="774"/>
        <v>4.2</v>
      </c>
      <c r="AD918" s="2">
        <f t="shared" si="795"/>
        <v>2.54</v>
      </c>
      <c r="AE918" s="2">
        <f t="shared" si="796"/>
        <v>0.59</v>
      </c>
      <c r="AF918" s="2">
        <f t="shared" si="797"/>
        <v>50.8</v>
      </c>
      <c r="AG918" s="2">
        <f t="shared" si="775"/>
        <v>0</v>
      </c>
      <c r="AH918" s="2">
        <f t="shared" si="798"/>
        <v>4.12</v>
      </c>
      <c r="AI918" s="2">
        <f t="shared" si="799"/>
        <v>0</v>
      </c>
      <c r="AJ918" s="2">
        <f t="shared" si="776"/>
        <v>0</v>
      </c>
      <c r="AK918" s="2">
        <v>57.54</v>
      </c>
      <c r="AL918" s="2">
        <v>4.2</v>
      </c>
      <c r="AM918" s="2">
        <v>2.54</v>
      </c>
      <c r="AN918" s="2">
        <v>0.59</v>
      </c>
      <c r="AO918" s="2">
        <v>50.8</v>
      </c>
      <c r="AP918" s="2">
        <v>0</v>
      </c>
      <c r="AQ918" s="2">
        <v>4.12</v>
      </c>
      <c r="AR918" s="2">
        <v>0</v>
      </c>
      <c r="AS918" s="2">
        <v>0</v>
      </c>
      <c r="AT918" s="2">
        <v>114</v>
      </c>
      <c r="AU918" s="2">
        <v>67</v>
      </c>
      <c r="AV918" s="2">
        <v>1</v>
      </c>
      <c r="AW918" s="2">
        <v>1</v>
      </c>
      <c r="AX918" s="2"/>
      <c r="AY918" s="2"/>
      <c r="AZ918" s="2">
        <v>1</v>
      </c>
      <c r="BA918" s="2">
        <v>1</v>
      </c>
      <c r="BB918" s="2">
        <v>1</v>
      </c>
      <c r="BC918" s="2">
        <v>1</v>
      </c>
      <c r="BD918" s="2" t="s">
        <v>3</v>
      </c>
      <c r="BE918" s="2" t="s">
        <v>3</v>
      </c>
      <c r="BF918" s="2" t="s">
        <v>3</v>
      </c>
      <c r="BG918" s="2" t="s">
        <v>3</v>
      </c>
      <c r="BH918" s="2">
        <v>0</v>
      </c>
      <c r="BI918" s="2">
        <v>2</v>
      </c>
      <c r="BJ918" s="2" t="s">
        <v>792</v>
      </c>
      <c r="BK918" s="2"/>
      <c r="BL918" s="2"/>
      <c r="BM918" s="2">
        <v>331</v>
      </c>
      <c r="BN918" s="2">
        <v>0</v>
      </c>
      <c r="BO918" s="2" t="s">
        <v>3</v>
      </c>
      <c r="BP918" s="2">
        <v>0</v>
      </c>
      <c r="BQ918" s="2">
        <v>40</v>
      </c>
      <c r="BR918" s="2">
        <v>0</v>
      </c>
      <c r="BS918" s="2">
        <v>1</v>
      </c>
      <c r="BT918" s="2">
        <v>1</v>
      </c>
      <c r="BU918" s="2">
        <v>1</v>
      </c>
      <c r="BV918" s="2">
        <v>1</v>
      </c>
      <c r="BW918" s="2">
        <v>1</v>
      </c>
      <c r="BX918" s="2">
        <v>1</v>
      </c>
      <c r="BY918" s="2" t="s">
        <v>3</v>
      </c>
      <c r="BZ918" s="2">
        <v>114</v>
      </c>
      <c r="CA918" s="2">
        <v>67</v>
      </c>
      <c r="CB918" s="2" t="s">
        <v>3</v>
      </c>
      <c r="CC918" s="2"/>
      <c r="CD918" s="2"/>
      <c r="CE918" s="2">
        <v>30</v>
      </c>
      <c r="CF918" s="2">
        <v>0</v>
      </c>
      <c r="CG918" s="2">
        <v>0</v>
      </c>
      <c r="CH918" s="2"/>
      <c r="CI918" s="2"/>
      <c r="CJ918" s="2"/>
      <c r="CK918" s="2"/>
      <c r="CL918" s="2"/>
      <c r="CM918" s="2">
        <v>0</v>
      </c>
      <c r="CN918" s="2" t="s">
        <v>3</v>
      </c>
      <c r="CO918" s="2">
        <v>0</v>
      </c>
      <c r="CP918" s="2">
        <f t="shared" si="777"/>
        <v>46.03</v>
      </c>
      <c r="CQ918" s="2">
        <f t="shared" si="778"/>
        <v>4.2</v>
      </c>
      <c r="CR918" s="2">
        <f t="shared" si="800"/>
        <v>2.54</v>
      </c>
      <c r="CS918" s="2">
        <f t="shared" si="779"/>
        <v>0.59</v>
      </c>
      <c r="CT918" s="2">
        <f t="shared" si="780"/>
        <v>50.8</v>
      </c>
      <c r="CU918" s="2">
        <f t="shared" si="781"/>
        <v>0</v>
      </c>
      <c r="CV918" s="2">
        <f t="shared" si="782"/>
        <v>4.12</v>
      </c>
      <c r="CW918" s="2">
        <f t="shared" si="783"/>
        <v>0</v>
      </c>
      <c r="CX918" s="2">
        <f t="shared" si="784"/>
        <v>0</v>
      </c>
      <c r="CY918" s="2">
        <f>((S918*BZ918)/100)</f>
        <v>46.329599999999999</v>
      </c>
      <c r="CZ918" s="2">
        <f>((S918*CA918)/100)</f>
        <v>27.2288</v>
      </c>
      <c r="DA918" s="2"/>
      <c r="DB918" s="2"/>
      <c r="DC918" s="2" t="s">
        <v>3</v>
      </c>
      <c r="DD918" s="2" t="s">
        <v>3</v>
      </c>
      <c r="DE918" s="2" t="s">
        <v>3</v>
      </c>
      <c r="DF918" s="2" t="s">
        <v>3</v>
      </c>
      <c r="DG918" s="2" t="s">
        <v>3</v>
      </c>
      <c r="DH918" s="2" t="s">
        <v>3</v>
      </c>
      <c r="DI918" s="2" t="s">
        <v>3</v>
      </c>
      <c r="DJ918" s="2" t="s">
        <v>3</v>
      </c>
      <c r="DK918" s="2" t="s">
        <v>3</v>
      </c>
      <c r="DL918" s="2" t="s">
        <v>3</v>
      </c>
      <c r="DM918" s="2" t="s">
        <v>3</v>
      </c>
      <c r="DN918" s="2">
        <v>0</v>
      </c>
      <c r="DO918" s="2">
        <v>0</v>
      </c>
      <c r="DP918" s="2">
        <v>1</v>
      </c>
      <c r="DQ918" s="2">
        <v>1</v>
      </c>
      <c r="DR918" s="2"/>
      <c r="DS918" s="2"/>
      <c r="DT918" s="2"/>
      <c r="DU918" s="2">
        <v>1003</v>
      </c>
      <c r="DV918" s="2" t="s">
        <v>455</v>
      </c>
      <c r="DW918" s="2" t="s">
        <v>455</v>
      </c>
      <c r="DX918" s="2">
        <v>100</v>
      </c>
      <c r="DY918" s="2"/>
      <c r="DZ918" s="2" t="s">
        <v>3</v>
      </c>
      <c r="EA918" s="2" t="s">
        <v>3</v>
      </c>
      <c r="EB918" s="2" t="s">
        <v>3</v>
      </c>
      <c r="EC918" s="2" t="s">
        <v>3</v>
      </c>
      <c r="ED918" s="2"/>
      <c r="EE918" s="2">
        <v>126051792</v>
      </c>
      <c r="EF918" s="2">
        <v>40</v>
      </c>
      <c r="EG918" s="2" t="s">
        <v>621</v>
      </c>
      <c r="EH918" s="2">
        <v>0</v>
      </c>
      <c r="EI918" s="2" t="s">
        <v>3</v>
      </c>
      <c r="EJ918" s="2">
        <v>2</v>
      </c>
      <c r="EK918" s="2">
        <v>331</v>
      </c>
      <c r="EL918" s="2" t="s">
        <v>679</v>
      </c>
      <c r="EM918" s="2" t="s">
        <v>680</v>
      </c>
      <c r="EN918" s="2"/>
      <c r="EO918" s="2" t="s">
        <v>3</v>
      </c>
      <c r="EP918" s="2"/>
      <c r="EQ918" s="2">
        <v>131072</v>
      </c>
      <c r="ER918" s="2">
        <v>57.54</v>
      </c>
      <c r="ES918" s="2">
        <v>4.2</v>
      </c>
      <c r="ET918" s="2">
        <v>2.54</v>
      </c>
      <c r="EU918" s="2">
        <v>0.59</v>
      </c>
      <c r="EV918" s="2">
        <v>50.8</v>
      </c>
      <c r="EW918" s="2">
        <v>4.12</v>
      </c>
      <c r="EX918" s="2">
        <v>0</v>
      </c>
      <c r="EY918" s="2">
        <v>0</v>
      </c>
      <c r="EZ918" s="2"/>
      <c r="FA918" s="2"/>
      <c r="FB918" s="2"/>
      <c r="FC918" s="2"/>
      <c r="FD918" s="2"/>
      <c r="FE918" s="2"/>
      <c r="FF918" s="2"/>
      <c r="FG918" s="2"/>
      <c r="FH918" s="2"/>
      <c r="FI918" s="2"/>
      <c r="FJ918" s="2"/>
      <c r="FK918" s="2"/>
      <c r="FL918" s="2"/>
      <c r="FM918" s="2"/>
      <c r="FN918" s="2"/>
      <c r="FO918" s="2"/>
      <c r="FP918" s="2"/>
      <c r="FQ918" s="2">
        <v>0</v>
      </c>
      <c r="FR918" s="2">
        <f t="shared" si="785"/>
        <v>0</v>
      </c>
      <c r="FS918" s="2">
        <v>0</v>
      </c>
      <c r="FT918" s="2"/>
      <c r="FU918" s="2"/>
      <c r="FV918" s="2"/>
      <c r="FW918" s="2"/>
      <c r="FX918" s="2">
        <v>114</v>
      </c>
      <c r="FY918" s="2">
        <v>67</v>
      </c>
      <c r="FZ918" s="2"/>
      <c r="GA918" s="2" t="s">
        <v>3</v>
      </c>
      <c r="GB918" s="2"/>
      <c r="GC918" s="2"/>
      <c r="GD918" s="2">
        <v>0</v>
      </c>
      <c r="GE918" s="2"/>
      <c r="GF918" s="2">
        <v>-872589264</v>
      </c>
      <c r="GG918" s="2">
        <v>2</v>
      </c>
      <c r="GH918" s="2">
        <v>1</v>
      </c>
      <c r="GI918" s="2">
        <v>-2</v>
      </c>
      <c r="GJ918" s="2">
        <v>0</v>
      </c>
      <c r="GK918" s="2">
        <f>ROUND(R918*(R12)/100,2)</f>
        <v>0.82</v>
      </c>
      <c r="GL918" s="2">
        <f t="shared" si="786"/>
        <v>0</v>
      </c>
      <c r="GM918" s="2">
        <f t="shared" si="787"/>
        <v>120.41</v>
      </c>
      <c r="GN918" s="2">
        <f t="shared" si="788"/>
        <v>0</v>
      </c>
      <c r="GO918" s="2">
        <f t="shared" si="789"/>
        <v>120.41</v>
      </c>
      <c r="GP918" s="2">
        <f t="shared" si="790"/>
        <v>0</v>
      </c>
      <c r="GQ918" s="2"/>
      <c r="GR918" s="2">
        <v>0</v>
      </c>
      <c r="GS918" s="2">
        <v>0</v>
      </c>
      <c r="GT918" s="2">
        <v>0</v>
      </c>
      <c r="GU918" s="2" t="s">
        <v>3</v>
      </c>
      <c r="GV918" s="2">
        <f t="shared" si="791"/>
        <v>0</v>
      </c>
      <c r="GW918" s="2">
        <v>1</v>
      </c>
      <c r="GX918" s="2">
        <f t="shared" si="792"/>
        <v>0</v>
      </c>
      <c r="GY918" s="2"/>
      <c r="GZ918" s="2"/>
      <c r="HA918" s="2">
        <v>0</v>
      </c>
      <c r="HB918" s="2">
        <v>0</v>
      </c>
      <c r="HC918" s="2">
        <f t="shared" si="793"/>
        <v>0</v>
      </c>
      <c r="HD918" s="2"/>
      <c r="HE918" s="2" t="s">
        <v>3</v>
      </c>
      <c r="HF918" s="2" t="s">
        <v>3</v>
      </c>
      <c r="HG918" s="2"/>
      <c r="HH918" s="2"/>
      <c r="HI918" s="2"/>
      <c r="HJ918" s="2"/>
      <c r="HK918" s="2"/>
      <c r="HL918" s="2"/>
      <c r="HM918" s="2" t="s">
        <v>3</v>
      </c>
      <c r="HN918" s="2" t="s">
        <v>3</v>
      </c>
      <c r="HO918" s="2" t="s">
        <v>3</v>
      </c>
      <c r="HP918" s="2" t="s">
        <v>3</v>
      </c>
      <c r="HQ918" s="2" t="s">
        <v>3</v>
      </c>
      <c r="HR918" s="2"/>
      <c r="HS918" s="2"/>
      <c r="HT918" s="2"/>
      <c r="HU918" s="2"/>
      <c r="HV918" s="2"/>
      <c r="HW918" s="2"/>
      <c r="HX918" s="2"/>
      <c r="HY918" s="2"/>
      <c r="HZ918" s="2"/>
      <c r="IA918" s="2"/>
      <c r="IB918" s="2"/>
      <c r="IC918" s="2"/>
      <c r="ID918" s="2"/>
      <c r="IE918" s="2"/>
      <c r="IF918" s="2"/>
      <c r="IG918" s="2"/>
      <c r="IH918" s="2"/>
      <c r="II918" s="2"/>
      <c r="IJ918" s="2"/>
      <c r="IK918" s="2">
        <v>0</v>
      </c>
      <c r="IL918" s="2"/>
      <c r="IM918" s="2"/>
      <c r="IN918" s="2"/>
      <c r="IO918" s="2"/>
      <c r="IP918" s="2"/>
      <c r="IQ918" s="2"/>
      <c r="IR918" s="2"/>
      <c r="IS918" s="2"/>
      <c r="IT918" s="2"/>
      <c r="IU918" s="2"/>
    </row>
    <row r="919" spans="1:255" x14ac:dyDescent="0.2">
      <c r="A919">
        <v>17</v>
      </c>
      <c r="B919">
        <v>1</v>
      </c>
      <c r="C919">
        <f>ROW(SmtRes!A784)</f>
        <v>784</v>
      </c>
      <c r="D919">
        <f>ROW(EtalonRes!A752)</f>
        <v>752</v>
      </c>
      <c r="E919" t="s">
        <v>212</v>
      </c>
      <c r="F919" t="s">
        <v>790</v>
      </c>
      <c r="G919" t="s">
        <v>791</v>
      </c>
      <c r="H919" t="s">
        <v>455</v>
      </c>
      <c r="I919">
        <v>0.8</v>
      </c>
      <c r="J919">
        <v>0</v>
      </c>
      <c r="K919">
        <v>0.8</v>
      </c>
      <c r="O919">
        <f t="shared" si="763"/>
        <v>1230.1600000000001</v>
      </c>
      <c r="P919">
        <f t="shared" si="764"/>
        <v>27.18</v>
      </c>
      <c r="Q919">
        <f t="shared" si="794"/>
        <v>23.2</v>
      </c>
      <c r="R919">
        <f t="shared" si="765"/>
        <v>13.64</v>
      </c>
      <c r="S919">
        <f t="shared" si="766"/>
        <v>1179.78</v>
      </c>
      <c r="T919">
        <f t="shared" si="767"/>
        <v>0</v>
      </c>
      <c r="U919">
        <f t="shared" si="768"/>
        <v>3.2960000000000003</v>
      </c>
      <c r="V919">
        <f t="shared" si="769"/>
        <v>0</v>
      </c>
      <c r="W919">
        <f t="shared" si="770"/>
        <v>0</v>
      </c>
      <c r="X919">
        <f t="shared" si="771"/>
        <v>932.03</v>
      </c>
      <c r="Y919">
        <f t="shared" si="772"/>
        <v>483.71</v>
      </c>
      <c r="AA919">
        <v>129761633</v>
      </c>
      <c r="AB919">
        <f t="shared" si="773"/>
        <v>57.54</v>
      </c>
      <c r="AC919">
        <f t="shared" si="774"/>
        <v>4.2</v>
      </c>
      <c r="AD919">
        <f t="shared" si="795"/>
        <v>2.54</v>
      </c>
      <c r="AE919">
        <f t="shared" si="796"/>
        <v>0.59</v>
      </c>
      <c r="AF919">
        <f t="shared" si="797"/>
        <v>50.8</v>
      </c>
      <c r="AG919">
        <f t="shared" si="775"/>
        <v>0</v>
      </c>
      <c r="AH919">
        <f t="shared" si="798"/>
        <v>4.12</v>
      </c>
      <c r="AI919">
        <f t="shared" si="799"/>
        <v>0</v>
      </c>
      <c r="AJ919">
        <f t="shared" si="776"/>
        <v>0</v>
      </c>
      <c r="AK919">
        <v>57.54</v>
      </c>
      <c r="AL919">
        <v>4.2</v>
      </c>
      <c r="AM919">
        <v>2.54</v>
      </c>
      <c r="AN919">
        <v>0.59</v>
      </c>
      <c r="AO919">
        <v>50.8</v>
      </c>
      <c r="AP919">
        <v>0</v>
      </c>
      <c r="AQ919">
        <v>4.12</v>
      </c>
      <c r="AR919">
        <v>0</v>
      </c>
      <c r="AS919">
        <v>0</v>
      </c>
      <c r="AT919">
        <v>79</v>
      </c>
      <c r="AU919">
        <v>41</v>
      </c>
      <c r="AV919">
        <v>1</v>
      </c>
      <c r="AW919">
        <v>1</v>
      </c>
      <c r="AZ919">
        <v>1</v>
      </c>
      <c r="BA919">
        <v>29.03</v>
      </c>
      <c r="BB919">
        <v>11.43</v>
      </c>
      <c r="BC919">
        <v>8.09</v>
      </c>
      <c r="BD919" t="s">
        <v>3</v>
      </c>
      <c r="BE919" t="s">
        <v>3</v>
      </c>
      <c r="BF919" t="s">
        <v>3</v>
      </c>
      <c r="BG919" t="s">
        <v>3</v>
      </c>
      <c r="BH919">
        <v>0</v>
      </c>
      <c r="BI919">
        <v>2</v>
      </c>
      <c r="BJ919" t="s">
        <v>792</v>
      </c>
      <c r="BM919">
        <v>331</v>
      </c>
      <c r="BN919">
        <v>0</v>
      </c>
      <c r="BO919" t="s">
        <v>790</v>
      </c>
      <c r="BP919">
        <v>1</v>
      </c>
      <c r="BQ919">
        <v>40</v>
      </c>
      <c r="BR919">
        <v>0</v>
      </c>
      <c r="BS919">
        <v>29.03</v>
      </c>
      <c r="BT919">
        <v>1</v>
      </c>
      <c r="BU919">
        <v>1</v>
      </c>
      <c r="BV919">
        <v>1</v>
      </c>
      <c r="BW919">
        <v>1</v>
      </c>
      <c r="BX919">
        <v>1</v>
      </c>
      <c r="BY919" t="s">
        <v>3</v>
      </c>
      <c r="BZ919">
        <v>79</v>
      </c>
      <c r="CA919">
        <v>41</v>
      </c>
      <c r="CB919" t="s">
        <v>3</v>
      </c>
      <c r="CE919">
        <v>30</v>
      </c>
      <c r="CF919">
        <v>0</v>
      </c>
      <c r="CG919">
        <v>0</v>
      </c>
      <c r="CM919">
        <v>0</v>
      </c>
      <c r="CN919" t="s">
        <v>3</v>
      </c>
      <c r="CO919">
        <v>0</v>
      </c>
      <c r="CP919">
        <f t="shared" si="777"/>
        <v>1230.1599999999999</v>
      </c>
      <c r="CQ919">
        <f t="shared" si="778"/>
        <v>33.979999999999997</v>
      </c>
      <c r="CR919">
        <f t="shared" si="800"/>
        <v>29.03</v>
      </c>
      <c r="CS919">
        <f t="shared" si="779"/>
        <v>17.13</v>
      </c>
      <c r="CT919">
        <f t="shared" si="780"/>
        <v>1474.72</v>
      </c>
      <c r="CU919">
        <f t="shared" si="781"/>
        <v>0</v>
      </c>
      <c r="CV919">
        <f t="shared" si="782"/>
        <v>4.12</v>
      </c>
      <c r="CW919">
        <f t="shared" si="783"/>
        <v>0</v>
      </c>
      <c r="CX919">
        <f t="shared" si="784"/>
        <v>0</v>
      </c>
      <c r="CY919">
        <f>S919*(BZ919/100)</f>
        <v>932.02620000000002</v>
      </c>
      <c r="CZ919">
        <f>S919*(CA919/100)</f>
        <v>483.70979999999997</v>
      </c>
      <c r="DC919" t="s">
        <v>3</v>
      </c>
      <c r="DD919" t="s">
        <v>3</v>
      </c>
      <c r="DE919" t="s">
        <v>3</v>
      </c>
      <c r="DF919" t="s">
        <v>3</v>
      </c>
      <c r="DG919" t="s">
        <v>3</v>
      </c>
      <c r="DH919" t="s">
        <v>3</v>
      </c>
      <c r="DI919" t="s">
        <v>3</v>
      </c>
      <c r="DJ919" t="s">
        <v>3</v>
      </c>
      <c r="DK919" t="s">
        <v>3</v>
      </c>
      <c r="DL919" t="s">
        <v>3</v>
      </c>
      <c r="DM919" t="s">
        <v>3</v>
      </c>
      <c r="DN919">
        <v>114</v>
      </c>
      <c r="DO919">
        <v>67</v>
      </c>
      <c r="DP919">
        <v>1</v>
      </c>
      <c r="DQ919">
        <v>1</v>
      </c>
      <c r="DU919">
        <v>1003</v>
      </c>
      <c r="DV919" t="s">
        <v>455</v>
      </c>
      <c r="DW919" t="s">
        <v>455</v>
      </c>
      <c r="DX919">
        <v>100</v>
      </c>
      <c r="DZ919" t="s">
        <v>3</v>
      </c>
      <c r="EA919" t="s">
        <v>3</v>
      </c>
      <c r="EB919" t="s">
        <v>3</v>
      </c>
      <c r="EC919" t="s">
        <v>3</v>
      </c>
      <c r="EE919">
        <v>126051792</v>
      </c>
      <c r="EF919">
        <v>40</v>
      </c>
      <c r="EG919" t="s">
        <v>621</v>
      </c>
      <c r="EH919">
        <v>0</v>
      </c>
      <c r="EI919" t="s">
        <v>3</v>
      </c>
      <c r="EJ919">
        <v>2</v>
      </c>
      <c r="EK919">
        <v>331</v>
      </c>
      <c r="EL919" t="s">
        <v>679</v>
      </c>
      <c r="EM919" t="s">
        <v>680</v>
      </c>
      <c r="EO919" t="s">
        <v>3</v>
      </c>
      <c r="EQ919">
        <v>131072</v>
      </c>
      <c r="ER919">
        <v>57.54</v>
      </c>
      <c r="ES919">
        <v>4.2</v>
      </c>
      <c r="ET919">
        <v>2.54</v>
      </c>
      <c r="EU919">
        <v>0.59</v>
      </c>
      <c r="EV919">
        <v>50.8</v>
      </c>
      <c r="EW919">
        <v>4.12</v>
      </c>
      <c r="EX919">
        <v>0</v>
      </c>
      <c r="EY919">
        <v>0</v>
      </c>
      <c r="FQ919">
        <v>0</v>
      </c>
      <c r="FR919">
        <f t="shared" si="785"/>
        <v>0</v>
      </c>
      <c r="FS919">
        <v>0</v>
      </c>
      <c r="FX919">
        <v>114</v>
      </c>
      <c r="FY919">
        <v>67</v>
      </c>
      <c r="GA919" t="s">
        <v>3</v>
      </c>
      <c r="GD919">
        <v>0</v>
      </c>
      <c r="GF919">
        <v>-872589264</v>
      </c>
      <c r="GG919">
        <v>2</v>
      </c>
      <c r="GH919">
        <v>1</v>
      </c>
      <c r="GI919">
        <v>2</v>
      </c>
      <c r="GJ919">
        <v>0</v>
      </c>
      <c r="GK919">
        <f>ROUND(R919*(S12)/100,2)</f>
        <v>21.82</v>
      </c>
      <c r="GL919">
        <f t="shared" si="786"/>
        <v>0</v>
      </c>
      <c r="GM919">
        <f t="shared" si="787"/>
        <v>2667.72</v>
      </c>
      <c r="GN919">
        <f t="shared" si="788"/>
        <v>0</v>
      </c>
      <c r="GO919">
        <f t="shared" si="789"/>
        <v>2667.72</v>
      </c>
      <c r="GP919">
        <f t="shared" si="790"/>
        <v>0</v>
      </c>
      <c r="GR919">
        <v>0</v>
      </c>
      <c r="GS919">
        <v>3</v>
      </c>
      <c r="GT919">
        <v>0</v>
      </c>
      <c r="GU919" t="s">
        <v>3</v>
      </c>
      <c r="GV919">
        <f t="shared" si="791"/>
        <v>0</v>
      </c>
      <c r="GW919">
        <v>1</v>
      </c>
      <c r="GX919">
        <f t="shared" si="792"/>
        <v>0</v>
      </c>
      <c r="HA919">
        <v>0</v>
      </c>
      <c r="HB919">
        <v>0</v>
      </c>
      <c r="HC919">
        <f t="shared" si="793"/>
        <v>0</v>
      </c>
      <c r="HE919" t="s">
        <v>3</v>
      </c>
      <c r="HF919" t="s">
        <v>3</v>
      </c>
      <c r="HM919" t="s">
        <v>3</v>
      </c>
      <c r="HN919" t="s">
        <v>3</v>
      </c>
      <c r="HO919" t="s">
        <v>3</v>
      </c>
      <c r="HP919" t="s">
        <v>3</v>
      </c>
      <c r="HQ919" t="s">
        <v>3</v>
      </c>
      <c r="IK919">
        <v>0</v>
      </c>
    </row>
    <row r="920" spans="1:255" x14ac:dyDescent="0.2">
      <c r="A920" s="2">
        <v>18</v>
      </c>
      <c r="B920" s="2">
        <v>1</v>
      </c>
      <c r="C920" s="2">
        <v>782</v>
      </c>
      <c r="D920" s="2"/>
      <c r="E920" s="2" t="s">
        <v>596</v>
      </c>
      <c r="F920" s="2" t="s">
        <v>793</v>
      </c>
      <c r="G920" s="2" t="s">
        <v>1568</v>
      </c>
      <c r="H920" s="2" t="s">
        <v>694</v>
      </c>
      <c r="I920" s="2">
        <f>I918*J920</f>
        <v>8.1600000000000006E-2</v>
      </c>
      <c r="J920" s="2">
        <v>0.10200000000000001</v>
      </c>
      <c r="K920" s="2">
        <v>0.10200000000000001</v>
      </c>
      <c r="L920" s="2"/>
      <c r="M920" s="2"/>
      <c r="N920" s="2"/>
      <c r="O920" s="2">
        <f t="shared" si="763"/>
        <v>1206.72</v>
      </c>
      <c r="P920" s="2">
        <f t="shared" si="764"/>
        <v>1206.72</v>
      </c>
      <c r="Q920" s="2">
        <f t="shared" si="794"/>
        <v>0</v>
      </c>
      <c r="R920" s="2">
        <f t="shared" si="765"/>
        <v>0</v>
      </c>
      <c r="S920" s="2">
        <f t="shared" si="766"/>
        <v>0</v>
      </c>
      <c r="T920" s="2">
        <f t="shared" si="767"/>
        <v>0</v>
      </c>
      <c r="U920" s="2">
        <f t="shared" si="768"/>
        <v>0</v>
      </c>
      <c r="V920" s="2">
        <f t="shared" si="769"/>
        <v>0</v>
      </c>
      <c r="W920" s="2">
        <f t="shared" si="770"/>
        <v>0</v>
      </c>
      <c r="X920" s="2">
        <f t="shared" si="771"/>
        <v>0</v>
      </c>
      <c r="Y920" s="2">
        <f t="shared" si="772"/>
        <v>0</v>
      </c>
      <c r="Z920" s="2"/>
      <c r="AA920" s="2">
        <v>129761636</v>
      </c>
      <c r="AB920" s="2">
        <f t="shared" si="773"/>
        <v>14788.24</v>
      </c>
      <c r="AC920" s="2">
        <f t="shared" si="774"/>
        <v>14788.24</v>
      </c>
      <c r="AD920" s="2">
        <f t="shared" si="795"/>
        <v>0</v>
      </c>
      <c r="AE920" s="2">
        <f t="shared" si="796"/>
        <v>0</v>
      </c>
      <c r="AF920" s="2">
        <f t="shared" si="797"/>
        <v>0</v>
      </c>
      <c r="AG920" s="2">
        <f t="shared" si="775"/>
        <v>0</v>
      </c>
      <c r="AH920" s="2">
        <f t="shared" si="798"/>
        <v>0</v>
      </c>
      <c r="AI920" s="2">
        <f t="shared" si="799"/>
        <v>0</v>
      </c>
      <c r="AJ920" s="2">
        <f t="shared" si="776"/>
        <v>0</v>
      </c>
      <c r="AK920" s="2">
        <v>14788.24</v>
      </c>
      <c r="AL920" s="2">
        <v>14788.24</v>
      </c>
      <c r="AM920" s="2">
        <v>0</v>
      </c>
      <c r="AN920" s="2">
        <v>0</v>
      </c>
      <c r="AO920" s="2">
        <v>0</v>
      </c>
      <c r="AP920" s="2">
        <v>0</v>
      </c>
      <c r="AQ920" s="2">
        <v>0</v>
      </c>
      <c r="AR920" s="2">
        <v>0</v>
      </c>
      <c r="AS920" s="2">
        <v>0</v>
      </c>
      <c r="AT920" s="2">
        <v>114</v>
      </c>
      <c r="AU920" s="2">
        <v>67</v>
      </c>
      <c r="AV920" s="2">
        <v>1</v>
      </c>
      <c r="AW920" s="2">
        <v>1</v>
      </c>
      <c r="AX920" s="2"/>
      <c r="AY920" s="2"/>
      <c r="AZ920" s="2">
        <v>1</v>
      </c>
      <c r="BA920" s="2">
        <v>1</v>
      </c>
      <c r="BB920" s="2">
        <v>1</v>
      </c>
      <c r="BC920" s="2">
        <v>1</v>
      </c>
      <c r="BD920" s="2" t="s">
        <v>3</v>
      </c>
      <c r="BE920" s="2" t="s">
        <v>3</v>
      </c>
      <c r="BF920" s="2" t="s">
        <v>3</v>
      </c>
      <c r="BG920" s="2" t="s">
        <v>3</v>
      </c>
      <c r="BH920" s="2">
        <v>3</v>
      </c>
      <c r="BI920" s="2">
        <v>2</v>
      </c>
      <c r="BJ920" s="2" t="s">
        <v>794</v>
      </c>
      <c r="BK920" s="2"/>
      <c r="BL920" s="2"/>
      <c r="BM920" s="2">
        <v>331</v>
      </c>
      <c r="BN920" s="2">
        <v>0</v>
      </c>
      <c r="BO920" s="2" t="s">
        <v>3</v>
      </c>
      <c r="BP920" s="2">
        <v>0</v>
      </c>
      <c r="BQ920" s="2">
        <v>40</v>
      </c>
      <c r="BR920" s="2">
        <v>0</v>
      </c>
      <c r="BS920" s="2">
        <v>1</v>
      </c>
      <c r="BT920" s="2">
        <v>1</v>
      </c>
      <c r="BU920" s="2">
        <v>1</v>
      </c>
      <c r="BV920" s="2">
        <v>1</v>
      </c>
      <c r="BW920" s="2">
        <v>1</v>
      </c>
      <c r="BX920" s="2">
        <v>1</v>
      </c>
      <c r="BY920" s="2" t="s">
        <v>3</v>
      </c>
      <c r="BZ920" s="2">
        <v>114</v>
      </c>
      <c r="CA920" s="2">
        <v>67</v>
      </c>
      <c r="CB920" s="2" t="s">
        <v>3</v>
      </c>
      <c r="CC920" s="2"/>
      <c r="CD920" s="2"/>
      <c r="CE920" s="2">
        <v>30</v>
      </c>
      <c r="CF920" s="2">
        <v>0</v>
      </c>
      <c r="CG920" s="2">
        <v>0</v>
      </c>
      <c r="CH920" s="2"/>
      <c r="CI920" s="2"/>
      <c r="CJ920" s="2"/>
      <c r="CK920" s="2"/>
      <c r="CL920" s="2"/>
      <c r="CM920" s="2">
        <v>0</v>
      </c>
      <c r="CN920" s="2" t="s">
        <v>3</v>
      </c>
      <c r="CO920" s="2">
        <v>0</v>
      </c>
      <c r="CP920" s="2">
        <f t="shared" si="777"/>
        <v>1206.72</v>
      </c>
      <c r="CQ920" s="2">
        <f t="shared" si="778"/>
        <v>14788.24</v>
      </c>
      <c r="CR920" s="2">
        <f t="shared" si="800"/>
        <v>0</v>
      </c>
      <c r="CS920" s="2">
        <f t="shared" si="779"/>
        <v>0</v>
      </c>
      <c r="CT920" s="2">
        <f t="shared" si="780"/>
        <v>0</v>
      </c>
      <c r="CU920" s="2">
        <f t="shared" si="781"/>
        <v>0</v>
      </c>
      <c r="CV920" s="2">
        <f t="shared" si="782"/>
        <v>0</v>
      </c>
      <c r="CW920" s="2">
        <f t="shared" si="783"/>
        <v>0</v>
      </c>
      <c r="CX920" s="2">
        <f t="shared" si="784"/>
        <v>0</v>
      </c>
      <c r="CY920" s="2">
        <f>((S920*BZ920)/100)</f>
        <v>0</v>
      </c>
      <c r="CZ920" s="2">
        <f>((S920*CA920)/100)</f>
        <v>0</v>
      </c>
      <c r="DA920" s="2"/>
      <c r="DB920" s="2"/>
      <c r="DC920" s="2" t="s">
        <v>3</v>
      </c>
      <c r="DD920" s="2" t="s">
        <v>3</v>
      </c>
      <c r="DE920" s="2" t="s">
        <v>3</v>
      </c>
      <c r="DF920" s="2" t="s">
        <v>3</v>
      </c>
      <c r="DG920" s="2" t="s">
        <v>3</v>
      </c>
      <c r="DH920" s="2" t="s">
        <v>3</v>
      </c>
      <c r="DI920" s="2" t="s">
        <v>3</v>
      </c>
      <c r="DJ920" s="2" t="s">
        <v>3</v>
      </c>
      <c r="DK920" s="2" t="s">
        <v>3</v>
      </c>
      <c r="DL920" s="2" t="s">
        <v>3</v>
      </c>
      <c r="DM920" s="2" t="s">
        <v>3</v>
      </c>
      <c r="DN920" s="2">
        <v>0</v>
      </c>
      <c r="DO920" s="2">
        <v>0</v>
      </c>
      <c r="DP920" s="2">
        <v>1</v>
      </c>
      <c r="DQ920" s="2">
        <v>1</v>
      </c>
      <c r="DR920" s="2"/>
      <c r="DS920" s="2"/>
      <c r="DT920" s="2"/>
      <c r="DU920" s="2">
        <v>1003</v>
      </c>
      <c r="DV920" s="2" t="s">
        <v>694</v>
      </c>
      <c r="DW920" s="2" t="s">
        <v>694</v>
      </c>
      <c r="DX920" s="2">
        <v>1000</v>
      </c>
      <c r="DY920" s="2"/>
      <c r="DZ920" s="2" t="s">
        <v>3</v>
      </c>
      <c r="EA920" s="2" t="s">
        <v>3</v>
      </c>
      <c r="EB920" s="2" t="s">
        <v>3</v>
      </c>
      <c r="EC920" s="2" t="s">
        <v>3</v>
      </c>
      <c r="ED920" s="2"/>
      <c r="EE920" s="2">
        <v>126051792</v>
      </c>
      <c r="EF920" s="2">
        <v>40</v>
      </c>
      <c r="EG920" s="2" t="s">
        <v>621</v>
      </c>
      <c r="EH920" s="2">
        <v>0</v>
      </c>
      <c r="EI920" s="2" t="s">
        <v>3</v>
      </c>
      <c r="EJ920" s="2">
        <v>2</v>
      </c>
      <c r="EK920" s="2">
        <v>331</v>
      </c>
      <c r="EL920" s="2" t="s">
        <v>679</v>
      </c>
      <c r="EM920" s="2" t="s">
        <v>680</v>
      </c>
      <c r="EN920" s="2"/>
      <c r="EO920" s="2" t="s">
        <v>3</v>
      </c>
      <c r="EP920" s="2"/>
      <c r="EQ920" s="2">
        <v>0</v>
      </c>
      <c r="ER920" s="2">
        <v>14788.24</v>
      </c>
      <c r="ES920" s="2">
        <v>14788.24</v>
      </c>
      <c r="ET920" s="2">
        <v>0</v>
      </c>
      <c r="EU920" s="2">
        <v>0</v>
      </c>
      <c r="EV920" s="2">
        <v>0</v>
      </c>
      <c r="EW920" s="2">
        <v>0</v>
      </c>
      <c r="EX920" s="2">
        <v>0</v>
      </c>
      <c r="EY920" s="2"/>
      <c r="EZ920" s="2"/>
      <c r="FA920" s="2"/>
      <c r="FB920" s="2"/>
      <c r="FC920" s="2"/>
      <c r="FD920" s="2"/>
      <c r="FE920" s="2"/>
      <c r="FF920" s="2"/>
      <c r="FG920" s="2"/>
      <c r="FH920" s="2"/>
      <c r="FI920" s="2"/>
      <c r="FJ920" s="2"/>
      <c r="FK920" s="2"/>
      <c r="FL920" s="2"/>
      <c r="FM920" s="2"/>
      <c r="FN920" s="2"/>
      <c r="FO920" s="2"/>
      <c r="FP920" s="2"/>
      <c r="FQ920" s="2">
        <v>0</v>
      </c>
      <c r="FR920" s="2">
        <f t="shared" si="785"/>
        <v>0</v>
      </c>
      <c r="FS920" s="2">
        <v>0</v>
      </c>
      <c r="FT920" s="2"/>
      <c r="FU920" s="2"/>
      <c r="FV920" s="2"/>
      <c r="FW920" s="2"/>
      <c r="FX920" s="2">
        <v>114</v>
      </c>
      <c r="FY920" s="2">
        <v>67</v>
      </c>
      <c r="FZ920" s="2"/>
      <c r="GA920" s="2" t="s">
        <v>3</v>
      </c>
      <c r="GB920" s="2"/>
      <c r="GC920" s="2"/>
      <c r="GD920" s="2">
        <v>0</v>
      </c>
      <c r="GE920" s="2"/>
      <c r="GF920" s="2">
        <v>-1928631878</v>
      </c>
      <c r="GG920" s="2">
        <v>2</v>
      </c>
      <c r="GH920" s="2">
        <v>1</v>
      </c>
      <c r="GI920" s="2">
        <v>-2</v>
      </c>
      <c r="GJ920" s="2">
        <v>0</v>
      </c>
      <c r="GK920" s="2">
        <f>ROUND(R920*(R12)/100,2)</f>
        <v>0</v>
      </c>
      <c r="GL920" s="2">
        <f t="shared" si="786"/>
        <v>0</v>
      </c>
      <c r="GM920" s="2">
        <f t="shared" si="787"/>
        <v>1206.72</v>
      </c>
      <c r="GN920" s="2">
        <f t="shared" si="788"/>
        <v>0</v>
      </c>
      <c r="GO920" s="2">
        <f t="shared" si="789"/>
        <v>1206.72</v>
      </c>
      <c r="GP920" s="2">
        <f t="shared" si="790"/>
        <v>0</v>
      </c>
      <c r="GQ920" s="2"/>
      <c r="GR920" s="2">
        <v>0</v>
      </c>
      <c r="GS920" s="2">
        <v>0</v>
      </c>
      <c r="GT920" s="2">
        <v>0</v>
      </c>
      <c r="GU920" s="2" t="s">
        <v>3</v>
      </c>
      <c r="GV920" s="2">
        <f t="shared" si="791"/>
        <v>0</v>
      </c>
      <c r="GW920" s="2">
        <v>1</v>
      </c>
      <c r="GX920" s="2">
        <f t="shared" si="792"/>
        <v>0</v>
      </c>
      <c r="GY920" s="2"/>
      <c r="GZ920" s="2"/>
      <c r="HA920" s="2">
        <v>0</v>
      </c>
      <c r="HB920" s="2">
        <v>0</v>
      </c>
      <c r="HC920" s="2">
        <f t="shared" si="793"/>
        <v>0</v>
      </c>
      <c r="HD920" s="2"/>
      <c r="HE920" s="2" t="s">
        <v>3</v>
      </c>
      <c r="HF920" s="2" t="s">
        <v>3</v>
      </c>
      <c r="HG920" s="2"/>
      <c r="HH920" s="2"/>
      <c r="HI920" s="2"/>
      <c r="HJ920" s="2"/>
      <c r="HK920" s="2"/>
      <c r="HL920" s="2"/>
      <c r="HM920" s="2" t="s">
        <v>3</v>
      </c>
      <c r="HN920" s="2" t="s">
        <v>3</v>
      </c>
      <c r="HO920" s="2" t="s">
        <v>3</v>
      </c>
      <c r="HP920" s="2" t="s">
        <v>3</v>
      </c>
      <c r="HQ920" s="2" t="s">
        <v>3</v>
      </c>
      <c r="HR920" s="2"/>
      <c r="HS920" s="2"/>
      <c r="HT920" s="2"/>
      <c r="HU920" s="2"/>
      <c r="HV920" s="2"/>
      <c r="HW920" s="2"/>
      <c r="HX920" s="2"/>
      <c r="HY920" s="2"/>
      <c r="HZ920" s="2"/>
      <c r="IA920" s="2"/>
      <c r="IB920" s="2"/>
      <c r="IC920" s="2"/>
      <c r="ID920" s="2"/>
      <c r="IE920" s="2"/>
      <c r="IF920" s="2"/>
      <c r="IG920" s="2"/>
      <c r="IH920" s="2"/>
      <c r="II920" s="2"/>
      <c r="IJ920" s="2"/>
      <c r="IK920" s="2">
        <v>0</v>
      </c>
      <c r="IL920" s="2"/>
      <c r="IM920" s="2"/>
      <c r="IN920" s="2"/>
      <c r="IO920" s="2"/>
      <c r="IP920" s="2"/>
      <c r="IQ920" s="2"/>
      <c r="IR920" s="2"/>
      <c r="IS920" s="2"/>
      <c r="IT920" s="2"/>
      <c r="IU920" s="2"/>
    </row>
    <row r="921" spans="1:255" x14ac:dyDescent="0.2">
      <c r="A921">
        <v>18</v>
      </c>
      <c r="B921">
        <v>1</v>
      </c>
      <c r="C921">
        <v>784</v>
      </c>
      <c r="E921" t="s">
        <v>596</v>
      </c>
      <c r="F921" t="s">
        <v>793</v>
      </c>
      <c r="G921" t="s">
        <v>1568</v>
      </c>
      <c r="H921" t="s">
        <v>694</v>
      </c>
      <c r="I921">
        <f>I919*J921</f>
        <v>8.1600000000000006E-2</v>
      </c>
      <c r="J921">
        <v>0.10200000000000001</v>
      </c>
      <c r="K921">
        <v>0.10200000000000001</v>
      </c>
      <c r="O921">
        <f t="shared" si="763"/>
        <v>6021.53</v>
      </c>
      <c r="P921">
        <f t="shared" si="764"/>
        <v>6021.53</v>
      </c>
      <c r="Q921">
        <f t="shared" si="794"/>
        <v>0</v>
      </c>
      <c r="R921">
        <f t="shared" si="765"/>
        <v>0</v>
      </c>
      <c r="S921">
        <f t="shared" si="766"/>
        <v>0</v>
      </c>
      <c r="T921">
        <f t="shared" si="767"/>
        <v>0</v>
      </c>
      <c r="U921">
        <f t="shared" si="768"/>
        <v>0</v>
      </c>
      <c r="V921">
        <f t="shared" si="769"/>
        <v>0</v>
      </c>
      <c r="W921">
        <f t="shared" si="770"/>
        <v>0</v>
      </c>
      <c r="X921">
        <f t="shared" si="771"/>
        <v>0</v>
      </c>
      <c r="Y921">
        <f t="shared" si="772"/>
        <v>0</v>
      </c>
      <c r="AA921">
        <v>129761633</v>
      </c>
      <c r="AB921">
        <f t="shared" si="773"/>
        <v>14788.24</v>
      </c>
      <c r="AC921">
        <f t="shared" si="774"/>
        <v>14788.24</v>
      </c>
      <c r="AD921">
        <f t="shared" si="795"/>
        <v>0</v>
      </c>
      <c r="AE921">
        <f t="shared" si="796"/>
        <v>0</v>
      </c>
      <c r="AF921">
        <f t="shared" si="797"/>
        <v>0</v>
      </c>
      <c r="AG921">
        <f t="shared" si="775"/>
        <v>0</v>
      </c>
      <c r="AH921">
        <f t="shared" si="798"/>
        <v>0</v>
      </c>
      <c r="AI921">
        <f t="shared" si="799"/>
        <v>0</v>
      </c>
      <c r="AJ921">
        <f t="shared" si="776"/>
        <v>0</v>
      </c>
      <c r="AK921">
        <v>14788.24</v>
      </c>
      <c r="AL921">
        <v>14788.24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1</v>
      </c>
      <c r="AW921">
        <v>1</v>
      </c>
      <c r="AZ921">
        <v>1</v>
      </c>
      <c r="BA921">
        <v>1</v>
      </c>
      <c r="BB921">
        <v>1</v>
      </c>
      <c r="BC921">
        <v>4.99</v>
      </c>
      <c r="BD921" t="s">
        <v>3</v>
      </c>
      <c r="BE921" t="s">
        <v>3</v>
      </c>
      <c r="BF921" t="s">
        <v>3</v>
      </c>
      <c r="BG921" t="s">
        <v>3</v>
      </c>
      <c r="BH921">
        <v>3</v>
      </c>
      <c r="BI921">
        <v>2</v>
      </c>
      <c r="BJ921" t="s">
        <v>794</v>
      </c>
      <c r="BM921">
        <v>331</v>
      </c>
      <c r="BN921">
        <v>0</v>
      </c>
      <c r="BO921" t="s">
        <v>793</v>
      </c>
      <c r="BP921">
        <v>1</v>
      </c>
      <c r="BQ921">
        <v>40</v>
      </c>
      <c r="BR921">
        <v>0</v>
      </c>
      <c r="BS921">
        <v>1</v>
      </c>
      <c r="BT921">
        <v>1</v>
      </c>
      <c r="BU921">
        <v>1</v>
      </c>
      <c r="BV921">
        <v>1</v>
      </c>
      <c r="BW921">
        <v>1</v>
      </c>
      <c r="BX921">
        <v>1</v>
      </c>
      <c r="BY921" t="s">
        <v>3</v>
      </c>
      <c r="BZ921">
        <v>0</v>
      </c>
      <c r="CA921">
        <v>0</v>
      </c>
      <c r="CB921" t="s">
        <v>3</v>
      </c>
      <c r="CE921">
        <v>30</v>
      </c>
      <c r="CF921">
        <v>0</v>
      </c>
      <c r="CG921">
        <v>0</v>
      </c>
      <c r="CM921">
        <v>0</v>
      </c>
      <c r="CN921" t="s">
        <v>3</v>
      </c>
      <c r="CO921">
        <v>0</v>
      </c>
      <c r="CP921">
        <f t="shared" si="777"/>
        <v>6021.53</v>
      </c>
      <c r="CQ921">
        <f t="shared" si="778"/>
        <v>73793.320000000007</v>
      </c>
      <c r="CR921">
        <f t="shared" si="800"/>
        <v>0</v>
      </c>
      <c r="CS921">
        <f t="shared" si="779"/>
        <v>0</v>
      </c>
      <c r="CT921">
        <f t="shared" si="780"/>
        <v>0</v>
      </c>
      <c r="CU921">
        <f t="shared" si="781"/>
        <v>0</v>
      </c>
      <c r="CV921">
        <f t="shared" si="782"/>
        <v>0</v>
      </c>
      <c r="CW921">
        <f t="shared" si="783"/>
        <v>0</v>
      </c>
      <c r="CX921">
        <f t="shared" si="784"/>
        <v>0</v>
      </c>
      <c r="CY921">
        <f>S921*(BZ921/100)</f>
        <v>0</v>
      </c>
      <c r="CZ921">
        <f>S921*(CA921/100)</f>
        <v>0</v>
      </c>
      <c r="DC921" t="s">
        <v>3</v>
      </c>
      <c r="DD921" t="s">
        <v>3</v>
      </c>
      <c r="DE921" t="s">
        <v>3</v>
      </c>
      <c r="DF921" t="s">
        <v>3</v>
      </c>
      <c r="DG921" t="s">
        <v>3</v>
      </c>
      <c r="DH921" t="s">
        <v>3</v>
      </c>
      <c r="DI921" t="s">
        <v>3</v>
      </c>
      <c r="DJ921" t="s">
        <v>3</v>
      </c>
      <c r="DK921" t="s">
        <v>3</v>
      </c>
      <c r="DL921" t="s">
        <v>3</v>
      </c>
      <c r="DM921" t="s">
        <v>3</v>
      </c>
      <c r="DN921">
        <v>114</v>
      </c>
      <c r="DO921">
        <v>67</v>
      </c>
      <c r="DP921">
        <v>1</v>
      </c>
      <c r="DQ921">
        <v>1</v>
      </c>
      <c r="DU921">
        <v>1003</v>
      </c>
      <c r="DV921" t="s">
        <v>694</v>
      </c>
      <c r="DW921" t="s">
        <v>694</v>
      </c>
      <c r="DX921">
        <v>1000</v>
      </c>
      <c r="DZ921" t="s">
        <v>3</v>
      </c>
      <c r="EA921" t="s">
        <v>3</v>
      </c>
      <c r="EB921" t="s">
        <v>3</v>
      </c>
      <c r="EC921" t="s">
        <v>3</v>
      </c>
      <c r="EE921">
        <v>126051792</v>
      </c>
      <c r="EF921">
        <v>40</v>
      </c>
      <c r="EG921" t="s">
        <v>621</v>
      </c>
      <c r="EH921">
        <v>0</v>
      </c>
      <c r="EI921" t="s">
        <v>3</v>
      </c>
      <c r="EJ921">
        <v>2</v>
      </c>
      <c r="EK921">
        <v>331</v>
      </c>
      <c r="EL921" t="s">
        <v>679</v>
      </c>
      <c r="EM921" t="s">
        <v>680</v>
      </c>
      <c r="EO921" t="s">
        <v>3</v>
      </c>
      <c r="EQ921">
        <v>0</v>
      </c>
      <c r="ER921">
        <v>14788.24</v>
      </c>
      <c r="ES921">
        <v>14788.24</v>
      </c>
      <c r="ET921">
        <v>0</v>
      </c>
      <c r="EU921">
        <v>0</v>
      </c>
      <c r="EV921">
        <v>0</v>
      </c>
      <c r="EW921">
        <v>0</v>
      </c>
      <c r="EX921">
        <v>0</v>
      </c>
      <c r="FQ921">
        <v>0</v>
      </c>
      <c r="FR921">
        <f t="shared" si="785"/>
        <v>0</v>
      </c>
      <c r="FS921">
        <v>0</v>
      </c>
      <c r="FX921">
        <v>114</v>
      </c>
      <c r="FY921">
        <v>67</v>
      </c>
      <c r="GA921" t="s">
        <v>3</v>
      </c>
      <c r="GD921">
        <v>0</v>
      </c>
      <c r="GF921">
        <v>-1928631878</v>
      </c>
      <c r="GG921">
        <v>2</v>
      </c>
      <c r="GH921">
        <v>1</v>
      </c>
      <c r="GI921">
        <v>2</v>
      </c>
      <c r="GJ921">
        <v>0</v>
      </c>
      <c r="GK921">
        <f>ROUND(R921*(S12)/100,2)</f>
        <v>0</v>
      </c>
      <c r="GL921">
        <f t="shared" si="786"/>
        <v>0</v>
      </c>
      <c r="GM921">
        <f t="shared" si="787"/>
        <v>6021.53</v>
      </c>
      <c r="GN921">
        <f t="shared" si="788"/>
        <v>0</v>
      </c>
      <c r="GO921">
        <f t="shared" si="789"/>
        <v>6021.53</v>
      </c>
      <c r="GP921">
        <f t="shared" si="790"/>
        <v>0</v>
      </c>
      <c r="GR921">
        <v>0</v>
      </c>
      <c r="GS921">
        <v>3</v>
      </c>
      <c r="GT921">
        <v>0</v>
      </c>
      <c r="GU921" t="s">
        <v>3</v>
      </c>
      <c r="GV921">
        <f t="shared" si="791"/>
        <v>0</v>
      </c>
      <c r="GW921">
        <v>1</v>
      </c>
      <c r="GX921">
        <f t="shared" si="792"/>
        <v>0</v>
      </c>
      <c r="HA921">
        <v>0</v>
      </c>
      <c r="HB921">
        <v>0</v>
      </c>
      <c r="HC921">
        <f t="shared" si="793"/>
        <v>0</v>
      </c>
      <c r="HE921" t="s">
        <v>3</v>
      </c>
      <c r="HF921" t="s">
        <v>3</v>
      </c>
      <c r="HM921" t="s">
        <v>3</v>
      </c>
      <c r="HN921" t="s">
        <v>3</v>
      </c>
      <c r="HO921" t="s">
        <v>3</v>
      </c>
      <c r="HP921" t="s">
        <v>3</v>
      </c>
      <c r="HQ921" t="s">
        <v>3</v>
      </c>
      <c r="IK921">
        <v>0</v>
      </c>
    </row>
    <row r="922" spans="1:255" x14ac:dyDescent="0.2">
      <c r="A922" s="2">
        <v>17</v>
      </c>
      <c r="B922" s="2">
        <v>1</v>
      </c>
      <c r="C922" s="2">
        <f>ROW(SmtRes!A786)</f>
        <v>786</v>
      </c>
      <c r="D922" s="2">
        <f>ROW(EtalonRes!A753)</f>
        <v>753</v>
      </c>
      <c r="E922" s="2" t="s">
        <v>218</v>
      </c>
      <c r="F922" s="2" t="s">
        <v>795</v>
      </c>
      <c r="G922" s="2" t="s">
        <v>796</v>
      </c>
      <c r="H922" s="2" t="s">
        <v>551</v>
      </c>
      <c r="I922" s="2">
        <v>0.02</v>
      </c>
      <c r="J922" s="2">
        <v>0</v>
      </c>
      <c r="K922" s="2">
        <v>0.02</v>
      </c>
      <c r="L922" s="2"/>
      <c r="M922" s="2"/>
      <c r="N922" s="2"/>
      <c r="O922" s="2">
        <f t="shared" si="763"/>
        <v>10.53</v>
      </c>
      <c r="P922" s="2">
        <f t="shared" si="764"/>
        <v>0.54</v>
      </c>
      <c r="Q922" s="2">
        <f t="shared" si="794"/>
        <v>0.31</v>
      </c>
      <c r="R922" s="2">
        <f t="shared" si="765"/>
        <v>0.02</v>
      </c>
      <c r="S922" s="2">
        <f t="shared" si="766"/>
        <v>9.68</v>
      </c>
      <c r="T922" s="2">
        <f t="shared" si="767"/>
        <v>0</v>
      </c>
      <c r="U922" s="2">
        <f t="shared" si="768"/>
        <v>0.74459999999999993</v>
      </c>
      <c r="V922" s="2">
        <f t="shared" si="769"/>
        <v>0</v>
      </c>
      <c r="W922" s="2">
        <f t="shared" si="770"/>
        <v>0</v>
      </c>
      <c r="X922" s="2">
        <f t="shared" si="771"/>
        <v>11.04</v>
      </c>
      <c r="Y922" s="2">
        <f t="shared" si="772"/>
        <v>6.49</v>
      </c>
      <c r="Z922" s="2"/>
      <c r="AA922" s="2">
        <v>129761636</v>
      </c>
      <c r="AB922" s="2">
        <f t="shared" si="773"/>
        <v>526.61</v>
      </c>
      <c r="AC922" s="2">
        <f t="shared" si="774"/>
        <v>26.88</v>
      </c>
      <c r="AD922" s="2">
        <f t="shared" si="795"/>
        <v>15.74</v>
      </c>
      <c r="AE922" s="2">
        <f t="shared" si="796"/>
        <v>1.18</v>
      </c>
      <c r="AF922" s="2">
        <f t="shared" si="797"/>
        <v>483.99</v>
      </c>
      <c r="AG922" s="2">
        <f t="shared" si="775"/>
        <v>0</v>
      </c>
      <c r="AH922" s="2">
        <f t="shared" si="798"/>
        <v>37.229999999999997</v>
      </c>
      <c r="AI922" s="2">
        <f t="shared" si="799"/>
        <v>0</v>
      </c>
      <c r="AJ922" s="2">
        <f t="shared" si="776"/>
        <v>0</v>
      </c>
      <c r="AK922" s="2">
        <v>526.61</v>
      </c>
      <c r="AL922" s="2">
        <v>26.88</v>
      </c>
      <c r="AM922" s="2">
        <v>15.74</v>
      </c>
      <c r="AN922" s="2">
        <v>1.18</v>
      </c>
      <c r="AO922" s="2">
        <v>483.99</v>
      </c>
      <c r="AP922" s="2">
        <v>0</v>
      </c>
      <c r="AQ922" s="2">
        <v>37.229999999999997</v>
      </c>
      <c r="AR922" s="2">
        <v>0</v>
      </c>
      <c r="AS922" s="2">
        <v>0</v>
      </c>
      <c r="AT922" s="2">
        <v>114</v>
      </c>
      <c r="AU922" s="2">
        <v>67</v>
      </c>
      <c r="AV922" s="2">
        <v>1</v>
      </c>
      <c r="AW922" s="2">
        <v>1</v>
      </c>
      <c r="AX922" s="2"/>
      <c r="AY922" s="2"/>
      <c r="AZ922" s="2">
        <v>1</v>
      </c>
      <c r="BA922" s="2">
        <v>1</v>
      </c>
      <c r="BB922" s="2">
        <v>1</v>
      </c>
      <c r="BC922" s="2">
        <v>1</v>
      </c>
      <c r="BD922" s="2" t="s">
        <v>3</v>
      </c>
      <c r="BE922" s="2" t="s">
        <v>3</v>
      </c>
      <c r="BF922" s="2" t="s">
        <v>3</v>
      </c>
      <c r="BG922" s="2" t="s">
        <v>3</v>
      </c>
      <c r="BH922" s="2">
        <v>0</v>
      </c>
      <c r="BI922" s="2">
        <v>2</v>
      </c>
      <c r="BJ922" s="2" t="s">
        <v>797</v>
      </c>
      <c r="BK922" s="2"/>
      <c r="BL922" s="2"/>
      <c r="BM922" s="2">
        <v>333</v>
      </c>
      <c r="BN922" s="2">
        <v>0</v>
      </c>
      <c r="BO922" s="2" t="s">
        <v>3</v>
      </c>
      <c r="BP922" s="2">
        <v>0</v>
      </c>
      <c r="BQ922" s="2">
        <v>40</v>
      </c>
      <c r="BR922" s="2">
        <v>0</v>
      </c>
      <c r="BS922" s="2">
        <v>1</v>
      </c>
      <c r="BT922" s="2">
        <v>1</v>
      </c>
      <c r="BU922" s="2">
        <v>1</v>
      </c>
      <c r="BV922" s="2">
        <v>1</v>
      </c>
      <c r="BW922" s="2">
        <v>1</v>
      </c>
      <c r="BX922" s="2">
        <v>1</v>
      </c>
      <c r="BY922" s="2" t="s">
        <v>3</v>
      </c>
      <c r="BZ922" s="2">
        <v>114</v>
      </c>
      <c r="CA922" s="2">
        <v>67</v>
      </c>
      <c r="CB922" s="2" t="s">
        <v>3</v>
      </c>
      <c r="CC922" s="2"/>
      <c r="CD922" s="2"/>
      <c r="CE922" s="2">
        <v>30</v>
      </c>
      <c r="CF922" s="2">
        <v>0</v>
      </c>
      <c r="CG922" s="2">
        <v>0</v>
      </c>
      <c r="CH922" s="2"/>
      <c r="CI922" s="2"/>
      <c r="CJ922" s="2"/>
      <c r="CK922" s="2"/>
      <c r="CL922" s="2"/>
      <c r="CM922" s="2">
        <v>0</v>
      </c>
      <c r="CN922" s="2" t="s">
        <v>3</v>
      </c>
      <c r="CO922" s="2">
        <v>0</v>
      </c>
      <c r="CP922" s="2">
        <f t="shared" si="777"/>
        <v>10.53</v>
      </c>
      <c r="CQ922" s="2">
        <f t="shared" si="778"/>
        <v>26.88</v>
      </c>
      <c r="CR922" s="2">
        <f t="shared" si="800"/>
        <v>15.74</v>
      </c>
      <c r="CS922" s="2">
        <f t="shared" si="779"/>
        <v>1.18</v>
      </c>
      <c r="CT922" s="2">
        <f t="shared" si="780"/>
        <v>483.99</v>
      </c>
      <c r="CU922" s="2">
        <f t="shared" si="781"/>
        <v>0</v>
      </c>
      <c r="CV922" s="2">
        <f t="shared" si="782"/>
        <v>37.229999999999997</v>
      </c>
      <c r="CW922" s="2">
        <f t="shared" si="783"/>
        <v>0</v>
      </c>
      <c r="CX922" s="2">
        <f t="shared" si="784"/>
        <v>0</v>
      </c>
      <c r="CY922" s="2">
        <f>((S922*BZ922)/100)</f>
        <v>11.0352</v>
      </c>
      <c r="CZ922" s="2">
        <f>((S922*CA922)/100)</f>
        <v>6.4855999999999998</v>
      </c>
      <c r="DA922" s="2"/>
      <c r="DB922" s="2"/>
      <c r="DC922" s="2" t="s">
        <v>3</v>
      </c>
      <c r="DD922" s="2" t="s">
        <v>3</v>
      </c>
      <c r="DE922" s="2" t="s">
        <v>3</v>
      </c>
      <c r="DF922" s="2" t="s">
        <v>3</v>
      </c>
      <c r="DG922" s="2" t="s">
        <v>3</v>
      </c>
      <c r="DH922" s="2" t="s">
        <v>3</v>
      </c>
      <c r="DI922" s="2" t="s">
        <v>3</v>
      </c>
      <c r="DJ922" s="2" t="s">
        <v>3</v>
      </c>
      <c r="DK922" s="2" t="s">
        <v>3</v>
      </c>
      <c r="DL922" s="2" t="s">
        <v>3</v>
      </c>
      <c r="DM922" s="2" t="s">
        <v>3</v>
      </c>
      <c r="DN922" s="2">
        <v>0</v>
      </c>
      <c r="DO922" s="2">
        <v>0</v>
      </c>
      <c r="DP922" s="2">
        <v>1</v>
      </c>
      <c r="DQ922" s="2">
        <v>1</v>
      </c>
      <c r="DR922" s="2"/>
      <c r="DS922" s="2"/>
      <c r="DT922" s="2"/>
      <c r="DU922" s="2">
        <v>1010</v>
      </c>
      <c r="DV922" s="2" t="s">
        <v>551</v>
      </c>
      <c r="DW922" s="2" t="s">
        <v>551</v>
      </c>
      <c r="DX922" s="2">
        <v>100</v>
      </c>
      <c r="DY922" s="2"/>
      <c r="DZ922" s="2" t="s">
        <v>3</v>
      </c>
      <c r="EA922" s="2" t="s">
        <v>3</v>
      </c>
      <c r="EB922" s="2" t="s">
        <v>3</v>
      </c>
      <c r="EC922" s="2" t="s">
        <v>3</v>
      </c>
      <c r="ED922" s="2"/>
      <c r="EE922" s="2">
        <v>126051794</v>
      </c>
      <c r="EF922" s="2">
        <v>40</v>
      </c>
      <c r="EG922" s="2" t="s">
        <v>621</v>
      </c>
      <c r="EH922" s="2">
        <v>0</v>
      </c>
      <c r="EI922" s="2" t="s">
        <v>3</v>
      </c>
      <c r="EJ922" s="2">
        <v>2</v>
      </c>
      <c r="EK922" s="2">
        <v>333</v>
      </c>
      <c r="EL922" s="2" t="s">
        <v>656</v>
      </c>
      <c r="EM922" s="2" t="s">
        <v>657</v>
      </c>
      <c r="EN922" s="2"/>
      <c r="EO922" s="2" t="s">
        <v>3</v>
      </c>
      <c r="EP922" s="2"/>
      <c r="EQ922" s="2">
        <v>131072</v>
      </c>
      <c r="ER922" s="2">
        <v>526.61</v>
      </c>
      <c r="ES922" s="2">
        <v>26.88</v>
      </c>
      <c r="ET922" s="2">
        <v>15.74</v>
      </c>
      <c r="EU922" s="2">
        <v>1.18</v>
      </c>
      <c r="EV922" s="2">
        <v>483.99</v>
      </c>
      <c r="EW922" s="2">
        <v>37.229999999999997</v>
      </c>
      <c r="EX922" s="2">
        <v>0</v>
      </c>
      <c r="EY922" s="2">
        <v>0</v>
      </c>
      <c r="EZ922" s="2"/>
      <c r="FA922" s="2"/>
      <c r="FB922" s="2"/>
      <c r="FC922" s="2"/>
      <c r="FD922" s="2"/>
      <c r="FE922" s="2"/>
      <c r="FF922" s="2"/>
      <c r="FG922" s="2"/>
      <c r="FH922" s="2"/>
      <c r="FI922" s="2"/>
      <c r="FJ922" s="2"/>
      <c r="FK922" s="2"/>
      <c r="FL922" s="2"/>
      <c r="FM922" s="2"/>
      <c r="FN922" s="2"/>
      <c r="FO922" s="2"/>
      <c r="FP922" s="2"/>
      <c r="FQ922" s="2">
        <v>0</v>
      </c>
      <c r="FR922" s="2">
        <f t="shared" si="785"/>
        <v>0</v>
      </c>
      <c r="FS922" s="2">
        <v>0</v>
      </c>
      <c r="FT922" s="2"/>
      <c r="FU922" s="2"/>
      <c r="FV922" s="2"/>
      <c r="FW922" s="2"/>
      <c r="FX922" s="2">
        <v>114</v>
      </c>
      <c r="FY922" s="2">
        <v>67</v>
      </c>
      <c r="FZ922" s="2"/>
      <c r="GA922" s="2" t="s">
        <v>3</v>
      </c>
      <c r="GB922" s="2"/>
      <c r="GC922" s="2"/>
      <c r="GD922" s="2">
        <v>0</v>
      </c>
      <c r="GE922" s="2"/>
      <c r="GF922" s="2">
        <v>603581456</v>
      </c>
      <c r="GG922" s="2">
        <v>2</v>
      </c>
      <c r="GH922" s="2">
        <v>1</v>
      </c>
      <c r="GI922" s="2">
        <v>-2</v>
      </c>
      <c r="GJ922" s="2">
        <v>0</v>
      </c>
      <c r="GK922" s="2">
        <f>ROUND(R922*(R12)/100,2)</f>
        <v>0.04</v>
      </c>
      <c r="GL922" s="2">
        <f t="shared" si="786"/>
        <v>0</v>
      </c>
      <c r="GM922" s="2">
        <f t="shared" si="787"/>
        <v>28.1</v>
      </c>
      <c r="GN922" s="2">
        <f t="shared" si="788"/>
        <v>0</v>
      </c>
      <c r="GO922" s="2">
        <f t="shared" si="789"/>
        <v>28.1</v>
      </c>
      <c r="GP922" s="2">
        <f t="shared" si="790"/>
        <v>0</v>
      </c>
      <c r="GQ922" s="2"/>
      <c r="GR922" s="2">
        <v>0</v>
      </c>
      <c r="GS922" s="2">
        <v>0</v>
      </c>
      <c r="GT922" s="2">
        <v>0</v>
      </c>
      <c r="GU922" s="2" t="s">
        <v>3</v>
      </c>
      <c r="GV922" s="2">
        <f t="shared" si="791"/>
        <v>0</v>
      </c>
      <c r="GW922" s="2">
        <v>1</v>
      </c>
      <c r="GX922" s="2">
        <f t="shared" si="792"/>
        <v>0</v>
      </c>
      <c r="GY922" s="2"/>
      <c r="GZ922" s="2"/>
      <c r="HA922" s="2">
        <v>0</v>
      </c>
      <c r="HB922" s="2">
        <v>0</v>
      </c>
      <c r="HC922" s="2">
        <f t="shared" si="793"/>
        <v>0</v>
      </c>
      <c r="HD922" s="2"/>
      <c r="HE922" s="2" t="s">
        <v>3</v>
      </c>
      <c r="HF922" s="2" t="s">
        <v>3</v>
      </c>
      <c r="HG922" s="2"/>
      <c r="HH922" s="2"/>
      <c r="HI922" s="2"/>
      <c r="HJ922" s="2"/>
      <c r="HK922" s="2"/>
      <c r="HL922" s="2"/>
      <c r="HM922" s="2" t="s">
        <v>3</v>
      </c>
      <c r="HN922" s="2" t="s">
        <v>3</v>
      </c>
      <c r="HO922" s="2" t="s">
        <v>3</v>
      </c>
      <c r="HP922" s="2" t="s">
        <v>3</v>
      </c>
      <c r="HQ922" s="2" t="s">
        <v>3</v>
      </c>
      <c r="HR922" s="2"/>
      <c r="HS922" s="2"/>
      <c r="HT922" s="2"/>
      <c r="HU922" s="2"/>
      <c r="HV922" s="2"/>
      <c r="HW922" s="2"/>
      <c r="HX922" s="2"/>
      <c r="HY922" s="2"/>
      <c r="HZ922" s="2"/>
      <c r="IA922" s="2"/>
      <c r="IB922" s="2"/>
      <c r="IC922" s="2"/>
      <c r="ID922" s="2"/>
      <c r="IE922" s="2"/>
      <c r="IF922" s="2"/>
      <c r="IG922" s="2"/>
      <c r="IH922" s="2"/>
      <c r="II922" s="2"/>
      <c r="IJ922" s="2"/>
      <c r="IK922" s="2">
        <v>0</v>
      </c>
      <c r="IL922" s="2"/>
      <c r="IM922" s="2"/>
      <c r="IN922" s="2"/>
      <c r="IO922" s="2"/>
      <c r="IP922" s="2"/>
      <c r="IQ922" s="2"/>
      <c r="IR922" s="2"/>
      <c r="IS922" s="2"/>
      <c r="IT922" s="2"/>
      <c r="IU922" s="2"/>
    </row>
    <row r="923" spans="1:255" x14ac:dyDescent="0.2">
      <c r="A923">
        <v>17</v>
      </c>
      <c r="B923">
        <v>1</v>
      </c>
      <c r="C923">
        <f>ROW(SmtRes!A788)</f>
        <v>788</v>
      </c>
      <c r="D923">
        <f>ROW(EtalonRes!A754)</f>
        <v>754</v>
      </c>
      <c r="E923" t="s">
        <v>218</v>
      </c>
      <c r="F923" t="s">
        <v>795</v>
      </c>
      <c r="G923" t="s">
        <v>796</v>
      </c>
      <c r="H923" t="s">
        <v>551</v>
      </c>
      <c r="I923">
        <v>0.02</v>
      </c>
      <c r="J923">
        <v>0</v>
      </c>
      <c r="K923">
        <v>0.02</v>
      </c>
      <c r="O923">
        <f t="shared" si="763"/>
        <v>284.94</v>
      </c>
      <c r="P923">
        <f t="shared" si="764"/>
        <v>0.9</v>
      </c>
      <c r="Q923">
        <f t="shared" si="794"/>
        <v>3.03</v>
      </c>
      <c r="R923">
        <f t="shared" si="765"/>
        <v>0.57999999999999996</v>
      </c>
      <c r="S923">
        <f t="shared" si="766"/>
        <v>281.01</v>
      </c>
      <c r="T923">
        <f t="shared" si="767"/>
        <v>0</v>
      </c>
      <c r="U923">
        <f t="shared" si="768"/>
        <v>0.74459999999999993</v>
      </c>
      <c r="V923">
        <f t="shared" si="769"/>
        <v>0</v>
      </c>
      <c r="W923">
        <f t="shared" si="770"/>
        <v>0</v>
      </c>
      <c r="X923">
        <f t="shared" si="771"/>
        <v>222</v>
      </c>
      <c r="Y923">
        <f t="shared" si="772"/>
        <v>115.21</v>
      </c>
      <c r="AA923">
        <v>129761633</v>
      </c>
      <c r="AB923">
        <f t="shared" si="773"/>
        <v>526.61</v>
      </c>
      <c r="AC923">
        <f t="shared" si="774"/>
        <v>26.88</v>
      </c>
      <c r="AD923">
        <f t="shared" si="795"/>
        <v>15.74</v>
      </c>
      <c r="AE923">
        <f t="shared" si="796"/>
        <v>1.18</v>
      </c>
      <c r="AF923">
        <f t="shared" si="797"/>
        <v>483.99</v>
      </c>
      <c r="AG923">
        <f t="shared" si="775"/>
        <v>0</v>
      </c>
      <c r="AH923">
        <f t="shared" si="798"/>
        <v>37.229999999999997</v>
      </c>
      <c r="AI923">
        <f t="shared" si="799"/>
        <v>0</v>
      </c>
      <c r="AJ923">
        <f t="shared" si="776"/>
        <v>0</v>
      </c>
      <c r="AK923">
        <v>526.61</v>
      </c>
      <c r="AL923">
        <v>26.88</v>
      </c>
      <c r="AM923">
        <v>15.74</v>
      </c>
      <c r="AN923">
        <v>1.18</v>
      </c>
      <c r="AO923">
        <v>483.99</v>
      </c>
      <c r="AP923">
        <v>0</v>
      </c>
      <c r="AQ923">
        <v>37.229999999999997</v>
      </c>
      <c r="AR923">
        <v>0</v>
      </c>
      <c r="AS923">
        <v>0</v>
      </c>
      <c r="AT923">
        <v>79</v>
      </c>
      <c r="AU923">
        <v>41</v>
      </c>
      <c r="AV923">
        <v>1</v>
      </c>
      <c r="AW923">
        <v>1</v>
      </c>
      <c r="AZ923">
        <v>1</v>
      </c>
      <c r="BA923">
        <v>29.03</v>
      </c>
      <c r="BB923">
        <v>9.7799999999999994</v>
      </c>
      <c r="BC923">
        <v>1.66</v>
      </c>
      <c r="BD923" t="s">
        <v>3</v>
      </c>
      <c r="BE923" t="s">
        <v>3</v>
      </c>
      <c r="BF923" t="s">
        <v>3</v>
      </c>
      <c r="BG923" t="s">
        <v>3</v>
      </c>
      <c r="BH923">
        <v>0</v>
      </c>
      <c r="BI923">
        <v>2</v>
      </c>
      <c r="BJ923" t="s">
        <v>797</v>
      </c>
      <c r="BM923">
        <v>333</v>
      </c>
      <c r="BN923">
        <v>0</v>
      </c>
      <c r="BO923" t="s">
        <v>795</v>
      </c>
      <c r="BP923">
        <v>1</v>
      </c>
      <c r="BQ923">
        <v>40</v>
      </c>
      <c r="BR923">
        <v>0</v>
      </c>
      <c r="BS923">
        <v>29.03</v>
      </c>
      <c r="BT923">
        <v>1</v>
      </c>
      <c r="BU923">
        <v>1</v>
      </c>
      <c r="BV923">
        <v>1</v>
      </c>
      <c r="BW923">
        <v>1</v>
      </c>
      <c r="BX923">
        <v>1</v>
      </c>
      <c r="BY923" t="s">
        <v>3</v>
      </c>
      <c r="BZ923">
        <v>79</v>
      </c>
      <c r="CA923">
        <v>41</v>
      </c>
      <c r="CB923" t="s">
        <v>3</v>
      </c>
      <c r="CE923">
        <v>30</v>
      </c>
      <c r="CF923">
        <v>0</v>
      </c>
      <c r="CG923">
        <v>0</v>
      </c>
      <c r="CM923">
        <v>0</v>
      </c>
      <c r="CN923" t="s">
        <v>3</v>
      </c>
      <c r="CO923">
        <v>0</v>
      </c>
      <c r="CP923">
        <f t="shared" si="777"/>
        <v>284.94</v>
      </c>
      <c r="CQ923">
        <f t="shared" si="778"/>
        <v>44.62</v>
      </c>
      <c r="CR923">
        <f t="shared" si="800"/>
        <v>153.94</v>
      </c>
      <c r="CS923">
        <f t="shared" si="779"/>
        <v>34.26</v>
      </c>
      <c r="CT923">
        <f t="shared" si="780"/>
        <v>14050.23</v>
      </c>
      <c r="CU923">
        <f t="shared" si="781"/>
        <v>0</v>
      </c>
      <c r="CV923">
        <f t="shared" si="782"/>
        <v>37.229999999999997</v>
      </c>
      <c r="CW923">
        <f t="shared" si="783"/>
        <v>0</v>
      </c>
      <c r="CX923">
        <f t="shared" si="784"/>
        <v>0</v>
      </c>
      <c r="CY923">
        <f>S923*(BZ923/100)</f>
        <v>221.99790000000002</v>
      </c>
      <c r="CZ923">
        <f>S923*(CA923/100)</f>
        <v>115.21409999999999</v>
      </c>
      <c r="DC923" t="s">
        <v>3</v>
      </c>
      <c r="DD923" t="s">
        <v>3</v>
      </c>
      <c r="DE923" t="s">
        <v>3</v>
      </c>
      <c r="DF923" t="s">
        <v>3</v>
      </c>
      <c r="DG923" t="s">
        <v>3</v>
      </c>
      <c r="DH923" t="s">
        <v>3</v>
      </c>
      <c r="DI923" t="s">
        <v>3</v>
      </c>
      <c r="DJ923" t="s">
        <v>3</v>
      </c>
      <c r="DK923" t="s">
        <v>3</v>
      </c>
      <c r="DL923" t="s">
        <v>3</v>
      </c>
      <c r="DM923" t="s">
        <v>3</v>
      </c>
      <c r="DN923">
        <v>114</v>
      </c>
      <c r="DO923">
        <v>67</v>
      </c>
      <c r="DP923">
        <v>1</v>
      </c>
      <c r="DQ923">
        <v>1</v>
      </c>
      <c r="DU923">
        <v>1010</v>
      </c>
      <c r="DV923" t="s">
        <v>551</v>
      </c>
      <c r="DW923" t="s">
        <v>551</v>
      </c>
      <c r="DX923">
        <v>100</v>
      </c>
      <c r="DZ923" t="s">
        <v>3</v>
      </c>
      <c r="EA923" t="s">
        <v>3</v>
      </c>
      <c r="EB923" t="s">
        <v>3</v>
      </c>
      <c r="EC923" t="s">
        <v>3</v>
      </c>
      <c r="EE923">
        <v>126051794</v>
      </c>
      <c r="EF923">
        <v>40</v>
      </c>
      <c r="EG923" t="s">
        <v>621</v>
      </c>
      <c r="EH923">
        <v>0</v>
      </c>
      <c r="EI923" t="s">
        <v>3</v>
      </c>
      <c r="EJ923">
        <v>2</v>
      </c>
      <c r="EK923">
        <v>333</v>
      </c>
      <c r="EL923" t="s">
        <v>656</v>
      </c>
      <c r="EM923" t="s">
        <v>657</v>
      </c>
      <c r="EO923" t="s">
        <v>3</v>
      </c>
      <c r="EQ923">
        <v>131072</v>
      </c>
      <c r="ER923">
        <v>526.61</v>
      </c>
      <c r="ES923">
        <v>26.88</v>
      </c>
      <c r="ET923">
        <v>15.74</v>
      </c>
      <c r="EU923">
        <v>1.18</v>
      </c>
      <c r="EV923">
        <v>483.99</v>
      </c>
      <c r="EW923">
        <v>37.229999999999997</v>
      </c>
      <c r="EX923">
        <v>0</v>
      </c>
      <c r="EY923">
        <v>0</v>
      </c>
      <c r="FQ923">
        <v>0</v>
      </c>
      <c r="FR923">
        <f t="shared" si="785"/>
        <v>0</v>
      </c>
      <c r="FS923">
        <v>0</v>
      </c>
      <c r="FX923">
        <v>114</v>
      </c>
      <c r="FY923">
        <v>67</v>
      </c>
      <c r="GA923" t="s">
        <v>3</v>
      </c>
      <c r="GD923">
        <v>0</v>
      </c>
      <c r="GF923">
        <v>603581456</v>
      </c>
      <c r="GG923">
        <v>2</v>
      </c>
      <c r="GH923">
        <v>1</v>
      </c>
      <c r="GI923">
        <v>2</v>
      </c>
      <c r="GJ923">
        <v>0</v>
      </c>
      <c r="GK923">
        <f>ROUND(R923*(S12)/100,2)</f>
        <v>0.93</v>
      </c>
      <c r="GL923">
        <f t="shared" si="786"/>
        <v>0</v>
      </c>
      <c r="GM923">
        <f t="shared" si="787"/>
        <v>623.08000000000004</v>
      </c>
      <c r="GN923">
        <f t="shared" si="788"/>
        <v>0</v>
      </c>
      <c r="GO923">
        <f t="shared" si="789"/>
        <v>623.08000000000004</v>
      </c>
      <c r="GP923">
        <f t="shared" si="790"/>
        <v>0</v>
      </c>
      <c r="GR923">
        <v>0</v>
      </c>
      <c r="GS923">
        <v>3</v>
      </c>
      <c r="GT923">
        <v>0</v>
      </c>
      <c r="GU923" t="s">
        <v>3</v>
      </c>
      <c r="GV923">
        <f t="shared" si="791"/>
        <v>0</v>
      </c>
      <c r="GW923">
        <v>1</v>
      </c>
      <c r="GX923">
        <f t="shared" si="792"/>
        <v>0</v>
      </c>
      <c r="HA923">
        <v>0</v>
      </c>
      <c r="HB923">
        <v>0</v>
      </c>
      <c r="HC923">
        <f t="shared" si="793"/>
        <v>0</v>
      </c>
      <c r="HE923" t="s">
        <v>3</v>
      </c>
      <c r="HF923" t="s">
        <v>3</v>
      </c>
      <c r="HM923" t="s">
        <v>3</v>
      </c>
      <c r="HN923" t="s">
        <v>3</v>
      </c>
      <c r="HO923" t="s">
        <v>3</v>
      </c>
      <c r="HP923" t="s">
        <v>3</v>
      </c>
      <c r="HQ923" t="s">
        <v>3</v>
      </c>
      <c r="IK923">
        <v>0</v>
      </c>
    </row>
    <row r="924" spans="1:255" x14ac:dyDescent="0.2">
      <c r="A924" s="2">
        <v>18</v>
      </c>
      <c r="B924" s="2">
        <v>1</v>
      </c>
      <c r="C924" s="2">
        <v>786</v>
      </c>
      <c r="D924" s="2"/>
      <c r="E924" s="2" t="s">
        <v>225</v>
      </c>
      <c r="F924" s="2" t="s">
        <v>798</v>
      </c>
      <c r="G924" s="2" t="s">
        <v>799</v>
      </c>
      <c r="H924" s="2" t="s">
        <v>250</v>
      </c>
      <c r="I924" s="2">
        <f>I922*J924</f>
        <v>2</v>
      </c>
      <c r="J924" s="2">
        <v>100</v>
      </c>
      <c r="K924" s="2">
        <v>100</v>
      </c>
      <c r="L924" s="2"/>
      <c r="M924" s="2"/>
      <c r="N924" s="2"/>
      <c r="O924" s="2">
        <f t="shared" si="763"/>
        <v>13.92</v>
      </c>
      <c r="P924" s="2">
        <f t="shared" si="764"/>
        <v>13.92</v>
      </c>
      <c r="Q924" s="2">
        <f t="shared" si="794"/>
        <v>0</v>
      </c>
      <c r="R924" s="2">
        <f t="shared" si="765"/>
        <v>0</v>
      </c>
      <c r="S924" s="2">
        <f t="shared" si="766"/>
        <v>0</v>
      </c>
      <c r="T924" s="2">
        <f t="shared" si="767"/>
        <v>0</v>
      </c>
      <c r="U924" s="2">
        <f t="shared" si="768"/>
        <v>0</v>
      </c>
      <c r="V924" s="2">
        <f t="shared" si="769"/>
        <v>0</v>
      </c>
      <c r="W924" s="2">
        <f t="shared" si="770"/>
        <v>0</v>
      </c>
      <c r="X924" s="2">
        <f t="shared" si="771"/>
        <v>0</v>
      </c>
      <c r="Y924" s="2">
        <f t="shared" si="772"/>
        <v>0</v>
      </c>
      <c r="Z924" s="2"/>
      <c r="AA924" s="2">
        <v>129761636</v>
      </c>
      <c r="AB924" s="2">
        <f t="shared" si="773"/>
        <v>6.96</v>
      </c>
      <c r="AC924" s="2">
        <f t="shared" si="774"/>
        <v>6.96</v>
      </c>
      <c r="AD924" s="2">
        <f t="shared" si="795"/>
        <v>0</v>
      </c>
      <c r="AE924" s="2">
        <f t="shared" si="796"/>
        <v>0</v>
      </c>
      <c r="AF924" s="2">
        <f t="shared" si="797"/>
        <v>0</v>
      </c>
      <c r="AG924" s="2">
        <f t="shared" si="775"/>
        <v>0</v>
      </c>
      <c r="AH924" s="2">
        <f t="shared" si="798"/>
        <v>0</v>
      </c>
      <c r="AI924" s="2">
        <f t="shared" si="799"/>
        <v>0</v>
      </c>
      <c r="AJ924" s="2">
        <f t="shared" si="776"/>
        <v>0</v>
      </c>
      <c r="AK924" s="2">
        <v>6.96</v>
      </c>
      <c r="AL924" s="2">
        <v>6.96</v>
      </c>
      <c r="AM924" s="2">
        <v>0</v>
      </c>
      <c r="AN924" s="2">
        <v>0</v>
      </c>
      <c r="AO924" s="2">
        <v>0</v>
      </c>
      <c r="AP924" s="2">
        <v>0</v>
      </c>
      <c r="AQ924" s="2">
        <v>0</v>
      </c>
      <c r="AR924" s="2">
        <v>0</v>
      </c>
      <c r="AS924" s="2">
        <v>0</v>
      </c>
      <c r="AT924" s="2">
        <v>114</v>
      </c>
      <c r="AU924" s="2">
        <v>67</v>
      </c>
      <c r="AV924" s="2">
        <v>1</v>
      </c>
      <c r="AW924" s="2">
        <v>1</v>
      </c>
      <c r="AX924" s="2"/>
      <c r="AY924" s="2"/>
      <c r="AZ924" s="2">
        <v>1</v>
      </c>
      <c r="BA924" s="2">
        <v>1</v>
      </c>
      <c r="BB924" s="2">
        <v>1</v>
      </c>
      <c r="BC924" s="2">
        <v>1</v>
      </c>
      <c r="BD924" s="2" t="s">
        <v>3</v>
      </c>
      <c r="BE924" s="2" t="s">
        <v>3</v>
      </c>
      <c r="BF924" s="2" t="s">
        <v>3</v>
      </c>
      <c r="BG924" s="2" t="s">
        <v>3</v>
      </c>
      <c r="BH924" s="2">
        <v>3</v>
      </c>
      <c r="BI924" s="2">
        <v>2</v>
      </c>
      <c r="BJ924" s="2" t="s">
        <v>800</v>
      </c>
      <c r="BK924" s="2"/>
      <c r="BL924" s="2"/>
      <c r="BM924" s="2">
        <v>333</v>
      </c>
      <c r="BN924" s="2">
        <v>0</v>
      </c>
      <c r="BO924" s="2" t="s">
        <v>3</v>
      </c>
      <c r="BP924" s="2">
        <v>0</v>
      </c>
      <c r="BQ924" s="2">
        <v>40</v>
      </c>
      <c r="BR924" s="2">
        <v>0</v>
      </c>
      <c r="BS924" s="2">
        <v>1</v>
      </c>
      <c r="BT924" s="2">
        <v>1</v>
      </c>
      <c r="BU924" s="2">
        <v>1</v>
      </c>
      <c r="BV924" s="2">
        <v>1</v>
      </c>
      <c r="BW924" s="2">
        <v>1</v>
      </c>
      <c r="BX924" s="2">
        <v>1</v>
      </c>
      <c r="BY924" s="2" t="s">
        <v>3</v>
      </c>
      <c r="BZ924" s="2">
        <v>114</v>
      </c>
      <c r="CA924" s="2">
        <v>67</v>
      </c>
      <c r="CB924" s="2" t="s">
        <v>3</v>
      </c>
      <c r="CC924" s="2"/>
      <c r="CD924" s="2"/>
      <c r="CE924" s="2">
        <v>30</v>
      </c>
      <c r="CF924" s="2">
        <v>0</v>
      </c>
      <c r="CG924" s="2">
        <v>0</v>
      </c>
      <c r="CH924" s="2"/>
      <c r="CI924" s="2"/>
      <c r="CJ924" s="2"/>
      <c r="CK924" s="2"/>
      <c r="CL924" s="2"/>
      <c r="CM924" s="2">
        <v>0</v>
      </c>
      <c r="CN924" s="2" t="s">
        <v>3</v>
      </c>
      <c r="CO924" s="2">
        <v>0</v>
      </c>
      <c r="CP924" s="2">
        <f t="shared" si="777"/>
        <v>13.92</v>
      </c>
      <c r="CQ924" s="2">
        <f t="shared" si="778"/>
        <v>6.96</v>
      </c>
      <c r="CR924" s="2">
        <f t="shared" si="800"/>
        <v>0</v>
      </c>
      <c r="CS924" s="2">
        <f t="shared" si="779"/>
        <v>0</v>
      </c>
      <c r="CT924" s="2">
        <f t="shared" si="780"/>
        <v>0</v>
      </c>
      <c r="CU924" s="2">
        <f t="shared" si="781"/>
        <v>0</v>
      </c>
      <c r="CV924" s="2">
        <f t="shared" si="782"/>
        <v>0</v>
      </c>
      <c r="CW924" s="2">
        <f t="shared" si="783"/>
        <v>0</v>
      </c>
      <c r="CX924" s="2">
        <f t="shared" si="784"/>
        <v>0</v>
      </c>
      <c r="CY924" s="2">
        <f>((S924*BZ924)/100)</f>
        <v>0</v>
      </c>
      <c r="CZ924" s="2">
        <f>((S924*CA924)/100)</f>
        <v>0</v>
      </c>
      <c r="DA924" s="2"/>
      <c r="DB924" s="2"/>
      <c r="DC924" s="2" t="s">
        <v>3</v>
      </c>
      <c r="DD924" s="2" t="s">
        <v>3</v>
      </c>
      <c r="DE924" s="2" t="s">
        <v>3</v>
      </c>
      <c r="DF924" s="2" t="s">
        <v>3</v>
      </c>
      <c r="DG924" s="2" t="s">
        <v>3</v>
      </c>
      <c r="DH924" s="2" t="s">
        <v>3</v>
      </c>
      <c r="DI924" s="2" t="s">
        <v>3</v>
      </c>
      <c r="DJ924" s="2" t="s">
        <v>3</v>
      </c>
      <c r="DK924" s="2" t="s">
        <v>3</v>
      </c>
      <c r="DL924" s="2" t="s">
        <v>3</v>
      </c>
      <c r="DM924" s="2" t="s">
        <v>3</v>
      </c>
      <c r="DN924" s="2">
        <v>0</v>
      </c>
      <c r="DO924" s="2">
        <v>0</v>
      </c>
      <c r="DP924" s="2">
        <v>1</v>
      </c>
      <c r="DQ924" s="2">
        <v>1</v>
      </c>
      <c r="DR924" s="2"/>
      <c r="DS924" s="2"/>
      <c r="DT924" s="2"/>
      <c r="DU924" s="2">
        <v>1010</v>
      </c>
      <c r="DV924" s="2" t="s">
        <v>250</v>
      </c>
      <c r="DW924" s="2" t="s">
        <v>250</v>
      </c>
      <c r="DX924" s="2">
        <v>1</v>
      </c>
      <c r="DY924" s="2"/>
      <c r="DZ924" s="2" t="s">
        <v>3</v>
      </c>
      <c r="EA924" s="2" t="s">
        <v>3</v>
      </c>
      <c r="EB924" s="2" t="s">
        <v>3</v>
      </c>
      <c r="EC924" s="2" t="s">
        <v>3</v>
      </c>
      <c r="ED924" s="2"/>
      <c r="EE924" s="2">
        <v>126051794</v>
      </c>
      <c r="EF924" s="2">
        <v>40</v>
      </c>
      <c r="EG924" s="2" t="s">
        <v>621</v>
      </c>
      <c r="EH924" s="2">
        <v>0</v>
      </c>
      <c r="EI924" s="2" t="s">
        <v>3</v>
      </c>
      <c r="EJ924" s="2">
        <v>2</v>
      </c>
      <c r="EK924" s="2">
        <v>333</v>
      </c>
      <c r="EL924" s="2" t="s">
        <v>656</v>
      </c>
      <c r="EM924" s="2" t="s">
        <v>657</v>
      </c>
      <c r="EN924" s="2"/>
      <c r="EO924" s="2" t="s">
        <v>3</v>
      </c>
      <c r="EP924" s="2"/>
      <c r="EQ924" s="2">
        <v>0</v>
      </c>
      <c r="ER924" s="2">
        <v>6.96</v>
      </c>
      <c r="ES924" s="2">
        <v>6.96</v>
      </c>
      <c r="ET924" s="2">
        <v>0</v>
      </c>
      <c r="EU924" s="2">
        <v>0</v>
      </c>
      <c r="EV924" s="2">
        <v>0</v>
      </c>
      <c r="EW924" s="2">
        <v>0</v>
      </c>
      <c r="EX924" s="2">
        <v>0</v>
      </c>
      <c r="EY924" s="2"/>
      <c r="EZ924" s="2"/>
      <c r="FA924" s="2"/>
      <c r="FB924" s="2"/>
      <c r="FC924" s="2"/>
      <c r="FD924" s="2"/>
      <c r="FE924" s="2"/>
      <c r="FF924" s="2"/>
      <c r="FG924" s="2"/>
      <c r="FH924" s="2"/>
      <c r="FI924" s="2"/>
      <c r="FJ924" s="2"/>
      <c r="FK924" s="2"/>
      <c r="FL924" s="2"/>
      <c r="FM924" s="2"/>
      <c r="FN924" s="2"/>
      <c r="FO924" s="2"/>
      <c r="FP924" s="2"/>
      <c r="FQ924" s="2">
        <v>0</v>
      </c>
      <c r="FR924" s="2">
        <f t="shared" si="785"/>
        <v>0</v>
      </c>
      <c r="FS924" s="2">
        <v>0</v>
      </c>
      <c r="FT924" s="2"/>
      <c r="FU924" s="2"/>
      <c r="FV924" s="2"/>
      <c r="FW924" s="2"/>
      <c r="FX924" s="2">
        <v>114</v>
      </c>
      <c r="FY924" s="2">
        <v>67</v>
      </c>
      <c r="FZ924" s="2"/>
      <c r="GA924" s="2" t="s">
        <v>3</v>
      </c>
      <c r="GB924" s="2"/>
      <c r="GC924" s="2"/>
      <c r="GD924" s="2">
        <v>0</v>
      </c>
      <c r="GE924" s="2"/>
      <c r="GF924" s="2">
        <v>918488354</v>
      </c>
      <c r="GG924" s="2">
        <v>2</v>
      </c>
      <c r="GH924" s="2">
        <v>1</v>
      </c>
      <c r="GI924" s="2">
        <v>-2</v>
      </c>
      <c r="GJ924" s="2">
        <v>0</v>
      </c>
      <c r="GK924" s="2">
        <f>ROUND(R924*(R12)/100,2)</f>
        <v>0</v>
      </c>
      <c r="GL924" s="2">
        <f t="shared" si="786"/>
        <v>0</v>
      </c>
      <c r="GM924" s="2">
        <f t="shared" si="787"/>
        <v>13.92</v>
      </c>
      <c r="GN924" s="2">
        <f t="shared" si="788"/>
        <v>0</v>
      </c>
      <c r="GO924" s="2">
        <f t="shared" si="789"/>
        <v>13.92</v>
      </c>
      <c r="GP924" s="2">
        <f t="shared" si="790"/>
        <v>0</v>
      </c>
      <c r="GQ924" s="2"/>
      <c r="GR924" s="2">
        <v>0</v>
      </c>
      <c r="GS924" s="2">
        <v>0</v>
      </c>
      <c r="GT924" s="2">
        <v>0</v>
      </c>
      <c r="GU924" s="2" t="s">
        <v>3</v>
      </c>
      <c r="GV924" s="2">
        <f t="shared" si="791"/>
        <v>0</v>
      </c>
      <c r="GW924" s="2">
        <v>1</v>
      </c>
      <c r="GX924" s="2">
        <f t="shared" si="792"/>
        <v>0</v>
      </c>
      <c r="GY924" s="2"/>
      <c r="GZ924" s="2"/>
      <c r="HA924" s="2">
        <v>0</v>
      </c>
      <c r="HB924" s="2">
        <v>0</v>
      </c>
      <c r="HC924" s="2">
        <f t="shared" si="793"/>
        <v>0</v>
      </c>
      <c r="HD924" s="2"/>
      <c r="HE924" s="2" t="s">
        <v>3</v>
      </c>
      <c r="HF924" s="2" t="s">
        <v>3</v>
      </c>
      <c r="HG924" s="2"/>
      <c r="HH924" s="2"/>
      <c r="HI924" s="2"/>
      <c r="HJ924" s="2"/>
      <c r="HK924" s="2"/>
      <c r="HL924" s="2"/>
      <c r="HM924" s="2" t="s">
        <v>3</v>
      </c>
      <c r="HN924" s="2" t="s">
        <v>3</v>
      </c>
      <c r="HO924" s="2" t="s">
        <v>3</v>
      </c>
      <c r="HP924" s="2" t="s">
        <v>3</v>
      </c>
      <c r="HQ924" s="2" t="s">
        <v>3</v>
      </c>
      <c r="HR924" s="2"/>
      <c r="HS924" s="2"/>
      <c r="HT924" s="2"/>
      <c r="HU924" s="2"/>
      <c r="HV924" s="2"/>
      <c r="HW924" s="2"/>
      <c r="HX924" s="2"/>
      <c r="HY924" s="2"/>
      <c r="HZ924" s="2"/>
      <c r="IA924" s="2"/>
      <c r="IB924" s="2"/>
      <c r="IC924" s="2"/>
      <c r="ID924" s="2"/>
      <c r="IE924" s="2"/>
      <c r="IF924" s="2"/>
      <c r="IG924" s="2"/>
      <c r="IH924" s="2"/>
      <c r="II924" s="2"/>
      <c r="IJ924" s="2"/>
      <c r="IK924" s="2">
        <v>0</v>
      </c>
      <c r="IL924" s="2"/>
      <c r="IM924" s="2"/>
      <c r="IN924" s="2"/>
      <c r="IO924" s="2"/>
      <c r="IP924" s="2"/>
      <c r="IQ924" s="2"/>
      <c r="IR924" s="2"/>
      <c r="IS924" s="2"/>
      <c r="IT924" s="2"/>
      <c r="IU924" s="2"/>
    </row>
    <row r="925" spans="1:255" x14ac:dyDescent="0.2">
      <c r="A925">
        <v>18</v>
      </c>
      <c r="B925">
        <v>1</v>
      </c>
      <c r="C925">
        <v>788</v>
      </c>
      <c r="E925" t="s">
        <v>225</v>
      </c>
      <c r="F925" t="s">
        <v>798</v>
      </c>
      <c r="G925" t="s">
        <v>799</v>
      </c>
      <c r="H925" t="s">
        <v>250</v>
      </c>
      <c r="I925">
        <f>I923*J925</f>
        <v>2</v>
      </c>
      <c r="J925">
        <v>100</v>
      </c>
      <c r="K925">
        <v>100</v>
      </c>
      <c r="O925">
        <f t="shared" si="763"/>
        <v>159.66</v>
      </c>
      <c r="P925">
        <f t="shared" si="764"/>
        <v>159.66</v>
      </c>
      <c r="Q925">
        <f t="shared" si="794"/>
        <v>0</v>
      </c>
      <c r="R925">
        <f t="shared" si="765"/>
        <v>0</v>
      </c>
      <c r="S925">
        <f t="shared" si="766"/>
        <v>0</v>
      </c>
      <c r="T925">
        <f t="shared" si="767"/>
        <v>0</v>
      </c>
      <c r="U925">
        <f t="shared" si="768"/>
        <v>0</v>
      </c>
      <c r="V925">
        <f t="shared" si="769"/>
        <v>0</v>
      </c>
      <c r="W925">
        <f t="shared" si="770"/>
        <v>0</v>
      </c>
      <c r="X925">
        <f t="shared" si="771"/>
        <v>0</v>
      </c>
      <c r="Y925">
        <f t="shared" si="772"/>
        <v>0</v>
      </c>
      <c r="AA925">
        <v>129761633</v>
      </c>
      <c r="AB925">
        <f t="shared" si="773"/>
        <v>6.96</v>
      </c>
      <c r="AC925">
        <f t="shared" si="774"/>
        <v>6.96</v>
      </c>
      <c r="AD925">
        <f t="shared" si="795"/>
        <v>0</v>
      </c>
      <c r="AE925">
        <f t="shared" si="796"/>
        <v>0</v>
      </c>
      <c r="AF925">
        <f t="shared" si="797"/>
        <v>0</v>
      </c>
      <c r="AG925">
        <f t="shared" si="775"/>
        <v>0</v>
      </c>
      <c r="AH925">
        <f t="shared" si="798"/>
        <v>0</v>
      </c>
      <c r="AI925">
        <f t="shared" si="799"/>
        <v>0</v>
      </c>
      <c r="AJ925">
        <f t="shared" si="776"/>
        <v>0</v>
      </c>
      <c r="AK925">
        <v>6.96</v>
      </c>
      <c r="AL925">
        <v>6.96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1</v>
      </c>
      <c r="AW925">
        <v>1</v>
      </c>
      <c r="AZ925">
        <v>1</v>
      </c>
      <c r="BA925">
        <v>1</v>
      </c>
      <c r="BB925">
        <v>1</v>
      </c>
      <c r="BC925">
        <v>11.47</v>
      </c>
      <c r="BD925" t="s">
        <v>3</v>
      </c>
      <c r="BE925" t="s">
        <v>3</v>
      </c>
      <c r="BF925" t="s">
        <v>3</v>
      </c>
      <c r="BG925" t="s">
        <v>3</v>
      </c>
      <c r="BH925">
        <v>3</v>
      </c>
      <c r="BI925">
        <v>2</v>
      </c>
      <c r="BJ925" t="s">
        <v>800</v>
      </c>
      <c r="BM925">
        <v>333</v>
      </c>
      <c r="BN925">
        <v>0</v>
      </c>
      <c r="BO925" t="s">
        <v>798</v>
      </c>
      <c r="BP925">
        <v>1</v>
      </c>
      <c r="BQ925">
        <v>40</v>
      </c>
      <c r="BR925">
        <v>0</v>
      </c>
      <c r="BS925">
        <v>1</v>
      </c>
      <c r="BT925">
        <v>1</v>
      </c>
      <c r="BU925">
        <v>1</v>
      </c>
      <c r="BV925">
        <v>1</v>
      </c>
      <c r="BW925">
        <v>1</v>
      </c>
      <c r="BX925">
        <v>1</v>
      </c>
      <c r="BY925" t="s">
        <v>3</v>
      </c>
      <c r="BZ925">
        <v>0</v>
      </c>
      <c r="CA925">
        <v>0</v>
      </c>
      <c r="CB925" t="s">
        <v>3</v>
      </c>
      <c r="CE925">
        <v>30</v>
      </c>
      <c r="CF925">
        <v>0</v>
      </c>
      <c r="CG925">
        <v>0</v>
      </c>
      <c r="CM925">
        <v>0</v>
      </c>
      <c r="CN925" t="s">
        <v>3</v>
      </c>
      <c r="CO925">
        <v>0</v>
      </c>
      <c r="CP925">
        <f t="shared" si="777"/>
        <v>159.66</v>
      </c>
      <c r="CQ925">
        <f t="shared" si="778"/>
        <v>79.83</v>
      </c>
      <c r="CR925">
        <f t="shared" si="800"/>
        <v>0</v>
      </c>
      <c r="CS925">
        <f t="shared" si="779"/>
        <v>0</v>
      </c>
      <c r="CT925">
        <f t="shared" si="780"/>
        <v>0</v>
      </c>
      <c r="CU925">
        <f t="shared" si="781"/>
        <v>0</v>
      </c>
      <c r="CV925">
        <f t="shared" si="782"/>
        <v>0</v>
      </c>
      <c r="CW925">
        <f t="shared" si="783"/>
        <v>0</v>
      </c>
      <c r="CX925">
        <f t="shared" si="784"/>
        <v>0</v>
      </c>
      <c r="CY925">
        <f>S925*(BZ925/100)</f>
        <v>0</v>
      </c>
      <c r="CZ925">
        <f>S925*(CA925/100)</f>
        <v>0</v>
      </c>
      <c r="DC925" t="s">
        <v>3</v>
      </c>
      <c r="DD925" t="s">
        <v>3</v>
      </c>
      <c r="DE925" t="s">
        <v>3</v>
      </c>
      <c r="DF925" t="s">
        <v>3</v>
      </c>
      <c r="DG925" t="s">
        <v>3</v>
      </c>
      <c r="DH925" t="s">
        <v>3</v>
      </c>
      <c r="DI925" t="s">
        <v>3</v>
      </c>
      <c r="DJ925" t="s">
        <v>3</v>
      </c>
      <c r="DK925" t="s">
        <v>3</v>
      </c>
      <c r="DL925" t="s">
        <v>3</v>
      </c>
      <c r="DM925" t="s">
        <v>3</v>
      </c>
      <c r="DN925">
        <v>114</v>
      </c>
      <c r="DO925">
        <v>67</v>
      </c>
      <c r="DP925">
        <v>1</v>
      </c>
      <c r="DQ925">
        <v>1</v>
      </c>
      <c r="DU925">
        <v>1010</v>
      </c>
      <c r="DV925" t="s">
        <v>250</v>
      </c>
      <c r="DW925" t="s">
        <v>250</v>
      </c>
      <c r="DX925">
        <v>1</v>
      </c>
      <c r="DZ925" t="s">
        <v>3</v>
      </c>
      <c r="EA925" t="s">
        <v>3</v>
      </c>
      <c r="EB925" t="s">
        <v>3</v>
      </c>
      <c r="EC925" t="s">
        <v>3</v>
      </c>
      <c r="EE925">
        <v>126051794</v>
      </c>
      <c r="EF925">
        <v>40</v>
      </c>
      <c r="EG925" t="s">
        <v>621</v>
      </c>
      <c r="EH925">
        <v>0</v>
      </c>
      <c r="EI925" t="s">
        <v>3</v>
      </c>
      <c r="EJ925">
        <v>2</v>
      </c>
      <c r="EK925">
        <v>333</v>
      </c>
      <c r="EL925" t="s">
        <v>656</v>
      </c>
      <c r="EM925" t="s">
        <v>657</v>
      </c>
      <c r="EO925" t="s">
        <v>3</v>
      </c>
      <c r="EQ925">
        <v>0</v>
      </c>
      <c r="ER925">
        <v>6.96</v>
      </c>
      <c r="ES925">
        <v>6.96</v>
      </c>
      <c r="ET925">
        <v>0</v>
      </c>
      <c r="EU925">
        <v>0</v>
      </c>
      <c r="EV925">
        <v>0</v>
      </c>
      <c r="EW925">
        <v>0</v>
      </c>
      <c r="EX925">
        <v>0</v>
      </c>
      <c r="FQ925">
        <v>0</v>
      </c>
      <c r="FR925">
        <f t="shared" si="785"/>
        <v>0</v>
      </c>
      <c r="FS925">
        <v>0</v>
      </c>
      <c r="FX925">
        <v>114</v>
      </c>
      <c r="FY925">
        <v>67</v>
      </c>
      <c r="GA925" t="s">
        <v>3</v>
      </c>
      <c r="GD925">
        <v>0</v>
      </c>
      <c r="GF925">
        <v>918488354</v>
      </c>
      <c r="GG925">
        <v>2</v>
      </c>
      <c r="GH925">
        <v>1</v>
      </c>
      <c r="GI925">
        <v>2</v>
      </c>
      <c r="GJ925">
        <v>0</v>
      </c>
      <c r="GK925">
        <f>ROUND(R925*(S12)/100,2)</f>
        <v>0</v>
      </c>
      <c r="GL925">
        <f t="shared" si="786"/>
        <v>0</v>
      </c>
      <c r="GM925">
        <f t="shared" si="787"/>
        <v>159.66</v>
      </c>
      <c r="GN925">
        <f t="shared" si="788"/>
        <v>0</v>
      </c>
      <c r="GO925">
        <f t="shared" si="789"/>
        <v>159.66</v>
      </c>
      <c r="GP925">
        <f t="shared" si="790"/>
        <v>0</v>
      </c>
      <c r="GR925">
        <v>0</v>
      </c>
      <c r="GS925">
        <v>3</v>
      </c>
      <c r="GT925">
        <v>0</v>
      </c>
      <c r="GU925" t="s">
        <v>3</v>
      </c>
      <c r="GV925">
        <f t="shared" si="791"/>
        <v>0</v>
      </c>
      <c r="GW925">
        <v>1</v>
      </c>
      <c r="GX925">
        <f t="shared" si="792"/>
        <v>0</v>
      </c>
      <c r="HA925">
        <v>0</v>
      </c>
      <c r="HB925">
        <v>0</v>
      </c>
      <c r="HC925">
        <f t="shared" si="793"/>
        <v>0</v>
      </c>
      <c r="HE925" t="s">
        <v>3</v>
      </c>
      <c r="HF925" t="s">
        <v>3</v>
      </c>
      <c r="HM925" t="s">
        <v>3</v>
      </c>
      <c r="HN925" t="s">
        <v>3</v>
      </c>
      <c r="HO925" t="s">
        <v>3</v>
      </c>
      <c r="HP925" t="s">
        <v>3</v>
      </c>
      <c r="HQ925" t="s">
        <v>3</v>
      </c>
      <c r="IK925">
        <v>0</v>
      </c>
    </row>
    <row r="926" spans="1:255" x14ac:dyDescent="0.2">
      <c r="A926" s="2">
        <v>17</v>
      </c>
      <c r="B926" s="2">
        <v>1</v>
      </c>
      <c r="C926" s="2">
        <f>ROW(SmtRes!A790)</f>
        <v>790</v>
      </c>
      <c r="D926" s="2">
        <f>ROW(EtalonRes!A755)</f>
        <v>755</v>
      </c>
      <c r="E926" s="2" t="s">
        <v>228</v>
      </c>
      <c r="F926" s="2" t="s">
        <v>801</v>
      </c>
      <c r="G926" s="2" t="s">
        <v>802</v>
      </c>
      <c r="H926" s="2" t="s">
        <v>551</v>
      </c>
      <c r="I926" s="2">
        <v>0.02</v>
      </c>
      <c r="J926" s="2">
        <v>0</v>
      </c>
      <c r="K926" s="2">
        <v>0.02</v>
      </c>
      <c r="L926" s="2"/>
      <c r="M926" s="2"/>
      <c r="N926" s="2"/>
      <c r="O926" s="2">
        <f t="shared" si="763"/>
        <v>9.7100000000000009</v>
      </c>
      <c r="P926" s="2">
        <f t="shared" si="764"/>
        <v>0.53</v>
      </c>
      <c r="Q926" s="2">
        <f t="shared" si="794"/>
        <v>0.31</v>
      </c>
      <c r="R926" s="2">
        <f t="shared" si="765"/>
        <v>0.02</v>
      </c>
      <c r="S926" s="2">
        <f t="shared" si="766"/>
        <v>8.8699999999999992</v>
      </c>
      <c r="T926" s="2">
        <f t="shared" si="767"/>
        <v>0</v>
      </c>
      <c r="U926" s="2">
        <f t="shared" si="768"/>
        <v>0.68200000000000005</v>
      </c>
      <c r="V926" s="2">
        <f t="shared" si="769"/>
        <v>0</v>
      </c>
      <c r="W926" s="2">
        <f t="shared" si="770"/>
        <v>0</v>
      </c>
      <c r="X926" s="2">
        <f t="shared" si="771"/>
        <v>10.11</v>
      </c>
      <c r="Y926" s="2">
        <f t="shared" si="772"/>
        <v>5.94</v>
      </c>
      <c r="Z926" s="2"/>
      <c r="AA926" s="2">
        <v>129761636</v>
      </c>
      <c r="AB926" s="2">
        <f t="shared" si="773"/>
        <v>485.12</v>
      </c>
      <c r="AC926" s="2">
        <f t="shared" si="774"/>
        <v>26.25</v>
      </c>
      <c r="AD926" s="2">
        <f t="shared" si="795"/>
        <v>15.57</v>
      </c>
      <c r="AE926" s="2">
        <f t="shared" si="796"/>
        <v>1.1399999999999999</v>
      </c>
      <c r="AF926" s="2">
        <f t="shared" si="797"/>
        <v>443.3</v>
      </c>
      <c r="AG926" s="2">
        <f t="shared" si="775"/>
        <v>0</v>
      </c>
      <c r="AH926" s="2">
        <f t="shared" si="798"/>
        <v>34.1</v>
      </c>
      <c r="AI926" s="2">
        <f t="shared" si="799"/>
        <v>0</v>
      </c>
      <c r="AJ926" s="2">
        <f t="shared" si="776"/>
        <v>0</v>
      </c>
      <c r="AK926" s="2">
        <v>485.12</v>
      </c>
      <c r="AL926" s="2">
        <v>26.25</v>
      </c>
      <c r="AM926" s="2">
        <v>15.57</v>
      </c>
      <c r="AN926" s="2">
        <v>1.1399999999999999</v>
      </c>
      <c r="AO926" s="2">
        <v>443.3</v>
      </c>
      <c r="AP926" s="2">
        <v>0</v>
      </c>
      <c r="AQ926" s="2">
        <v>34.1</v>
      </c>
      <c r="AR926" s="2">
        <v>0</v>
      </c>
      <c r="AS926" s="2">
        <v>0</v>
      </c>
      <c r="AT926" s="2">
        <v>114</v>
      </c>
      <c r="AU926" s="2">
        <v>67</v>
      </c>
      <c r="AV926" s="2">
        <v>1</v>
      </c>
      <c r="AW926" s="2">
        <v>1</v>
      </c>
      <c r="AX926" s="2"/>
      <c r="AY926" s="2"/>
      <c r="AZ926" s="2">
        <v>1</v>
      </c>
      <c r="BA926" s="2">
        <v>1</v>
      </c>
      <c r="BB926" s="2">
        <v>1</v>
      </c>
      <c r="BC926" s="2">
        <v>1</v>
      </c>
      <c r="BD926" s="2" t="s">
        <v>3</v>
      </c>
      <c r="BE926" s="2" t="s">
        <v>3</v>
      </c>
      <c r="BF926" s="2" t="s">
        <v>3</v>
      </c>
      <c r="BG926" s="2" t="s">
        <v>3</v>
      </c>
      <c r="BH926" s="2">
        <v>0</v>
      </c>
      <c r="BI926" s="2">
        <v>2</v>
      </c>
      <c r="BJ926" s="2" t="s">
        <v>803</v>
      </c>
      <c r="BK926" s="2"/>
      <c r="BL926" s="2"/>
      <c r="BM926" s="2">
        <v>333</v>
      </c>
      <c r="BN926" s="2">
        <v>0</v>
      </c>
      <c r="BO926" s="2" t="s">
        <v>3</v>
      </c>
      <c r="BP926" s="2">
        <v>0</v>
      </c>
      <c r="BQ926" s="2">
        <v>40</v>
      </c>
      <c r="BR926" s="2">
        <v>0</v>
      </c>
      <c r="BS926" s="2">
        <v>1</v>
      </c>
      <c r="BT926" s="2">
        <v>1</v>
      </c>
      <c r="BU926" s="2">
        <v>1</v>
      </c>
      <c r="BV926" s="2">
        <v>1</v>
      </c>
      <c r="BW926" s="2">
        <v>1</v>
      </c>
      <c r="BX926" s="2">
        <v>1</v>
      </c>
      <c r="BY926" s="2" t="s">
        <v>3</v>
      </c>
      <c r="BZ926" s="2">
        <v>114</v>
      </c>
      <c r="CA926" s="2">
        <v>67</v>
      </c>
      <c r="CB926" s="2" t="s">
        <v>3</v>
      </c>
      <c r="CC926" s="2"/>
      <c r="CD926" s="2"/>
      <c r="CE926" s="2">
        <v>30</v>
      </c>
      <c r="CF926" s="2">
        <v>0</v>
      </c>
      <c r="CG926" s="2">
        <v>0</v>
      </c>
      <c r="CH926" s="2"/>
      <c r="CI926" s="2"/>
      <c r="CJ926" s="2"/>
      <c r="CK926" s="2"/>
      <c r="CL926" s="2"/>
      <c r="CM926" s="2">
        <v>0</v>
      </c>
      <c r="CN926" s="2" t="s">
        <v>3</v>
      </c>
      <c r="CO926" s="2">
        <v>0</v>
      </c>
      <c r="CP926" s="2">
        <f t="shared" si="777"/>
        <v>9.7099999999999991</v>
      </c>
      <c r="CQ926" s="2">
        <f t="shared" si="778"/>
        <v>26.25</v>
      </c>
      <c r="CR926" s="2">
        <f t="shared" si="800"/>
        <v>15.57</v>
      </c>
      <c r="CS926" s="2">
        <f t="shared" si="779"/>
        <v>1.1399999999999999</v>
      </c>
      <c r="CT926" s="2">
        <f t="shared" si="780"/>
        <v>443.3</v>
      </c>
      <c r="CU926" s="2">
        <f t="shared" si="781"/>
        <v>0</v>
      </c>
      <c r="CV926" s="2">
        <f t="shared" si="782"/>
        <v>34.1</v>
      </c>
      <c r="CW926" s="2">
        <f t="shared" si="783"/>
        <v>0</v>
      </c>
      <c r="CX926" s="2">
        <f t="shared" si="784"/>
        <v>0</v>
      </c>
      <c r="CY926" s="2">
        <f>((S926*BZ926)/100)</f>
        <v>10.111799999999999</v>
      </c>
      <c r="CZ926" s="2">
        <f>((S926*CA926)/100)</f>
        <v>5.9428999999999998</v>
      </c>
      <c r="DA926" s="2"/>
      <c r="DB926" s="2"/>
      <c r="DC926" s="2" t="s">
        <v>3</v>
      </c>
      <c r="DD926" s="2" t="s">
        <v>3</v>
      </c>
      <c r="DE926" s="2" t="s">
        <v>3</v>
      </c>
      <c r="DF926" s="2" t="s">
        <v>3</v>
      </c>
      <c r="DG926" s="2" t="s">
        <v>3</v>
      </c>
      <c r="DH926" s="2" t="s">
        <v>3</v>
      </c>
      <c r="DI926" s="2" t="s">
        <v>3</v>
      </c>
      <c r="DJ926" s="2" t="s">
        <v>3</v>
      </c>
      <c r="DK926" s="2" t="s">
        <v>3</v>
      </c>
      <c r="DL926" s="2" t="s">
        <v>3</v>
      </c>
      <c r="DM926" s="2" t="s">
        <v>3</v>
      </c>
      <c r="DN926" s="2">
        <v>0</v>
      </c>
      <c r="DO926" s="2">
        <v>0</v>
      </c>
      <c r="DP926" s="2">
        <v>1</v>
      </c>
      <c r="DQ926" s="2">
        <v>1</v>
      </c>
      <c r="DR926" s="2"/>
      <c r="DS926" s="2"/>
      <c r="DT926" s="2"/>
      <c r="DU926" s="2">
        <v>1010</v>
      </c>
      <c r="DV926" s="2" t="s">
        <v>551</v>
      </c>
      <c r="DW926" s="2" t="s">
        <v>551</v>
      </c>
      <c r="DX926" s="2">
        <v>100</v>
      </c>
      <c r="DY926" s="2"/>
      <c r="DZ926" s="2" t="s">
        <v>3</v>
      </c>
      <c r="EA926" s="2" t="s">
        <v>3</v>
      </c>
      <c r="EB926" s="2" t="s">
        <v>3</v>
      </c>
      <c r="EC926" s="2" t="s">
        <v>3</v>
      </c>
      <c r="ED926" s="2"/>
      <c r="EE926" s="2">
        <v>126051794</v>
      </c>
      <c r="EF926" s="2">
        <v>40</v>
      </c>
      <c r="EG926" s="2" t="s">
        <v>621</v>
      </c>
      <c r="EH926" s="2">
        <v>0</v>
      </c>
      <c r="EI926" s="2" t="s">
        <v>3</v>
      </c>
      <c r="EJ926" s="2">
        <v>2</v>
      </c>
      <c r="EK926" s="2">
        <v>333</v>
      </c>
      <c r="EL926" s="2" t="s">
        <v>656</v>
      </c>
      <c r="EM926" s="2" t="s">
        <v>657</v>
      </c>
      <c r="EN926" s="2"/>
      <c r="EO926" s="2" t="s">
        <v>3</v>
      </c>
      <c r="EP926" s="2"/>
      <c r="EQ926" s="2">
        <v>131072</v>
      </c>
      <c r="ER926" s="2">
        <v>485.12</v>
      </c>
      <c r="ES926" s="2">
        <v>26.25</v>
      </c>
      <c r="ET926" s="2">
        <v>15.57</v>
      </c>
      <c r="EU926" s="2">
        <v>1.1399999999999999</v>
      </c>
      <c r="EV926" s="2">
        <v>443.3</v>
      </c>
      <c r="EW926" s="2">
        <v>34.1</v>
      </c>
      <c r="EX926" s="2">
        <v>0</v>
      </c>
      <c r="EY926" s="2">
        <v>0</v>
      </c>
      <c r="EZ926" s="2"/>
      <c r="FA926" s="2"/>
      <c r="FB926" s="2"/>
      <c r="FC926" s="2"/>
      <c r="FD926" s="2"/>
      <c r="FE926" s="2"/>
      <c r="FF926" s="2"/>
      <c r="FG926" s="2"/>
      <c r="FH926" s="2"/>
      <c r="FI926" s="2"/>
      <c r="FJ926" s="2"/>
      <c r="FK926" s="2"/>
      <c r="FL926" s="2"/>
      <c r="FM926" s="2"/>
      <c r="FN926" s="2"/>
      <c r="FO926" s="2"/>
      <c r="FP926" s="2"/>
      <c r="FQ926" s="2">
        <v>0</v>
      </c>
      <c r="FR926" s="2">
        <f t="shared" si="785"/>
        <v>0</v>
      </c>
      <c r="FS926" s="2">
        <v>0</v>
      </c>
      <c r="FT926" s="2"/>
      <c r="FU926" s="2"/>
      <c r="FV926" s="2"/>
      <c r="FW926" s="2"/>
      <c r="FX926" s="2">
        <v>114</v>
      </c>
      <c r="FY926" s="2">
        <v>67</v>
      </c>
      <c r="FZ926" s="2"/>
      <c r="GA926" s="2" t="s">
        <v>3</v>
      </c>
      <c r="GB926" s="2"/>
      <c r="GC926" s="2"/>
      <c r="GD926" s="2">
        <v>0</v>
      </c>
      <c r="GE926" s="2"/>
      <c r="GF926" s="2">
        <v>1110801523</v>
      </c>
      <c r="GG926" s="2">
        <v>2</v>
      </c>
      <c r="GH926" s="2">
        <v>1</v>
      </c>
      <c r="GI926" s="2">
        <v>-2</v>
      </c>
      <c r="GJ926" s="2">
        <v>0</v>
      </c>
      <c r="GK926" s="2">
        <f>ROUND(R926*(R12)/100,2)</f>
        <v>0.04</v>
      </c>
      <c r="GL926" s="2">
        <f t="shared" si="786"/>
        <v>0</v>
      </c>
      <c r="GM926" s="2">
        <f t="shared" si="787"/>
        <v>25.8</v>
      </c>
      <c r="GN926" s="2">
        <f t="shared" si="788"/>
        <v>0</v>
      </c>
      <c r="GO926" s="2">
        <f t="shared" si="789"/>
        <v>25.8</v>
      </c>
      <c r="GP926" s="2">
        <f t="shared" si="790"/>
        <v>0</v>
      </c>
      <c r="GQ926" s="2"/>
      <c r="GR926" s="2">
        <v>0</v>
      </c>
      <c r="GS926" s="2">
        <v>0</v>
      </c>
      <c r="GT926" s="2">
        <v>0</v>
      </c>
      <c r="GU926" s="2" t="s">
        <v>3</v>
      </c>
      <c r="GV926" s="2">
        <f t="shared" si="791"/>
        <v>0</v>
      </c>
      <c r="GW926" s="2">
        <v>1</v>
      </c>
      <c r="GX926" s="2">
        <f t="shared" si="792"/>
        <v>0</v>
      </c>
      <c r="GY926" s="2"/>
      <c r="GZ926" s="2"/>
      <c r="HA926" s="2">
        <v>0</v>
      </c>
      <c r="HB926" s="2">
        <v>0</v>
      </c>
      <c r="HC926" s="2">
        <f t="shared" si="793"/>
        <v>0</v>
      </c>
      <c r="HD926" s="2"/>
      <c r="HE926" s="2" t="s">
        <v>3</v>
      </c>
      <c r="HF926" s="2" t="s">
        <v>3</v>
      </c>
      <c r="HG926" s="2"/>
      <c r="HH926" s="2"/>
      <c r="HI926" s="2"/>
      <c r="HJ926" s="2"/>
      <c r="HK926" s="2"/>
      <c r="HL926" s="2"/>
      <c r="HM926" s="2" t="s">
        <v>3</v>
      </c>
      <c r="HN926" s="2" t="s">
        <v>3</v>
      </c>
      <c r="HO926" s="2" t="s">
        <v>3</v>
      </c>
      <c r="HP926" s="2" t="s">
        <v>3</v>
      </c>
      <c r="HQ926" s="2" t="s">
        <v>3</v>
      </c>
      <c r="HR926" s="2"/>
      <c r="HS926" s="2"/>
      <c r="HT926" s="2"/>
      <c r="HU926" s="2"/>
      <c r="HV926" s="2"/>
      <c r="HW926" s="2"/>
      <c r="HX926" s="2"/>
      <c r="HY926" s="2"/>
      <c r="HZ926" s="2"/>
      <c r="IA926" s="2"/>
      <c r="IB926" s="2"/>
      <c r="IC926" s="2"/>
      <c r="ID926" s="2"/>
      <c r="IE926" s="2"/>
      <c r="IF926" s="2"/>
      <c r="IG926" s="2"/>
      <c r="IH926" s="2"/>
      <c r="II926" s="2"/>
      <c r="IJ926" s="2"/>
      <c r="IK926" s="2">
        <v>0</v>
      </c>
      <c r="IL926" s="2"/>
      <c r="IM926" s="2"/>
      <c r="IN926" s="2"/>
      <c r="IO926" s="2"/>
      <c r="IP926" s="2"/>
      <c r="IQ926" s="2"/>
      <c r="IR926" s="2"/>
      <c r="IS926" s="2"/>
      <c r="IT926" s="2"/>
      <c r="IU926" s="2"/>
    </row>
    <row r="927" spans="1:255" x14ac:dyDescent="0.2">
      <c r="A927">
        <v>17</v>
      </c>
      <c r="B927">
        <v>1</v>
      </c>
      <c r="C927">
        <f>ROW(SmtRes!A792)</f>
        <v>792</v>
      </c>
      <c r="D927">
        <f>ROW(EtalonRes!A756)</f>
        <v>756</v>
      </c>
      <c r="E927" t="s">
        <v>228</v>
      </c>
      <c r="F927" t="s">
        <v>801</v>
      </c>
      <c r="G927" t="s">
        <v>802</v>
      </c>
      <c r="H927" t="s">
        <v>551</v>
      </c>
      <c r="I927">
        <v>0.02</v>
      </c>
      <c r="J927">
        <v>0</v>
      </c>
      <c r="K927">
        <v>0.02</v>
      </c>
      <c r="O927">
        <f t="shared" si="763"/>
        <v>262.41000000000003</v>
      </c>
      <c r="P927">
        <f t="shared" si="764"/>
        <v>1.79</v>
      </c>
      <c r="Q927">
        <f t="shared" si="794"/>
        <v>3.12</v>
      </c>
      <c r="R927">
        <f t="shared" si="765"/>
        <v>0.57999999999999996</v>
      </c>
      <c r="S927">
        <f t="shared" si="766"/>
        <v>257.5</v>
      </c>
      <c r="T927">
        <f t="shared" si="767"/>
        <v>0</v>
      </c>
      <c r="U927">
        <f t="shared" si="768"/>
        <v>0.68200000000000005</v>
      </c>
      <c r="V927">
        <f t="shared" si="769"/>
        <v>0</v>
      </c>
      <c r="W927">
        <f t="shared" si="770"/>
        <v>0</v>
      </c>
      <c r="X927">
        <f t="shared" si="771"/>
        <v>203.43</v>
      </c>
      <c r="Y927">
        <f t="shared" si="772"/>
        <v>105.58</v>
      </c>
      <c r="AA927">
        <v>129761633</v>
      </c>
      <c r="AB927">
        <f t="shared" si="773"/>
        <v>485.12</v>
      </c>
      <c r="AC927">
        <f t="shared" si="774"/>
        <v>26.25</v>
      </c>
      <c r="AD927">
        <f t="shared" si="795"/>
        <v>15.57</v>
      </c>
      <c r="AE927">
        <f t="shared" si="796"/>
        <v>1.1399999999999999</v>
      </c>
      <c r="AF927">
        <f t="shared" si="797"/>
        <v>443.3</v>
      </c>
      <c r="AG927">
        <f t="shared" si="775"/>
        <v>0</v>
      </c>
      <c r="AH927">
        <f t="shared" si="798"/>
        <v>34.1</v>
      </c>
      <c r="AI927">
        <f t="shared" si="799"/>
        <v>0</v>
      </c>
      <c r="AJ927">
        <f t="shared" si="776"/>
        <v>0</v>
      </c>
      <c r="AK927">
        <v>485.12</v>
      </c>
      <c r="AL927">
        <v>26.25</v>
      </c>
      <c r="AM927">
        <v>15.57</v>
      </c>
      <c r="AN927">
        <v>1.1399999999999999</v>
      </c>
      <c r="AO927">
        <v>443.3</v>
      </c>
      <c r="AP927">
        <v>0</v>
      </c>
      <c r="AQ927">
        <v>34.1</v>
      </c>
      <c r="AR927">
        <v>0</v>
      </c>
      <c r="AS927">
        <v>0</v>
      </c>
      <c r="AT927">
        <v>79</v>
      </c>
      <c r="AU927">
        <v>41</v>
      </c>
      <c r="AV927">
        <v>1</v>
      </c>
      <c r="AW927">
        <v>1</v>
      </c>
      <c r="AZ927">
        <v>1</v>
      </c>
      <c r="BA927">
        <v>29.03</v>
      </c>
      <c r="BB927">
        <v>10.050000000000001</v>
      </c>
      <c r="BC927">
        <v>3.38</v>
      </c>
      <c r="BD927" t="s">
        <v>3</v>
      </c>
      <c r="BE927" t="s">
        <v>3</v>
      </c>
      <c r="BF927" t="s">
        <v>3</v>
      </c>
      <c r="BG927" t="s">
        <v>3</v>
      </c>
      <c r="BH927">
        <v>0</v>
      </c>
      <c r="BI927">
        <v>2</v>
      </c>
      <c r="BJ927" t="s">
        <v>803</v>
      </c>
      <c r="BM927">
        <v>333</v>
      </c>
      <c r="BN927">
        <v>0</v>
      </c>
      <c r="BO927" t="s">
        <v>801</v>
      </c>
      <c r="BP927">
        <v>1</v>
      </c>
      <c r="BQ927">
        <v>40</v>
      </c>
      <c r="BR927">
        <v>0</v>
      </c>
      <c r="BS927">
        <v>29.03</v>
      </c>
      <c r="BT927">
        <v>1</v>
      </c>
      <c r="BU927">
        <v>1</v>
      </c>
      <c r="BV927">
        <v>1</v>
      </c>
      <c r="BW927">
        <v>1</v>
      </c>
      <c r="BX927">
        <v>1</v>
      </c>
      <c r="BY927" t="s">
        <v>3</v>
      </c>
      <c r="BZ927">
        <v>79</v>
      </c>
      <c r="CA927">
        <v>41</v>
      </c>
      <c r="CB927" t="s">
        <v>3</v>
      </c>
      <c r="CE927">
        <v>30</v>
      </c>
      <c r="CF927">
        <v>0</v>
      </c>
      <c r="CG927">
        <v>0</v>
      </c>
      <c r="CM927">
        <v>0</v>
      </c>
      <c r="CN927" t="s">
        <v>3</v>
      </c>
      <c r="CO927">
        <v>0</v>
      </c>
      <c r="CP927">
        <f t="shared" si="777"/>
        <v>262.41000000000003</v>
      </c>
      <c r="CQ927">
        <f t="shared" si="778"/>
        <v>88.73</v>
      </c>
      <c r="CR927">
        <f t="shared" si="800"/>
        <v>156.47999999999999</v>
      </c>
      <c r="CS927">
        <f t="shared" si="779"/>
        <v>33.090000000000003</v>
      </c>
      <c r="CT927">
        <f t="shared" si="780"/>
        <v>12869</v>
      </c>
      <c r="CU927">
        <f t="shared" si="781"/>
        <v>0</v>
      </c>
      <c r="CV927">
        <f t="shared" si="782"/>
        <v>34.1</v>
      </c>
      <c r="CW927">
        <f t="shared" si="783"/>
        <v>0</v>
      </c>
      <c r="CX927">
        <f t="shared" si="784"/>
        <v>0</v>
      </c>
      <c r="CY927">
        <f>S927*(BZ927/100)</f>
        <v>203.42500000000001</v>
      </c>
      <c r="CZ927">
        <f>S927*(CA927/100)</f>
        <v>105.57499999999999</v>
      </c>
      <c r="DC927" t="s">
        <v>3</v>
      </c>
      <c r="DD927" t="s">
        <v>3</v>
      </c>
      <c r="DE927" t="s">
        <v>3</v>
      </c>
      <c r="DF927" t="s">
        <v>3</v>
      </c>
      <c r="DG927" t="s">
        <v>3</v>
      </c>
      <c r="DH927" t="s">
        <v>3</v>
      </c>
      <c r="DI927" t="s">
        <v>3</v>
      </c>
      <c r="DJ927" t="s">
        <v>3</v>
      </c>
      <c r="DK927" t="s">
        <v>3</v>
      </c>
      <c r="DL927" t="s">
        <v>3</v>
      </c>
      <c r="DM927" t="s">
        <v>3</v>
      </c>
      <c r="DN927">
        <v>114</v>
      </c>
      <c r="DO927">
        <v>67</v>
      </c>
      <c r="DP927">
        <v>1</v>
      </c>
      <c r="DQ927">
        <v>1</v>
      </c>
      <c r="DU927">
        <v>1010</v>
      </c>
      <c r="DV927" t="s">
        <v>551</v>
      </c>
      <c r="DW927" t="s">
        <v>551</v>
      </c>
      <c r="DX927">
        <v>100</v>
      </c>
      <c r="DZ927" t="s">
        <v>3</v>
      </c>
      <c r="EA927" t="s">
        <v>3</v>
      </c>
      <c r="EB927" t="s">
        <v>3</v>
      </c>
      <c r="EC927" t="s">
        <v>3</v>
      </c>
      <c r="EE927">
        <v>126051794</v>
      </c>
      <c r="EF927">
        <v>40</v>
      </c>
      <c r="EG927" t="s">
        <v>621</v>
      </c>
      <c r="EH927">
        <v>0</v>
      </c>
      <c r="EI927" t="s">
        <v>3</v>
      </c>
      <c r="EJ927">
        <v>2</v>
      </c>
      <c r="EK927">
        <v>333</v>
      </c>
      <c r="EL927" t="s">
        <v>656</v>
      </c>
      <c r="EM927" t="s">
        <v>657</v>
      </c>
      <c r="EO927" t="s">
        <v>3</v>
      </c>
      <c r="EQ927">
        <v>131072</v>
      </c>
      <c r="ER927">
        <v>485.12</v>
      </c>
      <c r="ES927">
        <v>26.25</v>
      </c>
      <c r="ET927">
        <v>15.57</v>
      </c>
      <c r="EU927">
        <v>1.1399999999999999</v>
      </c>
      <c r="EV927">
        <v>443.3</v>
      </c>
      <c r="EW927">
        <v>34.1</v>
      </c>
      <c r="EX927">
        <v>0</v>
      </c>
      <c r="EY927">
        <v>0</v>
      </c>
      <c r="FQ927">
        <v>0</v>
      </c>
      <c r="FR927">
        <f t="shared" si="785"/>
        <v>0</v>
      </c>
      <c r="FS927">
        <v>0</v>
      </c>
      <c r="FX927">
        <v>114</v>
      </c>
      <c r="FY927">
        <v>67</v>
      </c>
      <c r="GA927" t="s">
        <v>3</v>
      </c>
      <c r="GD927">
        <v>0</v>
      </c>
      <c r="GF927">
        <v>1110801523</v>
      </c>
      <c r="GG927">
        <v>2</v>
      </c>
      <c r="GH927">
        <v>1</v>
      </c>
      <c r="GI927">
        <v>2</v>
      </c>
      <c r="GJ927">
        <v>0</v>
      </c>
      <c r="GK927">
        <f>ROUND(R927*(S12)/100,2)</f>
        <v>0.93</v>
      </c>
      <c r="GL927">
        <f t="shared" si="786"/>
        <v>0</v>
      </c>
      <c r="GM927">
        <f t="shared" si="787"/>
        <v>572.35</v>
      </c>
      <c r="GN927">
        <f t="shared" si="788"/>
        <v>0</v>
      </c>
      <c r="GO927">
        <f t="shared" si="789"/>
        <v>572.35</v>
      </c>
      <c r="GP927">
        <f t="shared" si="790"/>
        <v>0</v>
      </c>
      <c r="GR927">
        <v>0</v>
      </c>
      <c r="GS927">
        <v>3</v>
      </c>
      <c r="GT927">
        <v>0</v>
      </c>
      <c r="GU927" t="s">
        <v>3</v>
      </c>
      <c r="GV927">
        <f t="shared" si="791"/>
        <v>0</v>
      </c>
      <c r="GW927">
        <v>1</v>
      </c>
      <c r="GX927">
        <f t="shared" si="792"/>
        <v>0</v>
      </c>
      <c r="HA927">
        <v>0</v>
      </c>
      <c r="HB927">
        <v>0</v>
      </c>
      <c r="HC927">
        <f t="shared" si="793"/>
        <v>0</v>
      </c>
      <c r="HE927" t="s">
        <v>3</v>
      </c>
      <c r="HF927" t="s">
        <v>3</v>
      </c>
      <c r="HM927" t="s">
        <v>3</v>
      </c>
      <c r="HN927" t="s">
        <v>3</v>
      </c>
      <c r="HO927" t="s">
        <v>3</v>
      </c>
      <c r="HP927" t="s">
        <v>3</v>
      </c>
      <c r="HQ927" t="s">
        <v>3</v>
      </c>
      <c r="IK927">
        <v>0</v>
      </c>
    </row>
    <row r="928" spans="1:255" x14ac:dyDescent="0.2">
      <c r="A928" s="2">
        <v>18</v>
      </c>
      <c r="B928" s="2">
        <v>1</v>
      </c>
      <c r="C928" s="2">
        <v>790</v>
      </c>
      <c r="D928" s="2"/>
      <c r="E928" s="2" t="s">
        <v>235</v>
      </c>
      <c r="F928" s="2" t="s">
        <v>804</v>
      </c>
      <c r="G928" s="2" t="s">
        <v>805</v>
      </c>
      <c r="H928" s="2" t="s">
        <v>250</v>
      </c>
      <c r="I928" s="2">
        <f>I926*J928</f>
        <v>2</v>
      </c>
      <c r="J928" s="2">
        <v>100</v>
      </c>
      <c r="K928" s="2">
        <v>100</v>
      </c>
      <c r="L928" s="2"/>
      <c r="M928" s="2"/>
      <c r="N928" s="2"/>
      <c r="O928" s="2">
        <f t="shared" si="763"/>
        <v>62.84</v>
      </c>
      <c r="P928" s="2">
        <f t="shared" si="764"/>
        <v>62.84</v>
      </c>
      <c r="Q928" s="2">
        <f t="shared" si="794"/>
        <v>0</v>
      </c>
      <c r="R928" s="2">
        <f t="shared" si="765"/>
        <v>0</v>
      </c>
      <c r="S928" s="2">
        <f t="shared" si="766"/>
        <v>0</v>
      </c>
      <c r="T928" s="2">
        <f t="shared" si="767"/>
        <v>0</v>
      </c>
      <c r="U928" s="2">
        <f t="shared" si="768"/>
        <v>0</v>
      </c>
      <c r="V928" s="2">
        <f t="shared" si="769"/>
        <v>0</v>
      </c>
      <c r="W928" s="2">
        <f t="shared" si="770"/>
        <v>0</v>
      </c>
      <c r="X928" s="2">
        <f t="shared" si="771"/>
        <v>0</v>
      </c>
      <c r="Y928" s="2">
        <f t="shared" si="772"/>
        <v>0</v>
      </c>
      <c r="Z928" s="2"/>
      <c r="AA928" s="2">
        <v>129761636</v>
      </c>
      <c r="AB928" s="2">
        <f t="shared" si="773"/>
        <v>31.42</v>
      </c>
      <c r="AC928" s="2">
        <f t="shared" si="774"/>
        <v>31.42</v>
      </c>
      <c r="AD928" s="2">
        <f t="shared" si="795"/>
        <v>0</v>
      </c>
      <c r="AE928" s="2">
        <f t="shared" si="796"/>
        <v>0</v>
      </c>
      <c r="AF928" s="2">
        <f t="shared" si="797"/>
        <v>0</v>
      </c>
      <c r="AG928" s="2">
        <f t="shared" si="775"/>
        <v>0</v>
      </c>
      <c r="AH928" s="2">
        <f t="shared" si="798"/>
        <v>0</v>
      </c>
      <c r="AI928" s="2">
        <f t="shared" si="799"/>
        <v>0</v>
      </c>
      <c r="AJ928" s="2">
        <f t="shared" si="776"/>
        <v>0</v>
      </c>
      <c r="AK928" s="2">
        <v>31.42</v>
      </c>
      <c r="AL928" s="2">
        <v>31.42</v>
      </c>
      <c r="AM928" s="2">
        <v>0</v>
      </c>
      <c r="AN928" s="2">
        <v>0</v>
      </c>
      <c r="AO928" s="2">
        <v>0</v>
      </c>
      <c r="AP928" s="2">
        <v>0</v>
      </c>
      <c r="AQ928" s="2">
        <v>0</v>
      </c>
      <c r="AR928" s="2">
        <v>0</v>
      </c>
      <c r="AS928" s="2">
        <v>0</v>
      </c>
      <c r="AT928" s="2">
        <v>114</v>
      </c>
      <c r="AU928" s="2">
        <v>67</v>
      </c>
      <c r="AV928" s="2">
        <v>1</v>
      </c>
      <c r="AW928" s="2">
        <v>1</v>
      </c>
      <c r="AX928" s="2"/>
      <c r="AY928" s="2"/>
      <c r="AZ928" s="2">
        <v>1</v>
      </c>
      <c r="BA928" s="2">
        <v>1</v>
      </c>
      <c r="BB928" s="2">
        <v>1</v>
      </c>
      <c r="BC928" s="2">
        <v>1</v>
      </c>
      <c r="BD928" s="2" t="s">
        <v>3</v>
      </c>
      <c r="BE928" s="2" t="s">
        <v>3</v>
      </c>
      <c r="BF928" s="2" t="s">
        <v>3</v>
      </c>
      <c r="BG928" s="2" t="s">
        <v>3</v>
      </c>
      <c r="BH928" s="2">
        <v>3</v>
      </c>
      <c r="BI928" s="2">
        <v>2</v>
      </c>
      <c r="BJ928" s="2" t="s">
        <v>806</v>
      </c>
      <c r="BK928" s="2"/>
      <c r="BL928" s="2"/>
      <c r="BM928" s="2">
        <v>333</v>
      </c>
      <c r="BN928" s="2">
        <v>0</v>
      </c>
      <c r="BO928" s="2" t="s">
        <v>3</v>
      </c>
      <c r="BP928" s="2">
        <v>0</v>
      </c>
      <c r="BQ928" s="2">
        <v>40</v>
      </c>
      <c r="BR928" s="2">
        <v>0</v>
      </c>
      <c r="BS928" s="2">
        <v>1</v>
      </c>
      <c r="BT928" s="2">
        <v>1</v>
      </c>
      <c r="BU928" s="2">
        <v>1</v>
      </c>
      <c r="BV928" s="2">
        <v>1</v>
      </c>
      <c r="BW928" s="2">
        <v>1</v>
      </c>
      <c r="BX928" s="2">
        <v>1</v>
      </c>
      <c r="BY928" s="2" t="s">
        <v>3</v>
      </c>
      <c r="BZ928" s="2">
        <v>114</v>
      </c>
      <c r="CA928" s="2">
        <v>67</v>
      </c>
      <c r="CB928" s="2" t="s">
        <v>3</v>
      </c>
      <c r="CC928" s="2"/>
      <c r="CD928" s="2"/>
      <c r="CE928" s="2">
        <v>30</v>
      </c>
      <c r="CF928" s="2">
        <v>0</v>
      </c>
      <c r="CG928" s="2">
        <v>0</v>
      </c>
      <c r="CH928" s="2"/>
      <c r="CI928" s="2"/>
      <c r="CJ928" s="2"/>
      <c r="CK928" s="2"/>
      <c r="CL928" s="2"/>
      <c r="CM928" s="2">
        <v>0</v>
      </c>
      <c r="CN928" s="2" t="s">
        <v>3</v>
      </c>
      <c r="CO928" s="2">
        <v>0</v>
      </c>
      <c r="CP928" s="2">
        <f t="shared" si="777"/>
        <v>62.84</v>
      </c>
      <c r="CQ928" s="2">
        <f t="shared" si="778"/>
        <v>31.42</v>
      </c>
      <c r="CR928" s="2">
        <f t="shared" si="800"/>
        <v>0</v>
      </c>
      <c r="CS928" s="2">
        <f t="shared" si="779"/>
        <v>0</v>
      </c>
      <c r="CT928" s="2">
        <f t="shared" si="780"/>
        <v>0</v>
      </c>
      <c r="CU928" s="2">
        <f t="shared" si="781"/>
        <v>0</v>
      </c>
      <c r="CV928" s="2">
        <f t="shared" si="782"/>
        <v>0</v>
      </c>
      <c r="CW928" s="2">
        <f t="shared" si="783"/>
        <v>0</v>
      </c>
      <c r="CX928" s="2">
        <f t="shared" si="784"/>
        <v>0</v>
      </c>
      <c r="CY928" s="2">
        <f>((S928*BZ928)/100)</f>
        <v>0</v>
      </c>
      <c r="CZ928" s="2">
        <f>((S928*CA928)/100)</f>
        <v>0</v>
      </c>
      <c r="DA928" s="2"/>
      <c r="DB928" s="2"/>
      <c r="DC928" s="2" t="s">
        <v>3</v>
      </c>
      <c r="DD928" s="2" t="s">
        <v>3</v>
      </c>
      <c r="DE928" s="2" t="s">
        <v>3</v>
      </c>
      <c r="DF928" s="2" t="s">
        <v>3</v>
      </c>
      <c r="DG928" s="2" t="s">
        <v>3</v>
      </c>
      <c r="DH928" s="2" t="s">
        <v>3</v>
      </c>
      <c r="DI928" s="2" t="s">
        <v>3</v>
      </c>
      <c r="DJ928" s="2" t="s">
        <v>3</v>
      </c>
      <c r="DK928" s="2" t="s">
        <v>3</v>
      </c>
      <c r="DL928" s="2" t="s">
        <v>3</v>
      </c>
      <c r="DM928" s="2" t="s">
        <v>3</v>
      </c>
      <c r="DN928" s="2">
        <v>0</v>
      </c>
      <c r="DO928" s="2">
        <v>0</v>
      </c>
      <c r="DP928" s="2">
        <v>1</v>
      </c>
      <c r="DQ928" s="2">
        <v>1</v>
      </c>
      <c r="DR928" s="2"/>
      <c r="DS928" s="2"/>
      <c r="DT928" s="2"/>
      <c r="DU928" s="2">
        <v>1010</v>
      </c>
      <c r="DV928" s="2" t="s">
        <v>250</v>
      </c>
      <c r="DW928" s="2" t="s">
        <v>250</v>
      </c>
      <c r="DX928" s="2">
        <v>1</v>
      </c>
      <c r="DY928" s="2"/>
      <c r="DZ928" s="2" t="s">
        <v>3</v>
      </c>
      <c r="EA928" s="2" t="s">
        <v>3</v>
      </c>
      <c r="EB928" s="2" t="s">
        <v>3</v>
      </c>
      <c r="EC928" s="2" t="s">
        <v>3</v>
      </c>
      <c r="ED928" s="2"/>
      <c r="EE928" s="2">
        <v>126051794</v>
      </c>
      <c r="EF928" s="2">
        <v>40</v>
      </c>
      <c r="EG928" s="2" t="s">
        <v>621</v>
      </c>
      <c r="EH928" s="2">
        <v>0</v>
      </c>
      <c r="EI928" s="2" t="s">
        <v>3</v>
      </c>
      <c r="EJ928" s="2">
        <v>2</v>
      </c>
      <c r="EK928" s="2">
        <v>333</v>
      </c>
      <c r="EL928" s="2" t="s">
        <v>656</v>
      </c>
      <c r="EM928" s="2" t="s">
        <v>657</v>
      </c>
      <c r="EN928" s="2"/>
      <c r="EO928" s="2" t="s">
        <v>3</v>
      </c>
      <c r="EP928" s="2"/>
      <c r="EQ928" s="2">
        <v>0</v>
      </c>
      <c r="ER928" s="2">
        <v>31.42</v>
      </c>
      <c r="ES928" s="2">
        <v>31.42</v>
      </c>
      <c r="ET928" s="2">
        <v>0</v>
      </c>
      <c r="EU928" s="2">
        <v>0</v>
      </c>
      <c r="EV928" s="2">
        <v>0</v>
      </c>
      <c r="EW928" s="2">
        <v>0</v>
      </c>
      <c r="EX928" s="2">
        <v>0</v>
      </c>
      <c r="EY928" s="2"/>
      <c r="EZ928" s="2"/>
      <c r="FA928" s="2"/>
      <c r="FB928" s="2"/>
      <c r="FC928" s="2"/>
      <c r="FD928" s="2"/>
      <c r="FE928" s="2"/>
      <c r="FF928" s="2"/>
      <c r="FG928" s="2"/>
      <c r="FH928" s="2"/>
      <c r="FI928" s="2"/>
      <c r="FJ928" s="2"/>
      <c r="FK928" s="2"/>
      <c r="FL928" s="2"/>
      <c r="FM928" s="2"/>
      <c r="FN928" s="2"/>
      <c r="FO928" s="2"/>
      <c r="FP928" s="2"/>
      <c r="FQ928" s="2">
        <v>0</v>
      </c>
      <c r="FR928" s="2">
        <f t="shared" si="785"/>
        <v>0</v>
      </c>
      <c r="FS928" s="2">
        <v>0</v>
      </c>
      <c r="FT928" s="2"/>
      <c r="FU928" s="2"/>
      <c r="FV928" s="2"/>
      <c r="FW928" s="2"/>
      <c r="FX928" s="2">
        <v>114</v>
      </c>
      <c r="FY928" s="2">
        <v>67</v>
      </c>
      <c r="FZ928" s="2"/>
      <c r="GA928" s="2" t="s">
        <v>3</v>
      </c>
      <c r="GB928" s="2"/>
      <c r="GC928" s="2"/>
      <c r="GD928" s="2">
        <v>0</v>
      </c>
      <c r="GE928" s="2"/>
      <c r="GF928" s="2">
        <v>308295664</v>
      </c>
      <c r="GG928" s="2">
        <v>2</v>
      </c>
      <c r="GH928" s="2">
        <v>1</v>
      </c>
      <c r="GI928" s="2">
        <v>-2</v>
      </c>
      <c r="GJ928" s="2">
        <v>0</v>
      </c>
      <c r="GK928" s="2">
        <f>ROUND(R928*(R12)/100,2)</f>
        <v>0</v>
      </c>
      <c r="GL928" s="2">
        <f t="shared" si="786"/>
        <v>0</v>
      </c>
      <c r="GM928" s="2">
        <f t="shared" si="787"/>
        <v>62.84</v>
      </c>
      <c r="GN928" s="2">
        <f t="shared" si="788"/>
        <v>0</v>
      </c>
      <c r="GO928" s="2">
        <f t="shared" si="789"/>
        <v>62.84</v>
      </c>
      <c r="GP928" s="2">
        <f t="shared" si="790"/>
        <v>0</v>
      </c>
      <c r="GQ928" s="2"/>
      <c r="GR928" s="2">
        <v>0</v>
      </c>
      <c r="GS928" s="2">
        <v>0</v>
      </c>
      <c r="GT928" s="2">
        <v>0</v>
      </c>
      <c r="GU928" s="2" t="s">
        <v>3</v>
      </c>
      <c r="GV928" s="2">
        <f t="shared" si="791"/>
        <v>0</v>
      </c>
      <c r="GW928" s="2">
        <v>1</v>
      </c>
      <c r="GX928" s="2">
        <f t="shared" si="792"/>
        <v>0</v>
      </c>
      <c r="GY928" s="2"/>
      <c r="GZ928" s="2"/>
      <c r="HA928" s="2">
        <v>0</v>
      </c>
      <c r="HB928" s="2">
        <v>0</v>
      </c>
      <c r="HC928" s="2">
        <f t="shared" si="793"/>
        <v>0</v>
      </c>
      <c r="HD928" s="2"/>
      <c r="HE928" s="2" t="s">
        <v>3</v>
      </c>
      <c r="HF928" s="2" t="s">
        <v>3</v>
      </c>
      <c r="HG928" s="2"/>
      <c r="HH928" s="2"/>
      <c r="HI928" s="2"/>
      <c r="HJ928" s="2"/>
      <c r="HK928" s="2"/>
      <c r="HL928" s="2"/>
      <c r="HM928" s="2" t="s">
        <v>3</v>
      </c>
      <c r="HN928" s="2" t="s">
        <v>3</v>
      </c>
      <c r="HO928" s="2" t="s">
        <v>3</v>
      </c>
      <c r="HP928" s="2" t="s">
        <v>3</v>
      </c>
      <c r="HQ928" s="2" t="s">
        <v>3</v>
      </c>
      <c r="HR928" s="2"/>
      <c r="HS928" s="2"/>
      <c r="HT928" s="2"/>
      <c r="HU928" s="2"/>
      <c r="HV928" s="2"/>
      <c r="HW928" s="2"/>
      <c r="HX928" s="2"/>
      <c r="HY928" s="2"/>
      <c r="HZ928" s="2"/>
      <c r="IA928" s="2"/>
      <c r="IB928" s="2"/>
      <c r="IC928" s="2"/>
      <c r="ID928" s="2"/>
      <c r="IE928" s="2"/>
      <c r="IF928" s="2"/>
      <c r="IG928" s="2"/>
      <c r="IH928" s="2"/>
      <c r="II928" s="2"/>
      <c r="IJ928" s="2"/>
      <c r="IK928" s="2">
        <v>0</v>
      </c>
      <c r="IL928" s="2"/>
      <c r="IM928" s="2"/>
      <c r="IN928" s="2"/>
      <c r="IO928" s="2"/>
      <c r="IP928" s="2"/>
      <c r="IQ928" s="2"/>
      <c r="IR928" s="2"/>
      <c r="IS928" s="2"/>
      <c r="IT928" s="2"/>
      <c r="IU928" s="2"/>
    </row>
    <row r="929" spans="1:245" x14ac:dyDescent="0.2">
      <c r="A929">
        <v>18</v>
      </c>
      <c r="B929">
        <v>1</v>
      </c>
      <c r="C929">
        <v>792</v>
      </c>
      <c r="E929" t="s">
        <v>235</v>
      </c>
      <c r="F929" t="s">
        <v>804</v>
      </c>
      <c r="G929" t="s">
        <v>805</v>
      </c>
      <c r="H929" t="s">
        <v>250</v>
      </c>
      <c r="I929">
        <f>I927*J929</f>
        <v>2</v>
      </c>
      <c r="J929">
        <v>100</v>
      </c>
      <c r="K929">
        <v>100</v>
      </c>
      <c r="O929">
        <f t="shared" si="763"/>
        <v>350.65</v>
      </c>
      <c r="P929">
        <f t="shared" si="764"/>
        <v>350.65</v>
      </c>
      <c r="Q929">
        <f t="shared" si="794"/>
        <v>0</v>
      </c>
      <c r="R929">
        <f t="shared" si="765"/>
        <v>0</v>
      </c>
      <c r="S929">
        <f t="shared" si="766"/>
        <v>0</v>
      </c>
      <c r="T929">
        <f t="shared" si="767"/>
        <v>0</v>
      </c>
      <c r="U929">
        <f t="shared" si="768"/>
        <v>0</v>
      </c>
      <c r="V929">
        <f t="shared" si="769"/>
        <v>0</v>
      </c>
      <c r="W929">
        <f t="shared" si="770"/>
        <v>0</v>
      </c>
      <c r="X929">
        <f t="shared" si="771"/>
        <v>0</v>
      </c>
      <c r="Y929">
        <f t="shared" si="772"/>
        <v>0</v>
      </c>
      <c r="AA929">
        <v>129761633</v>
      </c>
      <c r="AB929">
        <f t="shared" si="773"/>
        <v>31.42</v>
      </c>
      <c r="AC929">
        <f t="shared" si="774"/>
        <v>31.42</v>
      </c>
      <c r="AD929">
        <f t="shared" si="795"/>
        <v>0</v>
      </c>
      <c r="AE929">
        <f t="shared" si="796"/>
        <v>0</v>
      </c>
      <c r="AF929">
        <f t="shared" si="797"/>
        <v>0</v>
      </c>
      <c r="AG929">
        <f t="shared" si="775"/>
        <v>0</v>
      </c>
      <c r="AH929">
        <f t="shared" si="798"/>
        <v>0</v>
      </c>
      <c r="AI929">
        <f t="shared" si="799"/>
        <v>0</v>
      </c>
      <c r="AJ929">
        <f t="shared" si="776"/>
        <v>0</v>
      </c>
      <c r="AK929">
        <v>31.42</v>
      </c>
      <c r="AL929">
        <v>31.42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1</v>
      </c>
      <c r="AW929">
        <v>1</v>
      </c>
      <c r="AZ929">
        <v>1</v>
      </c>
      <c r="BA929">
        <v>1</v>
      </c>
      <c r="BB929">
        <v>1</v>
      </c>
      <c r="BC929">
        <v>5.58</v>
      </c>
      <c r="BD929" t="s">
        <v>3</v>
      </c>
      <c r="BE929" t="s">
        <v>3</v>
      </c>
      <c r="BF929" t="s">
        <v>3</v>
      </c>
      <c r="BG929" t="s">
        <v>3</v>
      </c>
      <c r="BH929">
        <v>3</v>
      </c>
      <c r="BI929">
        <v>2</v>
      </c>
      <c r="BJ929" t="s">
        <v>806</v>
      </c>
      <c r="BM929">
        <v>333</v>
      </c>
      <c r="BN929">
        <v>0</v>
      </c>
      <c r="BO929" t="s">
        <v>804</v>
      </c>
      <c r="BP929">
        <v>1</v>
      </c>
      <c r="BQ929">
        <v>40</v>
      </c>
      <c r="BR929">
        <v>0</v>
      </c>
      <c r="BS929">
        <v>1</v>
      </c>
      <c r="BT929">
        <v>1</v>
      </c>
      <c r="BU929">
        <v>1</v>
      </c>
      <c r="BV929">
        <v>1</v>
      </c>
      <c r="BW929">
        <v>1</v>
      </c>
      <c r="BX929">
        <v>1</v>
      </c>
      <c r="BY929" t="s">
        <v>3</v>
      </c>
      <c r="BZ929">
        <v>0</v>
      </c>
      <c r="CA929">
        <v>0</v>
      </c>
      <c r="CB929" t="s">
        <v>3</v>
      </c>
      <c r="CE929">
        <v>30</v>
      </c>
      <c r="CF929">
        <v>0</v>
      </c>
      <c r="CG929">
        <v>0</v>
      </c>
      <c r="CM929">
        <v>0</v>
      </c>
      <c r="CN929" t="s">
        <v>3</v>
      </c>
      <c r="CO929">
        <v>0</v>
      </c>
      <c r="CP929">
        <f t="shared" si="777"/>
        <v>350.65</v>
      </c>
      <c r="CQ929">
        <f t="shared" si="778"/>
        <v>175.32</v>
      </c>
      <c r="CR929">
        <f t="shared" si="800"/>
        <v>0</v>
      </c>
      <c r="CS929">
        <f t="shared" si="779"/>
        <v>0</v>
      </c>
      <c r="CT929">
        <f t="shared" si="780"/>
        <v>0</v>
      </c>
      <c r="CU929">
        <f t="shared" si="781"/>
        <v>0</v>
      </c>
      <c r="CV929">
        <f t="shared" si="782"/>
        <v>0</v>
      </c>
      <c r="CW929">
        <f t="shared" si="783"/>
        <v>0</v>
      </c>
      <c r="CX929">
        <f t="shared" si="784"/>
        <v>0</v>
      </c>
      <c r="CY929">
        <f>S929*(BZ929/100)</f>
        <v>0</v>
      </c>
      <c r="CZ929">
        <f>S929*(CA929/100)</f>
        <v>0</v>
      </c>
      <c r="DC929" t="s">
        <v>3</v>
      </c>
      <c r="DD929" t="s">
        <v>3</v>
      </c>
      <c r="DE929" t="s">
        <v>3</v>
      </c>
      <c r="DF929" t="s">
        <v>3</v>
      </c>
      <c r="DG929" t="s">
        <v>3</v>
      </c>
      <c r="DH929" t="s">
        <v>3</v>
      </c>
      <c r="DI929" t="s">
        <v>3</v>
      </c>
      <c r="DJ929" t="s">
        <v>3</v>
      </c>
      <c r="DK929" t="s">
        <v>3</v>
      </c>
      <c r="DL929" t="s">
        <v>3</v>
      </c>
      <c r="DM929" t="s">
        <v>3</v>
      </c>
      <c r="DN929">
        <v>114</v>
      </c>
      <c r="DO929">
        <v>67</v>
      </c>
      <c r="DP929">
        <v>1</v>
      </c>
      <c r="DQ929">
        <v>1</v>
      </c>
      <c r="DU929">
        <v>1010</v>
      </c>
      <c r="DV929" t="s">
        <v>250</v>
      </c>
      <c r="DW929" t="s">
        <v>250</v>
      </c>
      <c r="DX929">
        <v>1</v>
      </c>
      <c r="DZ929" t="s">
        <v>3</v>
      </c>
      <c r="EA929" t="s">
        <v>3</v>
      </c>
      <c r="EB929" t="s">
        <v>3</v>
      </c>
      <c r="EC929" t="s">
        <v>3</v>
      </c>
      <c r="EE929">
        <v>126051794</v>
      </c>
      <c r="EF929">
        <v>40</v>
      </c>
      <c r="EG929" t="s">
        <v>621</v>
      </c>
      <c r="EH929">
        <v>0</v>
      </c>
      <c r="EI929" t="s">
        <v>3</v>
      </c>
      <c r="EJ929">
        <v>2</v>
      </c>
      <c r="EK929">
        <v>333</v>
      </c>
      <c r="EL929" t="s">
        <v>656</v>
      </c>
      <c r="EM929" t="s">
        <v>657</v>
      </c>
      <c r="EO929" t="s">
        <v>3</v>
      </c>
      <c r="EQ929">
        <v>0</v>
      </c>
      <c r="ER929">
        <v>31.42</v>
      </c>
      <c r="ES929">
        <v>31.42</v>
      </c>
      <c r="ET929">
        <v>0</v>
      </c>
      <c r="EU929">
        <v>0</v>
      </c>
      <c r="EV929">
        <v>0</v>
      </c>
      <c r="EW929">
        <v>0</v>
      </c>
      <c r="EX929">
        <v>0</v>
      </c>
      <c r="FQ929">
        <v>0</v>
      </c>
      <c r="FR929">
        <f t="shared" si="785"/>
        <v>0</v>
      </c>
      <c r="FS929">
        <v>0</v>
      </c>
      <c r="FX929">
        <v>114</v>
      </c>
      <c r="FY929">
        <v>67</v>
      </c>
      <c r="GA929" t="s">
        <v>3</v>
      </c>
      <c r="GD929">
        <v>0</v>
      </c>
      <c r="GF929">
        <v>308295664</v>
      </c>
      <c r="GG929">
        <v>2</v>
      </c>
      <c r="GH929">
        <v>1</v>
      </c>
      <c r="GI929">
        <v>2</v>
      </c>
      <c r="GJ929">
        <v>0</v>
      </c>
      <c r="GK929">
        <f>ROUND(R929*(S12)/100,2)</f>
        <v>0</v>
      </c>
      <c r="GL929">
        <f t="shared" si="786"/>
        <v>0</v>
      </c>
      <c r="GM929">
        <f t="shared" si="787"/>
        <v>350.65</v>
      </c>
      <c r="GN929">
        <f t="shared" si="788"/>
        <v>0</v>
      </c>
      <c r="GO929">
        <f t="shared" si="789"/>
        <v>350.65</v>
      </c>
      <c r="GP929">
        <f t="shared" si="790"/>
        <v>0</v>
      </c>
      <c r="GR929">
        <v>0</v>
      </c>
      <c r="GS929">
        <v>3</v>
      </c>
      <c r="GT929">
        <v>0</v>
      </c>
      <c r="GU929" t="s">
        <v>3</v>
      </c>
      <c r="GV929">
        <f t="shared" si="791"/>
        <v>0</v>
      </c>
      <c r="GW929">
        <v>1</v>
      </c>
      <c r="GX929">
        <f t="shared" si="792"/>
        <v>0</v>
      </c>
      <c r="HA929">
        <v>0</v>
      </c>
      <c r="HB929">
        <v>0</v>
      </c>
      <c r="HC929">
        <f t="shared" si="793"/>
        <v>0</v>
      </c>
      <c r="HE929" t="s">
        <v>3</v>
      </c>
      <c r="HF929" t="s">
        <v>3</v>
      </c>
      <c r="HM929" t="s">
        <v>3</v>
      </c>
      <c r="HN929" t="s">
        <v>3</v>
      </c>
      <c r="HO929" t="s">
        <v>3</v>
      </c>
      <c r="HP929" t="s">
        <v>3</v>
      </c>
      <c r="HQ929" t="s">
        <v>3</v>
      </c>
      <c r="IK929">
        <v>0</v>
      </c>
    </row>
    <row r="931" spans="1:245" x14ac:dyDescent="0.2">
      <c r="A931" s="3">
        <v>51</v>
      </c>
      <c r="B931" s="3">
        <f>B862</f>
        <v>1</v>
      </c>
      <c r="C931" s="3">
        <f>A862</f>
        <v>4</v>
      </c>
      <c r="D931" s="3">
        <f>ROW(A862)</f>
        <v>862</v>
      </c>
      <c r="E931" s="3"/>
      <c r="F931" s="3" t="str">
        <f>IF(F862&lt;&gt;"",F862,"")</f>
        <v>Новый раздел</v>
      </c>
      <c r="G931" s="3" t="str">
        <f>IF(G862&lt;&gt;"",G862,"")</f>
        <v>Монтажные работы</v>
      </c>
      <c r="H931" s="3">
        <v>0</v>
      </c>
      <c r="I931" s="3"/>
      <c r="J931" s="3"/>
      <c r="K931" s="3"/>
      <c r="L931" s="3"/>
      <c r="M931" s="3"/>
      <c r="N931" s="3"/>
      <c r="O931" s="3">
        <f t="shared" ref="O931:T931" si="801">ROUND(AB931,2)</f>
        <v>9373.0400000000009</v>
      </c>
      <c r="P931" s="3">
        <f t="shared" si="801"/>
        <v>8608.2099999999991</v>
      </c>
      <c r="Q931" s="3">
        <f t="shared" si="801"/>
        <v>81.59</v>
      </c>
      <c r="R931" s="3">
        <f t="shared" si="801"/>
        <v>9.02</v>
      </c>
      <c r="S931" s="3">
        <f t="shared" si="801"/>
        <v>683.24</v>
      </c>
      <c r="T931" s="3">
        <f t="shared" si="801"/>
        <v>0</v>
      </c>
      <c r="U931" s="3">
        <f>AH931</f>
        <v>55.592699999999994</v>
      </c>
      <c r="V931" s="3">
        <f>AI931</f>
        <v>0</v>
      </c>
      <c r="W931" s="3">
        <f>ROUND(AJ931,2)</f>
        <v>0</v>
      </c>
      <c r="X931" s="3">
        <f>ROUND(AK931,2)</f>
        <v>778.88</v>
      </c>
      <c r="Y931" s="3">
        <f>ROUND(AL931,2)</f>
        <v>457.78</v>
      </c>
      <c r="Z931" s="3"/>
      <c r="AA931" s="3"/>
      <c r="AB931" s="3">
        <f>ROUND(SUMIF(AA866:AA929,"=129761636",O866:O929),2)</f>
        <v>9373.0400000000009</v>
      </c>
      <c r="AC931" s="3">
        <f>ROUND(SUMIF(AA866:AA929,"=129761636",P866:P929),2)</f>
        <v>8608.2099999999991</v>
      </c>
      <c r="AD931" s="3">
        <f>ROUND(SUMIF(AA866:AA929,"=129761636",Q866:Q929),2)</f>
        <v>81.59</v>
      </c>
      <c r="AE931" s="3">
        <f>ROUND(SUMIF(AA866:AA929,"=129761636",R866:R929),2)</f>
        <v>9.02</v>
      </c>
      <c r="AF931" s="3">
        <f>ROUND(SUMIF(AA866:AA929,"=129761636",S866:S929),2)</f>
        <v>683.24</v>
      </c>
      <c r="AG931" s="3">
        <f>ROUND(SUMIF(AA866:AA929,"=129761636",T866:T929),2)</f>
        <v>0</v>
      </c>
      <c r="AH931" s="3">
        <f>SUMIF(AA866:AA929,"=129761636",U866:U929)</f>
        <v>55.592699999999994</v>
      </c>
      <c r="AI931" s="3">
        <f>SUMIF(AA866:AA929,"=129761636",V866:V929)</f>
        <v>0</v>
      </c>
      <c r="AJ931" s="3">
        <f>ROUND(SUMIF(AA866:AA929,"=129761636",W866:W929),2)</f>
        <v>0</v>
      </c>
      <c r="AK931" s="3">
        <f>ROUND(SUMIF(AA866:AA929,"=129761636",X866:X929),2)</f>
        <v>778.88</v>
      </c>
      <c r="AL931" s="3">
        <f>ROUND(SUMIF(AA866:AA929,"=129761636",Y866:Y929),2)</f>
        <v>457.78</v>
      </c>
      <c r="AM931" s="3"/>
      <c r="AN931" s="3"/>
      <c r="AO931" s="3">
        <f t="shared" ref="AO931:BD931" si="802">ROUND(BX931,2)</f>
        <v>0</v>
      </c>
      <c r="AP931" s="3">
        <f t="shared" si="802"/>
        <v>0</v>
      </c>
      <c r="AQ931" s="3">
        <f t="shared" si="802"/>
        <v>0</v>
      </c>
      <c r="AR931" s="3">
        <f t="shared" si="802"/>
        <v>10625.5</v>
      </c>
      <c r="AS931" s="3">
        <f t="shared" si="802"/>
        <v>0</v>
      </c>
      <c r="AT931" s="3">
        <f t="shared" si="802"/>
        <v>10625.5</v>
      </c>
      <c r="AU931" s="3">
        <f t="shared" si="802"/>
        <v>0</v>
      </c>
      <c r="AV931" s="3">
        <f t="shared" si="802"/>
        <v>8608.2099999999991</v>
      </c>
      <c r="AW931" s="3">
        <f t="shared" si="802"/>
        <v>8608.2099999999991</v>
      </c>
      <c r="AX931" s="3">
        <f t="shared" si="802"/>
        <v>0</v>
      </c>
      <c r="AY931" s="3">
        <f t="shared" si="802"/>
        <v>8608.2099999999991</v>
      </c>
      <c r="AZ931" s="3">
        <f t="shared" si="802"/>
        <v>0</v>
      </c>
      <c r="BA931" s="3">
        <f t="shared" si="802"/>
        <v>0</v>
      </c>
      <c r="BB931" s="3">
        <f t="shared" si="802"/>
        <v>0</v>
      </c>
      <c r="BC931" s="3">
        <f t="shared" si="802"/>
        <v>0</v>
      </c>
      <c r="BD931" s="3">
        <f t="shared" si="802"/>
        <v>0</v>
      </c>
      <c r="BE931" s="3"/>
      <c r="BF931" s="3"/>
      <c r="BG931" s="3"/>
      <c r="BH931" s="3"/>
      <c r="BI931" s="3"/>
      <c r="BJ931" s="3"/>
      <c r="BK931" s="3"/>
      <c r="BL931" s="3"/>
      <c r="BM931" s="3"/>
      <c r="BN931" s="3"/>
      <c r="BO931" s="3"/>
      <c r="BP931" s="3"/>
      <c r="BQ931" s="3"/>
      <c r="BR931" s="3"/>
      <c r="BS931" s="3"/>
      <c r="BT931" s="3"/>
      <c r="BU931" s="3"/>
      <c r="BV931" s="3"/>
      <c r="BW931" s="3"/>
      <c r="BX931" s="3">
        <f>ROUND(SUMIF(AA866:AA929,"=129761636",FQ866:FQ929),2)</f>
        <v>0</v>
      </c>
      <c r="BY931" s="3">
        <f>ROUND(SUMIF(AA866:AA929,"=129761636",FR866:FR929),2)</f>
        <v>0</v>
      </c>
      <c r="BZ931" s="3">
        <f>ROUND(SUMIF(AA866:AA929,"=129761636",GL866:GL929),2)</f>
        <v>0</v>
      </c>
      <c r="CA931" s="3">
        <f>ROUND(SUMIF(AA866:AA929,"=129761636",GM866:GM929),2)</f>
        <v>10625.5</v>
      </c>
      <c r="CB931" s="3">
        <f>ROUND(SUMIF(AA866:AA929,"=129761636",GN866:GN929),2)</f>
        <v>0</v>
      </c>
      <c r="CC931" s="3">
        <f>ROUND(SUMIF(AA866:AA929,"=129761636",GO866:GO929),2)</f>
        <v>10625.5</v>
      </c>
      <c r="CD931" s="3">
        <f>ROUND(SUMIF(AA866:AA929,"=129761636",GP866:GP929),2)</f>
        <v>0</v>
      </c>
      <c r="CE931" s="3">
        <f>AC931-BX931</f>
        <v>8608.2099999999991</v>
      </c>
      <c r="CF931" s="3">
        <f>AC931-BY931</f>
        <v>8608.2099999999991</v>
      </c>
      <c r="CG931" s="3">
        <f>BX931-BZ931</f>
        <v>0</v>
      </c>
      <c r="CH931" s="3">
        <f>AC931-BX931-BY931+BZ931</f>
        <v>8608.2099999999991</v>
      </c>
      <c r="CI931" s="3">
        <f>BY931-BZ931</f>
        <v>0</v>
      </c>
      <c r="CJ931" s="3">
        <f>ROUND(SUMIF(AA866:AA929,"=129761636",GX866:GX929),2)</f>
        <v>0</v>
      </c>
      <c r="CK931" s="3">
        <f>ROUND(SUMIF(AA866:AA929,"=129761636",GY866:GY929),2)</f>
        <v>0</v>
      </c>
      <c r="CL931" s="3">
        <f>ROUND(SUMIF(AA866:AA929,"=129761636",GZ866:GZ929),2)</f>
        <v>0</v>
      </c>
      <c r="CM931" s="3">
        <f>ROUND(SUMIF(AA866:AA929,"=129761636",HD866:HD929),2)</f>
        <v>0</v>
      </c>
      <c r="CN931" s="3"/>
      <c r="CO931" s="3"/>
      <c r="CP931" s="3"/>
      <c r="CQ931" s="3"/>
      <c r="CR931" s="3"/>
      <c r="CS931" s="3"/>
      <c r="CT931" s="3"/>
      <c r="CU931" s="3"/>
      <c r="CV931" s="3"/>
      <c r="CW931" s="3"/>
      <c r="CX931" s="3"/>
      <c r="CY931" s="3"/>
      <c r="CZ931" s="3"/>
      <c r="DA931" s="3"/>
      <c r="DB931" s="3"/>
      <c r="DC931" s="3"/>
      <c r="DD931" s="3"/>
      <c r="DE931" s="3"/>
      <c r="DF931" s="3"/>
      <c r="DG931" s="4">
        <f t="shared" ref="DG931:DL931" si="803">ROUND(DT931,2)</f>
        <v>90336.66</v>
      </c>
      <c r="DH931" s="4">
        <f t="shared" si="803"/>
        <v>69620.45</v>
      </c>
      <c r="DI931" s="4">
        <f t="shared" si="803"/>
        <v>881.75</v>
      </c>
      <c r="DJ931" s="4">
        <f t="shared" si="803"/>
        <v>261.85000000000002</v>
      </c>
      <c r="DK931" s="4">
        <f t="shared" si="803"/>
        <v>19834.46</v>
      </c>
      <c r="DL931" s="4">
        <f t="shared" si="803"/>
        <v>0</v>
      </c>
      <c r="DM931" s="4">
        <f>DZ931</f>
        <v>55.592699999999994</v>
      </c>
      <c r="DN931" s="4">
        <f>EA931</f>
        <v>0</v>
      </c>
      <c r="DO931" s="4">
        <f>ROUND(EB931,2)</f>
        <v>0</v>
      </c>
      <c r="DP931" s="4">
        <f>ROUND(EC931,2)</f>
        <v>15669.23</v>
      </c>
      <c r="DQ931" s="4">
        <f>ROUND(ED931,2)</f>
        <v>8132.14</v>
      </c>
      <c r="DR931" s="4"/>
      <c r="DS931" s="4"/>
      <c r="DT931" s="4">
        <f>ROUND(SUMIF(AA866:AA929,"=129761633",O866:O929),2)</f>
        <v>90336.66</v>
      </c>
      <c r="DU931" s="4">
        <f>ROUND(SUMIF(AA866:AA929,"=129761633",P866:P929),2)</f>
        <v>69620.45</v>
      </c>
      <c r="DV931" s="4">
        <f>ROUND(SUMIF(AA866:AA929,"=129761633",Q866:Q929),2)</f>
        <v>881.75</v>
      </c>
      <c r="DW931" s="4">
        <f>ROUND(SUMIF(AA866:AA929,"=129761633",R866:R929),2)</f>
        <v>261.85000000000002</v>
      </c>
      <c r="DX931" s="4">
        <f>ROUND(SUMIF(AA866:AA929,"=129761633",S866:S929),2)</f>
        <v>19834.46</v>
      </c>
      <c r="DY931" s="4">
        <f>ROUND(SUMIF(AA866:AA929,"=129761633",T866:T929),2)</f>
        <v>0</v>
      </c>
      <c r="DZ931" s="4">
        <f>SUMIF(AA866:AA929,"=129761633",U866:U929)</f>
        <v>55.592699999999994</v>
      </c>
      <c r="EA931" s="4">
        <f>SUMIF(AA866:AA929,"=129761633",V866:V929)</f>
        <v>0</v>
      </c>
      <c r="EB931" s="4">
        <f>ROUND(SUMIF(AA866:AA929,"=129761633",W866:W929),2)</f>
        <v>0</v>
      </c>
      <c r="EC931" s="4">
        <f>ROUND(SUMIF(AA866:AA929,"=129761633",X866:X929),2)</f>
        <v>15669.23</v>
      </c>
      <c r="ED931" s="4">
        <f>ROUND(SUMIF(AA866:AA929,"=129761633",Y866:Y929),2)</f>
        <v>8132.14</v>
      </c>
      <c r="EE931" s="4"/>
      <c r="EF931" s="4"/>
      <c r="EG931" s="4">
        <f t="shared" ref="EG931:EV931" si="804">ROUND(FP931,2)</f>
        <v>0</v>
      </c>
      <c r="EH931" s="4">
        <f t="shared" si="804"/>
        <v>0</v>
      </c>
      <c r="EI931" s="4">
        <f t="shared" si="804"/>
        <v>0</v>
      </c>
      <c r="EJ931" s="4">
        <f t="shared" si="804"/>
        <v>114556.99</v>
      </c>
      <c r="EK931" s="4">
        <f t="shared" si="804"/>
        <v>0</v>
      </c>
      <c r="EL931" s="4">
        <f t="shared" si="804"/>
        <v>114556.99</v>
      </c>
      <c r="EM931" s="4">
        <f t="shared" si="804"/>
        <v>0</v>
      </c>
      <c r="EN931" s="4">
        <f t="shared" si="804"/>
        <v>69620.45</v>
      </c>
      <c r="EO931" s="4">
        <f t="shared" si="804"/>
        <v>69620.45</v>
      </c>
      <c r="EP931" s="4">
        <f t="shared" si="804"/>
        <v>0</v>
      </c>
      <c r="EQ931" s="4">
        <f t="shared" si="804"/>
        <v>69620.45</v>
      </c>
      <c r="ER931" s="4">
        <f t="shared" si="804"/>
        <v>0</v>
      </c>
      <c r="ES931" s="4">
        <f t="shared" si="804"/>
        <v>0</v>
      </c>
      <c r="ET931" s="4">
        <f t="shared" si="804"/>
        <v>0</v>
      </c>
      <c r="EU931" s="4">
        <f t="shared" si="804"/>
        <v>0</v>
      </c>
      <c r="EV931" s="4">
        <f t="shared" si="804"/>
        <v>0</v>
      </c>
      <c r="EW931" s="4"/>
      <c r="EX931" s="4"/>
      <c r="EY931" s="4"/>
      <c r="EZ931" s="4"/>
      <c r="FA931" s="4"/>
      <c r="FB931" s="4"/>
      <c r="FC931" s="4"/>
      <c r="FD931" s="4"/>
      <c r="FE931" s="4"/>
      <c r="FF931" s="4"/>
      <c r="FG931" s="4"/>
      <c r="FH931" s="4"/>
      <c r="FI931" s="4"/>
      <c r="FJ931" s="4"/>
      <c r="FK931" s="4"/>
      <c r="FL931" s="4"/>
      <c r="FM931" s="4"/>
      <c r="FN931" s="4"/>
      <c r="FO931" s="4"/>
      <c r="FP931" s="4">
        <f>ROUND(SUMIF(AA866:AA929,"=129761633",FQ866:FQ929),2)</f>
        <v>0</v>
      </c>
      <c r="FQ931" s="4">
        <f>ROUND(SUMIF(AA866:AA929,"=129761633",FR866:FR929),2)</f>
        <v>0</v>
      </c>
      <c r="FR931" s="4">
        <f>ROUND(SUMIF(AA866:AA929,"=129761633",GL866:GL929),2)</f>
        <v>0</v>
      </c>
      <c r="FS931" s="4">
        <f>ROUND(SUMIF(AA866:AA929,"=129761633",GM866:GM929),2)</f>
        <v>114556.99</v>
      </c>
      <c r="FT931" s="4">
        <f>ROUND(SUMIF(AA866:AA929,"=129761633",GN866:GN929),2)</f>
        <v>0</v>
      </c>
      <c r="FU931" s="4">
        <f>ROUND(SUMIF(AA866:AA929,"=129761633",GO866:GO929),2)</f>
        <v>114556.99</v>
      </c>
      <c r="FV931" s="4">
        <f>ROUND(SUMIF(AA866:AA929,"=129761633",GP866:GP929),2)</f>
        <v>0</v>
      </c>
      <c r="FW931" s="4">
        <f>DU931-FP931</f>
        <v>69620.45</v>
      </c>
      <c r="FX931" s="4">
        <f>DU931-FQ931</f>
        <v>69620.45</v>
      </c>
      <c r="FY931" s="4">
        <f>FP931-FR931</f>
        <v>0</v>
      </c>
      <c r="FZ931" s="4">
        <f>DU931-FP931-FQ931+FR931</f>
        <v>69620.45</v>
      </c>
      <c r="GA931" s="4">
        <f>FQ931-FR931</f>
        <v>0</v>
      </c>
      <c r="GB931" s="4">
        <f>ROUND(SUMIF(AA866:AA929,"=129761633",GX866:GX929),2)</f>
        <v>0</v>
      </c>
      <c r="GC931" s="4">
        <f>ROUND(SUMIF(AA866:AA929,"=129761633",GY866:GY929),2)</f>
        <v>0</v>
      </c>
      <c r="GD931" s="4">
        <f>ROUND(SUMIF(AA866:AA929,"=129761633",GZ866:GZ929),2)</f>
        <v>0</v>
      </c>
      <c r="GE931" s="4">
        <f>ROUND(SUMIF(AA866:AA929,"=129761633",HD866:HD929),2)</f>
        <v>0</v>
      </c>
      <c r="GF931" s="4"/>
      <c r="GG931" s="4"/>
      <c r="GH931" s="4"/>
      <c r="GI931" s="4"/>
      <c r="GJ931" s="4"/>
      <c r="GK931" s="4"/>
      <c r="GL931" s="4"/>
      <c r="GM931" s="4"/>
      <c r="GN931" s="4"/>
      <c r="GO931" s="4"/>
      <c r="GP931" s="4"/>
      <c r="GQ931" s="4"/>
      <c r="GR931" s="4"/>
      <c r="GS931" s="4"/>
      <c r="GT931" s="4"/>
      <c r="GU931" s="4"/>
      <c r="GV931" s="4"/>
      <c r="GW931" s="4"/>
      <c r="GX931" s="4">
        <v>0</v>
      </c>
    </row>
    <row r="933" spans="1:245" x14ac:dyDescent="0.2">
      <c r="A933" s="5">
        <v>50</v>
      </c>
      <c r="B933" s="5">
        <v>0</v>
      </c>
      <c r="C933" s="5">
        <v>0</v>
      </c>
      <c r="D933" s="5">
        <v>1</v>
      </c>
      <c r="E933" s="5">
        <v>201</v>
      </c>
      <c r="F933" s="5">
        <f>ROUND(Source!O931,O933)</f>
        <v>9373.0400000000009</v>
      </c>
      <c r="G933" s="5" t="s">
        <v>26</v>
      </c>
      <c r="H933" s="5" t="s">
        <v>27</v>
      </c>
      <c r="I933" s="5"/>
      <c r="J933" s="5"/>
      <c r="K933" s="5">
        <v>201</v>
      </c>
      <c r="L933" s="5">
        <v>1</v>
      </c>
      <c r="M933" s="5">
        <v>3</v>
      </c>
      <c r="N933" s="5" t="s">
        <v>3</v>
      </c>
      <c r="O933" s="5">
        <v>2</v>
      </c>
      <c r="P933" s="5">
        <f>ROUND(Source!DG931,O933)</f>
        <v>90336.66</v>
      </c>
      <c r="Q933" s="5"/>
      <c r="R933" s="5"/>
      <c r="S933" s="5"/>
      <c r="T933" s="5"/>
      <c r="U933" s="5"/>
      <c r="V933" s="5"/>
      <c r="W933" s="5">
        <v>9373.0400000000009</v>
      </c>
      <c r="X933" s="5">
        <v>1</v>
      </c>
      <c r="Y933" s="5">
        <v>9373.0400000000009</v>
      </c>
      <c r="Z933" s="5">
        <v>90336.66</v>
      </c>
      <c r="AA933" s="5">
        <v>1</v>
      </c>
      <c r="AB933" s="5">
        <v>90336.66</v>
      </c>
    </row>
    <row r="934" spans="1:245" x14ac:dyDescent="0.2">
      <c r="A934" s="5">
        <v>50</v>
      </c>
      <c r="B934" s="5">
        <v>0</v>
      </c>
      <c r="C934" s="5">
        <v>0</v>
      </c>
      <c r="D934" s="5">
        <v>1</v>
      </c>
      <c r="E934" s="5">
        <v>202</v>
      </c>
      <c r="F934" s="5">
        <f>ROUND(Source!P931,O934)</f>
        <v>8608.2099999999991</v>
      </c>
      <c r="G934" s="5" t="s">
        <v>28</v>
      </c>
      <c r="H934" s="5" t="s">
        <v>29</v>
      </c>
      <c r="I934" s="5"/>
      <c r="J934" s="5"/>
      <c r="K934" s="5">
        <v>202</v>
      </c>
      <c r="L934" s="5">
        <v>2</v>
      </c>
      <c r="M934" s="5">
        <v>3</v>
      </c>
      <c r="N934" s="5" t="s">
        <v>3</v>
      </c>
      <c r="O934" s="5">
        <v>2</v>
      </c>
      <c r="P934" s="5">
        <f>ROUND(Source!DH931,O934)</f>
        <v>69620.45</v>
      </c>
      <c r="Q934" s="5"/>
      <c r="R934" s="5"/>
      <c r="S934" s="5"/>
      <c r="T934" s="5"/>
      <c r="U934" s="5"/>
      <c r="V934" s="5"/>
      <c r="W934" s="5">
        <v>8608.2099999999991</v>
      </c>
      <c r="X934" s="5">
        <v>1</v>
      </c>
      <c r="Y934" s="5">
        <v>8608.2099999999991</v>
      </c>
      <c r="Z934" s="5">
        <v>69620.45</v>
      </c>
      <c r="AA934" s="5">
        <v>1</v>
      </c>
      <c r="AB934" s="5">
        <v>69620.45</v>
      </c>
    </row>
    <row r="935" spans="1:245" x14ac:dyDescent="0.2">
      <c r="A935" s="5">
        <v>50</v>
      </c>
      <c r="B935" s="5">
        <v>0</v>
      </c>
      <c r="C935" s="5">
        <v>0</v>
      </c>
      <c r="D935" s="5">
        <v>1</v>
      </c>
      <c r="E935" s="5">
        <v>222</v>
      </c>
      <c r="F935" s="5">
        <f>ROUND(Source!AO931,O935)</f>
        <v>0</v>
      </c>
      <c r="G935" s="5" t="s">
        <v>30</v>
      </c>
      <c r="H935" s="5" t="s">
        <v>31</v>
      </c>
      <c r="I935" s="5"/>
      <c r="J935" s="5"/>
      <c r="K935" s="5">
        <v>222</v>
      </c>
      <c r="L935" s="5">
        <v>3</v>
      </c>
      <c r="M935" s="5">
        <v>3</v>
      </c>
      <c r="N935" s="5" t="s">
        <v>3</v>
      </c>
      <c r="O935" s="5">
        <v>2</v>
      </c>
      <c r="P935" s="5">
        <f>ROUND(Source!EG931,O935)</f>
        <v>0</v>
      </c>
      <c r="Q935" s="5"/>
      <c r="R935" s="5"/>
      <c r="S935" s="5"/>
      <c r="T935" s="5"/>
      <c r="U935" s="5"/>
      <c r="V935" s="5"/>
      <c r="W935" s="5">
        <v>0</v>
      </c>
      <c r="X935" s="5">
        <v>1</v>
      </c>
      <c r="Y935" s="5">
        <v>0</v>
      </c>
      <c r="Z935" s="5">
        <v>0</v>
      </c>
      <c r="AA935" s="5">
        <v>1</v>
      </c>
      <c r="AB935" s="5">
        <v>0</v>
      </c>
    </row>
    <row r="936" spans="1:245" x14ac:dyDescent="0.2">
      <c r="A936" s="5">
        <v>50</v>
      </c>
      <c r="B936" s="5">
        <v>0</v>
      </c>
      <c r="C936" s="5">
        <v>0</v>
      </c>
      <c r="D936" s="5">
        <v>1</v>
      </c>
      <c r="E936" s="5">
        <v>225</v>
      </c>
      <c r="F936" s="5">
        <f>ROUND(Source!AV931,O936)</f>
        <v>8608.2099999999991</v>
      </c>
      <c r="G936" s="5" t="s">
        <v>32</v>
      </c>
      <c r="H936" s="5" t="s">
        <v>33</v>
      </c>
      <c r="I936" s="5"/>
      <c r="J936" s="5"/>
      <c r="K936" s="5">
        <v>225</v>
      </c>
      <c r="L936" s="5">
        <v>4</v>
      </c>
      <c r="M936" s="5">
        <v>3</v>
      </c>
      <c r="N936" s="5" t="s">
        <v>3</v>
      </c>
      <c r="O936" s="5">
        <v>2</v>
      </c>
      <c r="P936" s="5">
        <f>ROUND(Source!EN931,O936)</f>
        <v>69620.45</v>
      </c>
      <c r="Q936" s="5"/>
      <c r="R936" s="5"/>
      <c r="S936" s="5"/>
      <c r="T936" s="5"/>
      <c r="U936" s="5"/>
      <c r="V936" s="5"/>
      <c r="W936" s="5">
        <v>8608.2099999999991</v>
      </c>
      <c r="X936" s="5">
        <v>1</v>
      </c>
      <c r="Y936" s="5">
        <v>8608.2099999999991</v>
      </c>
      <c r="Z936" s="5">
        <v>69620.45</v>
      </c>
      <c r="AA936" s="5">
        <v>1</v>
      </c>
      <c r="AB936" s="5">
        <v>69620.45</v>
      </c>
    </row>
    <row r="937" spans="1:245" x14ac:dyDescent="0.2">
      <c r="A937" s="5">
        <v>50</v>
      </c>
      <c r="B937" s="5">
        <v>0</v>
      </c>
      <c r="C937" s="5">
        <v>0</v>
      </c>
      <c r="D937" s="5">
        <v>1</v>
      </c>
      <c r="E937" s="5">
        <v>226</v>
      </c>
      <c r="F937" s="5">
        <f>ROUND(Source!AW931,O937)</f>
        <v>8608.2099999999991</v>
      </c>
      <c r="G937" s="5" t="s">
        <v>34</v>
      </c>
      <c r="H937" s="5" t="s">
        <v>35</v>
      </c>
      <c r="I937" s="5"/>
      <c r="J937" s="5"/>
      <c r="K937" s="5">
        <v>226</v>
      </c>
      <c r="L937" s="5">
        <v>5</v>
      </c>
      <c r="M937" s="5">
        <v>3</v>
      </c>
      <c r="N937" s="5" t="s">
        <v>3</v>
      </c>
      <c r="O937" s="5">
        <v>2</v>
      </c>
      <c r="P937" s="5">
        <f>ROUND(Source!EO931,O937)</f>
        <v>69620.45</v>
      </c>
      <c r="Q937" s="5"/>
      <c r="R937" s="5"/>
      <c r="S937" s="5"/>
      <c r="T937" s="5"/>
      <c r="U937" s="5"/>
      <c r="V937" s="5"/>
      <c r="W937" s="5">
        <v>8608.2099999999991</v>
      </c>
      <c r="X937" s="5">
        <v>1</v>
      </c>
      <c r="Y937" s="5">
        <v>8608.2099999999991</v>
      </c>
      <c r="Z937" s="5">
        <v>69620.45</v>
      </c>
      <c r="AA937" s="5">
        <v>1</v>
      </c>
      <c r="AB937" s="5">
        <v>69620.45</v>
      </c>
    </row>
    <row r="938" spans="1:245" x14ac:dyDescent="0.2">
      <c r="A938" s="5">
        <v>50</v>
      </c>
      <c r="B938" s="5">
        <v>0</v>
      </c>
      <c r="C938" s="5">
        <v>0</v>
      </c>
      <c r="D938" s="5">
        <v>1</v>
      </c>
      <c r="E938" s="5">
        <v>227</v>
      </c>
      <c r="F938" s="5">
        <f>ROUND(Source!AX931,O938)</f>
        <v>0</v>
      </c>
      <c r="G938" s="5" t="s">
        <v>36</v>
      </c>
      <c r="H938" s="5" t="s">
        <v>37</v>
      </c>
      <c r="I938" s="5"/>
      <c r="J938" s="5"/>
      <c r="K938" s="5">
        <v>227</v>
      </c>
      <c r="L938" s="5">
        <v>6</v>
      </c>
      <c r="M938" s="5">
        <v>3</v>
      </c>
      <c r="N938" s="5" t="s">
        <v>3</v>
      </c>
      <c r="O938" s="5">
        <v>2</v>
      </c>
      <c r="P938" s="5">
        <f>ROUND(Source!EP931,O938)</f>
        <v>0</v>
      </c>
      <c r="Q938" s="5"/>
      <c r="R938" s="5"/>
      <c r="S938" s="5"/>
      <c r="T938" s="5"/>
      <c r="U938" s="5"/>
      <c r="V938" s="5"/>
      <c r="W938" s="5">
        <v>0</v>
      </c>
      <c r="X938" s="5">
        <v>1</v>
      </c>
      <c r="Y938" s="5">
        <v>0</v>
      </c>
      <c r="Z938" s="5">
        <v>0</v>
      </c>
      <c r="AA938" s="5">
        <v>1</v>
      </c>
      <c r="AB938" s="5">
        <v>0</v>
      </c>
    </row>
    <row r="939" spans="1:245" x14ac:dyDescent="0.2">
      <c r="A939" s="5">
        <v>50</v>
      </c>
      <c r="B939" s="5">
        <v>0</v>
      </c>
      <c r="C939" s="5">
        <v>0</v>
      </c>
      <c r="D939" s="5">
        <v>1</v>
      </c>
      <c r="E939" s="5">
        <v>228</v>
      </c>
      <c r="F939" s="5">
        <f>ROUND(Source!AY931,O939)</f>
        <v>8608.2099999999991</v>
      </c>
      <c r="G939" s="5" t="s">
        <v>38</v>
      </c>
      <c r="H939" s="5" t="s">
        <v>39</v>
      </c>
      <c r="I939" s="5"/>
      <c r="J939" s="5"/>
      <c r="K939" s="5">
        <v>228</v>
      </c>
      <c r="L939" s="5">
        <v>7</v>
      </c>
      <c r="M939" s="5">
        <v>3</v>
      </c>
      <c r="N939" s="5" t="s">
        <v>3</v>
      </c>
      <c r="O939" s="5">
        <v>2</v>
      </c>
      <c r="P939" s="5">
        <f>ROUND(Source!EQ931,O939)</f>
        <v>69620.45</v>
      </c>
      <c r="Q939" s="5"/>
      <c r="R939" s="5"/>
      <c r="S939" s="5"/>
      <c r="T939" s="5"/>
      <c r="U939" s="5"/>
      <c r="V939" s="5"/>
      <c r="W939" s="5">
        <v>8608.2099999999991</v>
      </c>
      <c r="X939" s="5">
        <v>1</v>
      </c>
      <c r="Y939" s="5">
        <v>8608.2099999999991</v>
      </c>
      <c r="Z939" s="5">
        <v>69620.45</v>
      </c>
      <c r="AA939" s="5">
        <v>1</v>
      </c>
      <c r="AB939" s="5">
        <v>69620.45</v>
      </c>
    </row>
    <row r="940" spans="1:245" x14ac:dyDescent="0.2">
      <c r="A940" s="5">
        <v>50</v>
      </c>
      <c r="B940" s="5">
        <v>0</v>
      </c>
      <c r="C940" s="5">
        <v>0</v>
      </c>
      <c r="D940" s="5">
        <v>1</v>
      </c>
      <c r="E940" s="5">
        <v>216</v>
      </c>
      <c r="F940" s="5">
        <f>ROUND(Source!AP931,O940)</f>
        <v>0</v>
      </c>
      <c r="G940" s="5" t="s">
        <v>40</v>
      </c>
      <c r="H940" s="5" t="s">
        <v>41</v>
      </c>
      <c r="I940" s="5"/>
      <c r="J940" s="5"/>
      <c r="K940" s="5">
        <v>216</v>
      </c>
      <c r="L940" s="5">
        <v>8</v>
      </c>
      <c r="M940" s="5">
        <v>3</v>
      </c>
      <c r="N940" s="5" t="s">
        <v>3</v>
      </c>
      <c r="O940" s="5">
        <v>2</v>
      </c>
      <c r="P940" s="5">
        <f>ROUND(Source!EH931,O940)</f>
        <v>0</v>
      </c>
      <c r="Q940" s="5"/>
      <c r="R940" s="5"/>
      <c r="S940" s="5"/>
      <c r="T940" s="5"/>
      <c r="U940" s="5"/>
      <c r="V940" s="5"/>
      <c r="W940" s="5">
        <v>0</v>
      </c>
      <c r="X940" s="5">
        <v>1</v>
      </c>
      <c r="Y940" s="5">
        <v>0</v>
      </c>
      <c r="Z940" s="5">
        <v>0</v>
      </c>
      <c r="AA940" s="5">
        <v>1</v>
      </c>
      <c r="AB940" s="5">
        <v>0</v>
      </c>
    </row>
    <row r="941" spans="1:245" x14ac:dyDescent="0.2">
      <c r="A941" s="5">
        <v>50</v>
      </c>
      <c r="B941" s="5">
        <v>0</v>
      </c>
      <c r="C941" s="5">
        <v>0</v>
      </c>
      <c r="D941" s="5">
        <v>1</v>
      </c>
      <c r="E941" s="5">
        <v>223</v>
      </c>
      <c r="F941" s="5">
        <f>ROUND(Source!AQ931,O941)</f>
        <v>0</v>
      </c>
      <c r="G941" s="5" t="s">
        <v>42</v>
      </c>
      <c r="H941" s="5" t="s">
        <v>43</v>
      </c>
      <c r="I941" s="5"/>
      <c r="J941" s="5"/>
      <c r="K941" s="5">
        <v>223</v>
      </c>
      <c r="L941" s="5">
        <v>9</v>
      </c>
      <c r="M941" s="5">
        <v>3</v>
      </c>
      <c r="N941" s="5" t="s">
        <v>3</v>
      </c>
      <c r="O941" s="5">
        <v>2</v>
      </c>
      <c r="P941" s="5">
        <f>ROUND(Source!EI931,O941)</f>
        <v>0</v>
      </c>
      <c r="Q941" s="5"/>
      <c r="R941" s="5"/>
      <c r="S941" s="5"/>
      <c r="T941" s="5"/>
      <c r="U941" s="5"/>
      <c r="V941" s="5"/>
      <c r="W941" s="5">
        <v>0</v>
      </c>
      <c r="X941" s="5">
        <v>1</v>
      </c>
      <c r="Y941" s="5">
        <v>0</v>
      </c>
      <c r="Z941" s="5">
        <v>0</v>
      </c>
      <c r="AA941" s="5">
        <v>1</v>
      </c>
      <c r="AB941" s="5">
        <v>0</v>
      </c>
    </row>
    <row r="942" spans="1:245" x14ac:dyDescent="0.2">
      <c r="A942" s="5">
        <v>50</v>
      </c>
      <c r="B942" s="5">
        <v>0</v>
      </c>
      <c r="C942" s="5">
        <v>0</v>
      </c>
      <c r="D942" s="5">
        <v>1</v>
      </c>
      <c r="E942" s="5">
        <v>229</v>
      </c>
      <c r="F942" s="5">
        <f>ROUND(Source!AZ931,O942)</f>
        <v>0</v>
      </c>
      <c r="G942" s="5" t="s">
        <v>44</v>
      </c>
      <c r="H942" s="5" t="s">
        <v>45</v>
      </c>
      <c r="I942" s="5"/>
      <c r="J942" s="5"/>
      <c r="K942" s="5">
        <v>229</v>
      </c>
      <c r="L942" s="5">
        <v>10</v>
      </c>
      <c r="M942" s="5">
        <v>3</v>
      </c>
      <c r="N942" s="5" t="s">
        <v>3</v>
      </c>
      <c r="O942" s="5">
        <v>2</v>
      </c>
      <c r="P942" s="5">
        <f>ROUND(Source!ER931,O942)</f>
        <v>0</v>
      </c>
      <c r="Q942" s="5"/>
      <c r="R942" s="5"/>
      <c r="S942" s="5"/>
      <c r="T942" s="5"/>
      <c r="U942" s="5"/>
      <c r="V942" s="5"/>
      <c r="W942" s="5">
        <v>0</v>
      </c>
      <c r="X942" s="5">
        <v>1</v>
      </c>
      <c r="Y942" s="5">
        <v>0</v>
      </c>
      <c r="Z942" s="5">
        <v>0</v>
      </c>
      <c r="AA942" s="5">
        <v>1</v>
      </c>
      <c r="AB942" s="5">
        <v>0</v>
      </c>
    </row>
    <row r="943" spans="1:245" x14ac:dyDescent="0.2">
      <c r="A943" s="5">
        <v>50</v>
      </c>
      <c r="B943" s="5">
        <v>0</v>
      </c>
      <c r="C943" s="5">
        <v>0</v>
      </c>
      <c r="D943" s="5">
        <v>1</v>
      </c>
      <c r="E943" s="5">
        <v>203</v>
      </c>
      <c r="F943" s="5">
        <f>ROUND(Source!Q931,O943)</f>
        <v>81.59</v>
      </c>
      <c r="G943" s="5" t="s">
        <v>46</v>
      </c>
      <c r="H943" s="5" t="s">
        <v>47</v>
      </c>
      <c r="I943" s="5"/>
      <c r="J943" s="5"/>
      <c r="K943" s="5">
        <v>203</v>
      </c>
      <c r="L943" s="5">
        <v>11</v>
      </c>
      <c r="M943" s="5">
        <v>3</v>
      </c>
      <c r="N943" s="5" t="s">
        <v>3</v>
      </c>
      <c r="O943" s="5">
        <v>2</v>
      </c>
      <c r="P943" s="5">
        <f>ROUND(Source!DI931,O943)</f>
        <v>881.75</v>
      </c>
      <c r="Q943" s="5"/>
      <c r="R943" s="5"/>
      <c r="S943" s="5"/>
      <c r="T943" s="5"/>
      <c r="U943" s="5"/>
      <c r="V943" s="5"/>
      <c r="W943" s="5">
        <v>81.59</v>
      </c>
      <c r="X943" s="5">
        <v>1</v>
      </c>
      <c r="Y943" s="5">
        <v>81.59</v>
      </c>
      <c r="Z943" s="5">
        <v>881.75</v>
      </c>
      <c r="AA943" s="5">
        <v>1</v>
      </c>
      <c r="AB943" s="5">
        <v>881.75</v>
      </c>
    </row>
    <row r="944" spans="1:245" x14ac:dyDescent="0.2">
      <c r="A944" s="5">
        <v>50</v>
      </c>
      <c r="B944" s="5">
        <v>0</v>
      </c>
      <c r="C944" s="5">
        <v>0</v>
      </c>
      <c r="D944" s="5">
        <v>1</v>
      </c>
      <c r="E944" s="5">
        <v>231</v>
      </c>
      <c r="F944" s="5">
        <f>ROUND(Source!BB931,O944)</f>
        <v>0</v>
      </c>
      <c r="G944" s="5" t="s">
        <v>48</v>
      </c>
      <c r="H944" s="5" t="s">
        <v>49</v>
      </c>
      <c r="I944" s="5"/>
      <c r="J944" s="5"/>
      <c r="K944" s="5">
        <v>231</v>
      </c>
      <c r="L944" s="5">
        <v>12</v>
      </c>
      <c r="M944" s="5">
        <v>3</v>
      </c>
      <c r="N944" s="5" t="s">
        <v>3</v>
      </c>
      <c r="O944" s="5">
        <v>2</v>
      </c>
      <c r="P944" s="5">
        <f>ROUND(Source!ET931,O944)</f>
        <v>0</v>
      </c>
      <c r="Q944" s="5"/>
      <c r="R944" s="5"/>
      <c r="S944" s="5"/>
      <c r="T944" s="5"/>
      <c r="U944" s="5"/>
      <c r="V944" s="5"/>
      <c r="W944" s="5">
        <v>0</v>
      </c>
      <c r="X944" s="5">
        <v>1</v>
      </c>
      <c r="Y944" s="5">
        <v>0</v>
      </c>
      <c r="Z944" s="5">
        <v>0</v>
      </c>
      <c r="AA944" s="5">
        <v>1</v>
      </c>
      <c r="AB944" s="5">
        <v>0</v>
      </c>
    </row>
    <row r="945" spans="1:28" x14ac:dyDescent="0.2">
      <c r="A945" s="5">
        <v>50</v>
      </c>
      <c r="B945" s="5">
        <v>0</v>
      </c>
      <c r="C945" s="5">
        <v>0</v>
      </c>
      <c r="D945" s="5">
        <v>1</v>
      </c>
      <c r="E945" s="5">
        <v>204</v>
      </c>
      <c r="F945" s="5">
        <f>ROUND(Source!R931,O945)</f>
        <v>9.02</v>
      </c>
      <c r="G945" s="5" t="s">
        <v>50</v>
      </c>
      <c r="H945" s="5" t="s">
        <v>51</v>
      </c>
      <c r="I945" s="5"/>
      <c r="J945" s="5"/>
      <c r="K945" s="5">
        <v>204</v>
      </c>
      <c r="L945" s="5">
        <v>13</v>
      </c>
      <c r="M945" s="5">
        <v>3</v>
      </c>
      <c r="N945" s="5" t="s">
        <v>3</v>
      </c>
      <c r="O945" s="5">
        <v>2</v>
      </c>
      <c r="P945" s="5">
        <f>ROUND(Source!DJ931,O945)</f>
        <v>261.85000000000002</v>
      </c>
      <c r="Q945" s="5"/>
      <c r="R945" s="5"/>
      <c r="S945" s="5"/>
      <c r="T945" s="5"/>
      <c r="U945" s="5"/>
      <c r="V945" s="5"/>
      <c r="W945" s="5">
        <v>9.02</v>
      </c>
      <c r="X945" s="5">
        <v>1</v>
      </c>
      <c r="Y945" s="5">
        <v>9.02</v>
      </c>
      <c r="Z945" s="5">
        <v>261.85000000000002</v>
      </c>
      <c r="AA945" s="5">
        <v>1</v>
      </c>
      <c r="AB945" s="5">
        <v>261.85000000000002</v>
      </c>
    </row>
    <row r="946" spans="1:28" x14ac:dyDescent="0.2">
      <c r="A946" s="5">
        <v>50</v>
      </c>
      <c r="B946" s="5">
        <v>0</v>
      </c>
      <c r="C946" s="5">
        <v>0</v>
      </c>
      <c r="D946" s="5">
        <v>1</v>
      </c>
      <c r="E946" s="5">
        <v>205</v>
      </c>
      <c r="F946" s="5">
        <f>ROUND(Source!S931,O946)</f>
        <v>683.24</v>
      </c>
      <c r="G946" s="5" t="s">
        <v>52</v>
      </c>
      <c r="H946" s="5" t="s">
        <v>53</v>
      </c>
      <c r="I946" s="5"/>
      <c r="J946" s="5"/>
      <c r="K946" s="5">
        <v>205</v>
      </c>
      <c r="L946" s="5">
        <v>14</v>
      </c>
      <c r="M946" s="5">
        <v>3</v>
      </c>
      <c r="N946" s="5" t="s">
        <v>3</v>
      </c>
      <c r="O946" s="5">
        <v>2</v>
      </c>
      <c r="P946" s="5">
        <f>ROUND(Source!DK931,O946)</f>
        <v>19834.46</v>
      </c>
      <c r="Q946" s="5"/>
      <c r="R946" s="5"/>
      <c r="S946" s="5"/>
      <c r="T946" s="5"/>
      <c r="U946" s="5"/>
      <c r="V946" s="5"/>
      <c r="W946" s="5">
        <v>683.24</v>
      </c>
      <c r="X946" s="5">
        <v>1</v>
      </c>
      <c r="Y946" s="5">
        <v>683.24</v>
      </c>
      <c r="Z946" s="5">
        <v>19834.46</v>
      </c>
      <c r="AA946" s="5">
        <v>1</v>
      </c>
      <c r="AB946" s="5">
        <v>19834.46</v>
      </c>
    </row>
    <row r="947" spans="1:28" x14ac:dyDescent="0.2">
      <c r="A947" s="5">
        <v>50</v>
      </c>
      <c r="B947" s="5">
        <v>0</v>
      </c>
      <c r="C947" s="5">
        <v>0</v>
      </c>
      <c r="D947" s="5">
        <v>1</v>
      </c>
      <c r="E947" s="5">
        <v>232</v>
      </c>
      <c r="F947" s="5">
        <f>ROUND(Source!BC931,O947)</f>
        <v>0</v>
      </c>
      <c r="G947" s="5" t="s">
        <v>54</v>
      </c>
      <c r="H947" s="5" t="s">
        <v>55</v>
      </c>
      <c r="I947" s="5"/>
      <c r="J947" s="5"/>
      <c r="K947" s="5">
        <v>232</v>
      </c>
      <c r="L947" s="5">
        <v>15</v>
      </c>
      <c r="M947" s="5">
        <v>3</v>
      </c>
      <c r="N947" s="5" t="s">
        <v>3</v>
      </c>
      <c r="O947" s="5">
        <v>2</v>
      </c>
      <c r="P947" s="5">
        <f>ROUND(Source!EU931,O947)</f>
        <v>0</v>
      </c>
      <c r="Q947" s="5"/>
      <c r="R947" s="5"/>
      <c r="S947" s="5"/>
      <c r="T947" s="5"/>
      <c r="U947" s="5"/>
      <c r="V947" s="5"/>
      <c r="W947" s="5">
        <v>0</v>
      </c>
      <c r="X947" s="5">
        <v>1</v>
      </c>
      <c r="Y947" s="5">
        <v>0</v>
      </c>
      <c r="Z947" s="5">
        <v>0</v>
      </c>
      <c r="AA947" s="5">
        <v>1</v>
      </c>
      <c r="AB947" s="5">
        <v>0</v>
      </c>
    </row>
    <row r="948" spans="1:28" x14ac:dyDescent="0.2">
      <c r="A948" s="5">
        <v>50</v>
      </c>
      <c r="B948" s="5">
        <v>0</v>
      </c>
      <c r="C948" s="5">
        <v>0</v>
      </c>
      <c r="D948" s="5">
        <v>1</v>
      </c>
      <c r="E948" s="5">
        <v>214</v>
      </c>
      <c r="F948" s="5">
        <f>ROUND(Source!AS931,O948)</f>
        <v>0</v>
      </c>
      <c r="G948" s="5" t="s">
        <v>56</v>
      </c>
      <c r="H948" s="5" t="s">
        <v>57</v>
      </c>
      <c r="I948" s="5"/>
      <c r="J948" s="5"/>
      <c r="K948" s="5">
        <v>214</v>
      </c>
      <c r="L948" s="5">
        <v>16</v>
      </c>
      <c r="M948" s="5">
        <v>3</v>
      </c>
      <c r="N948" s="5" t="s">
        <v>3</v>
      </c>
      <c r="O948" s="5">
        <v>2</v>
      </c>
      <c r="P948" s="5">
        <f>ROUND(Source!EK931,O948)</f>
        <v>0</v>
      </c>
      <c r="Q948" s="5"/>
      <c r="R948" s="5"/>
      <c r="S948" s="5"/>
      <c r="T948" s="5"/>
      <c r="U948" s="5"/>
      <c r="V948" s="5"/>
      <c r="W948" s="5">
        <v>0</v>
      </c>
      <c r="X948" s="5">
        <v>1</v>
      </c>
      <c r="Y948" s="5">
        <v>0</v>
      </c>
      <c r="Z948" s="5">
        <v>0</v>
      </c>
      <c r="AA948" s="5">
        <v>1</v>
      </c>
      <c r="AB948" s="5">
        <v>0</v>
      </c>
    </row>
    <row r="949" spans="1:28" x14ac:dyDescent="0.2">
      <c r="A949" s="5">
        <v>50</v>
      </c>
      <c r="B949" s="5">
        <v>0</v>
      </c>
      <c r="C949" s="5">
        <v>0</v>
      </c>
      <c r="D949" s="5">
        <v>1</v>
      </c>
      <c r="E949" s="5">
        <v>215</v>
      </c>
      <c r="F949" s="5">
        <f>ROUND(Source!AT931,O949)</f>
        <v>10625.5</v>
      </c>
      <c r="G949" s="5" t="s">
        <v>58</v>
      </c>
      <c r="H949" s="5" t="s">
        <v>59</v>
      </c>
      <c r="I949" s="5"/>
      <c r="J949" s="5"/>
      <c r="K949" s="5">
        <v>215</v>
      </c>
      <c r="L949" s="5">
        <v>17</v>
      </c>
      <c r="M949" s="5">
        <v>3</v>
      </c>
      <c r="N949" s="5" t="s">
        <v>3</v>
      </c>
      <c r="O949" s="5">
        <v>2</v>
      </c>
      <c r="P949" s="5">
        <f>ROUND(Source!EL931,O949)</f>
        <v>114556.99</v>
      </c>
      <c r="Q949" s="5"/>
      <c r="R949" s="5"/>
      <c r="S949" s="5"/>
      <c r="T949" s="5"/>
      <c r="U949" s="5"/>
      <c r="V949" s="5"/>
      <c r="W949" s="5">
        <v>10625.5</v>
      </c>
      <c r="X949" s="5">
        <v>1</v>
      </c>
      <c r="Y949" s="5">
        <v>10625.5</v>
      </c>
      <c r="Z949" s="5">
        <v>114556.99</v>
      </c>
      <c r="AA949" s="5">
        <v>1</v>
      </c>
      <c r="AB949" s="5">
        <v>114556.99</v>
      </c>
    </row>
    <row r="950" spans="1:28" x14ac:dyDescent="0.2">
      <c r="A950" s="5">
        <v>50</v>
      </c>
      <c r="B950" s="5">
        <v>0</v>
      </c>
      <c r="C950" s="5">
        <v>0</v>
      </c>
      <c r="D950" s="5">
        <v>1</v>
      </c>
      <c r="E950" s="5">
        <v>217</v>
      </c>
      <c r="F950" s="5">
        <f>ROUND(Source!AU931,O950)</f>
        <v>0</v>
      </c>
      <c r="G950" s="5" t="s">
        <v>60</v>
      </c>
      <c r="H950" s="5" t="s">
        <v>61</v>
      </c>
      <c r="I950" s="5"/>
      <c r="J950" s="5"/>
      <c r="K950" s="5">
        <v>217</v>
      </c>
      <c r="L950" s="5">
        <v>18</v>
      </c>
      <c r="M950" s="5">
        <v>3</v>
      </c>
      <c r="N950" s="5" t="s">
        <v>3</v>
      </c>
      <c r="O950" s="5">
        <v>2</v>
      </c>
      <c r="P950" s="5">
        <f>ROUND(Source!EM931,O950)</f>
        <v>0</v>
      </c>
      <c r="Q950" s="5"/>
      <c r="R950" s="5"/>
      <c r="S950" s="5"/>
      <c r="T950" s="5"/>
      <c r="U950" s="5"/>
      <c r="V950" s="5"/>
      <c r="W950" s="5">
        <v>0</v>
      </c>
      <c r="X950" s="5">
        <v>1</v>
      </c>
      <c r="Y950" s="5">
        <v>0</v>
      </c>
      <c r="Z950" s="5">
        <v>0</v>
      </c>
      <c r="AA950" s="5">
        <v>1</v>
      </c>
      <c r="AB950" s="5">
        <v>0</v>
      </c>
    </row>
    <row r="951" spans="1:28" x14ac:dyDescent="0.2">
      <c r="A951" s="5">
        <v>50</v>
      </c>
      <c r="B951" s="5">
        <v>0</v>
      </c>
      <c r="C951" s="5">
        <v>0</v>
      </c>
      <c r="D951" s="5">
        <v>1</v>
      </c>
      <c r="E951" s="5">
        <v>230</v>
      </c>
      <c r="F951" s="5">
        <f>ROUND(Source!BA931,O951)</f>
        <v>0</v>
      </c>
      <c r="G951" s="5" t="s">
        <v>62</v>
      </c>
      <c r="H951" s="5" t="s">
        <v>63</v>
      </c>
      <c r="I951" s="5"/>
      <c r="J951" s="5"/>
      <c r="K951" s="5">
        <v>230</v>
      </c>
      <c r="L951" s="5">
        <v>19</v>
      </c>
      <c r="M951" s="5">
        <v>3</v>
      </c>
      <c r="N951" s="5" t="s">
        <v>3</v>
      </c>
      <c r="O951" s="5">
        <v>2</v>
      </c>
      <c r="P951" s="5">
        <f>ROUND(Source!ES931,O951)</f>
        <v>0</v>
      </c>
      <c r="Q951" s="5"/>
      <c r="R951" s="5"/>
      <c r="S951" s="5"/>
      <c r="T951" s="5"/>
      <c r="U951" s="5"/>
      <c r="V951" s="5"/>
      <c r="W951" s="5">
        <v>0</v>
      </c>
      <c r="X951" s="5">
        <v>1</v>
      </c>
      <c r="Y951" s="5">
        <v>0</v>
      </c>
      <c r="Z951" s="5">
        <v>0</v>
      </c>
      <c r="AA951" s="5">
        <v>1</v>
      </c>
      <c r="AB951" s="5">
        <v>0</v>
      </c>
    </row>
    <row r="952" spans="1:28" x14ac:dyDescent="0.2">
      <c r="A952" s="5">
        <v>50</v>
      </c>
      <c r="B952" s="5">
        <v>0</v>
      </c>
      <c r="C952" s="5">
        <v>0</v>
      </c>
      <c r="D952" s="5">
        <v>1</v>
      </c>
      <c r="E952" s="5">
        <v>206</v>
      </c>
      <c r="F952" s="5">
        <f>ROUND(Source!T931,O952)</f>
        <v>0</v>
      </c>
      <c r="G952" s="5" t="s">
        <v>64</v>
      </c>
      <c r="H952" s="5" t="s">
        <v>65</v>
      </c>
      <c r="I952" s="5"/>
      <c r="J952" s="5"/>
      <c r="K952" s="5">
        <v>206</v>
      </c>
      <c r="L952" s="5">
        <v>20</v>
      </c>
      <c r="M952" s="5">
        <v>3</v>
      </c>
      <c r="N952" s="5" t="s">
        <v>3</v>
      </c>
      <c r="O952" s="5">
        <v>2</v>
      </c>
      <c r="P952" s="5">
        <f>ROUND(Source!DL931,O952)</f>
        <v>0</v>
      </c>
      <c r="Q952" s="5"/>
      <c r="R952" s="5"/>
      <c r="S952" s="5"/>
      <c r="T952" s="5"/>
      <c r="U952" s="5"/>
      <c r="V952" s="5"/>
      <c r="W952" s="5">
        <v>0</v>
      </c>
      <c r="X952" s="5">
        <v>1</v>
      </c>
      <c r="Y952" s="5">
        <v>0</v>
      </c>
      <c r="Z952" s="5">
        <v>0</v>
      </c>
      <c r="AA952" s="5">
        <v>1</v>
      </c>
      <c r="AB952" s="5">
        <v>0</v>
      </c>
    </row>
    <row r="953" spans="1:28" x14ac:dyDescent="0.2">
      <c r="A953" s="5">
        <v>50</v>
      </c>
      <c r="B953" s="5">
        <v>0</v>
      </c>
      <c r="C953" s="5">
        <v>0</v>
      </c>
      <c r="D953" s="5">
        <v>1</v>
      </c>
      <c r="E953" s="5">
        <v>207</v>
      </c>
      <c r="F953" s="5">
        <f>Source!U931</f>
        <v>55.592699999999994</v>
      </c>
      <c r="G953" s="5" t="s">
        <v>66</v>
      </c>
      <c r="H953" s="5" t="s">
        <v>67</v>
      </c>
      <c r="I953" s="5"/>
      <c r="J953" s="5"/>
      <c r="K953" s="5">
        <v>207</v>
      </c>
      <c r="L953" s="5">
        <v>21</v>
      </c>
      <c r="M953" s="5">
        <v>3</v>
      </c>
      <c r="N953" s="5" t="s">
        <v>3</v>
      </c>
      <c r="O953" s="5">
        <v>-1</v>
      </c>
      <c r="P953" s="5">
        <f>Source!DM931</f>
        <v>55.592699999999994</v>
      </c>
      <c r="Q953" s="5"/>
      <c r="R953" s="5"/>
      <c r="S953" s="5"/>
      <c r="T953" s="5"/>
      <c r="U953" s="5"/>
      <c r="V953" s="5"/>
      <c r="W953" s="5">
        <v>55.592699999999994</v>
      </c>
      <c r="X953" s="5">
        <v>1</v>
      </c>
      <c r="Y953" s="5">
        <v>55.592699999999994</v>
      </c>
      <c r="Z953" s="5">
        <v>55.592699999999994</v>
      </c>
      <c r="AA953" s="5">
        <v>1</v>
      </c>
      <c r="AB953" s="5">
        <v>55.592699999999994</v>
      </c>
    </row>
    <row r="954" spans="1:28" x14ac:dyDescent="0.2">
      <c r="A954" s="5">
        <v>50</v>
      </c>
      <c r="B954" s="5">
        <v>0</v>
      </c>
      <c r="C954" s="5">
        <v>0</v>
      </c>
      <c r="D954" s="5">
        <v>1</v>
      </c>
      <c r="E954" s="5">
        <v>208</v>
      </c>
      <c r="F954" s="5">
        <f>Source!V931</f>
        <v>0</v>
      </c>
      <c r="G954" s="5" t="s">
        <v>68</v>
      </c>
      <c r="H954" s="5" t="s">
        <v>69</v>
      </c>
      <c r="I954" s="5"/>
      <c r="J954" s="5"/>
      <c r="K954" s="5">
        <v>208</v>
      </c>
      <c r="L954" s="5">
        <v>22</v>
      </c>
      <c r="M954" s="5">
        <v>3</v>
      </c>
      <c r="N954" s="5" t="s">
        <v>3</v>
      </c>
      <c r="O954" s="5">
        <v>-1</v>
      </c>
      <c r="P954" s="5">
        <f>Source!DN931</f>
        <v>0</v>
      </c>
      <c r="Q954" s="5"/>
      <c r="R954" s="5"/>
      <c r="S954" s="5"/>
      <c r="T954" s="5"/>
      <c r="U954" s="5"/>
      <c r="V954" s="5"/>
      <c r="W954" s="5">
        <v>0</v>
      </c>
      <c r="X954" s="5">
        <v>1</v>
      </c>
      <c r="Y954" s="5">
        <v>0</v>
      </c>
      <c r="Z954" s="5">
        <v>0</v>
      </c>
      <c r="AA954" s="5">
        <v>1</v>
      </c>
      <c r="AB954" s="5">
        <v>0</v>
      </c>
    </row>
    <row r="955" spans="1:28" x14ac:dyDescent="0.2">
      <c r="A955" s="5">
        <v>50</v>
      </c>
      <c r="B955" s="5">
        <v>0</v>
      </c>
      <c r="C955" s="5">
        <v>0</v>
      </c>
      <c r="D955" s="5">
        <v>1</v>
      </c>
      <c r="E955" s="5">
        <v>209</v>
      </c>
      <c r="F955" s="5">
        <f>ROUND(Source!W931,O955)</f>
        <v>0</v>
      </c>
      <c r="G955" s="5" t="s">
        <v>70</v>
      </c>
      <c r="H955" s="5" t="s">
        <v>71</v>
      </c>
      <c r="I955" s="5"/>
      <c r="J955" s="5"/>
      <c r="K955" s="5">
        <v>209</v>
      </c>
      <c r="L955" s="5">
        <v>23</v>
      </c>
      <c r="M955" s="5">
        <v>3</v>
      </c>
      <c r="N955" s="5" t="s">
        <v>3</v>
      </c>
      <c r="O955" s="5">
        <v>2</v>
      </c>
      <c r="P955" s="5">
        <f>ROUND(Source!DO931,O955)</f>
        <v>0</v>
      </c>
      <c r="Q955" s="5"/>
      <c r="R955" s="5"/>
      <c r="S955" s="5"/>
      <c r="T955" s="5"/>
      <c r="U955" s="5"/>
      <c r="V955" s="5"/>
      <c r="W955" s="5">
        <v>0</v>
      </c>
      <c r="X955" s="5">
        <v>1</v>
      </c>
      <c r="Y955" s="5">
        <v>0</v>
      </c>
      <c r="Z955" s="5">
        <v>0</v>
      </c>
      <c r="AA955" s="5">
        <v>1</v>
      </c>
      <c r="AB955" s="5">
        <v>0</v>
      </c>
    </row>
    <row r="956" spans="1:28" x14ac:dyDescent="0.2">
      <c r="A956" s="5">
        <v>50</v>
      </c>
      <c r="B956" s="5">
        <v>0</v>
      </c>
      <c r="C956" s="5">
        <v>0</v>
      </c>
      <c r="D956" s="5">
        <v>1</v>
      </c>
      <c r="E956" s="5">
        <v>233</v>
      </c>
      <c r="F956" s="5">
        <f>ROUND(Source!BD931,O956)</f>
        <v>0</v>
      </c>
      <c r="G956" s="5" t="s">
        <v>72</v>
      </c>
      <c r="H956" s="5" t="s">
        <v>73</v>
      </c>
      <c r="I956" s="5"/>
      <c r="J956" s="5"/>
      <c r="K956" s="5">
        <v>233</v>
      </c>
      <c r="L956" s="5">
        <v>24</v>
      </c>
      <c r="M956" s="5">
        <v>3</v>
      </c>
      <c r="N956" s="5" t="s">
        <v>3</v>
      </c>
      <c r="O956" s="5">
        <v>2</v>
      </c>
      <c r="P956" s="5">
        <f>ROUND(Source!EV931,O956)</f>
        <v>0</v>
      </c>
      <c r="Q956" s="5"/>
      <c r="R956" s="5"/>
      <c r="S956" s="5"/>
      <c r="T956" s="5"/>
      <c r="U956" s="5"/>
      <c r="V956" s="5"/>
      <c r="W956" s="5">
        <v>0</v>
      </c>
      <c r="X956" s="5">
        <v>1</v>
      </c>
      <c r="Y956" s="5">
        <v>0</v>
      </c>
      <c r="Z956" s="5">
        <v>0</v>
      </c>
      <c r="AA956" s="5">
        <v>1</v>
      </c>
      <c r="AB956" s="5">
        <v>0</v>
      </c>
    </row>
    <row r="957" spans="1:28" x14ac:dyDescent="0.2">
      <c r="A957" s="5">
        <v>50</v>
      </c>
      <c r="B957" s="5">
        <v>0</v>
      </c>
      <c r="C957" s="5">
        <v>0</v>
      </c>
      <c r="D957" s="5">
        <v>1</v>
      </c>
      <c r="E957" s="5">
        <v>210</v>
      </c>
      <c r="F957" s="5">
        <f>ROUND(Source!X931,O957)</f>
        <v>778.88</v>
      </c>
      <c r="G957" s="5" t="s">
        <v>74</v>
      </c>
      <c r="H957" s="5" t="s">
        <v>75</v>
      </c>
      <c r="I957" s="5"/>
      <c r="J957" s="5"/>
      <c r="K957" s="5">
        <v>210</v>
      </c>
      <c r="L957" s="5">
        <v>25</v>
      </c>
      <c r="M957" s="5">
        <v>3</v>
      </c>
      <c r="N957" s="5" t="s">
        <v>3</v>
      </c>
      <c r="O957" s="5">
        <v>2</v>
      </c>
      <c r="P957" s="5">
        <f>ROUND(Source!DP931,O957)</f>
        <v>15669.23</v>
      </c>
      <c r="Q957" s="5"/>
      <c r="R957" s="5"/>
      <c r="S957" s="5"/>
      <c r="T957" s="5"/>
      <c r="U957" s="5"/>
      <c r="V957" s="5"/>
      <c r="W957" s="5">
        <v>778.88</v>
      </c>
      <c r="X957" s="5">
        <v>1</v>
      </c>
      <c r="Y957" s="5">
        <v>778.88</v>
      </c>
      <c r="Z957" s="5">
        <v>15669.23</v>
      </c>
      <c r="AA957" s="5">
        <v>1</v>
      </c>
      <c r="AB957" s="5">
        <v>15669.23</v>
      </c>
    </row>
    <row r="958" spans="1:28" x14ac:dyDescent="0.2">
      <c r="A958" s="5">
        <v>50</v>
      </c>
      <c r="B958" s="5">
        <v>0</v>
      </c>
      <c r="C958" s="5">
        <v>0</v>
      </c>
      <c r="D958" s="5">
        <v>1</v>
      </c>
      <c r="E958" s="5">
        <v>211</v>
      </c>
      <c r="F958" s="5">
        <f>ROUND(Source!Y931,O958)</f>
        <v>457.78</v>
      </c>
      <c r="G958" s="5" t="s">
        <v>76</v>
      </c>
      <c r="H958" s="5" t="s">
        <v>77</v>
      </c>
      <c r="I958" s="5"/>
      <c r="J958" s="5"/>
      <c r="K958" s="5">
        <v>211</v>
      </c>
      <c r="L958" s="5">
        <v>26</v>
      </c>
      <c r="M958" s="5">
        <v>3</v>
      </c>
      <c r="N958" s="5" t="s">
        <v>3</v>
      </c>
      <c r="O958" s="5">
        <v>2</v>
      </c>
      <c r="P958" s="5">
        <f>ROUND(Source!DQ931,O958)</f>
        <v>8132.14</v>
      </c>
      <c r="Q958" s="5"/>
      <c r="R958" s="5"/>
      <c r="S958" s="5"/>
      <c r="T958" s="5"/>
      <c r="U958" s="5"/>
      <c r="V958" s="5"/>
      <c r="W958" s="5">
        <v>457.78</v>
      </c>
      <c r="X958" s="5">
        <v>1</v>
      </c>
      <c r="Y958" s="5">
        <v>457.78</v>
      </c>
      <c r="Z958" s="5">
        <v>8132.14</v>
      </c>
      <c r="AA958" s="5">
        <v>1</v>
      </c>
      <c r="AB958" s="5">
        <v>8132.14</v>
      </c>
    </row>
    <row r="959" spans="1:28" x14ac:dyDescent="0.2">
      <c r="A959" s="5">
        <v>50</v>
      </c>
      <c r="B959" s="5">
        <v>0</v>
      </c>
      <c r="C959" s="5">
        <v>0</v>
      </c>
      <c r="D959" s="5">
        <v>1</v>
      </c>
      <c r="E959" s="5">
        <v>224</v>
      </c>
      <c r="F959" s="5">
        <f>ROUND(Source!AR931,O959)</f>
        <v>10625.5</v>
      </c>
      <c r="G959" s="5" t="s">
        <v>78</v>
      </c>
      <c r="H959" s="5" t="s">
        <v>79</v>
      </c>
      <c r="I959" s="5"/>
      <c r="J959" s="5"/>
      <c r="K959" s="5">
        <v>224</v>
      </c>
      <c r="L959" s="5">
        <v>27</v>
      </c>
      <c r="M959" s="5">
        <v>3</v>
      </c>
      <c r="N959" s="5" t="s">
        <v>3</v>
      </c>
      <c r="O959" s="5">
        <v>2</v>
      </c>
      <c r="P959" s="5">
        <f>ROUND(Source!EJ931,O959)</f>
        <v>114556.99</v>
      </c>
      <c r="Q959" s="5"/>
      <c r="R959" s="5"/>
      <c r="S959" s="5"/>
      <c r="T959" s="5"/>
      <c r="U959" s="5"/>
      <c r="V959" s="5"/>
      <c r="W959" s="5">
        <v>10625.5</v>
      </c>
      <c r="X959" s="5">
        <v>1</v>
      </c>
      <c r="Y959" s="5">
        <v>10625.5</v>
      </c>
      <c r="Z959" s="5">
        <v>114556.99</v>
      </c>
      <c r="AA959" s="5">
        <v>1</v>
      </c>
      <c r="AB959" s="5">
        <v>114556.99</v>
      </c>
    </row>
    <row r="961" spans="1:206" x14ac:dyDescent="0.2">
      <c r="A961" s="3">
        <v>51</v>
      </c>
      <c r="B961" s="3">
        <f>B819</f>
        <v>1</v>
      </c>
      <c r="C961" s="3">
        <f>A819</f>
        <v>3</v>
      </c>
      <c r="D961" s="3">
        <f>ROW(A819)</f>
        <v>819</v>
      </c>
      <c r="E961" s="3"/>
      <c r="F961" s="3" t="str">
        <f>IF(F819&lt;&gt;"",F819,"")</f>
        <v>02-01-05</v>
      </c>
      <c r="G961" s="3" t="str">
        <f>IF(G819&lt;&gt;"",G819,"")</f>
        <v>Система электроснабжения</v>
      </c>
      <c r="H961" s="3">
        <v>0</v>
      </c>
      <c r="I961" s="3"/>
      <c r="J961" s="3"/>
      <c r="K961" s="3"/>
      <c r="L961" s="3"/>
      <c r="M961" s="3"/>
      <c r="N961" s="3"/>
      <c r="O961" s="3">
        <f t="shared" ref="O961:T961" si="805">ROUND(O832+O931+AB961,2)</f>
        <v>9407.77</v>
      </c>
      <c r="P961" s="3">
        <f t="shared" si="805"/>
        <v>8608.2099999999991</v>
      </c>
      <c r="Q961" s="3">
        <f t="shared" si="805"/>
        <v>81.59</v>
      </c>
      <c r="R961" s="3">
        <f t="shared" si="805"/>
        <v>9.02</v>
      </c>
      <c r="S961" s="3">
        <f t="shared" si="805"/>
        <v>717.97</v>
      </c>
      <c r="T961" s="3">
        <f t="shared" si="805"/>
        <v>0</v>
      </c>
      <c r="U961" s="3">
        <f>U832+U931+AH961</f>
        <v>58.990299999999991</v>
      </c>
      <c r="V961" s="3">
        <f>V832+V931+AI961</f>
        <v>0</v>
      </c>
      <c r="W961" s="3">
        <f>ROUND(W832+W931+AJ961,2)</f>
        <v>0</v>
      </c>
      <c r="X961" s="3">
        <f>ROUND(X832+X931+AK961,2)</f>
        <v>806.67</v>
      </c>
      <c r="Y961" s="3">
        <f>ROUND(Y832+Y931+AL961,2)</f>
        <v>476.88</v>
      </c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>
        <f t="shared" ref="AO961:BD961" si="806">ROUND(AO832+AO931+BX961,2)</f>
        <v>0</v>
      </c>
      <c r="AP961" s="3">
        <f t="shared" si="806"/>
        <v>0</v>
      </c>
      <c r="AQ961" s="3">
        <f t="shared" si="806"/>
        <v>0</v>
      </c>
      <c r="AR961" s="3">
        <f t="shared" si="806"/>
        <v>10707.12</v>
      </c>
      <c r="AS961" s="3">
        <f t="shared" si="806"/>
        <v>81.62</v>
      </c>
      <c r="AT961" s="3">
        <f t="shared" si="806"/>
        <v>10625.5</v>
      </c>
      <c r="AU961" s="3">
        <f t="shared" si="806"/>
        <v>0</v>
      </c>
      <c r="AV961" s="3">
        <f t="shared" si="806"/>
        <v>8608.2099999999991</v>
      </c>
      <c r="AW961" s="3">
        <f t="shared" si="806"/>
        <v>8608.2099999999991</v>
      </c>
      <c r="AX961" s="3">
        <f t="shared" si="806"/>
        <v>0</v>
      </c>
      <c r="AY961" s="3">
        <f t="shared" si="806"/>
        <v>8608.2099999999991</v>
      </c>
      <c r="AZ961" s="3">
        <f t="shared" si="806"/>
        <v>0</v>
      </c>
      <c r="BA961" s="3">
        <f t="shared" si="806"/>
        <v>0</v>
      </c>
      <c r="BB961" s="3">
        <f t="shared" si="806"/>
        <v>0</v>
      </c>
      <c r="BC961" s="3">
        <f t="shared" si="806"/>
        <v>0</v>
      </c>
      <c r="BD961" s="3">
        <f t="shared" si="806"/>
        <v>0</v>
      </c>
      <c r="BE961" s="3"/>
      <c r="BF961" s="3"/>
      <c r="BG961" s="3"/>
      <c r="BH961" s="3"/>
      <c r="BI961" s="3"/>
      <c r="BJ961" s="3"/>
      <c r="BK961" s="3"/>
      <c r="BL961" s="3"/>
      <c r="BM961" s="3"/>
      <c r="BN961" s="3"/>
      <c r="BO961" s="3"/>
      <c r="BP961" s="3"/>
      <c r="BQ961" s="3"/>
      <c r="BR961" s="3"/>
      <c r="BS961" s="3"/>
      <c r="BT961" s="3"/>
      <c r="BU961" s="3"/>
      <c r="BV961" s="3"/>
      <c r="BW961" s="3"/>
      <c r="BX961" s="3"/>
      <c r="BY961" s="3"/>
      <c r="BZ961" s="3"/>
      <c r="CA961" s="3"/>
      <c r="CB961" s="3"/>
      <c r="CC961" s="3"/>
      <c r="CD961" s="3"/>
      <c r="CE961" s="3"/>
      <c r="CF961" s="3"/>
      <c r="CG961" s="3"/>
      <c r="CH961" s="3"/>
      <c r="CI961" s="3"/>
      <c r="CJ961" s="3"/>
      <c r="CK961" s="3"/>
      <c r="CL961" s="3"/>
      <c r="CM961" s="3"/>
      <c r="CN961" s="3"/>
      <c r="CO961" s="3"/>
      <c r="CP961" s="3"/>
      <c r="CQ961" s="3"/>
      <c r="CR961" s="3"/>
      <c r="CS961" s="3"/>
      <c r="CT961" s="3"/>
      <c r="CU961" s="3"/>
      <c r="CV961" s="3"/>
      <c r="CW961" s="3"/>
      <c r="CX961" s="3"/>
      <c r="CY961" s="3"/>
      <c r="CZ961" s="3"/>
      <c r="DA961" s="3"/>
      <c r="DB961" s="3"/>
      <c r="DC961" s="3"/>
      <c r="DD961" s="3"/>
      <c r="DE961" s="3"/>
      <c r="DF961" s="3"/>
      <c r="DG961" s="4">
        <f t="shared" ref="DG961:DL961" si="807">ROUND(DG832+DG931+DT961,2)</f>
        <v>91344.88</v>
      </c>
      <c r="DH961" s="4">
        <f t="shared" si="807"/>
        <v>69620.45</v>
      </c>
      <c r="DI961" s="4">
        <f t="shared" si="807"/>
        <v>881.75</v>
      </c>
      <c r="DJ961" s="4">
        <f t="shared" si="807"/>
        <v>261.85000000000002</v>
      </c>
      <c r="DK961" s="4">
        <f t="shared" si="807"/>
        <v>20842.68</v>
      </c>
      <c r="DL961" s="4">
        <f t="shared" si="807"/>
        <v>0</v>
      </c>
      <c r="DM961" s="4">
        <f>DM832+DM931+DZ961</f>
        <v>58.990299999999991</v>
      </c>
      <c r="DN961" s="4">
        <f>DN832+DN931+EA961</f>
        <v>0</v>
      </c>
      <c r="DO961" s="4">
        <f>ROUND(DO832+DO931+EB961,2)</f>
        <v>0</v>
      </c>
      <c r="DP961" s="4">
        <f>ROUND(DP832+DP931+EC961,2)</f>
        <v>16374.98</v>
      </c>
      <c r="DQ961" s="4">
        <f>ROUND(DQ832+DQ931+ED961,2)</f>
        <v>8545.51</v>
      </c>
      <c r="DR961" s="4"/>
      <c r="DS961" s="4"/>
      <c r="DT961" s="4"/>
      <c r="DU961" s="4"/>
      <c r="DV961" s="4"/>
      <c r="DW961" s="4"/>
      <c r="DX961" s="4"/>
      <c r="DY961" s="4"/>
      <c r="DZ961" s="4"/>
      <c r="EA961" s="4"/>
      <c r="EB961" s="4"/>
      <c r="EC961" s="4"/>
      <c r="ED961" s="4"/>
      <c r="EE961" s="4"/>
      <c r="EF961" s="4"/>
      <c r="EG961" s="4">
        <f t="shared" ref="EG961:EV961" si="808">ROUND(EG832+EG931+FP961,2)</f>
        <v>0</v>
      </c>
      <c r="EH961" s="4">
        <f t="shared" si="808"/>
        <v>0</v>
      </c>
      <c r="EI961" s="4">
        <f t="shared" si="808"/>
        <v>0</v>
      </c>
      <c r="EJ961" s="4">
        <f t="shared" si="808"/>
        <v>116684.33</v>
      </c>
      <c r="EK961" s="4">
        <f t="shared" si="808"/>
        <v>2127.34</v>
      </c>
      <c r="EL961" s="4">
        <f t="shared" si="808"/>
        <v>114556.99</v>
      </c>
      <c r="EM961" s="4">
        <f t="shared" si="808"/>
        <v>0</v>
      </c>
      <c r="EN961" s="4">
        <f t="shared" si="808"/>
        <v>69620.45</v>
      </c>
      <c r="EO961" s="4">
        <f t="shared" si="808"/>
        <v>69620.45</v>
      </c>
      <c r="EP961" s="4">
        <f t="shared" si="808"/>
        <v>0</v>
      </c>
      <c r="EQ961" s="4">
        <f t="shared" si="808"/>
        <v>69620.45</v>
      </c>
      <c r="ER961" s="4">
        <f t="shared" si="808"/>
        <v>0</v>
      </c>
      <c r="ES961" s="4">
        <f t="shared" si="808"/>
        <v>0</v>
      </c>
      <c r="ET961" s="4">
        <f t="shared" si="808"/>
        <v>0</v>
      </c>
      <c r="EU961" s="4">
        <f t="shared" si="808"/>
        <v>0</v>
      </c>
      <c r="EV961" s="4">
        <f t="shared" si="808"/>
        <v>0</v>
      </c>
      <c r="EW961" s="4"/>
      <c r="EX961" s="4"/>
      <c r="EY961" s="4"/>
      <c r="EZ961" s="4"/>
      <c r="FA961" s="4"/>
      <c r="FB961" s="4"/>
      <c r="FC961" s="4"/>
      <c r="FD961" s="4"/>
      <c r="FE961" s="4"/>
      <c r="FF961" s="4"/>
      <c r="FG961" s="4"/>
      <c r="FH961" s="4"/>
      <c r="FI961" s="4"/>
      <c r="FJ961" s="4"/>
      <c r="FK961" s="4"/>
      <c r="FL961" s="4"/>
      <c r="FM961" s="4"/>
      <c r="FN961" s="4"/>
      <c r="FO961" s="4"/>
      <c r="FP961" s="4"/>
      <c r="FQ961" s="4"/>
      <c r="FR961" s="4"/>
      <c r="FS961" s="4"/>
      <c r="FT961" s="4"/>
      <c r="FU961" s="4"/>
      <c r="FV961" s="4"/>
      <c r="FW961" s="4"/>
      <c r="FX961" s="4"/>
      <c r="FY961" s="4"/>
      <c r="FZ961" s="4"/>
      <c r="GA961" s="4"/>
      <c r="GB961" s="4"/>
      <c r="GC961" s="4"/>
      <c r="GD961" s="4"/>
      <c r="GE961" s="4"/>
      <c r="GF961" s="4"/>
      <c r="GG961" s="4"/>
      <c r="GH961" s="4"/>
      <c r="GI961" s="4"/>
      <c r="GJ961" s="4"/>
      <c r="GK961" s="4"/>
      <c r="GL961" s="4"/>
      <c r="GM961" s="4"/>
      <c r="GN961" s="4"/>
      <c r="GO961" s="4"/>
      <c r="GP961" s="4"/>
      <c r="GQ961" s="4"/>
      <c r="GR961" s="4"/>
      <c r="GS961" s="4"/>
      <c r="GT961" s="4"/>
      <c r="GU961" s="4"/>
      <c r="GV961" s="4"/>
      <c r="GW961" s="4"/>
      <c r="GX961" s="4">
        <v>0</v>
      </c>
    </row>
    <row r="963" spans="1:206" x14ac:dyDescent="0.2">
      <c r="A963" s="5">
        <v>50</v>
      </c>
      <c r="B963" s="5">
        <v>0</v>
      </c>
      <c r="C963" s="5">
        <v>0</v>
      </c>
      <c r="D963" s="5">
        <v>1</v>
      </c>
      <c r="E963" s="5">
        <v>201</v>
      </c>
      <c r="F963" s="5">
        <f>ROUND(Source!O961,O963)</f>
        <v>9407.77</v>
      </c>
      <c r="G963" s="5" t="s">
        <v>26</v>
      </c>
      <c r="H963" s="5" t="s">
        <v>27</v>
      </c>
      <c r="I963" s="5"/>
      <c r="J963" s="5"/>
      <c r="K963" s="5">
        <v>201</v>
      </c>
      <c r="L963" s="5">
        <v>1</v>
      </c>
      <c r="M963" s="5">
        <v>3</v>
      </c>
      <c r="N963" s="5" t="s">
        <v>3</v>
      </c>
      <c r="O963" s="5">
        <v>2</v>
      </c>
      <c r="P963" s="5">
        <f>ROUND(Source!DG961,O963)</f>
        <v>91344.88</v>
      </c>
      <c r="Q963" s="5"/>
      <c r="R963" s="5"/>
      <c r="S963" s="5"/>
      <c r="T963" s="5"/>
      <c r="U963" s="5"/>
      <c r="V963" s="5"/>
      <c r="W963" s="5">
        <v>9407.77</v>
      </c>
      <c r="X963" s="5">
        <v>1</v>
      </c>
      <c r="Y963" s="5">
        <v>9407.77</v>
      </c>
      <c r="Z963" s="5">
        <v>91344.88</v>
      </c>
      <c r="AA963" s="5">
        <v>1</v>
      </c>
      <c r="AB963" s="5">
        <v>91344.88</v>
      </c>
    </row>
    <row r="964" spans="1:206" x14ac:dyDescent="0.2">
      <c r="A964" s="5">
        <v>50</v>
      </c>
      <c r="B964" s="5">
        <v>0</v>
      </c>
      <c r="C964" s="5">
        <v>0</v>
      </c>
      <c r="D964" s="5">
        <v>1</v>
      </c>
      <c r="E964" s="5">
        <v>202</v>
      </c>
      <c r="F964" s="5">
        <f>ROUND(Source!P961,O964)</f>
        <v>8608.2099999999991</v>
      </c>
      <c r="G964" s="5" t="s">
        <v>28</v>
      </c>
      <c r="H964" s="5" t="s">
        <v>29</v>
      </c>
      <c r="I964" s="5"/>
      <c r="J964" s="5"/>
      <c r="K964" s="5">
        <v>202</v>
      </c>
      <c r="L964" s="5">
        <v>2</v>
      </c>
      <c r="M964" s="5">
        <v>3</v>
      </c>
      <c r="N964" s="5" t="s">
        <v>3</v>
      </c>
      <c r="O964" s="5">
        <v>2</v>
      </c>
      <c r="P964" s="5">
        <f>ROUND(Source!DH961,O964)</f>
        <v>69620.45</v>
      </c>
      <c r="Q964" s="5"/>
      <c r="R964" s="5"/>
      <c r="S964" s="5"/>
      <c r="T964" s="5"/>
      <c r="U964" s="5"/>
      <c r="V964" s="5"/>
      <c r="W964" s="5">
        <v>8608.2099999999991</v>
      </c>
      <c r="X964" s="5">
        <v>1</v>
      </c>
      <c r="Y964" s="5">
        <v>8608.2099999999991</v>
      </c>
      <c r="Z964" s="5">
        <v>69620.45</v>
      </c>
      <c r="AA964" s="5">
        <v>1</v>
      </c>
      <c r="AB964" s="5">
        <v>69620.45</v>
      </c>
    </row>
    <row r="965" spans="1:206" x14ac:dyDescent="0.2">
      <c r="A965" s="5">
        <v>50</v>
      </c>
      <c r="B965" s="5">
        <v>0</v>
      </c>
      <c r="C965" s="5">
        <v>0</v>
      </c>
      <c r="D965" s="5">
        <v>1</v>
      </c>
      <c r="E965" s="5">
        <v>222</v>
      </c>
      <c r="F965" s="5">
        <f>ROUND(Source!AO961,O965)</f>
        <v>0</v>
      </c>
      <c r="G965" s="5" t="s">
        <v>30</v>
      </c>
      <c r="H965" s="5" t="s">
        <v>31</v>
      </c>
      <c r="I965" s="5"/>
      <c r="J965" s="5"/>
      <c r="K965" s="5">
        <v>222</v>
      </c>
      <c r="L965" s="5">
        <v>3</v>
      </c>
      <c r="M965" s="5">
        <v>3</v>
      </c>
      <c r="N965" s="5" t="s">
        <v>3</v>
      </c>
      <c r="O965" s="5">
        <v>2</v>
      </c>
      <c r="P965" s="5">
        <f>ROUND(Source!EG961,O965)</f>
        <v>0</v>
      </c>
      <c r="Q965" s="5"/>
      <c r="R965" s="5"/>
      <c r="S965" s="5"/>
      <c r="T965" s="5"/>
      <c r="U965" s="5"/>
      <c r="V965" s="5"/>
      <c r="W965" s="5">
        <v>0</v>
      </c>
      <c r="X965" s="5">
        <v>1</v>
      </c>
      <c r="Y965" s="5">
        <v>0</v>
      </c>
      <c r="Z965" s="5">
        <v>0</v>
      </c>
      <c r="AA965" s="5">
        <v>1</v>
      </c>
      <c r="AB965" s="5">
        <v>0</v>
      </c>
    </row>
    <row r="966" spans="1:206" x14ac:dyDescent="0.2">
      <c r="A966" s="5">
        <v>50</v>
      </c>
      <c r="B966" s="5">
        <v>0</v>
      </c>
      <c r="C966" s="5">
        <v>0</v>
      </c>
      <c r="D966" s="5">
        <v>1</v>
      </c>
      <c r="E966" s="5">
        <v>225</v>
      </c>
      <c r="F966" s="5">
        <f>ROUND(Source!AV961,O966)</f>
        <v>8608.2099999999991</v>
      </c>
      <c r="G966" s="5" t="s">
        <v>32</v>
      </c>
      <c r="H966" s="5" t="s">
        <v>33</v>
      </c>
      <c r="I966" s="5"/>
      <c r="J966" s="5"/>
      <c r="K966" s="5">
        <v>225</v>
      </c>
      <c r="L966" s="5">
        <v>4</v>
      </c>
      <c r="M966" s="5">
        <v>3</v>
      </c>
      <c r="N966" s="5" t="s">
        <v>3</v>
      </c>
      <c r="O966" s="5">
        <v>2</v>
      </c>
      <c r="P966" s="5">
        <f>ROUND(Source!EN961,O966)</f>
        <v>69620.45</v>
      </c>
      <c r="Q966" s="5"/>
      <c r="R966" s="5"/>
      <c r="S966" s="5"/>
      <c r="T966" s="5"/>
      <c r="U966" s="5"/>
      <c r="V966" s="5"/>
      <c r="W966" s="5">
        <v>8608.2099999999991</v>
      </c>
      <c r="X966" s="5">
        <v>1</v>
      </c>
      <c r="Y966" s="5">
        <v>8608.2099999999991</v>
      </c>
      <c r="Z966" s="5">
        <v>69620.45</v>
      </c>
      <c r="AA966" s="5">
        <v>1</v>
      </c>
      <c r="AB966" s="5">
        <v>69620.45</v>
      </c>
    </row>
    <row r="967" spans="1:206" x14ac:dyDescent="0.2">
      <c r="A967" s="5">
        <v>50</v>
      </c>
      <c r="B967" s="5">
        <v>0</v>
      </c>
      <c r="C967" s="5">
        <v>0</v>
      </c>
      <c r="D967" s="5">
        <v>1</v>
      </c>
      <c r="E967" s="5">
        <v>226</v>
      </c>
      <c r="F967" s="5">
        <f>ROUND(Source!AW961,O967)</f>
        <v>8608.2099999999991</v>
      </c>
      <c r="G967" s="5" t="s">
        <v>34</v>
      </c>
      <c r="H967" s="5" t="s">
        <v>35</v>
      </c>
      <c r="I967" s="5"/>
      <c r="J967" s="5"/>
      <c r="K967" s="5">
        <v>226</v>
      </c>
      <c r="L967" s="5">
        <v>5</v>
      </c>
      <c r="M967" s="5">
        <v>3</v>
      </c>
      <c r="N967" s="5" t="s">
        <v>3</v>
      </c>
      <c r="O967" s="5">
        <v>2</v>
      </c>
      <c r="P967" s="5">
        <f>ROUND(Source!EO961,O967)</f>
        <v>69620.45</v>
      </c>
      <c r="Q967" s="5"/>
      <c r="R967" s="5"/>
      <c r="S967" s="5"/>
      <c r="T967" s="5"/>
      <c r="U967" s="5"/>
      <c r="V967" s="5"/>
      <c r="W967" s="5">
        <v>8608.2099999999991</v>
      </c>
      <c r="X967" s="5">
        <v>1</v>
      </c>
      <c r="Y967" s="5">
        <v>8608.2099999999991</v>
      </c>
      <c r="Z967" s="5">
        <v>69620.45</v>
      </c>
      <c r="AA967" s="5">
        <v>1</v>
      </c>
      <c r="AB967" s="5">
        <v>69620.45</v>
      </c>
    </row>
    <row r="968" spans="1:206" x14ac:dyDescent="0.2">
      <c r="A968" s="5">
        <v>50</v>
      </c>
      <c r="B968" s="5">
        <v>0</v>
      </c>
      <c r="C968" s="5">
        <v>0</v>
      </c>
      <c r="D968" s="5">
        <v>1</v>
      </c>
      <c r="E968" s="5">
        <v>227</v>
      </c>
      <c r="F968" s="5">
        <f>ROUND(Source!AX961,O968)</f>
        <v>0</v>
      </c>
      <c r="G968" s="5" t="s">
        <v>36</v>
      </c>
      <c r="H968" s="5" t="s">
        <v>37</v>
      </c>
      <c r="I968" s="5"/>
      <c r="J968" s="5"/>
      <c r="K968" s="5">
        <v>227</v>
      </c>
      <c r="L968" s="5">
        <v>6</v>
      </c>
      <c r="M968" s="5">
        <v>3</v>
      </c>
      <c r="N968" s="5" t="s">
        <v>3</v>
      </c>
      <c r="O968" s="5">
        <v>2</v>
      </c>
      <c r="P968" s="5">
        <f>ROUND(Source!EP961,O968)</f>
        <v>0</v>
      </c>
      <c r="Q968" s="5"/>
      <c r="R968" s="5"/>
      <c r="S968" s="5"/>
      <c r="T968" s="5"/>
      <c r="U968" s="5"/>
      <c r="V968" s="5"/>
      <c r="W968" s="5">
        <v>0</v>
      </c>
      <c r="X968" s="5">
        <v>1</v>
      </c>
      <c r="Y968" s="5">
        <v>0</v>
      </c>
      <c r="Z968" s="5">
        <v>0</v>
      </c>
      <c r="AA968" s="5">
        <v>1</v>
      </c>
      <c r="AB968" s="5">
        <v>0</v>
      </c>
    </row>
    <row r="969" spans="1:206" x14ac:dyDescent="0.2">
      <c r="A969" s="5">
        <v>50</v>
      </c>
      <c r="B969" s="5">
        <v>0</v>
      </c>
      <c r="C969" s="5">
        <v>0</v>
      </c>
      <c r="D969" s="5">
        <v>1</v>
      </c>
      <c r="E969" s="5">
        <v>228</v>
      </c>
      <c r="F969" s="5">
        <f>ROUND(Source!AY961,O969)</f>
        <v>8608.2099999999991</v>
      </c>
      <c r="G969" s="5" t="s">
        <v>38</v>
      </c>
      <c r="H969" s="5" t="s">
        <v>39</v>
      </c>
      <c r="I969" s="5"/>
      <c r="J969" s="5"/>
      <c r="K969" s="5">
        <v>228</v>
      </c>
      <c r="L969" s="5">
        <v>7</v>
      </c>
      <c r="M969" s="5">
        <v>3</v>
      </c>
      <c r="N969" s="5" t="s">
        <v>3</v>
      </c>
      <c r="O969" s="5">
        <v>2</v>
      </c>
      <c r="P969" s="5">
        <f>ROUND(Source!EQ961,O969)</f>
        <v>69620.45</v>
      </c>
      <c r="Q969" s="5"/>
      <c r="R969" s="5"/>
      <c r="S969" s="5"/>
      <c r="T969" s="5"/>
      <c r="U969" s="5"/>
      <c r="V969" s="5"/>
      <c r="W969" s="5">
        <v>8608.2099999999991</v>
      </c>
      <c r="X969" s="5">
        <v>1</v>
      </c>
      <c r="Y969" s="5">
        <v>8608.2099999999991</v>
      </c>
      <c r="Z969" s="5">
        <v>69620.45</v>
      </c>
      <c r="AA969" s="5">
        <v>1</v>
      </c>
      <c r="AB969" s="5">
        <v>69620.45</v>
      </c>
    </row>
    <row r="970" spans="1:206" x14ac:dyDescent="0.2">
      <c r="A970" s="5">
        <v>50</v>
      </c>
      <c r="B970" s="5">
        <v>0</v>
      </c>
      <c r="C970" s="5">
        <v>0</v>
      </c>
      <c r="D970" s="5">
        <v>1</v>
      </c>
      <c r="E970" s="5">
        <v>216</v>
      </c>
      <c r="F970" s="5">
        <f>ROUND(Source!AP961,O970)</f>
        <v>0</v>
      </c>
      <c r="G970" s="5" t="s">
        <v>40</v>
      </c>
      <c r="H970" s="5" t="s">
        <v>41</v>
      </c>
      <c r="I970" s="5"/>
      <c r="J970" s="5"/>
      <c r="K970" s="5">
        <v>216</v>
      </c>
      <c r="L970" s="5">
        <v>8</v>
      </c>
      <c r="M970" s="5">
        <v>3</v>
      </c>
      <c r="N970" s="5" t="s">
        <v>3</v>
      </c>
      <c r="O970" s="5">
        <v>2</v>
      </c>
      <c r="P970" s="5">
        <f>ROUND(Source!EH961,O970)</f>
        <v>0</v>
      </c>
      <c r="Q970" s="5"/>
      <c r="R970" s="5"/>
      <c r="S970" s="5"/>
      <c r="T970" s="5"/>
      <c r="U970" s="5"/>
      <c r="V970" s="5"/>
      <c r="W970" s="5">
        <v>0</v>
      </c>
      <c r="X970" s="5">
        <v>1</v>
      </c>
      <c r="Y970" s="5">
        <v>0</v>
      </c>
      <c r="Z970" s="5">
        <v>0</v>
      </c>
      <c r="AA970" s="5">
        <v>1</v>
      </c>
      <c r="AB970" s="5">
        <v>0</v>
      </c>
    </row>
    <row r="971" spans="1:206" x14ac:dyDescent="0.2">
      <c r="A971" s="5">
        <v>50</v>
      </c>
      <c r="B971" s="5">
        <v>0</v>
      </c>
      <c r="C971" s="5">
        <v>0</v>
      </c>
      <c r="D971" s="5">
        <v>1</v>
      </c>
      <c r="E971" s="5">
        <v>223</v>
      </c>
      <c r="F971" s="5">
        <f>ROUND(Source!AQ961,O971)</f>
        <v>0</v>
      </c>
      <c r="G971" s="5" t="s">
        <v>42</v>
      </c>
      <c r="H971" s="5" t="s">
        <v>43</v>
      </c>
      <c r="I971" s="5"/>
      <c r="J971" s="5"/>
      <c r="K971" s="5">
        <v>223</v>
      </c>
      <c r="L971" s="5">
        <v>9</v>
      </c>
      <c r="M971" s="5">
        <v>3</v>
      </c>
      <c r="N971" s="5" t="s">
        <v>3</v>
      </c>
      <c r="O971" s="5">
        <v>2</v>
      </c>
      <c r="P971" s="5">
        <f>ROUND(Source!EI961,O971)</f>
        <v>0</v>
      </c>
      <c r="Q971" s="5"/>
      <c r="R971" s="5"/>
      <c r="S971" s="5"/>
      <c r="T971" s="5"/>
      <c r="U971" s="5"/>
      <c r="V971" s="5"/>
      <c r="W971" s="5">
        <v>0</v>
      </c>
      <c r="X971" s="5">
        <v>1</v>
      </c>
      <c r="Y971" s="5">
        <v>0</v>
      </c>
      <c r="Z971" s="5">
        <v>0</v>
      </c>
      <c r="AA971" s="5">
        <v>1</v>
      </c>
      <c r="AB971" s="5">
        <v>0</v>
      </c>
    </row>
    <row r="972" spans="1:206" x14ac:dyDescent="0.2">
      <c r="A972" s="5">
        <v>50</v>
      </c>
      <c r="B972" s="5">
        <v>0</v>
      </c>
      <c r="C972" s="5">
        <v>0</v>
      </c>
      <c r="D972" s="5">
        <v>1</v>
      </c>
      <c r="E972" s="5">
        <v>229</v>
      </c>
      <c r="F972" s="5">
        <f>ROUND(Source!AZ961,O972)</f>
        <v>0</v>
      </c>
      <c r="G972" s="5" t="s">
        <v>44</v>
      </c>
      <c r="H972" s="5" t="s">
        <v>45</v>
      </c>
      <c r="I972" s="5"/>
      <c r="J972" s="5"/>
      <c r="K972" s="5">
        <v>229</v>
      </c>
      <c r="L972" s="5">
        <v>10</v>
      </c>
      <c r="M972" s="5">
        <v>3</v>
      </c>
      <c r="N972" s="5" t="s">
        <v>3</v>
      </c>
      <c r="O972" s="5">
        <v>2</v>
      </c>
      <c r="P972" s="5">
        <f>ROUND(Source!ER961,O972)</f>
        <v>0</v>
      </c>
      <c r="Q972" s="5"/>
      <c r="R972" s="5"/>
      <c r="S972" s="5"/>
      <c r="T972" s="5"/>
      <c r="U972" s="5"/>
      <c r="V972" s="5"/>
      <c r="W972" s="5">
        <v>0</v>
      </c>
      <c r="X972" s="5">
        <v>1</v>
      </c>
      <c r="Y972" s="5">
        <v>0</v>
      </c>
      <c r="Z972" s="5">
        <v>0</v>
      </c>
      <c r="AA972" s="5">
        <v>1</v>
      </c>
      <c r="AB972" s="5">
        <v>0</v>
      </c>
    </row>
    <row r="973" spans="1:206" x14ac:dyDescent="0.2">
      <c r="A973" s="5">
        <v>50</v>
      </c>
      <c r="B973" s="5">
        <v>0</v>
      </c>
      <c r="C973" s="5">
        <v>0</v>
      </c>
      <c r="D973" s="5">
        <v>1</v>
      </c>
      <c r="E973" s="5">
        <v>203</v>
      </c>
      <c r="F973" s="5">
        <f>ROUND(Source!Q961,O973)</f>
        <v>81.59</v>
      </c>
      <c r="G973" s="5" t="s">
        <v>46</v>
      </c>
      <c r="H973" s="5" t="s">
        <v>47</v>
      </c>
      <c r="I973" s="5"/>
      <c r="J973" s="5"/>
      <c r="K973" s="5">
        <v>203</v>
      </c>
      <c r="L973" s="5">
        <v>11</v>
      </c>
      <c r="M973" s="5">
        <v>3</v>
      </c>
      <c r="N973" s="5" t="s">
        <v>3</v>
      </c>
      <c r="O973" s="5">
        <v>2</v>
      </c>
      <c r="P973" s="5">
        <f>ROUND(Source!DI961,O973)</f>
        <v>881.75</v>
      </c>
      <c r="Q973" s="5"/>
      <c r="R973" s="5"/>
      <c r="S973" s="5"/>
      <c r="T973" s="5"/>
      <c r="U973" s="5"/>
      <c r="V973" s="5"/>
      <c r="W973" s="5">
        <v>81.59</v>
      </c>
      <c r="X973" s="5">
        <v>1</v>
      </c>
      <c r="Y973" s="5">
        <v>81.59</v>
      </c>
      <c r="Z973" s="5">
        <v>881.75</v>
      </c>
      <c r="AA973" s="5">
        <v>1</v>
      </c>
      <c r="AB973" s="5">
        <v>881.75</v>
      </c>
    </row>
    <row r="974" spans="1:206" x14ac:dyDescent="0.2">
      <c r="A974" s="5">
        <v>50</v>
      </c>
      <c r="B974" s="5">
        <v>0</v>
      </c>
      <c r="C974" s="5">
        <v>0</v>
      </c>
      <c r="D974" s="5">
        <v>1</v>
      </c>
      <c r="E974" s="5">
        <v>231</v>
      </c>
      <c r="F974" s="5">
        <f>ROUND(Source!BB961,O974)</f>
        <v>0</v>
      </c>
      <c r="G974" s="5" t="s">
        <v>48</v>
      </c>
      <c r="H974" s="5" t="s">
        <v>49</v>
      </c>
      <c r="I974" s="5"/>
      <c r="J974" s="5"/>
      <c r="K974" s="5">
        <v>231</v>
      </c>
      <c r="L974" s="5">
        <v>12</v>
      </c>
      <c r="M974" s="5">
        <v>3</v>
      </c>
      <c r="N974" s="5" t="s">
        <v>3</v>
      </c>
      <c r="O974" s="5">
        <v>2</v>
      </c>
      <c r="P974" s="5">
        <f>ROUND(Source!ET961,O974)</f>
        <v>0</v>
      </c>
      <c r="Q974" s="5"/>
      <c r="R974" s="5"/>
      <c r="S974" s="5"/>
      <c r="T974" s="5"/>
      <c r="U974" s="5"/>
      <c r="V974" s="5"/>
      <c r="W974" s="5">
        <v>0</v>
      </c>
      <c r="X974" s="5">
        <v>1</v>
      </c>
      <c r="Y974" s="5">
        <v>0</v>
      </c>
      <c r="Z974" s="5">
        <v>0</v>
      </c>
      <c r="AA974" s="5">
        <v>1</v>
      </c>
      <c r="AB974" s="5">
        <v>0</v>
      </c>
    </row>
    <row r="975" spans="1:206" x14ac:dyDescent="0.2">
      <c r="A975" s="5">
        <v>50</v>
      </c>
      <c r="B975" s="5">
        <v>0</v>
      </c>
      <c r="C975" s="5">
        <v>0</v>
      </c>
      <c r="D975" s="5">
        <v>1</v>
      </c>
      <c r="E975" s="5">
        <v>204</v>
      </c>
      <c r="F975" s="5">
        <f>ROUND(Source!R961,O975)</f>
        <v>9.02</v>
      </c>
      <c r="G975" s="5" t="s">
        <v>50</v>
      </c>
      <c r="H975" s="5" t="s">
        <v>51</v>
      </c>
      <c r="I975" s="5"/>
      <c r="J975" s="5"/>
      <c r="K975" s="5">
        <v>204</v>
      </c>
      <c r="L975" s="5">
        <v>13</v>
      </c>
      <c r="M975" s="5">
        <v>3</v>
      </c>
      <c r="N975" s="5" t="s">
        <v>3</v>
      </c>
      <c r="O975" s="5">
        <v>2</v>
      </c>
      <c r="P975" s="5">
        <f>ROUND(Source!DJ961,O975)</f>
        <v>261.85000000000002</v>
      </c>
      <c r="Q975" s="5"/>
      <c r="R975" s="5"/>
      <c r="S975" s="5"/>
      <c r="T975" s="5"/>
      <c r="U975" s="5"/>
      <c r="V975" s="5"/>
      <c r="W975" s="5">
        <v>9.02</v>
      </c>
      <c r="X975" s="5">
        <v>1</v>
      </c>
      <c r="Y975" s="5">
        <v>9.02</v>
      </c>
      <c r="Z975" s="5">
        <v>261.85000000000002</v>
      </c>
      <c r="AA975" s="5">
        <v>1</v>
      </c>
      <c r="AB975" s="5">
        <v>261.85000000000002</v>
      </c>
    </row>
    <row r="976" spans="1:206" x14ac:dyDescent="0.2">
      <c r="A976" s="5">
        <v>50</v>
      </c>
      <c r="B976" s="5">
        <v>0</v>
      </c>
      <c r="C976" s="5">
        <v>0</v>
      </c>
      <c r="D976" s="5">
        <v>1</v>
      </c>
      <c r="E976" s="5">
        <v>205</v>
      </c>
      <c r="F976" s="5">
        <f>ROUND(Source!S961,O976)</f>
        <v>717.97</v>
      </c>
      <c r="G976" s="5" t="s">
        <v>52</v>
      </c>
      <c r="H976" s="5" t="s">
        <v>53</v>
      </c>
      <c r="I976" s="5"/>
      <c r="J976" s="5"/>
      <c r="K976" s="5">
        <v>205</v>
      </c>
      <c r="L976" s="5">
        <v>14</v>
      </c>
      <c r="M976" s="5">
        <v>3</v>
      </c>
      <c r="N976" s="5" t="s">
        <v>3</v>
      </c>
      <c r="O976" s="5">
        <v>2</v>
      </c>
      <c r="P976" s="5">
        <f>ROUND(Source!DK961,O976)</f>
        <v>20842.68</v>
      </c>
      <c r="Q976" s="5"/>
      <c r="R976" s="5"/>
      <c r="S976" s="5"/>
      <c r="T976" s="5"/>
      <c r="U976" s="5"/>
      <c r="V976" s="5"/>
      <c r="W976" s="5">
        <v>717.97</v>
      </c>
      <c r="X976" s="5">
        <v>1</v>
      </c>
      <c r="Y976" s="5">
        <v>717.97</v>
      </c>
      <c r="Z976" s="5">
        <v>20842.68</v>
      </c>
      <c r="AA976" s="5">
        <v>1</v>
      </c>
      <c r="AB976" s="5">
        <v>20842.68</v>
      </c>
    </row>
    <row r="977" spans="1:95" x14ac:dyDescent="0.2">
      <c r="A977" s="5">
        <v>50</v>
      </c>
      <c r="B977" s="5">
        <v>0</v>
      </c>
      <c r="C977" s="5">
        <v>0</v>
      </c>
      <c r="D977" s="5">
        <v>1</v>
      </c>
      <c r="E977" s="5">
        <v>232</v>
      </c>
      <c r="F977" s="5">
        <f>ROUND(Source!BC961,O977)</f>
        <v>0</v>
      </c>
      <c r="G977" s="5" t="s">
        <v>54</v>
      </c>
      <c r="H977" s="5" t="s">
        <v>55</v>
      </c>
      <c r="I977" s="5"/>
      <c r="J977" s="5"/>
      <c r="K977" s="5">
        <v>232</v>
      </c>
      <c r="L977" s="5">
        <v>15</v>
      </c>
      <c r="M977" s="5">
        <v>3</v>
      </c>
      <c r="N977" s="5" t="s">
        <v>3</v>
      </c>
      <c r="O977" s="5">
        <v>2</v>
      </c>
      <c r="P977" s="5">
        <f>ROUND(Source!EU961,O977)</f>
        <v>0</v>
      </c>
      <c r="Q977" s="5"/>
      <c r="R977" s="5"/>
      <c r="S977" s="5"/>
      <c r="T977" s="5"/>
      <c r="U977" s="5"/>
      <c r="V977" s="5"/>
      <c r="W977" s="5">
        <v>0</v>
      </c>
      <c r="X977" s="5">
        <v>1</v>
      </c>
      <c r="Y977" s="5">
        <v>0</v>
      </c>
      <c r="Z977" s="5">
        <v>0</v>
      </c>
      <c r="AA977" s="5">
        <v>1</v>
      </c>
      <c r="AB977" s="5">
        <v>0</v>
      </c>
    </row>
    <row r="978" spans="1:95" x14ac:dyDescent="0.2">
      <c r="A978" s="5">
        <v>50</v>
      </c>
      <c r="B978" s="5">
        <v>0</v>
      </c>
      <c r="C978" s="5">
        <v>0</v>
      </c>
      <c r="D978" s="5">
        <v>1</v>
      </c>
      <c r="E978" s="5">
        <v>214</v>
      </c>
      <c r="F978" s="5">
        <f>ROUND(Source!AS961,O978)</f>
        <v>81.62</v>
      </c>
      <c r="G978" s="5" t="s">
        <v>56</v>
      </c>
      <c r="H978" s="5" t="s">
        <v>57</v>
      </c>
      <c r="I978" s="5"/>
      <c r="J978" s="5"/>
      <c r="K978" s="5">
        <v>214</v>
      </c>
      <c r="L978" s="5">
        <v>16</v>
      </c>
      <c r="M978" s="5">
        <v>3</v>
      </c>
      <c r="N978" s="5" t="s">
        <v>3</v>
      </c>
      <c r="O978" s="5">
        <v>2</v>
      </c>
      <c r="P978" s="5">
        <f>ROUND(Source!EK961,O978)</f>
        <v>2127.34</v>
      </c>
      <c r="Q978" s="5"/>
      <c r="R978" s="5"/>
      <c r="S978" s="5"/>
      <c r="T978" s="5"/>
      <c r="U978" s="5"/>
      <c r="V978" s="5"/>
      <c r="W978" s="5">
        <v>81.62</v>
      </c>
      <c r="X978" s="5">
        <v>1</v>
      </c>
      <c r="Y978" s="5">
        <v>81.62</v>
      </c>
      <c r="Z978" s="5">
        <v>2127.34</v>
      </c>
      <c r="AA978" s="5">
        <v>1</v>
      </c>
      <c r="AB978" s="5">
        <v>2127.34</v>
      </c>
    </row>
    <row r="979" spans="1:95" x14ac:dyDescent="0.2">
      <c r="A979" s="5">
        <v>50</v>
      </c>
      <c r="B979" s="5">
        <v>0</v>
      </c>
      <c r="C979" s="5">
        <v>0</v>
      </c>
      <c r="D979" s="5">
        <v>1</v>
      </c>
      <c r="E979" s="5">
        <v>215</v>
      </c>
      <c r="F979" s="5">
        <f>ROUND(Source!AT961,O979)</f>
        <v>10625.5</v>
      </c>
      <c r="G979" s="5" t="s">
        <v>58</v>
      </c>
      <c r="H979" s="5" t="s">
        <v>59</v>
      </c>
      <c r="I979" s="5"/>
      <c r="J979" s="5"/>
      <c r="K979" s="5">
        <v>215</v>
      </c>
      <c r="L979" s="5">
        <v>17</v>
      </c>
      <c r="M979" s="5">
        <v>3</v>
      </c>
      <c r="N979" s="5" t="s">
        <v>3</v>
      </c>
      <c r="O979" s="5">
        <v>2</v>
      </c>
      <c r="P979" s="5">
        <f>ROUND(Source!EL961,O979)</f>
        <v>114556.99</v>
      </c>
      <c r="Q979" s="5"/>
      <c r="R979" s="5"/>
      <c r="S979" s="5"/>
      <c r="T979" s="5"/>
      <c r="U979" s="5"/>
      <c r="V979" s="5"/>
      <c r="W979" s="5">
        <v>10625.5</v>
      </c>
      <c r="X979" s="5">
        <v>1</v>
      </c>
      <c r="Y979" s="5">
        <v>10625.5</v>
      </c>
      <c r="Z979" s="5">
        <v>114556.99</v>
      </c>
      <c r="AA979" s="5">
        <v>1</v>
      </c>
      <c r="AB979" s="5">
        <v>114556.99</v>
      </c>
    </row>
    <row r="980" spans="1:95" x14ac:dyDescent="0.2">
      <c r="A980" s="5">
        <v>50</v>
      </c>
      <c r="B980" s="5">
        <v>0</v>
      </c>
      <c r="C980" s="5">
        <v>0</v>
      </c>
      <c r="D980" s="5">
        <v>1</v>
      </c>
      <c r="E980" s="5">
        <v>217</v>
      </c>
      <c r="F980" s="5">
        <f>ROUND(Source!AU961,O980)</f>
        <v>0</v>
      </c>
      <c r="G980" s="5" t="s">
        <v>60</v>
      </c>
      <c r="H980" s="5" t="s">
        <v>61</v>
      </c>
      <c r="I980" s="5"/>
      <c r="J980" s="5"/>
      <c r="K980" s="5">
        <v>217</v>
      </c>
      <c r="L980" s="5">
        <v>18</v>
      </c>
      <c r="M980" s="5">
        <v>3</v>
      </c>
      <c r="N980" s="5" t="s">
        <v>3</v>
      </c>
      <c r="O980" s="5">
        <v>2</v>
      </c>
      <c r="P980" s="5">
        <f>ROUND(Source!EM961,O980)</f>
        <v>0</v>
      </c>
      <c r="Q980" s="5"/>
      <c r="R980" s="5"/>
      <c r="S980" s="5"/>
      <c r="T980" s="5"/>
      <c r="U980" s="5"/>
      <c r="V980" s="5"/>
      <c r="W980" s="5">
        <v>0</v>
      </c>
      <c r="X980" s="5">
        <v>1</v>
      </c>
      <c r="Y980" s="5">
        <v>0</v>
      </c>
      <c r="Z980" s="5">
        <v>0</v>
      </c>
      <c r="AA980" s="5">
        <v>1</v>
      </c>
      <c r="AB980" s="5">
        <v>0</v>
      </c>
    </row>
    <row r="981" spans="1:95" x14ac:dyDescent="0.2">
      <c r="A981" s="5">
        <v>50</v>
      </c>
      <c r="B981" s="5">
        <v>0</v>
      </c>
      <c r="C981" s="5">
        <v>0</v>
      </c>
      <c r="D981" s="5">
        <v>1</v>
      </c>
      <c r="E981" s="5">
        <v>230</v>
      </c>
      <c r="F981" s="5">
        <f>ROUND(Source!BA961,O981)</f>
        <v>0</v>
      </c>
      <c r="G981" s="5" t="s">
        <v>62</v>
      </c>
      <c r="H981" s="5" t="s">
        <v>63</v>
      </c>
      <c r="I981" s="5"/>
      <c r="J981" s="5"/>
      <c r="K981" s="5">
        <v>230</v>
      </c>
      <c r="L981" s="5">
        <v>19</v>
      </c>
      <c r="M981" s="5">
        <v>3</v>
      </c>
      <c r="N981" s="5" t="s">
        <v>3</v>
      </c>
      <c r="O981" s="5">
        <v>2</v>
      </c>
      <c r="P981" s="5">
        <f>ROUND(Source!ES961,O981)</f>
        <v>0</v>
      </c>
      <c r="Q981" s="5"/>
      <c r="R981" s="5"/>
      <c r="S981" s="5"/>
      <c r="T981" s="5"/>
      <c r="U981" s="5"/>
      <c r="V981" s="5"/>
      <c r="W981" s="5">
        <v>0</v>
      </c>
      <c r="X981" s="5">
        <v>1</v>
      </c>
      <c r="Y981" s="5">
        <v>0</v>
      </c>
      <c r="Z981" s="5">
        <v>0</v>
      </c>
      <c r="AA981" s="5">
        <v>1</v>
      </c>
      <c r="AB981" s="5">
        <v>0</v>
      </c>
    </row>
    <row r="982" spans="1:95" x14ac:dyDescent="0.2">
      <c r="A982" s="5">
        <v>50</v>
      </c>
      <c r="B982" s="5">
        <v>0</v>
      </c>
      <c r="C982" s="5">
        <v>0</v>
      </c>
      <c r="D982" s="5">
        <v>1</v>
      </c>
      <c r="E982" s="5">
        <v>206</v>
      </c>
      <c r="F982" s="5">
        <f>ROUND(Source!T961,O982)</f>
        <v>0</v>
      </c>
      <c r="G982" s="5" t="s">
        <v>64</v>
      </c>
      <c r="H982" s="5" t="s">
        <v>65</v>
      </c>
      <c r="I982" s="5"/>
      <c r="J982" s="5"/>
      <c r="K982" s="5">
        <v>206</v>
      </c>
      <c r="L982" s="5">
        <v>20</v>
      </c>
      <c r="M982" s="5">
        <v>3</v>
      </c>
      <c r="N982" s="5" t="s">
        <v>3</v>
      </c>
      <c r="O982" s="5">
        <v>2</v>
      </c>
      <c r="P982" s="5">
        <f>ROUND(Source!DL961,O982)</f>
        <v>0</v>
      </c>
      <c r="Q982" s="5"/>
      <c r="R982" s="5"/>
      <c r="S982" s="5"/>
      <c r="T982" s="5"/>
      <c r="U982" s="5"/>
      <c r="V982" s="5"/>
      <c r="W982" s="5">
        <v>0</v>
      </c>
      <c r="X982" s="5">
        <v>1</v>
      </c>
      <c r="Y982" s="5">
        <v>0</v>
      </c>
      <c r="Z982" s="5">
        <v>0</v>
      </c>
      <c r="AA982" s="5">
        <v>1</v>
      </c>
      <c r="AB982" s="5">
        <v>0</v>
      </c>
    </row>
    <row r="983" spans="1:95" x14ac:dyDescent="0.2">
      <c r="A983" s="5">
        <v>50</v>
      </c>
      <c r="B983" s="5">
        <v>0</v>
      </c>
      <c r="C983" s="5">
        <v>0</v>
      </c>
      <c r="D983" s="5">
        <v>1</v>
      </c>
      <c r="E983" s="5">
        <v>207</v>
      </c>
      <c r="F983" s="5">
        <f>Source!U961</f>
        <v>58.990299999999991</v>
      </c>
      <c r="G983" s="5" t="s">
        <v>66</v>
      </c>
      <c r="H983" s="5" t="s">
        <v>67</v>
      </c>
      <c r="I983" s="5"/>
      <c r="J983" s="5"/>
      <c r="K983" s="5">
        <v>207</v>
      </c>
      <c r="L983" s="5">
        <v>21</v>
      </c>
      <c r="M983" s="5">
        <v>3</v>
      </c>
      <c r="N983" s="5" t="s">
        <v>3</v>
      </c>
      <c r="O983" s="5">
        <v>-1</v>
      </c>
      <c r="P983" s="5">
        <f>Source!DM961</f>
        <v>58.990299999999991</v>
      </c>
      <c r="Q983" s="5"/>
      <c r="R983" s="5"/>
      <c r="S983" s="5"/>
      <c r="T983" s="5"/>
      <c r="U983" s="5"/>
      <c r="V983" s="5"/>
      <c r="W983" s="5">
        <v>58.990299999999991</v>
      </c>
      <c r="X983" s="5">
        <v>1</v>
      </c>
      <c r="Y983" s="5">
        <v>58.990299999999991</v>
      </c>
      <c r="Z983" s="5">
        <v>58.990299999999991</v>
      </c>
      <c r="AA983" s="5">
        <v>1</v>
      </c>
      <c r="AB983" s="5">
        <v>58.990299999999991</v>
      </c>
    </row>
    <row r="984" spans="1:95" x14ac:dyDescent="0.2">
      <c r="A984" s="5">
        <v>50</v>
      </c>
      <c r="B984" s="5">
        <v>0</v>
      </c>
      <c r="C984" s="5">
        <v>0</v>
      </c>
      <c r="D984" s="5">
        <v>1</v>
      </c>
      <c r="E984" s="5">
        <v>208</v>
      </c>
      <c r="F984" s="5">
        <f>Source!V961</f>
        <v>0</v>
      </c>
      <c r="G984" s="5" t="s">
        <v>68</v>
      </c>
      <c r="H984" s="5" t="s">
        <v>69</v>
      </c>
      <c r="I984" s="5"/>
      <c r="J984" s="5"/>
      <c r="K984" s="5">
        <v>208</v>
      </c>
      <c r="L984" s="5">
        <v>22</v>
      </c>
      <c r="M984" s="5">
        <v>3</v>
      </c>
      <c r="N984" s="5" t="s">
        <v>3</v>
      </c>
      <c r="O984" s="5">
        <v>-1</v>
      </c>
      <c r="P984" s="5">
        <f>Source!DN961</f>
        <v>0</v>
      </c>
      <c r="Q984" s="5"/>
      <c r="R984" s="5"/>
      <c r="S984" s="5"/>
      <c r="T984" s="5"/>
      <c r="U984" s="5"/>
      <c r="V984" s="5"/>
      <c r="W984" s="5">
        <v>0</v>
      </c>
      <c r="X984" s="5">
        <v>1</v>
      </c>
      <c r="Y984" s="5">
        <v>0</v>
      </c>
      <c r="Z984" s="5">
        <v>0</v>
      </c>
      <c r="AA984" s="5">
        <v>1</v>
      </c>
      <c r="AB984" s="5">
        <v>0</v>
      </c>
    </row>
    <row r="985" spans="1:95" x14ac:dyDescent="0.2">
      <c r="A985" s="5">
        <v>50</v>
      </c>
      <c r="B985" s="5">
        <v>0</v>
      </c>
      <c r="C985" s="5">
        <v>0</v>
      </c>
      <c r="D985" s="5">
        <v>1</v>
      </c>
      <c r="E985" s="5">
        <v>209</v>
      </c>
      <c r="F985" s="5">
        <f>ROUND(Source!W961,O985)</f>
        <v>0</v>
      </c>
      <c r="G985" s="5" t="s">
        <v>70</v>
      </c>
      <c r="H985" s="5" t="s">
        <v>71</v>
      </c>
      <c r="I985" s="5"/>
      <c r="J985" s="5"/>
      <c r="K985" s="5">
        <v>209</v>
      </c>
      <c r="L985" s="5">
        <v>23</v>
      </c>
      <c r="M985" s="5">
        <v>3</v>
      </c>
      <c r="N985" s="5" t="s">
        <v>3</v>
      </c>
      <c r="O985" s="5">
        <v>2</v>
      </c>
      <c r="P985" s="5">
        <f>ROUND(Source!DO961,O985)</f>
        <v>0</v>
      </c>
      <c r="Q985" s="5"/>
      <c r="R985" s="5"/>
      <c r="S985" s="5"/>
      <c r="T985" s="5"/>
      <c r="U985" s="5"/>
      <c r="V985" s="5"/>
      <c r="W985" s="5">
        <v>0</v>
      </c>
      <c r="X985" s="5">
        <v>1</v>
      </c>
      <c r="Y985" s="5">
        <v>0</v>
      </c>
      <c r="Z985" s="5">
        <v>0</v>
      </c>
      <c r="AA985" s="5">
        <v>1</v>
      </c>
      <c r="AB985" s="5">
        <v>0</v>
      </c>
    </row>
    <row r="986" spans="1:95" x14ac:dyDescent="0.2">
      <c r="A986" s="5">
        <v>50</v>
      </c>
      <c r="B986" s="5">
        <v>0</v>
      </c>
      <c r="C986" s="5">
        <v>0</v>
      </c>
      <c r="D986" s="5">
        <v>1</v>
      </c>
      <c r="E986" s="5">
        <v>233</v>
      </c>
      <c r="F986" s="5">
        <f>ROUND(Source!BD961,O986)</f>
        <v>0</v>
      </c>
      <c r="G986" s="5" t="s">
        <v>72</v>
      </c>
      <c r="H986" s="5" t="s">
        <v>73</v>
      </c>
      <c r="I986" s="5"/>
      <c r="J986" s="5"/>
      <c r="K986" s="5">
        <v>233</v>
      </c>
      <c r="L986" s="5">
        <v>24</v>
      </c>
      <c r="M986" s="5">
        <v>3</v>
      </c>
      <c r="N986" s="5" t="s">
        <v>3</v>
      </c>
      <c r="O986" s="5">
        <v>2</v>
      </c>
      <c r="P986" s="5">
        <f>ROUND(Source!EV961,O986)</f>
        <v>0</v>
      </c>
      <c r="Q986" s="5"/>
      <c r="R986" s="5"/>
      <c r="S986" s="5"/>
      <c r="T986" s="5"/>
      <c r="U986" s="5"/>
      <c r="V986" s="5"/>
      <c r="W986" s="5">
        <v>0</v>
      </c>
      <c r="X986" s="5">
        <v>1</v>
      </c>
      <c r="Y986" s="5">
        <v>0</v>
      </c>
      <c r="Z986" s="5">
        <v>0</v>
      </c>
      <c r="AA986" s="5">
        <v>1</v>
      </c>
      <c r="AB986" s="5">
        <v>0</v>
      </c>
    </row>
    <row r="987" spans="1:95" x14ac:dyDescent="0.2">
      <c r="A987" s="5">
        <v>50</v>
      </c>
      <c r="B987" s="5">
        <v>0</v>
      </c>
      <c r="C987" s="5">
        <v>0</v>
      </c>
      <c r="D987" s="5">
        <v>1</v>
      </c>
      <c r="E987" s="5">
        <v>210</v>
      </c>
      <c r="F987" s="5">
        <f>ROUND(Source!X961,O987)</f>
        <v>806.67</v>
      </c>
      <c r="G987" s="5" t="s">
        <v>74</v>
      </c>
      <c r="H987" s="5" t="s">
        <v>75</v>
      </c>
      <c r="I987" s="5"/>
      <c r="J987" s="5"/>
      <c r="K987" s="5">
        <v>210</v>
      </c>
      <c r="L987" s="5">
        <v>25</v>
      </c>
      <c r="M987" s="5">
        <v>3</v>
      </c>
      <c r="N987" s="5" t="s">
        <v>3</v>
      </c>
      <c r="O987" s="5">
        <v>2</v>
      </c>
      <c r="P987" s="5">
        <f>ROUND(Source!DP961,O987)</f>
        <v>16374.98</v>
      </c>
      <c r="Q987" s="5"/>
      <c r="R987" s="5"/>
      <c r="S987" s="5"/>
      <c r="T987" s="5"/>
      <c r="U987" s="5"/>
      <c r="V987" s="5"/>
      <c r="W987" s="5">
        <v>806.67</v>
      </c>
      <c r="X987" s="5">
        <v>1</v>
      </c>
      <c r="Y987" s="5">
        <v>806.67</v>
      </c>
      <c r="Z987" s="5">
        <v>16374.98</v>
      </c>
      <c r="AA987" s="5">
        <v>1</v>
      </c>
      <c r="AB987" s="5">
        <v>16374.98</v>
      </c>
    </row>
    <row r="988" spans="1:95" x14ac:dyDescent="0.2">
      <c r="A988" s="5">
        <v>50</v>
      </c>
      <c r="B988" s="5">
        <v>0</v>
      </c>
      <c r="C988" s="5">
        <v>0</v>
      </c>
      <c r="D988" s="5">
        <v>1</v>
      </c>
      <c r="E988" s="5">
        <v>211</v>
      </c>
      <c r="F988" s="5">
        <f>ROUND(Source!Y961,O988)</f>
        <v>476.88</v>
      </c>
      <c r="G988" s="5" t="s">
        <v>76</v>
      </c>
      <c r="H988" s="5" t="s">
        <v>77</v>
      </c>
      <c r="I988" s="5"/>
      <c r="J988" s="5"/>
      <c r="K988" s="5">
        <v>211</v>
      </c>
      <c r="L988" s="5">
        <v>26</v>
      </c>
      <c r="M988" s="5">
        <v>3</v>
      </c>
      <c r="N988" s="5" t="s">
        <v>3</v>
      </c>
      <c r="O988" s="5">
        <v>2</v>
      </c>
      <c r="P988" s="5">
        <f>ROUND(Source!DQ961,O988)</f>
        <v>8545.51</v>
      </c>
      <c r="Q988" s="5"/>
      <c r="R988" s="5"/>
      <c r="S988" s="5"/>
      <c r="T988" s="5"/>
      <c r="U988" s="5"/>
      <c r="V988" s="5"/>
      <c r="W988" s="5">
        <v>476.88</v>
      </c>
      <c r="X988" s="5">
        <v>1</v>
      </c>
      <c r="Y988" s="5">
        <v>476.88</v>
      </c>
      <c r="Z988" s="5">
        <v>8545.51</v>
      </c>
      <c r="AA988" s="5">
        <v>1</v>
      </c>
      <c r="AB988" s="5">
        <v>8545.51</v>
      </c>
    </row>
    <row r="989" spans="1:95" x14ac:dyDescent="0.2">
      <c r="A989" s="5">
        <v>50</v>
      </c>
      <c r="B989" s="5">
        <v>0</v>
      </c>
      <c r="C989" s="5">
        <v>0</v>
      </c>
      <c r="D989" s="5">
        <v>1</v>
      </c>
      <c r="E989" s="5">
        <v>224</v>
      </c>
      <c r="F989" s="5">
        <f>ROUND(Source!AR961,O989)</f>
        <v>10707.12</v>
      </c>
      <c r="G989" s="5" t="s">
        <v>78</v>
      </c>
      <c r="H989" s="5" t="s">
        <v>79</v>
      </c>
      <c r="I989" s="5"/>
      <c r="J989" s="5"/>
      <c r="K989" s="5">
        <v>224</v>
      </c>
      <c r="L989" s="5">
        <v>27</v>
      </c>
      <c r="M989" s="5">
        <v>3</v>
      </c>
      <c r="N989" s="5" t="s">
        <v>3</v>
      </c>
      <c r="O989" s="5">
        <v>2</v>
      </c>
      <c r="P989" s="5">
        <f>ROUND(Source!EJ961,O989)</f>
        <v>116684.33</v>
      </c>
      <c r="Q989" s="5"/>
      <c r="R989" s="5"/>
      <c r="S989" s="5"/>
      <c r="T989" s="5"/>
      <c r="U989" s="5"/>
      <c r="V989" s="5"/>
      <c r="W989" s="5">
        <v>10707.12</v>
      </c>
      <c r="X989" s="5">
        <v>1</v>
      </c>
      <c r="Y989" s="5">
        <v>10707.12</v>
      </c>
      <c r="Z989" s="5">
        <v>116684.33</v>
      </c>
      <c r="AA989" s="5">
        <v>1</v>
      </c>
      <c r="AB989" s="5">
        <v>116684.33</v>
      </c>
    </row>
    <row r="991" spans="1:95" x14ac:dyDescent="0.2">
      <c r="A991" s="1">
        <v>3</v>
      </c>
      <c r="B991" s="1">
        <v>1</v>
      </c>
      <c r="C991" s="1"/>
      <c r="D991" s="1">
        <f>ROW(A1294)</f>
        <v>1294</v>
      </c>
      <c r="E991" s="1"/>
      <c r="F991" s="1" t="s">
        <v>807</v>
      </c>
      <c r="G991" s="1" t="s">
        <v>808</v>
      </c>
      <c r="H991" s="1" t="s">
        <v>3</v>
      </c>
      <c r="I991" s="1">
        <v>0</v>
      </c>
      <c r="J991" s="1" t="s">
        <v>3</v>
      </c>
      <c r="K991" s="1">
        <v>-1</v>
      </c>
      <c r="L991" s="1" t="s">
        <v>3</v>
      </c>
      <c r="M991" s="1" t="s">
        <v>3</v>
      </c>
      <c r="N991" s="1"/>
      <c r="O991" s="1"/>
      <c r="P991" s="1"/>
      <c r="Q991" s="1"/>
      <c r="R991" s="1"/>
      <c r="S991" s="1">
        <v>0</v>
      </c>
      <c r="T991" s="1">
        <v>0</v>
      </c>
      <c r="U991" s="1" t="s">
        <v>3</v>
      </c>
      <c r="V991" s="1">
        <v>0</v>
      </c>
      <c r="W991" s="1"/>
      <c r="X991" s="1"/>
      <c r="Y991" s="1"/>
      <c r="Z991" s="1"/>
      <c r="AA991" s="1"/>
      <c r="AB991" s="1" t="s">
        <v>3</v>
      </c>
      <c r="AC991" s="1" t="s">
        <v>3</v>
      </c>
      <c r="AD991" s="1" t="s">
        <v>3</v>
      </c>
      <c r="AE991" s="1" t="s">
        <v>3</v>
      </c>
      <c r="AF991" s="1" t="s">
        <v>3</v>
      </c>
      <c r="AG991" s="1" t="s">
        <v>3</v>
      </c>
      <c r="AH991" s="1"/>
      <c r="AI991" s="1"/>
      <c r="AJ991" s="1"/>
      <c r="AK991" s="1"/>
      <c r="AL991" s="1"/>
      <c r="AM991" s="1"/>
      <c r="AN991" s="1"/>
      <c r="AO991" s="1"/>
      <c r="AP991" s="1" t="s">
        <v>3</v>
      </c>
      <c r="AQ991" s="1" t="s">
        <v>3</v>
      </c>
      <c r="AR991" s="1" t="s">
        <v>3</v>
      </c>
      <c r="AS991" s="1"/>
      <c r="AT991" s="1"/>
      <c r="AU991" s="1"/>
      <c r="AV991" s="1"/>
      <c r="AW991" s="1"/>
      <c r="AX991" s="1"/>
      <c r="AY991" s="1"/>
      <c r="AZ991" s="1" t="s">
        <v>3</v>
      </c>
      <c r="BA991" s="1"/>
      <c r="BB991" s="1" t="s">
        <v>3</v>
      </c>
      <c r="BC991" s="1" t="s">
        <v>3</v>
      </c>
      <c r="BD991" s="1" t="s">
        <v>3</v>
      </c>
      <c r="BE991" s="1" t="s">
        <v>3</v>
      </c>
      <c r="BF991" s="1" t="s">
        <v>3</v>
      </c>
      <c r="BG991" s="1" t="s">
        <v>3</v>
      </c>
      <c r="BH991" s="1" t="s">
        <v>3</v>
      </c>
      <c r="BI991" s="1" t="s">
        <v>3</v>
      </c>
      <c r="BJ991" s="1" t="s">
        <v>3</v>
      </c>
      <c r="BK991" s="1" t="s">
        <v>3</v>
      </c>
      <c r="BL991" s="1" t="s">
        <v>3</v>
      </c>
      <c r="BM991" s="1" t="s">
        <v>3</v>
      </c>
      <c r="BN991" s="1" t="s">
        <v>3</v>
      </c>
      <c r="BO991" s="1" t="s">
        <v>3</v>
      </c>
      <c r="BP991" s="1" t="s">
        <v>3</v>
      </c>
      <c r="BQ991" s="1"/>
      <c r="BR991" s="1"/>
      <c r="BS991" s="1"/>
      <c r="BT991" s="1"/>
      <c r="BU991" s="1"/>
      <c r="BV991" s="1"/>
      <c r="BW991" s="1"/>
      <c r="BX991" s="1">
        <v>0</v>
      </c>
      <c r="BY991" s="1"/>
      <c r="BZ991" s="1"/>
      <c r="CA991" s="1"/>
      <c r="CB991" s="1"/>
      <c r="CC991" s="1"/>
      <c r="CD991" s="1"/>
      <c r="CE991" s="1"/>
      <c r="CF991" s="1">
        <v>0</v>
      </c>
      <c r="CG991" s="1">
        <v>0</v>
      </c>
      <c r="CH991" s="1"/>
      <c r="CI991" s="1" t="s">
        <v>3</v>
      </c>
      <c r="CJ991" s="1" t="s">
        <v>3</v>
      </c>
      <c r="CK991" t="s">
        <v>3</v>
      </c>
      <c r="CL991" t="s">
        <v>3</v>
      </c>
      <c r="CM991" t="s">
        <v>3</v>
      </c>
      <c r="CN991" t="s">
        <v>3</v>
      </c>
      <c r="CO991" t="s">
        <v>3</v>
      </c>
      <c r="CP991" t="s">
        <v>3</v>
      </c>
      <c r="CQ991" t="s">
        <v>3</v>
      </c>
    </row>
    <row r="993" spans="1:255" x14ac:dyDescent="0.2">
      <c r="A993" s="3">
        <v>52</v>
      </c>
      <c r="B993" s="3">
        <f t="shared" ref="B993:G993" si="809">B1294</f>
        <v>1</v>
      </c>
      <c r="C993" s="3">
        <f t="shared" si="809"/>
        <v>3</v>
      </c>
      <c r="D993" s="3">
        <f t="shared" si="809"/>
        <v>991</v>
      </c>
      <c r="E993" s="3">
        <f t="shared" si="809"/>
        <v>0</v>
      </c>
      <c r="F993" s="3" t="str">
        <f t="shared" si="809"/>
        <v>02-01-06</v>
      </c>
      <c r="G993" s="3" t="str">
        <f t="shared" si="809"/>
        <v>Система водоснабжения и водоотведения</v>
      </c>
      <c r="H993" s="3"/>
      <c r="I993" s="3"/>
      <c r="J993" s="3"/>
      <c r="K993" s="3"/>
      <c r="L993" s="3"/>
      <c r="M993" s="3"/>
      <c r="N993" s="3"/>
      <c r="O993" s="3">
        <f t="shared" ref="O993:AT993" si="810">O1294</f>
        <v>4343.41</v>
      </c>
      <c r="P993" s="3">
        <f t="shared" si="810"/>
        <v>3301.78</v>
      </c>
      <c r="Q993" s="3">
        <f t="shared" si="810"/>
        <v>75.86</v>
      </c>
      <c r="R993" s="3">
        <f t="shared" si="810"/>
        <v>12.91</v>
      </c>
      <c r="S993" s="3">
        <f t="shared" si="810"/>
        <v>965.77</v>
      </c>
      <c r="T993" s="3">
        <f t="shared" si="810"/>
        <v>0</v>
      </c>
      <c r="U993" s="3">
        <f t="shared" si="810"/>
        <v>76.808025000000001</v>
      </c>
      <c r="V993" s="3">
        <f t="shared" si="810"/>
        <v>0</v>
      </c>
      <c r="W993" s="3">
        <f t="shared" si="810"/>
        <v>0</v>
      </c>
      <c r="X993" s="3">
        <f t="shared" si="810"/>
        <v>1045.23</v>
      </c>
      <c r="Y993" s="3">
        <f t="shared" si="810"/>
        <v>708.02</v>
      </c>
      <c r="Z993" s="3">
        <f t="shared" si="810"/>
        <v>0</v>
      </c>
      <c r="AA993" s="3">
        <f t="shared" si="810"/>
        <v>0</v>
      </c>
      <c r="AB993" s="3">
        <f t="shared" si="810"/>
        <v>0</v>
      </c>
      <c r="AC993" s="3">
        <f t="shared" si="810"/>
        <v>0</v>
      </c>
      <c r="AD993" s="3">
        <f t="shared" si="810"/>
        <v>0</v>
      </c>
      <c r="AE993" s="3">
        <f t="shared" si="810"/>
        <v>0</v>
      </c>
      <c r="AF993" s="3">
        <f t="shared" si="810"/>
        <v>0</v>
      </c>
      <c r="AG993" s="3">
        <f t="shared" si="810"/>
        <v>0</v>
      </c>
      <c r="AH993" s="3">
        <f t="shared" si="810"/>
        <v>0</v>
      </c>
      <c r="AI993" s="3">
        <f t="shared" si="810"/>
        <v>0</v>
      </c>
      <c r="AJ993" s="3">
        <f t="shared" si="810"/>
        <v>0</v>
      </c>
      <c r="AK993" s="3">
        <f t="shared" si="810"/>
        <v>0</v>
      </c>
      <c r="AL993" s="3">
        <f t="shared" si="810"/>
        <v>0</v>
      </c>
      <c r="AM993" s="3">
        <f t="shared" si="810"/>
        <v>0</v>
      </c>
      <c r="AN993" s="3">
        <f t="shared" si="810"/>
        <v>0</v>
      </c>
      <c r="AO993" s="3">
        <f t="shared" si="810"/>
        <v>0</v>
      </c>
      <c r="AP993" s="3">
        <f t="shared" si="810"/>
        <v>0</v>
      </c>
      <c r="AQ993" s="3">
        <f t="shared" si="810"/>
        <v>0</v>
      </c>
      <c r="AR993" s="3">
        <f t="shared" si="810"/>
        <v>6119.27</v>
      </c>
      <c r="AS993" s="3">
        <f t="shared" si="810"/>
        <v>6115.85</v>
      </c>
      <c r="AT993" s="3">
        <f t="shared" si="810"/>
        <v>0</v>
      </c>
      <c r="AU993" s="3">
        <f t="shared" ref="AU993:BZ993" si="811">AU1294</f>
        <v>3.42</v>
      </c>
      <c r="AV993" s="3">
        <f t="shared" si="811"/>
        <v>3301.78</v>
      </c>
      <c r="AW993" s="3">
        <f t="shared" si="811"/>
        <v>3301.78</v>
      </c>
      <c r="AX993" s="3">
        <f t="shared" si="811"/>
        <v>0</v>
      </c>
      <c r="AY993" s="3">
        <f t="shared" si="811"/>
        <v>3301.78</v>
      </c>
      <c r="AZ993" s="3">
        <f t="shared" si="811"/>
        <v>0</v>
      </c>
      <c r="BA993" s="3">
        <f t="shared" si="811"/>
        <v>0</v>
      </c>
      <c r="BB993" s="3">
        <f t="shared" si="811"/>
        <v>0</v>
      </c>
      <c r="BC993" s="3">
        <f t="shared" si="811"/>
        <v>0</v>
      </c>
      <c r="BD993" s="3">
        <f t="shared" si="811"/>
        <v>0</v>
      </c>
      <c r="BE993" s="3">
        <f t="shared" si="811"/>
        <v>0</v>
      </c>
      <c r="BF993" s="3">
        <f t="shared" si="811"/>
        <v>0</v>
      </c>
      <c r="BG993" s="3">
        <f t="shared" si="811"/>
        <v>0</v>
      </c>
      <c r="BH993" s="3">
        <f t="shared" si="811"/>
        <v>0</v>
      </c>
      <c r="BI993" s="3">
        <f t="shared" si="811"/>
        <v>0</v>
      </c>
      <c r="BJ993" s="3">
        <f t="shared" si="811"/>
        <v>0</v>
      </c>
      <c r="BK993" s="3">
        <f t="shared" si="811"/>
        <v>0</v>
      </c>
      <c r="BL993" s="3">
        <f t="shared" si="811"/>
        <v>0</v>
      </c>
      <c r="BM993" s="3">
        <f t="shared" si="811"/>
        <v>0</v>
      </c>
      <c r="BN993" s="3">
        <f t="shared" si="811"/>
        <v>0</v>
      </c>
      <c r="BO993" s="3">
        <f t="shared" si="811"/>
        <v>0</v>
      </c>
      <c r="BP993" s="3">
        <f t="shared" si="811"/>
        <v>0</v>
      </c>
      <c r="BQ993" s="3">
        <f t="shared" si="811"/>
        <v>0</v>
      </c>
      <c r="BR993" s="3">
        <f t="shared" si="811"/>
        <v>0</v>
      </c>
      <c r="BS993" s="3">
        <f t="shared" si="811"/>
        <v>0</v>
      </c>
      <c r="BT993" s="3">
        <f t="shared" si="811"/>
        <v>0</v>
      </c>
      <c r="BU993" s="3">
        <f t="shared" si="811"/>
        <v>0</v>
      </c>
      <c r="BV993" s="3">
        <f t="shared" si="811"/>
        <v>0</v>
      </c>
      <c r="BW993" s="3">
        <f t="shared" si="811"/>
        <v>0</v>
      </c>
      <c r="BX993" s="3">
        <f t="shared" si="811"/>
        <v>0</v>
      </c>
      <c r="BY993" s="3">
        <f t="shared" si="811"/>
        <v>0</v>
      </c>
      <c r="BZ993" s="3">
        <f t="shared" si="811"/>
        <v>0</v>
      </c>
      <c r="CA993" s="3">
        <f t="shared" ref="CA993:DF993" si="812">CA1294</f>
        <v>0</v>
      </c>
      <c r="CB993" s="3">
        <f t="shared" si="812"/>
        <v>0</v>
      </c>
      <c r="CC993" s="3">
        <f t="shared" si="812"/>
        <v>0</v>
      </c>
      <c r="CD993" s="3">
        <f t="shared" si="812"/>
        <v>0</v>
      </c>
      <c r="CE993" s="3">
        <f t="shared" si="812"/>
        <v>0</v>
      </c>
      <c r="CF993" s="3">
        <f t="shared" si="812"/>
        <v>0</v>
      </c>
      <c r="CG993" s="3">
        <f t="shared" si="812"/>
        <v>0</v>
      </c>
      <c r="CH993" s="3">
        <f t="shared" si="812"/>
        <v>0</v>
      </c>
      <c r="CI993" s="3">
        <f t="shared" si="812"/>
        <v>0</v>
      </c>
      <c r="CJ993" s="3">
        <f t="shared" si="812"/>
        <v>0</v>
      </c>
      <c r="CK993" s="3">
        <f t="shared" si="812"/>
        <v>0</v>
      </c>
      <c r="CL993" s="3">
        <f t="shared" si="812"/>
        <v>0</v>
      </c>
      <c r="CM993" s="3">
        <f t="shared" si="812"/>
        <v>0</v>
      </c>
      <c r="CN993" s="3">
        <f t="shared" si="812"/>
        <v>0</v>
      </c>
      <c r="CO993" s="3">
        <f t="shared" si="812"/>
        <v>0</v>
      </c>
      <c r="CP993" s="3">
        <f t="shared" si="812"/>
        <v>0</v>
      </c>
      <c r="CQ993" s="3">
        <f t="shared" si="812"/>
        <v>0</v>
      </c>
      <c r="CR993" s="3">
        <f t="shared" si="812"/>
        <v>0</v>
      </c>
      <c r="CS993" s="3">
        <f t="shared" si="812"/>
        <v>0</v>
      </c>
      <c r="CT993" s="3">
        <f t="shared" si="812"/>
        <v>0</v>
      </c>
      <c r="CU993" s="3">
        <f t="shared" si="812"/>
        <v>0</v>
      </c>
      <c r="CV993" s="3">
        <f t="shared" si="812"/>
        <v>0</v>
      </c>
      <c r="CW993" s="3">
        <f t="shared" si="812"/>
        <v>0</v>
      </c>
      <c r="CX993" s="3">
        <f t="shared" si="812"/>
        <v>0</v>
      </c>
      <c r="CY993" s="3">
        <f t="shared" si="812"/>
        <v>0</v>
      </c>
      <c r="CZ993" s="3">
        <f t="shared" si="812"/>
        <v>0</v>
      </c>
      <c r="DA993" s="3">
        <f t="shared" si="812"/>
        <v>0</v>
      </c>
      <c r="DB993" s="3">
        <f t="shared" si="812"/>
        <v>0</v>
      </c>
      <c r="DC993" s="3">
        <f t="shared" si="812"/>
        <v>0</v>
      </c>
      <c r="DD993" s="3">
        <f t="shared" si="812"/>
        <v>0</v>
      </c>
      <c r="DE993" s="3">
        <f t="shared" si="812"/>
        <v>0</v>
      </c>
      <c r="DF993" s="3">
        <f t="shared" si="812"/>
        <v>0</v>
      </c>
      <c r="DG993" s="4">
        <f t="shared" ref="DG993:EL993" si="813">DG1294</f>
        <v>140417.38</v>
      </c>
      <c r="DH993" s="4">
        <f t="shared" si="813"/>
        <v>111416.79</v>
      </c>
      <c r="DI993" s="4">
        <f t="shared" si="813"/>
        <v>964.28</v>
      </c>
      <c r="DJ993" s="4">
        <f t="shared" si="813"/>
        <v>374.77</v>
      </c>
      <c r="DK993" s="4">
        <f t="shared" si="813"/>
        <v>28036.31</v>
      </c>
      <c r="DL993" s="4">
        <f t="shared" si="813"/>
        <v>0</v>
      </c>
      <c r="DM993" s="4">
        <f t="shared" si="813"/>
        <v>76.808025000000001</v>
      </c>
      <c r="DN993" s="4">
        <f t="shared" si="813"/>
        <v>0</v>
      </c>
      <c r="DO993" s="4">
        <f t="shared" si="813"/>
        <v>0</v>
      </c>
      <c r="DP993" s="4">
        <f t="shared" si="813"/>
        <v>24865.439999999999</v>
      </c>
      <c r="DQ993" s="4">
        <f t="shared" si="813"/>
        <v>11494.9</v>
      </c>
      <c r="DR993" s="4">
        <f t="shared" si="813"/>
        <v>0</v>
      </c>
      <c r="DS993" s="4">
        <f t="shared" si="813"/>
        <v>0</v>
      </c>
      <c r="DT993" s="4">
        <f t="shared" si="813"/>
        <v>0</v>
      </c>
      <c r="DU993" s="4">
        <f t="shared" si="813"/>
        <v>0</v>
      </c>
      <c r="DV993" s="4">
        <f t="shared" si="813"/>
        <v>0</v>
      </c>
      <c r="DW993" s="4">
        <f t="shared" si="813"/>
        <v>0</v>
      </c>
      <c r="DX993" s="4">
        <f t="shared" si="813"/>
        <v>0</v>
      </c>
      <c r="DY993" s="4">
        <f t="shared" si="813"/>
        <v>0</v>
      </c>
      <c r="DZ993" s="4">
        <f t="shared" si="813"/>
        <v>0</v>
      </c>
      <c r="EA993" s="4">
        <f t="shared" si="813"/>
        <v>0</v>
      </c>
      <c r="EB993" s="4">
        <f t="shared" si="813"/>
        <v>0</v>
      </c>
      <c r="EC993" s="4">
        <f t="shared" si="813"/>
        <v>0</v>
      </c>
      <c r="ED993" s="4">
        <f t="shared" si="813"/>
        <v>0</v>
      </c>
      <c r="EE993" s="4">
        <f t="shared" si="813"/>
        <v>0</v>
      </c>
      <c r="EF993" s="4">
        <f t="shared" si="813"/>
        <v>0</v>
      </c>
      <c r="EG993" s="4">
        <f t="shared" si="813"/>
        <v>0</v>
      </c>
      <c r="EH993" s="4">
        <f t="shared" si="813"/>
        <v>0</v>
      </c>
      <c r="EI993" s="4">
        <f t="shared" si="813"/>
        <v>0</v>
      </c>
      <c r="EJ993" s="4">
        <f t="shared" si="813"/>
        <v>177377.35</v>
      </c>
      <c r="EK993" s="4">
        <f t="shared" si="813"/>
        <v>177284.4</v>
      </c>
      <c r="EL993" s="4">
        <f t="shared" si="813"/>
        <v>0</v>
      </c>
      <c r="EM993" s="4">
        <f t="shared" ref="EM993:FR993" si="814">EM1294</f>
        <v>92.95</v>
      </c>
      <c r="EN993" s="4">
        <f t="shared" si="814"/>
        <v>111416.79</v>
      </c>
      <c r="EO993" s="4">
        <f t="shared" si="814"/>
        <v>111416.79</v>
      </c>
      <c r="EP993" s="4">
        <f t="shared" si="814"/>
        <v>0</v>
      </c>
      <c r="EQ993" s="4">
        <f t="shared" si="814"/>
        <v>111416.79</v>
      </c>
      <c r="ER993" s="4">
        <f t="shared" si="814"/>
        <v>0</v>
      </c>
      <c r="ES993" s="4">
        <f t="shared" si="814"/>
        <v>0</v>
      </c>
      <c r="ET993" s="4">
        <f t="shared" si="814"/>
        <v>0</v>
      </c>
      <c r="EU993" s="4">
        <f t="shared" si="814"/>
        <v>0</v>
      </c>
      <c r="EV993" s="4">
        <f t="shared" si="814"/>
        <v>0</v>
      </c>
      <c r="EW993" s="4">
        <f t="shared" si="814"/>
        <v>0</v>
      </c>
      <c r="EX993" s="4">
        <f t="shared" si="814"/>
        <v>0</v>
      </c>
      <c r="EY993" s="4">
        <f t="shared" si="814"/>
        <v>0</v>
      </c>
      <c r="EZ993" s="4">
        <f t="shared" si="814"/>
        <v>0</v>
      </c>
      <c r="FA993" s="4">
        <f t="shared" si="814"/>
        <v>0</v>
      </c>
      <c r="FB993" s="4">
        <f t="shared" si="814"/>
        <v>0</v>
      </c>
      <c r="FC993" s="4">
        <f t="shared" si="814"/>
        <v>0</v>
      </c>
      <c r="FD993" s="4">
        <f t="shared" si="814"/>
        <v>0</v>
      </c>
      <c r="FE993" s="4">
        <f t="shared" si="814"/>
        <v>0</v>
      </c>
      <c r="FF993" s="4">
        <f t="shared" si="814"/>
        <v>0</v>
      </c>
      <c r="FG993" s="4">
        <f t="shared" si="814"/>
        <v>0</v>
      </c>
      <c r="FH993" s="4">
        <f t="shared" si="814"/>
        <v>0</v>
      </c>
      <c r="FI993" s="4">
        <f t="shared" si="814"/>
        <v>0</v>
      </c>
      <c r="FJ993" s="4">
        <f t="shared" si="814"/>
        <v>0</v>
      </c>
      <c r="FK993" s="4">
        <f t="shared" si="814"/>
        <v>0</v>
      </c>
      <c r="FL993" s="4">
        <f t="shared" si="814"/>
        <v>0</v>
      </c>
      <c r="FM993" s="4">
        <f t="shared" si="814"/>
        <v>0</v>
      </c>
      <c r="FN993" s="4">
        <f t="shared" si="814"/>
        <v>0</v>
      </c>
      <c r="FO993" s="4">
        <f t="shared" si="814"/>
        <v>0</v>
      </c>
      <c r="FP993" s="4">
        <f t="shared" si="814"/>
        <v>0</v>
      </c>
      <c r="FQ993" s="4">
        <f t="shared" si="814"/>
        <v>0</v>
      </c>
      <c r="FR993" s="4">
        <f t="shared" si="814"/>
        <v>0</v>
      </c>
      <c r="FS993" s="4">
        <f t="shared" ref="FS993:GX993" si="815">FS1294</f>
        <v>0</v>
      </c>
      <c r="FT993" s="4">
        <f t="shared" si="815"/>
        <v>0</v>
      </c>
      <c r="FU993" s="4">
        <f t="shared" si="815"/>
        <v>0</v>
      </c>
      <c r="FV993" s="4">
        <f t="shared" si="815"/>
        <v>0</v>
      </c>
      <c r="FW993" s="4">
        <f t="shared" si="815"/>
        <v>0</v>
      </c>
      <c r="FX993" s="4">
        <f t="shared" si="815"/>
        <v>0</v>
      </c>
      <c r="FY993" s="4">
        <f t="shared" si="815"/>
        <v>0</v>
      </c>
      <c r="FZ993" s="4">
        <f t="shared" si="815"/>
        <v>0</v>
      </c>
      <c r="GA993" s="4">
        <f t="shared" si="815"/>
        <v>0</v>
      </c>
      <c r="GB993" s="4">
        <f t="shared" si="815"/>
        <v>0</v>
      </c>
      <c r="GC993" s="4">
        <f t="shared" si="815"/>
        <v>0</v>
      </c>
      <c r="GD993" s="4">
        <f t="shared" si="815"/>
        <v>0</v>
      </c>
      <c r="GE993" s="4">
        <f t="shared" si="815"/>
        <v>0</v>
      </c>
      <c r="GF993" s="4">
        <f t="shared" si="815"/>
        <v>0</v>
      </c>
      <c r="GG993" s="4">
        <f t="shared" si="815"/>
        <v>0</v>
      </c>
      <c r="GH993" s="4">
        <f t="shared" si="815"/>
        <v>0</v>
      </c>
      <c r="GI993" s="4">
        <f t="shared" si="815"/>
        <v>0</v>
      </c>
      <c r="GJ993" s="4">
        <f t="shared" si="815"/>
        <v>0</v>
      </c>
      <c r="GK993" s="4">
        <f t="shared" si="815"/>
        <v>0</v>
      </c>
      <c r="GL993" s="4">
        <f t="shared" si="815"/>
        <v>0</v>
      </c>
      <c r="GM993" s="4">
        <f t="shared" si="815"/>
        <v>0</v>
      </c>
      <c r="GN993" s="4">
        <f t="shared" si="815"/>
        <v>0</v>
      </c>
      <c r="GO993" s="4">
        <f t="shared" si="815"/>
        <v>0</v>
      </c>
      <c r="GP993" s="4">
        <f t="shared" si="815"/>
        <v>0</v>
      </c>
      <c r="GQ993" s="4">
        <f t="shared" si="815"/>
        <v>0</v>
      </c>
      <c r="GR993" s="4">
        <f t="shared" si="815"/>
        <v>0</v>
      </c>
      <c r="GS993" s="4">
        <f t="shared" si="815"/>
        <v>0</v>
      </c>
      <c r="GT993" s="4">
        <f t="shared" si="815"/>
        <v>0</v>
      </c>
      <c r="GU993" s="4">
        <f t="shared" si="815"/>
        <v>0</v>
      </c>
      <c r="GV993" s="4">
        <f t="shared" si="815"/>
        <v>0</v>
      </c>
      <c r="GW993" s="4">
        <f t="shared" si="815"/>
        <v>0</v>
      </c>
      <c r="GX993" s="4">
        <f t="shared" si="815"/>
        <v>0</v>
      </c>
    </row>
    <row r="995" spans="1:255" x14ac:dyDescent="0.2">
      <c r="A995" s="1">
        <v>4</v>
      </c>
      <c r="B995" s="1">
        <v>1</v>
      </c>
      <c r="C995" s="1"/>
      <c r="D995" s="1">
        <f>ROW(A1008)</f>
        <v>1008</v>
      </c>
      <c r="E995" s="1"/>
      <c r="F995" s="1" t="s">
        <v>16</v>
      </c>
      <c r="G995" s="1" t="s">
        <v>17</v>
      </c>
      <c r="H995" s="1" t="s">
        <v>3</v>
      </c>
      <c r="I995" s="1">
        <v>0</v>
      </c>
      <c r="J995" s="1"/>
      <c r="K995" s="1">
        <v>0</v>
      </c>
      <c r="L995" s="1"/>
      <c r="M995" s="1" t="s">
        <v>3</v>
      </c>
      <c r="N995" s="1"/>
      <c r="O995" s="1"/>
      <c r="P995" s="1"/>
      <c r="Q995" s="1"/>
      <c r="R995" s="1"/>
      <c r="S995" s="1">
        <v>0</v>
      </c>
      <c r="T995" s="1">
        <v>0</v>
      </c>
      <c r="U995" s="1" t="s">
        <v>3</v>
      </c>
      <c r="V995" s="1">
        <v>0</v>
      </c>
      <c r="W995" s="1"/>
      <c r="X995" s="1"/>
      <c r="Y995" s="1"/>
      <c r="Z995" s="1"/>
      <c r="AA995" s="1"/>
      <c r="AB995" s="1" t="s">
        <v>3</v>
      </c>
      <c r="AC995" s="1" t="s">
        <v>3</v>
      </c>
      <c r="AD995" s="1" t="s">
        <v>3</v>
      </c>
      <c r="AE995" s="1" t="s">
        <v>3</v>
      </c>
      <c r="AF995" s="1" t="s">
        <v>3</v>
      </c>
      <c r="AG995" s="1" t="s">
        <v>3</v>
      </c>
      <c r="AH995" s="1"/>
      <c r="AI995" s="1"/>
      <c r="AJ995" s="1"/>
      <c r="AK995" s="1"/>
      <c r="AL995" s="1"/>
      <c r="AM995" s="1"/>
      <c r="AN995" s="1"/>
      <c r="AO995" s="1"/>
      <c r="AP995" s="1" t="s">
        <v>3</v>
      </c>
      <c r="AQ995" s="1" t="s">
        <v>3</v>
      </c>
      <c r="AR995" s="1" t="s">
        <v>3</v>
      </c>
      <c r="AS995" s="1"/>
      <c r="AT995" s="1"/>
      <c r="AU995" s="1"/>
      <c r="AV995" s="1"/>
      <c r="AW995" s="1"/>
      <c r="AX995" s="1"/>
      <c r="AY995" s="1"/>
      <c r="AZ995" s="1" t="s">
        <v>3</v>
      </c>
      <c r="BA995" s="1"/>
      <c r="BB995" s="1" t="s">
        <v>3</v>
      </c>
      <c r="BC995" s="1" t="s">
        <v>3</v>
      </c>
      <c r="BD995" s="1" t="s">
        <v>3</v>
      </c>
      <c r="BE995" s="1" t="s">
        <v>3</v>
      </c>
      <c r="BF995" s="1" t="s">
        <v>3</v>
      </c>
      <c r="BG995" s="1" t="s">
        <v>3</v>
      </c>
      <c r="BH995" s="1" t="s">
        <v>3</v>
      </c>
      <c r="BI995" s="1" t="s">
        <v>3</v>
      </c>
      <c r="BJ995" s="1" t="s">
        <v>3</v>
      </c>
      <c r="BK995" s="1" t="s">
        <v>3</v>
      </c>
      <c r="BL995" s="1" t="s">
        <v>3</v>
      </c>
      <c r="BM995" s="1" t="s">
        <v>3</v>
      </c>
      <c r="BN995" s="1" t="s">
        <v>3</v>
      </c>
      <c r="BO995" s="1" t="s">
        <v>3</v>
      </c>
      <c r="BP995" s="1" t="s">
        <v>3</v>
      </c>
      <c r="BQ995" s="1"/>
      <c r="BR995" s="1"/>
      <c r="BS995" s="1"/>
      <c r="BT995" s="1"/>
      <c r="BU995" s="1"/>
      <c r="BV995" s="1"/>
      <c r="BW995" s="1"/>
      <c r="BX995" s="1">
        <v>0</v>
      </c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>
        <v>0</v>
      </c>
    </row>
    <row r="997" spans="1:255" x14ac:dyDescent="0.2">
      <c r="A997" s="3">
        <v>52</v>
      </c>
      <c r="B997" s="3">
        <f t="shared" ref="B997:G997" si="816">B1008</f>
        <v>1</v>
      </c>
      <c r="C997" s="3">
        <f t="shared" si="816"/>
        <v>4</v>
      </c>
      <c r="D997" s="3">
        <f t="shared" si="816"/>
        <v>995</v>
      </c>
      <c r="E997" s="3">
        <f t="shared" si="816"/>
        <v>0</v>
      </c>
      <c r="F997" s="3" t="str">
        <f t="shared" si="816"/>
        <v>Новый раздел</v>
      </c>
      <c r="G997" s="3" t="str">
        <f t="shared" si="816"/>
        <v>Демонтажные работы</v>
      </c>
      <c r="H997" s="3"/>
      <c r="I997" s="3"/>
      <c r="J997" s="3"/>
      <c r="K997" s="3"/>
      <c r="L997" s="3"/>
      <c r="M997" s="3"/>
      <c r="N997" s="3"/>
      <c r="O997" s="3">
        <f t="shared" ref="O997:AT997" si="817">O1008</f>
        <v>185.43</v>
      </c>
      <c r="P997" s="3">
        <f t="shared" si="817"/>
        <v>0</v>
      </c>
      <c r="Q997" s="3">
        <f t="shared" si="817"/>
        <v>3.05</v>
      </c>
      <c r="R997" s="3">
        <f t="shared" si="817"/>
        <v>0.41</v>
      </c>
      <c r="S997" s="3">
        <f t="shared" si="817"/>
        <v>182.38</v>
      </c>
      <c r="T997" s="3">
        <f t="shared" si="817"/>
        <v>0</v>
      </c>
      <c r="U997" s="3">
        <f t="shared" si="817"/>
        <v>14.566000000000001</v>
      </c>
      <c r="V997" s="3">
        <f t="shared" si="817"/>
        <v>0</v>
      </c>
      <c r="W997" s="3">
        <f t="shared" si="817"/>
        <v>0</v>
      </c>
      <c r="X997" s="3">
        <f t="shared" si="817"/>
        <v>193.49</v>
      </c>
      <c r="Y997" s="3">
        <f t="shared" si="817"/>
        <v>130.43</v>
      </c>
      <c r="Z997" s="3">
        <f t="shared" si="817"/>
        <v>0</v>
      </c>
      <c r="AA997" s="3">
        <f t="shared" si="817"/>
        <v>0</v>
      </c>
      <c r="AB997" s="3">
        <f t="shared" si="817"/>
        <v>185.43</v>
      </c>
      <c r="AC997" s="3">
        <f t="shared" si="817"/>
        <v>0</v>
      </c>
      <c r="AD997" s="3">
        <f t="shared" si="817"/>
        <v>3.05</v>
      </c>
      <c r="AE997" s="3">
        <f t="shared" si="817"/>
        <v>0.41</v>
      </c>
      <c r="AF997" s="3">
        <f t="shared" si="817"/>
        <v>182.38</v>
      </c>
      <c r="AG997" s="3">
        <f t="shared" si="817"/>
        <v>0</v>
      </c>
      <c r="AH997" s="3">
        <f t="shared" si="817"/>
        <v>14.566000000000001</v>
      </c>
      <c r="AI997" s="3">
        <f t="shared" si="817"/>
        <v>0</v>
      </c>
      <c r="AJ997" s="3">
        <f t="shared" si="817"/>
        <v>0</v>
      </c>
      <c r="AK997" s="3">
        <f t="shared" si="817"/>
        <v>193.49</v>
      </c>
      <c r="AL997" s="3">
        <f t="shared" si="817"/>
        <v>130.43</v>
      </c>
      <c r="AM997" s="3">
        <f t="shared" si="817"/>
        <v>0</v>
      </c>
      <c r="AN997" s="3">
        <f t="shared" si="817"/>
        <v>0</v>
      </c>
      <c r="AO997" s="3">
        <f t="shared" si="817"/>
        <v>0</v>
      </c>
      <c r="AP997" s="3">
        <f t="shared" si="817"/>
        <v>0</v>
      </c>
      <c r="AQ997" s="3">
        <f t="shared" si="817"/>
        <v>0</v>
      </c>
      <c r="AR997" s="3">
        <f t="shared" si="817"/>
        <v>510.07</v>
      </c>
      <c r="AS997" s="3">
        <f t="shared" si="817"/>
        <v>510.07</v>
      </c>
      <c r="AT997" s="3">
        <f t="shared" si="817"/>
        <v>0</v>
      </c>
      <c r="AU997" s="3">
        <f t="shared" ref="AU997:BZ997" si="818">AU1008</f>
        <v>0</v>
      </c>
      <c r="AV997" s="3">
        <f t="shared" si="818"/>
        <v>0</v>
      </c>
      <c r="AW997" s="3">
        <f t="shared" si="818"/>
        <v>0</v>
      </c>
      <c r="AX997" s="3">
        <f t="shared" si="818"/>
        <v>0</v>
      </c>
      <c r="AY997" s="3">
        <f t="shared" si="818"/>
        <v>0</v>
      </c>
      <c r="AZ997" s="3">
        <f t="shared" si="818"/>
        <v>0</v>
      </c>
      <c r="BA997" s="3">
        <f t="shared" si="818"/>
        <v>0</v>
      </c>
      <c r="BB997" s="3">
        <f t="shared" si="818"/>
        <v>0</v>
      </c>
      <c r="BC997" s="3">
        <f t="shared" si="818"/>
        <v>0</v>
      </c>
      <c r="BD997" s="3">
        <f t="shared" si="818"/>
        <v>0</v>
      </c>
      <c r="BE997" s="3">
        <f t="shared" si="818"/>
        <v>0</v>
      </c>
      <c r="BF997" s="3">
        <f t="shared" si="818"/>
        <v>0</v>
      </c>
      <c r="BG997" s="3">
        <f t="shared" si="818"/>
        <v>0</v>
      </c>
      <c r="BH997" s="3">
        <f t="shared" si="818"/>
        <v>0</v>
      </c>
      <c r="BI997" s="3">
        <f t="shared" si="818"/>
        <v>0</v>
      </c>
      <c r="BJ997" s="3">
        <f t="shared" si="818"/>
        <v>0</v>
      </c>
      <c r="BK997" s="3">
        <f t="shared" si="818"/>
        <v>0</v>
      </c>
      <c r="BL997" s="3">
        <f t="shared" si="818"/>
        <v>0</v>
      </c>
      <c r="BM997" s="3">
        <f t="shared" si="818"/>
        <v>0</v>
      </c>
      <c r="BN997" s="3">
        <f t="shared" si="818"/>
        <v>0</v>
      </c>
      <c r="BO997" s="3">
        <f t="shared" si="818"/>
        <v>0</v>
      </c>
      <c r="BP997" s="3">
        <f t="shared" si="818"/>
        <v>0</v>
      </c>
      <c r="BQ997" s="3">
        <f t="shared" si="818"/>
        <v>0</v>
      </c>
      <c r="BR997" s="3">
        <f t="shared" si="818"/>
        <v>0</v>
      </c>
      <c r="BS997" s="3">
        <f t="shared" si="818"/>
        <v>0</v>
      </c>
      <c r="BT997" s="3">
        <f t="shared" si="818"/>
        <v>0</v>
      </c>
      <c r="BU997" s="3">
        <f t="shared" si="818"/>
        <v>0</v>
      </c>
      <c r="BV997" s="3">
        <f t="shared" si="818"/>
        <v>0</v>
      </c>
      <c r="BW997" s="3">
        <f t="shared" si="818"/>
        <v>0</v>
      </c>
      <c r="BX997" s="3">
        <f t="shared" si="818"/>
        <v>0</v>
      </c>
      <c r="BY997" s="3">
        <f t="shared" si="818"/>
        <v>0</v>
      </c>
      <c r="BZ997" s="3">
        <f t="shared" si="818"/>
        <v>0</v>
      </c>
      <c r="CA997" s="3">
        <f t="shared" ref="CA997:DF997" si="819">CA1008</f>
        <v>510.07</v>
      </c>
      <c r="CB997" s="3">
        <f t="shared" si="819"/>
        <v>510.07</v>
      </c>
      <c r="CC997" s="3">
        <f t="shared" si="819"/>
        <v>0</v>
      </c>
      <c r="CD997" s="3">
        <f t="shared" si="819"/>
        <v>0</v>
      </c>
      <c r="CE997" s="3">
        <f t="shared" si="819"/>
        <v>0</v>
      </c>
      <c r="CF997" s="3">
        <f t="shared" si="819"/>
        <v>0</v>
      </c>
      <c r="CG997" s="3">
        <f t="shared" si="819"/>
        <v>0</v>
      </c>
      <c r="CH997" s="3">
        <f t="shared" si="819"/>
        <v>0</v>
      </c>
      <c r="CI997" s="3">
        <f t="shared" si="819"/>
        <v>0</v>
      </c>
      <c r="CJ997" s="3">
        <f t="shared" si="819"/>
        <v>0</v>
      </c>
      <c r="CK997" s="3">
        <f t="shared" si="819"/>
        <v>0</v>
      </c>
      <c r="CL997" s="3">
        <f t="shared" si="819"/>
        <v>0</v>
      </c>
      <c r="CM997" s="3">
        <f t="shared" si="819"/>
        <v>0</v>
      </c>
      <c r="CN997" s="3">
        <f t="shared" si="819"/>
        <v>0</v>
      </c>
      <c r="CO997" s="3">
        <f t="shared" si="819"/>
        <v>0</v>
      </c>
      <c r="CP997" s="3">
        <f t="shared" si="819"/>
        <v>0</v>
      </c>
      <c r="CQ997" s="3">
        <f t="shared" si="819"/>
        <v>0</v>
      </c>
      <c r="CR997" s="3">
        <f t="shared" si="819"/>
        <v>0</v>
      </c>
      <c r="CS997" s="3">
        <f t="shared" si="819"/>
        <v>0</v>
      </c>
      <c r="CT997" s="3">
        <f t="shared" si="819"/>
        <v>0</v>
      </c>
      <c r="CU997" s="3">
        <f t="shared" si="819"/>
        <v>0</v>
      </c>
      <c r="CV997" s="3">
        <f t="shared" si="819"/>
        <v>0</v>
      </c>
      <c r="CW997" s="3">
        <f t="shared" si="819"/>
        <v>0</v>
      </c>
      <c r="CX997" s="3">
        <f t="shared" si="819"/>
        <v>0</v>
      </c>
      <c r="CY997" s="3">
        <f t="shared" si="819"/>
        <v>0</v>
      </c>
      <c r="CZ997" s="3">
        <f t="shared" si="819"/>
        <v>0</v>
      </c>
      <c r="DA997" s="3">
        <f t="shared" si="819"/>
        <v>0</v>
      </c>
      <c r="DB997" s="3">
        <f t="shared" si="819"/>
        <v>0</v>
      </c>
      <c r="DC997" s="3">
        <f t="shared" si="819"/>
        <v>0</v>
      </c>
      <c r="DD997" s="3">
        <f t="shared" si="819"/>
        <v>0</v>
      </c>
      <c r="DE997" s="3">
        <f t="shared" si="819"/>
        <v>0</v>
      </c>
      <c r="DF997" s="3">
        <f t="shared" si="819"/>
        <v>0</v>
      </c>
      <c r="DG997" s="4">
        <f t="shared" ref="DG997:EL997" si="820">DG1008</f>
        <v>5328.98</v>
      </c>
      <c r="DH997" s="4">
        <f t="shared" si="820"/>
        <v>0</v>
      </c>
      <c r="DI997" s="4">
        <f t="shared" si="820"/>
        <v>34.49</v>
      </c>
      <c r="DJ997" s="4">
        <f t="shared" si="820"/>
        <v>11.91</v>
      </c>
      <c r="DK997" s="4">
        <f t="shared" si="820"/>
        <v>5294.49</v>
      </c>
      <c r="DL997" s="4">
        <f t="shared" si="820"/>
        <v>0</v>
      </c>
      <c r="DM997" s="4">
        <f t="shared" si="820"/>
        <v>14.566000000000001</v>
      </c>
      <c r="DN997" s="4">
        <f t="shared" si="820"/>
        <v>0</v>
      </c>
      <c r="DO997" s="4">
        <f t="shared" si="820"/>
        <v>0</v>
      </c>
      <c r="DP997" s="4">
        <f t="shared" si="820"/>
        <v>4626.93</v>
      </c>
      <c r="DQ997" s="4">
        <f t="shared" si="820"/>
        <v>2170.7399999999998</v>
      </c>
      <c r="DR997" s="4">
        <f t="shared" si="820"/>
        <v>0</v>
      </c>
      <c r="DS997" s="4">
        <f t="shared" si="820"/>
        <v>0</v>
      </c>
      <c r="DT997" s="4">
        <f t="shared" si="820"/>
        <v>5328.98</v>
      </c>
      <c r="DU997" s="4">
        <f t="shared" si="820"/>
        <v>0</v>
      </c>
      <c r="DV997" s="4">
        <f t="shared" si="820"/>
        <v>34.49</v>
      </c>
      <c r="DW997" s="4">
        <f t="shared" si="820"/>
        <v>11.91</v>
      </c>
      <c r="DX997" s="4">
        <f t="shared" si="820"/>
        <v>5294.49</v>
      </c>
      <c r="DY997" s="4">
        <f t="shared" si="820"/>
        <v>0</v>
      </c>
      <c r="DZ997" s="4">
        <f t="shared" si="820"/>
        <v>14.566000000000001</v>
      </c>
      <c r="EA997" s="4">
        <f t="shared" si="820"/>
        <v>0</v>
      </c>
      <c r="EB997" s="4">
        <f t="shared" si="820"/>
        <v>0</v>
      </c>
      <c r="EC997" s="4">
        <f t="shared" si="820"/>
        <v>4626.93</v>
      </c>
      <c r="ED997" s="4">
        <f t="shared" si="820"/>
        <v>2170.7399999999998</v>
      </c>
      <c r="EE997" s="4">
        <f t="shared" si="820"/>
        <v>0</v>
      </c>
      <c r="EF997" s="4">
        <f t="shared" si="820"/>
        <v>0</v>
      </c>
      <c r="EG997" s="4">
        <f t="shared" si="820"/>
        <v>0</v>
      </c>
      <c r="EH997" s="4">
        <f t="shared" si="820"/>
        <v>0</v>
      </c>
      <c r="EI997" s="4">
        <f t="shared" si="820"/>
        <v>0</v>
      </c>
      <c r="EJ997" s="4">
        <f t="shared" si="820"/>
        <v>12145.71</v>
      </c>
      <c r="EK997" s="4">
        <f t="shared" si="820"/>
        <v>12145.71</v>
      </c>
      <c r="EL997" s="4">
        <f t="shared" si="820"/>
        <v>0</v>
      </c>
      <c r="EM997" s="4">
        <f t="shared" ref="EM997:FR997" si="821">EM1008</f>
        <v>0</v>
      </c>
      <c r="EN997" s="4">
        <f t="shared" si="821"/>
        <v>0</v>
      </c>
      <c r="EO997" s="4">
        <f t="shared" si="821"/>
        <v>0</v>
      </c>
      <c r="EP997" s="4">
        <f t="shared" si="821"/>
        <v>0</v>
      </c>
      <c r="EQ997" s="4">
        <f t="shared" si="821"/>
        <v>0</v>
      </c>
      <c r="ER997" s="4">
        <f t="shared" si="821"/>
        <v>0</v>
      </c>
      <c r="ES997" s="4">
        <f t="shared" si="821"/>
        <v>0</v>
      </c>
      <c r="ET997" s="4">
        <f t="shared" si="821"/>
        <v>0</v>
      </c>
      <c r="EU997" s="4">
        <f t="shared" si="821"/>
        <v>0</v>
      </c>
      <c r="EV997" s="4">
        <f t="shared" si="821"/>
        <v>0</v>
      </c>
      <c r="EW997" s="4">
        <f t="shared" si="821"/>
        <v>0</v>
      </c>
      <c r="EX997" s="4">
        <f t="shared" si="821"/>
        <v>0</v>
      </c>
      <c r="EY997" s="4">
        <f t="shared" si="821"/>
        <v>0</v>
      </c>
      <c r="EZ997" s="4">
        <f t="shared" si="821"/>
        <v>0</v>
      </c>
      <c r="FA997" s="4">
        <f t="shared" si="821"/>
        <v>0</v>
      </c>
      <c r="FB997" s="4">
        <f t="shared" si="821"/>
        <v>0</v>
      </c>
      <c r="FC997" s="4">
        <f t="shared" si="821"/>
        <v>0</v>
      </c>
      <c r="FD997" s="4">
        <f t="shared" si="821"/>
        <v>0</v>
      </c>
      <c r="FE997" s="4">
        <f t="shared" si="821"/>
        <v>0</v>
      </c>
      <c r="FF997" s="4">
        <f t="shared" si="821"/>
        <v>0</v>
      </c>
      <c r="FG997" s="4">
        <f t="shared" si="821"/>
        <v>0</v>
      </c>
      <c r="FH997" s="4">
        <f t="shared" si="821"/>
        <v>0</v>
      </c>
      <c r="FI997" s="4">
        <f t="shared" si="821"/>
        <v>0</v>
      </c>
      <c r="FJ997" s="4">
        <f t="shared" si="821"/>
        <v>0</v>
      </c>
      <c r="FK997" s="4">
        <f t="shared" si="821"/>
        <v>0</v>
      </c>
      <c r="FL997" s="4">
        <f t="shared" si="821"/>
        <v>0</v>
      </c>
      <c r="FM997" s="4">
        <f t="shared" si="821"/>
        <v>0</v>
      </c>
      <c r="FN997" s="4">
        <f t="shared" si="821"/>
        <v>0</v>
      </c>
      <c r="FO997" s="4">
        <f t="shared" si="821"/>
        <v>0</v>
      </c>
      <c r="FP997" s="4">
        <f t="shared" si="821"/>
        <v>0</v>
      </c>
      <c r="FQ997" s="4">
        <f t="shared" si="821"/>
        <v>0</v>
      </c>
      <c r="FR997" s="4">
        <f t="shared" si="821"/>
        <v>0</v>
      </c>
      <c r="FS997" s="4">
        <f t="shared" ref="FS997:GX997" si="822">FS1008</f>
        <v>12145.71</v>
      </c>
      <c r="FT997" s="4">
        <f t="shared" si="822"/>
        <v>12145.71</v>
      </c>
      <c r="FU997" s="4">
        <f t="shared" si="822"/>
        <v>0</v>
      </c>
      <c r="FV997" s="4">
        <f t="shared" si="822"/>
        <v>0</v>
      </c>
      <c r="FW997" s="4">
        <f t="shared" si="822"/>
        <v>0</v>
      </c>
      <c r="FX997" s="4">
        <f t="shared" si="822"/>
        <v>0</v>
      </c>
      <c r="FY997" s="4">
        <f t="shared" si="822"/>
        <v>0</v>
      </c>
      <c r="FZ997" s="4">
        <f t="shared" si="822"/>
        <v>0</v>
      </c>
      <c r="GA997" s="4">
        <f t="shared" si="822"/>
        <v>0</v>
      </c>
      <c r="GB997" s="4">
        <f t="shared" si="822"/>
        <v>0</v>
      </c>
      <c r="GC997" s="4">
        <f t="shared" si="822"/>
        <v>0</v>
      </c>
      <c r="GD997" s="4">
        <f t="shared" si="822"/>
        <v>0</v>
      </c>
      <c r="GE997" s="4">
        <f t="shared" si="822"/>
        <v>0</v>
      </c>
      <c r="GF997" s="4">
        <f t="shared" si="822"/>
        <v>0</v>
      </c>
      <c r="GG997" s="4">
        <f t="shared" si="822"/>
        <v>0</v>
      </c>
      <c r="GH997" s="4">
        <f t="shared" si="822"/>
        <v>0</v>
      </c>
      <c r="GI997" s="4">
        <f t="shared" si="822"/>
        <v>0</v>
      </c>
      <c r="GJ997" s="4">
        <f t="shared" si="822"/>
        <v>0</v>
      </c>
      <c r="GK997" s="4">
        <f t="shared" si="822"/>
        <v>0</v>
      </c>
      <c r="GL997" s="4">
        <f t="shared" si="822"/>
        <v>0</v>
      </c>
      <c r="GM997" s="4">
        <f t="shared" si="822"/>
        <v>0</v>
      </c>
      <c r="GN997" s="4">
        <f t="shared" si="822"/>
        <v>0</v>
      </c>
      <c r="GO997" s="4">
        <f t="shared" si="822"/>
        <v>0</v>
      </c>
      <c r="GP997" s="4">
        <f t="shared" si="822"/>
        <v>0</v>
      </c>
      <c r="GQ997" s="4">
        <f t="shared" si="822"/>
        <v>0</v>
      </c>
      <c r="GR997" s="4">
        <f t="shared" si="822"/>
        <v>0</v>
      </c>
      <c r="GS997" s="4">
        <f t="shared" si="822"/>
        <v>0</v>
      </c>
      <c r="GT997" s="4">
        <f t="shared" si="822"/>
        <v>0</v>
      </c>
      <c r="GU997" s="4">
        <f t="shared" si="822"/>
        <v>0</v>
      </c>
      <c r="GV997" s="4">
        <f t="shared" si="822"/>
        <v>0</v>
      </c>
      <c r="GW997" s="4">
        <f t="shared" si="822"/>
        <v>0</v>
      </c>
      <c r="GX997" s="4">
        <f t="shared" si="822"/>
        <v>0</v>
      </c>
    </row>
    <row r="999" spans="1:255" x14ac:dyDescent="0.2">
      <c r="A999" s="2">
        <v>17</v>
      </c>
      <c r="B999" s="2">
        <v>1</v>
      </c>
      <c r="C999" s="2">
        <f>ROW(SmtRes!A794)</f>
        <v>794</v>
      </c>
      <c r="D999" s="2">
        <f>ROW(EtalonRes!A758)</f>
        <v>758</v>
      </c>
      <c r="E999" s="2" t="s">
        <v>18</v>
      </c>
      <c r="F999" s="2" t="s">
        <v>809</v>
      </c>
      <c r="G999" s="2" t="s">
        <v>810</v>
      </c>
      <c r="H999" s="2" t="s">
        <v>811</v>
      </c>
      <c r="I999" s="2">
        <v>0.01</v>
      </c>
      <c r="J999" s="2">
        <v>0</v>
      </c>
      <c r="K999" s="2">
        <v>0.01</v>
      </c>
      <c r="L999" s="2"/>
      <c r="M999" s="2"/>
      <c r="N999" s="2"/>
      <c r="O999" s="2">
        <f t="shared" ref="O999:O1006" si="823">ROUND(CP999,2)</f>
        <v>6.97</v>
      </c>
      <c r="P999" s="2">
        <f t="shared" ref="P999:P1006" si="824">ROUND((ROUND((AC999*AW999*I999),2)*BC999),2)</f>
        <v>0</v>
      </c>
      <c r="Q999" s="2">
        <f>(ROUND((ROUND(((ET999)*AV999*I999),2)*BB999),2)+ROUND((ROUND(((AE999-(EU999))*AV999*I999),2)*BS999),2))</f>
        <v>0</v>
      </c>
      <c r="R999" s="2">
        <f t="shared" ref="R999:R1006" si="825">ROUND((ROUND((AE999*AV999*I999),2)*BS999),2)</f>
        <v>0</v>
      </c>
      <c r="S999" s="2">
        <f t="shared" ref="S999:S1006" si="826">ROUND((ROUND((AF999*AV999*I999),2)*BA999),2)</f>
        <v>6.97</v>
      </c>
      <c r="T999" s="2">
        <f t="shared" ref="T999:T1006" si="827">ROUND(CU999*I999,2)</f>
        <v>0</v>
      </c>
      <c r="U999" s="2">
        <f t="shared" ref="U999:U1006" si="828">CV999*I999</f>
        <v>0.60799999999999998</v>
      </c>
      <c r="V999" s="2">
        <f t="shared" ref="V999:V1006" si="829">CW999*I999</f>
        <v>0</v>
      </c>
      <c r="W999" s="2">
        <f t="shared" ref="W999:W1006" si="830">ROUND(CX999*I999,2)</f>
        <v>0</v>
      </c>
      <c r="X999" s="2">
        <f t="shared" ref="X999:Y1006" si="831">ROUND(CY999,2)</f>
        <v>5.58</v>
      </c>
      <c r="Y999" s="2">
        <f t="shared" si="831"/>
        <v>3.83</v>
      </c>
      <c r="Z999" s="2"/>
      <c r="AA999" s="2">
        <v>129761636</v>
      </c>
      <c r="AB999" s="2">
        <f t="shared" ref="AB999:AB1006" si="832">ROUND((AC999+AD999+AF999),6)</f>
        <v>697.38</v>
      </c>
      <c r="AC999" s="2">
        <f>ROUND((ES999),6)</f>
        <v>0</v>
      </c>
      <c r="AD999" s="2">
        <f>ROUND((((ET999)-(EU999))+AE999),6)</f>
        <v>0</v>
      </c>
      <c r="AE999" s="2">
        <f t="shared" ref="AE999:AF1002" si="833">ROUND((EU999),6)</f>
        <v>0</v>
      </c>
      <c r="AF999" s="2">
        <f t="shared" si="833"/>
        <v>697.38</v>
      </c>
      <c r="AG999" s="2">
        <f t="shared" ref="AG999:AG1006" si="834">ROUND((AP999),6)</f>
        <v>0</v>
      </c>
      <c r="AH999" s="2">
        <f t="shared" ref="AH999:AI1002" si="835">(EW999)</f>
        <v>60.8</v>
      </c>
      <c r="AI999" s="2">
        <f t="shared" si="835"/>
        <v>0</v>
      </c>
      <c r="AJ999" s="2">
        <f t="shared" ref="AJ999:AJ1006" si="836">(AS999)</f>
        <v>0</v>
      </c>
      <c r="AK999" s="2">
        <v>697.38</v>
      </c>
      <c r="AL999" s="2">
        <v>0</v>
      </c>
      <c r="AM999" s="2">
        <v>0</v>
      </c>
      <c r="AN999" s="2">
        <v>0</v>
      </c>
      <c r="AO999" s="2">
        <v>697.38</v>
      </c>
      <c r="AP999" s="2">
        <v>0</v>
      </c>
      <c r="AQ999" s="2">
        <v>60.8</v>
      </c>
      <c r="AR999" s="2">
        <v>0</v>
      </c>
      <c r="AS999" s="2">
        <v>0</v>
      </c>
      <c r="AT999" s="2">
        <v>80</v>
      </c>
      <c r="AU999" s="2">
        <v>55</v>
      </c>
      <c r="AV999" s="2">
        <v>1</v>
      </c>
      <c r="AW999" s="2">
        <v>1</v>
      </c>
      <c r="AX999" s="2"/>
      <c r="AY999" s="2"/>
      <c r="AZ999" s="2">
        <v>1</v>
      </c>
      <c r="BA999" s="2">
        <v>1</v>
      </c>
      <c r="BB999" s="2">
        <v>1</v>
      </c>
      <c r="BC999" s="2">
        <v>1</v>
      </c>
      <c r="BD999" s="2" t="s">
        <v>3</v>
      </c>
      <c r="BE999" s="2" t="s">
        <v>3</v>
      </c>
      <c r="BF999" s="2" t="s">
        <v>3</v>
      </c>
      <c r="BG999" s="2" t="s">
        <v>3</v>
      </c>
      <c r="BH999" s="2">
        <v>0</v>
      </c>
      <c r="BI999" s="2">
        <v>1</v>
      </c>
      <c r="BJ999" s="2" t="s">
        <v>812</v>
      </c>
      <c r="BK999" s="2"/>
      <c r="BL999" s="2"/>
      <c r="BM999" s="2">
        <v>616</v>
      </c>
      <c r="BN999" s="2">
        <v>0</v>
      </c>
      <c r="BO999" s="2" t="s">
        <v>3</v>
      </c>
      <c r="BP999" s="2">
        <v>0</v>
      </c>
      <c r="BQ999" s="2">
        <v>60</v>
      </c>
      <c r="BR999" s="2">
        <v>0</v>
      </c>
      <c r="BS999" s="2">
        <v>1</v>
      </c>
      <c r="BT999" s="2">
        <v>1</v>
      </c>
      <c r="BU999" s="2">
        <v>1</v>
      </c>
      <c r="BV999" s="2">
        <v>1</v>
      </c>
      <c r="BW999" s="2">
        <v>1</v>
      </c>
      <c r="BX999" s="2">
        <v>1</v>
      </c>
      <c r="BY999" s="2" t="s">
        <v>3</v>
      </c>
      <c r="BZ999" s="2">
        <v>80</v>
      </c>
      <c r="CA999" s="2">
        <v>55</v>
      </c>
      <c r="CB999" s="2" t="s">
        <v>3</v>
      </c>
      <c r="CC999" s="2"/>
      <c r="CD999" s="2"/>
      <c r="CE999" s="2">
        <v>30</v>
      </c>
      <c r="CF999" s="2">
        <v>0</v>
      </c>
      <c r="CG999" s="2">
        <v>0</v>
      </c>
      <c r="CH999" s="2"/>
      <c r="CI999" s="2"/>
      <c r="CJ999" s="2"/>
      <c r="CK999" s="2"/>
      <c r="CL999" s="2"/>
      <c r="CM999" s="2">
        <v>0</v>
      </c>
      <c r="CN999" s="2" t="s">
        <v>3</v>
      </c>
      <c r="CO999" s="2">
        <v>0</v>
      </c>
      <c r="CP999" s="2">
        <f t="shared" ref="CP999:CP1006" si="837">(P999+Q999+S999)</f>
        <v>6.97</v>
      </c>
      <c r="CQ999" s="2">
        <f t="shared" ref="CQ999:CQ1006" si="838">ROUND((ROUND((AC999*AW999*1),2)*BC999),2)</f>
        <v>0</v>
      </c>
      <c r="CR999" s="2">
        <f>(ROUND((ROUND(((ET999)*AV999*1),2)*BB999),2)+ROUND((ROUND(((AE999-(EU999))*AV999*1),2)*BS999),2))</f>
        <v>0</v>
      </c>
      <c r="CS999" s="2">
        <f t="shared" ref="CS999:CS1006" si="839">ROUND((ROUND((AE999*AV999*1),2)*BS999),2)</f>
        <v>0</v>
      </c>
      <c r="CT999" s="2">
        <f t="shared" ref="CT999:CT1006" si="840">ROUND((ROUND((AF999*AV999*1),2)*BA999),2)</f>
        <v>697.38</v>
      </c>
      <c r="CU999" s="2">
        <f t="shared" ref="CU999:CU1006" si="841">AG999</f>
        <v>0</v>
      </c>
      <c r="CV999" s="2">
        <f t="shared" ref="CV999:CV1006" si="842">(AH999*AV999)</f>
        <v>60.8</v>
      </c>
      <c r="CW999" s="2">
        <f t="shared" ref="CW999:CX1006" si="843">AI999</f>
        <v>0</v>
      </c>
      <c r="CX999" s="2">
        <f t="shared" si="843"/>
        <v>0</v>
      </c>
      <c r="CY999" s="2">
        <f>((S999*BZ999)/100)</f>
        <v>5.5760000000000005</v>
      </c>
      <c r="CZ999" s="2">
        <f>((S999*CA999)/100)</f>
        <v>3.8334999999999995</v>
      </c>
      <c r="DA999" s="2"/>
      <c r="DB999" s="2"/>
      <c r="DC999" s="2" t="s">
        <v>3</v>
      </c>
      <c r="DD999" s="2" t="s">
        <v>3</v>
      </c>
      <c r="DE999" s="2" t="s">
        <v>3</v>
      </c>
      <c r="DF999" s="2" t="s">
        <v>3</v>
      </c>
      <c r="DG999" s="2" t="s">
        <v>3</v>
      </c>
      <c r="DH999" s="2" t="s">
        <v>3</v>
      </c>
      <c r="DI999" s="2" t="s">
        <v>3</v>
      </c>
      <c r="DJ999" s="2" t="s">
        <v>3</v>
      </c>
      <c r="DK999" s="2" t="s">
        <v>3</v>
      </c>
      <c r="DL999" s="2" t="s">
        <v>3</v>
      </c>
      <c r="DM999" s="2" t="s">
        <v>3</v>
      </c>
      <c r="DN999" s="2">
        <v>0</v>
      </c>
      <c r="DO999" s="2">
        <v>0</v>
      </c>
      <c r="DP999" s="2">
        <v>1</v>
      </c>
      <c r="DQ999" s="2">
        <v>1</v>
      </c>
      <c r="DR999" s="2"/>
      <c r="DS999" s="2"/>
      <c r="DT999" s="2"/>
      <c r="DU999" s="2">
        <v>1013</v>
      </c>
      <c r="DV999" s="2" t="s">
        <v>811</v>
      </c>
      <c r="DW999" s="2" t="s">
        <v>811</v>
      </c>
      <c r="DX999" s="2">
        <v>1</v>
      </c>
      <c r="DY999" s="2"/>
      <c r="DZ999" s="2" t="s">
        <v>3</v>
      </c>
      <c r="EA999" s="2" t="s">
        <v>3</v>
      </c>
      <c r="EB999" s="2" t="s">
        <v>3</v>
      </c>
      <c r="EC999" s="2" t="s">
        <v>3</v>
      </c>
      <c r="ED999" s="2"/>
      <c r="EE999" s="2">
        <v>126052077</v>
      </c>
      <c r="EF999" s="2">
        <v>60</v>
      </c>
      <c r="EG999" s="2" t="s">
        <v>150</v>
      </c>
      <c r="EH999" s="2">
        <v>0</v>
      </c>
      <c r="EI999" s="2" t="s">
        <v>3</v>
      </c>
      <c r="EJ999" s="2">
        <v>1</v>
      </c>
      <c r="EK999" s="2">
        <v>616</v>
      </c>
      <c r="EL999" s="2" t="s">
        <v>813</v>
      </c>
      <c r="EM999" s="2" t="s">
        <v>814</v>
      </c>
      <c r="EN999" s="2"/>
      <c r="EO999" s="2" t="s">
        <v>3</v>
      </c>
      <c r="EP999" s="2"/>
      <c r="EQ999" s="2">
        <v>131072</v>
      </c>
      <c r="ER999" s="2">
        <v>697.38</v>
      </c>
      <c r="ES999" s="2">
        <v>0</v>
      </c>
      <c r="ET999" s="2">
        <v>0</v>
      </c>
      <c r="EU999" s="2">
        <v>0</v>
      </c>
      <c r="EV999" s="2">
        <v>697.38</v>
      </c>
      <c r="EW999" s="2">
        <v>60.8</v>
      </c>
      <c r="EX999" s="2">
        <v>0</v>
      </c>
      <c r="EY999" s="2">
        <v>0</v>
      </c>
      <c r="EZ999" s="2"/>
      <c r="FA999" s="2"/>
      <c r="FB999" s="2"/>
      <c r="FC999" s="2"/>
      <c r="FD999" s="2"/>
      <c r="FE999" s="2"/>
      <c r="FF999" s="2"/>
      <c r="FG999" s="2"/>
      <c r="FH999" s="2"/>
      <c r="FI999" s="2"/>
      <c r="FJ999" s="2"/>
      <c r="FK999" s="2"/>
      <c r="FL999" s="2"/>
      <c r="FM999" s="2"/>
      <c r="FN999" s="2"/>
      <c r="FO999" s="2"/>
      <c r="FP999" s="2"/>
      <c r="FQ999" s="2">
        <v>0</v>
      </c>
      <c r="FR999" s="2">
        <f t="shared" ref="FR999:FR1006" si="844">ROUND(IF(AND(BH999=3,BI999=3),P999,0),2)</f>
        <v>0</v>
      </c>
      <c r="FS999" s="2">
        <v>0</v>
      </c>
      <c r="FT999" s="2"/>
      <c r="FU999" s="2"/>
      <c r="FV999" s="2"/>
      <c r="FW999" s="2"/>
      <c r="FX999" s="2">
        <v>80</v>
      </c>
      <c r="FY999" s="2">
        <v>55</v>
      </c>
      <c r="FZ999" s="2"/>
      <c r="GA999" s="2" t="s">
        <v>3</v>
      </c>
      <c r="GB999" s="2"/>
      <c r="GC999" s="2"/>
      <c r="GD999" s="2">
        <v>0</v>
      </c>
      <c r="GE999" s="2"/>
      <c r="GF999" s="2">
        <v>-947342088</v>
      </c>
      <c r="GG999" s="2">
        <v>2</v>
      </c>
      <c r="GH999" s="2">
        <v>1</v>
      </c>
      <c r="GI999" s="2">
        <v>-2</v>
      </c>
      <c r="GJ999" s="2">
        <v>0</v>
      </c>
      <c r="GK999" s="2">
        <f>ROUND(R999*(R12)/100,2)</f>
        <v>0</v>
      </c>
      <c r="GL999" s="2">
        <f t="shared" ref="GL999:GL1006" si="845">ROUND(IF(AND(BH999=3,BI999=3,FS999&lt;&gt;0),P999,0),2)</f>
        <v>0</v>
      </c>
      <c r="GM999" s="2">
        <f t="shared" ref="GM999:GM1006" si="846">ROUND(O999+X999+Y999+GK999,2)+GX999</f>
        <v>16.38</v>
      </c>
      <c r="GN999" s="2">
        <f t="shared" ref="GN999:GN1006" si="847">IF(OR(BI999=0,BI999=1),ROUND(O999+X999+Y999+GK999,2),0)</f>
        <v>16.38</v>
      </c>
      <c r="GO999" s="2">
        <f t="shared" ref="GO999:GO1006" si="848">IF(BI999=2,ROUND(O999+X999+Y999+GK999,2),0)</f>
        <v>0</v>
      </c>
      <c r="GP999" s="2">
        <f t="shared" ref="GP999:GP1006" si="849">IF(BI999=4,ROUND(O999+X999+Y999+GK999,2)+GX999,0)</f>
        <v>0</v>
      </c>
      <c r="GQ999" s="2"/>
      <c r="GR999" s="2">
        <v>0</v>
      </c>
      <c r="GS999" s="2">
        <v>0</v>
      </c>
      <c r="GT999" s="2">
        <v>0</v>
      </c>
      <c r="GU999" s="2" t="s">
        <v>3</v>
      </c>
      <c r="GV999" s="2">
        <f t="shared" ref="GV999:GV1006" si="850">ROUND((GT999),6)</f>
        <v>0</v>
      </c>
      <c r="GW999" s="2">
        <v>1</v>
      </c>
      <c r="GX999" s="2">
        <f t="shared" ref="GX999:GX1006" si="851">ROUND(HC999*I999,2)</f>
        <v>0</v>
      </c>
      <c r="GY999" s="2"/>
      <c r="GZ999" s="2"/>
      <c r="HA999" s="2">
        <v>0</v>
      </c>
      <c r="HB999" s="2">
        <v>0</v>
      </c>
      <c r="HC999" s="2">
        <f t="shared" ref="HC999:HC1006" si="852">GV999*GW999</f>
        <v>0</v>
      </c>
      <c r="HD999" s="2"/>
      <c r="HE999" s="2" t="s">
        <v>3</v>
      </c>
      <c r="HF999" s="2" t="s">
        <v>3</v>
      </c>
      <c r="HG999" s="2"/>
      <c r="HH999" s="2"/>
      <c r="HI999" s="2"/>
      <c r="HJ999" s="2"/>
      <c r="HK999" s="2"/>
      <c r="HL999" s="2"/>
      <c r="HM999" s="2" t="s">
        <v>3</v>
      </c>
      <c r="HN999" s="2" t="s">
        <v>3</v>
      </c>
      <c r="HO999" s="2" t="s">
        <v>3</v>
      </c>
      <c r="HP999" s="2" t="s">
        <v>3</v>
      </c>
      <c r="HQ999" s="2" t="s">
        <v>3</v>
      </c>
      <c r="HR999" s="2"/>
      <c r="HS999" s="2"/>
      <c r="HT999" s="2"/>
      <c r="HU999" s="2"/>
      <c r="HV999" s="2"/>
      <c r="HW999" s="2"/>
      <c r="HX999" s="2"/>
      <c r="HY999" s="2"/>
      <c r="HZ999" s="2"/>
      <c r="IA999" s="2"/>
      <c r="IB999" s="2"/>
      <c r="IC999" s="2"/>
      <c r="ID999" s="2"/>
      <c r="IE999" s="2"/>
      <c r="IF999" s="2"/>
      <c r="IG999" s="2"/>
      <c r="IH999" s="2"/>
      <c r="II999" s="2"/>
      <c r="IJ999" s="2"/>
      <c r="IK999" s="2">
        <v>0</v>
      </c>
      <c r="IL999" s="2"/>
      <c r="IM999" s="2"/>
      <c r="IN999" s="2"/>
      <c r="IO999" s="2"/>
      <c r="IP999" s="2"/>
      <c r="IQ999" s="2"/>
      <c r="IR999" s="2"/>
      <c r="IS999" s="2"/>
      <c r="IT999" s="2"/>
      <c r="IU999" s="2"/>
    </row>
    <row r="1000" spans="1:255" x14ac:dyDescent="0.2">
      <c r="A1000">
        <v>17</v>
      </c>
      <c r="B1000">
        <v>1</v>
      </c>
      <c r="C1000">
        <f>ROW(SmtRes!A796)</f>
        <v>796</v>
      </c>
      <c r="D1000">
        <f>ROW(EtalonRes!A760)</f>
        <v>760</v>
      </c>
      <c r="E1000" t="s">
        <v>18</v>
      </c>
      <c r="F1000" t="s">
        <v>809</v>
      </c>
      <c r="G1000" t="s">
        <v>810</v>
      </c>
      <c r="H1000" t="s">
        <v>811</v>
      </c>
      <c r="I1000">
        <v>0.01</v>
      </c>
      <c r="J1000">
        <v>0</v>
      </c>
      <c r="K1000">
        <v>0.01</v>
      </c>
      <c r="O1000">
        <f t="shared" si="823"/>
        <v>202.34</v>
      </c>
      <c r="P1000">
        <f t="shared" si="824"/>
        <v>0</v>
      </c>
      <c r="Q1000">
        <f>(ROUND((ROUND(((ET1000)*AV1000*I1000),2)*BB1000),2)+ROUND((ROUND(((AE1000-(EU1000))*AV1000*I1000),2)*BS1000),2))</f>
        <v>0</v>
      </c>
      <c r="R1000">
        <f t="shared" si="825"/>
        <v>0</v>
      </c>
      <c r="S1000">
        <f t="shared" si="826"/>
        <v>202.34</v>
      </c>
      <c r="T1000">
        <f t="shared" si="827"/>
        <v>0</v>
      </c>
      <c r="U1000">
        <f t="shared" si="828"/>
        <v>0.60799999999999998</v>
      </c>
      <c r="V1000">
        <f t="shared" si="829"/>
        <v>0</v>
      </c>
      <c r="W1000">
        <f t="shared" si="830"/>
        <v>0</v>
      </c>
      <c r="X1000">
        <f t="shared" si="831"/>
        <v>141.63999999999999</v>
      </c>
      <c r="Y1000">
        <f t="shared" si="831"/>
        <v>82.96</v>
      </c>
      <c r="AA1000">
        <v>129761633</v>
      </c>
      <c r="AB1000">
        <f t="shared" si="832"/>
        <v>697.38</v>
      </c>
      <c r="AC1000">
        <f>ROUND((ES1000),6)</f>
        <v>0</v>
      </c>
      <c r="AD1000">
        <f>ROUND((((ET1000)-(EU1000))+AE1000),6)</f>
        <v>0</v>
      </c>
      <c r="AE1000">
        <f t="shared" si="833"/>
        <v>0</v>
      </c>
      <c r="AF1000">
        <f t="shared" si="833"/>
        <v>697.38</v>
      </c>
      <c r="AG1000">
        <f t="shared" si="834"/>
        <v>0</v>
      </c>
      <c r="AH1000">
        <f t="shared" si="835"/>
        <v>60.8</v>
      </c>
      <c r="AI1000">
        <f t="shared" si="835"/>
        <v>0</v>
      </c>
      <c r="AJ1000">
        <f t="shared" si="836"/>
        <v>0</v>
      </c>
      <c r="AK1000">
        <v>697.38</v>
      </c>
      <c r="AL1000">
        <v>0</v>
      </c>
      <c r="AM1000">
        <v>0</v>
      </c>
      <c r="AN1000">
        <v>0</v>
      </c>
      <c r="AO1000">
        <v>697.38</v>
      </c>
      <c r="AP1000">
        <v>0</v>
      </c>
      <c r="AQ1000">
        <v>60.8</v>
      </c>
      <c r="AR1000">
        <v>0</v>
      </c>
      <c r="AS1000">
        <v>0</v>
      </c>
      <c r="AT1000">
        <v>70</v>
      </c>
      <c r="AU1000">
        <v>41</v>
      </c>
      <c r="AV1000">
        <v>1</v>
      </c>
      <c r="AW1000">
        <v>1</v>
      </c>
      <c r="AZ1000">
        <v>1</v>
      </c>
      <c r="BA1000">
        <v>29.03</v>
      </c>
      <c r="BB1000">
        <v>1</v>
      </c>
      <c r="BC1000">
        <v>1</v>
      </c>
      <c r="BD1000" t="s">
        <v>3</v>
      </c>
      <c r="BE1000" t="s">
        <v>3</v>
      </c>
      <c r="BF1000" t="s">
        <v>3</v>
      </c>
      <c r="BG1000" t="s">
        <v>3</v>
      </c>
      <c r="BH1000">
        <v>0</v>
      </c>
      <c r="BI1000">
        <v>1</v>
      </c>
      <c r="BJ1000" t="s">
        <v>812</v>
      </c>
      <c r="BM1000">
        <v>616</v>
      </c>
      <c r="BN1000">
        <v>0</v>
      </c>
      <c r="BO1000" t="s">
        <v>809</v>
      </c>
      <c r="BP1000">
        <v>1</v>
      </c>
      <c r="BQ1000">
        <v>60</v>
      </c>
      <c r="BR1000">
        <v>0</v>
      </c>
      <c r="BS1000">
        <v>29.03</v>
      </c>
      <c r="BT1000">
        <v>1</v>
      </c>
      <c r="BU1000">
        <v>1</v>
      </c>
      <c r="BV1000">
        <v>1</v>
      </c>
      <c r="BW1000">
        <v>1</v>
      </c>
      <c r="BX1000">
        <v>1</v>
      </c>
      <c r="BY1000" t="s">
        <v>3</v>
      </c>
      <c r="BZ1000">
        <v>70</v>
      </c>
      <c r="CA1000">
        <v>41</v>
      </c>
      <c r="CB1000" t="s">
        <v>3</v>
      </c>
      <c r="CE1000">
        <v>30</v>
      </c>
      <c r="CF1000">
        <v>0</v>
      </c>
      <c r="CG1000">
        <v>0</v>
      </c>
      <c r="CM1000">
        <v>0</v>
      </c>
      <c r="CN1000" t="s">
        <v>3</v>
      </c>
      <c r="CO1000">
        <v>0</v>
      </c>
      <c r="CP1000">
        <f t="shared" si="837"/>
        <v>202.34</v>
      </c>
      <c r="CQ1000">
        <f t="shared" si="838"/>
        <v>0</v>
      </c>
      <c r="CR1000">
        <f>(ROUND((ROUND(((ET1000)*AV1000*1),2)*BB1000),2)+ROUND((ROUND(((AE1000-(EU1000))*AV1000*1),2)*BS1000),2))</f>
        <v>0</v>
      </c>
      <c r="CS1000">
        <f t="shared" si="839"/>
        <v>0</v>
      </c>
      <c r="CT1000">
        <f t="shared" si="840"/>
        <v>20244.939999999999</v>
      </c>
      <c r="CU1000">
        <f t="shared" si="841"/>
        <v>0</v>
      </c>
      <c r="CV1000">
        <f t="shared" si="842"/>
        <v>60.8</v>
      </c>
      <c r="CW1000">
        <f t="shared" si="843"/>
        <v>0</v>
      </c>
      <c r="CX1000">
        <f t="shared" si="843"/>
        <v>0</v>
      </c>
      <c r="CY1000">
        <f>S1000*(BZ1000/100)</f>
        <v>141.63800000000001</v>
      </c>
      <c r="CZ1000">
        <f>S1000*(CA1000/100)</f>
        <v>82.959400000000002</v>
      </c>
      <c r="DC1000" t="s">
        <v>3</v>
      </c>
      <c r="DD1000" t="s">
        <v>3</v>
      </c>
      <c r="DE1000" t="s">
        <v>3</v>
      </c>
      <c r="DF1000" t="s">
        <v>3</v>
      </c>
      <c r="DG1000" t="s">
        <v>3</v>
      </c>
      <c r="DH1000" t="s">
        <v>3</v>
      </c>
      <c r="DI1000" t="s">
        <v>3</v>
      </c>
      <c r="DJ1000" t="s">
        <v>3</v>
      </c>
      <c r="DK1000" t="s">
        <v>3</v>
      </c>
      <c r="DL1000" t="s">
        <v>3</v>
      </c>
      <c r="DM1000" t="s">
        <v>3</v>
      </c>
      <c r="DN1000">
        <v>80</v>
      </c>
      <c r="DO1000">
        <v>55</v>
      </c>
      <c r="DP1000">
        <v>1</v>
      </c>
      <c r="DQ1000">
        <v>1</v>
      </c>
      <c r="DU1000">
        <v>1013</v>
      </c>
      <c r="DV1000" t="s">
        <v>811</v>
      </c>
      <c r="DW1000" t="s">
        <v>811</v>
      </c>
      <c r="DX1000">
        <v>1</v>
      </c>
      <c r="DZ1000" t="s">
        <v>3</v>
      </c>
      <c r="EA1000" t="s">
        <v>3</v>
      </c>
      <c r="EB1000" t="s">
        <v>3</v>
      </c>
      <c r="EC1000" t="s">
        <v>3</v>
      </c>
      <c r="EE1000">
        <v>126052077</v>
      </c>
      <c r="EF1000">
        <v>60</v>
      </c>
      <c r="EG1000" t="s">
        <v>150</v>
      </c>
      <c r="EH1000">
        <v>0</v>
      </c>
      <c r="EI1000" t="s">
        <v>3</v>
      </c>
      <c r="EJ1000">
        <v>1</v>
      </c>
      <c r="EK1000">
        <v>616</v>
      </c>
      <c r="EL1000" t="s">
        <v>813</v>
      </c>
      <c r="EM1000" t="s">
        <v>814</v>
      </c>
      <c r="EO1000" t="s">
        <v>3</v>
      </c>
      <c r="EQ1000">
        <v>131072</v>
      </c>
      <c r="ER1000">
        <v>697.38</v>
      </c>
      <c r="ES1000">
        <v>0</v>
      </c>
      <c r="ET1000">
        <v>0</v>
      </c>
      <c r="EU1000">
        <v>0</v>
      </c>
      <c r="EV1000">
        <v>697.38</v>
      </c>
      <c r="EW1000">
        <v>60.8</v>
      </c>
      <c r="EX1000">
        <v>0</v>
      </c>
      <c r="EY1000">
        <v>0</v>
      </c>
      <c r="FQ1000">
        <v>0</v>
      </c>
      <c r="FR1000">
        <f t="shared" si="844"/>
        <v>0</v>
      </c>
      <c r="FS1000">
        <v>0</v>
      </c>
      <c r="FX1000">
        <v>80</v>
      </c>
      <c r="FY1000">
        <v>55</v>
      </c>
      <c r="GA1000" t="s">
        <v>3</v>
      </c>
      <c r="GD1000">
        <v>0</v>
      </c>
      <c r="GF1000">
        <v>-947342088</v>
      </c>
      <c r="GG1000">
        <v>2</v>
      </c>
      <c r="GH1000">
        <v>1</v>
      </c>
      <c r="GI1000">
        <v>2</v>
      </c>
      <c r="GJ1000">
        <v>0</v>
      </c>
      <c r="GK1000">
        <f>ROUND(R1000*(S12)/100,2)</f>
        <v>0</v>
      </c>
      <c r="GL1000">
        <f t="shared" si="845"/>
        <v>0</v>
      </c>
      <c r="GM1000">
        <f t="shared" si="846"/>
        <v>426.94</v>
      </c>
      <c r="GN1000">
        <f t="shared" si="847"/>
        <v>426.94</v>
      </c>
      <c r="GO1000">
        <f t="shared" si="848"/>
        <v>0</v>
      </c>
      <c r="GP1000">
        <f t="shared" si="849"/>
        <v>0</v>
      </c>
      <c r="GR1000">
        <v>0</v>
      </c>
      <c r="GS1000">
        <v>3</v>
      </c>
      <c r="GT1000">
        <v>0</v>
      </c>
      <c r="GU1000" t="s">
        <v>3</v>
      </c>
      <c r="GV1000">
        <f t="shared" si="850"/>
        <v>0</v>
      </c>
      <c r="GW1000">
        <v>1</v>
      </c>
      <c r="GX1000">
        <f t="shared" si="851"/>
        <v>0</v>
      </c>
      <c r="HA1000">
        <v>0</v>
      </c>
      <c r="HB1000">
        <v>0</v>
      </c>
      <c r="HC1000">
        <f t="shared" si="852"/>
        <v>0</v>
      </c>
      <c r="HE1000" t="s">
        <v>3</v>
      </c>
      <c r="HF1000" t="s">
        <v>3</v>
      </c>
      <c r="HM1000" t="s">
        <v>3</v>
      </c>
      <c r="HN1000" t="s">
        <v>3</v>
      </c>
      <c r="HO1000" t="s">
        <v>3</v>
      </c>
      <c r="HP1000" t="s">
        <v>3</v>
      </c>
      <c r="HQ1000" t="s">
        <v>3</v>
      </c>
      <c r="IK1000">
        <v>0</v>
      </c>
    </row>
    <row r="1001" spans="1:255" x14ac:dyDescent="0.2">
      <c r="A1001" s="2">
        <v>17</v>
      </c>
      <c r="B1001" s="2">
        <v>1</v>
      </c>
      <c r="C1001" s="2">
        <f>ROW(SmtRes!A798)</f>
        <v>798</v>
      </c>
      <c r="D1001" s="2">
        <f>ROW(EtalonRes!A762)</f>
        <v>762</v>
      </c>
      <c r="E1001" s="2" t="s">
        <v>81</v>
      </c>
      <c r="F1001" s="2" t="s">
        <v>815</v>
      </c>
      <c r="G1001" s="2" t="s">
        <v>816</v>
      </c>
      <c r="H1001" s="2" t="s">
        <v>811</v>
      </c>
      <c r="I1001" s="2">
        <v>0.01</v>
      </c>
      <c r="J1001" s="2">
        <v>0</v>
      </c>
      <c r="K1001" s="2">
        <v>0.01</v>
      </c>
      <c r="L1001" s="2"/>
      <c r="M1001" s="2"/>
      <c r="N1001" s="2"/>
      <c r="O1001" s="2">
        <f t="shared" si="823"/>
        <v>16.82</v>
      </c>
      <c r="P1001" s="2">
        <f t="shared" si="824"/>
        <v>0</v>
      </c>
      <c r="Q1001" s="2">
        <f>(ROUND((ROUND(((ET1001)*AV1001*I1001),2)*BB1001),2)+ROUND((ROUND(((AE1001-(EU1001))*AV1001*I1001),2)*BS1001),2))</f>
        <v>0</v>
      </c>
      <c r="R1001" s="2">
        <f t="shared" si="825"/>
        <v>0</v>
      </c>
      <c r="S1001" s="2">
        <f t="shared" si="826"/>
        <v>16.82</v>
      </c>
      <c r="T1001" s="2">
        <f t="shared" si="827"/>
        <v>0</v>
      </c>
      <c r="U1001" s="2">
        <f t="shared" si="828"/>
        <v>1.43</v>
      </c>
      <c r="V1001" s="2">
        <f t="shared" si="829"/>
        <v>0</v>
      </c>
      <c r="W1001" s="2">
        <f t="shared" si="830"/>
        <v>0</v>
      </c>
      <c r="X1001" s="2">
        <f t="shared" si="831"/>
        <v>13.46</v>
      </c>
      <c r="Y1001" s="2">
        <f t="shared" si="831"/>
        <v>9.25</v>
      </c>
      <c r="Z1001" s="2"/>
      <c r="AA1001" s="2">
        <v>129761636</v>
      </c>
      <c r="AB1001" s="2">
        <f t="shared" si="832"/>
        <v>1681.68</v>
      </c>
      <c r="AC1001" s="2">
        <f>ROUND((ES1001),6)</f>
        <v>0</v>
      </c>
      <c r="AD1001" s="2">
        <f>ROUND((((ET1001)-(EU1001))+AE1001),6)</f>
        <v>0</v>
      </c>
      <c r="AE1001" s="2">
        <f t="shared" si="833"/>
        <v>0</v>
      </c>
      <c r="AF1001" s="2">
        <f t="shared" si="833"/>
        <v>1681.68</v>
      </c>
      <c r="AG1001" s="2">
        <f t="shared" si="834"/>
        <v>0</v>
      </c>
      <c r="AH1001" s="2">
        <f t="shared" si="835"/>
        <v>143</v>
      </c>
      <c r="AI1001" s="2">
        <f t="shared" si="835"/>
        <v>0</v>
      </c>
      <c r="AJ1001" s="2">
        <f t="shared" si="836"/>
        <v>0</v>
      </c>
      <c r="AK1001" s="2">
        <v>1681.68</v>
      </c>
      <c r="AL1001" s="2">
        <v>0</v>
      </c>
      <c r="AM1001" s="2">
        <v>0</v>
      </c>
      <c r="AN1001" s="2">
        <v>0</v>
      </c>
      <c r="AO1001" s="2">
        <v>1681.68</v>
      </c>
      <c r="AP1001" s="2">
        <v>0</v>
      </c>
      <c r="AQ1001" s="2">
        <v>143</v>
      </c>
      <c r="AR1001" s="2">
        <v>0</v>
      </c>
      <c r="AS1001" s="2">
        <v>0</v>
      </c>
      <c r="AT1001" s="2">
        <v>80</v>
      </c>
      <c r="AU1001" s="2">
        <v>55</v>
      </c>
      <c r="AV1001" s="2">
        <v>1</v>
      </c>
      <c r="AW1001" s="2">
        <v>1</v>
      </c>
      <c r="AX1001" s="2"/>
      <c r="AY1001" s="2"/>
      <c r="AZ1001" s="2">
        <v>1</v>
      </c>
      <c r="BA1001" s="2">
        <v>1</v>
      </c>
      <c r="BB1001" s="2">
        <v>1</v>
      </c>
      <c r="BC1001" s="2">
        <v>1</v>
      </c>
      <c r="BD1001" s="2" t="s">
        <v>3</v>
      </c>
      <c r="BE1001" s="2" t="s">
        <v>3</v>
      </c>
      <c r="BF1001" s="2" t="s">
        <v>3</v>
      </c>
      <c r="BG1001" s="2" t="s">
        <v>3</v>
      </c>
      <c r="BH1001" s="2">
        <v>0</v>
      </c>
      <c r="BI1001" s="2">
        <v>1</v>
      </c>
      <c r="BJ1001" s="2" t="s">
        <v>817</v>
      </c>
      <c r="BK1001" s="2"/>
      <c r="BL1001" s="2"/>
      <c r="BM1001" s="2">
        <v>616</v>
      </c>
      <c r="BN1001" s="2">
        <v>0</v>
      </c>
      <c r="BO1001" s="2" t="s">
        <v>3</v>
      </c>
      <c r="BP1001" s="2">
        <v>0</v>
      </c>
      <c r="BQ1001" s="2">
        <v>60</v>
      </c>
      <c r="BR1001" s="2">
        <v>0</v>
      </c>
      <c r="BS1001" s="2">
        <v>1</v>
      </c>
      <c r="BT1001" s="2">
        <v>1</v>
      </c>
      <c r="BU1001" s="2">
        <v>1</v>
      </c>
      <c r="BV1001" s="2">
        <v>1</v>
      </c>
      <c r="BW1001" s="2">
        <v>1</v>
      </c>
      <c r="BX1001" s="2">
        <v>1</v>
      </c>
      <c r="BY1001" s="2" t="s">
        <v>3</v>
      </c>
      <c r="BZ1001" s="2">
        <v>80</v>
      </c>
      <c r="CA1001" s="2">
        <v>55</v>
      </c>
      <c r="CB1001" s="2" t="s">
        <v>3</v>
      </c>
      <c r="CC1001" s="2"/>
      <c r="CD1001" s="2"/>
      <c r="CE1001" s="2">
        <v>30</v>
      </c>
      <c r="CF1001" s="2">
        <v>0</v>
      </c>
      <c r="CG1001" s="2">
        <v>0</v>
      </c>
      <c r="CH1001" s="2"/>
      <c r="CI1001" s="2"/>
      <c r="CJ1001" s="2"/>
      <c r="CK1001" s="2"/>
      <c r="CL1001" s="2"/>
      <c r="CM1001" s="2">
        <v>0</v>
      </c>
      <c r="CN1001" s="2" t="s">
        <v>3</v>
      </c>
      <c r="CO1001" s="2">
        <v>0</v>
      </c>
      <c r="CP1001" s="2">
        <f t="shared" si="837"/>
        <v>16.82</v>
      </c>
      <c r="CQ1001" s="2">
        <f t="shared" si="838"/>
        <v>0</v>
      </c>
      <c r="CR1001" s="2">
        <f>(ROUND((ROUND(((ET1001)*AV1001*1),2)*BB1001),2)+ROUND((ROUND(((AE1001-(EU1001))*AV1001*1),2)*BS1001),2))</f>
        <v>0</v>
      </c>
      <c r="CS1001" s="2">
        <f t="shared" si="839"/>
        <v>0</v>
      </c>
      <c r="CT1001" s="2">
        <f t="shared" si="840"/>
        <v>1681.68</v>
      </c>
      <c r="CU1001" s="2">
        <f t="shared" si="841"/>
        <v>0</v>
      </c>
      <c r="CV1001" s="2">
        <f t="shared" si="842"/>
        <v>143</v>
      </c>
      <c r="CW1001" s="2">
        <f t="shared" si="843"/>
        <v>0</v>
      </c>
      <c r="CX1001" s="2">
        <f t="shared" si="843"/>
        <v>0</v>
      </c>
      <c r="CY1001" s="2">
        <f>((S1001*BZ1001)/100)</f>
        <v>13.456</v>
      </c>
      <c r="CZ1001" s="2">
        <f>((S1001*CA1001)/100)</f>
        <v>9.2509999999999994</v>
      </c>
      <c r="DA1001" s="2"/>
      <c r="DB1001" s="2"/>
      <c r="DC1001" s="2" t="s">
        <v>3</v>
      </c>
      <c r="DD1001" s="2" t="s">
        <v>3</v>
      </c>
      <c r="DE1001" s="2" t="s">
        <v>3</v>
      </c>
      <c r="DF1001" s="2" t="s">
        <v>3</v>
      </c>
      <c r="DG1001" s="2" t="s">
        <v>3</v>
      </c>
      <c r="DH1001" s="2" t="s">
        <v>3</v>
      </c>
      <c r="DI1001" s="2" t="s">
        <v>3</v>
      </c>
      <c r="DJ1001" s="2" t="s">
        <v>3</v>
      </c>
      <c r="DK1001" s="2" t="s">
        <v>3</v>
      </c>
      <c r="DL1001" s="2" t="s">
        <v>3</v>
      </c>
      <c r="DM1001" s="2" t="s">
        <v>3</v>
      </c>
      <c r="DN1001" s="2">
        <v>0</v>
      </c>
      <c r="DO1001" s="2">
        <v>0</v>
      </c>
      <c r="DP1001" s="2">
        <v>1</v>
      </c>
      <c r="DQ1001" s="2">
        <v>1</v>
      </c>
      <c r="DR1001" s="2"/>
      <c r="DS1001" s="2"/>
      <c r="DT1001" s="2"/>
      <c r="DU1001" s="2">
        <v>1013</v>
      </c>
      <c r="DV1001" s="2" t="s">
        <v>811</v>
      </c>
      <c r="DW1001" s="2" t="s">
        <v>811</v>
      </c>
      <c r="DX1001" s="2">
        <v>1</v>
      </c>
      <c r="DY1001" s="2"/>
      <c r="DZ1001" s="2" t="s">
        <v>3</v>
      </c>
      <c r="EA1001" s="2" t="s">
        <v>3</v>
      </c>
      <c r="EB1001" s="2" t="s">
        <v>3</v>
      </c>
      <c r="EC1001" s="2" t="s">
        <v>3</v>
      </c>
      <c r="ED1001" s="2"/>
      <c r="EE1001" s="2">
        <v>126052077</v>
      </c>
      <c r="EF1001" s="2">
        <v>60</v>
      </c>
      <c r="EG1001" s="2" t="s">
        <v>150</v>
      </c>
      <c r="EH1001" s="2">
        <v>0</v>
      </c>
      <c r="EI1001" s="2" t="s">
        <v>3</v>
      </c>
      <c r="EJ1001" s="2">
        <v>1</v>
      </c>
      <c r="EK1001" s="2">
        <v>616</v>
      </c>
      <c r="EL1001" s="2" t="s">
        <v>813</v>
      </c>
      <c r="EM1001" s="2" t="s">
        <v>814</v>
      </c>
      <c r="EN1001" s="2"/>
      <c r="EO1001" s="2" t="s">
        <v>3</v>
      </c>
      <c r="EP1001" s="2"/>
      <c r="EQ1001" s="2">
        <v>131072</v>
      </c>
      <c r="ER1001" s="2">
        <v>1681.68</v>
      </c>
      <c r="ES1001" s="2">
        <v>0</v>
      </c>
      <c r="ET1001" s="2">
        <v>0</v>
      </c>
      <c r="EU1001" s="2">
        <v>0</v>
      </c>
      <c r="EV1001" s="2">
        <v>1681.68</v>
      </c>
      <c r="EW1001" s="2">
        <v>143</v>
      </c>
      <c r="EX1001" s="2">
        <v>0</v>
      </c>
      <c r="EY1001" s="2">
        <v>0</v>
      </c>
      <c r="EZ1001" s="2"/>
      <c r="FA1001" s="2"/>
      <c r="FB1001" s="2"/>
      <c r="FC1001" s="2"/>
      <c r="FD1001" s="2"/>
      <c r="FE1001" s="2"/>
      <c r="FF1001" s="2"/>
      <c r="FG1001" s="2"/>
      <c r="FH1001" s="2"/>
      <c r="FI1001" s="2"/>
      <c r="FJ1001" s="2"/>
      <c r="FK1001" s="2"/>
      <c r="FL1001" s="2"/>
      <c r="FM1001" s="2"/>
      <c r="FN1001" s="2"/>
      <c r="FO1001" s="2"/>
      <c r="FP1001" s="2"/>
      <c r="FQ1001" s="2">
        <v>0</v>
      </c>
      <c r="FR1001" s="2">
        <f t="shared" si="844"/>
        <v>0</v>
      </c>
      <c r="FS1001" s="2">
        <v>0</v>
      </c>
      <c r="FT1001" s="2"/>
      <c r="FU1001" s="2"/>
      <c r="FV1001" s="2"/>
      <c r="FW1001" s="2"/>
      <c r="FX1001" s="2">
        <v>80</v>
      </c>
      <c r="FY1001" s="2">
        <v>55</v>
      </c>
      <c r="FZ1001" s="2"/>
      <c r="GA1001" s="2" t="s">
        <v>3</v>
      </c>
      <c r="GB1001" s="2"/>
      <c r="GC1001" s="2"/>
      <c r="GD1001" s="2">
        <v>0</v>
      </c>
      <c r="GE1001" s="2"/>
      <c r="GF1001" s="2">
        <v>-679231536</v>
      </c>
      <c r="GG1001" s="2">
        <v>2</v>
      </c>
      <c r="GH1001" s="2">
        <v>1</v>
      </c>
      <c r="GI1001" s="2">
        <v>-2</v>
      </c>
      <c r="GJ1001" s="2">
        <v>0</v>
      </c>
      <c r="GK1001" s="2">
        <f>ROUND(R1001*(R12)/100,2)</f>
        <v>0</v>
      </c>
      <c r="GL1001" s="2">
        <f t="shared" si="845"/>
        <v>0</v>
      </c>
      <c r="GM1001" s="2">
        <f t="shared" si="846"/>
        <v>39.53</v>
      </c>
      <c r="GN1001" s="2">
        <f t="shared" si="847"/>
        <v>39.53</v>
      </c>
      <c r="GO1001" s="2">
        <f t="shared" si="848"/>
        <v>0</v>
      </c>
      <c r="GP1001" s="2">
        <f t="shared" si="849"/>
        <v>0</v>
      </c>
      <c r="GQ1001" s="2"/>
      <c r="GR1001" s="2">
        <v>0</v>
      </c>
      <c r="GS1001" s="2">
        <v>0</v>
      </c>
      <c r="GT1001" s="2">
        <v>0</v>
      </c>
      <c r="GU1001" s="2" t="s">
        <v>3</v>
      </c>
      <c r="GV1001" s="2">
        <f t="shared" si="850"/>
        <v>0</v>
      </c>
      <c r="GW1001" s="2">
        <v>1</v>
      </c>
      <c r="GX1001" s="2">
        <f t="shared" si="851"/>
        <v>0</v>
      </c>
      <c r="GY1001" s="2"/>
      <c r="GZ1001" s="2"/>
      <c r="HA1001" s="2">
        <v>0</v>
      </c>
      <c r="HB1001" s="2">
        <v>0</v>
      </c>
      <c r="HC1001" s="2">
        <f t="shared" si="852"/>
        <v>0</v>
      </c>
      <c r="HD1001" s="2"/>
      <c r="HE1001" s="2" t="s">
        <v>3</v>
      </c>
      <c r="HF1001" s="2" t="s">
        <v>3</v>
      </c>
      <c r="HG1001" s="2"/>
      <c r="HH1001" s="2"/>
      <c r="HI1001" s="2"/>
      <c r="HJ1001" s="2"/>
      <c r="HK1001" s="2"/>
      <c r="HL1001" s="2"/>
      <c r="HM1001" s="2" t="s">
        <v>3</v>
      </c>
      <c r="HN1001" s="2" t="s">
        <v>3</v>
      </c>
      <c r="HO1001" s="2" t="s">
        <v>3</v>
      </c>
      <c r="HP1001" s="2" t="s">
        <v>3</v>
      </c>
      <c r="HQ1001" s="2" t="s">
        <v>3</v>
      </c>
      <c r="HR1001" s="2"/>
      <c r="HS1001" s="2"/>
      <c r="HT1001" s="2"/>
      <c r="HU1001" s="2"/>
      <c r="HV1001" s="2"/>
      <c r="HW1001" s="2"/>
      <c r="HX1001" s="2"/>
      <c r="HY1001" s="2"/>
      <c r="HZ1001" s="2"/>
      <c r="IA1001" s="2"/>
      <c r="IB1001" s="2"/>
      <c r="IC1001" s="2"/>
      <c r="ID1001" s="2"/>
      <c r="IE1001" s="2"/>
      <c r="IF1001" s="2"/>
      <c r="IG1001" s="2"/>
      <c r="IH1001" s="2"/>
      <c r="II1001" s="2"/>
      <c r="IJ1001" s="2"/>
      <c r="IK1001" s="2">
        <v>0</v>
      </c>
      <c r="IL1001" s="2"/>
      <c r="IM1001" s="2"/>
      <c r="IN1001" s="2"/>
      <c r="IO1001" s="2"/>
      <c r="IP1001" s="2"/>
      <c r="IQ1001" s="2"/>
      <c r="IR1001" s="2"/>
      <c r="IS1001" s="2"/>
      <c r="IT1001" s="2"/>
      <c r="IU1001" s="2"/>
    </row>
    <row r="1002" spans="1:255" x14ac:dyDescent="0.2">
      <c r="A1002">
        <v>17</v>
      </c>
      <c r="B1002">
        <v>1</v>
      </c>
      <c r="C1002">
        <f>ROW(SmtRes!A800)</f>
        <v>800</v>
      </c>
      <c r="D1002">
        <f>ROW(EtalonRes!A764)</f>
        <v>764</v>
      </c>
      <c r="E1002" t="s">
        <v>81</v>
      </c>
      <c r="F1002" t="s">
        <v>815</v>
      </c>
      <c r="G1002" t="s">
        <v>816</v>
      </c>
      <c r="H1002" t="s">
        <v>811</v>
      </c>
      <c r="I1002">
        <v>0.01</v>
      </c>
      <c r="J1002">
        <v>0</v>
      </c>
      <c r="K1002">
        <v>0.01</v>
      </c>
      <c r="O1002">
        <f t="shared" si="823"/>
        <v>488.28</v>
      </c>
      <c r="P1002">
        <f t="shared" si="824"/>
        <v>0</v>
      </c>
      <c r="Q1002">
        <f>(ROUND((ROUND(((ET1002)*AV1002*I1002),2)*BB1002),2)+ROUND((ROUND(((AE1002-(EU1002))*AV1002*I1002),2)*BS1002),2))</f>
        <v>0</v>
      </c>
      <c r="R1002">
        <f t="shared" si="825"/>
        <v>0</v>
      </c>
      <c r="S1002">
        <f t="shared" si="826"/>
        <v>488.28</v>
      </c>
      <c r="T1002">
        <f t="shared" si="827"/>
        <v>0</v>
      </c>
      <c r="U1002">
        <f t="shared" si="828"/>
        <v>1.43</v>
      </c>
      <c r="V1002">
        <f t="shared" si="829"/>
        <v>0</v>
      </c>
      <c r="W1002">
        <f t="shared" si="830"/>
        <v>0</v>
      </c>
      <c r="X1002">
        <f t="shared" si="831"/>
        <v>341.8</v>
      </c>
      <c r="Y1002">
        <f t="shared" si="831"/>
        <v>200.19</v>
      </c>
      <c r="AA1002">
        <v>129761633</v>
      </c>
      <c r="AB1002">
        <f t="shared" si="832"/>
        <v>1681.68</v>
      </c>
      <c r="AC1002">
        <f>ROUND((ES1002),6)</f>
        <v>0</v>
      </c>
      <c r="AD1002">
        <f>ROUND((((ET1002)-(EU1002))+AE1002),6)</f>
        <v>0</v>
      </c>
      <c r="AE1002">
        <f t="shared" si="833"/>
        <v>0</v>
      </c>
      <c r="AF1002">
        <f t="shared" si="833"/>
        <v>1681.68</v>
      </c>
      <c r="AG1002">
        <f t="shared" si="834"/>
        <v>0</v>
      </c>
      <c r="AH1002">
        <f t="shared" si="835"/>
        <v>143</v>
      </c>
      <c r="AI1002">
        <f t="shared" si="835"/>
        <v>0</v>
      </c>
      <c r="AJ1002">
        <f t="shared" si="836"/>
        <v>0</v>
      </c>
      <c r="AK1002">
        <v>1681.68</v>
      </c>
      <c r="AL1002">
        <v>0</v>
      </c>
      <c r="AM1002">
        <v>0</v>
      </c>
      <c r="AN1002">
        <v>0</v>
      </c>
      <c r="AO1002">
        <v>1681.68</v>
      </c>
      <c r="AP1002">
        <v>0</v>
      </c>
      <c r="AQ1002">
        <v>143</v>
      </c>
      <c r="AR1002">
        <v>0</v>
      </c>
      <c r="AS1002">
        <v>0</v>
      </c>
      <c r="AT1002">
        <v>70</v>
      </c>
      <c r="AU1002">
        <v>41</v>
      </c>
      <c r="AV1002">
        <v>1</v>
      </c>
      <c r="AW1002">
        <v>1</v>
      </c>
      <c r="AZ1002">
        <v>1</v>
      </c>
      <c r="BA1002">
        <v>29.03</v>
      </c>
      <c r="BB1002">
        <v>1</v>
      </c>
      <c r="BC1002">
        <v>1</v>
      </c>
      <c r="BD1002" t="s">
        <v>3</v>
      </c>
      <c r="BE1002" t="s">
        <v>3</v>
      </c>
      <c r="BF1002" t="s">
        <v>3</v>
      </c>
      <c r="BG1002" t="s">
        <v>3</v>
      </c>
      <c r="BH1002">
        <v>0</v>
      </c>
      <c r="BI1002">
        <v>1</v>
      </c>
      <c r="BJ1002" t="s">
        <v>817</v>
      </c>
      <c r="BM1002">
        <v>616</v>
      </c>
      <c r="BN1002">
        <v>0</v>
      </c>
      <c r="BO1002" t="s">
        <v>815</v>
      </c>
      <c r="BP1002">
        <v>1</v>
      </c>
      <c r="BQ1002">
        <v>60</v>
      </c>
      <c r="BR1002">
        <v>0</v>
      </c>
      <c r="BS1002">
        <v>29.03</v>
      </c>
      <c r="BT1002">
        <v>1</v>
      </c>
      <c r="BU1002">
        <v>1</v>
      </c>
      <c r="BV1002">
        <v>1</v>
      </c>
      <c r="BW1002">
        <v>1</v>
      </c>
      <c r="BX1002">
        <v>1</v>
      </c>
      <c r="BY1002" t="s">
        <v>3</v>
      </c>
      <c r="BZ1002">
        <v>70</v>
      </c>
      <c r="CA1002">
        <v>41</v>
      </c>
      <c r="CB1002" t="s">
        <v>3</v>
      </c>
      <c r="CE1002">
        <v>30</v>
      </c>
      <c r="CF1002">
        <v>0</v>
      </c>
      <c r="CG1002">
        <v>0</v>
      </c>
      <c r="CM1002">
        <v>0</v>
      </c>
      <c r="CN1002" t="s">
        <v>3</v>
      </c>
      <c r="CO1002">
        <v>0</v>
      </c>
      <c r="CP1002">
        <f t="shared" si="837"/>
        <v>488.28</v>
      </c>
      <c r="CQ1002">
        <f t="shared" si="838"/>
        <v>0</v>
      </c>
      <c r="CR1002">
        <f>(ROUND((ROUND(((ET1002)*AV1002*1),2)*BB1002),2)+ROUND((ROUND(((AE1002-(EU1002))*AV1002*1),2)*BS1002),2))</f>
        <v>0</v>
      </c>
      <c r="CS1002">
        <f t="shared" si="839"/>
        <v>0</v>
      </c>
      <c r="CT1002">
        <f t="shared" si="840"/>
        <v>48819.17</v>
      </c>
      <c r="CU1002">
        <f t="shared" si="841"/>
        <v>0</v>
      </c>
      <c r="CV1002">
        <f t="shared" si="842"/>
        <v>143</v>
      </c>
      <c r="CW1002">
        <f t="shared" si="843"/>
        <v>0</v>
      </c>
      <c r="CX1002">
        <f t="shared" si="843"/>
        <v>0</v>
      </c>
      <c r="CY1002">
        <f>S1002*(BZ1002/100)</f>
        <v>341.79599999999994</v>
      </c>
      <c r="CZ1002">
        <f>S1002*(CA1002/100)</f>
        <v>200.19479999999999</v>
      </c>
      <c r="DC1002" t="s">
        <v>3</v>
      </c>
      <c r="DD1002" t="s">
        <v>3</v>
      </c>
      <c r="DE1002" t="s">
        <v>3</v>
      </c>
      <c r="DF1002" t="s">
        <v>3</v>
      </c>
      <c r="DG1002" t="s">
        <v>3</v>
      </c>
      <c r="DH1002" t="s">
        <v>3</v>
      </c>
      <c r="DI1002" t="s">
        <v>3</v>
      </c>
      <c r="DJ1002" t="s">
        <v>3</v>
      </c>
      <c r="DK1002" t="s">
        <v>3</v>
      </c>
      <c r="DL1002" t="s">
        <v>3</v>
      </c>
      <c r="DM1002" t="s">
        <v>3</v>
      </c>
      <c r="DN1002">
        <v>80</v>
      </c>
      <c r="DO1002">
        <v>55</v>
      </c>
      <c r="DP1002">
        <v>1</v>
      </c>
      <c r="DQ1002">
        <v>1</v>
      </c>
      <c r="DU1002">
        <v>1013</v>
      </c>
      <c r="DV1002" t="s">
        <v>811</v>
      </c>
      <c r="DW1002" t="s">
        <v>811</v>
      </c>
      <c r="DX1002">
        <v>1</v>
      </c>
      <c r="DZ1002" t="s">
        <v>3</v>
      </c>
      <c r="EA1002" t="s">
        <v>3</v>
      </c>
      <c r="EB1002" t="s">
        <v>3</v>
      </c>
      <c r="EC1002" t="s">
        <v>3</v>
      </c>
      <c r="EE1002">
        <v>126052077</v>
      </c>
      <c r="EF1002">
        <v>60</v>
      </c>
      <c r="EG1002" t="s">
        <v>150</v>
      </c>
      <c r="EH1002">
        <v>0</v>
      </c>
      <c r="EI1002" t="s">
        <v>3</v>
      </c>
      <c r="EJ1002">
        <v>1</v>
      </c>
      <c r="EK1002">
        <v>616</v>
      </c>
      <c r="EL1002" t="s">
        <v>813</v>
      </c>
      <c r="EM1002" t="s">
        <v>814</v>
      </c>
      <c r="EO1002" t="s">
        <v>3</v>
      </c>
      <c r="EQ1002">
        <v>131072</v>
      </c>
      <c r="ER1002">
        <v>1681.68</v>
      </c>
      <c r="ES1002">
        <v>0</v>
      </c>
      <c r="ET1002">
        <v>0</v>
      </c>
      <c r="EU1002">
        <v>0</v>
      </c>
      <c r="EV1002">
        <v>1681.68</v>
      </c>
      <c r="EW1002">
        <v>143</v>
      </c>
      <c r="EX1002">
        <v>0</v>
      </c>
      <c r="EY1002">
        <v>0</v>
      </c>
      <c r="FQ1002">
        <v>0</v>
      </c>
      <c r="FR1002">
        <f t="shared" si="844"/>
        <v>0</v>
      </c>
      <c r="FS1002">
        <v>0</v>
      </c>
      <c r="FX1002">
        <v>80</v>
      </c>
      <c r="FY1002">
        <v>55</v>
      </c>
      <c r="GA1002" t="s">
        <v>3</v>
      </c>
      <c r="GD1002">
        <v>0</v>
      </c>
      <c r="GF1002">
        <v>-679231536</v>
      </c>
      <c r="GG1002">
        <v>2</v>
      </c>
      <c r="GH1002">
        <v>1</v>
      </c>
      <c r="GI1002">
        <v>2</v>
      </c>
      <c r="GJ1002">
        <v>0</v>
      </c>
      <c r="GK1002">
        <f>ROUND(R1002*(S12)/100,2)</f>
        <v>0</v>
      </c>
      <c r="GL1002">
        <f t="shared" si="845"/>
        <v>0</v>
      </c>
      <c r="GM1002">
        <f t="shared" si="846"/>
        <v>1030.27</v>
      </c>
      <c r="GN1002">
        <f t="shared" si="847"/>
        <v>1030.27</v>
      </c>
      <c r="GO1002">
        <f t="shared" si="848"/>
        <v>0</v>
      </c>
      <c r="GP1002">
        <f t="shared" si="849"/>
        <v>0</v>
      </c>
      <c r="GR1002">
        <v>0</v>
      </c>
      <c r="GS1002">
        <v>3</v>
      </c>
      <c r="GT1002">
        <v>0</v>
      </c>
      <c r="GU1002" t="s">
        <v>3</v>
      </c>
      <c r="GV1002">
        <f t="shared" si="850"/>
        <v>0</v>
      </c>
      <c r="GW1002">
        <v>1</v>
      </c>
      <c r="GX1002">
        <f t="shared" si="851"/>
        <v>0</v>
      </c>
      <c r="HA1002">
        <v>0</v>
      </c>
      <c r="HB1002">
        <v>0</v>
      </c>
      <c r="HC1002">
        <f t="shared" si="852"/>
        <v>0</v>
      </c>
      <c r="HE1002" t="s">
        <v>3</v>
      </c>
      <c r="HF1002" t="s">
        <v>3</v>
      </c>
      <c r="HM1002" t="s">
        <v>3</v>
      </c>
      <c r="HN1002" t="s">
        <v>3</v>
      </c>
      <c r="HO1002" t="s">
        <v>3</v>
      </c>
      <c r="HP1002" t="s">
        <v>3</v>
      </c>
      <c r="HQ1002" t="s">
        <v>3</v>
      </c>
      <c r="IK1002">
        <v>0</v>
      </c>
    </row>
    <row r="1003" spans="1:255" x14ac:dyDescent="0.2">
      <c r="A1003" s="2">
        <v>17</v>
      </c>
      <c r="B1003" s="2">
        <v>1</v>
      </c>
      <c r="C1003" s="2">
        <f>ROW(SmtRes!A812)</f>
        <v>812</v>
      </c>
      <c r="D1003" s="2">
        <f>ROW(EtalonRes!A780)</f>
        <v>780</v>
      </c>
      <c r="E1003" s="2" t="s">
        <v>96</v>
      </c>
      <c r="F1003" s="2" t="s">
        <v>818</v>
      </c>
      <c r="G1003" s="2" t="s">
        <v>819</v>
      </c>
      <c r="H1003" s="2" t="s">
        <v>820</v>
      </c>
      <c r="I1003" s="2">
        <v>0.1</v>
      </c>
      <c r="J1003" s="2">
        <v>0</v>
      </c>
      <c r="K1003" s="2">
        <v>0.1</v>
      </c>
      <c r="L1003" s="2"/>
      <c r="M1003" s="2"/>
      <c r="N1003" s="2"/>
      <c r="O1003" s="2">
        <f t="shared" si="823"/>
        <v>126.42</v>
      </c>
      <c r="P1003" s="2">
        <f t="shared" si="824"/>
        <v>0</v>
      </c>
      <c r="Q1003" s="2">
        <f>(ROUND((ROUND((((ET1003*0.6))*AV1003*I1003),2)*BB1003),2)+ROUND((ROUND(((AE1003-((EU1003*0.6)))*AV1003*I1003),2)*BS1003),2))</f>
        <v>2.2400000000000002</v>
      </c>
      <c r="R1003" s="2">
        <f t="shared" si="825"/>
        <v>0.21</v>
      </c>
      <c r="S1003" s="2">
        <f t="shared" si="826"/>
        <v>124.18</v>
      </c>
      <c r="T1003" s="2">
        <f t="shared" si="827"/>
        <v>0</v>
      </c>
      <c r="U1003" s="2">
        <f t="shared" si="828"/>
        <v>9.84</v>
      </c>
      <c r="V1003" s="2">
        <f t="shared" si="829"/>
        <v>0</v>
      </c>
      <c r="W1003" s="2">
        <f t="shared" si="830"/>
        <v>0</v>
      </c>
      <c r="X1003" s="2">
        <f t="shared" si="831"/>
        <v>136.6</v>
      </c>
      <c r="Y1003" s="2">
        <f t="shared" si="831"/>
        <v>91.89</v>
      </c>
      <c r="Z1003" s="2"/>
      <c r="AA1003" s="2">
        <v>129761636</v>
      </c>
      <c r="AB1003" s="2">
        <f t="shared" si="832"/>
        <v>1264.2</v>
      </c>
      <c r="AC1003" s="2">
        <f>ROUND(((ES1003*0)),6)</f>
        <v>0</v>
      </c>
      <c r="AD1003" s="2">
        <f>ROUND(((((ET1003*0.6))-((EU1003*0.6)))+AE1003),6)</f>
        <v>22.391999999999999</v>
      </c>
      <c r="AE1003" s="2">
        <f t="shared" ref="AE1003:AF1006" si="853">ROUND(((EU1003*0.6)),6)</f>
        <v>2.1120000000000001</v>
      </c>
      <c r="AF1003" s="2">
        <f t="shared" si="853"/>
        <v>1241.808</v>
      </c>
      <c r="AG1003" s="2">
        <f t="shared" si="834"/>
        <v>0</v>
      </c>
      <c r="AH1003" s="2">
        <f t="shared" ref="AH1003:AI1006" si="854">((EW1003*0.6))</f>
        <v>98.399999999999991</v>
      </c>
      <c r="AI1003" s="2">
        <f t="shared" si="854"/>
        <v>0</v>
      </c>
      <c r="AJ1003" s="2">
        <f t="shared" si="836"/>
        <v>0</v>
      </c>
      <c r="AK1003" s="2">
        <v>2344.81</v>
      </c>
      <c r="AL1003" s="2">
        <v>237.81</v>
      </c>
      <c r="AM1003" s="2">
        <v>37.32</v>
      </c>
      <c r="AN1003" s="2">
        <v>3.52</v>
      </c>
      <c r="AO1003" s="2">
        <v>2069.6799999999998</v>
      </c>
      <c r="AP1003" s="2">
        <v>0</v>
      </c>
      <c r="AQ1003" s="2">
        <v>164</v>
      </c>
      <c r="AR1003" s="2">
        <v>0</v>
      </c>
      <c r="AS1003" s="2">
        <v>0</v>
      </c>
      <c r="AT1003" s="2">
        <v>110</v>
      </c>
      <c r="AU1003" s="2">
        <v>74</v>
      </c>
      <c r="AV1003" s="2">
        <v>1</v>
      </c>
      <c r="AW1003" s="2">
        <v>1</v>
      </c>
      <c r="AX1003" s="2"/>
      <c r="AY1003" s="2"/>
      <c r="AZ1003" s="2">
        <v>1</v>
      </c>
      <c r="BA1003" s="2">
        <v>1</v>
      </c>
      <c r="BB1003" s="2">
        <v>1</v>
      </c>
      <c r="BC1003" s="2">
        <v>1</v>
      </c>
      <c r="BD1003" s="2" t="s">
        <v>3</v>
      </c>
      <c r="BE1003" s="2" t="s">
        <v>3</v>
      </c>
      <c r="BF1003" s="2" t="s">
        <v>3</v>
      </c>
      <c r="BG1003" s="2" t="s">
        <v>3</v>
      </c>
      <c r="BH1003" s="2">
        <v>0</v>
      </c>
      <c r="BI1003" s="2">
        <v>1</v>
      </c>
      <c r="BJ1003" s="2" t="s">
        <v>821</v>
      </c>
      <c r="BK1003" s="2"/>
      <c r="BL1003" s="2"/>
      <c r="BM1003" s="2">
        <v>1623</v>
      </c>
      <c r="BN1003" s="2">
        <v>0</v>
      </c>
      <c r="BO1003" s="2" t="s">
        <v>3</v>
      </c>
      <c r="BP1003" s="2">
        <v>0</v>
      </c>
      <c r="BQ1003" s="2">
        <v>30</v>
      </c>
      <c r="BR1003" s="2">
        <v>0</v>
      </c>
      <c r="BS1003" s="2">
        <v>1</v>
      </c>
      <c r="BT1003" s="2">
        <v>1</v>
      </c>
      <c r="BU1003" s="2">
        <v>1</v>
      </c>
      <c r="BV1003" s="2">
        <v>1</v>
      </c>
      <c r="BW1003" s="2">
        <v>1</v>
      </c>
      <c r="BX1003" s="2">
        <v>1</v>
      </c>
      <c r="BY1003" s="2" t="s">
        <v>3</v>
      </c>
      <c r="BZ1003" s="2">
        <v>110</v>
      </c>
      <c r="CA1003" s="2">
        <v>74</v>
      </c>
      <c r="CB1003" s="2" t="s">
        <v>3</v>
      </c>
      <c r="CC1003" s="2"/>
      <c r="CD1003" s="2"/>
      <c r="CE1003" s="2">
        <v>30</v>
      </c>
      <c r="CF1003" s="2">
        <v>0</v>
      </c>
      <c r="CG1003" s="2">
        <v>0</v>
      </c>
      <c r="CH1003" s="2"/>
      <c r="CI1003" s="2"/>
      <c r="CJ1003" s="2"/>
      <c r="CK1003" s="2"/>
      <c r="CL1003" s="2"/>
      <c r="CM1003" s="2">
        <v>0</v>
      </c>
      <c r="CN1003" s="2" t="s">
        <v>822</v>
      </c>
      <c r="CO1003" s="2">
        <v>0</v>
      </c>
      <c r="CP1003" s="2">
        <f t="shared" si="837"/>
        <v>126.42</v>
      </c>
      <c r="CQ1003" s="2">
        <f t="shared" si="838"/>
        <v>0</v>
      </c>
      <c r="CR1003" s="2">
        <f>(ROUND((ROUND((((ET1003*0.6))*AV1003*1),2)*BB1003),2)+ROUND((ROUND(((AE1003-((EU1003*0.6)))*AV1003*1),2)*BS1003),2))</f>
        <v>22.39</v>
      </c>
      <c r="CS1003" s="2">
        <f t="shared" si="839"/>
        <v>2.11</v>
      </c>
      <c r="CT1003" s="2">
        <f t="shared" si="840"/>
        <v>1241.81</v>
      </c>
      <c r="CU1003" s="2">
        <f t="shared" si="841"/>
        <v>0</v>
      </c>
      <c r="CV1003" s="2">
        <f t="shared" si="842"/>
        <v>98.399999999999991</v>
      </c>
      <c r="CW1003" s="2">
        <f t="shared" si="843"/>
        <v>0</v>
      </c>
      <c r="CX1003" s="2">
        <f t="shared" si="843"/>
        <v>0</v>
      </c>
      <c r="CY1003" s="2">
        <f>((S1003*BZ1003)/100)</f>
        <v>136.59800000000001</v>
      </c>
      <c r="CZ1003" s="2">
        <f>((S1003*CA1003)/100)</f>
        <v>91.893199999999993</v>
      </c>
      <c r="DA1003" s="2"/>
      <c r="DB1003" s="2"/>
      <c r="DC1003" s="2" t="s">
        <v>3</v>
      </c>
      <c r="DD1003" s="2" t="s">
        <v>823</v>
      </c>
      <c r="DE1003" s="2" t="s">
        <v>142</v>
      </c>
      <c r="DF1003" s="2" t="s">
        <v>142</v>
      </c>
      <c r="DG1003" s="2" t="s">
        <v>142</v>
      </c>
      <c r="DH1003" s="2" t="s">
        <v>3</v>
      </c>
      <c r="DI1003" s="2" t="s">
        <v>142</v>
      </c>
      <c r="DJ1003" s="2" t="s">
        <v>142</v>
      </c>
      <c r="DK1003" s="2" t="s">
        <v>3</v>
      </c>
      <c r="DL1003" s="2" t="s">
        <v>3</v>
      </c>
      <c r="DM1003" s="2" t="s">
        <v>3</v>
      </c>
      <c r="DN1003" s="2">
        <v>0</v>
      </c>
      <c r="DO1003" s="2">
        <v>0</v>
      </c>
      <c r="DP1003" s="2">
        <v>1</v>
      </c>
      <c r="DQ1003" s="2">
        <v>1</v>
      </c>
      <c r="DR1003" s="2"/>
      <c r="DS1003" s="2"/>
      <c r="DT1003" s="2"/>
      <c r="DU1003" s="2">
        <v>1003</v>
      </c>
      <c r="DV1003" s="2" t="s">
        <v>820</v>
      </c>
      <c r="DW1003" s="2" t="s">
        <v>820</v>
      </c>
      <c r="DX1003" s="2">
        <v>100</v>
      </c>
      <c r="DY1003" s="2"/>
      <c r="DZ1003" s="2" t="s">
        <v>3</v>
      </c>
      <c r="EA1003" s="2" t="s">
        <v>3</v>
      </c>
      <c r="EB1003" s="2" t="s">
        <v>3</v>
      </c>
      <c r="EC1003" s="2" t="s">
        <v>3</v>
      </c>
      <c r="ED1003" s="2"/>
      <c r="EE1003" s="2">
        <v>126053084</v>
      </c>
      <c r="EF1003" s="2">
        <v>30</v>
      </c>
      <c r="EG1003" s="2" t="s">
        <v>23</v>
      </c>
      <c r="EH1003" s="2">
        <v>0</v>
      </c>
      <c r="EI1003" s="2" t="s">
        <v>3</v>
      </c>
      <c r="EJ1003" s="2">
        <v>1</v>
      </c>
      <c r="EK1003" s="2">
        <v>1623</v>
      </c>
      <c r="EL1003" s="2" t="s">
        <v>824</v>
      </c>
      <c r="EM1003" s="2" t="s">
        <v>825</v>
      </c>
      <c r="EN1003" s="2"/>
      <c r="EO1003" s="2" t="s">
        <v>826</v>
      </c>
      <c r="EP1003" s="2"/>
      <c r="EQ1003" s="2">
        <v>131072</v>
      </c>
      <c r="ER1003" s="2">
        <v>2344.81</v>
      </c>
      <c r="ES1003" s="2">
        <v>237.81</v>
      </c>
      <c r="ET1003" s="2">
        <v>37.32</v>
      </c>
      <c r="EU1003" s="2">
        <v>3.52</v>
      </c>
      <c r="EV1003" s="2">
        <v>2069.6799999999998</v>
      </c>
      <c r="EW1003" s="2">
        <v>164</v>
      </c>
      <c r="EX1003" s="2">
        <v>0</v>
      </c>
      <c r="EY1003" s="2">
        <v>0</v>
      </c>
      <c r="EZ1003" s="2"/>
      <c r="FA1003" s="2"/>
      <c r="FB1003" s="2"/>
      <c r="FC1003" s="2"/>
      <c r="FD1003" s="2"/>
      <c r="FE1003" s="2"/>
      <c r="FF1003" s="2"/>
      <c r="FG1003" s="2"/>
      <c r="FH1003" s="2"/>
      <c r="FI1003" s="2"/>
      <c r="FJ1003" s="2"/>
      <c r="FK1003" s="2"/>
      <c r="FL1003" s="2"/>
      <c r="FM1003" s="2"/>
      <c r="FN1003" s="2"/>
      <c r="FO1003" s="2"/>
      <c r="FP1003" s="2"/>
      <c r="FQ1003" s="2">
        <v>0</v>
      </c>
      <c r="FR1003" s="2">
        <f t="shared" si="844"/>
        <v>0</v>
      </c>
      <c r="FS1003" s="2">
        <v>0</v>
      </c>
      <c r="FT1003" s="2"/>
      <c r="FU1003" s="2"/>
      <c r="FV1003" s="2"/>
      <c r="FW1003" s="2"/>
      <c r="FX1003" s="2">
        <v>110</v>
      </c>
      <c r="FY1003" s="2">
        <v>74</v>
      </c>
      <c r="FZ1003" s="2"/>
      <c r="GA1003" s="2" t="s">
        <v>3</v>
      </c>
      <c r="GB1003" s="2"/>
      <c r="GC1003" s="2"/>
      <c r="GD1003" s="2">
        <v>0</v>
      </c>
      <c r="GE1003" s="2"/>
      <c r="GF1003" s="2">
        <v>1585197418</v>
      </c>
      <c r="GG1003" s="2">
        <v>2</v>
      </c>
      <c r="GH1003" s="2">
        <v>1</v>
      </c>
      <c r="GI1003" s="2">
        <v>-2</v>
      </c>
      <c r="GJ1003" s="2">
        <v>0</v>
      </c>
      <c r="GK1003" s="2">
        <f>ROUND(R1003*(R12)/100,2)</f>
        <v>0.37</v>
      </c>
      <c r="GL1003" s="2">
        <f t="shared" si="845"/>
        <v>0</v>
      </c>
      <c r="GM1003" s="2">
        <f t="shared" si="846"/>
        <v>355.28</v>
      </c>
      <c r="GN1003" s="2">
        <f t="shared" si="847"/>
        <v>355.28</v>
      </c>
      <c r="GO1003" s="2">
        <f t="shared" si="848"/>
        <v>0</v>
      </c>
      <c r="GP1003" s="2">
        <f t="shared" si="849"/>
        <v>0</v>
      </c>
      <c r="GQ1003" s="2"/>
      <c r="GR1003" s="2">
        <v>0</v>
      </c>
      <c r="GS1003" s="2">
        <v>0</v>
      </c>
      <c r="GT1003" s="2">
        <v>0</v>
      </c>
      <c r="GU1003" s="2" t="s">
        <v>3</v>
      </c>
      <c r="GV1003" s="2">
        <f t="shared" si="850"/>
        <v>0</v>
      </c>
      <c r="GW1003" s="2">
        <v>1</v>
      </c>
      <c r="GX1003" s="2">
        <f t="shared" si="851"/>
        <v>0</v>
      </c>
      <c r="GY1003" s="2"/>
      <c r="GZ1003" s="2"/>
      <c r="HA1003" s="2">
        <v>0</v>
      </c>
      <c r="HB1003" s="2">
        <v>0</v>
      </c>
      <c r="HC1003" s="2">
        <f t="shared" si="852"/>
        <v>0</v>
      </c>
      <c r="HD1003" s="2"/>
      <c r="HE1003" s="2" t="s">
        <v>3</v>
      </c>
      <c r="HF1003" s="2" t="s">
        <v>3</v>
      </c>
      <c r="HG1003" s="2"/>
      <c r="HH1003" s="2"/>
      <c r="HI1003" s="2"/>
      <c r="HJ1003" s="2"/>
      <c r="HK1003" s="2"/>
      <c r="HL1003" s="2"/>
      <c r="HM1003" s="2" t="s">
        <v>3</v>
      </c>
      <c r="HN1003" s="2" t="s">
        <v>3</v>
      </c>
      <c r="HO1003" s="2" t="s">
        <v>3</v>
      </c>
      <c r="HP1003" s="2" t="s">
        <v>3</v>
      </c>
      <c r="HQ1003" s="2" t="s">
        <v>3</v>
      </c>
      <c r="HR1003" s="2"/>
      <c r="HS1003" s="2"/>
      <c r="HT1003" s="2"/>
      <c r="HU1003" s="2"/>
      <c r="HV1003" s="2"/>
      <c r="HW1003" s="2"/>
      <c r="HX1003" s="2"/>
      <c r="HY1003" s="2"/>
      <c r="HZ1003" s="2"/>
      <c r="IA1003" s="2"/>
      <c r="IB1003" s="2"/>
      <c r="IC1003" s="2"/>
      <c r="ID1003" s="2"/>
      <c r="IE1003" s="2"/>
      <c r="IF1003" s="2"/>
      <c r="IG1003" s="2"/>
      <c r="IH1003" s="2"/>
      <c r="II1003" s="2"/>
      <c r="IJ1003" s="2"/>
      <c r="IK1003" s="2">
        <v>0</v>
      </c>
      <c r="IL1003" s="2"/>
      <c r="IM1003" s="2"/>
      <c r="IN1003" s="2"/>
      <c r="IO1003" s="2"/>
      <c r="IP1003" s="2"/>
      <c r="IQ1003" s="2"/>
      <c r="IR1003" s="2"/>
      <c r="IS1003" s="2"/>
      <c r="IT1003" s="2"/>
      <c r="IU1003" s="2"/>
    </row>
    <row r="1004" spans="1:255" x14ac:dyDescent="0.2">
      <c r="A1004">
        <v>17</v>
      </c>
      <c r="B1004">
        <v>1</v>
      </c>
      <c r="C1004">
        <f>ROW(SmtRes!A824)</f>
        <v>824</v>
      </c>
      <c r="D1004">
        <f>ROW(EtalonRes!A796)</f>
        <v>796</v>
      </c>
      <c r="E1004" t="s">
        <v>96</v>
      </c>
      <c r="F1004" t="s">
        <v>818</v>
      </c>
      <c r="G1004" t="s">
        <v>819</v>
      </c>
      <c r="H1004" t="s">
        <v>820</v>
      </c>
      <c r="I1004">
        <v>0.1</v>
      </c>
      <c r="J1004">
        <v>0</v>
      </c>
      <c r="K1004">
        <v>0.1</v>
      </c>
      <c r="O1004">
        <f t="shared" si="823"/>
        <v>3628.43</v>
      </c>
      <c r="P1004">
        <f t="shared" si="824"/>
        <v>0</v>
      </c>
      <c r="Q1004">
        <f>(ROUND((ROUND((((ET1004*0.6))*AV1004*I1004),2)*BB1004),2)+ROUND((ROUND(((AE1004-((EU1004*0.6)))*AV1004*I1004),2)*BS1004),2))</f>
        <v>23.48</v>
      </c>
      <c r="R1004">
        <f t="shared" si="825"/>
        <v>6.1</v>
      </c>
      <c r="S1004">
        <f t="shared" si="826"/>
        <v>3604.95</v>
      </c>
      <c r="T1004">
        <f t="shared" si="827"/>
        <v>0</v>
      </c>
      <c r="U1004">
        <f t="shared" si="828"/>
        <v>9.84</v>
      </c>
      <c r="V1004">
        <f t="shared" si="829"/>
        <v>0</v>
      </c>
      <c r="W1004">
        <f t="shared" si="830"/>
        <v>0</v>
      </c>
      <c r="X1004">
        <f t="shared" si="831"/>
        <v>3244.46</v>
      </c>
      <c r="Y1004">
        <f t="shared" si="831"/>
        <v>1478.03</v>
      </c>
      <c r="AA1004">
        <v>129761633</v>
      </c>
      <c r="AB1004">
        <f t="shared" si="832"/>
        <v>1264.2</v>
      </c>
      <c r="AC1004">
        <f>ROUND(((ES1004*0)),6)</f>
        <v>0</v>
      </c>
      <c r="AD1004">
        <f>ROUND(((((ET1004*0.6))-((EU1004*0.6)))+AE1004),6)</f>
        <v>22.391999999999999</v>
      </c>
      <c r="AE1004">
        <f t="shared" si="853"/>
        <v>2.1120000000000001</v>
      </c>
      <c r="AF1004">
        <f t="shared" si="853"/>
        <v>1241.808</v>
      </c>
      <c r="AG1004">
        <f t="shared" si="834"/>
        <v>0</v>
      </c>
      <c r="AH1004">
        <f t="shared" si="854"/>
        <v>98.399999999999991</v>
      </c>
      <c r="AI1004">
        <f t="shared" si="854"/>
        <v>0</v>
      </c>
      <c r="AJ1004">
        <f t="shared" si="836"/>
        <v>0</v>
      </c>
      <c r="AK1004">
        <v>2344.81</v>
      </c>
      <c r="AL1004">
        <v>237.81</v>
      </c>
      <c r="AM1004">
        <v>37.32</v>
      </c>
      <c r="AN1004">
        <v>3.52</v>
      </c>
      <c r="AO1004">
        <v>2069.6799999999998</v>
      </c>
      <c r="AP1004">
        <v>0</v>
      </c>
      <c r="AQ1004">
        <v>164</v>
      </c>
      <c r="AR1004">
        <v>0</v>
      </c>
      <c r="AS1004">
        <v>0</v>
      </c>
      <c r="AT1004">
        <v>90</v>
      </c>
      <c r="AU1004">
        <v>41</v>
      </c>
      <c r="AV1004">
        <v>1</v>
      </c>
      <c r="AW1004">
        <v>1</v>
      </c>
      <c r="AZ1004">
        <v>1</v>
      </c>
      <c r="BA1004">
        <v>29.03</v>
      </c>
      <c r="BB1004">
        <v>10.48</v>
      </c>
      <c r="BC1004">
        <v>10.76</v>
      </c>
      <c r="BD1004" t="s">
        <v>3</v>
      </c>
      <c r="BE1004" t="s">
        <v>3</v>
      </c>
      <c r="BF1004" t="s">
        <v>3</v>
      </c>
      <c r="BG1004" t="s">
        <v>3</v>
      </c>
      <c r="BH1004">
        <v>0</v>
      </c>
      <c r="BI1004">
        <v>1</v>
      </c>
      <c r="BJ1004" t="s">
        <v>821</v>
      </c>
      <c r="BM1004">
        <v>1623</v>
      </c>
      <c r="BN1004">
        <v>0</v>
      </c>
      <c r="BO1004" t="s">
        <v>818</v>
      </c>
      <c r="BP1004">
        <v>1</v>
      </c>
      <c r="BQ1004">
        <v>30</v>
      </c>
      <c r="BR1004">
        <v>0</v>
      </c>
      <c r="BS1004">
        <v>29.03</v>
      </c>
      <c r="BT1004">
        <v>1</v>
      </c>
      <c r="BU1004">
        <v>1</v>
      </c>
      <c r="BV1004">
        <v>1</v>
      </c>
      <c r="BW1004">
        <v>1</v>
      </c>
      <c r="BX1004">
        <v>1</v>
      </c>
      <c r="BY1004" t="s">
        <v>3</v>
      </c>
      <c r="BZ1004">
        <v>90</v>
      </c>
      <c r="CA1004">
        <v>41</v>
      </c>
      <c r="CB1004" t="s">
        <v>3</v>
      </c>
      <c r="CE1004">
        <v>30</v>
      </c>
      <c r="CF1004">
        <v>0</v>
      </c>
      <c r="CG1004">
        <v>0</v>
      </c>
      <c r="CM1004">
        <v>0</v>
      </c>
      <c r="CN1004" t="s">
        <v>822</v>
      </c>
      <c r="CO1004">
        <v>0</v>
      </c>
      <c r="CP1004">
        <f t="shared" si="837"/>
        <v>3628.43</v>
      </c>
      <c r="CQ1004">
        <f t="shared" si="838"/>
        <v>0</v>
      </c>
      <c r="CR1004">
        <f>(ROUND((ROUND((((ET1004*0.6))*AV1004*1),2)*BB1004),2)+ROUND((ROUND(((AE1004-((EU1004*0.6)))*AV1004*1),2)*BS1004),2))</f>
        <v>234.65</v>
      </c>
      <c r="CS1004">
        <f t="shared" si="839"/>
        <v>61.25</v>
      </c>
      <c r="CT1004">
        <f t="shared" si="840"/>
        <v>36049.74</v>
      </c>
      <c r="CU1004">
        <f t="shared" si="841"/>
        <v>0</v>
      </c>
      <c r="CV1004">
        <f t="shared" si="842"/>
        <v>98.399999999999991</v>
      </c>
      <c r="CW1004">
        <f t="shared" si="843"/>
        <v>0</v>
      </c>
      <c r="CX1004">
        <f t="shared" si="843"/>
        <v>0</v>
      </c>
      <c r="CY1004">
        <f>S1004*(BZ1004/100)</f>
        <v>3244.4549999999999</v>
      </c>
      <c r="CZ1004">
        <f>S1004*(CA1004/100)</f>
        <v>1478.0294999999999</v>
      </c>
      <c r="DC1004" t="s">
        <v>3</v>
      </c>
      <c r="DD1004" t="s">
        <v>823</v>
      </c>
      <c r="DE1004" t="s">
        <v>142</v>
      </c>
      <c r="DF1004" t="s">
        <v>142</v>
      </c>
      <c r="DG1004" t="s">
        <v>142</v>
      </c>
      <c r="DH1004" t="s">
        <v>3</v>
      </c>
      <c r="DI1004" t="s">
        <v>142</v>
      </c>
      <c r="DJ1004" t="s">
        <v>142</v>
      </c>
      <c r="DK1004" t="s">
        <v>3</v>
      </c>
      <c r="DL1004" t="s">
        <v>3</v>
      </c>
      <c r="DM1004" t="s">
        <v>3</v>
      </c>
      <c r="DN1004">
        <v>110</v>
      </c>
      <c r="DO1004">
        <v>74</v>
      </c>
      <c r="DP1004">
        <v>1</v>
      </c>
      <c r="DQ1004">
        <v>1</v>
      </c>
      <c r="DU1004">
        <v>1003</v>
      </c>
      <c r="DV1004" t="s">
        <v>820</v>
      </c>
      <c r="DW1004" t="s">
        <v>820</v>
      </c>
      <c r="DX1004">
        <v>100</v>
      </c>
      <c r="DZ1004" t="s">
        <v>3</v>
      </c>
      <c r="EA1004" t="s">
        <v>3</v>
      </c>
      <c r="EB1004" t="s">
        <v>3</v>
      </c>
      <c r="EC1004" t="s">
        <v>3</v>
      </c>
      <c r="EE1004">
        <v>126053084</v>
      </c>
      <c r="EF1004">
        <v>30</v>
      </c>
      <c r="EG1004" t="s">
        <v>23</v>
      </c>
      <c r="EH1004">
        <v>0</v>
      </c>
      <c r="EI1004" t="s">
        <v>3</v>
      </c>
      <c r="EJ1004">
        <v>1</v>
      </c>
      <c r="EK1004">
        <v>1623</v>
      </c>
      <c r="EL1004" t="s">
        <v>824</v>
      </c>
      <c r="EM1004" t="s">
        <v>825</v>
      </c>
      <c r="EO1004" t="s">
        <v>826</v>
      </c>
      <c r="EQ1004">
        <v>131072</v>
      </c>
      <c r="ER1004">
        <v>2344.81</v>
      </c>
      <c r="ES1004">
        <v>237.81</v>
      </c>
      <c r="ET1004">
        <v>37.32</v>
      </c>
      <c r="EU1004">
        <v>3.52</v>
      </c>
      <c r="EV1004">
        <v>2069.6799999999998</v>
      </c>
      <c r="EW1004">
        <v>164</v>
      </c>
      <c r="EX1004">
        <v>0</v>
      </c>
      <c r="EY1004">
        <v>0</v>
      </c>
      <c r="FQ1004">
        <v>0</v>
      </c>
      <c r="FR1004">
        <f t="shared" si="844"/>
        <v>0</v>
      </c>
      <c r="FS1004">
        <v>0</v>
      </c>
      <c r="FX1004">
        <v>110</v>
      </c>
      <c r="FY1004">
        <v>74</v>
      </c>
      <c r="GA1004" t="s">
        <v>3</v>
      </c>
      <c r="GD1004">
        <v>0</v>
      </c>
      <c r="GF1004">
        <v>1585197418</v>
      </c>
      <c r="GG1004">
        <v>2</v>
      </c>
      <c r="GH1004">
        <v>1</v>
      </c>
      <c r="GI1004">
        <v>2</v>
      </c>
      <c r="GJ1004">
        <v>0</v>
      </c>
      <c r="GK1004">
        <f>ROUND(R1004*(S12)/100,2)</f>
        <v>9.76</v>
      </c>
      <c r="GL1004">
        <f t="shared" si="845"/>
        <v>0</v>
      </c>
      <c r="GM1004">
        <f t="shared" si="846"/>
        <v>8360.68</v>
      </c>
      <c r="GN1004">
        <f t="shared" si="847"/>
        <v>8360.68</v>
      </c>
      <c r="GO1004">
        <f t="shared" si="848"/>
        <v>0</v>
      </c>
      <c r="GP1004">
        <f t="shared" si="849"/>
        <v>0</v>
      </c>
      <c r="GR1004">
        <v>0</v>
      </c>
      <c r="GS1004">
        <v>3</v>
      </c>
      <c r="GT1004">
        <v>0</v>
      </c>
      <c r="GU1004" t="s">
        <v>3</v>
      </c>
      <c r="GV1004">
        <f t="shared" si="850"/>
        <v>0</v>
      </c>
      <c r="GW1004">
        <v>1</v>
      </c>
      <c r="GX1004">
        <f t="shared" si="851"/>
        <v>0</v>
      </c>
      <c r="HA1004">
        <v>0</v>
      </c>
      <c r="HB1004">
        <v>0</v>
      </c>
      <c r="HC1004">
        <f t="shared" si="852"/>
        <v>0</v>
      </c>
      <c r="HE1004" t="s">
        <v>3</v>
      </c>
      <c r="HF1004" t="s">
        <v>3</v>
      </c>
      <c r="HM1004" t="s">
        <v>3</v>
      </c>
      <c r="HN1004" t="s">
        <v>3</v>
      </c>
      <c r="HO1004" t="s">
        <v>3</v>
      </c>
      <c r="HP1004" t="s">
        <v>3</v>
      </c>
      <c r="HQ1004" t="s">
        <v>3</v>
      </c>
      <c r="IK1004">
        <v>0</v>
      </c>
    </row>
    <row r="1005" spans="1:255" x14ac:dyDescent="0.2">
      <c r="A1005" s="2">
        <v>17</v>
      </c>
      <c r="B1005" s="2">
        <v>1</v>
      </c>
      <c r="C1005" s="2">
        <f>ROW(SmtRes!A827)</f>
        <v>827</v>
      </c>
      <c r="D1005" s="2">
        <f>ROW(EtalonRes!A802)</f>
        <v>802</v>
      </c>
      <c r="E1005" s="2" t="s">
        <v>104</v>
      </c>
      <c r="F1005" s="2" t="s">
        <v>827</v>
      </c>
      <c r="G1005" s="2" t="s">
        <v>828</v>
      </c>
      <c r="H1005" s="2" t="s">
        <v>455</v>
      </c>
      <c r="I1005" s="2">
        <v>0.08</v>
      </c>
      <c r="J1005" s="2">
        <v>0</v>
      </c>
      <c r="K1005" s="2">
        <v>0.08</v>
      </c>
      <c r="L1005" s="2"/>
      <c r="M1005" s="2"/>
      <c r="N1005" s="2"/>
      <c r="O1005" s="2">
        <f t="shared" si="823"/>
        <v>35.22</v>
      </c>
      <c r="P1005" s="2">
        <f t="shared" si="824"/>
        <v>0</v>
      </c>
      <c r="Q1005" s="2">
        <f>(ROUND((ROUND((((ET1005*0.6))*AV1005*I1005),2)*BB1005),2)+ROUND((ROUND(((AE1005-((EU1005*0.6)))*AV1005*I1005),2)*BS1005),2))</f>
        <v>0.81</v>
      </c>
      <c r="R1005" s="2">
        <f t="shared" si="825"/>
        <v>0.2</v>
      </c>
      <c r="S1005" s="2">
        <f t="shared" si="826"/>
        <v>34.409999999999997</v>
      </c>
      <c r="T1005" s="2">
        <f t="shared" si="827"/>
        <v>0</v>
      </c>
      <c r="U1005" s="2">
        <f t="shared" si="828"/>
        <v>2.6880000000000002</v>
      </c>
      <c r="V1005" s="2">
        <f t="shared" si="829"/>
        <v>0</v>
      </c>
      <c r="W1005" s="2">
        <f t="shared" si="830"/>
        <v>0</v>
      </c>
      <c r="X1005" s="2">
        <f t="shared" si="831"/>
        <v>37.85</v>
      </c>
      <c r="Y1005" s="2">
        <f t="shared" si="831"/>
        <v>25.46</v>
      </c>
      <c r="Z1005" s="2"/>
      <c r="AA1005" s="2">
        <v>129761636</v>
      </c>
      <c r="AB1005" s="2">
        <f t="shared" si="832"/>
        <v>440.238</v>
      </c>
      <c r="AC1005" s="2">
        <f>ROUND(((ES1005*0)),6)</f>
        <v>0</v>
      </c>
      <c r="AD1005" s="2">
        <f>ROUND(((((ET1005*0.6))-((EU1005*0.6)))+AE1005),6)</f>
        <v>10.157999999999999</v>
      </c>
      <c r="AE1005" s="2">
        <f t="shared" si="853"/>
        <v>2.472</v>
      </c>
      <c r="AF1005" s="2">
        <f t="shared" si="853"/>
        <v>430.08</v>
      </c>
      <c r="AG1005" s="2">
        <f t="shared" si="834"/>
        <v>0</v>
      </c>
      <c r="AH1005" s="2">
        <f t="shared" si="854"/>
        <v>33.6</v>
      </c>
      <c r="AI1005" s="2">
        <f t="shared" si="854"/>
        <v>0</v>
      </c>
      <c r="AJ1005" s="2">
        <f t="shared" si="836"/>
        <v>0</v>
      </c>
      <c r="AK1005" s="2">
        <v>986.29</v>
      </c>
      <c r="AL1005" s="2">
        <v>252.56</v>
      </c>
      <c r="AM1005" s="2">
        <v>16.93</v>
      </c>
      <c r="AN1005" s="2">
        <v>4.12</v>
      </c>
      <c r="AO1005" s="2">
        <v>716.8</v>
      </c>
      <c r="AP1005" s="2">
        <v>0</v>
      </c>
      <c r="AQ1005" s="2">
        <v>56</v>
      </c>
      <c r="AR1005" s="2">
        <v>0</v>
      </c>
      <c r="AS1005" s="2">
        <v>0</v>
      </c>
      <c r="AT1005" s="2">
        <v>110</v>
      </c>
      <c r="AU1005" s="2">
        <v>74</v>
      </c>
      <c r="AV1005" s="2">
        <v>1</v>
      </c>
      <c r="AW1005" s="2">
        <v>1</v>
      </c>
      <c r="AX1005" s="2"/>
      <c r="AY1005" s="2"/>
      <c r="AZ1005" s="2">
        <v>1</v>
      </c>
      <c r="BA1005" s="2">
        <v>1</v>
      </c>
      <c r="BB1005" s="2">
        <v>1</v>
      </c>
      <c r="BC1005" s="2">
        <v>1</v>
      </c>
      <c r="BD1005" s="2" t="s">
        <v>3</v>
      </c>
      <c r="BE1005" s="2" t="s">
        <v>3</v>
      </c>
      <c r="BF1005" s="2" t="s">
        <v>3</v>
      </c>
      <c r="BG1005" s="2" t="s">
        <v>3</v>
      </c>
      <c r="BH1005" s="2">
        <v>0</v>
      </c>
      <c r="BI1005" s="2">
        <v>1</v>
      </c>
      <c r="BJ1005" s="2" t="s">
        <v>829</v>
      </c>
      <c r="BK1005" s="2"/>
      <c r="BL1005" s="2"/>
      <c r="BM1005" s="2">
        <v>1623</v>
      </c>
      <c r="BN1005" s="2">
        <v>0</v>
      </c>
      <c r="BO1005" s="2" t="s">
        <v>3</v>
      </c>
      <c r="BP1005" s="2">
        <v>0</v>
      </c>
      <c r="BQ1005" s="2">
        <v>30</v>
      </c>
      <c r="BR1005" s="2">
        <v>0</v>
      </c>
      <c r="BS1005" s="2">
        <v>1</v>
      </c>
      <c r="BT1005" s="2">
        <v>1</v>
      </c>
      <c r="BU1005" s="2">
        <v>1</v>
      </c>
      <c r="BV1005" s="2">
        <v>1</v>
      </c>
      <c r="BW1005" s="2">
        <v>1</v>
      </c>
      <c r="BX1005" s="2">
        <v>1</v>
      </c>
      <c r="BY1005" s="2" t="s">
        <v>3</v>
      </c>
      <c r="BZ1005" s="2">
        <v>110</v>
      </c>
      <c r="CA1005" s="2">
        <v>74</v>
      </c>
      <c r="CB1005" s="2" t="s">
        <v>3</v>
      </c>
      <c r="CC1005" s="2"/>
      <c r="CD1005" s="2"/>
      <c r="CE1005" s="2">
        <v>30</v>
      </c>
      <c r="CF1005" s="2">
        <v>0</v>
      </c>
      <c r="CG1005" s="2">
        <v>0</v>
      </c>
      <c r="CH1005" s="2"/>
      <c r="CI1005" s="2"/>
      <c r="CJ1005" s="2"/>
      <c r="CK1005" s="2"/>
      <c r="CL1005" s="2"/>
      <c r="CM1005" s="2">
        <v>0</v>
      </c>
      <c r="CN1005" s="2" t="s">
        <v>822</v>
      </c>
      <c r="CO1005" s="2">
        <v>0</v>
      </c>
      <c r="CP1005" s="2">
        <f t="shared" si="837"/>
        <v>35.22</v>
      </c>
      <c r="CQ1005" s="2">
        <f t="shared" si="838"/>
        <v>0</v>
      </c>
      <c r="CR1005" s="2">
        <f>(ROUND((ROUND((((ET1005*0.6))*AV1005*1),2)*BB1005),2)+ROUND((ROUND(((AE1005-((EU1005*0.6)))*AV1005*1),2)*BS1005),2))</f>
        <v>10.16</v>
      </c>
      <c r="CS1005" s="2">
        <f t="shared" si="839"/>
        <v>2.4700000000000002</v>
      </c>
      <c r="CT1005" s="2">
        <f t="shared" si="840"/>
        <v>430.08</v>
      </c>
      <c r="CU1005" s="2">
        <f t="shared" si="841"/>
        <v>0</v>
      </c>
      <c r="CV1005" s="2">
        <f t="shared" si="842"/>
        <v>33.6</v>
      </c>
      <c r="CW1005" s="2">
        <f t="shared" si="843"/>
        <v>0</v>
      </c>
      <c r="CX1005" s="2">
        <f t="shared" si="843"/>
        <v>0</v>
      </c>
      <c r="CY1005" s="2">
        <f>((S1005*BZ1005)/100)</f>
        <v>37.850999999999992</v>
      </c>
      <c r="CZ1005" s="2">
        <f>((S1005*CA1005)/100)</f>
        <v>25.463399999999996</v>
      </c>
      <c r="DA1005" s="2"/>
      <c r="DB1005" s="2"/>
      <c r="DC1005" s="2" t="s">
        <v>3</v>
      </c>
      <c r="DD1005" s="2" t="s">
        <v>823</v>
      </c>
      <c r="DE1005" s="2" t="s">
        <v>142</v>
      </c>
      <c r="DF1005" s="2" t="s">
        <v>142</v>
      </c>
      <c r="DG1005" s="2" t="s">
        <v>142</v>
      </c>
      <c r="DH1005" s="2" t="s">
        <v>3</v>
      </c>
      <c r="DI1005" s="2" t="s">
        <v>142</v>
      </c>
      <c r="DJ1005" s="2" t="s">
        <v>142</v>
      </c>
      <c r="DK1005" s="2" t="s">
        <v>3</v>
      </c>
      <c r="DL1005" s="2" t="s">
        <v>3</v>
      </c>
      <c r="DM1005" s="2" t="s">
        <v>3</v>
      </c>
      <c r="DN1005" s="2">
        <v>0</v>
      </c>
      <c r="DO1005" s="2">
        <v>0</v>
      </c>
      <c r="DP1005" s="2">
        <v>1</v>
      </c>
      <c r="DQ1005" s="2">
        <v>1</v>
      </c>
      <c r="DR1005" s="2"/>
      <c r="DS1005" s="2"/>
      <c r="DT1005" s="2"/>
      <c r="DU1005" s="2">
        <v>1003</v>
      </c>
      <c r="DV1005" s="2" t="s">
        <v>455</v>
      </c>
      <c r="DW1005" s="2" t="s">
        <v>455</v>
      </c>
      <c r="DX1005" s="2">
        <v>100</v>
      </c>
      <c r="DY1005" s="2"/>
      <c r="DZ1005" s="2" t="s">
        <v>3</v>
      </c>
      <c r="EA1005" s="2" t="s">
        <v>3</v>
      </c>
      <c r="EB1005" s="2" t="s">
        <v>3</v>
      </c>
      <c r="EC1005" s="2" t="s">
        <v>3</v>
      </c>
      <c r="ED1005" s="2"/>
      <c r="EE1005" s="2">
        <v>126053084</v>
      </c>
      <c r="EF1005" s="2">
        <v>30</v>
      </c>
      <c r="EG1005" s="2" t="s">
        <v>23</v>
      </c>
      <c r="EH1005" s="2">
        <v>0</v>
      </c>
      <c r="EI1005" s="2" t="s">
        <v>3</v>
      </c>
      <c r="EJ1005" s="2">
        <v>1</v>
      </c>
      <c r="EK1005" s="2">
        <v>1623</v>
      </c>
      <c r="EL1005" s="2" t="s">
        <v>824</v>
      </c>
      <c r="EM1005" s="2" t="s">
        <v>825</v>
      </c>
      <c r="EN1005" s="2"/>
      <c r="EO1005" s="2" t="s">
        <v>826</v>
      </c>
      <c r="EP1005" s="2"/>
      <c r="EQ1005" s="2">
        <v>131072</v>
      </c>
      <c r="ER1005" s="2">
        <v>986.29</v>
      </c>
      <c r="ES1005" s="2">
        <v>252.56</v>
      </c>
      <c r="ET1005" s="2">
        <v>16.93</v>
      </c>
      <c r="EU1005" s="2">
        <v>4.12</v>
      </c>
      <c r="EV1005" s="2">
        <v>716.8</v>
      </c>
      <c r="EW1005" s="2">
        <v>56</v>
      </c>
      <c r="EX1005" s="2">
        <v>0</v>
      </c>
      <c r="EY1005" s="2">
        <v>0</v>
      </c>
      <c r="EZ1005" s="2"/>
      <c r="FA1005" s="2"/>
      <c r="FB1005" s="2"/>
      <c r="FC1005" s="2"/>
      <c r="FD1005" s="2"/>
      <c r="FE1005" s="2"/>
      <c r="FF1005" s="2"/>
      <c r="FG1005" s="2"/>
      <c r="FH1005" s="2"/>
      <c r="FI1005" s="2"/>
      <c r="FJ1005" s="2"/>
      <c r="FK1005" s="2"/>
      <c r="FL1005" s="2"/>
      <c r="FM1005" s="2"/>
      <c r="FN1005" s="2"/>
      <c r="FO1005" s="2"/>
      <c r="FP1005" s="2"/>
      <c r="FQ1005" s="2">
        <v>0</v>
      </c>
      <c r="FR1005" s="2">
        <f t="shared" si="844"/>
        <v>0</v>
      </c>
      <c r="FS1005" s="2">
        <v>0</v>
      </c>
      <c r="FT1005" s="2"/>
      <c r="FU1005" s="2"/>
      <c r="FV1005" s="2"/>
      <c r="FW1005" s="2"/>
      <c r="FX1005" s="2">
        <v>110</v>
      </c>
      <c r="FY1005" s="2">
        <v>74</v>
      </c>
      <c r="FZ1005" s="2"/>
      <c r="GA1005" s="2" t="s">
        <v>3</v>
      </c>
      <c r="GB1005" s="2"/>
      <c r="GC1005" s="2"/>
      <c r="GD1005" s="2">
        <v>0</v>
      </c>
      <c r="GE1005" s="2"/>
      <c r="GF1005" s="2">
        <v>-454861239</v>
      </c>
      <c r="GG1005" s="2">
        <v>2</v>
      </c>
      <c r="GH1005" s="2">
        <v>1</v>
      </c>
      <c r="GI1005" s="2">
        <v>-2</v>
      </c>
      <c r="GJ1005" s="2">
        <v>0</v>
      </c>
      <c r="GK1005" s="2">
        <f>ROUND(R1005*(R12)/100,2)</f>
        <v>0.35</v>
      </c>
      <c r="GL1005" s="2">
        <f t="shared" si="845"/>
        <v>0</v>
      </c>
      <c r="GM1005" s="2">
        <f t="shared" si="846"/>
        <v>98.88</v>
      </c>
      <c r="GN1005" s="2">
        <f t="shared" si="847"/>
        <v>98.88</v>
      </c>
      <c r="GO1005" s="2">
        <f t="shared" si="848"/>
        <v>0</v>
      </c>
      <c r="GP1005" s="2">
        <f t="shared" si="849"/>
        <v>0</v>
      </c>
      <c r="GQ1005" s="2"/>
      <c r="GR1005" s="2">
        <v>0</v>
      </c>
      <c r="GS1005" s="2">
        <v>0</v>
      </c>
      <c r="GT1005" s="2">
        <v>0</v>
      </c>
      <c r="GU1005" s="2" t="s">
        <v>3</v>
      </c>
      <c r="GV1005" s="2">
        <f t="shared" si="850"/>
        <v>0</v>
      </c>
      <c r="GW1005" s="2">
        <v>1</v>
      </c>
      <c r="GX1005" s="2">
        <f t="shared" si="851"/>
        <v>0</v>
      </c>
      <c r="GY1005" s="2"/>
      <c r="GZ1005" s="2"/>
      <c r="HA1005" s="2">
        <v>0</v>
      </c>
      <c r="HB1005" s="2">
        <v>0</v>
      </c>
      <c r="HC1005" s="2">
        <f t="shared" si="852"/>
        <v>0</v>
      </c>
      <c r="HD1005" s="2"/>
      <c r="HE1005" s="2" t="s">
        <v>3</v>
      </c>
      <c r="HF1005" s="2" t="s">
        <v>3</v>
      </c>
      <c r="HG1005" s="2"/>
      <c r="HH1005" s="2"/>
      <c r="HI1005" s="2"/>
      <c r="HJ1005" s="2"/>
      <c r="HK1005" s="2"/>
      <c r="HL1005" s="2"/>
      <c r="HM1005" s="2" t="s">
        <v>3</v>
      </c>
      <c r="HN1005" s="2" t="s">
        <v>3</v>
      </c>
      <c r="HO1005" s="2" t="s">
        <v>3</v>
      </c>
      <c r="HP1005" s="2" t="s">
        <v>3</v>
      </c>
      <c r="HQ1005" s="2" t="s">
        <v>3</v>
      </c>
      <c r="HR1005" s="2"/>
      <c r="HS1005" s="2"/>
      <c r="HT1005" s="2"/>
      <c r="HU1005" s="2"/>
      <c r="HV1005" s="2"/>
      <c r="HW1005" s="2"/>
      <c r="HX1005" s="2"/>
      <c r="HY1005" s="2"/>
      <c r="HZ1005" s="2"/>
      <c r="IA1005" s="2"/>
      <c r="IB1005" s="2"/>
      <c r="IC1005" s="2"/>
      <c r="ID1005" s="2"/>
      <c r="IE1005" s="2"/>
      <c r="IF1005" s="2"/>
      <c r="IG1005" s="2"/>
      <c r="IH1005" s="2"/>
      <c r="II1005" s="2"/>
      <c r="IJ1005" s="2"/>
      <c r="IK1005" s="2">
        <v>0</v>
      </c>
      <c r="IL1005" s="2"/>
      <c r="IM1005" s="2"/>
      <c r="IN1005" s="2"/>
      <c r="IO1005" s="2"/>
      <c r="IP1005" s="2"/>
      <c r="IQ1005" s="2"/>
      <c r="IR1005" s="2"/>
      <c r="IS1005" s="2"/>
      <c r="IT1005" s="2"/>
      <c r="IU1005" s="2"/>
    </row>
    <row r="1006" spans="1:255" x14ac:dyDescent="0.2">
      <c r="A1006">
        <v>17</v>
      </c>
      <c r="B1006">
        <v>1</v>
      </c>
      <c r="C1006">
        <f>ROW(SmtRes!A830)</f>
        <v>830</v>
      </c>
      <c r="D1006">
        <f>ROW(EtalonRes!A808)</f>
        <v>808</v>
      </c>
      <c r="E1006" t="s">
        <v>104</v>
      </c>
      <c r="F1006" t="s">
        <v>827</v>
      </c>
      <c r="G1006" t="s">
        <v>828</v>
      </c>
      <c r="H1006" t="s">
        <v>455</v>
      </c>
      <c r="I1006">
        <v>0.08</v>
      </c>
      <c r="J1006">
        <v>0</v>
      </c>
      <c r="K1006">
        <v>0.08</v>
      </c>
      <c r="O1006">
        <f t="shared" si="823"/>
        <v>1009.93</v>
      </c>
      <c r="P1006">
        <f t="shared" si="824"/>
        <v>0</v>
      </c>
      <c r="Q1006">
        <f>(ROUND((ROUND((((ET1006*0.6))*AV1006*I1006),2)*BB1006),2)+ROUND((ROUND(((AE1006-((EU1006*0.6)))*AV1006*I1006),2)*BS1006),2))</f>
        <v>11.01</v>
      </c>
      <c r="R1006">
        <f t="shared" si="825"/>
        <v>5.81</v>
      </c>
      <c r="S1006">
        <f t="shared" si="826"/>
        <v>998.92</v>
      </c>
      <c r="T1006">
        <f t="shared" si="827"/>
        <v>0</v>
      </c>
      <c r="U1006">
        <f t="shared" si="828"/>
        <v>2.6880000000000002</v>
      </c>
      <c r="V1006">
        <f t="shared" si="829"/>
        <v>0</v>
      </c>
      <c r="W1006">
        <f t="shared" si="830"/>
        <v>0</v>
      </c>
      <c r="X1006">
        <f t="shared" si="831"/>
        <v>899.03</v>
      </c>
      <c r="Y1006">
        <f t="shared" si="831"/>
        <v>409.56</v>
      </c>
      <c r="AA1006">
        <v>129761633</v>
      </c>
      <c r="AB1006">
        <f t="shared" si="832"/>
        <v>440.238</v>
      </c>
      <c r="AC1006">
        <f>ROUND(((ES1006*0)),6)</f>
        <v>0</v>
      </c>
      <c r="AD1006">
        <f>ROUND(((((ET1006*0.6))-((EU1006*0.6)))+AE1006),6)</f>
        <v>10.157999999999999</v>
      </c>
      <c r="AE1006">
        <f t="shared" si="853"/>
        <v>2.472</v>
      </c>
      <c r="AF1006">
        <f t="shared" si="853"/>
        <v>430.08</v>
      </c>
      <c r="AG1006">
        <f t="shared" si="834"/>
        <v>0</v>
      </c>
      <c r="AH1006">
        <f t="shared" si="854"/>
        <v>33.6</v>
      </c>
      <c r="AI1006">
        <f t="shared" si="854"/>
        <v>0</v>
      </c>
      <c r="AJ1006">
        <f t="shared" si="836"/>
        <v>0</v>
      </c>
      <c r="AK1006">
        <v>986.29</v>
      </c>
      <c r="AL1006">
        <v>252.56</v>
      </c>
      <c r="AM1006">
        <v>16.93</v>
      </c>
      <c r="AN1006">
        <v>4.12</v>
      </c>
      <c r="AO1006">
        <v>716.8</v>
      </c>
      <c r="AP1006">
        <v>0</v>
      </c>
      <c r="AQ1006">
        <v>56</v>
      </c>
      <c r="AR1006">
        <v>0</v>
      </c>
      <c r="AS1006">
        <v>0</v>
      </c>
      <c r="AT1006">
        <v>90</v>
      </c>
      <c r="AU1006">
        <v>41</v>
      </c>
      <c r="AV1006">
        <v>1</v>
      </c>
      <c r="AW1006">
        <v>1</v>
      </c>
      <c r="AZ1006">
        <v>1</v>
      </c>
      <c r="BA1006">
        <v>29.03</v>
      </c>
      <c r="BB1006">
        <v>13.59</v>
      </c>
      <c r="BC1006">
        <v>8.8699999999999992</v>
      </c>
      <c r="BD1006" t="s">
        <v>3</v>
      </c>
      <c r="BE1006" t="s">
        <v>3</v>
      </c>
      <c r="BF1006" t="s">
        <v>3</v>
      </c>
      <c r="BG1006" t="s">
        <v>3</v>
      </c>
      <c r="BH1006">
        <v>0</v>
      </c>
      <c r="BI1006">
        <v>1</v>
      </c>
      <c r="BJ1006" t="s">
        <v>829</v>
      </c>
      <c r="BM1006">
        <v>1623</v>
      </c>
      <c r="BN1006">
        <v>0</v>
      </c>
      <c r="BO1006" t="s">
        <v>827</v>
      </c>
      <c r="BP1006">
        <v>1</v>
      </c>
      <c r="BQ1006">
        <v>30</v>
      </c>
      <c r="BR1006">
        <v>0</v>
      </c>
      <c r="BS1006">
        <v>29.03</v>
      </c>
      <c r="BT1006">
        <v>1</v>
      </c>
      <c r="BU1006">
        <v>1</v>
      </c>
      <c r="BV1006">
        <v>1</v>
      </c>
      <c r="BW1006">
        <v>1</v>
      </c>
      <c r="BX1006">
        <v>1</v>
      </c>
      <c r="BY1006" t="s">
        <v>3</v>
      </c>
      <c r="BZ1006">
        <v>90</v>
      </c>
      <c r="CA1006">
        <v>41</v>
      </c>
      <c r="CB1006" t="s">
        <v>3</v>
      </c>
      <c r="CE1006">
        <v>30</v>
      </c>
      <c r="CF1006">
        <v>0</v>
      </c>
      <c r="CG1006">
        <v>0</v>
      </c>
      <c r="CM1006">
        <v>0</v>
      </c>
      <c r="CN1006" t="s">
        <v>822</v>
      </c>
      <c r="CO1006">
        <v>0</v>
      </c>
      <c r="CP1006">
        <f t="shared" si="837"/>
        <v>1009.93</v>
      </c>
      <c r="CQ1006">
        <f t="shared" si="838"/>
        <v>0</v>
      </c>
      <c r="CR1006">
        <f>(ROUND((ROUND((((ET1006*0.6))*AV1006*1),2)*BB1006),2)+ROUND((ROUND(((AE1006-((EU1006*0.6)))*AV1006*1),2)*BS1006),2))</f>
        <v>138.07</v>
      </c>
      <c r="CS1006">
        <f t="shared" si="839"/>
        <v>71.7</v>
      </c>
      <c r="CT1006">
        <f t="shared" si="840"/>
        <v>12485.22</v>
      </c>
      <c r="CU1006">
        <f t="shared" si="841"/>
        <v>0</v>
      </c>
      <c r="CV1006">
        <f t="shared" si="842"/>
        <v>33.6</v>
      </c>
      <c r="CW1006">
        <f t="shared" si="843"/>
        <v>0</v>
      </c>
      <c r="CX1006">
        <f t="shared" si="843"/>
        <v>0</v>
      </c>
      <c r="CY1006">
        <f>S1006*(BZ1006/100)</f>
        <v>899.02800000000002</v>
      </c>
      <c r="CZ1006">
        <f>S1006*(CA1006/100)</f>
        <v>409.55719999999997</v>
      </c>
      <c r="DC1006" t="s">
        <v>3</v>
      </c>
      <c r="DD1006" t="s">
        <v>823</v>
      </c>
      <c r="DE1006" t="s">
        <v>142</v>
      </c>
      <c r="DF1006" t="s">
        <v>142</v>
      </c>
      <c r="DG1006" t="s">
        <v>142</v>
      </c>
      <c r="DH1006" t="s">
        <v>3</v>
      </c>
      <c r="DI1006" t="s">
        <v>142</v>
      </c>
      <c r="DJ1006" t="s">
        <v>142</v>
      </c>
      <c r="DK1006" t="s">
        <v>3</v>
      </c>
      <c r="DL1006" t="s">
        <v>3</v>
      </c>
      <c r="DM1006" t="s">
        <v>3</v>
      </c>
      <c r="DN1006">
        <v>110</v>
      </c>
      <c r="DO1006">
        <v>74</v>
      </c>
      <c r="DP1006">
        <v>1</v>
      </c>
      <c r="DQ1006">
        <v>1</v>
      </c>
      <c r="DU1006">
        <v>1003</v>
      </c>
      <c r="DV1006" t="s">
        <v>455</v>
      </c>
      <c r="DW1006" t="s">
        <v>455</v>
      </c>
      <c r="DX1006">
        <v>100</v>
      </c>
      <c r="DZ1006" t="s">
        <v>3</v>
      </c>
      <c r="EA1006" t="s">
        <v>3</v>
      </c>
      <c r="EB1006" t="s">
        <v>3</v>
      </c>
      <c r="EC1006" t="s">
        <v>3</v>
      </c>
      <c r="EE1006">
        <v>126053084</v>
      </c>
      <c r="EF1006">
        <v>30</v>
      </c>
      <c r="EG1006" t="s">
        <v>23</v>
      </c>
      <c r="EH1006">
        <v>0</v>
      </c>
      <c r="EI1006" t="s">
        <v>3</v>
      </c>
      <c r="EJ1006">
        <v>1</v>
      </c>
      <c r="EK1006">
        <v>1623</v>
      </c>
      <c r="EL1006" t="s">
        <v>824</v>
      </c>
      <c r="EM1006" t="s">
        <v>825</v>
      </c>
      <c r="EO1006" t="s">
        <v>826</v>
      </c>
      <c r="EQ1006">
        <v>131072</v>
      </c>
      <c r="ER1006">
        <v>986.29</v>
      </c>
      <c r="ES1006">
        <v>252.56</v>
      </c>
      <c r="ET1006">
        <v>16.93</v>
      </c>
      <c r="EU1006">
        <v>4.12</v>
      </c>
      <c r="EV1006">
        <v>716.8</v>
      </c>
      <c r="EW1006">
        <v>56</v>
      </c>
      <c r="EX1006">
        <v>0</v>
      </c>
      <c r="EY1006">
        <v>0</v>
      </c>
      <c r="FQ1006">
        <v>0</v>
      </c>
      <c r="FR1006">
        <f t="shared" si="844"/>
        <v>0</v>
      </c>
      <c r="FS1006">
        <v>0</v>
      </c>
      <c r="FX1006">
        <v>110</v>
      </c>
      <c r="FY1006">
        <v>74</v>
      </c>
      <c r="GA1006" t="s">
        <v>3</v>
      </c>
      <c r="GD1006">
        <v>0</v>
      </c>
      <c r="GF1006">
        <v>-454861239</v>
      </c>
      <c r="GG1006">
        <v>2</v>
      </c>
      <c r="GH1006">
        <v>1</v>
      </c>
      <c r="GI1006">
        <v>2</v>
      </c>
      <c r="GJ1006">
        <v>0</v>
      </c>
      <c r="GK1006">
        <f>ROUND(R1006*(S12)/100,2)</f>
        <v>9.3000000000000007</v>
      </c>
      <c r="GL1006">
        <f t="shared" si="845"/>
        <v>0</v>
      </c>
      <c r="GM1006">
        <f t="shared" si="846"/>
        <v>2327.8200000000002</v>
      </c>
      <c r="GN1006">
        <f t="shared" si="847"/>
        <v>2327.8200000000002</v>
      </c>
      <c r="GO1006">
        <f t="shared" si="848"/>
        <v>0</v>
      </c>
      <c r="GP1006">
        <f t="shared" si="849"/>
        <v>0</v>
      </c>
      <c r="GR1006">
        <v>0</v>
      </c>
      <c r="GS1006">
        <v>3</v>
      </c>
      <c r="GT1006">
        <v>0</v>
      </c>
      <c r="GU1006" t="s">
        <v>3</v>
      </c>
      <c r="GV1006">
        <f t="shared" si="850"/>
        <v>0</v>
      </c>
      <c r="GW1006">
        <v>1</v>
      </c>
      <c r="GX1006">
        <f t="shared" si="851"/>
        <v>0</v>
      </c>
      <c r="HA1006">
        <v>0</v>
      </c>
      <c r="HB1006">
        <v>0</v>
      </c>
      <c r="HC1006">
        <f t="shared" si="852"/>
        <v>0</v>
      </c>
      <c r="HE1006" t="s">
        <v>3</v>
      </c>
      <c r="HF1006" t="s">
        <v>3</v>
      </c>
      <c r="HM1006" t="s">
        <v>3</v>
      </c>
      <c r="HN1006" t="s">
        <v>3</v>
      </c>
      <c r="HO1006" t="s">
        <v>3</v>
      </c>
      <c r="HP1006" t="s">
        <v>3</v>
      </c>
      <c r="HQ1006" t="s">
        <v>3</v>
      </c>
      <c r="IK1006">
        <v>0</v>
      </c>
    </row>
    <row r="1008" spans="1:255" x14ac:dyDescent="0.2">
      <c r="A1008" s="3">
        <v>51</v>
      </c>
      <c r="B1008" s="3">
        <f>B995</f>
        <v>1</v>
      </c>
      <c r="C1008" s="3">
        <f>A995</f>
        <v>4</v>
      </c>
      <c r="D1008" s="3">
        <f>ROW(A995)</f>
        <v>995</v>
      </c>
      <c r="E1008" s="3"/>
      <c r="F1008" s="3" t="str">
        <f>IF(F995&lt;&gt;"",F995,"")</f>
        <v>Новый раздел</v>
      </c>
      <c r="G1008" s="3" t="str">
        <f>IF(G995&lt;&gt;"",G995,"")</f>
        <v>Демонтажные работы</v>
      </c>
      <c r="H1008" s="3">
        <v>0</v>
      </c>
      <c r="I1008" s="3"/>
      <c r="J1008" s="3"/>
      <c r="K1008" s="3"/>
      <c r="L1008" s="3"/>
      <c r="M1008" s="3"/>
      <c r="N1008" s="3"/>
      <c r="O1008" s="3">
        <f t="shared" ref="O1008:T1008" si="855">ROUND(AB1008,2)</f>
        <v>185.43</v>
      </c>
      <c r="P1008" s="3">
        <f t="shared" si="855"/>
        <v>0</v>
      </c>
      <c r="Q1008" s="3">
        <f t="shared" si="855"/>
        <v>3.05</v>
      </c>
      <c r="R1008" s="3">
        <f t="shared" si="855"/>
        <v>0.41</v>
      </c>
      <c r="S1008" s="3">
        <f t="shared" si="855"/>
        <v>182.38</v>
      </c>
      <c r="T1008" s="3">
        <f t="shared" si="855"/>
        <v>0</v>
      </c>
      <c r="U1008" s="3">
        <f>AH1008</f>
        <v>14.566000000000001</v>
      </c>
      <c r="V1008" s="3">
        <f>AI1008</f>
        <v>0</v>
      </c>
      <c r="W1008" s="3">
        <f>ROUND(AJ1008,2)</f>
        <v>0</v>
      </c>
      <c r="X1008" s="3">
        <f>ROUND(AK1008,2)</f>
        <v>193.49</v>
      </c>
      <c r="Y1008" s="3">
        <f>ROUND(AL1008,2)</f>
        <v>130.43</v>
      </c>
      <c r="Z1008" s="3"/>
      <c r="AA1008" s="3"/>
      <c r="AB1008" s="3">
        <f>ROUND(SUMIF(AA999:AA1006,"=129761636",O999:O1006),2)</f>
        <v>185.43</v>
      </c>
      <c r="AC1008" s="3">
        <f>ROUND(SUMIF(AA999:AA1006,"=129761636",P999:P1006),2)</f>
        <v>0</v>
      </c>
      <c r="AD1008" s="3">
        <f>ROUND(SUMIF(AA999:AA1006,"=129761636",Q999:Q1006),2)</f>
        <v>3.05</v>
      </c>
      <c r="AE1008" s="3">
        <f>ROUND(SUMIF(AA999:AA1006,"=129761636",R999:R1006),2)</f>
        <v>0.41</v>
      </c>
      <c r="AF1008" s="3">
        <f>ROUND(SUMIF(AA999:AA1006,"=129761636",S999:S1006),2)</f>
        <v>182.38</v>
      </c>
      <c r="AG1008" s="3">
        <f>ROUND(SUMIF(AA999:AA1006,"=129761636",T999:T1006),2)</f>
        <v>0</v>
      </c>
      <c r="AH1008" s="3">
        <f>SUMIF(AA999:AA1006,"=129761636",U999:U1006)</f>
        <v>14.566000000000001</v>
      </c>
      <c r="AI1008" s="3">
        <f>SUMIF(AA999:AA1006,"=129761636",V999:V1006)</f>
        <v>0</v>
      </c>
      <c r="AJ1008" s="3">
        <f>ROUND(SUMIF(AA999:AA1006,"=129761636",W999:W1006),2)</f>
        <v>0</v>
      </c>
      <c r="AK1008" s="3">
        <f>ROUND(SUMIF(AA999:AA1006,"=129761636",X999:X1006),2)</f>
        <v>193.49</v>
      </c>
      <c r="AL1008" s="3">
        <f>ROUND(SUMIF(AA999:AA1006,"=129761636",Y999:Y1006),2)</f>
        <v>130.43</v>
      </c>
      <c r="AM1008" s="3"/>
      <c r="AN1008" s="3"/>
      <c r="AO1008" s="3">
        <f t="shared" ref="AO1008:BD1008" si="856">ROUND(BX1008,2)</f>
        <v>0</v>
      </c>
      <c r="AP1008" s="3">
        <f t="shared" si="856"/>
        <v>0</v>
      </c>
      <c r="AQ1008" s="3">
        <f t="shared" si="856"/>
        <v>0</v>
      </c>
      <c r="AR1008" s="3">
        <f t="shared" si="856"/>
        <v>510.07</v>
      </c>
      <c r="AS1008" s="3">
        <f t="shared" si="856"/>
        <v>510.07</v>
      </c>
      <c r="AT1008" s="3">
        <f t="shared" si="856"/>
        <v>0</v>
      </c>
      <c r="AU1008" s="3">
        <f t="shared" si="856"/>
        <v>0</v>
      </c>
      <c r="AV1008" s="3">
        <f t="shared" si="856"/>
        <v>0</v>
      </c>
      <c r="AW1008" s="3">
        <f t="shared" si="856"/>
        <v>0</v>
      </c>
      <c r="AX1008" s="3">
        <f t="shared" si="856"/>
        <v>0</v>
      </c>
      <c r="AY1008" s="3">
        <f t="shared" si="856"/>
        <v>0</v>
      </c>
      <c r="AZ1008" s="3">
        <f t="shared" si="856"/>
        <v>0</v>
      </c>
      <c r="BA1008" s="3">
        <f t="shared" si="856"/>
        <v>0</v>
      </c>
      <c r="BB1008" s="3">
        <f t="shared" si="856"/>
        <v>0</v>
      </c>
      <c r="BC1008" s="3">
        <f t="shared" si="856"/>
        <v>0</v>
      </c>
      <c r="BD1008" s="3">
        <f t="shared" si="856"/>
        <v>0</v>
      </c>
      <c r="BE1008" s="3"/>
      <c r="BF1008" s="3"/>
      <c r="BG1008" s="3"/>
      <c r="BH1008" s="3"/>
      <c r="BI1008" s="3"/>
      <c r="BJ1008" s="3"/>
      <c r="BK1008" s="3"/>
      <c r="BL1008" s="3"/>
      <c r="BM1008" s="3"/>
      <c r="BN1008" s="3"/>
      <c r="BO1008" s="3"/>
      <c r="BP1008" s="3"/>
      <c r="BQ1008" s="3"/>
      <c r="BR1008" s="3"/>
      <c r="BS1008" s="3"/>
      <c r="BT1008" s="3"/>
      <c r="BU1008" s="3"/>
      <c r="BV1008" s="3"/>
      <c r="BW1008" s="3"/>
      <c r="BX1008" s="3">
        <f>ROUND(SUMIF(AA999:AA1006,"=129761636",FQ999:FQ1006),2)</f>
        <v>0</v>
      </c>
      <c r="BY1008" s="3">
        <f>ROUND(SUMIF(AA999:AA1006,"=129761636",FR999:FR1006),2)</f>
        <v>0</v>
      </c>
      <c r="BZ1008" s="3">
        <f>ROUND(SUMIF(AA999:AA1006,"=129761636",GL999:GL1006),2)</f>
        <v>0</v>
      </c>
      <c r="CA1008" s="3">
        <f>ROUND(SUMIF(AA999:AA1006,"=129761636",GM999:GM1006),2)</f>
        <v>510.07</v>
      </c>
      <c r="CB1008" s="3">
        <f>ROUND(SUMIF(AA999:AA1006,"=129761636",GN999:GN1006),2)</f>
        <v>510.07</v>
      </c>
      <c r="CC1008" s="3">
        <f>ROUND(SUMIF(AA999:AA1006,"=129761636",GO999:GO1006),2)</f>
        <v>0</v>
      </c>
      <c r="CD1008" s="3">
        <f>ROUND(SUMIF(AA999:AA1006,"=129761636",GP999:GP1006),2)</f>
        <v>0</v>
      </c>
      <c r="CE1008" s="3">
        <f>AC1008-BX1008</f>
        <v>0</v>
      </c>
      <c r="CF1008" s="3">
        <f>AC1008-BY1008</f>
        <v>0</v>
      </c>
      <c r="CG1008" s="3">
        <f>BX1008-BZ1008</f>
        <v>0</v>
      </c>
      <c r="CH1008" s="3">
        <f>AC1008-BX1008-BY1008+BZ1008</f>
        <v>0</v>
      </c>
      <c r="CI1008" s="3">
        <f>BY1008-BZ1008</f>
        <v>0</v>
      </c>
      <c r="CJ1008" s="3">
        <f>ROUND(SUMIF(AA999:AA1006,"=129761636",GX999:GX1006),2)</f>
        <v>0</v>
      </c>
      <c r="CK1008" s="3">
        <f>ROUND(SUMIF(AA999:AA1006,"=129761636",GY999:GY1006),2)</f>
        <v>0</v>
      </c>
      <c r="CL1008" s="3">
        <f>ROUND(SUMIF(AA999:AA1006,"=129761636",GZ999:GZ1006),2)</f>
        <v>0</v>
      </c>
      <c r="CM1008" s="3">
        <f>ROUND(SUMIF(AA999:AA1006,"=129761636",HD999:HD1006),2)</f>
        <v>0</v>
      </c>
      <c r="CN1008" s="3"/>
      <c r="CO1008" s="3"/>
      <c r="CP1008" s="3"/>
      <c r="CQ1008" s="3"/>
      <c r="CR1008" s="3"/>
      <c r="CS1008" s="3"/>
      <c r="CT1008" s="3"/>
      <c r="CU1008" s="3"/>
      <c r="CV1008" s="3"/>
      <c r="CW1008" s="3"/>
      <c r="CX1008" s="3"/>
      <c r="CY1008" s="3"/>
      <c r="CZ1008" s="3"/>
      <c r="DA1008" s="3"/>
      <c r="DB1008" s="3"/>
      <c r="DC1008" s="3"/>
      <c r="DD1008" s="3"/>
      <c r="DE1008" s="3"/>
      <c r="DF1008" s="3"/>
      <c r="DG1008" s="4">
        <f t="shared" ref="DG1008:DL1008" si="857">ROUND(DT1008,2)</f>
        <v>5328.98</v>
      </c>
      <c r="DH1008" s="4">
        <f t="shared" si="857"/>
        <v>0</v>
      </c>
      <c r="DI1008" s="4">
        <f t="shared" si="857"/>
        <v>34.49</v>
      </c>
      <c r="DJ1008" s="4">
        <f t="shared" si="857"/>
        <v>11.91</v>
      </c>
      <c r="DK1008" s="4">
        <f t="shared" si="857"/>
        <v>5294.49</v>
      </c>
      <c r="DL1008" s="4">
        <f t="shared" si="857"/>
        <v>0</v>
      </c>
      <c r="DM1008" s="4">
        <f>DZ1008</f>
        <v>14.566000000000001</v>
      </c>
      <c r="DN1008" s="4">
        <f>EA1008</f>
        <v>0</v>
      </c>
      <c r="DO1008" s="4">
        <f>ROUND(EB1008,2)</f>
        <v>0</v>
      </c>
      <c r="DP1008" s="4">
        <f>ROUND(EC1008,2)</f>
        <v>4626.93</v>
      </c>
      <c r="DQ1008" s="4">
        <f>ROUND(ED1008,2)</f>
        <v>2170.7399999999998</v>
      </c>
      <c r="DR1008" s="4"/>
      <c r="DS1008" s="4"/>
      <c r="DT1008" s="4">
        <f>ROUND(SUMIF(AA999:AA1006,"=129761633",O999:O1006),2)</f>
        <v>5328.98</v>
      </c>
      <c r="DU1008" s="4">
        <f>ROUND(SUMIF(AA999:AA1006,"=129761633",P999:P1006),2)</f>
        <v>0</v>
      </c>
      <c r="DV1008" s="4">
        <f>ROUND(SUMIF(AA999:AA1006,"=129761633",Q999:Q1006),2)</f>
        <v>34.49</v>
      </c>
      <c r="DW1008" s="4">
        <f>ROUND(SUMIF(AA999:AA1006,"=129761633",R999:R1006),2)</f>
        <v>11.91</v>
      </c>
      <c r="DX1008" s="4">
        <f>ROUND(SUMIF(AA999:AA1006,"=129761633",S999:S1006),2)</f>
        <v>5294.49</v>
      </c>
      <c r="DY1008" s="4">
        <f>ROUND(SUMIF(AA999:AA1006,"=129761633",T999:T1006),2)</f>
        <v>0</v>
      </c>
      <c r="DZ1008" s="4">
        <f>SUMIF(AA999:AA1006,"=129761633",U999:U1006)</f>
        <v>14.566000000000001</v>
      </c>
      <c r="EA1008" s="4">
        <f>SUMIF(AA999:AA1006,"=129761633",V999:V1006)</f>
        <v>0</v>
      </c>
      <c r="EB1008" s="4">
        <f>ROUND(SUMIF(AA999:AA1006,"=129761633",W999:W1006),2)</f>
        <v>0</v>
      </c>
      <c r="EC1008" s="4">
        <f>ROUND(SUMIF(AA999:AA1006,"=129761633",X999:X1006),2)</f>
        <v>4626.93</v>
      </c>
      <c r="ED1008" s="4">
        <f>ROUND(SUMIF(AA999:AA1006,"=129761633",Y999:Y1006),2)</f>
        <v>2170.7399999999998</v>
      </c>
      <c r="EE1008" s="4"/>
      <c r="EF1008" s="4"/>
      <c r="EG1008" s="4">
        <f t="shared" ref="EG1008:EV1008" si="858">ROUND(FP1008,2)</f>
        <v>0</v>
      </c>
      <c r="EH1008" s="4">
        <f t="shared" si="858"/>
        <v>0</v>
      </c>
      <c r="EI1008" s="4">
        <f t="shared" si="858"/>
        <v>0</v>
      </c>
      <c r="EJ1008" s="4">
        <f t="shared" si="858"/>
        <v>12145.71</v>
      </c>
      <c r="EK1008" s="4">
        <f t="shared" si="858"/>
        <v>12145.71</v>
      </c>
      <c r="EL1008" s="4">
        <f t="shared" si="858"/>
        <v>0</v>
      </c>
      <c r="EM1008" s="4">
        <f t="shared" si="858"/>
        <v>0</v>
      </c>
      <c r="EN1008" s="4">
        <f t="shared" si="858"/>
        <v>0</v>
      </c>
      <c r="EO1008" s="4">
        <f t="shared" si="858"/>
        <v>0</v>
      </c>
      <c r="EP1008" s="4">
        <f t="shared" si="858"/>
        <v>0</v>
      </c>
      <c r="EQ1008" s="4">
        <f t="shared" si="858"/>
        <v>0</v>
      </c>
      <c r="ER1008" s="4">
        <f t="shared" si="858"/>
        <v>0</v>
      </c>
      <c r="ES1008" s="4">
        <f t="shared" si="858"/>
        <v>0</v>
      </c>
      <c r="ET1008" s="4">
        <f t="shared" si="858"/>
        <v>0</v>
      </c>
      <c r="EU1008" s="4">
        <f t="shared" si="858"/>
        <v>0</v>
      </c>
      <c r="EV1008" s="4">
        <f t="shared" si="858"/>
        <v>0</v>
      </c>
      <c r="EW1008" s="4"/>
      <c r="EX1008" s="4"/>
      <c r="EY1008" s="4"/>
      <c r="EZ1008" s="4"/>
      <c r="FA1008" s="4"/>
      <c r="FB1008" s="4"/>
      <c r="FC1008" s="4"/>
      <c r="FD1008" s="4"/>
      <c r="FE1008" s="4"/>
      <c r="FF1008" s="4"/>
      <c r="FG1008" s="4"/>
      <c r="FH1008" s="4"/>
      <c r="FI1008" s="4"/>
      <c r="FJ1008" s="4"/>
      <c r="FK1008" s="4"/>
      <c r="FL1008" s="4"/>
      <c r="FM1008" s="4"/>
      <c r="FN1008" s="4"/>
      <c r="FO1008" s="4"/>
      <c r="FP1008" s="4">
        <f>ROUND(SUMIF(AA999:AA1006,"=129761633",FQ999:FQ1006),2)</f>
        <v>0</v>
      </c>
      <c r="FQ1008" s="4">
        <f>ROUND(SUMIF(AA999:AA1006,"=129761633",FR999:FR1006),2)</f>
        <v>0</v>
      </c>
      <c r="FR1008" s="4">
        <f>ROUND(SUMIF(AA999:AA1006,"=129761633",GL999:GL1006),2)</f>
        <v>0</v>
      </c>
      <c r="FS1008" s="4">
        <f>ROUND(SUMIF(AA999:AA1006,"=129761633",GM999:GM1006),2)</f>
        <v>12145.71</v>
      </c>
      <c r="FT1008" s="4">
        <f>ROUND(SUMIF(AA999:AA1006,"=129761633",GN999:GN1006),2)</f>
        <v>12145.71</v>
      </c>
      <c r="FU1008" s="4">
        <f>ROUND(SUMIF(AA999:AA1006,"=129761633",GO999:GO1006),2)</f>
        <v>0</v>
      </c>
      <c r="FV1008" s="4">
        <f>ROUND(SUMIF(AA999:AA1006,"=129761633",GP999:GP1006),2)</f>
        <v>0</v>
      </c>
      <c r="FW1008" s="4">
        <f>DU1008-FP1008</f>
        <v>0</v>
      </c>
      <c r="FX1008" s="4">
        <f>DU1008-FQ1008</f>
        <v>0</v>
      </c>
      <c r="FY1008" s="4">
        <f>FP1008-FR1008</f>
        <v>0</v>
      </c>
      <c r="FZ1008" s="4">
        <f>DU1008-FP1008-FQ1008+FR1008</f>
        <v>0</v>
      </c>
      <c r="GA1008" s="4">
        <f>FQ1008-FR1008</f>
        <v>0</v>
      </c>
      <c r="GB1008" s="4">
        <f>ROUND(SUMIF(AA999:AA1006,"=129761633",GX999:GX1006),2)</f>
        <v>0</v>
      </c>
      <c r="GC1008" s="4">
        <f>ROUND(SUMIF(AA999:AA1006,"=129761633",GY999:GY1006),2)</f>
        <v>0</v>
      </c>
      <c r="GD1008" s="4">
        <f>ROUND(SUMIF(AA999:AA1006,"=129761633",GZ999:GZ1006),2)</f>
        <v>0</v>
      </c>
      <c r="GE1008" s="4">
        <f>ROUND(SUMIF(AA999:AA1006,"=129761633",HD999:HD1006),2)</f>
        <v>0</v>
      </c>
      <c r="GF1008" s="4"/>
      <c r="GG1008" s="4"/>
      <c r="GH1008" s="4"/>
      <c r="GI1008" s="4"/>
      <c r="GJ1008" s="4"/>
      <c r="GK1008" s="4"/>
      <c r="GL1008" s="4"/>
      <c r="GM1008" s="4"/>
      <c r="GN1008" s="4"/>
      <c r="GO1008" s="4"/>
      <c r="GP1008" s="4"/>
      <c r="GQ1008" s="4"/>
      <c r="GR1008" s="4"/>
      <c r="GS1008" s="4"/>
      <c r="GT1008" s="4"/>
      <c r="GU1008" s="4"/>
      <c r="GV1008" s="4"/>
      <c r="GW1008" s="4"/>
      <c r="GX1008" s="4">
        <v>0</v>
      </c>
    </row>
    <row r="1010" spans="1:28" x14ac:dyDescent="0.2">
      <c r="A1010" s="5">
        <v>50</v>
      </c>
      <c r="B1010" s="5">
        <v>0</v>
      </c>
      <c r="C1010" s="5">
        <v>0</v>
      </c>
      <c r="D1010" s="5">
        <v>1</v>
      </c>
      <c r="E1010" s="5">
        <v>201</v>
      </c>
      <c r="F1010" s="5">
        <f>ROUND(Source!O1008,O1010)</f>
        <v>185.43</v>
      </c>
      <c r="G1010" s="5" t="s">
        <v>26</v>
      </c>
      <c r="H1010" s="5" t="s">
        <v>27</v>
      </c>
      <c r="I1010" s="5"/>
      <c r="J1010" s="5"/>
      <c r="K1010" s="5">
        <v>201</v>
      </c>
      <c r="L1010" s="5">
        <v>1</v>
      </c>
      <c r="M1010" s="5">
        <v>3</v>
      </c>
      <c r="N1010" s="5" t="s">
        <v>3</v>
      </c>
      <c r="O1010" s="5">
        <v>2</v>
      </c>
      <c r="P1010" s="5">
        <f>ROUND(Source!DG1008,O1010)</f>
        <v>5328.98</v>
      </c>
      <c r="Q1010" s="5"/>
      <c r="R1010" s="5"/>
      <c r="S1010" s="5"/>
      <c r="T1010" s="5"/>
      <c r="U1010" s="5"/>
      <c r="V1010" s="5"/>
      <c r="W1010" s="5">
        <v>185.43</v>
      </c>
      <c r="X1010" s="5">
        <v>1</v>
      </c>
      <c r="Y1010" s="5">
        <v>185.43</v>
      </c>
      <c r="Z1010" s="5">
        <v>5328.98</v>
      </c>
      <c r="AA1010" s="5">
        <v>1</v>
      </c>
      <c r="AB1010" s="5">
        <v>5328.98</v>
      </c>
    </row>
    <row r="1011" spans="1:28" x14ac:dyDescent="0.2">
      <c r="A1011" s="5">
        <v>50</v>
      </c>
      <c r="B1011" s="5">
        <v>0</v>
      </c>
      <c r="C1011" s="5">
        <v>0</v>
      </c>
      <c r="D1011" s="5">
        <v>1</v>
      </c>
      <c r="E1011" s="5">
        <v>202</v>
      </c>
      <c r="F1011" s="5">
        <f>ROUND(Source!P1008,O1011)</f>
        <v>0</v>
      </c>
      <c r="G1011" s="5" t="s">
        <v>28</v>
      </c>
      <c r="H1011" s="5" t="s">
        <v>29</v>
      </c>
      <c r="I1011" s="5"/>
      <c r="J1011" s="5"/>
      <c r="K1011" s="5">
        <v>202</v>
      </c>
      <c r="L1011" s="5">
        <v>2</v>
      </c>
      <c r="M1011" s="5">
        <v>3</v>
      </c>
      <c r="N1011" s="5" t="s">
        <v>3</v>
      </c>
      <c r="O1011" s="5">
        <v>2</v>
      </c>
      <c r="P1011" s="5">
        <f>ROUND(Source!DH1008,O1011)</f>
        <v>0</v>
      </c>
      <c r="Q1011" s="5"/>
      <c r="R1011" s="5"/>
      <c r="S1011" s="5"/>
      <c r="T1011" s="5"/>
      <c r="U1011" s="5"/>
      <c r="V1011" s="5"/>
      <c r="W1011" s="5">
        <v>0</v>
      </c>
      <c r="X1011" s="5">
        <v>1</v>
      </c>
      <c r="Y1011" s="5">
        <v>0</v>
      </c>
      <c r="Z1011" s="5">
        <v>0</v>
      </c>
      <c r="AA1011" s="5">
        <v>1</v>
      </c>
      <c r="AB1011" s="5">
        <v>0</v>
      </c>
    </row>
    <row r="1012" spans="1:28" x14ac:dyDescent="0.2">
      <c r="A1012" s="5">
        <v>50</v>
      </c>
      <c r="B1012" s="5">
        <v>0</v>
      </c>
      <c r="C1012" s="5">
        <v>0</v>
      </c>
      <c r="D1012" s="5">
        <v>1</v>
      </c>
      <c r="E1012" s="5">
        <v>222</v>
      </c>
      <c r="F1012" s="5">
        <f>ROUND(Source!AO1008,O1012)</f>
        <v>0</v>
      </c>
      <c r="G1012" s="5" t="s">
        <v>30</v>
      </c>
      <c r="H1012" s="5" t="s">
        <v>31</v>
      </c>
      <c r="I1012" s="5"/>
      <c r="J1012" s="5"/>
      <c r="K1012" s="5">
        <v>222</v>
      </c>
      <c r="L1012" s="5">
        <v>3</v>
      </c>
      <c r="M1012" s="5">
        <v>3</v>
      </c>
      <c r="N1012" s="5" t="s">
        <v>3</v>
      </c>
      <c r="O1012" s="5">
        <v>2</v>
      </c>
      <c r="P1012" s="5">
        <f>ROUND(Source!EG1008,O1012)</f>
        <v>0</v>
      </c>
      <c r="Q1012" s="5"/>
      <c r="R1012" s="5"/>
      <c r="S1012" s="5"/>
      <c r="T1012" s="5"/>
      <c r="U1012" s="5"/>
      <c r="V1012" s="5"/>
      <c r="W1012" s="5">
        <v>0</v>
      </c>
      <c r="X1012" s="5">
        <v>1</v>
      </c>
      <c r="Y1012" s="5">
        <v>0</v>
      </c>
      <c r="Z1012" s="5">
        <v>0</v>
      </c>
      <c r="AA1012" s="5">
        <v>1</v>
      </c>
      <c r="AB1012" s="5">
        <v>0</v>
      </c>
    </row>
    <row r="1013" spans="1:28" x14ac:dyDescent="0.2">
      <c r="A1013" s="5">
        <v>50</v>
      </c>
      <c r="B1013" s="5">
        <v>0</v>
      </c>
      <c r="C1013" s="5">
        <v>0</v>
      </c>
      <c r="D1013" s="5">
        <v>1</v>
      </c>
      <c r="E1013" s="5">
        <v>225</v>
      </c>
      <c r="F1013" s="5">
        <f>ROUND(Source!AV1008,O1013)</f>
        <v>0</v>
      </c>
      <c r="G1013" s="5" t="s">
        <v>32</v>
      </c>
      <c r="H1013" s="5" t="s">
        <v>33</v>
      </c>
      <c r="I1013" s="5"/>
      <c r="J1013" s="5"/>
      <c r="K1013" s="5">
        <v>225</v>
      </c>
      <c r="L1013" s="5">
        <v>4</v>
      </c>
      <c r="M1013" s="5">
        <v>3</v>
      </c>
      <c r="N1013" s="5" t="s">
        <v>3</v>
      </c>
      <c r="O1013" s="5">
        <v>2</v>
      </c>
      <c r="P1013" s="5">
        <f>ROUND(Source!EN1008,O1013)</f>
        <v>0</v>
      </c>
      <c r="Q1013" s="5"/>
      <c r="R1013" s="5"/>
      <c r="S1013" s="5"/>
      <c r="T1013" s="5"/>
      <c r="U1013" s="5"/>
      <c r="V1013" s="5"/>
      <c r="W1013" s="5">
        <v>0</v>
      </c>
      <c r="X1013" s="5">
        <v>1</v>
      </c>
      <c r="Y1013" s="5">
        <v>0</v>
      </c>
      <c r="Z1013" s="5">
        <v>0</v>
      </c>
      <c r="AA1013" s="5">
        <v>1</v>
      </c>
      <c r="AB1013" s="5">
        <v>0</v>
      </c>
    </row>
    <row r="1014" spans="1:28" x14ac:dyDescent="0.2">
      <c r="A1014" s="5">
        <v>50</v>
      </c>
      <c r="B1014" s="5">
        <v>0</v>
      </c>
      <c r="C1014" s="5">
        <v>0</v>
      </c>
      <c r="D1014" s="5">
        <v>1</v>
      </c>
      <c r="E1014" s="5">
        <v>226</v>
      </c>
      <c r="F1014" s="5">
        <f>ROUND(Source!AW1008,O1014)</f>
        <v>0</v>
      </c>
      <c r="G1014" s="5" t="s">
        <v>34</v>
      </c>
      <c r="H1014" s="5" t="s">
        <v>35</v>
      </c>
      <c r="I1014" s="5"/>
      <c r="J1014" s="5"/>
      <c r="K1014" s="5">
        <v>226</v>
      </c>
      <c r="L1014" s="5">
        <v>5</v>
      </c>
      <c r="M1014" s="5">
        <v>3</v>
      </c>
      <c r="N1014" s="5" t="s">
        <v>3</v>
      </c>
      <c r="O1014" s="5">
        <v>2</v>
      </c>
      <c r="P1014" s="5">
        <f>ROUND(Source!EO1008,O1014)</f>
        <v>0</v>
      </c>
      <c r="Q1014" s="5"/>
      <c r="R1014" s="5"/>
      <c r="S1014" s="5"/>
      <c r="T1014" s="5"/>
      <c r="U1014" s="5"/>
      <c r="V1014" s="5"/>
      <c r="W1014" s="5">
        <v>0</v>
      </c>
      <c r="X1014" s="5">
        <v>1</v>
      </c>
      <c r="Y1014" s="5">
        <v>0</v>
      </c>
      <c r="Z1014" s="5">
        <v>0</v>
      </c>
      <c r="AA1014" s="5">
        <v>1</v>
      </c>
      <c r="AB1014" s="5">
        <v>0</v>
      </c>
    </row>
    <row r="1015" spans="1:28" x14ac:dyDescent="0.2">
      <c r="A1015" s="5">
        <v>50</v>
      </c>
      <c r="B1015" s="5">
        <v>0</v>
      </c>
      <c r="C1015" s="5">
        <v>0</v>
      </c>
      <c r="D1015" s="5">
        <v>1</v>
      </c>
      <c r="E1015" s="5">
        <v>227</v>
      </c>
      <c r="F1015" s="5">
        <f>ROUND(Source!AX1008,O1015)</f>
        <v>0</v>
      </c>
      <c r="G1015" s="5" t="s">
        <v>36</v>
      </c>
      <c r="H1015" s="5" t="s">
        <v>37</v>
      </c>
      <c r="I1015" s="5"/>
      <c r="J1015" s="5"/>
      <c r="K1015" s="5">
        <v>227</v>
      </c>
      <c r="L1015" s="5">
        <v>6</v>
      </c>
      <c r="M1015" s="5">
        <v>3</v>
      </c>
      <c r="N1015" s="5" t="s">
        <v>3</v>
      </c>
      <c r="O1015" s="5">
        <v>2</v>
      </c>
      <c r="P1015" s="5">
        <f>ROUND(Source!EP1008,O1015)</f>
        <v>0</v>
      </c>
      <c r="Q1015" s="5"/>
      <c r="R1015" s="5"/>
      <c r="S1015" s="5"/>
      <c r="T1015" s="5"/>
      <c r="U1015" s="5"/>
      <c r="V1015" s="5"/>
      <c r="W1015" s="5">
        <v>0</v>
      </c>
      <c r="X1015" s="5">
        <v>1</v>
      </c>
      <c r="Y1015" s="5">
        <v>0</v>
      </c>
      <c r="Z1015" s="5">
        <v>0</v>
      </c>
      <c r="AA1015" s="5">
        <v>1</v>
      </c>
      <c r="AB1015" s="5">
        <v>0</v>
      </c>
    </row>
    <row r="1016" spans="1:28" x14ac:dyDescent="0.2">
      <c r="A1016" s="5">
        <v>50</v>
      </c>
      <c r="B1016" s="5">
        <v>0</v>
      </c>
      <c r="C1016" s="5">
        <v>0</v>
      </c>
      <c r="D1016" s="5">
        <v>1</v>
      </c>
      <c r="E1016" s="5">
        <v>228</v>
      </c>
      <c r="F1016" s="5">
        <f>ROUND(Source!AY1008,O1016)</f>
        <v>0</v>
      </c>
      <c r="G1016" s="5" t="s">
        <v>38</v>
      </c>
      <c r="H1016" s="5" t="s">
        <v>39</v>
      </c>
      <c r="I1016" s="5"/>
      <c r="J1016" s="5"/>
      <c r="K1016" s="5">
        <v>228</v>
      </c>
      <c r="L1016" s="5">
        <v>7</v>
      </c>
      <c r="M1016" s="5">
        <v>3</v>
      </c>
      <c r="N1016" s="5" t="s">
        <v>3</v>
      </c>
      <c r="O1016" s="5">
        <v>2</v>
      </c>
      <c r="P1016" s="5">
        <f>ROUND(Source!EQ1008,O1016)</f>
        <v>0</v>
      </c>
      <c r="Q1016" s="5"/>
      <c r="R1016" s="5"/>
      <c r="S1016" s="5"/>
      <c r="T1016" s="5"/>
      <c r="U1016" s="5"/>
      <c r="V1016" s="5"/>
      <c r="W1016" s="5">
        <v>0</v>
      </c>
      <c r="X1016" s="5">
        <v>1</v>
      </c>
      <c r="Y1016" s="5">
        <v>0</v>
      </c>
      <c r="Z1016" s="5">
        <v>0</v>
      </c>
      <c r="AA1016" s="5">
        <v>1</v>
      </c>
      <c r="AB1016" s="5">
        <v>0</v>
      </c>
    </row>
    <row r="1017" spans="1:28" x14ac:dyDescent="0.2">
      <c r="A1017" s="5">
        <v>50</v>
      </c>
      <c r="B1017" s="5">
        <v>0</v>
      </c>
      <c r="C1017" s="5">
        <v>0</v>
      </c>
      <c r="D1017" s="5">
        <v>1</v>
      </c>
      <c r="E1017" s="5">
        <v>216</v>
      </c>
      <c r="F1017" s="5">
        <f>ROUND(Source!AP1008,O1017)</f>
        <v>0</v>
      </c>
      <c r="G1017" s="5" t="s">
        <v>40</v>
      </c>
      <c r="H1017" s="5" t="s">
        <v>41</v>
      </c>
      <c r="I1017" s="5"/>
      <c r="J1017" s="5"/>
      <c r="K1017" s="5">
        <v>216</v>
      </c>
      <c r="L1017" s="5">
        <v>8</v>
      </c>
      <c r="M1017" s="5">
        <v>3</v>
      </c>
      <c r="N1017" s="5" t="s">
        <v>3</v>
      </c>
      <c r="O1017" s="5">
        <v>2</v>
      </c>
      <c r="P1017" s="5">
        <f>ROUND(Source!EH1008,O1017)</f>
        <v>0</v>
      </c>
      <c r="Q1017" s="5"/>
      <c r="R1017" s="5"/>
      <c r="S1017" s="5"/>
      <c r="T1017" s="5"/>
      <c r="U1017" s="5"/>
      <c r="V1017" s="5"/>
      <c r="W1017" s="5">
        <v>0</v>
      </c>
      <c r="X1017" s="5">
        <v>1</v>
      </c>
      <c r="Y1017" s="5">
        <v>0</v>
      </c>
      <c r="Z1017" s="5">
        <v>0</v>
      </c>
      <c r="AA1017" s="5">
        <v>1</v>
      </c>
      <c r="AB1017" s="5">
        <v>0</v>
      </c>
    </row>
    <row r="1018" spans="1:28" x14ac:dyDescent="0.2">
      <c r="A1018" s="5">
        <v>50</v>
      </c>
      <c r="B1018" s="5">
        <v>0</v>
      </c>
      <c r="C1018" s="5">
        <v>0</v>
      </c>
      <c r="D1018" s="5">
        <v>1</v>
      </c>
      <c r="E1018" s="5">
        <v>223</v>
      </c>
      <c r="F1018" s="5">
        <f>ROUND(Source!AQ1008,O1018)</f>
        <v>0</v>
      </c>
      <c r="G1018" s="5" t="s">
        <v>42</v>
      </c>
      <c r="H1018" s="5" t="s">
        <v>43</v>
      </c>
      <c r="I1018" s="5"/>
      <c r="J1018" s="5"/>
      <c r="K1018" s="5">
        <v>223</v>
      </c>
      <c r="L1018" s="5">
        <v>9</v>
      </c>
      <c r="M1018" s="5">
        <v>3</v>
      </c>
      <c r="N1018" s="5" t="s">
        <v>3</v>
      </c>
      <c r="O1018" s="5">
        <v>2</v>
      </c>
      <c r="P1018" s="5">
        <f>ROUND(Source!EI1008,O1018)</f>
        <v>0</v>
      </c>
      <c r="Q1018" s="5"/>
      <c r="R1018" s="5"/>
      <c r="S1018" s="5"/>
      <c r="T1018" s="5"/>
      <c r="U1018" s="5"/>
      <c r="V1018" s="5"/>
      <c r="W1018" s="5">
        <v>0</v>
      </c>
      <c r="X1018" s="5">
        <v>1</v>
      </c>
      <c r="Y1018" s="5">
        <v>0</v>
      </c>
      <c r="Z1018" s="5">
        <v>0</v>
      </c>
      <c r="AA1018" s="5">
        <v>1</v>
      </c>
      <c r="AB1018" s="5">
        <v>0</v>
      </c>
    </row>
    <row r="1019" spans="1:28" x14ac:dyDescent="0.2">
      <c r="A1019" s="5">
        <v>50</v>
      </c>
      <c r="B1019" s="5">
        <v>0</v>
      </c>
      <c r="C1019" s="5">
        <v>0</v>
      </c>
      <c r="D1019" s="5">
        <v>1</v>
      </c>
      <c r="E1019" s="5">
        <v>229</v>
      </c>
      <c r="F1019" s="5">
        <f>ROUND(Source!AZ1008,O1019)</f>
        <v>0</v>
      </c>
      <c r="G1019" s="5" t="s">
        <v>44</v>
      </c>
      <c r="H1019" s="5" t="s">
        <v>45</v>
      </c>
      <c r="I1019" s="5"/>
      <c r="J1019" s="5"/>
      <c r="K1019" s="5">
        <v>229</v>
      </c>
      <c r="L1019" s="5">
        <v>10</v>
      </c>
      <c r="M1019" s="5">
        <v>3</v>
      </c>
      <c r="N1019" s="5" t="s">
        <v>3</v>
      </c>
      <c r="O1019" s="5">
        <v>2</v>
      </c>
      <c r="P1019" s="5">
        <f>ROUND(Source!ER1008,O1019)</f>
        <v>0</v>
      </c>
      <c r="Q1019" s="5"/>
      <c r="R1019" s="5"/>
      <c r="S1019" s="5"/>
      <c r="T1019" s="5"/>
      <c r="U1019" s="5"/>
      <c r="V1019" s="5"/>
      <c r="W1019" s="5">
        <v>0</v>
      </c>
      <c r="X1019" s="5">
        <v>1</v>
      </c>
      <c r="Y1019" s="5">
        <v>0</v>
      </c>
      <c r="Z1019" s="5">
        <v>0</v>
      </c>
      <c r="AA1019" s="5">
        <v>1</v>
      </c>
      <c r="AB1019" s="5">
        <v>0</v>
      </c>
    </row>
    <row r="1020" spans="1:28" x14ac:dyDescent="0.2">
      <c r="A1020" s="5">
        <v>50</v>
      </c>
      <c r="B1020" s="5">
        <v>0</v>
      </c>
      <c r="C1020" s="5">
        <v>0</v>
      </c>
      <c r="D1020" s="5">
        <v>1</v>
      </c>
      <c r="E1020" s="5">
        <v>203</v>
      </c>
      <c r="F1020" s="5">
        <f>ROUND(Source!Q1008,O1020)</f>
        <v>3.05</v>
      </c>
      <c r="G1020" s="5" t="s">
        <v>46</v>
      </c>
      <c r="H1020" s="5" t="s">
        <v>47</v>
      </c>
      <c r="I1020" s="5"/>
      <c r="J1020" s="5"/>
      <c r="K1020" s="5">
        <v>203</v>
      </c>
      <c r="L1020" s="5">
        <v>11</v>
      </c>
      <c r="M1020" s="5">
        <v>3</v>
      </c>
      <c r="N1020" s="5" t="s">
        <v>3</v>
      </c>
      <c r="O1020" s="5">
        <v>2</v>
      </c>
      <c r="P1020" s="5">
        <f>ROUND(Source!DI1008,O1020)</f>
        <v>34.49</v>
      </c>
      <c r="Q1020" s="5"/>
      <c r="R1020" s="5"/>
      <c r="S1020" s="5"/>
      <c r="T1020" s="5"/>
      <c r="U1020" s="5"/>
      <c r="V1020" s="5"/>
      <c r="W1020" s="5">
        <v>3.05</v>
      </c>
      <c r="X1020" s="5">
        <v>1</v>
      </c>
      <c r="Y1020" s="5">
        <v>3.05</v>
      </c>
      <c r="Z1020" s="5">
        <v>34.49</v>
      </c>
      <c r="AA1020" s="5">
        <v>1</v>
      </c>
      <c r="AB1020" s="5">
        <v>34.49</v>
      </c>
    </row>
    <row r="1021" spans="1:28" x14ac:dyDescent="0.2">
      <c r="A1021" s="5">
        <v>50</v>
      </c>
      <c r="B1021" s="5">
        <v>0</v>
      </c>
      <c r="C1021" s="5">
        <v>0</v>
      </c>
      <c r="D1021" s="5">
        <v>1</v>
      </c>
      <c r="E1021" s="5">
        <v>231</v>
      </c>
      <c r="F1021" s="5">
        <f>ROUND(Source!BB1008,O1021)</f>
        <v>0</v>
      </c>
      <c r="G1021" s="5" t="s">
        <v>48</v>
      </c>
      <c r="H1021" s="5" t="s">
        <v>49</v>
      </c>
      <c r="I1021" s="5"/>
      <c r="J1021" s="5"/>
      <c r="K1021" s="5">
        <v>231</v>
      </c>
      <c r="L1021" s="5">
        <v>12</v>
      </c>
      <c r="M1021" s="5">
        <v>3</v>
      </c>
      <c r="N1021" s="5" t="s">
        <v>3</v>
      </c>
      <c r="O1021" s="5">
        <v>2</v>
      </c>
      <c r="P1021" s="5">
        <f>ROUND(Source!ET1008,O1021)</f>
        <v>0</v>
      </c>
      <c r="Q1021" s="5"/>
      <c r="R1021" s="5"/>
      <c r="S1021" s="5"/>
      <c r="T1021" s="5"/>
      <c r="U1021" s="5"/>
      <c r="V1021" s="5"/>
      <c r="W1021" s="5">
        <v>0</v>
      </c>
      <c r="X1021" s="5">
        <v>1</v>
      </c>
      <c r="Y1021" s="5">
        <v>0</v>
      </c>
      <c r="Z1021" s="5">
        <v>0</v>
      </c>
      <c r="AA1021" s="5">
        <v>1</v>
      </c>
      <c r="AB1021" s="5">
        <v>0</v>
      </c>
    </row>
    <row r="1022" spans="1:28" x14ac:dyDescent="0.2">
      <c r="A1022" s="5">
        <v>50</v>
      </c>
      <c r="B1022" s="5">
        <v>0</v>
      </c>
      <c r="C1022" s="5">
        <v>0</v>
      </c>
      <c r="D1022" s="5">
        <v>1</v>
      </c>
      <c r="E1022" s="5">
        <v>204</v>
      </c>
      <c r="F1022" s="5">
        <f>ROUND(Source!R1008,O1022)</f>
        <v>0.41</v>
      </c>
      <c r="G1022" s="5" t="s">
        <v>50</v>
      </c>
      <c r="H1022" s="5" t="s">
        <v>51</v>
      </c>
      <c r="I1022" s="5"/>
      <c r="J1022" s="5"/>
      <c r="K1022" s="5">
        <v>204</v>
      </c>
      <c r="L1022" s="5">
        <v>13</v>
      </c>
      <c r="M1022" s="5">
        <v>3</v>
      </c>
      <c r="N1022" s="5" t="s">
        <v>3</v>
      </c>
      <c r="O1022" s="5">
        <v>2</v>
      </c>
      <c r="P1022" s="5">
        <f>ROUND(Source!DJ1008,O1022)</f>
        <v>11.91</v>
      </c>
      <c r="Q1022" s="5"/>
      <c r="R1022" s="5"/>
      <c r="S1022" s="5"/>
      <c r="T1022" s="5"/>
      <c r="U1022" s="5"/>
      <c r="V1022" s="5"/>
      <c r="W1022" s="5">
        <v>0.41</v>
      </c>
      <c r="X1022" s="5">
        <v>1</v>
      </c>
      <c r="Y1022" s="5">
        <v>0.41</v>
      </c>
      <c r="Z1022" s="5">
        <v>11.91</v>
      </c>
      <c r="AA1022" s="5">
        <v>1</v>
      </c>
      <c r="AB1022" s="5">
        <v>11.91</v>
      </c>
    </row>
    <row r="1023" spans="1:28" x14ac:dyDescent="0.2">
      <c r="A1023" s="5">
        <v>50</v>
      </c>
      <c r="B1023" s="5">
        <v>0</v>
      </c>
      <c r="C1023" s="5">
        <v>0</v>
      </c>
      <c r="D1023" s="5">
        <v>1</v>
      </c>
      <c r="E1023" s="5">
        <v>205</v>
      </c>
      <c r="F1023" s="5">
        <f>ROUND(Source!S1008,O1023)</f>
        <v>182.38</v>
      </c>
      <c r="G1023" s="5" t="s">
        <v>52</v>
      </c>
      <c r="H1023" s="5" t="s">
        <v>53</v>
      </c>
      <c r="I1023" s="5"/>
      <c r="J1023" s="5"/>
      <c r="K1023" s="5">
        <v>205</v>
      </c>
      <c r="L1023" s="5">
        <v>14</v>
      </c>
      <c r="M1023" s="5">
        <v>3</v>
      </c>
      <c r="N1023" s="5" t="s">
        <v>3</v>
      </c>
      <c r="O1023" s="5">
        <v>2</v>
      </c>
      <c r="P1023" s="5">
        <f>ROUND(Source!DK1008,O1023)</f>
        <v>5294.49</v>
      </c>
      <c r="Q1023" s="5"/>
      <c r="R1023" s="5"/>
      <c r="S1023" s="5"/>
      <c r="T1023" s="5"/>
      <c r="U1023" s="5"/>
      <c r="V1023" s="5"/>
      <c r="W1023" s="5">
        <v>182.38</v>
      </c>
      <c r="X1023" s="5">
        <v>1</v>
      </c>
      <c r="Y1023" s="5">
        <v>182.38</v>
      </c>
      <c r="Z1023" s="5">
        <v>5294.49</v>
      </c>
      <c r="AA1023" s="5">
        <v>1</v>
      </c>
      <c r="AB1023" s="5">
        <v>5294.49</v>
      </c>
    </row>
    <row r="1024" spans="1:28" x14ac:dyDescent="0.2">
      <c r="A1024" s="5">
        <v>50</v>
      </c>
      <c r="B1024" s="5">
        <v>0</v>
      </c>
      <c r="C1024" s="5">
        <v>0</v>
      </c>
      <c r="D1024" s="5">
        <v>1</v>
      </c>
      <c r="E1024" s="5">
        <v>232</v>
      </c>
      <c r="F1024" s="5">
        <f>ROUND(Source!BC1008,O1024)</f>
        <v>0</v>
      </c>
      <c r="G1024" s="5" t="s">
        <v>54</v>
      </c>
      <c r="H1024" s="5" t="s">
        <v>55</v>
      </c>
      <c r="I1024" s="5"/>
      <c r="J1024" s="5"/>
      <c r="K1024" s="5">
        <v>232</v>
      </c>
      <c r="L1024" s="5">
        <v>15</v>
      </c>
      <c r="M1024" s="5">
        <v>3</v>
      </c>
      <c r="N1024" s="5" t="s">
        <v>3</v>
      </c>
      <c r="O1024" s="5">
        <v>2</v>
      </c>
      <c r="P1024" s="5">
        <f>ROUND(Source!EU1008,O1024)</f>
        <v>0</v>
      </c>
      <c r="Q1024" s="5"/>
      <c r="R1024" s="5"/>
      <c r="S1024" s="5"/>
      <c r="T1024" s="5"/>
      <c r="U1024" s="5"/>
      <c r="V1024" s="5"/>
      <c r="W1024" s="5">
        <v>0</v>
      </c>
      <c r="X1024" s="5">
        <v>1</v>
      </c>
      <c r="Y1024" s="5">
        <v>0</v>
      </c>
      <c r="Z1024" s="5">
        <v>0</v>
      </c>
      <c r="AA1024" s="5">
        <v>1</v>
      </c>
      <c r="AB1024" s="5">
        <v>0</v>
      </c>
    </row>
    <row r="1025" spans="1:206" x14ac:dyDescent="0.2">
      <c r="A1025" s="5">
        <v>50</v>
      </c>
      <c r="B1025" s="5">
        <v>0</v>
      </c>
      <c r="C1025" s="5">
        <v>0</v>
      </c>
      <c r="D1025" s="5">
        <v>1</v>
      </c>
      <c r="E1025" s="5">
        <v>214</v>
      </c>
      <c r="F1025" s="5">
        <f>ROUND(Source!AS1008,O1025)</f>
        <v>510.07</v>
      </c>
      <c r="G1025" s="5" t="s">
        <v>56</v>
      </c>
      <c r="H1025" s="5" t="s">
        <v>57</v>
      </c>
      <c r="I1025" s="5"/>
      <c r="J1025" s="5"/>
      <c r="K1025" s="5">
        <v>214</v>
      </c>
      <c r="L1025" s="5">
        <v>16</v>
      </c>
      <c r="M1025" s="5">
        <v>3</v>
      </c>
      <c r="N1025" s="5" t="s">
        <v>3</v>
      </c>
      <c r="O1025" s="5">
        <v>2</v>
      </c>
      <c r="P1025" s="5">
        <f>ROUND(Source!EK1008,O1025)</f>
        <v>12145.71</v>
      </c>
      <c r="Q1025" s="5"/>
      <c r="R1025" s="5"/>
      <c r="S1025" s="5"/>
      <c r="T1025" s="5"/>
      <c r="U1025" s="5"/>
      <c r="V1025" s="5"/>
      <c r="W1025" s="5">
        <v>510.07</v>
      </c>
      <c r="X1025" s="5">
        <v>1</v>
      </c>
      <c r="Y1025" s="5">
        <v>510.07</v>
      </c>
      <c r="Z1025" s="5">
        <v>12145.71</v>
      </c>
      <c r="AA1025" s="5">
        <v>1</v>
      </c>
      <c r="AB1025" s="5">
        <v>12145.71</v>
      </c>
    </row>
    <row r="1026" spans="1:206" x14ac:dyDescent="0.2">
      <c r="A1026" s="5">
        <v>50</v>
      </c>
      <c r="B1026" s="5">
        <v>0</v>
      </c>
      <c r="C1026" s="5">
        <v>0</v>
      </c>
      <c r="D1026" s="5">
        <v>1</v>
      </c>
      <c r="E1026" s="5">
        <v>215</v>
      </c>
      <c r="F1026" s="5">
        <f>ROUND(Source!AT1008,O1026)</f>
        <v>0</v>
      </c>
      <c r="G1026" s="5" t="s">
        <v>58</v>
      </c>
      <c r="H1026" s="5" t="s">
        <v>59</v>
      </c>
      <c r="I1026" s="5"/>
      <c r="J1026" s="5"/>
      <c r="K1026" s="5">
        <v>215</v>
      </c>
      <c r="L1026" s="5">
        <v>17</v>
      </c>
      <c r="M1026" s="5">
        <v>3</v>
      </c>
      <c r="N1026" s="5" t="s">
        <v>3</v>
      </c>
      <c r="O1026" s="5">
        <v>2</v>
      </c>
      <c r="P1026" s="5">
        <f>ROUND(Source!EL1008,O1026)</f>
        <v>0</v>
      </c>
      <c r="Q1026" s="5"/>
      <c r="R1026" s="5"/>
      <c r="S1026" s="5"/>
      <c r="T1026" s="5"/>
      <c r="U1026" s="5"/>
      <c r="V1026" s="5"/>
      <c r="W1026" s="5">
        <v>0</v>
      </c>
      <c r="X1026" s="5">
        <v>1</v>
      </c>
      <c r="Y1026" s="5">
        <v>0</v>
      </c>
      <c r="Z1026" s="5">
        <v>0</v>
      </c>
      <c r="AA1026" s="5">
        <v>1</v>
      </c>
      <c r="AB1026" s="5">
        <v>0</v>
      </c>
    </row>
    <row r="1027" spans="1:206" x14ac:dyDescent="0.2">
      <c r="A1027" s="5">
        <v>50</v>
      </c>
      <c r="B1027" s="5">
        <v>0</v>
      </c>
      <c r="C1027" s="5">
        <v>0</v>
      </c>
      <c r="D1027" s="5">
        <v>1</v>
      </c>
      <c r="E1027" s="5">
        <v>217</v>
      </c>
      <c r="F1027" s="5">
        <f>ROUND(Source!AU1008,O1027)</f>
        <v>0</v>
      </c>
      <c r="G1027" s="5" t="s">
        <v>60</v>
      </c>
      <c r="H1027" s="5" t="s">
        <v>61</v>
      </c>
      <c r="I1027" s="5"/>
      <c r="J1027" s="5"/>
      <c r="K1027" s="5">
        <v>217</v>
      </c>
      <c r="L1027" s="5">
        <v>18</v>
      </c>
      <c r="M1027" s="5">
        <v>3</v>
      </c>
      <c r="N1027" s="5" t="s">
        <v>3</v>
      </c>
      <c r="O1027" s="5">
        <v>2</v>
      </c>
      <c r="P1027" s="5">
        <f>ROUND(Source!EM1008,O1027)</f>
        <v>0</v>
      </c>
      <c r="Q1027" s="5"/>
      <c r="R1027" s="5"/>
      <c r="S1027" s="5"/>
      <c r="T1027" s="5"/>
      <c r="U1027" s="5"/>
      <c r="V1027" s="5"/>
      <c r="W1027" s="5">
        <v>0</v>
      </c>
      <c r="X1027" s="5">
        <v>1</v>
      </c>
      <c r="Y1027" s="5">
        <v>0</v>
      </c>
      <c r="Z1027" s="5">
        <v>0</v>
      </c>
      <c r="AA1027" s="5">
        <v>1</v>
      </c>
      <c r="AB1027" s="5">
        <v>0</v>
      </c>
    </row>
    <row r="1028" spans="1:206" x14ac:dyDescent="0.2">
      <c r="A1028" s="5">
        <v>50</v>
      </c>
      <c r="B1028" s="5">
        <v>0</v>
      </c>
      <c r="C1028" s="5">
        <v>0</v>
      </c>
      <c r="D1028" s="5">
        <v>1</v>
      </c>
      <c r="E1028" s="5">
        <v>230</v>
      </c>
      <c r="F1028" s="5">
        <f>ROUND(Source!BA1008,O1028)</f>
        <v>0</v>
      </c>
      <c r="G1028" s="5" t="s">
        <v>62</v>
      </c>
      <c r="H1028" s="5" t="s">
        <v>63</v>
      </c>
      <c r="I1028" s="5"/>
      <c r="J1028" s="5"/>
      <c r="K1028" s="5">
        <v>230</v>
      </c>
      <c r="L1028" s="5">
        <v>19</v>
      </c>
      <c r="M1028" s="5">
        <v>3</v>
      </c>
      <c r="N1028" s="5" t="s">
        <v>3</v>
      </c>
      <c r="O1028" s="5">
        <v>2</v>
      </c>
      <c r="P1028" s="5">
        <f>ROUND(Source!ES1008,O1028)</f>
        <v>0</v>
      </c>
      <c r="Q1028" s="5"/>
      <c r="R1028" s="5"/>
      <c r="S1028" s="5"/>
      <c r="T1028" s="5"/>
      <c r="U1028" s="5"/>
      <c r="V1028" s="5"/>
      <c r="W1028" s="5">
        <v>0</v>
      </c>
      <c r="X1028" s="5">
        <v>1</v>
      </c>
      <c r="Y1028" s="5">
        <v>0</v>
      </c>
      <c r="Z1028" s="5">
        <v>0</v>
      </c>
      <c r="AA1028" s="5">
        <v>1</v>
      </c>
      <c r="AB1028" s="5">
        <v>0</v>
      </c>
    </row>
    <row r="1029" spans="1:206" x14ac:dyDescent="0.2">
      <c r="A1029" s="5">
        <v>50</v>
      </c>
      <c r="B1029" s="5">
        <v>0</v>
      </c>
      <c r="C1029" s="5">
        <v>0</v>
      </c>
      <c r="D1029" s="5">
        <v>1</v>
      </c>
      <c r="E1029" s="5">
        <v>206</v>
      </c>
      <c r="F1029" s="5">
        <f>ROUND(Source!T1008,O1029)</f>
        <v>0</v>
      </c>
      <c r="G1029" s="5" t="s">
        <v>64</v>
      </c>
      <c r="H1029" s="5" t="s">
        <v>65</v>
      </c>
      <c r="I1029" s="5"/>
      <c r="J1029" s="5"/>
      <c r="K1029" s="5">
        <v>206</v>
      </c>
      <c r="L1029" s="5">
        <v>20</v>
      </c>
      <c r="M1029" s="5">
        <v>3</v>
      </c>
      <c r="N1029" s="5" t="s">
        <v>3</v>
      </c>
      <c r="O1029" s="5">
        <v>2</v>
      </c>
      <c r="P1029" s="5">
        <f>ROUND(Source!DL1008,O1029)</f>
        <v>0</v>
      </c>
      <c r="Q1029" s="5"/>
      <c r="R1029" s="5"/>
      <c r="S1029" s="5"/>
      <c r="T1029" s="5"/>
      <c r="U1029" s="5"/>
      <c r="V1029" s="5"/>
      <c r="W1029" s="5">
        <v>0</v>
      </c>
      <c r="X1029" s="5">
        <v>1</v>
      </c>
      <c r="Y1029" s="5">
        <v>0</v>
      </c>
      <c r="Z1029" s="5">
        <v>0</v>
      </c>
      <c r="AA1029" s="5">
        <v>1</v>
      </c>
      <c r="AB1029" s="5">
        <v>0</v>
      </c>
    </row>
    <row r="1030" spans="1:206" x14ac:dyDescent="0.2">
      <c r="A1030" s="5">
        <v>50</v>
      </c>
      <c r="B1030" s="5">
        <v>0</v>
      </c>
      <c r="C1030" s="5">
        <v>0</v>
      </c>
      <c r="D1030" s="5">
        <v>1</v>
      </c>
      <c r="E1030" s="5">
        <v>207</v>
      </c>
      <c r="F1030" s="5">
        <f>Source!U1008</f>
        <v>14.566000000000001</v>
      </c>
      <c r="G1030" s="5" t="s">
        <v>66</v>
      </c>
      <c r="H1030" s="5" t="s">
        <v>67</v>
      </c>
      <c r="I1030" s="5"/>
      <c r="J1030" s="5"/>
      <c r="K1030" s="5">
        <v>207</v>
      </c>
      <c r="L1030" s="5">
        <v>21</v>
      </c>
      <c r="M1030" s="5">
        <v>3</v>
      </c>
      <c r="N1030" s="5" t="s">
        <v>3</v>
      </c>
      <c r="O1030" s="5">
        <v>-1</v>
      </c>
      <c r="P1030" s="5">
        <f>Source!DM1008</f>
        <v>14.566000000000001</v>
      </c>
      <c r="Q1030" s="5"/>
      <c r="R1030" s="5"/>
      <c r="S1030" s="5"/>
      <c r="T1030" s="5"/>
      <c r="U1030" s="5"/>
      <c r="V1030" s="5"/>
      <c r="W1030" s="5">
        <v>14.566000000000001</v>
      </c>
      <c r="X1030" s="5">
        <v>1</v>
      </c>
      <c r="Y1030" s="5">
        <v>14.566000000000001</v>
      </c>
      <c r="Z1030" s="5">
        <v>14.566000000000001</v>
      </c>
      <c r="AA1030" s="5">
        <v>1</v>
      </c>
      <c r="AB1030" s="5">
        <v>14.566000000000001</v>
      </c>
    </row>
    <row r="1031" spans="1:206" x14ac:dyDescent="0.2">
      <c r="A1031" s="5">
        <v>50</v>
      </c>
      <c r="B1031" s="5">
        <v>0</v>
      </c>
      <c r="C1031" s="5">
        <v>0</v>
      </c>
      <c r="D1031" s="5">
        <v>1</v>
      </c>
      <c r="E1031" s="5">
        <v>208</v>
      </c>
      <c r="F1031" s="5">
        <f>Source!V1008</f>
        <v>0</v>
      </c>
      <c r="G1031" s="5" t="s">
        <v>68</v>
      </c>
      <c r="H1031" s="5" t="s">
        <v>69</v>
      </c>
      <c r="I1031" s="5"/>
      <c r="J1031" s="5"/>
      <c r="K1031" s="5">
        <v>208</v>
      </c>
      <c r="L1031" s="5">
        <v>22</v>
      </c>
      <c r="M1031" s="5">
        <v>3</v>
      </c>
      <c r="N1031" s="5" t="s">
        <v>3</v>
      </c>
      <c r="O1031" s="5">
        <v>-1</v>
      </c>
      <c r="P1031" s="5">
        <f>Source!DN1008</f>
        <v>0</v>
      </c>
      <c r="Q1031" s="5"/>
      <c r="R1031" s="5"/>
      <c r="S1031" s="5"/>
      <c r="T1031" s="5"/>
      <c r="U1031" s="5"/>
      <c r="V1031" s="5"/>
      <c r="W1031" s="5">
        <v>0</v>
      </c>
      <c r="X1031" s="5">
        <v>1</v>
      </c>
      <c r="Y1031" s="5">
        <v>0</v>
      </c>
      <c r="Z1031" s="5">
        <v>0</v>
      </c>
      <c r="AA1031" s="5">
        <v>1</v>
      </c>
      <c r="AB1031" s="5">
        <v>0</v>
      </c>
    </row>
    <row r="1032" spans="1:206" x14ac:dyDescent="0.2">
      <c r="A1032" s="5">
        <v>50</v>
      </c>
      <c r="B1032" s="5">
        <v>0</v>
      </c>
      <c r="C1032" s="5">
        <v>0</v>
      </c>
      <c r="D1032" s="5">
        <v>1</v>
      </c>
      <c r="E1032" s="5">
        <v>209</v>
      </c>
      <c r="F1032" s="5">
        <f>ROUND(Source!W1008,O1032)</f>
        <v>0</v>
      </c>
      <c r="G1032" s="5" t="s">
        <v>70</v>
      </c>
      <c r="H1032" s="5" t="s">
        <v>71</v>
      </c>
      <c r="I1032" s="5"/>
      <c r="J1032" s="5"/>
      <c r="K1032" s="5">
        <v>209</v>
      </c>
      <c r="L1032" s="5">
        <v>23</v>
      </c>
      <c r="M1032" s="5">
        <v>3</v>
      </c>
      <c r="N1032" s="5" t="s">
        <v>3</v>
      </c>
      <c r="O1032" s="5">
        <v>2</v>
      </c>
      <c r="P1032" s="5">
        <f>ROUND(Source!DO1008,O1032)</f>
        <v>0</v>
      </c>
      <c r="Q1032" s="5"/>
      <c r="R1032" s="5"/>
      <c r="S1032" s="5"/>
      <c r="T1032" s="5"/>
      <c r="U1032" s="5"/>
      <c r="V1032" s="5"/>
      <c r="W1032" s="5">
        <v>0</v>
      </c>
      <c r="X1032" s="5">
        <v>1</v>
      </c>
      <c r="Y1032" s="5">
        <v>0</v>
      </c>
      <c r="Z1032" s="5">
        <v>0</v>
      </c>
      <c r="AA1032" s="5">
        <v>1</v>
      </c>
      <c r="AB1032" s="5">
        <v>0</v>
      </c>
    </row>
    <row r="1033" spans="1:206" x14ac:dyDescent="0.2">
      <c r="A1033" s="5">
        <v>50</v>
      </c>
      <c r="B1033" s="5">
        <v>0</v>
      </c>
      <c r="C1033" s="5">
        <v>0</v>
      </c>
      <c r="D1033" s="5">
        <v>1</v>
      </c>
      <c r="E1033" s="5">
        <v>233</v>
      </c>
      <c r="F1033" s="5">
        <f>ROUND(Source!BD1008,O1033)</f>
        <v>0</v>
      </c>
      <c r="G1033" s="5" t="s">
        <v>72</v>
      </c>
      <c r="H1033" s="5" t="s">
        <v>73</v>
      </c>
      <c r="I1033" s="5"/>
      <c r="J1033" s="5"/>
      <c r="K1033" s="5">
        <v>233</v>
      </c>
      <c r="L1033" s="5">
        <v>24</v>
      </c>
      <c r="M1033" s="5">
        <v>3</v>
      </c>
      <c r="N1033" s="5" t="s">
        <v>3</v>
      </c>
      <c r="O1033" s="5">
        <v>2</v>
      </c>
      <c r="P1033" s="5">
        <f>ROUND(Source!EV1008,O1033)</f>
        <v>0</v>
      </c>
      <c r="Q1033" s="5"/>
      <c r="R1033" s="5"/>
      <c r="S1033" s="5"/>
      <c r="T1033" s="5"/>
      <c r="U1033" s="5"/>
      <c r="V1033" s="5"/>
      <c r="W1033" s="5">
        <v>0</v>
      </c>
      <c r="X1033" s="5">
        <v>1</v>
      </c>
      <c r="Y1033" s="5">
        <v>0</v>
      </c>
      <c r="Z1033" s="5">
        <v>0</v>
      </c>
      <c r="AA1033" s="5">
        <v>1</v>
      </c>
      <c r="AB1033" s="5">
        <v>0</v>
      </c>
    </row>
    <row r="1034" spans="1:206" x14ac:dyDescent="0.2">
      <c r="A1034" s="5">
        <v>50</v>
      </c>
      <c r="B1034" s="5">
        <v>0</v>
      </c>
      <c r="C1034" s="5">
        <v>0</v>
      </c>
      <c r="D1034" s="5">
        <v>1</v>
      </c>
      <c r="E1034" s="5">
        <v>210</v>
      </c>
      <c r="F1034" s="5">
        <f>ROUND(Source!X1008,O1034)</f>
        <v>193.49</v>
      </c>
      <c r="G1034" s="5" t="s">
        <v>74</v>
      </c>
      <c r="H1034" s="5" t="s">
        <v>75</v>
      </c>
      <c r="I1034" s="5"/>
      <c r="J1034" s="5"/>
      <c r="K1034" s="5">
        <v>210</v>
      </c>
      <c r="L1034" s="5">
        <v>25</v>
      </c>
      <c r="M1034" s="5">
        <v>3</v>
      </c>
      <c r="N1034" s="5" t="s">
        <v>3</v>
      </c>
      <c r="O1034" s="5">
        <v>2</v>
      </c>
      <c r="P1034" s="5">
        <f>ROUND(Source!DP1008,O1034)</f>
        <v>4626.93</v>
      </c>
      <c r="Q1034" s="5"/>
      <c r="R1034" s="5"/>
      <c r="S1034" s="5"/>
      <c r="T1034" s="5"/>
      <c r="U1034" s="5"/>
      <c r="V1034" s="5"/>
      <c r="W1034" s="5">
        <v>193.49</v>
      </c>
      <c r="X1034" s="5">
        <v>1</v>
      </c>
      <c r="Y1034" s="5">
        <v>193.49</v>
      </c>
      <c r="Z1034" s="5">
        <v>4626.93</v>
      </c>
      <c r="AA1034" s="5">
        <v>1</v>
      </c>
      <c r="AB1034" s="5">
        <v>4626.93</v>
      </c>
    </row>
    <row r="1035" spans="1:206" x14ac:dyDescent="0.2">
      <c r="A1035" s="5">
        <v>50</v>
      </c>
      <c r="B1035" s="5">
        <v>0</v>
      </c>
      <c r="C1035" s="5">
        <v>0</v>
      </c>
      <c r="D1035" s="5">
        <v>1</v>
      </c>
      <c r="E1035" s="5">
        <v>211</v>
      </c>
      <c r="F1035" s="5">
        <f>ROUND(Source!Y1008,O1035)</f>
        <v>130.43</v>
      </c>
      <c r="G1035" s="5" t="s">
        <v>76</v>
      </c>
      <c r="H1035" s="5" t="s">
        <v>77</v>
      </c>
      <c r="I1035" s="5"/>
      <c r="J1035" s="5"/>
      <c r="K1035" s="5">
        <v>211</v>
      </c>
      <c r="L1035" s="5">
        <v>26</v>
      </c>
      <c r="M1035" s="5">
        <v>3</v>
      </c>
      <c r="N1035" s="5" t="s">
        <v>3</v>
      </c>
      <c r="O1035" s="5">
        <v>2</v>
      </c>
      <c r="P1035" s="5">
        <f>ROUND(Source!DQ1008,O1035)</f>
        <v>2170.7399999999998</v>
      </c>
      <c r="Q1035" s="5"/>
      <c r="R1035" s="5"/>
      <c r="S1035" s="5"/>
      <c r="T1035" s="5"/>
      <c r="U1035" s="5"/>
      <c r="V1035" s="5"/>
      <c r="W1035" s="5">
        <v>130.43</v>
      </c>
      <c r="X1035" s="5">
        <v>1</v>
      </c>
      <c r="Y1035" s="5">
        <v>130.43</v>
      </c>
      <c r="Z1035" s="5">
        <v>2170.7399999999998</v>
      </c>
      <c r="AA1035" s="5">
        <v>1</v>
      </c>
      <c r="AB1035" s="5">
        <v>2170.7399999999998</v>
      </c>
    </row>
    <row r="1036" spans="1:206" x14ac:dyDescent="0.2">
      <c r="A1036" s="5">
        <v>50</v>
      </c>
      <c r="B1036" s="5">
        <v>0</v>
      </c>
      <c r="C1036" s="5">
        <v>0</v>
      </c>
      <c r="D1036" s="5">
        <v>1</v>
      </c>
      <c r="E1036" s="5">
        <v>224</v>
      </c>
      <c r="F1036" s="5">
        <f>ROUND(Source!AR1008,O1036)</f>
        <v>510.07</v>
      </c>
      <c r="G1036" s="5" t="s">
        <v>78</v>
      </c>
      <c r="H1036" s="5" t="s">
        <v>79</v>
      </c>
      <c r="I1036" s="5"/>
      <c r="J1036" s="5"/>
      <c r="K1036" s="5">
        <v>224</v>
      </c>
      <c r="L1036" s="5">
        <v>27</v>
      </c>
      <c r="M1036" s="5">
        <v>3</v>
      </c>
      <c r="N1036" s="5" t="s">
        <v>3</v>
      </c>
      <c r="O1036" s="5">
        <v>2</v>
      </c>
      <c r="P1036" s="5">
        <f>ROUND(Source!EJ1008,O1036)</f>
        <v>12145.71</v>
      </c>
      <c r="Q1036" s="5"/>
      <c r="R1036" s="5"/>
      <c r="S1036" s="5"/>
      <c r="T1036" s="5"/>
      <c r="U1036" s="5"/>
      <c r="V1036" s="5"/>
      <c r="W1036" s="5">
        <v>510.07</v>
      </c>
      <c r="X1036" s="5">
        <v>1</v>
      </c>
      <c r="Y1036" s="5">
        <v>510.07</v>
      </c>
      <c r="Z1036" s="5">
        <v>12145.71</v>
      </c>
      <c r="AA1036" s="5">
        <v>1</v>
      </c>
      <c r="AB1036" s="5">
        <v>12145.71</v>
      </c>
    </row>
    <row r="1038" spans="1:206" x14ac:dyDescent="0.2">
      <c r="A1038" s="1">
        <v>4</v>
      </c>
      <c r="B1038" s="1">
        <v>1</v>
      </c>
      <c r="C1038" s="1"/>
      <c r="D1038" s="1">
        <f>ROW(A1093)</f>
        <v>1093</v>
      </c>
      <c r="E1038" s="1"/>
      <c r="F1038" s="1" t="s">
        <v>16</v>
      </c>
      <c r="G1038" s="1" t="s">
        <v>830</v>
      </c>
      <c r="H1038" s="1" t="s">
        <v>3</v>
      </c>
      <c r="I1038" s="1">
        <v>0</v>
      </c>
      <c r="J1038" s="1"/>
      <c r="K1038" s="1">
        <v>0</v>
      </c>
      <c r="L1038" s="1"/>
      <c r="M1038" s="1" t="s">
        <v>3</v>
      </c>
      <c r="N1038" s="1"/>
      <c r="O1038" s="1"/>
      <c r="P1038" s="1"/>
      <c r="Q1038" s="1"/>
      <c r="R1038" s="1"/>
      <c r="S1038" s="1">
        <v>0</v>
      </c>
      <c r="T1038" s="1">
        <v>0</v>
      </c>
      <c r="U1038" s="1" t="s">
        <v>3</v>
      </c>
      <c r="V1038" s="1">
        <v>0</v>
      </c>
      <c r="W1038" s="1"/>
      <c r="X1038" s="1"/>
      <c r="Y1038" s="1"/>
      <c r="Z1038" s="1"/>
      <c r="AA1038" s="1"/>
      <c r="AB1038" s="1" t="s">
        <v>3</v>
      </c>
      <c r="AC1038" s="1" t="s">
        <v>3</v>
      </c>
      <c r="AD1038" s="1" t="s">
        <v>3</v>
      </c>
      <c r="AE1038" s="1" t="s">
        <v>3</v>
      </c>
      <c r="AF1038" s="1" t="s">
        <v>3</v>
      </c>
      <c r="AG1038" s="1" t="s">
        <v>3</v>
      </c>
      <c r="AH1038" s="1"/>
      <c r="AI1038" s="1"/>
      <c r="AJ1038" s="1"/>
      <c r="AK1038" s="1"/>
      <c r="AL1038" s="1"/>
      <c r="AM1038" s="1"/>
      <c r="AN1038" s="1"/>
      <c r="AO1038" s="1"/>
      <c r="AP1038" s="1" t="s">
        <v>3</v>
      </c>
      <c r="AQ1038" s="1" t="s">
        <v>3</v>
      </c>
      <c r="AR1038" s="1" t="s">
        <v>3</v>
      </c>
      <c r="AS1038" s="1"/>
      <c r="AT1038" s="1"/>
      <c r="AU1038" s="1"/>
      <c r="AV1038" s="1"/>
      <c r="AW1038" s="1"/>
      <c r="AX1038" s="1"/>
      <c r="AY1038" s="1"/>
      <c r="AZ1038" s="1" t="s">
        <v>3</v>
      </c>
      <c r="BA1038" s="1"/>
      <c r="BB1038" s="1" t="s">
        <v>3</v>
      </c>
      <c r="BC1038" s="1" t="s">
        <v>3</v>
      </c>
      <c r="BD1038" s="1" t="s">
        <v>3</v>
      </c>
      <c r="BE1038" s="1" t="s">
        <v>3</v>
      </c>
      <c r="BF1038" s="1" t="s">
        <v>3</v>
      </c>
      <c r="BG1038" s="1" t="s">
        <v>3</v>
      </c>
      <c r="BH1038" s="1" t="s">
        <v>3</v>
      </c>
      <c r="BI1038" s="1" t="s">
        <v>3</v>
      </c>
      <c r="BJ1038" s="1" t="s">
        <v>3</v>
      </c>
      <c r="BK1038" s="1" t="s">
        <v>3</v>
      </c>
      <c r="BL1038" s="1" t="s">
        <v>3</v>
      </c>
      <c r="BM1038" s="1" t="s">
        <v>3</v>
      </c>
      <c r="BN1038" s="1" t="s">
        <v>3</v>
      </c>
      <c r="BO1038" s="1" t="s">
        <v>3</v>
      </c>
      <c r="BP1038" s="1" t="s">
        <v>3</v>
      </c>
      <c r="BQ1038" s="1"/>
      <c r="BR1038" s="1"/>
      <c r="BS1038" s="1"/>
      <c r="BT1038" s="1"/>
      <c r="BU1038" s="1"/>
      <c r="BV1038" s="1"/>
      <c r="BW1038" s="1"/>
      <c r="BX1038" s="1">
        <v>0</v>
      </c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>
        <v>0</v>
      </c>
    </row>
    <row r="1040" spans="1:206" x14ac:dyDescent="0.2">
      <c r="A1040" s="3">
        <v>52</v>
      </c>
      <c r="B1040" s="3">
        <f t="shared" ref="B1040:G1040" si="859">B1093</f>
        <v>1</v>
      </c>
      <c r="C1040" s="3">
        <f t="shared" si="859"/>
        <v>4</v>
      </c>
      <c r="D1040" s="3">
        <f t="shared" si="859"/>
        <v>1038</v>
      </c>
      <c r="E1040" s="3">
        <f t="shared" si="859"/>
        <v>0</v>
      </c>
      <c r="F1040" s="3" t="str">
        <f t="shared" si="859"/>
        <v>Новый раздел</v>
      </c>
      <c r="G1040" s="3" t="str">
        <f t="shared" si="859"/>
        <v>Внутренние сети В1, Т3, В2</v>
      </c>
      <c r="H1040" s="3"/>
      <c r="I1040" s="3"/>
      <c r="J1040" s="3"/>
      <c r="K1040" s="3"/>
      <c r="L1040" s="3"/>
      <c r="M1040" s="3"/>
      <c r="N1040" s="3"/>
      <c r="O1040" s="3">
        <f t="shared" ref="O1040:AT1040" si="860">O1093</f>
        <v>2514.34</v>
      </c>
      <c r="P1040" s="3">
        <f t="shared" si="860"/>
        <v>1835.97</v>
      </c>
      <c r="Q1040" s="3">
        <f t="shared" si="860"/>
        <v>53.72</v>
      </c>
      <c r="R1040" s="3">
        <f t="shared" si="860"/>
        <v>9.31</v>
      </c>
      <c r="S1040" s="3">
        <f t="shared" si="860"/>
        <v>624.65</v>
      </c>
      <c r="T1040" s="3">
        <f t="shared" si="860"/>
        <v>0</v>
      </c>
      <c r="U1040" s="3">
        <f t="shared" si="860"/>
        <v>49.635725000000008</v>
      </c>
      <c r="V1040" s="3">
        <f t="shared" si="860"/>
        <v>0</v>
      </c>
      <c r="W1040" s="3">
        <f t="shared" si="860"/>
        <v>0</v>
      </c>
      <c r="X1040" s="3">
        <f t="shared" si="860"/>
        <v>677.12</v>
      </c>
      <c r="Y1040" s="3">
        <f t="shared" si="860"/>
        <v>460.13</v>
      </c>
      <c r="Z1040" s="3">
        <f t="shared" si="860"/>
        <v>0</v>
      </c>
      <c r="AA1040" s="3">
        <f t="shared" si="860"/>
        <v>0</v>
      </c>
      <c r="AB1040" s="3">
        <f t="shared" si="860"/>
        <v>2514.34</v>
      </c>
      <c r="AC1040" s="3">
        <f t="shared" si="860"/>
        <v>1835.97</v>
      </c>
      <c r="AD1040" s="3">
        <f t="shared" si="860"/>
        <v>53.72</v>
      </c>
      <c r="AE1040" s="3">
        <f t="shared" si="860"/>
        <v>9.31</v>
      </c>
      <c r="AF1040" s="3">
        <f t="shared" si="860"/>
        <v>624.65</v>
      </c>
      <c r="AG1040" s="3">
        <f t="shared" si="860"/>
        <v>0</v>
      </c>
      <c r="AH1040" s="3">
        <f t="shared" si="860"/>
        <v>49.635725000000008</v>
      </c>
      <c r="AI1040" s="3">
        <f t="shared" si="860"/>
        <v>0</v>
      </c>
      <c r="AJ1040" s="3">
        <f t="shared" si="860"/>
        <v>0</v>
      </c>
      <c r="AK1040" s="3">
        <f t="shared" si="860"/>
        <v>677.12</v>
      </c>
      <c r="AL1040" s="3">
        <f t="shared" si="860"/>
        <v>460.13</v>
      </c>
      <c r="AM1040" s="3">
        <f t="shared" si="860"/>
        <v>0</v>
      </c>
      <c r="AN1040" s="3">
        <f t="shared" si="860"/>
        <v>0</v>
      </c>
      <c r="AO1040" s="3">
        <f t="shared" si="860"/>
        <v>0</v>
      </c>
      <c r="AP1040" s="3">
        <f t="shared" si="860"/>
        <v>0</v>
      </c>
      <c r="AQ1040" s="3">
        <f t="shared" si="860"/>
        <v>0</v>
      </c>
      <c r="AR1040" s="3">
        <f t="shared" si="860"/>
        <v>3667.89</v>
      </c>
      <c r="AS1040" s="3">
        <f t="shared" si="860"/>
        <v>3667.89</v>
      </c>
      <c r="AT1040" s="3">
        <f t="shared" si="860"/>
        <v>0</v>
      </c>
      <c r="AU1040" s="3">
        <f t="shared" ref="AU1040:BZ1040" si="861">AU1093</f>
        <v>0</v>
      </c>
      <c r="AV1040" s="3">
        <f t="shared" si="861"/>
        <v>1835.97</v>
      </c>
      <c r="AW1040" s="3">
        <f t="shared" si="861"/>
        <v>1835.97</v>
      </c>
      <c r="AX1040" s="3">
        <f t="shared" si="861"/>
        <v>0</v>
      </c>
      <c r="AY1040" s="3">
        <f t="shared" si="861"/>
        <v>1835.97</v>
      </c>
      <c r="AZ1040" s="3">
        <f t="shared" si="861"/>
        <v>0</v>
      </c>
      <c r="BA1040" s="3">
        <f t="shared" si="861"/>
        <v>0</v>
      </c>
      <c r="BB1040" s="3">
        <f t="shared" si="861"/>
        <v>0</v>
      </c>
      <c r="BC1040" s="3">
        <f t="shared" si="861"/>
        <v>0</v>
      </c>
      <c r="BD1040" s="3">
        <f t="shared" si="861"/>
        <v>0</v>
      </c>
      <c r="BE1040" s="3">
        <f t="shared" si="861"/>
        <v>0</v>
      </c>
      <c r="BF1040" s="3">
        <f t="shared" si="861"/>
        <v>0</v>
      </c>
      <c r="BG1040" s="3">
        <f t="shared" si="861"/>
        <v>0</v>
      </c>
      <c r="BH1040" s="3">
        <f t="shared" si="861"/>
        <v>0</v>
      </c>
      <c r="BI1040" s="3">
        <f t="shared" si="861"/>
        <v>0</v>
      </c>
      <c r="BJ1040" s="3">
        <f t="shared" si="861"/>
        <v>0</v>
      </c>
      <c r="BK1040" s="3">
        <f t="shared" si="861"/>
        <v>0</v>
      </c>
      <c r="BL1040" s="3">
        <f t="shared" si="861"/>
        <v>0</v>
      </c>
      <c r="BM1040" s="3">
        <f t="shared" si="861"/>
        <v>0</v>
      </c>
      <c r="BN1040" s="3">
        <f t="shared" si="861"/>
        <v>0</v>
      </c>
      <c r="BO1040" s="3">
        <f t="shared" si="861"/>
        <v>0</v>
      </c>
      <c r="BP1040" s="3">
        <f t="shared" si="861"/>
        <v>0</v>
      </c>
      <c r="BQ1040" s="3">
        <f t="shared" si="861"/>
        <v>0</v>
      </c>
      <c r="BR1040" s="3">
        <f t="shared" si="861"/>
        <v>0</v>
      </c>
      <c r="BS1040" s="3">
        <f t="shared" si="861"/>
        <v>0</v>
      </c>
      <c r="BT1040" s="3">
        <f t="shared" si="861"/>
        <v>0</v>
      </c>
      <c r="BU1040" s="3">
        <f t="shared" si="861"/>
        <v>0</v>
      </c>
      <c r="BV1040" s="3">
        <f t="shared" si="861"/>
        <v>0</v>
      </c>
      <c r="BW1040" s="3">
        <f t="shared" si="861"/>
        <v>0</v>
      </c>
      <c r="BX1040" s="3">
        <f t="shared" si="861"/>
        <v>0</v>
      </c>
      <c r="BY1040" s="3">
        <f t="shared" si="861"/>
        <v>0</v>
      </c>
      <c r="BZ1040" s="3">
        <f t="shared" si="861"/>
        <v>0</v>
      </c>
      <c r="CA1040" s="3">
        <f t="shared" ref="CA1040:DF1040" si="862">CA1093</f>
        <v>3667.89</v>
      </c>
      <c r="CB1040" s="3">
        <f t="shared" si="862"/>
        <v>3667.89</v>
      </c>
      <c r="CC1040" s="3">
        <f t="shared" si="862"/>
        <v>0</v>
      </c>
      <c r="CD1040" s="3">
        <f t="shared" si="862"/>
        <v>0</v>
      </c>
      <c r="CE1040" s="3">
        <f t="shared" si="862"/>
        <v>1835.97</v>
      </c>
      <c r="CF1040" s="3">
        <f t="shared" si="862"/>
        <v>1835.97</v>
      </c>
      <c r="CG1040" s="3">
        <f t="shared" si="862"/>
        <v>0</v>
      </c>
      <c r="CH1040" s="3">
        <f t="shared" si="862"/>
        <v>1835.97</v>
      </c>
      <c r="CI1040" s="3">
        <f t="shared" si="862"/>
        <v>0</v>
      </c>
      <c r="CJ1040" s="3">
        <f t="shared" si="862"/>
        <v>0</v>
      </c>
      <c r="CK1040" s="3">
        <f t="shared" si="862"/>
        <v>0</v>
      </c>
      <c r="CL1040" s="3">
        <f t="shared" si="862"/>
        <v>0</v>
      </c>
      <c r="CM1040" s="3">
        <f t="shared" si="862"/>
        <v>0</v>
      </c>
      <c r="CN1040" s="3">
        <f t="shared" si="862"/>
        <v>0</v>
      </c>
      <c r="CO1040" s="3">
        <f t="shared" si="862"/>
        <v>0</v>
      </c>
      <c r="CP1040" s="3">
        <f t="shared" si="862"/>
        <v>0</v>
      </c>
      <c r="CQ1040" s="3">
        <f t="shared" si="862"/>
        <v>0</v>
      </c>
      <c r="CR1040" s="3">
        <f t="shared" si="862"/>
        <v>0</v>
      </c>
      <c r="CS1040" s="3">
        <f t="shared" si="862"/>
        <v>0</v>
      </c>
      <c r="CT1040" s="3">
        <f t="shared" si="862"/>
        <v>0</v>
      </c>
      <c r="CU1040" s="3">
        <f t="shared" si="862"/>
        <v>0</v>
      </c>
      <c r="CV1040" s="3">
        <f t="shared" si="862"/>
        <v>0</v>
      </c>
      <c r="CW1040" s="3">
        <f t="shared" si="862"/>
        <v>0</v>
      </c>
      <c r="CX1040" s="3">
        <f t="shared" si="862"/>
        <v>0</v>
      </c>
      <c r="CY1040" s="3">
        <f t="shared" si="862"/>
        <v>0</v>
      </c>
      <c r="CZ1040" s="3">
        <f t="shared" si="862"/>
        <v>0</v>
      </c>
      <c r="DA1040" s="3">
        <f t="shared" si="862"/>
        <v>0</v>
      </c>
      <c r="DB1040" s="3">
        <f t="shared" si="862"/>
        <v>0</v>
      </c>
      <c r="DC1040" s="3">
        <f t="shared" si="862"/>
        <v>0</v>
      </c>
      <c r="DD1040" s="3">
        <f t="shared" si="862"/>
        <v>0</v>
      </c>
      <c r="DE1040" s="3">
        <f t="shared" si="862"/>
        <v>0</v>
      </c>
      <c r="DF1040" s="3">
        <f t="shared" si="862"/>
        <v>0</v>
      </c>
      <c r="DG1040" s="4">
        <f t="shared" ref="DG1040:EL1040" si="863">DG1093</f>
        <v>36907.599999999999</v>
      </c>
      <c r="DH1040" s="4">
        <f t="shared" si="863"/>
        <v>18127.240000000002</v>
      </c>
      <c r="DI1040" s="4">
        <f t="shared" si="863"/>
        <v>646.77</v>
      </c>
      <c r="DJ1040" s="4">
        <f t="shared" si="863"/>
        <v>270.27</v>
      </c>
      <c r="DK1040" s="4">
        <f t="shared" si="863"/>
        <v>18133.59</v>
      </c>
      <c r="DL1040" s="4">
        <f t="shared" si="863"/>
        <v>0</v>
      </c>
      <c r="DM1040" s="4">
        <f t="shared" si="863"/>
        <v>49.635725000000008</v>
      </c>
      <c r="DN1040" s="4">
        <f t="shared" si="863"/>
        <v>0</v>
      </c>
      <c r="DO1040" s="4">
        <f t="shared" si="863"/>
        <v>0</v>
      </c>
      <c r="DP1040" s="4">
        <f t="shared" si="863"/>
        <v>16091.11</v>
      </c>
      <c r="DQ1040" s="4">
        <f t="shared" si="863"/>
        <v>7434.78</v>
      </c>
      <c r="DR1040" s="4">
        <f t="shared" si="863"/>
        <v>0</v>
      </c>
      <c r="DS1040" s="4">
        <f t="shared" si="863"/>
        <v>0</v>
      </c>
      <c r="DT1040" s="4">
        <f t="shared" si="863"/>
        <v>36907.599999999999</v>
      </c>
      <c r="DU1040" s="4">
        <f t="shared" si="863"/>
        <v>18127.240000000002</v>
      </c>
      <c r="DV1040" s="4">
        <f t="shared" si="863"/>
        <v>646.77</v>
      </c>
      <c r="DW1040" s="4">
        <f t="shared" si="863"/>
        <v>270.27</v>
      </c>
      <c r="DX1040" s="4">
        <f t="shared" si="863"/>
        <v>18133.59</v>
      </c>
      <c r="DY1040" s="4">
        <f t="shared" si="863"/>
        <v>0</v>
      </c>
      <c r="DZ1040" s="4">
        <f t="shared" si="863"/>
        <v>49.635725000000008</v>
      </c>
      <c r="EA1040" s="4">
        <f t="shared" si="863"/>
        <v>0</v>
      </c>
      <c r="EB1040" s="4">
        <f t="shared" si="863"/>
        <v>0</v>
      </c>
      <c r="EC1040" s="4">
        <f t="shared" si="863"/>
        <v>16091.11</v>
      </c>
      <c r="ED1040" s="4">
        <f t="shared" si="863"/>
        <v>7434.78</v>
      </c>
      <c r="EE1040" s="4">
        <f t="shared" si="863"/>
        <v>0</v>
      </c>
      <c r="EF1040" s="4">
        <f t="shared" si="863"/>
        <v>0</v>
      </c>
      <c r="EG1040" s="4">
        <f t="shared" si="863"/>
        <v>0</v>
      </c>
      <c r="EH1040" s="4">
        <f t="shared" si="863"/>
        <v>0</v>
      </c>
      <c r="EI1040" s="4">
        <f t="shared" si="863"/>
        <v>0</v>
      </c>
      <c r="EJ1040" s="4">
        <f t="shared" si="863"/>
        <v>60865.919999999998</v>
      </c>
      <c r="EK1040" s="4">
        <f t="shared" si="863"/>
        <v>60865.919999999998</v>
      </c>
      <c r="EL1040" s="4">
        <f t="shared" si="863"/>
        <v>0</v>
      </c>
      <c r="EM1040" s="4">
        <f t="shared" ref="EM1040:FR1040" si="864">EM1093</f>
        <v>0</v>
      </c>
      <c r="EN1040" s="4">
        <f t="shared" si="864"/>
        <v>18127.240000000002</v>
      </c>
      <c r="EO1040" s="4">
        <f t="shared" si="864"/>
        <v>18127.240000000002</v>
      </c>
      <c r="EP1040" s="4">
        <f t="shared" si="864"/>
        <v>0</v>
      </c>
      <c r="EQ1040" s="4">
        <f t="shared" si="864"/>
        <v>18127.240000000002</v>
      </c>
      <c r="ER1040" s="4">
        <f t="shared" si="864"/>
        <v>0</v>
      </c>
      <c r="ES1040" s="4">
        <f t="shared" si="864"/>
        <v>0</v>
      </c>
      <c r="ET1040" s="4">
        <f t="shared" si="864"/>
        <v>0</v>
      </c>
      <c r="EU1040" s="4">
        <f t="shared" si="864"/>
        <v>0</v>
      </c>
      <c r="EV1040" s="4">
        <f t="shared" si="864"/>
        <v>0</v>
      </c>
      <c r="EW1040" s="4">
        <f t="shared" si="864"/>
        <v>0</v>
      </c>
      <c r="EX1040" s="4">
        <f t="shared" si="864"/>
        <v>0</v>
      </c>
      <c r="EY1040" s="4">
        <f t="shared" si="864"/>
        <v>0</v>
      </c>
      <c r="EZ1040" s="4">
        <f t="shared" si="864"/>
        <v>0</v>
      </c>
      <c r="FA1040" s="4">
        <f t="shared" si="864"/>
        <v>0</v>
      </c>
      <c r="FB1040" s="4">
        <f t="shared" si="864"/>
        <v>0</v>
      </c>
      <c r="FC1040" s="4">
        <f t="shared" si="864"/>
        <v>0</v>
      </c>
      <c r="FD1040" s="4">
        <f t="shared" si="864"/>
        <v>0</v>
      </c>
      <c r="FE1040" s="4">
        <f t="shared" si="864"/>
        <v>0</v>
      </c>
      <c r="FF1040" s="4">
        <f t="shared" si="864"/>
        <v>0</v>
      </c>
      <c r="FG1040" s="4">
        <f t="shared" si="864"/>
        <v>0</v>
      </c>
      <c r="FH1040" s="4">
        <f t="shared" si="864"/>
        <v>0</v>
      </c>
      <c r="FI1040" s="4">
        <f t="shared" si="864"/>
        <v>0</v>
      </c>
      <c r="FJ1040" s="4">
        <f t="shared" si="864"/>
        <v>0</v>
      </c>
      <c r="FK1040" s="4">
        <f t="shared" si="864"/>
        <v>0</v>
      </c>
      <c r="FL1040" s="4">
        <f t="shared" si="864"/>
        <v>0</v>
      </c>
      <c r="FM1040" s="4">
        <f t="shared" si="864"/>
        <v>0</v>
      </c>
      <c r="FN1040" s="4">
        <f t="shared" si="864"/>
        <v>0</v>
      </c>
      <c r="FO1040" s="4">
        <f t="shared" si="864"/>
        <v>0</v>
      </c>
      <c r="FP1040" s="4">
        <f t="shared" si="864"/>
        <v>0</v>
      </c>
      <c r="FQ1040" s="4">
        <f t="shared" si="864"/>
        <v>0</v>
      </c>
      <c r="FR1040" s="4">
        <f t="shared" si="864"/>
        <v>0</v>
      </c>
      <c r="FS1040" s="4">
        <f t="shared" ref="FS1040:GX1040" si="865">FS1093</f>
        <v>60865.919999999998</v>
      </c>
      <c r="FT1040" s="4">
        <f t="shared" si="865"/>
        <v>60865.919999999998</v>
      </c>
      <c r="FU1040" s="4">
        <f t="shared" si="865"/>
        <v>0</v>
      </c>
      <c r="FV1040" s="4">
        <f t="shared" si="865"/>
        <v>0</v>
      </c>
      <c r="FW1040" s="4">
        <f t="shared" si="865"/>
        <v>18127.240000000002</v>
      </c>
      <c r="FX1040" s="4">
        <f t="shared" si="865"/>
        <v>18127.240000000002</v>
      </c>
      <c r="FY1040" s="4">
        <f t="shared" si="865"/>
        <v>0</v>
      </c>
      <c r="FZ1040" s="4">
        <f t="shared" si="865"/>
        <v>18127.240000000002</v>
      </c>
      <c r="GA1040" s="4">
        <f t="shared" si="865"/>
        <v>0</v>
      </c>
      <c r="GB1040" s="4">
        <f t="shared" si="865"/>
        <v>0</v>
      </c>
      <c r="GC1040" s="4">
        <f t="shared" si="865"/>
        <v>0</v>
      </c>
      <c r="GD1040" s="4">
        <f t="shared" si="865"/>
        <v>0</v>
      </c>
      <c r="GE1040" s="4">
        <f t="shared" si="865"/>
        <v>0</v>
      </c>
      <c r="GF1040" s="4">
        <f t="shared" si="865"/>
        <v>0</v>
      </c>
      <c r="GG1040" s="4">
        <f t="shared" si="865"/>
        <v>0</v>
      </c>
      <c r="GH1040" s="4">
        <f t="shared" si="865"/>
        <v>0</v>
      </c>
      <c r="GI1040" s="4">
        <f t="shared" si="865"/>
        <v>0</v>
      </c>
      <c r="GJ1040" s="4">
        <f t="shared" si="865"/>
        <v>0</v>
      </c>
      <c r="GK1040" s="4">
        <f t="shared" si="865"/>
        <v>0</v>
      </c>
      <c r="GL1040" s="4">
        <f t="shared" si="865"/>
        <v>0</v>
      </c>
      <c r="GM1040" s="4">
        <f t="shared" si="865"/>
        <v>0</v>
      </c>
      <c r="GN1040" s="4">
        <f t="shared" si="865"/>
        <v>0</v>
      </c>
      <c r="GO1040" s="4">
        <f t="shared" si="865"/>
        <v>0</v>
      </c>
      <c r="GP1040" s="4">
        <f t="shared" si="865"/>
        <v>0</v>
      </c>
      <c r="GQ1040" s="4">
        <f t="shared" si="865"/>
        <v>0</v>
      </c>
      <c r="GR1040" s="4">
        <f t="shared" si="865"/>
        <v>0</v>
      </c>
      <c r="GS1040" s="4">
        <f t="shared" si="865"/>
        <v>0</v>
      </c>
      <c r="GT1040" s="4">
        <f t="shared" si="865"/>
        <v>0</v>
      </c>
      <c r="GU1040" s="4">
        <f t="shared" si="865"/>
        <v>0</v>
      </c>
      <c r="GV1040" s="4">
        <f t="shared" si="865"/>
        <v>0</v>
      </c>
      <c r="GW1040" s="4">
        <f t="shared" si="865"/>
        <v>0</v>
      </c>
      <c r="GX1040" s="4">
        <f t="shared" si="865"/>
        <v>0</v>
      </c>
    </row>
    <row r="1042" spans="1:255" x14ac:dyDescent="0.2">
      <c r="A1042" s="2">
        <v>17</v>
      </c>
      <c r="B1042" s="2">
        <v>1</v>
      </c>
      <c r="C1042" s="2">
        <f>ROW(SmtRes!A851)</f>
        <v>851</v>
      </c>
      <c r="D1042" s="2">
        <f>ROW(EtalonRes!A824)</f>
        <v>824</v>
      </c>
      <c r="E1042" s="2" t="s">
        <v>116</v>
      </c>
      <c r="F1042" s="2" t="s">
        <v>818</v>
      </c>
      <c r="G1042" s="2" t="s">
        <v>819</v>
      </c>
      <c r="H1042" s="2" t="s">
        <v>820</v>
      </c>
      <c r="I1042" s="2">
        <v>0.2</v>
      </c>
      <c r="J1042" s="2">
        <v>0</v>
      </c>
      <c r="K1042" s="2">
        <v>0.2</v>
      </c>
      <c r="L1042" s="2"/>
      <c r="M1042" s="2"/>
      <c r="N1042" s="2"/>
      <c r="O1042" s="2">
        <f t="shared" ref="O1042:O1073" si="866">ROUND(CP1042,2)</f>
        <v>532.91999999999996</v>
      </c>
      <c r="P1042" s="2">
        <f t="shared" ref="P1042:P1073" si="867">ROUND((ROUND((AC1042*AW1042*I1042),2)*BC1042),2)</f>
        <v>47.56</v>
      </c>
      <c r="Q1042" s="2">
        <f>(ROUND((ROUND((((ET1042*1.25))*AV1042*I1042),2)*BB1042),2)+ROUND((ROUND(((AE1042-((EU1042*1.25)))*AV1042*I1042),2)*BS1042),2))</f>
        <v>9.33</v>
      </c>
      <c r="R1042" s="2">
        <f t="shared" ref="R1042:R1073" si="868">ROUND((ROUND((AE1042*AV1042*I1042),2)*BS1042),2)</f>
        <v>0.88</v>
      </c>
      <c r="S1042" s="2">
        <f t="shared" ref="S1042:S1073" si="869">ROUND((ROUND((AF1042*AV1042*I1042),2)*BA1042),2)</f>
        <v>476.03</v>
      </c>
      <c r="T1042" s="2">
        <f t="shared" ref="T1042:T1073" si="870">ROUND(CU1042*I1042,2)</f>
        <v>0</v>
      </c>
      <c r="U1042" s="2">
        <f t="shared" ref="U1042:U1073" si="871">CV1042*I1042</f>
        <v>37.72</v>
      </c>
      <c r="V1042" s="2">
        <f t="shared" ref="V1042:V1073" si="872">CW1042*I1042</f>
        <v>0</v>
      </c>
      <c r="W1042" s="2">
        <f t="shared" ref="W1042:W1073" si="873">ROUND(CX1042*I1042,2)</f>
        <v>0</v>
      </c>
      <c r="X1042" s="2">
        <f t="shared" ref="X1042:X1073" si="874">ROUND(CY1042,2)</f>
        <v>523.63</v>
      </c>
      <c r="Y1042" s="2">
        <f t="shared" ref="Y1042:Y1073" si="875">ROUND(CZ1042,2)</f>
        <v>352.26</v>
      </c>
      <c r="Z1042" s="2"/>
      <c r="AA1042" s="2">
        <v>129761636</v>
      </c>
      <c r="AB1042" s="2">
        <f t="shared" ref="AB1042:AB1073" si="876">ROUND((AC1042+AD1042+AF1042),6)</f>
        <v>2664.5920000000001</v>
      </c>
      <c r="AC1042" s="2">
        <f t="shared" ref="AC1042:AC1073" si="877">ROUND((ES1042),6)</f>
        <v>237.81</v>
      </c>
      <c r="AD1042" s="2">
        <f>ROUND(((((ET1042*1.25))-((EU1042*1.25)))+AE1042),6)</f>
        <v>46.65</v>
      </c>
      <c r="AE1042" s="2">
        <f>ROUND(((EU1042*1.25)),6)</f>
        <v>4.4000000000000004</v>
      </c>
      <c r="AF1042" s="2">
        <f>ROUND(((EV1042*1.15)),6)</f>
        <v>2380.1320000000001</v>
      </c>
      <c r="AG1042" s="2">
        <f t="shared" ref="AG1042:AG1073" si="878">ROUND((AP1042),6)</f>
        <v>0</v>
      </c>
      <c r="AH1042" s="2">
        <f>((EW1042*1.15))</f>
        <v>188.6</v>
      </c>
      <c r="AI1042" s="2">
        <f>((EX1042*1.25))</f>
        <v>0</v>
      </c>
      <c r="AJ1042" s="2">
        <f t="shared" ref="AJ1042:AJ1073" si="879">(AS1042)</f>
        <v>0</v>
      </c>
      <c r="AK1042" s="2">
        <v>2344.81</v>
      </c>
      <c r="AL1042" s="2">
        <v>237.81</v>
      </c>
      <c r="AM1042" s="2">
        <v>37.32</v>
      </c>
      <c r="AN1042" s="2">
        <v>3.52</v>
      </c>
      <c r="AO1042" s="2">
        <v>2069.6799999999998</v>
      </c>
      <c r="AP1042" s="2">
        <v>0</v>
      </c>
      <c r="AQ1042" s="2">
        <v>164</v>
      </c>
      <c r="AR1042" s="2">
        <v>0</v>
      </c>
      <c r="AS1042" s="2">
        <v>0</v>
      </c>
      <c r="AT1042" s="2">
        <v>110</v>
      </c>
      <c r="AU1042" s="2">
        <v>74</v>
      </c>
      <c r="AV1042" s="2">
        <v>1</v>
      </c>
      <c r="AW1042" s="2">
        <v>1</v>
      </c>
      <c r="AX1042" s="2"/>
      <c r="AY1042" s="2"/>
      <c r="AZ1042" s="2">
        <v>1</v>
      </c>
      <c r="BA1042" s="2">
        <v>1</v>
      </c>
      <c r="BB1042" s="2">
        <v>1</v>
      </c>
      <c r="BC1042" s="2">
        <v>1</v>
      </c>
      <c r="BD1042" s="2" t="s">
        <v>3</v>
      </c>
      <c r="BE1042" s="2" t="s">
        <v>3</v>
      </c>
      <c r="BF1042" s="2" t="s">
        <v>3</v>
      </c>
      <c r="BG1042" s="2" t="s">
        <v>3</v>
      </c>
      <c r="BH1042" s="2">
        <v>0</v>
      </c>
      <c r="BI1042" s="2">
        <v>1</v>
      </c>
      <c r="BJ1042" s="2" t="s">
        <v>821</v>
      </c>
      <c r="BK1042" s="2"/>
      <c r="BL1042" s="2"/>
      <c r="BM1042" s="2">
        <v>1623</v>
      </c>
      <c r="BN1042" s="2">
        <v>0</v>
      </c>
      <c r="BO1042" s="2" t="s">
        <v>3</v>
      </c>
      <c r="BP1042" s="2">
        <v>0</v>
      </c>
      <c r="BQ1042" s="2">
        <v>30</v>
      </c>
      <c r="BR1042" s="2">
        <v>0</v>
      </c>
      <c r="BS1042" s="2">
        <v>1</v>
      </c>
      <c r="BT1042" s="2">
        <v>1</v>
      </c>
      <c r="BU1042" s="2">
        <v>1</v>
      </c>
      <c r="BV1042" s="2">
        <v>1</v>
      </c>
      <c r="BW1042" s="2">
        <v>1</v>
      </c>
      <c r="BX1042" s="2">
        <v>1</v>
      </c>
      <c r="BY1042" s="2" t="s">
        <v>3</v>
      </c>
      <c r="BZ1042" s="2">
        <v>110</v>
      </c>
      <c r="CA1042" s="2">
        <v>74</v>
      </c>
      <c r="CB1042" s="2" t="s">
        <v>3</v>
      </c>
      <c r="CC1042" s="2"/>
      <c r="CD1042" s="2"/>
      <c r="CE1042" s="2">
        <v>30</v>
      </c>
      <c r="CF1042" s="2">
        <v>0</v>
      </c>
      <c r="CG1042" s="2">
        <v>0</v>
      </c>
      <c r="CH1042" s="2"/>
      <c r="CI1042" s="2"/>
      <c r="CJ1042" s="2"/>
      <c r="CK1042" s="2"/>
      <c r="CL1042" s="2"/>
      <c r="CM1042" s="2">
        <v>0</v>
      </c>
      <c r="CN1042" s="2" t="s">
        <v>1559</v>
      </c>
      <c r="CO1042" s="2">
        <v>0</v>
      </c>
      <c r="CP1042" s="2">
        <f t="shared" ref="CP1042:CP1073" si="880">(P1042+Q1042+S1042)</f>
        <v>532.91999999999996</v>
      </c>
      <c r="CQ1042" s="2">
        <f t="shared" ref="CQ1042:CQ1073" si="881">ROUND((ROUND((AC1042*AW1042*1),2)*BC1042),2)</f>
        <v>237.81</v>
      </c>
      <c r="CR1042" s="2">
        <f>(ROUND((ROUND((((ET1042*1.25))*AV1042*1),2)*BB1042),2)+ROUND((ROUND(((AE1042-((EU1042*1.25)))*AV1042*1),2)*BS1042),2))</f>
        <v>46.65</v>
      </c>
      <c r="CS1042" s="2">
        <f t="shared" ref="CS1042:CS1073" si="882">ROUND((ROUND((AE1042*AV1042*1),2)*BS1042),2)</f>
        <v>4.4000000000000004</v>
      </c>
      <c r="CT1042" s="2">
        <f t="shared" ref="CT1042:CT1073" si="883">ROUND((ROUND((AF1042*AV1042*1),2)*BA1042),2)</f>
        <v>2380.13</v>
      </c>
      <c r="CU1042" s="2">
        <f t="shared" ref="CU1042:CU1073" si="884">AG1042</f>
        <v>0</v>
      </c>
      <c r="CV1042" s="2">
        <f t="shared" ref="CV1042:CV1073" si="885">(AH1042*AV1042)</f>
        <v>188.6</v>
      </c>
      <c r="CW1042" s="2">
        <f t="shared" ref="CW1042:CW1073" si="886">AI1042</f>
        <v>0</v>
      </c>
      <c r="CX1042" s="2">
        <f t="shared" ref="CX1042:CX1073" si="887">AJ1042</f>
        <v>0</v>
      </c>
      <c r="CY1042" s="2">
        <f>((S1042*BZ1042)/100)</f>
        <v>523.63299999999992</v>
      </c>
      <c r="CZ1042" s="2">
        <f>((S1042*CA1042)/100)</f>
        <v>352.26220000000001</v>
      </c>
      <c r="DA1042" s="2"/>
      <c r="DB1042" s="2"/>
      <c r="DC1042" s="2" t="s">
        <v>3</v>
      </c>
      <c r="DD1042" s="2" t="s">
        <v>3</v>
      </c>
      <c r="DE1042" s="2" t="s">
        <v>86</v>
      </c>
      <c r="DF1042" s="2" t="s">
        <v>86</v>
      </c>
      <c r="DG1042" s="2" t="s">
        <v>87</v>
      </c>
      <c r="DH1042" s="2" t="s">
        <v>3</v>
      </c>
      <c r="DI1042" s="2" t="s">
        <v>87</v>
      </c>
      <c r="DJ1042" s="2" t="s">
        <v>86</v>
      </c>
      <c r="DK1042" s="2" t="s">
        <v>3</v>
      </c>
      <c r="DL1042" s="2" t="s">
        <v>3</v>
      </c>
      <c r="DM1042" s="2" t="s">
        <v>3</v>
      </c>
      <c r="DN1042" s="2">
        <v>0</v>
      </c>
      <c r="DO1042" s="2">
        <v>0</v>
      </c>
      <c r="DP1042" s="2">
        <v>1</v>
      </c>
      <c r="DQ1042" s="2">
        <v>1</v>
      </c>
      <c r="DR1042" s="2"/>
      <c r="DS1042" s="2"/>
      <c r="DT1042" s="2"/>
      <c r="DU1042" s="2">
        <v>1003</v>
      </c>
      <c r="DV1042" s="2" t="s">
        <v>820</v>
      </c>
      <c r="DW1042" s="2" t="s">
        <v>820</v>
      </c>
      <c r="DX1042" s="2">
        <v>100</v>
      </c>
      <c r="DY1042" s="2"/>
      <c r="DZ1042" s="2" t="s">
        <v>3</v>
      </c>
      <c r="EA1042" s="2" t="s">
        <v>3</v>
      </c>
      <c r="EB1042" s="2" t="s">
        <v>3</v>
      </c>
      <c r="EC1042" s="2" t="s">
        <v>3</v>
      </c>
      <c r="ED1042" s="2"/>
      <c r="EE1042" s="2">
        <v>126053084</v>
      </c>
      <c r="EF1042" s="2">
        <v>30</v>
      </c>
      <c r="EG1042" s="2" t="s">
        <v>23</v>
      </c>
      <c r="EH1042" s="2">
        <v>0</v>
      </c>
      <c r="EI1042" s="2" t="s">
        <v>3</v>
      </c>
      <c r="EJ1042" s="2">
        <v>1</v>
      </c>
      <c r="EK1042" s="2">
        <v>1623</v>
      </c>
      <c r="EL1042" s="2" t="s">
        <v>824</v>
      </c>
      <c r="EM1042" s="2" t="s">
        <v>825</v>
      </c>
      <c r="EN1042" s="2"/>
      <c r="EO1042" s="2" t="s">
        <v>90</v>
      </c>
      <c r="EP1042" s="2"/>
      <c r="EQ1042" s="2">
        <v>131072</v>
      </c>
      <c r="ER1042" s="2">
        <v>2344.81</v>
      </c>
      <c r="ES1042" s="2">
        <v>237.81</v>
      </c>
      <c r="ET1042" s="2">
        <v>37.32</v>
      </c>
      <c r="EU1042" s="2">
        <v>3.52</v>
      </c>
      <c r="EV1042" s="2">
        <v>2069.6799999999998</v>
      </c>
      <c r="EW1042" s="2">
        <v>164</v>
      </c>
      <c r="EX1042" s="2">
        <v>0</v>
      </c>
      <c r="EY1042" s="2">
        <v>0</v>
      </c>
      <c r="EZ1042" s="2"/>
      <c r="FA1042" s="2"/>
      <c r="FB1042" s="2"/>
      <c r="FC1042" s="2"/>
      <c r="FD1042" s="2"/>
      <c r="FE1042" s="2"/>
      <c r="FF1042" s="2"/>
      <c r="FG1042" s="2"/>
      <c r="FH1042" s="2"/>
      <c r="FI1042" s="2"/>
      <c r="FJ1042" s="2"/>
      <c r="FK1042" s="2"/>
      <c r="FL1042" s="2"/>
      <c r="FM1042" s="2"/>
      <c r="FN1042" s="2"/>
      <c r="FO1042" s="2"/>
      <c r="FP1042" s="2"/>
      <c r="FQ1042" s="2">
        <v>0</v>
      </c>
      <c r="FR1042" s="2">
        <f t="shared" ref="FR1042:FR1073" si="888">ROUND(IF(AND(BH1042=3,BI1042=3),P1042,0),2)</f>
        <v>0</v>
      </c>
      <c r="FS1042" s="2">
        <v>0</v>
      </c>
      <c r="FT1042" s="2"/>
      <c r="FU1042" s="2"/>
      <c r="FV1042" s="2"/>
      <c r="FW1042" s="2"/>
      <c r="FX1042" s="2">
        <v>110</v>
      </c>
      <c r="FY1042" s="2">
        <v>74</v>
      </c>
      <c r="FZ1042" s="2"/>
      <c r="GA1042" s="2" t="s">
        <v>3</v>
      </c>
      <c r="GB1042" s="2"/>
      <c r="GC1042" s="2"/>
      <c r="GD1042" s="2">
        <v>0</v>
      </c>
      <c r="GE1042" s="2"/>
      <c r="GF1042" s="2">
        <v>1585197418</v>
      </c>
      <c r="GG1042" s="2">
        <v>2</v>
      </c>
      <c r="GH1042" s="2">
        <v>1</v>
      </c>
      <c r="GI1042" s="2">
        <v>-2</v>
      </c>
      <c r="GJ1042" s="2">
        <v>0</v>
      </c>
      <c r="GK1042" s="2">
        <f>ROUND(R1042*(R12)/100,2)</f>
        <v>1.54</v>
      </c>
      <c r="GL1042" s="2">
        <f t="shared" ref="GL1042:GL1073" si="889">ROUND(IF(AND(BH1042=3,BI1042=3,FS1042&lt;&gt;0),P1042,0),2)</f>
        <v>0</v>
      </c>
      <c r="GM1042" s="2">
        <f t="shared" ref="GM1042:GM1073" si="890">ROUND(O1042+X1042+Y1042+GK1042,2)+GX1042</f>
        <v>1410.35</v>
      </c>
      <c r="GN1042" s="2">
        <f t="shared" ref="GN1042:GN1073" si="891">IF(OR(BI1042=0,BI1042=1),ROUND(O1042+X1042+Y1042+GK1042,2),0)</f>
        <v>1410.35</v>
      </c>
      <c r="GO1042" s="2">
        <f t="shared" ref="GO1042:GO1073" si="892">IF(BI1042=2,ROUND(O1042+X1042+Y1042+GK1042,2),0)</f>
        <v>0</v>
      </c>
      <c r="GP1042" s="2">
        <f t="shared" ref="GP1042:GP1073" si="893">IF(BI1042=4,ROUND(O1042+X1042+Y1042+GK1042,2)+GX1042,0)</f>
        <v>0</v>
      </c>
      <c r="GQ1042" s="2"/>
      <c r="GR1042" s="2">
        <v>0</v>
      </c>
      <c r="GS1042" s="2">
        <v>0</v>
      </c>
      <c r="GT1042" s="2">
        <v>0</v>
      </c>
      <c r="GU1042" s="2" t="s">
        <v>3</v>
      </c>
      <c r="GV1042" s="2">
        <f t="shared" ref="GV1042:GV1073" si="894">ROUND((GT1042),6)</f>
        <v>0</v>
      </c>
      <c r="GW1042" s="2">
        <v>1</v>
      </c>
      <c r="GX1042" s="2">
        <f t="shared" ref="GX1042:GX1073" si="895">ROUND(HC1042*I1042,2)</f>
        <v>0</v>
      </c>
      <c r="GY1042" s="2"/>
      <c r="GZ1042" s="2"/>
      <c r="HA1042" s="2">
        <v>0</v>
      </c>
      <c r="HB1042" s="2">
        <v>0</v>
      </c>
      <c r="HC1042" s="2">
        <f t="shared" ref="HC1042:HC1073" si="896">GV1042*GW1042</f>
        <v>0</v>
      </c>
      <c r="HD1042" s="2"/>
      <c r="HE1042" s="2" t="s">
        <v>3</v>
      </c>
      <c r="HF1042" s="2" t="s">
        <v>3</v>
      </c>
      <c r="HG1042" s="2"/>
      <c r="HH1042" s="2"/>
      <c r="HI1042" s="2"/>
      <c r="HJ1042" s="2"/>
      <c r="HK1042" s="2"/>
      <c r="HL1042" s="2"/>
      <c r="HM1042" s="2" t="s">
        <v>3</v>
      </c>
      <c r="HN1042" s="2" t="s">
        <v>3</v>
      </c>
      <c r="HO1042" s="2" t="s">
        <v>3</v>
      </c>
      <c r="HP1042" s="2" t="s">
        <v>3</v>
      </c>
      <c r="HQ1042" s="2" t="s">
        <v>3</v>
      </c>
      <c r="HR1042" s="2"/>
      <c r="HS1042" s="2"/>
      <c r="HT1042" s="2"/>
      <c r="HU1042" s="2"/>
      <c r="HV1042" s="2"/>
      <c r="HW1042" s="2"/>
      <c r="HX1042" s="2"/>
      <c r="HY1042" s="2"/>
      <c r="HZ1042" s="2"/>
      <c r="IA1042" s="2"/>
      <c r="IB1042" s="2"/>
      <c r="IC1042" s="2"/>
      <c r="ID1042" s="2"/>
      <c r="IE1042" s="2"/>
      <c r="IF1042" s="2"/>
      <c r="IG1042" s="2"/>
      <c r="IH1042" s="2"/>
      <c r="II1042" s="2"/>
      <c r="IJ1042" s="2"/>
      <c r="IK1042" s="2">
        <v>0</v>
      </c>
      <c r="IL1042" s="2"/>
      <c r="IM1042" s="2"/>
      <c r="IN1042" s="2"/>
      <c r="IO1042" s="2"/>
      <c r="IP1042" s="2"/>
      <c r="IQ1042" s="2"/>
      <c r="IR1042" s="2"/>
      <c r="IS1042" s="2"/>
      <c r="IT1042" s="2"/>
      <c r="IU1042" s="2"/>
    </row>
    <row r="1043" spans="1:255" x14ac:dyDescent="0.2">
      <c r="A1043">
        <v>17</v>
      </c>
      <c r="B1043">
        <v>1</v>
      </c>
      <c r="C1043">
        <f>ROW(SmtRes!A872)</f>
        <v>872</v>
      </c>
      <c r="D1043">
        <f>ROW(EtalonRes!A840)</f>
        <v>840</v>
      </c>
      <c r="E1043" t="s">
        <v>116</v>
      </c>
      <c r="F1043" t="s">
        <v>818</v>
      </c>
      <c r="G1043" t="s">
        <v>819</v>
      </c>
      <c r="H1043" t="s">
        <v>820</v>
      </c>
      <c r="I1043">
        <v>0.2</v>
      </c>
      <c r="J1043">
        <v>0</v>
      </c>
      <c r="K1043">
        <v>0.2</v>
      </c>
      <c r="O1043">
        <f t="shared" si="866"/>
        <v>14428.68</v>
      </c>
      <c r="P1043">
        <f t="shared" si="867"/>
        <v>511.75</v>
      </c>
      <c r="Q1043">
        <f>(ROUND((ROUND((((ET1043*1.25))*AV1043*I1043),2)*BB1043),2)+ROUND((ROUND(((AE1043-((EU1043*1.25)))*AV1043*I1043),2)*BS1043),2))</f>
        <v>97.78</v>
      </c>
      <c r="R1043">
        <f t="shared" si="868"/>
        <v>25.55</v>
      </c>
      <c r="S1043">
        <f t="shared" si="869"/>
        <v>13819.15</v>
      </c>
      <c r="T1043">
        <f t="shared" si="870"/>
        <v>0</v>
      </c>
      <c r="U1043">
        <f t="shared" si="871"/>
        <v>37.72</v>
      </c>
      <c r="V1043">
        <f t="shared" si="872"/>
        <v>0</v>
      </c>
      <c r="W1043">
        <f t="shared" si="873"/>
        <v>0</v>
      </c>
      <c r="X1043">
        <f t="shared" si="874"/>
        <v>12437.24</v>
      </c>
      <c r="Y1043">
        <f t="shared" si="875"/>
        <v>5665.85</v>
      </c>
      <c r="AA1043">
        <v>129761633</v>
      </c>
      <c r="AB1043">
        <f t="shared" si="876"/>
        <v>2664.5920000000001</v>
      </c>
      <c r="AC1043">
        <f t="shared" si="877"/>
        <v>237.81</v>
      </c>
      <c r="AD1043">
        <f>ROUND(((((ET1043*1.25))-((EU1043*1.25)))+AE1043),6)</f>
        <v>46.65</v>
      </c>
      <c r="AE1043">
        <f>ROUND(((EU1043*1.25)),6)</f>
        <v>4.4000000000000004</v>
      </c>
      <c r="AF1043">
        <f>ROUND(((EV1043*1.15)),6)</f>
        <v>2380.1320000000001</v>
      </c>
      <c r="AG1043">
        <f t="shared" si="878"/>
        <v>0</v>
      </c>
      <c r="AH1043">
        <f>((EW1043*1.15))</f>
        <v>188.6</v>
      </c>
      <c r="AI1043">
        <f>((EX1043*1.25))</f>
        <v>0</v>
      </c>
      <c r="AJ1043">
        <f t="shared" si="879"/>
        <v>0</v>
      </c>
      <c r="AK1043">
        <v>2344.81</v>
      </c>
      <c r="AL1043">
        <v>237.81</v>
      </c>
      <c r="AM1043">
        <v>37.32</v>
      </c>
      <c r="AN1043">
        <v>3.52</v>
      </c>
      <c r="AO1043">
        <v>2069.6799999999998</v>
      </c>
      <c r="AP1043">
        <v>0</v>
      </c>
      <c r="AQ1043">
        <v>164</v>
      </c>
      <c r="AR1043">
        <v>0</v>
      </c>
      <c r="AS1043">
        <v>0</v>
      </c>
      <c r="AT1043">
        <v>90</v>
      </c>
      <c r="AU1043">
        <v>41</v>
      </c>
      <c r="AV1043">
        <v>1</v>
      </c>
      <c r="AW1043">
        <v>1</v>
      </c>
      <c r="AZ1043">
        <v>1</v>
      </c>
      <c r="BA1043">
        <v>29.03</v>
      </c>
      <c r="BB1043">
        <v>10.48</v>
      </c>
      <c r="BC1043">
        <v>10.76</v>
      </c>
      <c r="BD1043" t="s">
        <v>3</v>
      </c>
      <c r="BE1043" t="s">
        <v>3</v>
      </c>
      <c r="BF1043" t="s">
        <v>3</v>
      </c>
      <c r="BG1043" t="s">
        <v>3</v>
      </c>
      <c r="BH1043">
        <v>0</v>
      </c>
      <c r="BI1043">
        <v>1</v>
      </c>
      <c r="BJ1043" t="s">
        <v>821</v>
      </c>
      <c r="BM1043">
        <v>1623</v>
      </c>
      <c r="BN1043">
        <v>0</v>
      </c>
      <c r="BO1043" t="s">
        <v>818</v>
      </c>
      <c r="BP1043">
        <v>1</v>
      </c>
      <c r="BQ1043">
        <v>30</v>
      </c>
      <c r="BR1043">
        <v>0</v>
      </c>
      <c r="BS1043">
        <v>29.03</v>
      </c>
      <c r="BT1043">
        <v>1</v>
      </c>
      <c r="BU1043">
        <v>1</v>
      </c>
      <c r="BV1043">
        <v>1</v>
      </c>
      <c r="BW1043">
        <v>1</v>
      </c>
      <c r="BX1043">
        <v>1</v>
      </c>
      <c r="BY1043" t="s">
        <v>3</v>
      </c>
      <c r="BZ1043">
        <v>90</v>
      </c>
      <c r="CA1043">
        <v>41</v>
      </c>
      <c r="CB1043" t="s">
        <v>3</v>
      </c>
      <c r="CE1043">
        <v>30</v>
      </c>
      <c r="CF1043">
        <v>0</v>
      </c>
      <c r="CG1043">
        <v>0</v>
      </c>
      <c r="CM1043">
        <v>0</v>
      </c>
      <c r="CN1043" t="s">
        <v>1559</v>
      </c>
      <c r="CO1043">
        <v>0</v>
      </c>
      <c r="CP1043">
        <f t="shared" si="880"/>
        <v>14428.68</v>
      </c>
      <c r="CQ1043">
        <f t="shared" si="881"/>
        <v>2558.84</v>
      </c>
      <c r="CR1043">
        <f>(ROUND((ROUND((((ET1043*1.25))*AV1043*1),2)*BB1043),2)+ROUND((ROUND(((AE1043-((EU1043*1.25)))*AV1043*1),2)*BS1043),2))</f>
        <v>488.89</v>
      </c>
      <c r="CS1043">
        <f t="shared" si="882"/>
        <v>127.73</v>
      </c>
      <c r="CT1043">
        <f t="shared" si="883"/>
        <v>69095.17</v>
      </c>
      <c r="CU1043">
        <f t="shared" si="884"/>
        <v>0</v>
      </c>
      <c r="CV1043">
        <f t="shared" si="885"/>
        <v>188.6</v>
      </c>
      <c r="CW1043">
        <f t="shared" si="886"/>
        <v>0</v>
      </c>
      <c r="CX1043">
        <f t="shared" si="887"/>
        <v>0</v>
      </c>
      <c r="CY1043">
        <f>S1043*(BZ1043/100)</f>
        <v>12437.235000000001</v>
      </c>
      <c r="CZ1043">
        <f>S1043*(CA1043/100)</f>
        <v>5665.8514999999998</v>
      </c>
      <c r="DC1043" t="s">
        <v>3</v>
      </c>
      <c r="DD1043" t="s">
        <v>3</v>
      </c>
      <c r="DE1043" t="s">
        <v>86</v>
      </c>
      <c r="DF1043" t="s">
        <v>86</v>
      </c>
      <c r="DG1043" t="s">
        <v>87</v>
      </c>
      <c r="DH1043" t="s">
        <v>3</v>
      </c>
      <c r="DI1043" t="s">
        <v>87</v>
      </c>
      <c r="DJ1043" t="s">
        <v>86</v>
      </c>
      <c r="DK1043" t="s">
        <v>3</v>
      </c>
      <c r="DL1043" t="s">
        <v>3</v>
      </c>
      <c r="DM1043" t="s">
        <v>3</v>
      </c>
      <c r="DN1043">
        <v>110</v>
      </c>
      <c r="DO1043">
        <v>74</v>
      </c>
      <c r="DP1043">
        <v>1</v>
      </c>
      <c r="DQ1043">
        <v>1</v>
      </c>
      <c r="DU1043">
        <v>1003</v>
      </c>
      <c r="DV1043" t="s">
        <v>820</v>
      </c>
      <c r="DW1043" t="s">
        <v>820</v>
      </c>
      <c r="DX1043">
        <v>100</v>
      </c>
      <c r="DZ1043" t="s">
        <v>3</v>
      </c>
      <c r="EA1043" t="s">
        <v>3</v>
      </c>
      <c r="EB1043" t="s">
        <v>3</v>
      </c>
      <c r="EC1043" t="s">
        <v>3</v>
      </c>
      <c r="EE1043">
        <v>126053084</v>
      </c>
      <c r="EF1043">
        <v>30</v>
      </c>
      <c r="EG1043" t="s">
        <v>23</v>
      </c>
      <c r="EH1043">
        <v>0</v>
      </c>
      <c r="EI1043" t="s">
        <v>3</v>
      </c>
      <c r="EJ1043">
        <v>1</v>
      </c>
      <c r="EK1043">
        <v>1623</v>
      </c>
      <c r="EL1043" t="s">
        <v>824</v>
      </c>
      <c r="EM1043" t="s">
        <v>825</v>
      </c>
      <c r="EO1043" t="s">
        <v>90</v>
      </c>
      <c r="EQ1043">
        <v>131072</v>
      </c>
      <c r="ER1043">
        <v>2344.81</v>
      </c>
      <c r="ES1043">
        <v>237.81</v>
      </c>
      <c r="ET1043">
        <v>37.32</v>
      </c>
      <c r="EU1043">
        <v>3.52</v>
      </c>
      <c r="EV1043">
        <v>2069.6799999999998</v>
      </c>
      <c r="EW1043">
        <v>164</v>
      </c>
      <c r="EX1043">
        <v>0</v>
      </c>
      <c r="EY1043">
        <v>0</v>
      </c>
      <c r="FQ1043">
        <v>0</v>
      </c>
      <c r="FR1043">
        <f t="shared" si="888"/>
        <v>0</v>
      </c>
      <c r="FS1043">
        <v>0</v>
      </c>
      <c r="FX1043">
        <v>110</v>
      </c>
      <c r="FY1043">
        <v>74</v>
      </c>
      <c r="GA1043" t="s">
        <v>3</v>
      </c>
      <c r="GD1043">
        <v>0</v>
      </c>
      <c r="GF1043">
        <v>1585197418</v>
      </c>
      <c r="GG1043">
        <v>2</v>
      </c>
      <c r="GH1043">
        <v>1</v>
      </c>
      <c r="GI1043">
        <v>2</v>
      </c>
      <c r="GJ1043">
        <v>0</v>
      </c>
      <c r="GK1043">
        <f>ROUND(R1043*(S12)/100,2)</f>
        <v>40.880000000000003</v>
      </c>
      <c r="GL1043">
        <f t="shared" si="889"/>
        <v>0</v>
      </c>
      <c r="GM1043">
        <f t="shared" si="890"/>
        <v>32572.65</v>
      </c>
      <c r="GN1043">
        <f t="shared" si="891"/>
        <v>32572.65</v>
      </c>
      <c r="GO1043">
        <f t="shared" si="892"/>
        <v>0</v>
      </c>
      <c r="GP1043">
        <f t="shared" si="893"/>
        <v>0</v>
      </c>
      <c r="GR1043">
        <v>0</v>
      </c>
      <c r="GS1043">
        <v>3</v>
      </c>
      <c r="GT1043">
        <v>0</v>
      </c>
      <c r="GU1043" t="s">
        <v>3</v>
      </c>
      <c r="GV1043">
        <f t="shared" si="894"/>
        <v>0</v>
      </c>
      <c r="GW1043">
        <v>1</v>
      </c>
      <c r="GX1043">
        <f t="shared" si="895"/>
        <v>0</v>
      </c>
      <c r="HA1043">
        <v>0</v>
      </c>
      <c r="HB1043">
        <v>0</v>
      </c>
      <c r="HC1043">
        <f t="shared" si="896"/>
        <v>0</v>
      </c>
      <c r="HE1043" t="s">
        <v>3</v>
      </c>
      <c r="HF1043" t="s">
        <v>3</v>
      </c>
      <c r="HM1043" t="s">
        <v>3</v>
      </c>
      <c r="HN1043" t="s">
        <v>3</v>
      </c>
      <c r="HO1043" t="s">
        <v>3</v>
      </c>
      <c r="HP1043" t="s">
        <v>3</v>
      </c>
      <c r="HQ1043" t="s">
        <v>3</v>
      </c>
      <c r="IK1043">
        <v>0</v>
      </c>
    </row>
    <row r="1044" spans="1:255" x14ac:dyDescent="0.2">
      <c r="A1044" s="2">
        <v>18</v>
      </c>
      <c r="B1044" s="2">
        <v>1</v>
      </c>
      <c r="C1044" s="2">
        <v>842</v>
      </c>
      <c r="D1044" s="2"/>
      <c r="E1044" s="2" t="s">
        <v>123</v>
      </c>
      <c r="F1044" s="2" t="s">
        <v>831</v>
      </c>
      <c r="G1044" s="2" t="s">
        <v>832</v>
      </c>
      <c r="H1044" s="2" t="s">
        <v>270</v>
      </c>
      <c r="I1044" s="2">
        <f>I1042*J1044</f>
        <v>17.98</v>
      </c>
      <c r="J1044" s="2">
        <v>89.899999999999991</v>
      </c>
      <c r="K1044" s="2">
        <v>89.9</v>
      </c>
      <c r="L1044" s="2"/>
      <c r="M1044" s="2"/>
      <c r="N1044" s="2"/>
      <c r="O1044" s="2">
        <f t="shared" si="866"/>
        <v>0</v>
      </c>
      <c r="P1044" s="2">
        <f t="shared" si="867"/>
        <v>0</v>
      </c>
      <c r="Q1044" s="2">
        <f t="shared" ref="Q1044:Q1061" si="897">(ROUND((ROUND(((ET1044)*AV1044*I1044),2)*BB1044),2)+ROUND((ROUND(((AE1044-(EU1044))*AV1044*I1044),2)*BS1044),2))</f>
        <v>0</v>
      </c>
      <c r="R1044" s="2">
        <f t="shared" si="868"/>
        <v>0</v>
      </c>
      <c r="S1044" s="2">
        <f t="shared" si="869"/>
        <v>0</v>
      </c>
      <c r="T1044" s="2">
        <f t="shared" si="870"/>
        <v>0</v>
      </c>
      <c r="U1044" s="2">
        <f t="shared" si="871"/>
        <v>0</v>
      </c>
      <c r="V1044" s="2">
        <f t="shared" si="872"/>
        <v>0</v>
      </c>
      <c r="W1044" s="2">
        <f t="shared" si="873"/>
        <v>0</v>
      </c>
      <c r="X1044" s="2">
        <f t="shared" si="874"/>
        <v>0</v>
      </c>
      <c r="Y1044" s="2">
        <f t="shared" si="875"/>
        <v>0</v>
      </c>
      <c r="Z1044" s="2"/>
      <c r="AA1044" s="2">
        <v>129761636</v>
      </c>
      <c r="AB1044" s="2">
        <f t="shared" si="876"/>
        <v>0</v>
      </c>
      <c r="AC1044" s="2">
        <f t="shared" si="877"/>
        <v>0</v>
      </c>
      <c r="AD1044" s="2">
        <f t="shared" ref="AD1044:AD1061" si="898">ROUND((((ET1044)-(EU1044))+AE1044),6)</f>
        <v>0</v>
      </c>
      <c r="AE1044" s="2">
        <f t="shared" ref="AE1044:AE1061" si="899">ROUND((EU1044),6)</f>
        <v>0</v>
      </c>
      <c r="AF1044" s="2">
        <f t="shared" ref="AF1044:AF1061" si="900">ROUND((EV1044),6)</f>
        <v>0</v>
      </c>
      <c r="AG1044" s="2">
        <f t="shared" si="878"/>
        <v>0</v>
      </c>
      <c r="AH1044" s="2">
        <f t="shared" ref="AH1044:AH1061" si="901">(EW1044)</f>
        <v>0</v>
      </c>
      <c r="AI1044" s="2">
        <f t="shared" ref="AI1044:AI1061" si="902">(EX1044)</f>
        <v>0</v>
      </c>
      <c r="AJ1044" s="2">
        <f t="shared" si="879"/>
        <v>0</v>
      </c>
      <c r="AK1044" s="2">
        <v>0</v>
      </c>
      <c r="AL1044" s="2">
        <v>0</v>
      </c>
      <c r="AM1044" s="2">
        <v>0</v>
      </c>
      <c r="AN1044" s="2">
        <v>0</v>
      </c>
      <c r="AO1044" s="2">
        <v>0</v>
      </c>
      <c r="AP1044" s="2">
        <v>0</v>
      </c>
      <c r="AQ1044" s="2">
        <v>0</v>
      </c>
      <c r="AR1044" s="2">
        <v>0</v>
      </c>
      <c r="AS1044" s="2">
        <v>0</v>
      </c>
      <c r="AT1044" s="2">
        <v>110</v>
      </c>
      <c r="AU1044" s="2">
        <v>74</v>
      </c>
      <c r="AV1044" s="2">
        <v>1</v>
      </c>
      <c r="AW1044" s="2">
        <v>1</v>
      </c>
      <c r="AX1044" s="2"/>
      <c r="AY1044" s="2"/>
      <c r="AZ1044" s="2">
        <v>1</v>
      </c>
      <c r="BA1044" s="2">
        <v>1</v>
      </c>
      <c r="BB1044" s="2">
        <v>1</v>
      </c>
      <c r="BC1044" s="2">
        <v>1</v>
      </c>
      <c r="BD1044" s="2" t="s">
        <v>3</v>
      </c>
      <c r="BE1044" s="2" t="s">
        <v>3</v>
      </c>
      <c r="BF1044" s="2" t="s">
        <v>3</v>
      </c>
      <c r="BG1044" s="2" t="s">
        <v>3</v>
      </c>
      <c r="BH1044" s="2">
        <v>3</v>
      </c>
      <c r="BI1044" s="2">
        <v>1</v>
      </c>
      <c r="BJ1044" s="2" t="s">
        <v>3</v>
      </c>
      <c r="BK1044" s="2"/>
      <c r="BL1044" s="2"/>
      <c r="BM1044" s="2">
        <v>1623</v>
      </c>
      <c r="BN1044" s="2">
        <v>0</v>
      </c>
      <c r="BO1044" s="2" t="s">
        <v>3</v>
      </c>
      <c r="BP1044" s="2">
        <v>0</v>
      </c>
      <c r="BQ1044" s="2">
        <v>30</v>
      </c>
      <c r="BR1044" s="2">
        <v>0</v>
      </c>
      <c r="BS1044" s="2">
        <v>1</v>
      </c>
      <c r="BT1044" s="2">
        <v>1</v>
      </c>
      <c r="BU1044" s="2">
        <v>1</v>
      </c>
      <c r="BV1044" s="2">
        <v>1</v>
      </c>
      <c r="BW1044" s="2">
        <v>1</v>
      </c>
      <c r="BX1044" s="2">
        <v>1</v>
      </c>
      <c r="BY1044" s="2" t="s">
        <v>3</v>
      </c>
      <c r="BZ1044" s="2">
        <v>110</v>
      </c>
      <c r="CA1044" s="2">
        <v>74</v>
      </c>
      <c r="CB1044" s="2" t="s">
        <v>3</v>
      </c>
      <c r="CC1044" s="2"/>
      <c r="CD1044" s="2"/>
      <c r="CE1044" s="2">
        <v>30</v>
      </c>
      <c r="CF1044" s="2">
        <v>0</v>
      </c>
      <c r="CG1044" s="2">
        <v>0</v>
      </c>
      <c r="CH1044" s="2"/>
      <c r="CI1044" s="2"/>
      <c r="CJ1044" s="2"/>
      <c r="CK1044" s="2"/>
      <c r="CL1044" s="2"/>
      <c r="CM1044" s="2">
        <v>0</v>
      </c>
      <c r="CN1044" s="2" t="s">
        <v>3</v>
      </c>
      <c r="CO1044" s="2">
        <v>0</v>
      </c>
      <c r="CP1044" s="2">
        <f t="shared" si="880"/>
        <v>0</v>
      </c>
      <c r="CQ1044" s="2">
        <f t="shared" si="881"/>
        <v>0</v>
      </c>
      <c r="CR1044" s="2">
        <f t="shared" ref="CR1044:CR1061" si="903">(ROUND((ROUND(((ET1044)*AV1044*1),2)*BB1044),2)+ROUND((ROUND(((AE1044-(EU1044))*AV1044*1),2)*BS1044),2))</f>
        <v>0</v>
      </c>
      <c r="CS1044" s="2">
        <f t="shared" si="882"/>
        <v>0</v>
      </c>
      <c r="CT1044" s="2">
        <f t="shared" si="883"/>
        <v>0</v>
      </c>
      <c r="CU1044" s="2">
        <f t="shared" si="884"/>
        <v>0</v>
      </c>
      <c r="CV1044" s="2">
        <f t="shared" si="885"/>
        <v>0</v>
      </c>
      <c r="CW1044" s="2">
        <f t="shared" si="886"/>
        <v>0</v>
      </c>
      <c r="CX1044" s="2">
        <f t="shared" si="887"/>
        <v>0</v>
      </c>
      <c r="CY1044" s="2">
        <f>((S1044*BZ1044)/100)</f>
        <v>0</v>
      </c>
      <c r="CZ1044" s="2">
        <f>((S1044*CA1044)/100)</f>
        <v>0</v>
      </c>
      <c r="DA1044" s="2"/>
      <c r="DB1044" s="2"/>
      <c r="DC1044" s="2" t="s">
        <v>3</v>
      </c>
      <c r="DD1044" s="2" t="s">
        <v>3</v>
      </c>
      <c r="DE1044" s="2" t="s">
        <v>3</v>
      </c>
      <c r="DF1044" s="2" t="s">
        <v>3</v>
      </c>
      <c r="DG1044" s="2" t="s">
        <v>3</v>
      </c>
      <c r="DH1044" s="2" t="s">
        <v>3</v>
      </c>
      <c r="DI1044" s="2" t="s">
        <v>3</v>
      </c>
      <c r="DJ1044" s="2" t="s">
        <v>3</v>
      </c>
      <c r="DK1044" s="2" t="s">
        <v>3</v>
      </c>
      <c r="DL1044" s="2" t="s">
        <v>3</v>
      </c>
      <c r="DM1044" s="2" t="s">
        <v>3</v>
      </c>
      <c r="DN1044" s="2">
        <v>0</v>
      </c>
      <c r="DO1044" s="2">
        <v>0</v>
      </c>
      <c r="DP1044" s="2">
        <v>1</v>
      </c>
      <c r="DQ1044" s="2">
        <v>1</v>
      </c>
      <c r="DR1044" s="2"/>
      <c r="DS1044" s="2"/>
      <c r="DT1044" s="2"/>
      <c r="DU1044" s="2">
        <v>1003</v>
      </c>
      <c r="DV1044" s="2" t="s">
        <v>270</v>
      </c>
      <c r="DW1044" s="2" t="s">
        <v>270</v>
      </c>
      <c r="DX1044" s="2">
        <v>1</v>
      </c>
      <c r="DY1044" s="2"/>
      <c r="DZ1044" s="2" t="s">
        <v>3</v>
      </c>
      <c r="EA1044" s="2" t="s">
        <v>3</v>
      </c>
      <c r="EB1044" s="2" t="s">
        <v>3</v>
      </c>
      <c r="EC1044" s="2" t="s">
        <v>3</v>
      </c>
      <c r="ED1044" s="2"/>
      <c r="EE1044" s="2">
        <v>126053084</v>
      </c>
      <c r="EF1044" s="2">
        <v>30</v>
      </c>
      <c r="EG1044" s="2" t="s">
        <v>23</v>
      </c>
      <c r="EH1044" s="2">
        <v>0</v>
      </c>
      <c r="EI1044" s="2" t="s">
        <v>3</v>
      </c>
      <c r="EJ1044" s="2">
        <v>1</v>
      </c>
      <c r="EK1044" s="2">
        <v>1623</v>
      </c>
      <c r="EL1044" s="2" t="s">
        <v>824</v>
      </c>
      <c r="EM1044" s="2" t="s">
        <v>825</v>
      </c>
      <c r="EN1044" s="2"/>
      <c r="EO1044" s="2" t="s">
        <v>3</v>
      </c>
      <c r="EP1044" s="2"/>
      <c r="EQ1044" s="2">
        <v>0</v>
      </c>
      <c r="ER1044" s="2">
        <v>0</v>
      </c>
      <c r="ES1044" s="2">
        <v>0</v>
      </c>
      <c r="ET1044" s="2">
        <v>0</v>
      </c>
      <c r="EU1044" s="2">
        <v>0</v>
      </c>
      <c r="EV1044" s="2">
        <v>0</v>
      </c>
      <c r="EW1044" s="2">
        <v>0</v>
      </c>
      <c r="EX1044" s="2">
        <v>0</v>
      </c>
      <c r="EY1044" s="2"/>
      <c r="EZ1044" s="2"/>
      <c r="FA1044" s="2"/>
      <c r="FB1044" s="2"/>
      <c r="FC1044" s="2"/>
      <c r="FD1044" s="2"/>
      <c r="FE1044" s="2"/>
      <c r="FF1044" s="2"/>
      <c r="FG1044" s="2"/>
      <c r="FH1044" s="2"/>
      <c r="FI1044" s="2"/>
      <c r="FJ1044" s="2"/>
      <c r="FK1044" s="2"/>
      <c r="FL1044" s="2"/>
      <c r="FM1044" s="2"/>
      <c r="FN1044" s="2"/>
      <c r="FO1044" s="2"/>
      <c r="FP1044" s="2"/>
      <c r="FQ1044" s="2">
        <v>0</v>
      </c>
      <c r="FR1044" s="2">
        <f t="shared" si="888"/>
        <v>0</v>
      </c>
      <c r="FS1044" s="2">
        <v>0</v>
      </c>
      <c r="FT1044" s="2"/>
      <c r="FU1044" s="2"/>
      <c r="FV1044" s="2"/>
      <c r="FW1044" s="2"/>
      <c r="FX1044" s="2">
        <v>110</v>
      </c>
      <c r="FY1044" s="2">
        <v>74</v>
      </c>
      <c r="FZ1044" s="2"/>
      <c r="GA1044" s="2" t="s">
        <v>3</v>
      </c>
      <c r="GB1044" s="2"/>
      <c r="GC1044" s="2"/>
      <c r="GD1044" s="2">
        <v>0</v>
      </c>
      <c r="GE1044" s="2"/>
      <c r="GF1044" s="2">
        <v>1418106712</v>
      </c>
      <c r="GG1044" s="2">
        <v>2</v>
      </c>
      <c r="GH1044" s="2">
        <v>0</v>
      </c>
      <c r="GI1044" s="2">
        <v>-2</v>
      </c>
      <c r="GJ1044" s="2">
        <v>0</v>
      </c>
      <c r="GK1044" s="2">
        <f>ROUND(R1044*(R12)/100,2)</f>
        <v>0</v>
      </c>
      <c r="GL1044" s="2">
        <f t="shared" si="889"/>
        <v>0</v>
      </c>
      <c r="GM1044" s="2">
        <f t="shared" si="890"/>
        <v>0</v>
      </c>
      <c r="GN1044" s="2">
        <f t="shared" si="891"/>
        <v>0</v>
      </c>
      <c r="GO1044" s="2">
        <f t="shared" si="892"/>
        <v>0</v>
      </c>
      <c r="GP1044" s="2">
        <f t="shared" si="893"/>
        <v>0</v>
      </c>
      <c r="GQ1044" s="2"/>
      <c r="GR1044" s="2">
        <v>0</v>
      </c>
      <c r="GS1044" s="2">
        <v>0</v>
      </c>
      <c r="GT1044" s="2">
        <v>0</v>
      </c>
      <c r="GU1044" s="2" t="s">
        <v>3</v>
      </c>
      <c r="GV1044" s="2">
        <f t="shared" si="894"/>
        <v>0</v>
      </c>
      <c r="GW1044" s="2">
        <v>1</v>
      </c>
      <c r="GX1044" s="2">
        <f t="shared" si="895"/>
        <v>0</v>
      </c>
      <c r="GY1044" s="2"/>
      <c r="GZ1044" s="2"/>
      <c r="HA1044" s="2">
        <v>0</v>
      </c>
      <c r="HB1044" s="2">
        <v>0</v>
      </c>
      <c r="HC1044" s="2">
        <f t="shared" si="896"/>
        <v>0</v>
      </c>
      <c r="HD1044" s="2"/>
      <c r="HE1044" s="2" t="s">
        <v>3</v>
      </c>
      <c r="HF1044" s="2" t="s">
        <v>3</v>
      </c>
      <c r="HG1044" s="2"/>
      <c r="HH1044" s="2"/>
      <c r="HI1044" s="2"/>
      <c r="HJ1044" s="2"/>
      <c r="HK1044" s="2"/>
      <c r="HL1044" s="2"/>
      <c r="HM1044" s="2" t="s">
        <v>3</v>
      </c>
      <c r="HN1044" s="2" t="s">
        <v>3</v>
      </c>
      <c r="HO1044" s="2" t="s">
        <v>3</v>
      </c>
      <c r="HP1044" s="2" t="s">
        <v>3</v>
      </c>
      <c r="HQ1044" s="2" t="s">
        <v>3</v>
      </c>
      <c r="HR1044" s="2"/>
      <c r="HS1044" s="2"/>
      <c r="HT1044" s="2"/>
      <c r="HU1044" s="2"/>
      <c r="HV1044" s="2"/>
      <c r="HW1044" s="2"/>
      <c r="HX1044" s="2"/>
      <c r="HY1044" s="2"/>
      <c r="HZ1044" s="2"/>
      <c r="IA1044" s="2"/>
      <c r="IB1044" s="2"/>
      <c r="IC1044" s="2"/>
      <c r="ID1044" s="2"/>
      <c r="IE1044" s="2"/>
      <c r="IF1044" s="2"/>
      <c r="IG1044" s="2"/>
      <c r="IH1044" s="2"/>
      <c r="II1044" s="2"/>
      <c r="IJ1044" s="2"/>
      <c r="IK1044" s="2">
        <v>0</v>
      </c>
      <c r="IL1044" s="2"/>
      <c r="IM1044" s="2"/>
      <c r="IN1044" s="2"/>
      <c r="IO1044" s="2"/>
      <c r="IP1044" s="2"/>
      <c r="IQ1044" s="2"/>
      <c r="IR1044" s="2"/>
      <c r="IS1044" s="2"/>
      <c r="IT1044" s="2"/>
      <c r="IU1044" s="2"/>
    </row>
    <row r="1045" spans="1:255" x14ac:dyDescent="0.2">
      <c r="A1045">
        <v>18</v>
      </c>
      <c r="B1045">
        <v>1</v>
      </c>
      <c r="C1045">
        <v>863</v>
      </c>
      <c r="E1045" t="s">
        <v>123</v>
      </c>
      <c r="F1045" t="s">
        <v>831</v>
      </c>
      <c r="G1045" t="s">
        <v>832</v>
      </c>
      <c r="H1045" t="s">
        <v>270</v>
      </c>
      <c r="I1045">
        <f>I1043*J1045</f>
        <v>17.98</v>
      </c>
      <c r="J1045">
        <v>89.899999999999991</v>
      </c>
      <c r="K1045">
        <v>89.9</v>
      </c>
      <c r="O1045">
        <f t="shared" si="866"/>
        <v>0</v>
      </c>
      <c r="P1045">
        <f t="shared" si="867"/>
        <v>0</v>
      </c>
      <c r="Q1045">
        <f t="shared" si="897"/>
        <v>0</v>
      </c>
      <c r="R1045">
        <f t="shared" si="868"/>
        <v>0</v>
      </c>
      <c r="S1045">
        <f t="shared" si="869"/>
        <v>0</v>
      </c>
      <c r="T1045">
        <f t="shared" si="870"/>
        <v>0</v>
      </c>
      <c r="U1045">
        <f t="shared" si="871"/>
        <v>0</v>
      </c>
      <c r="V1045">
        <f t="shared" si="872"/>
        <v>0</v>
      </c>
      <c r="W1045">
        <f t="shared" si="873"/>
        <v>0</v>
      </c>
      <c r="X1045">
        <f t="shared" si="874"/>
        <v>0</v>
      </c>
      <c r="Y1045">
        <f t="shared" si="875"/>
        <v>0</v>
      </c>
      <c r="AA1045">
        <v>129761633</v>
      </c>
      <c r="AB1045">
        <f t="shared" si="876"/>
        <v>0</v>
      </c>
      <c r="AC1045">
        <f t="shared" si="877"/>
        <v>0</v>
      </c>
      <c r="AD1045">
        <f t="shared" si="898"/>
        <v>0</v>
      </c>
      <c r="AE1045">
        <f t="shared" si="899"/>
        <v>0</v>
      </c>
      <c r="AF1045">
        <f t="shared" si="900"/>
        <v>0</v>
      </c>
      <c r="AG1045">
        <f t="shared" si="878"/>
        <v>0</v>
      </c>
      <c r="AH1045">
        <f t="shared" si="901"/>
        <v>0</v>
      </c>
      <c r="AI1045">
        <f t="shared" si="902"/>
        <v>0</v>
      </c>
      <c r="AJ1045">
        <f t="shared" si="879"/>
        <v>0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1</v>
      </c>
      <c r="AW1045">
        <v>1</v>
      </c>
      <c r="AZ1045">
        <v>1</v>
      </c>
      <c r="BA1045">
        <v>1</v>
      </c>
      <c r="BB1045">
        <v>1</v>
      </c>
      <c r="BC1045">
        <v>3.61</v>
      </c>
      <c r="BD1045" t="s">
        <v>3</v>
      </c>
      <c r="BE1045" t="s">
        <v>3</v>
      </c>
      <c r="BF1045" t="s">
        <v>3</v>
      </c>
      <c r="BG1045" t="s">
        <v>3</v>
      </c>
      <c r="BH1045">
        <v>3</v>
      </c>
      <c r="BI1045">
        <v>1</v>
      </c>
      <c r="BJ1045" t="s">
        <v>3</v>
      </c>
      <c r="BM1045">
        <v>1623</v>
      </c>
      <c r="BN1045">
        <v>0</v>
      </c>
      <c r="BO1045" t="s">
        <v>831</v>
      </c>
      <c r="BP1045">
        <v>1</v>
      </c>
      <c r="BQ1045">
        <v>30</v>
      </c>
      <c r="BR1045">
        <v>0</v>
      </c>
      <c r="BS1045">
        <v>1</v>
      </c>
      <c r="BT1045">
        <v>1</v>
      </c>
      <c r="BU1045">
        <v>1</v>
      </c>
      <c r="BV1045">
        <v>1</v>
      </c>
      <c r="BW1045">
        <v>1</v>
      </c>
      <c r="BX1045">
        <v>1</v>
      </c>
      <c r="BY1045" t="s">
        <v>3</v>
      </c>
      <c r="BZ1045">
        <v>0</v>
      </c>
      <c r="CA1045">
        <v>0</v>
      </c>
      <c r="CB1045" t="s">
        <v>3</v>
      </c>
      <c r="CE1045">
        <v>30</v>
      </c>
      <c r="CF1045">
        <v>0</v>
      </c>
      <c r="CG1045">
        <v>0</v>
      </c>
      <c r="CM1045">
        <v>0</v>
      </c>
      <c r="CN1045" t="s">
        <v>3</v>
      </c>
      <c r="CO1045">
        <v>0</v>
      </c>
      <c r="CP1045">
        <f t="shared" si="880"/>
        <v>0</v>
      </c>
      <c r="CQ1045">
        <f t="shared" si="881"/>
        <v>0</v>
      </c>
      <c r="CR1045">
        <f t="shared" si="903"/>
        <v>0</v>
      </c>
      <c r="CS1045">
        <f t="shared" si="882"/>
        <v>0</v>
      </c>
      <c r="CT1045">
        <f t="shared" si="883"/>
        <v>0</v>
      </c>
      <c r="CU1045">
        <f t="shared" si="884"/>
        <v>0</v>
      </c>
      <c r="CV1045">
        <f t="shared" si="885"/>
        <v>0</v>
      </c>
      <c r="CW1045">
        <f t="shared" si="886"/>
        <v>0</v>
      </c>
      <c r="CX1045">
        <f t="shared" si="887"/>
        <v>0</v>
      </c>
      <c r="CY1045">
        <f>S1045*(BZ1045/100)</f>
        <v>0</v>
      </c>
      <c r="CZ1045">
        <f>S1045*(CA1045/100)</f>
        <v>0</v>
      </c>
      <c r="DC1045" t="s">
        <v>3</v>
      </c>
      <c r="DD1045" t="s">
        <v>3</v>
      </c>
      <c r="DE1045" t="s">
        <v>3</v>
      </c>
      <c r="DF1045" t="s">
        <v>3</v>
      </c>
      <c r="DG1045" t="s">
        <v>3</v>
      </c>
      <c r="DH1045" t="s">
        <v>3</v>
      </c>
      <c r="DI1045" t="s">
        <v>3</v>
      </c>
      <c r="DJ1045" t="s">
        <v>3</v>
      </c>
      <c r="DK1045" t="s">
        <v>3</v>
      </c>
      <c r="DL1045" t="s">
        <v>3</v>
      </c>
      <c r="DM1045" t="s">
        <v>3</v>
      </c>
      <c r="DN1045">
        <v>110</v>
      </c>
      <c r="DO1045">
        <v>74</v>
      </c>
      <c r="DP1045">
        <v>1</v>
      </c>
      <c r="DQ1045">
        <v>1</v>
      </c>
      <c r="DU1045">
        <v>1003</v>
      </c>
      <c r="DV1045" t="s">
        <v>270</v>
      </c>
      <c r="DW1045" t="s">
        <v>270</v>
      </c>
      <c r="DX1045">
        <v>1</v>
      </c>
      <c r="DZ1045" t="s">
        <v>3</v>
      </c>
      <c r="EA1045" t="s">
        <v>3</v>
      </c>
      <c r="EB1045" t="s">
        <v>3</v>
      </c>
      <c r="EC1045" t="s">
        <v>3</v>
      </c>
      <c r="EE1045">
        <v>126053084</v>
      </c>
      <c r="EF1045">
        <v>30</v>
      </c>
      <c r="EG1045" t="s">
        <v>23</v>
      </c>
      <c r="EH1045">
        <v>0</v>
      </c>
      <c r="EI1045" t="s">
        <v>3</v>
      </c>
      <c r="EJ1045">
        <v>1</v>
      </c>
      <c r="EK1045">
        <v>1623</v>
      </c>
      <c r="EL1045" t="s">
        <v>824</v>
      </c>
      <c r="EM1045" t="s">
        <v>825</v>
      </c>
      <c r="EO1045" t="s">
        <v>3</v>
      </c>
      <c r="EQ1045">
        <v>0</v>
      </c>
      <c r="ER1045">
        <v>0</v>
      </c>
      <c r="ES1045">
        <v>0</v>
      </c>
      <c r="ET1045">
        <v>0</v>
      </c>
      <c r="EU1045">
        <v>0</v>
      </c>
      <c r="EV1045">
        <v>0</v>
      </c>
      <c r="EW1045">
        <v>0</v>
      </c>
      <c r="EX1045">
        <v>0</v>
      </c>
      <c r="FQ1045">
        <v>0</v>
      </c>
      <c r="FR1045">
        <f t="shared" si="888"/>
        <v>0</v>
      </c>
      <c r="FS1045">
        <v>0</v>
      </c>
      <c r="FX1045">
        <v>110</v>
      </c>
      <c r="FY1045">
        <v>74</v>
      </c>
      <c r="GA1045" t="s">
        <v>259</v>
      </c>
      <c r="GD1045">
        <v>0</v>
      </c>
      <c r="GF1045">
        <v>1418106712</v>
      </c>
      <c r="GG1045">
        <v>2</v>
      </c>
      <c r="GH1045">
        <v>2</v>
      </c>
      <c r="GI1045">
        <v>2</v>
      </c>
      <c r="GJ1045">
        <v>0</v>
      </c>
      <c r="GK1045">
        <f>ROUND(R1045*(S12)/100,2)</f>
        <v>0</v>
      </c>
      <c r="GL1045">
        <f t="shared" si="889"/>
        <v>0</v>
      </c>
      <c r="GM1045">
        <f t="shared" si="890"/>
        <v>0</v>
      </c>
      <c r="GN1045">
        <f t="shared" si="891"/>
        <v>0</v>
      </c>
      <c r="GO1045">
        <f t="shared" si="892"/>
        <v>0</v>
      </c>
      <c r="GP1045">
        <f t="shared" si="893"/>
        <v>0</v>
      </c>
      <c r="GR1045">
        <v>0</v>
      </c>
      <c r="GS1045">
        <v>4</v>
      </c>
      <c r="GT1045">
        <v>0</v>
      </c>
      <c r="GU1045" t="s">
        <v>3</v>
      </c>
      <c r="GV1045">
        <f t="shared" si="894"/>
        <v>0</v>
      </c>
      <c r="GW1045">
        <v>1</v>
      </c>
      <c r="GX1045">
        <f t="shared" si="895"/>
        <v>0</v>
      </c>
      <c r="HA1045">
        <v>0</v>
      </c>
      <c r="HB1045">
        <v>0</v>
      </c>
      <c r="HC1045">
        <f t="shared" si="896"/>
        <v>0</v>
      </c>
      <c r="HE1045" t="s">
        <v>3</v>
      </c>
      <c r="HF1045" t="s">
        <v>3</v>
      </c>
      <c r="HM1045" t="s">
        <v>3</v>
      </c>
      <c r="HN1045" t="s">
        <v>3</v>
      </c>
      <c r="HO1045" t="s">
        <v>3</v>
      </c>
      <c r="HP1045" t="s">
        <v>3</v>
      </c>
      <c r="HQ1045" t="s">
        <v>3</v>
      </c>
      <c r="IK1045">
        <v>0</v>
      </c>
    </row>
    <row r="1046" spans="1:255" x14ac:dyDescent="0.2">
      <c r="A1046" s="2">
        <v>18</v>
      </c>
      <c r="B1046" s="2">
        <v>1</v>
      </c>
      <c r="C1046" s="2">
        <v>847</v>
      </c>
      <c r="D1046" s="2"/>
      <c r="E1046" s="2" t="s">
        <v>533</v>
      </c>
      <c r="F1046" s="2" t="s">
        <v>833</v>
      </c>
      <c r="G1046" s="2" t="s">
        <v>834</v>
      </c>
      <c r="H1046" s="2" t="s">
        <v>250</v>
      </c>
      <c r="I1046" s="2">
        <f>I1042*J1046</f>
        <v>5</v>
      </c>
      <c r="J1046" s="2">
        <v>25</v>
      </c>
      <c r="K1046" s="2">
        <v>25</v>
      </c>
      <c r="L1046" s="2"/>
      <c r="M1046" s="2"/>
      <c r="N1046" s="2"/>
      <c r="O1046" s="2">
        <f t="shared" si="866"/>
        <v>0</v>
      </c>
      <c r="P1046" s="2">
        <f t="shared" si="867"/>
        <v>0</v>
      </c>
      <c r="Q1046" s="2">
        <f t="shared" si="897"/>
        <v>0</v>
      </c>
      <c r="R1046" s="2">
        <f t="shared" si="868"/>
        <v>0</v>
      </c>
      <c r="S1046" s="2">
        <f t="shared" si="869"/>
        <v>0</v>
      </c>
      <c r="T1046" s="2">
        <f t="shared" si="870"/>
        <v>0</v>
      </c>
      <c r="U1046" s="2">
        <f t="shared" si="871"/>
        <v>0</v>
      </c>
      <c r="V1046" s="2">
        <f t="shared" si="872"/>
        <v>0</v>
      </c>
      <c r="W1046" s="2">
        <f t="shared" si="873"/>
        <v>0</v>
      </c>
      <c r="X1046" s="2">
        <f t="shared" si="874"/>
        <v>0</v>
      </c>
      <c r="Y1046" s="2">
        <f t="shared" si="875"/>
        <v>0</v>
      </c>
      <c r="Z1046" s="2"/>
      <c r="AA1046" s="2">
        <v>129761636</v>
      </c>
      <c r="AB1046" s="2">
        <f t="shared" si="876"/>
        <v>0</v>
      </c>
      <c r="AC1046" s="2">
        <f t="shared" si="877"/>
        <v>0</v>
      </c>
      <c r="AD1046" s="2">
        <f t="shared" si="898"/>
        <v>0</v>
      </c>
      <c r="AE1046" s="2">
        <f t="shared" si="899"/>
        <v>0</v>
      </c>
      <c r="AF1046" s="2">
        <f t="shared" si="900"/>
        <v>0</v>
      </c>
      <c r="AG1046" s="2">
        <f t="shared" si="878"/>
        <v>0</v>
      </c>
      <c r="AH1046" s="2">
        <f t="shared" si="901"/>
        <v>0</v>
      </c>
      <c r="AI1046" s="2">
        <f t="shared" si="902"/>
        <v>0</v>
      </c>
      <c r="AJ1046" s="2">
        <f t="shared" si="879"/>
        <v>0</v>
      </c>
      <c r="AK1046" s="2">
        <v>0</v>
      </c>
      <c r="AL1046" s="2">
        <v>0</v>
      </c>
      <c r="AM1046" s="2">
        <v>0</v>
      </c>
      <c r="AN1046" s="2">
        <v>0</v>
      </c>
      <c r="AO1046" s="2">
        <v>0</v>
      </c>
      <c r="AP1046" s="2">
        <v>0</v>
      </c>
      <c r="AQ1046" s="2">
        <v>0</v>
      </c>
      <c r="AR1046" s="2">
        <v>0</v>
      </c>
      <c r="AS1046" s="2">
        <v>0</v>
      </c>
      <c r="AT1046" s="2">
        <v>110</v>
      </c>
      <c r="AU1046" s="2">
        <v>74</v>
      </c>
      <c r="AV1046" s="2">
        <v>1</v>
      </c>
      <c r="AW1046" s="2">
        <v>1</v>
      </c>
      <c r="AX1046" s="2"/>
      <c r="AY1046" s="2"/>
      <c r="AZ1046" s="2">
        <v>1</v>
      </c>
      <c r="BA1046" s="2">
        <v>1</v>
      </c>
      <c r="BB1046" s="2">
        <v>1</v>
      </c>
      <c r="BC1046" s="2">
        <v>1</v>
      </c>
      <c r="BD1046" s="2" t="s">
        <v>3</v>
      </c>
      <c r="BE1046" s="2" t="s">
        <v>3</v>
      </c>
      <c r="BF1046" s="2" t="s">
        <v>3</v>
      </c>
      <c r="BG1046" s="2" t="s">
        <v>3</v>
      </c>
      <c r="BH1046" s="2">
        <v>3</v>
      </c>
      <c r="BI1046" s="2">
        <v>1</v>
      </c>
      <c r="BJ1046" s="2" t="s">
        <v>3</v>
      </c>
      <c r="BK1046" s="2"/>
      <c r="BL1046" s="2"/>
      <c r="BM1046" s="2">
        <v>1623</v>
      </c>
      <c r="BN1046" s="2">
        <v>0</v>
      </c>
      <c r="BO1046" s="2" t="s">
        <v>3</v>
      </c>
      <c r="BP1046" s="2">
        <v>0</v>
      </c>
      <c r="BQ1046" s="2">
        <v>30</v>
      </c>
      <c r="BR1046" s="2">
        <v>0</v>
      </c>
      <c r="BS1046" s="2">
        <v>1</v>
      </c>
      <c r="BT1046" s="2">
        <v>1</v>
      </c>
      <c r="BU1046" s="2">
        <v>1</v>
      </c>
      <c r="BV1046" s="2">
        <v>1</v>
      </c>
      <c r="BW1046" s="2">
        <v>1</v>
      </c>
      <c r="BX1046" s="2">
        <v>1</v>
      </c>
      <c r="BY1046" s="2" t="s">
        <v>3</v>
      </c>
      <c r="BZ1046" s="2">
        <v>110</v>
      </c>
      <c r="CA1046" s="2">
        <v>74</v>
      </c>
      <c r="CB1046" s="2" t="s">
        <v>3</v>
      </c>
      <c r="CC1046" s="2"/>
      <c r="CD1046" s="2"/>
      <c r="CE1046" s="2">
        <v>30</v>
      </c>
      <c r="CF1046" s="2">
        <v>0</v>
      </c>
      <c r="CG1046" s="2">
        <v>0</v>
      </c>
      <c r="CH1046" s="2"/>
      <c r="CI1046" s="2"/>
      <c r="CJ1046" s="2"/>
      <c r="CK1046" s="2"/>
      <c r="CL1046" s="2"/>
      <c r="CM1046" s="2">
        <v>0</v>
      </c>
      <c r="CN1046" s="2" t="s">
        <v>3</v>
      </c>
      <c r="CO1046" s="2">
        <v>0</v>
      </c>
      <c r="CP1046" s="2">
        <f t="shared" si="880"/>
        <v>0</v>
      </c>
      <c r="CQ1046" s="2">
        <f t="shared" si="881"/>
        <v>0</v>
      </c>
      <c r="CR1046" s="2">
        <f t="shared" si="903"/>
        <v>0</v>
      </c>
      <c r="CS1046" s="2">
        <f t="shared" si="882"/>
        <v>0</v>
      </c>
      <c r="CT1046" s="2">
        <f t="shared" si="883"/>
        <v>0</v>
      </c>
      <c r="CU1046" s="2">
        <f t="shared" si="884"/>
        <v>0</v>
      </c>
      <c r="CV1046" s="2">
        <f t="shared" si="885"/>
        <v>0</v>
      </c>
      <c r="CW1046" s="2">
        <f t="shared" si="886"/>
        <v>0</v>
      </c>
      <c r="CX1046" s="2">
        <f t="shared" si="887"/>
        <v>0</v>
      </c>
      <c r="CY1046" s="2">
        <f>((S1046*BZ1046)/100)</f>
        <v>0</v>
      </c>
      <c r="CZ1046" s="2">
        <f>((S1046*CA1046)/100)</f>
        <v>0</v>
      </c>
      <c r="DA1046" s="2"/>
      <c r="DB1046" s="2"/>
      <c r="DC1046" s="2" t="s">
        <v>3</v>
      </c>
      <c r="DD1046" s="2" t="s">
        <v>3</v>
      </c>
      <c r="DE1046" s="2" t="s">
        <v>3</v>
      </c>
      <c r="DF1046" s="2" t="s">
        <v>3</v>
      </c>
      <c r="DG1046" s="2" t="s">
        <v>3</v>
      </c>
      <c r="DH1046" s="2" t="s">
        <v>3</v>
      </c>
      <c r="DI1046" s="2" t="s">
        <v>3</v>
      </c>
      <c r="DJ1046" s="2" t="s">
        <v>3</v>
      </c>
      <c r="DK1046" s="2" t="s">
        <v>3</v>
      </c>
      <c r="DL1046" s="2" t="s">
        <v>3</v>
      </c>
      <c r="DM1046" s="2" t="s">
        <v>3</v>
      </c>
      <c r="DN1046" s="2">
        <v>0</v>
      </c>
      <c r="DO1046" s="2">
        <v>0</v>
      </c>
      <c r="DP1046" s="2">
        <v>1</v>
      </c>
      <c r="DQ1046" s="2">
        <v>1</v>
      </c>
      <c r="DR1046" s="2"/>
      <c r="DS1046" s="2"/>
      <c r="DT1046" s="2"/>
      <c r="DU1046" s="2">
        <v>1010</v>
      </c>
      <c r="DV1046" s="2" t="s">
        <v>250</v>
      </c>
      <c r="DW1046" s="2" t="s">
        <v>250</v>
      </c>
      <c r="DX1046" s="2">
        <v>1</v>
      </c>
      <c r="DY1046" s="2"/>
      <c r="DZ1046" s="2" t="s">
        <v>3</v>
      </c>
      <c r="EA1046" s="2" t="s">
        <v>3</v>
      </c>
      <c r="EB1046" s="2" t="s">
        <v>3</v>
      </c>
      <c r="EC1046" s="2" t="s">
        <v>3</v>
      </c>
      <c r="ED1046" s="2"/>
      <c r="EE1046" s="2">
        <v>126053084</v>
      </c>
      <c r="EF1046" s="2">
        <v>30</v>
      </c>
      <c r="EG1046" s="2" t="s">
        <v>23</v>
      </c>
      <c r="EH1046" s="2">
        <v>0</v>
      </c>
      <c r="EI1046" s="2" t="s">
        <v>3</v>
      </c>
      <c r="EJ1046" s="2">
        <v>1</v>
      </c>
      <c r="EK1046" s="2">
        <v>1623</v>
      </c>
      <c r="EL1046" s="2" t="s">
        <v>824</v>
      </c>
      <c r="EM1046" s="2" t="s">
        <v>825</v>
      </c>
      <c r="EN1046" s="2"/>
      <c r="EO1046" s="2" t="s">
        <v>3</v>
      </c>
      <c r="EP1046" s="2"/>
      <c r="EQ1046" s="2">
        <v>0</v>
      </c>
      <c r="ER1046" s="2">
        <v>0</v>
      </c>
      <c r="ES1046" s="2">
        <v>0</v>
      </c>
      <c r="ET1046" s="2">
        <v>0</v>
      </c>
      <c r="EU1046" s="2">
        <v>0</v>
      </c>
      <c r="EV1046" s="2">
        <v>0</v>
      </c>
      <c r="EW1046" s="2">
        <v>0</v>
      </c>
      <c r="EX1046" s="2">
        <v>0</v>
      </c>
      <c r="EY1046" s="2"/>
      <c r="EZ1046" s="2"/>
      <c r="FA1046" s="2"/>
      <c r="FB1046" s="2"/>
      <c r="FC1046" s="2"/>
      <c r="FD1046" s="2"/>
      <c r="FE1046" s="2"/>
      <c r="FF1046" s="2"/>
      <c r="FG1046" s="2"/>
      <c r="FH1046" s="2"/>
      <c r="FI1046" s="2"/>
      <c r="FJ1046" s="2"/>
      <c r="FK1046" s="2"/>
      <c r="FL1046" s="2"/>
      <c r="FM1046" s="2"/>
      <c r="FN1046" s="2"/>
      <c r="FO1046" s="2"/>
      <c r="FP1046" s="2"/>
      <c r="FQ1046" s="2">
        <v>0</v>
      </c>
      <c r="FR1046" s="2">
        <f t="shared" si="888"/>
        <v>0</v>
      </c>
      <c r="FS1046" s="2">
        <v>0</v>
      </c>
      <c r="FT1046" s="2"/>
      <c r="FU1046" s="2"/>
      <c r="FV1046" s="2"/>
      <c r="FW1046" s="2"/>
      <c r="FX1046" s="2">
        <v>110</v>
      </c>
      <c r="FY1046" s="2">
        <v>74</v>
      </c>
      <c r="FZ1046" s="2"/>
      <c r="GA1046" s="2" t="s">
        <v>3</v>
      </c>
      <c r="GB1046" s="2"/>
      <c r="GC1046" s="2"/>
      <c r="GD1046" s="2">
        <v>0</v>
      </c>
      <c r="GE1046" s="2"/>
      <c r="GF1046" s="2">
        <v>-1782072134</v>
      </c>
      <c r="GG1046" s="2">
        <v>2</v>
      </c>
      <c r="GH1046" s="2">
        <v>0</v>
      </c>
      <c r="GI1046" s="2">
        <v>-2</v>
      </c>
      <c r="GJ1046" s="2">
        <v>0</v>
      </c>
      <c r="GK1046" s="2">
        <f>ROUND(R1046*(R12)/100,2)</f>
        <v>0</v>
      </c>
      <c r="GL1046" s="2">
        <f t="shared" si="889"/>
        <v>0</v>
      </c>
      <c r="GM1046" s="2">
        <f t="shared" si="890"/>
        <v>0</v>
      </c>
      <c r="GN1046" s="2">
        <f t="shared" si="891"/>
        <v>0</v>
      </c>
      <c r="GO1046" s="2">
        <f t="shared" si="892"/>
        <v>0</v>
      </c>
      <c r="GP1046" s="2">
        <f t="shared" si="893"/>
        <v>0</v>
      </c>
      <c r="GQ1046" s="2"/>
      <c r="GR1046" s="2">
        <v>0</v>
      </c>
      <c r="GS1046" s="2">
        <v>0</v>
      </c>
      <c r="GT1046" s="2">
        <v>0</v>
      </c>
      <c r="GU1046" s="2" t="s">
        <v>3</v>
      </c>
      <c r="GV1046" s="2">
        <f t="shared" si="894"/>
        <v>0</v>
      </c>
      <c r="GW1046" s="2">
        <v>1</v>
      </c>
      <c r="GX1046" s="2">
        <f t="shared" si="895"/>
        <v>0</v>
      </c>
      <c r="GY1046" s="2"/>
      <c r="GZ1046" s="2"/>
      <c r="HA1046" s="2">
        <v>0</v>
      </c>
      <c r="HB1046" s="2">
        <v>0</v>
      </c>
      <c r="HC1046" s="2">
        <f t="shared" si="896"/>
        <v>0</v>
      </c>
      <c r="HD1046" s="2"/>
      <c r="HE1046" s="2" t="s">
        <v>3</v>
      </c>
      <c r="HF1046" s="2" t="s">
        <v>3</v>
      </c>
      <c r="HG1046" s="2"/>
      <c r="HH1046" s="2"/>
      <c r="HI1046" s="2"/>
      <c r="HJ1046" s="2"/>
      <c r="HK1046" s="2"/>
      <c r="HL1046" s="2"/>
      <c r="HM1046" s="2" t="s">
        <v>3</v>
      </c>
      <c r="HN1046" s="2" t="s">
        <v>3</v>
      </c>
      <c r="HO1046" s="2" t="s">
        <v>3</v>
      </c>
      <c r="HP1046" s="2" t="s">
        <v>3</v>
      </c>
      <c r="HQ1046" s="2" t="s">
        <v>3</v>
      </c>
      <c r="HR1046" s="2"/>
      <c r="HS1046" s="2"/>
      <c r="HT1046" s="2"/>
      <c r="HU1046" s="2"/>
      <c r="HV1046" s="2"/>
      <c r="HW1046" s="2"/>
      <c r="HX1046" s="2"/>
      <c r="HY1046" s="2"/>
      <c r="HZ1046" s="2"/>
      <c r="IA1046" s="2"/>
      <c r="IB1046" s="2"/>
      <c r="IC1046" s="2"/>
      <c r="ID1046" s="2"/>
      <c r="IE1046" s="2"/>
      <c r="IF1046" s="2"/>
      <c r="IG1046" s="2"/>
      <c r="IH1046" s="2"/>
      <c r="II1046" s="2"/>
      <c r="IJ1046" s="2"/>
      <c r="IK1046" s="2">
        <v>0</v>
      </c>
      <c r="IL1046" s="2"/>
      <c r="IM1046" s="2"/>
      <c r="IN1046" s="2"/>
      <c r="IO1046" s="2"/>
      <c r="IP1046" s="2"/>
      <c r="IQ1046" s="2"/>
      <c r="IR1046" s="2"/>
      <c r="IS1046" s="2"/>
      <c r="IT1046" s="2"/>
      <c r="IU1046" s="2"/>
    </row>
    <row r="1047" spans="1:255" x14ac:dyDescent="0.2">
      <c r="A1047">
        <v>18</v>
      </c>
      <c r="B1047">
        <v>1</v>
      </c>
      <c r="C1047">
        <v>868</v>
      </c>
      <c r="E1047" t="s">
        <v>533</v>
      </c>
      <c r="F1047" t="s">
        <v>833</v>
      </c>
      <c r="G1047" t="s">
        <v>834</v>
      </c>
      <c r="H1047" t="s">
        <v>250</v>
      </c>
      <c r="I1047">
        <f>I1043*J1047</f>
        <v>5</v>
      </c>
      <c r="J1047">
        <v>25</v>
      </c>
      <c r="K1047">
        <v>25</v>
      </c>
      <c r="O1047">
        <f t="shared" si="866"/>
        <v>0</v>
      </c>
      <c r="P1047">
        <f t="shared" si="867"/>
        <v>0</v>
      </c>
      <c r="Q1047">
        <f t="shared" si="897"/>
        <v>0</v>
      </c>
      <c r="R1047">
        <f t="shared" si="868"/>
        <v>0</v>
      </c>
      <c r="S1047">
        <f t="shared" si="869"/>
        <v>0</v>
      </c>
      <c r="T1047">
        <f t="shared" si="870"/>
        <v>0</v>
      </c>
      <c r="U1047">
        <f t="shared" si="871"/>
        <v>0</v>
      </c>
      <c r="V1047">
        <f t="shared" si="872"/>
        <v>0</v>
      </c>
      <c r="W1047">
        <f t="shared" si="873"/>
        <v>0</v>
      </c>
      <c r="X1047">
        <f t="shared" si="874"/>
        <v>0</v>
      </c>
      <c r="Y1047">
        <f t="shared" si="875"/>
        <v>0</v>
      </c>
      <c r="AA1047">
        <v>129761633</v>
      </c>
      <c r="AB1047">
        <f t="shared" si="876"/>
        <v>0</v>
      </c>
      <c r="AC1047">
        <f t="shared" si="877"/>
        <v>0</v>
      </c>
      <c r="AD1047">
        <f t="shared" si="898"/>
        <v>0</v>
      </c>
      <c r="AE1047">
        <f t="shared" si="899"/>
        <v>0</v>
      </c>
      <c r="AF1047">
        <f t="shared" si="900"/>
        <v>0</v>
      </c>
      <c r="AG1047">
        <f t="shared" si="878"/>
        <v>0</v>
      </c>
      <c r="AH1047">
        <f t="shared" si="901"/>
        <v>0</v>
      </c>
      <c r="AI1047">
        <f t="shared" si="902"/>
        <v>0</v>
      </c>
      <c r="AJ1047">
        <f t="shared" si="879"/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1</v>
      </c>
      <c r="AW1047">
        <v>1</v>
      </c>
      <c r="AZ1047">
        <v>1</v>
      </c>
      <c r="BA1047">
        <v>1</v>
      </c>
      <c r="BB1047">
        <v>1</v>
      </c>
      <c r="BC1047">
        <v>6.23</v>
      </c>
      <c r="BD1047" t="s">
        <v>3</v>
      </c>
      <c r="BE1047" t="s">
        <v>3</v>
      </c>
      <c r="BF1047" t="s">
        <v>3</v>
      </c>
      <c r="BG1047" t="s">
        <v>3</v>
      </c>
      <c r="BH1047">
        <v>3</v>
      </c>
      <c r="BI1047">
        <v>1</v>
      </c>
      <c r="BJ1047" t="s">
        <v>3</v>
      </c>
      <c r="BM1047">
        <v>1623</v>
      </c>
      <c r="BN1047">
        <v>0</v>
      </c>
      <c r="BO1047" t="s">
        <v>833</v>
      </c>
      <c r="BP1047">
        <v>1</v>
      </c>
      <c r="BQ1047">
        <v>30</v>
      </c>
      <c r="BR1047">
        <v>0</v>
      </c>
      <c r="BS1047">
        <v>1</v>
      </c>
      <c r="BT1047">
        <v>1</v>
      </c>
      <c r="BU1047">
        <v>1</v>
      </c>
      <c r="BV1047">
        <v>1</v>
      </c>
      <c r="BW1047">
        <v>1</v>
      </c>
      <c r="BX1047">
        <v>1</v>
      </c>
      <c r="BY1047" t="s">
        <v>3</v>
      </c>
      <c r="BZ1047">
        <v>0</v>
      </c>
      <c r="CA1047">
        <v>0</v>
      </c>
      <c r="CB1047" t="s">
        <v>3</v>
      </c>
      <c r="CE1047">
        <v>30</v>
      </c>
      <c r="CF1047">
        <v>0</v>
      </c>
      <c r="CG1047">
        <v>0</v>
      </c>
      <c r="CM1047">
        <v>0</v>
      </c>
      <c r="CN1047" t="s">
        <v>3</v>
      </c>
      <c r="CO1047">
        <v>0</v>
      </c>
      <c r="CP1047">
        <f t="shared" si="880"/>
        <v>0</v>
      </c>
      <c r="CQ1047">
        <f t="shared" si="881"/>
        <v>0</v>
      </c>
      <c r="CR1047">
        <f t="shared" si="903"/>
        <v>0</v>
      </c>
      <c r="CS1047">
        <f t="shared" si="882"/>
        <v>0</v>
      </c>
      <c r="CT1047">
        <f t="shared" si="883"/>
        <v>0</v>
      </c>
      <c r="CU1047">
        <f t="shared" si="884"/>
        <v>0</v>
      </c>
      <c r="CV1047">
        <f t="shared" si="885"/>
        <v>0</v>
      </c>
      <c r="CW1047">
        <f t="shared" si="886"/>
        <v>0</v>
      </c>
      <c r="CX1047">
        <f t="shared" si="887"/>
        <v>0</v>
      </c>
      <c r="CY1047">
        <f>S1047*(BZ1047/100)</f>
        <v>0</v>
      </c>
      <c r="CZ1047">
        <f>S1047*(CA1047/100)</f>
        <v>0</v>
      </c>
      <c r="DC1047" t="s">
        <v>3</v>
      </c>
      <c r="DD1047" t="s">
        <v>3</v>
      </c>
      <c r="DE1047" t="s">
        <v>3</v>
      </c>
      <c r="DF1047" t="s">
        <v>3</v>
      </c>
      <c r="DG1047" t="s">
        <v>3</v>
      </c>
      <c r="DH1047" t="s">
        <v>3</v>
      </c>
      <c r="DI1047" t="s">
        <v>3</v>
      </c>
      <c r="DJ1047" t="s">
        <v>3</v>
      </c>
      <c r="DK1047" t="s">
        <v>3</v>
      </c>
      <c r="DL1047" t="s">
        <v>3</v>
      </c>
      <c r="DM1047" t="s">
        <v>3</v>
      </c>
      <c r="DN1047">
        <v>110</v>
      </c>
      <c r="DO1047">
        <v>74</v>
      </c>
      <c r="DP1047">
        <v>1</v>
      </c>
      <c r="DQ1047">
        <v>1</v>
      </c>
      <c r="DU1047">
        <v>1010</v>
      </c>
      <c r="DV1047" t="s">
        <v>250</v>
      </c>
      <c r="DW1047" t="s">
        <v>250</v>
      </c>
      <c r="DX1047">
        <v>1</v>
      </c>
      <c r="DZ1047" t="s">
        <v>3</v>
      </c>
      <c r="EA1047" t="s">
        <v>3</v>
      </c>
      <c r="EB1047" t="s">
        <v>3</v>
      </c>
      <c r="EC1047" t="s">
        <v>3</v>
      </c>
      <c r="EE1047">
        <v>126053084</v>
      </c>
      <c r="EF1047">
        <v>30</v>
      </c>
      <c r="EG1047" t="s">
        <v>23</v>
      </c>
      <c r="EH1047">
        <v>0</v>
      </c>
      <c r="EI1047" t="s">
        <v>3</v>
      </c>
      <c r="EJ1047">
        <v>1</v>
      </c>
      <c r="EK1047">
        <v>1623</v>
      </c>
      <c r="EL1047" t="s">
        <v>824</v>
      </c>
      <c r="EM1047" t="s">
        <v>825</v>
      </c>
      <c r="EO1047" t="s">
        <v>3</v>
      </c>
      <c r="EQ1047">
        <v>0</v>
      </c>
      <c r="ER1047">
        <v>0</v>
      </c>
      <c r="ES1047">
        <v>0</v>
      </c>
      <c r="ET1047">
        <v>0</v>
      </c>
      <c r="EU1047">
        <v>0</v>
      </c>
      <c r="EV1047">
        <v>0</v>
      </c>
      <c r="EW1047">
        <v>0</v>
      </c>
      <c r="EX1047">
        <v>0</v>
      </c>
      <c r="FQ1047">
        <v>0</v>
      </c>
      <c r="FR1047">
        <f t="shared" si="888"/>
        <v>0</v>
      </c>
      <c r="FS1047">
        <v>0</v>
      </c>
      <c r="FX1047">
        <v>110</v>
      </c>
      <c r="FY1047">
        <v>74</v>
      </c>
      <c r="GA1047" t="s">
        <v>259</v>
      </c>
      <c r="GD1047">
        <v>0</v>
      </c>
      <c r="GF1047">
        <v>-1782072134</v>
      </c>
      <c r="GG1047">
        <v>2</v>
      </c>
      <c r="GH1047">
        <v>2</v>
      </c>
      <c r="GI1047">
        <v>2</v>
      </c>
      <c r="GJ1047">
        <v>0</v>
      </c>
      <c r="GK1047">
        <f>ROUND(R1047*(S12)/100,2)</f>
        <v>0</v>
      </c>
      <c r="GL1047">
        <f t="shared" si="889"/>
        <v>0</v>
      </c>
      <c r="GM1047">
        <f t="shared" si="890"/>
        <v>0</v>
      </c>
      <c r="GN1047">
        <f t="shared" si="891"/>
        <v>0</v>
      </c>
      <c r="GO1047">
        <f t="shared" si="892"/>
        <v>0</v>
      </c>
      <c r="GP1047">
        <f t="shared" si="893"/>
        <v>0</v>
      </c>
      <c r="GR1047">
        <v>0</v>
      </c>
      <c r="GS1047">
        <v>4</v>
      </c>
      <c r="GT1047">
        <v>0</v>
      </c>
      <c r="GU1047" t="s">
        <v>3</v>
      </c>
      <c r="GV1047">
        <f t="shared" si="894"/>
        <v>0</v>
      </c>
      <c r="GW1047">
        <v>1</v>
      </c>
      <c r="GX1047">
        <f t="shared" si="895"/>
        <v>0</v>
      </c>
      <c r="HA1047">
        <v>0</v>
      </c>
      <c r="HB1047">
        <v>0</v>
      </c>
      <c r="HC1047">
        <f t="shared" si="896"/>
        <v>0</v>
      </c>
      <c r="HE1047" t="s">
        <v>3</v>
      </c>
      <c r="HF1047" t="s">
        <v>3</v>
      </c>
      <c r="HM1047" t="s">
        <v>3</v>
      </c>
      <c r="HN1047" t="s">
        <v>3</v>
      </c>
      <c r="HO1047" t="s">
        <v>3</v>
      </c>
      <c r="HP1047" t="s">
        <v>3</v>
      </c>
      <c r="HQ1047" t="s">
        <v>3</v>
      </c>
      <c r="IK1047">
        <v>0</v>
      </c>
    </row>
    <row r="1048" spans="1:255" x14ac:dyDescent="0.2">
      <c r="A1048" s="2">
        <v>18</v>
      </c>
      <c r="B1048" s="2">
        <v>1</v>
      </c>
      <c r="C1048" s="2">
        <v>844</v>
      </c>
      <c r="D1048" s="2"/>
      <c r="E1048" s="2" t="s">
        <v>536</v>
      </c>
      <c r="F1048" s="2" t="s">
        <v>835</v>
      </c>
      <c r="G1048" s="2" t="s">
        <v>836</v>
      </c>
      <c r="H1048" s="2" t="s">
        <v>250</v>
      </c>
      <c r="I1048" s="2">
        <f>I1042*J1048</f>
        <v>12</v>
      </c>
      <c r="J1048" s="2">
        <v>60</v>
      </c>
      <c r="K1048" s="2">
        <v>60</v>
      </c>
      <c r="L1048" s="2"/>
      <c r="M1048" s="2"/>
      <c r="N1048" s="2"/>
      <c r="O1048" s="2">
        <f t="shared" si="866"/>
        <v>0</v>
      </c>
      <c r="P1048" s="2">
        <f t="shared" si="867"/>
        <v>0</v>
      </c>
      <c r="Q1048" s="2">
        <f t="shared" si="897"/>
        <v>0</v>
      </c>
      <c r="R1048" s="2">
        <f t="shared" si="868"/>
        <v>0</v>
      </c>
      <c r="S1048" s="2">
        <f t="shared" si="869"/>
        <v>0</v>
      </c>
      <c r="T1048" s="2">
        <f t="shared" si="870"/>
        <v>0</v>
      </c>
      <c r="U1048" s="2">
        <f t="shared" si="871"/>
        <v>0</v>
      </c>
      <c r="V1048" s="2">
        <f t="shared" si="872"/>
        <v>0</v>
      </c>
      <c r="W1048" s="2">
        <f t="shared" si="873"/>
        <v>0</v>
      </c>
      <c r="X1048" s="2">
        <f t="shared" si="874"/>
        <v>0</v>
      </c>
      <c r="Y1048" s="2">
        <f t="shared" si="875"/>
        <v>0</v>
      </c>
      <c r="Z1048" s="2"/>
      <c r="AA1048" s="2">
        <v>129761636</v>
      </c>
      <c r="AB1048" s="2">
        <f t="shared" si="876"/>
        <v>0</v>
      </c>
      <c r="AC1048" s="2">
        <f t="shared" si="877"/>
        <v>0</v>
      </c>
      <c r="AD1048" s="2">
        <f t="shared" si="898"/>
        <v>0</v>
      </c>
      <c r="AE1048" s="2">
        <f t="shared" si="899"/>
        <v>0</v>
      </c>
      <c r="AF1048" s="2">
        <f t="shared" si="900"/>
        <v>0</v>
      </c>
      <c r="AG1048" s="2">
        <f t="shared" si="878"/>
        <v>0</v>
      </c>
      <c r="AH1048" s="2">
        <f t="shared" si="901"/>
        <v>0</v>
      </c>
      <c r="AI1048" s="2">
        <f t="shared" si="902"/>
        <v>0</v>
      </c>
      <c r="AJ1048" s="2">
        <f t="shared" si="879"/>
        <v>0</v>
      </c>
      <c r="AK1048" s="2">
        <v>0</v>
      </c>
      <c r="AL1048" s="2">
        <v>0</v>
      </c>
      <c r="AM1048" s="2">
        <v>0</v>
      </c>
      <c r="AN1048" s="2">
        <v>0</v>
      </c>
      <c r="AO1048" s="2">
        <v>0</v>
      </c>
      <c r="AP1048" s="2">
        <v>0</v>
      </c>
      <c r="AQ1048" s="2">
        <v>0</v>
      </c>
      <c r="AR1048" s="2">
        <v>0</v>
      </c>
      <c r="AS1048" s="2">
        <v>0</v>
      </c>
      <c r="AT1048" s="2">
        <v>110</v>
      </c>
      <c r="AU1048" s="2">
        <v>74</v>
      </c>
      <c r="AV1048" s="2">
        <v>1</v>
      </c>
      <c r="AW1048" s="2">
        <v>1</v>
      </c>
      <c r="AX1048" s="2"/>
      <c r="AY1048" s="2"/>
      <c r="AZ1048" s="2">
        <v>1</v>
      </c>
      <c r="BA1048" s="2">
        <v>1</v>
      </c>
      <c r="BB1048" s="2">
        <v>1</v>
      </c>
      <c r="BC1048" s="2">
        <v>1</v>
      </c>
      <c r="BD1048" s="2" t="s">
        <v>3</v>
      </c>
      <c r="BE1048" s="2" t="s">
        <v>3</v>
      </c>
      <c r="BF1048" s="2" t="s">
        <v>3</v>
      </c>
      <c r="BG1048" s="2" t="s">
        <v>3</v>
      </c>
      <c r="BH1048" s="2">
        <v>3</v>
      </c>
      <c r="BI1048" s="2">
        <v>1</v>
      </c>
      <c r="BJ1048" s="2" t="s">
        <v>3</v>
      </c>
      <c r="BK1048" s="2"/>
      <c r="BL1048" s="2"/>
      <c r="BM1048" s="2">
        <v>1623</v>
      </c>
      <c r="BN1048" s="2">
        <v>0</v>
      </c>
      <c r="BO1048" s="2" t="s">
        <v>3</v>
      </c>
      <c r="BP1048" s="2">
        <v>0</v>
      </c>
      <c r="BQ1048" s="2">
        <v>30</v>
      </c>
      <c r="BR1048" s="2">
        <v>0</v>
      </c>
      <c r="BS1048" s="2">
        <v>1</v>
      </c>
      <c r="BT1048" s="2">
        <v>1</v>
      </c>
      <c r="BU1048" s="2">
        <v>1</v>
      </c>
      <c r="BV1048" s="2">
        <v>1</v>
      </c>
      <c r="BW1048" s="2">
        <v>1</v>
      </c>
      <c r="BX1048" s="2">
        <v>1</v>
      </c>
      <c r="BY1048" s="2" t="s">
        <v>3</v>
      </c>
      <c r="BZ1048" s="2">
        <v>110</v>
      </c>
      <c r="CA1048" s="2">
        <v>74</v>
      </c>
      <c r="CB1048" s="2" t="s">
        <v>3</v>
      </c>
      <c r="CC1048" s="2"/>
      <c r="CD1048" s="2"/>
      <c r="CE1048" s="2">
        <v>30</v>
      </c>
      <c r="CF1048" s="2">
        <v>0</v>
      </c>
      <c r="CG1048" s="2">
        <v>0</v>
      </c>
      <c r="CH1048" s="2"/>
      <c r="CI1048" s="2"/>
      <c r="CJ1048" s="2"/>
      <c r="CK1048" s="2"/>
      <c r="CL1048" s="2"/>
      <c r="CM1048" s="2">
        <v>0</v>
      </c>
      <c r="CN1048" s="2" t="s">
        <v>3</v>
      </c>
      <c r="CO1048" s="2">
        <v>0</v>
      </c>
      <c r="CP1048" s="2">
        <f t="shared" si="880"/>
        <v>0</v>
      </c>
      <c r="CQ1048" s="2">
        <f t="shared" si="881"/>
        <v>0</v>
      </c>
      <c r="CR1048" s="2">
        <f t="shared" si="903"/>
        <v>0</v>
      </c>
      <c r="CS1048" s="2">
        <f t="shared" si="882"/>
        <v>0</v>
      </c>
      <c r="CT1048" s="2">
        <f t="shared" si="883"/>
        <v>0</v>
      </c>
      <c r="CU1048" s="2">
        <f t="shared" si="884"/>
        <v>0</v>
      </c>
      <c r="CV1048" s="2">
        <f t="shared" si="885"/>
        <v>0</v>
      </c>
      <c r="CW1048" s="2">
        <f t="shared" si="886"/>
        <v>0</v>
      </c>
      <c r="CX1048" s="2">
        <f t="shared" si="887"/>
        <v>0</v>
      </c>
      <c r="CY1048" s="2">
        <f>((S1048*BZ1048)/100)</f>
        <v>0</v>
      </c>
      <c r="CZ1048" s="2">
        <f>((S1048*CA1048)/100)</f>
        <v>0</v>
      </c>
      <c r="DA1048" s="2"/>
      <c r="DB1048" s="2"/>
      <c r="DC1048" s="2" t="s">
        <v>3</v>
      </c>
      <c r="DD1048" s="2" t="s">
        <v>3</v>
      </c>
      <c r="DE1048" s="2" t="s">
        <v>3</v>
      </c>
      <c r="DF1048" s="2" t="s">
        <v>3</v>
      </c>
      <c r="DG1048" s="2" t="s">
        <v>3</v>
      </c>
      <c r="DH1048" s="2" t="s">
        <v>3</v>
      </c>
      <c r="DI1048" s="2" t="s">
        <v>3</v>
      </c>
      <c r="DJ1048" s="2" t="s">
        <v>3</v>
      </c>
      <c r="DK1048" s="2" t="s">
        <v>3</v>
      </c>
      <c r="DL1048" s="2" t="s">
        <v>3</v>
      </c>
      <c r="DM1048" s="2" t="s">
        <v>3</v>
      </c>
      <c r="DN1048" s="2">
        <v>0</v>
      </c>
      <c r="DO1048" s="2">
        <v>0</v>
      </c>
      <c r="DP1048" s="2">
        <v>1</v>
      </c>
      <c r="DQ1048" s="2">
        <v>1</v>
      </c>
      <c r="DR1048" s="2"/>
      <c r="DS1048" s="2"/>
      <c r="DT1048" s="2"/>
      <c r="DU1048" s="2">
        <v>1010</v>
      </c>
      <c r="DV1048" s="2" t="s">
        <v>250</v>
      </c>
      <c r="DW1048" s="2" t="s">
        <v>250</v>
      </c>
      <c r="DX1048" s="2">
        <v>1</v>
      </c>
      <c r="DY1048" s="2"/>
      <c r="DZ1048" s="2" t="s">
        <v>3</v>
      </c>
      <c r="EA1048" s="2" t="s">
        <v>3</v>
      </c>
      <c r="EB1048" s="2" t="s">
        <v>3</v>
      </c>
      <c r="EC1048" s="2" t="s">
        <v>3</v>
      </c>
      <c r="ED1048" s="2"/>
      <c r="EE1048" s="2">
        <v>126053084</v>
      </c>
      <c r="EF1048" s="2">
        <v>30</v>
      </c>
      <c r="EG1048" s="2" t="s">
        <v>23</v>
      </c>
      <c r="EH1048" s="2">
        <v>0</v>
      </c>
      <c r="EI1048" s="2" t="s">
        <v>3</v>
      </c>
      <c r="EJ1048" s="2">
        <v>1</v>
      </c>
      <c r="EK1048" s="2">
        <v>1623</v>
      </c>
      <c r="EL1048" s="2" t="s">
        <v>824</v>
      </c>
      <c r="EM1048" s="2" t="s">
        <v>825</v>
      </c>
      <c r="EN1048" s="2"/>
      <c r="EO1048" s="2" t="s">
        <v>3</v>
      </c>
      <c r="EP1048" s="2"/>
      <c r="EQ1048" s="2">
        <v>0</v>
      </c>
      <c r="ER1048" s="2">
        <v>0</v>
      </c>
      <c r="ES1048" s="2">
        <v>0</v>
      </c>
      <c r="ET1048" s="2">
        <v>0</v>
      </c>
      <c r="EU1048" s="2">
        <v>0</v>
      </c>
      <c r="EV1048" s="2">
        <v>0</v>
      </c>
      <c r="EW1048" s="2">
        <v>0</v>
      </c>
      <c r="EX1048" s="2">
        <v>0</v>
      </c>
      <c r="EY1048" s="2"/>
      <c r="EZ1048" s="2"/>
      <c r="FA1048" s="2"/>
      <c r="FB1048" s="2"/>
      <c r="FC1048" s="2"/>
      <c r="FD1048" s="2"/>
      <c r="FE1048" s="2"/>
      <c r="FF1048" s="2"/>
      <c r="FG1048" s="2"/>
      <c r="FH1048" s="2"/>
      <c r="FI1048" s="2"/>
      <c r="FJ1048" s="2"/>
      <c r="FK1048" s="2"/>
      <c r="FL1048" s="2"/>
      <c r="FM1048" s="2"/>
      <c r="FN1048" s="2"/>
      <c r="FO1048" s="2"/>
      <c r="FP1048" s="2"/>
      <c r="FQ1048" s="2">
        <v>0</v>
      </c>
      <c r="FR1048" s="2">
        <f t="shared" si="888"/>
        <v>0</v>
      </c>
      <c r="FS1048" s="2">
        <v>0</v>
      </c>
      <c r="FT1048" s="2"/>
      <c r="FU1048" s="2"/>
      <c r="FV1048" s="2"/>
      <c r="FW1048" s="2"/>
      <c r="FX1048" s="2">
        <v>110</v>
      </c>
      <c r="FY1048" s="2">
        <v>74</v>
      </c>
      <c r="FZ1048" s="2"/>
      <c r="GA1048" s="2" t="s">
        <v>3</v>
      </c>
      <c r="GB1048" s="2"/>
      <c r="GC1048" s="2"/>
      <c r="GD1048" s="2">
        <v>0</v>
      </c>
      <c r="GE1048" s="2"/>
      <c r="GF1048" s="2">
        <v>197807928</v>
      </c>
      <c r="GG1048" s="2">
        <v>2</v>
      </c>
      <c r="GH1048" s="2">
        <v>0</v>
      </c>
      <c r="GI1048" s="2">
        <v>-2</v>
      </c>
      <c r="GJ1048" s="2">
        <v>0</v>
      </c>
      <c r="GK1048" s="2">
        <f>ROUND(R1048*(R12)/100,2)</f>
        <v>0</v>
      </c>
      <c r="GL1048" s="2">
        <f t="shared" si="889"/>
        <v>0</v>
      </c>
      <c r="GM1048" s="2">
        <f t="shared" si="890"/>
        <v>0</v>
      </c>
      <c r="GN1048" s="2">
        <f t="shared" si="891"/>
        <v>0</v>
      </c>
      <c r="GO1048" s="2">
        <f t="shared" si="892"/>
        <v>0</v>
      </c>
      <c r="GP1048" s="2">
        <f t="shared" si="893"/>
        <v>0</v>
      </c>
      <c r="GQ1048" s="2"/>
      <c r="GR1048" s="2">
        <v>0</v>
      </c>
      <c r="GS1048" s="2">
        <v>0</v>
      </c>
      <c r="GT1048" s="2">
        <v>0</v>
      </c>
      <c r="GU1048" s="2" t="s">
        <v>3</v>
      </c>
      <c r="GV1048" s="2">
        <f t="shared" si="894"/>
        <v>0</v>
      </c>
      <c r="GW1048" s="2">
        <v>1</v>
      </c>
      <c r="GX1048" s="2">
        <f t="shared" si="895"/>
        <v>0</v>
      </c>
      <c r="GY1048" s="2"/>
      <c r="GZ1048" s="2"/>
      <c r="HA1048" s="2">
        <v>0</v>
      </c>
      <c r="HB1048" s="2">
        <v>0</v>
      </c>
      <c r="HC1048" s="2">
        <f t="shared" si="896"/>
        <v>0</v>
      </c>
      <c r="HD1048" s="2"/>
      <c r="HE1048" s="2" t="s">
        <v>3</v>
      </c>
      <c r="HF1048" s="2" t="s">
        <v>3</v>
      </c>
      <c r="HG1048" s="2"/>
      <c r="HH1048" s="2"/>
      <c r="HI1048" s="2"/>
      <c r="HJ1048" s="2"/>
      <c r="HK1048" s="2"/>
      <c r="HL1048" s="2"/>
      <c r="HM1048" s="2" t="s">
        <v>3</v>
      </c>
      <c r="HN1048" s="2" t="s">
        <v>3</v>
      </c>
      <c r="HO1048" s="2" t="s">
        <v>3</v>
      </c>
      <c r="HP1048" s="2" t="s">
        <v>3</v>
      </c>
      <c r="HQ1048" s="2" t="s">
        <v>3</v>
      </c>
      <c r="HR1048" s="2"/>
      <c r="HS1048" s="2"/>
      <c r="HT1048" s="2"/>
      <c r="HU1048" s="2"/>
      <c r="HV1048" s="2"/>
      <c r="HW1048" s="2"/>
      <c r="HX1048" s="2"/>
      <c r="HY1048" s="2"/>
      <c r="HZ1048" s="2"/>
      <c r="IA1048" s="2"/>
      <c r="IB1048" s="2"/>
      <c r="IC1048" s="2"/>
      <c r="ID1048" s="2"/>
      <c r="IE1048" s="2"/>
      <c r="IF1048" s="2"/>
      <c r="IG1048" s="2"/>
      <c r="IH1048" s="2"/>
      <c r="II1048" s="2"/>
      <c r="IJ1048" s="2"/>
      <c r="IK1048" s="2">
        <v>0</v>
      </c>
      <c r="IL1048" s="2"/>
      <c r="IM1048" s="2"/>
      <c r="IN1048" s="2"/>
      <c r="IO1048" s="2"/>
      <c r="IP1048" s="2"/>
      <c r="IQ1048" s="2"/>
      <c r="IR1048" s="2"/>
      <c r="IS1048" s="2"/>
      <c r="IT1048" s="2"/>
      <c r="IU1048" s="2"/>
    </row>
    <row r="1049" spans="1:255" x14ac:dyDescent="0.2">
      <c r="A1049">
        <v>18</v>
      </c>
      <c r="B1049">
        <v>1</v>
      </c>
      <c r="C1049">
        <v>865</v>
      </c>
      <c r="E1049" t="s">
        <v>536</v>
      </c>
      <c r="F1049" t="s">
        <v>835</v>
      </c>
      <c r="G1049" t="s">
        <v>836</v>
      </c>
      <c r="H1049" t="s">
        <v>250</v>
      </c>
      <c r="I1049">
        <f>I1043*J1049</f>
        <v>12</v>
      </c>
      <c r="J1049">
        <v>60</v>
      </c>
      <c r="K1049">
        <v>60</v>
      </c>
      <c r="O1049">
        <f t="shared" si="866"/>
        <v>0</v>
      </c>
      <c r="P1049">
        <f t="shared" si="867"/>
        <v>0</v>
      </c>
      <c r="Q1049">
        <f t="shared" si="897"/>
        <v>0</v>
      </c>
      <c r="R1049">
        <f t="shared" si="868"/>
        <v>0</v>
      </c>
      <c r="S1049">
        <f t="shared" si="869"/>
        <v>0</v>
      </c>
      <c r="T1049">
        <f t="shared" si="870"/>
        <v>0</v>
      </c>
      <c r="U1049">
        <f t="shared" si="871"/>
        <v>0</v>
      </c>
      <c r="V1049">
        <f t="shared" si="872"/>
        <v>0</v>
      </c>
      <c r="W1049">
        <f t="shared" si="873"/>
        <v>0</v>
      </c>
      <c r="X1049">
        <f t="shared" si="874"/>
        <v>0</v>
      </c>
      <c r="Y1049">
        <f t="shared" si="875"/>
        <v>0</v>
      </c>
      <c r="AA1049">
        <v>129761633</v>
      </c>
      <c r="AB1049">
        <f t="shared" si="876"/>
        <v>0</v>
      </c>
      <c r="AC1049">
        <f t="shared" si="877"/>
        <v>0</v>
      </c>
      <c r="AD1049">
        <f t="shared" si="898"/>
        <v>0</v>
      </c>
      <c r="AE1049">
        <f t="shared" si="899"/>
        <v>0</v>
      </c>
      <c r="AF1049">
        <f t="shared" si="900"/>
        <v>0</v>
      </c>
      <c r="AG1049">
        <f t="shared" si="878"/>
        <v>0</v>
      </c>
      <c r="AH1049">
        <f t="shared" si="901"/>
        <v>0</v>
      </c>
      <c r="AI1049">
        <f t="shared" si="902"/>
        <v>0</v>
      </c>
      <c r="AJ1049">
        <f t="shared" si="879"/>
        <v>0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1</v>
      </c>
      <c r="AW1049">
        <v>1</v>
      </c>
      <c r="AZ1049">
        <v>1</v>
      </c>
      <c r="BA1049">
        <v>1</v>
      </c>
      <c r="BB1049">
        <v>1</v>
      </c>
      <c r="BC1049">
        <v>2.6</v>
      </c>
      <c r="BD1049" t="s">
        <v>3</v>
      </c>
      <c r="BE1049" t="s">
        <v>3</v>
      </c>
      <c r="BF1049" t="s">
        <v>3</v>
      </c>
      <c r="BG1049" t="s">
        <v>3</v>
      </c>
      <c r="BH1049">
        <v>3</v>
      </c>
      <c r="BI1049">
        <v>1</v>
      </c>
      <c r="BJ1049" t="s">
        <v>3</v>
      </c>
      <c r="BM1049">
        <v>1623</v>
      </c>
      <c r="BN1049">
        <v>0</v>
      </c>
      <c r="BO1049" t="s">
        <v>835</v>
      </c>
      <c r="BP1049">
        <v>1</v>
      </c>
      <c r="BQ1049">
        <v>30</v>
      </c>
      <c r="BR1049">
        <v>0</v>
      </c>
      <c r="BS1049">
        <v>1</v>
      </c>
      <c r="BT1049">
        <v>1</v>
      </c>
      <c r="BU1049">
        <v>1</v>
      </c>
      <c r="BV1049">
        <v>1</v>
      </c>
      <c r="BW1049">
        <v>1</v>
      </c>
      <c r="BX1049">
        <v>1</v>
      </c>
      <c r="BY1049" t="s">
        <v>3</v>
      </c>
      <c r="BZ1049">
        <v>0</v>
      </c>
      <c r="CA1049">
        <v>0</v>
      </c>
      <c r="CB1049" t="s">
        <v>3</v>
      </c>
      <c r="CE1049">
        <v>30</v>
      </c>
      <c r="CF1049">
        <v>0</v>
      </c>
      <c r="CG1049">
        <v>0</v>
      </c>
      <c r="CM1049">
        <v>0</v>
      </c>
      <c r="CN1049" t="s">
        <v>3</v>
      </c>
      <c r="CO1049">
        <v>0</v>
      </c>
      <c r="CP1049">
        <f t="shared" si="880"/>
        <v>0</v>
      </c>
      <c r="CQ1049">
        <f t="shared" si="881"/>
        <v>0</v>
      </c>
      <c r="CR1049">
        <f t="shared" si="903"/>
        <v>0</v>
      </c>
      <c r="CS1049">
        <f t="shared" si="882"/>
        <v>0</v>
      </c>
      <c r="CT1049">
        <f t="shared" si="883"/>
        <v>0</v>
      </c>
      <c r="CU1049">
        <f t="shared" si="884"/>
        <v>0</v>
      </c>
      <c r="CV1049">
        <f t="shared" si="885"/>
        <v>0</v>
      </c>
      <c r="CW1049">
        <f t="shared" si="886"/>
        <v>0</v>
      </c>
      <c r="CX1049">
        <f t="shared" si="887"/>
        <v>0</v>
      </c>
      <c r="CY1049">
        <f>S1049*(BZ1049/100)</f>
        <v>0</v>
      </c>
      <c r="CZ1049">
        <f>S1049*(CA1049/100)</f>
        <v>0</v>
      </c>
      <c r="DC1049" t="s">
        <v>3</v>
      </c>
      <c r="DD1049" t="s">
        <v>3</v>
      </c>
      <c r="DE1049" t="s">
        <v>3</v>
      </c>
      <c r="DF1049" t="s">
        <v>3</v>
      </c>
      <c r="DG1049" t="s">
        <v>3</v>
      </c>
      <c r="DH1049" t="s">
        <v>3</v>
      </c>
      <c r="DI1049" t="s">
        <v>3</v>
      </c>
      <c r="DJ1049" t="s">
        <v>3</v>
      </c>
      <c r="DK1049" t="s">
        <v>3</v>
      </c>
      <c r="DL1049" t="s">
        <v>3</v>
      </c>
      <c r="DM1049" t="s">
        <v>3</v>
      </c>
      <c r="DN1049">
        <v>110</v>
      </c>
      <c r="DO1049">
        <v>74</v>
      </c>
      <c r="DP1049">
        <v>1</v>
      </c>
      <c r="DQ1049">
        <v>1</v>
      </c>
      <c r="DU1049">
        <v>1010</v>
      </c>
      <c r="DV1049" t="s">
        <v>250</v>
      </c>
      <c r="DW1049" t="s">
        <v>250</v>
      </c>
      <c r="DX1049">
        <v>1</v>
      </c>
      <c r="DZ1049" t="s">
        <v>3</v>
      </c>
      <c r="EA1049" t="s">
        <v>3</v>
      </c>
      <c r="EB1049" t="s">
        <v>3</v>
      </c>
      <c r="EC1049" t="s">
        <v>3</v>
      </c>
      <c r="EE1049">
        <v>126053084</v>
      </c>
      <c r="EF1049">
        <v>30</v>
      </c>
      <c r="EG1049" t="s">
        <v>23</v>
      </c>
      <c r="EH1049">
        <v>0</v>
      </c>
      <c r="EI1049" t="s">
        <v>3</v>
      </c>
      <c r="EJ1049">
        <v>1</v>
      </c>
      <c r="EK1049">
        <v>1623</v>
      </c>
      <c r="EL1049" t="s">
        <v>824</v>
      </c>
      <c r="EM1049" t="s">
        <v>825</v>
      </c>
      <c r="EO1049" t="s">
        <v>3</v>
      </c>
      <c r="EQ1049">
        <v>0</v>
      </c>
      <c r="ER1049">
        <v>0</v>
      </c>
      <c r="ES1049">
        <v>0</v>
      </c>
      <c r="ET1049">
        <v>0</v>
      </c>
      <c r="EU1049">
        <v>0</v>
      </c>
      <c r="EV1049">
        <v>0</v>
      </c>
      <c r="EW1049">
        <v>0</v>
      </c>
      <c r="EX1049">
        <v>0</v>
      </c>
      <c r="FQ1049">
        <v>0</v>
      </c>
      <c r="FR1049">
        <f t="shared" si="888"/>
        <v>0</v>
      </c>
      <c r="FS1049">
        <v>0</v>
      </c>
      <c r="FX1049">
        <v>110</v>
      </c>
      <c r="FY1049">
        <v>74</v>
      </c>
      <c r="GA1049" t="s">
        <v>259</v>
      </c>
      <c r="GD1049">
        <v>0</v>
      </c>
      <c r="GF1049">
        <v>197807928</v>
      </c>
      <c r="GG1049">
        <v>2</v>
      </c>
      <c r="GH1049">
        <v>2</v>
      </c>
      <c r="GI1049">
        <v>2</v>
      </c>
      <c r="GJ1049">
        <v>0</v>
      </c>
      <c r="GK1049">
        <f>ROUND(R1049*(S12)/100,2)</f>
        <v>0</v>
      </c>
      <c r="GL1049">
        <f t="shared" si="889"/>
        <v>0</v>
      </c>
      <c r="GM1049">
        <f t="shared" si="890"/>
        <v>0</v>
      </c>
      <c r="GN1049">
        <f t="shared" si="891"/>
        <v>0</v>
      </c>
      <c r="GO1049">
        <f t="shared" si="892"/>
        <v>0</v>
      </c>
      <c r="GP1049">
        <f t="shared" si="893"/>
        <v>0</v>
      </c>
      <c r="GR1049">
        <v>0</v>
      </c>
      <c r="GS1049">
        <v>4</v>
      </c>
      <c r="GT1049">
        <v>0</v>
      </c>
      <c r="GU1049" t="s">
        <v>3</v>
      </c>
      <c r="GV1049">
        <f t="shared" si="894"/>
        <v>0</v>
      </c>
      <c r="GW1049">
        <v>1</v>
      </c>
      <c r="GX1049">
        <f t="shared" si="895"/>
        <v>0</v>
      </c>
      <c r="HA1049">
        <v>0</v>
      </c>
      <c r="HB1049">
        <v>0</v>
      </c>
      <c r="HC1049">
        <f t="shared" si="896"/>
        <v>0</v>
      </c>
      <c r="HE1049" t="s">
        <v>3</v>
      </c>
      <c r="HF1049" t="s">
        <v>3</v>
      </c>
      <c r="HM1049" t="s">
        <v>3</v>
      </c>
      <c r="HN1049" t="s">
        <v>3</v>
      </c>
      <c r="HO1049" t="s">
        <v>3</v>
      </c>
      <c r="HP1049" t="s">
        <v>3</v>
      </c>
      <c r="HQ1049" t="s">
        <v>3</v>
      </c>
      <c r="IK1049">
        <v>0</v>
      </c>
    </row>
    <row r="1050" spans="1:255" x14ac:dyDescent="0.2">
      <c r="A1050" s="2">
        <v>18</v>
      </c>
      <c r="B1050" s="2">
        <v>1</v>
      </c>
      <c r="C1050" s="2">
        <v>843</v>
      </c>
      <c r="D1050" s="2"/>
      <c r="E1050" s="2" t="s">
        <v>837</v>
      </c>
      <c r="F1050" s="2" t="s">
        <v>838</v>
      </c>
      <c r="G1050" s="2" t="s">
        <v>839</v>
      </c>
      <c r="H1050" s="2" t="s">
        <v>250</v>
      </c>
      <c r="I1050" s="2">
        <f>I1042*J1050</f>
        <v>4</v>
      </c>
      <c r="J1050" s="2">
        <v>20</v>
      </c>
      <c r="K1050" s="2">
        <v>20</v>
      </c>
      <c r="L1050" s="2"/>
      <c r="M1050" s="2"/>
      <c r="N1050" s="2"/>
      <c r="O1050" s="2">
        <f t="shared" si="866"/>
        <v>0</v>
      </c>
      <c r="P1050" s="2">
        <f t="shared" si="867"/>
        <v>0</v>
      </c>
      <c r="Q1050" s="2">
        <f t="shared" si="897"/>
        <v>0</v>
      </c>
      <c r="R1050" s="2">
        <f t="shared" si="868"/>
        <v>0</v>
      </c>
      <c r="S1050" s="2">
        <f t="shared" si="869"/>
        <v>0</v>
      </c>
      <c r="T1050" s="2">
        <f t="shared" si="870"/>
        <v>0</v>
      </c>
      <c r="U1050" s="2">
        <f t="shared" si="871"/>
        <v>0</v>
      </c>
      <c r="V1050" s="2">
        <f t="shared" si="872"/>
        <v>0</v>
      </c>
      <c r="W1050" s="2">
        <f t="shared" si="873"/>
        <v>0</v>
      </c>
      <c r="X1050" s="2">
        <f t="shared" si="874"/>
        <v>0</v>
      </c>
      <c r="Y1050" s="2">
        <f t="shared" si="875"/>
        <v>0</v>
      </c>
      <c r="Z1050" s="2"/>
      <c r="AA1050" s="2">
        <v>129761636</v>
      </c>
      <c r="AB1050" s="2">
        <f t="shared" si="876"/>
        <v>0</v>
      </c>
      <c r="AC1050" s="2">
        <f t="shared" si="877"/>
        <v>0</v>
      </c>
      <c r="AD1050" s="2">
        <f t="shared" si="898"/>
        <v>0</v>
      </c>
      <c r="AE1050" s="2">
        <f t="shared" si="899"/>
        <v>0</v>
      </c>
      <c r="AF1050" s="2">
        <f t="shared" si="900"/>
        <v>0</v>
      </c>
      <c r="AG1050" s="2">
        <f t="shared" si="878"/>
        <v>0</v>
      </c>
      <c r="AH1050" s="2">
        <f t="shared" si="901"/>
        <v>0</v>
      </c>
      <c r="AI1050" s="2">
        <f t="shared" si="902"/>
        <v>0</v>
      </c>
      <c r="AJ1050" s="2">
        <f t="shared" si="879"/>
        <v>0</v>
      </c>
      <c r="AK1050" s="2">
        <v>0</v>
      </c>
      <c r="AL1050" s="2">
        <v>0</v>
      </c>
      <c r="AM1050" s="2">
        <v>0</v>
      </c>
      <c r="AN1050" s="2">
        <v>0</v>
      </c>
      <c r="AO1050" s="2">
        <v>0</v>
      </c>
      <c r="AP1050" s="2">
        <v>0</v>
      </c>
      <c r="AQ1050" s="2">
        <v>0</v>
      </c>
      <c r="AR1050" s="2">
        <v>0</v>
      </c>
      <c r="AS1050" s="2">
        <v>0</v>
      </c>
      <c r="AT1050" s="2">
        <v>110</v>
      </c>
      <c r="AU1050" s="2">
        <v>74</v>
      </c>
      <c r="AV1050" s="2">
        <v>1</v>
      </c>
      <c r="AW1050" s="2">
        <v>1</v>
      </c>
      <c r="AX1050" s="2"/>
      <c r="AY1050" s="2"/>
      <c r="AZ1050" s="2">
        <v>1</v>
      </c>
      <c r="BA1050" s="2">
        <v>1</v>
      </c>
      <c r="BB1050" s="2">
        <v>1</v>
      </c>
      <c r="BC1050" s="2">
        <v>1</v>
      </c>
      <c r="BD1050" s="2" t="s">
        <v>3</v>
      </c>
      <c r="BE1050" s="2" t="s">
        <v>3</v>
      </c>
      <c r="BF1050" s="2" t="s">
        <v>3</v>
      </c>
      <c r="BG1050" s="2" t="s">
        <v>3</v>
      </c>
      <c r="BH1050" s="2">
        <v>3</v>
      </c>
      <c r="BI1050" s="2">
        <v>1</v>
      </c>
      <c r="BJ1050" s="2" t="s">
        <v>3</v>
      </c>
      <c r="BK1050" s="2"/>
      <c r="BL1050" s="2"/>
      <c r="BM1050" s="2">
        <v>1623</v>
      </c>
      <c r="BN1050" s="2">
        <v>0</v>
      </c>
      <c r="BO1050" s="2" t="s">
        <v>3</v>
      </c>
      <c r="BP1050" s="2">
        <v>0</v>
      </c>
      <c r="BQ1050" s="2">
        <v>30</v>
      </c>
      <c r="BR1050" s="2">
        <v>0</v>
      </c>
      <c r="BS1050" s="2">
        <v>1</v>
      </c>
      <c r="BT1050" s="2">
        <v>1</v>
      </c>
      <c r="BU1050" s="2">
        <v>1</v>
      </c>
      <c r="BV1050" s="2">
        <v>1</v>
      </c>
      <c r="BW1050" s="2">
        <v>1</v>
      </c>
      <c r="BX1050" s="2">
        <v>1</v>
      </c>
      <c r="BY1050" s="2" t="s">
        <v>3</v>
      </c>
      <c r="BZ1050" s="2">
        <v>110</v>
      </c>
      <c r="CA1050" s="2">
        <v>74</v>
      </c>
      <c r="CB1050" s="2" t="s">
        <v>3</v>
      </c>
      <c r="CC1050" s="2"/>
      <c r="CD1050" s="2"/>
      <c r="CE1050" s="2">
        <v>30</v>
      </c>
      <c r="CF1050" s="2">
        <v>0</v>
      </c>
      <c r="CG1050" s="2">
        <v>0</v>
      </c>
      <c r="CH1050" s="2"/>
      <c r="CI1050" s="2"/>
      <c r="CJ1050" s="2"/>
      <c r="CK1050" s="2"/>
      <c r="CL1050" s="2"/>
      <c r="CM1050" s="2">
        <v>0</v>
      </c>
      <c r="CN1050" s="2" t="s">
        <v>3</v>
      </c>
      <c r="CO1050" s="2">
        <v>0</v>
      </c>
      <c r="CP1050" s="2">
        <f t="shared" si="880"/>
        <v>0</v>
      </c>
      <c r="CQ1050" s="2">
        <f t="shared" si="881"/>
        <v>0</v>
      </c>
      <c r="CR1050" s="2">
        <f t="shared" si="903"/>
        <v>0</v>
      </c>
      <c r="CS1050" s="2">
        <f t="shared" si="882"/>
        <v>0</v>
      </c>
      <c r="CT1050" s="2">
        <f t="shared" si="883"/>
        <v>0</v>
      </c>
      <c r="CU1050" s="2">
        <f t="shared" si="884"/>
        <v>0</v>
      </c>
      <c r="CV1050" s="2">
        <f t="shared" si="885"/>
        <v>0</v>
      </c>
      <c r="CW1050" s="2">
        <f t="shared" si="886"/>
        <v>0</v>
      </c>
      <c r="CX1050" s="2">
        <f t="shared" si="887"/>
        <v>0</v>
      </c>
      <c r="CY1050" s="2">
        <f>((S1050*BZ1050)/100)</f>
        <v>0</v>
      </c>
      <c r="CZ1050" s="2">
        <f>((S1050*CA1050)/100)</f>
        <v>0</v>
      </c>
      <c r="DA1050" s="2"/>
      <c r="DB1050" s="2"/>
      <c r="DC1050" s="2" t="s">
        <v>3</v>
      </c>
      <c r="DD1050" s="2" t="s">
        <v>3</v>
      </c>
      <c r="DE1050" s="2" t="s">
        <v>3</v>
      </c>
      <c r="DF1050" s="2" t="s">
        <v>3</v>
      </c>
      <c r="DG1050" s="2" t="s">
        <v>3</v>
      </c>
      <c r="DH1050" s="2" t="s">
        <v>3</v>
      </c>
      <c r="DI1050" s="2" t="s">
        <v>3</v>
      </c>
      <c r="DJ1050" s="2" t="s">
        <v>3</v>
      </c>
      <c r="DK1050" s="2" t="s">
        <v>3</v>
      </c>
      <c r="DL1050" s="2" t="s">
        <v>3</v>
      </c>
      <c r="DM1050" s="2" t="s">
        <v>3</v>
      </c>
      <c r="DN1050" s="2">
        <v>0</v>
      </c>
      <c r="DO1050" s="2">
        <v>0</v>
      </c>
      <c r="DP1050" s="2">
        <v>1</v>
      </c>
      <c r="DQ1050" s="2">
        <v>1</v>
      </c>
      <c r="DR1050" s="2"/>
      <c r="DS1050" s="2"/>
      <c r="DT1050" s="2"/>
      <c r="DU1050" s="2">
        <v>1010</v>
      </c>
      <c r="DV1050" s="2" t="s">
        <v>250</v>
      </c>
      <c r="DW1050" s="2" t="s">
        <v>250</v>
      </c>
      <c r="DX1050" s="2">
        <v>1</v>
      </c>
      <c r="DY1050" s="2"/>
      <c r="DZ1050" s="2" t="s">
        <v>3</v>
      </c>
      <c r="EA1050" s="2" t="s">
        <v>3</v>
      </c>
      <c r="EB1050" s="2" t="s">
        <v>3</v>
      </c>
      <c r="EC1050" s="2" t="s">
        <v>3</v>
      </c>
      <c r="ED1050" s="2"/>
      <c r="EE1050" s="2">
        <v>126053084</v>
      </c>
      <c r="EF1050" s="2">
        <v>30</v>
      </c>
      <c r="EG1050" s="2" t="s">
        <v>23</v>
      </c>
      <c r="EH1050" s="2">
        <v>0</v>
      </c>
      <c r="EI1050" s="2" t="s">
        <v>3</v>
      </c>
      <c r="EJ1050" s="2">
        <v>1</v>
      </c>
      <c r="EK1050" s="2">
        <v>1623</v>
      </c>
      <c r="EL1050" s="2" t="s">
        <v>824</v>
      </c>
      <c r="EM1050" s="2" t="s">
        <v>825</v>
      </c>
      <c r="EN1050" s="2"/>
      <c r="EO1050" s="2" t="s">
        <v>3</v>
      </c>
      <c r="EP1050" s="2"/>
      <c r="EQ1050" s="2">
        <v>0</v>
      </c>
      <c r="ER1050" s="2">
        <v>0</v>
      </c>
      <c r="ES1050" s="2">
        <v>0</v>
      </c>
      <c r="ET1050" s="2">
        <v>0</v>
      </c>
      <c r="EU1050" s="2">
        <v>0</v>
      </c>
      <c r="EV1050" s="2">
        <v>0</v>
      </c>
      <c r="EW1050" s="2">
        <v>0</v>
      </c>
      <c r="EX1050" s="2">
        <v>0</v>
      </c>
      <c r="EY1050" s="2"/>
      <c r="EZ1050" s="2"/>
      <c r="FA1050" s="2"/>
      <c r="FB1050" s="2"/>
      <c r="FC1050" s="2"/>
      <c r="FD1050" s="2"/>
      <c r="FE1050" s="2"/>
      <c r="FF1050" s="2"/>
      <c r="FG1050" s="2"/>
      <c r="FH1050" s="2"/>
      <c r="FI1050" s="2"/>
      <c r="FJ1050" s="2"/>
      <c r="FK1050" s="2"/>
      <c r="FL1050" s="2"/>
      <c r="FM1050" s="2"/>
      <c r="FN1050" s="2"/>
      <c r="FO1050" s="2"/>
      <c r="FP1050" s="2"/>
      <c r="FQ1050" s="2">
        <v>0</v>
      </c>
      <c r="FR1050" s="2">
        <f t="shared" si="888"/>
        <v>0</v>
      </c>
      <c r="FS1050" s="2">
        <v>0</v>
      </c>
      <c r="FT1050" s="2"/>
      <c r="FU1050" s="2"/>
      <c r="FV1050" s="2"/>
      <c r="FW1050" s="2"/>
      <c r="FX1050" s="2">
        <v>110</v>
      </c>
      <c r="FY1050" s="2">
        <v>74</v>
      </c>
      <c r="FZ1050" s="2"/>
      <c r="GA1050" s="2" t="s">
        <v>3</v>
      </c>
      <c r="GB1050" s="2"/>
      <c r="GC1050" s="2"/>
      <c r="GD1050" s="2">
        <v>0</v>
      </c>
      <c r="GE1050" s="2"/>
      <c r="GF1050" s="2">
        <v>-1495509255</v>
      </c>
      <c r="GG1050" s="2">
        <v>2</v>
      </c>
      <c r="GH1050" s="2">
        <v>0</v>
      </c>
      <c r="GI1050" s="2">
        <v>-2</v>
      </c>
      <c r="GJ1050" s="2">
        <v>0</v>
      </c>
      <c r="GK1050" s="2">
        <f>ROUND(R1050*(R12)/100,2)</f>
        <v>0</v>
      </c>
      <c r="GL1050" s="2">
        <f t="shared" si="889"/>
        <v>0</v>
      </c>
      <c r="GM1050" s="2">
        <f t="shared" si="890"/>
        <v>0</v>
      </c>
      <c r="GN1050" s="2">
        <f t="shared" si="891"/>
        <v>0</v>
      </c>
      <c r="GO1050" s="2">
        <f t="shared" si="892"/>
        <v>0</v>
      </c>
      <c r="GP1050" s="2">
        <f t="shared" si="893"/>
        <v>0</v>
      </c>
      <c r="GQ1050" s="2"/>
      <c r="GR1050" s="2">
        <v>0</v>
      </c>
      <c r="GS1050" s="2">
        <v>0</v>
      </c>
      <c r="GT1050" s="2">
        <v>0</v>
      </c>
      <c r="GU1050" s="2" t="s">
        <v>3</v>
      </c>
      <c r="GV1050" s="2">
        <f t="shared" si="894"/>
        <v>0</v>
      </c>
      <c r="GW1050" s="2">
        <v>1</v>
      </c>
      <c r="GX1050" s="2">
        <f t="shared" si="895"/>
        <v>0</v>
      </c>
      <c r="GY1050" s="2"/>
      <c r="GZ1050" s="2"/>
      <c r="HA1050" s="2">
        <v>0</v>
      </c>
      <c r="HB1050" s="2">
        <v>0</v>
      </c>
      <c r="HC1050" s="2">
        <f t="shared" si="896"/>
        <v>0</v>
      </c>
      <c r="HD1050" s="2"/>
      <c r="HE1050" s="2" t="s">
        <v>3</v>
      </c>
      <c r="HF1050" s="2" t="s">
        <v>3</v>
      </c>
      <c r="HG1050" s="2"/>
      <c r="HH1050" s="2"/>
      <c r="HI1050" s="2"/>
      <c r="HJ1050" s="2"/>
      <c r="HK1050" s="2"/>
      <c r="HL1050" s="2"/>
      <c r="HM1050" s="2" t="s">
        <v>3</v>
      </c>
      <c r="HN1050" s="2" t="s">
        <v>3</v>
      </c>
      <c r="HO1050" s="2" t="s">
        <v>3</v>
      </c>
      <c r="HP1050" s="2" t="s">
        <v>3</v>
      </c>
      <c r="HQ1050" s="2" t="s">
        <v>3</v>
      </c>
      <c r="HR1050" s="2"/>
      <c r="HS1050" s="2"/>
      <c r="HT1050" s="2"/>
      <c r="HU1050" s="2"/>
      <c r="HV1050" s="2"/>
      <c r="HW1050" s="2"/>
      <c r="HX1050" s="2"/>
      <c r="HY1050" s="2"/>
      <c r="HZ1050" s="2"/>
      <c r="IA1050" s="2"/>
      <c r="IB1050" s="2"/>
      <c r="IC1050" s="2"/>
      <c r="ID1050" s="2"/>
      <c r="IE1050" s="2"/>
      <c r="IF1050" s="2"/>
      <c r="IG1050" s="2"/>
      <c r="IH1050" s="2"/>
      <c r="II1050" s="2"/>
      <c r="IJ1050" s="2"/>
      <c r="IK1050" s="2">
        <v>0</v>
      </c>
      <c r="IL1050" s="2"/>
      <c r="IM1050" s="2"/>
      <c r="IN1050" s="2"/>
      <c r="IO1050" s="2"/>
      <c r="IP1050" s="2"/>
      <c r="IQ1050" s="2"/>
      <c r="IR1050" s="2"/>
      <c r="IS1050" s="2"/>
      <c r="IT1050" s="2"/>
      <c r="IU1050" s="2"/>
    </row>
    <row r="1051" spans="1:255" x14ac:dyDescent="0.2">
      <c r="A1051">
        <v>18</v>
      </c>
      <c r="B1051">
        <v>1</v>
      </c>
      <c r="C1051">
        <v>864</v>
      </c>
      <c r="E1051" t="s">
        <v>837</v>
      </c>
      <c r="F1051" t="s">
        <v>838</v>
      </c>
      <c r="G1051" t="s">
        <v>839</v>
      </c>
      <c r="H1051" t="s">
        <v>250</v>
      </c>
      <c r="I1051">
        <f>I1043*J1051</f>
        <v>4</v>
      </c>
      <c r="J1051">
        <v>20</v>
      </c>
      <c r="K1051">
        <v>20</v>
      </c>
      <c r="O1051">
        <f t="shared" si="866"/>
        <v>0</v>
      </c>
      <c r="P1051">
        <f t="shared" si="867"/>
        <v>0</v>
      </c>
      <c r="Q1051">
        <f t="shared" si="897"/>
        <v>0</v>
      </c>
      <c r="R1051">
        <f t="shared" si="868"/>
        <v>0</v>
      </c>
      <c r="S1051">
        <f t="shared" si="869"/>
        <v>0</v>
      </c>
      <c r="T1051">
        <f t="shared" si="870"/>
        <v>0</v>
      </c>
      <c r="U1051">
        <f t="shared" si="871"/>
        <v>0</v>
      </c>
      <c r="V1051">
        <f t="shared" si="872"/>
        <v>0</v>
      </c>
      <c r="W1051">
        <f t="shared" si="873"/>
        <v>0</v>
      </c>
      <c r="X1051">
        <f t="shared" si="874"/>
        <v>0</v>
      </c>
      <c r="Y1051">
        <f t="shared" si="875"/>
        <v>0</v>
      </c>
      <c r="AA1051">
        <v>129761633</v>
      </c>
      <c r="AB1051">
        <f t="shared" si="876"/>
        <v>0</v>
      </c>
      <c r="AC1051">
        <f t="shared" si="877"/>
        <v>0</v>
      </c>
      <c r="AD1051">
        <f t="shared" si="898"/>
        <v>0</v>
      </c>
      <c r="AE1051">
        <f t="shared" si="899"/>
        <v>0</v>
      </c>
      <c r="AF1051">
        <f t="shared" si="900"/>
        <v>0</v>
      </c>
      <c r="AG1051">
        <f t="shared" si="878"/>
        <v>0</v>
      </c>
      <c r="AH1051">
        <f t="shared" si="901"/>
        <v>0</v>
      </c>
      <c r="AI1051">
        <f t="shared" si="902"/>
        <v>0</v>
      </c>
      <c r="AJ1051">
        <f t="shared" si="879"/>
        <v>0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0</v>
      </c>
      <c r="AU1051">
        <v>0</v>
      </c>
      <c r="AV1051">
        <v>1</v>
      </c>
      <c r="AW1051">
        <v>1</v>
      </c>
      <c r="AZ1051">
        <v>1</v>
      </c>
      <c r="BA1051">
        <v>1</v>
      </c>
      <c r="BB1051">
        <v>1</v>
      </c>
      <c r="BC1051">
        <v>1.59</v>
      </c>
      <c r="BD1051" t="s">
        <v>3</v>
      </c>
      <c r="BE1051" t="s">
        <v>3</v>
      </c>
      <c r="BF1051" t="s">
        <v>3</v>
      </c>
      <c r="BG1051" t="s">
        <v>3</v>
      </c>
      <c r="BH1051">
        <v>3</v>
      </c>
      <c r="BI1051">
        <v>1</v>
      </c>
      <c r="BJ1051" t="s">
        <v>3</v>
      </c>
      <c r="BM1051">
        <v>1623</v>
      </c>
      <c r="BN1051">
        <v>0</v>
      </c>
      <c r="BO1051" t="s">
        <v>838</v>
      </c>
      <c r="BP1051">
        <v>1</v>
      </c>
      <c r="BQ1051">
        <v>30</v>
      </c>
      <c r="BR1051">
        <v>0</v>
      </c>
      <c r="BS1051">
        <v>1</v>
      </c>
      <c r="BT1051">
        <v>1</v>
      </c>
      <c r="BU1051">
        <v>1</v>
      </c>
      <c r="BV1051">
        <v>1</v>
      </c>
      <c r="BW1051">
        <v>1</v>
      </c>
      <c r="BX1051">
        <v>1</v>
      </c>
      <c r="BY1051" t="s">
        <v>3</v>
      </c>
      <c r="BZ1051">
        <v>0</v>
      </c>
      <c r="CA1051">
        <v>0</v>
      </c>
      <c r="CB1051" t="s">
        <v>3</v>
      </c>
      <c r="CE1051">
        <v>30</v>
      </c>
      <c r="CF1051">
        <v>0</v>
      </c>
      <c r="CG1051">
        <v>0</v>
      </c>
      <c r="CM1051">
        <v>0</v>
      </c>
      <c r="CN1051" t="s">
        <v>3</v>
      </c>
      <c r="CO1051">
        <v>0</v>
      </c>
      <c r="CP1051">
        <f t="shared" si="880"/>
        <v>0</v>
      </c>
      <c r="CQ1051">
        <f t="shared" si="881"/>
        <v>0</v>
      </c>
      <c r="CR1051">
        <f t="shared" si="903"/>
        <v>0</v>
      </c>
      <c r="CS1051">
        <f t="shared" si="882"/>
        <v>0</v>
      </c>
      <c r="CT1051">
        <f t="shared" si="883"/>
        <v>0</v>
      </c>
      <c r="CU1051">
        <f t="shared" si="884"/>
        <v>0</v>
      </c>
      <c r="CV1051">
        <f t="shared" si="885"/>
        <v>0</v>
      </c>
      <c r="CW1051">
        <f t="shared" si="886"/>
        <v>0</v>
      </c>
      <c r="CX1051">
        <f t="shared" si="887"/>
        <v>0</v>
      </c>
      <c r="CY1051">
        <f>S1051*(BZ1051/100)</f>
        <v>0</v>
      </c>
      <c r="CZ1051">
        <f>S1051*(CA1051/100)</f>
        <v>0</v>
      </c>
      <c r="DC1051" t="s">
        <v>3</v>
      </c>
      <c r="DD1051" t="s">
        <v>3</v>
      </c>
      <c r="DE1051" t="s">
        <v>3</v>
      </c>
      <c r="DF1051" t="s">
        <v>3</v>
      </c>
      <c r="DG1051" t="s">
        <v>3</v>
      </c>
      <c r="DH1051" t="s">
        <v>3</v>
      </c>
      <c r="DI1051" t="s">
        <v>3</v>
      </c>
      <c r="DJ1051" t="s">
        <v>3</v>
      </c>
      <c r="DK1051" t="s">
        <v>3</v>
      </c>
      <c r="DL1051" t="s">
        <v>3</v>
      </c>
      <c r="DM1051" t="s">
        <v>3</v>
      </c>
      <c r="DN1051">
        <v>110</v>
      </c>
      <c r="DO1051">
        <v>74</v>
      </c>
      <c r="DP1051">
        <v>1</v>
      </c>
      <c r="DQ1051">
        <v>1</v>
      </c>
      <c r="DU1051">
        <v>1010</v>
      </c>
      <c r="DV1051" t="s">
        <v>250</v>
      </c>
      <c r="DW1051" t="s">
        <v>250</v>
      </c>
      <c r="DX1051">
        <v>1</v>
      </c>
      <c r="DZ1051" t="s">
        <v>3</v>
      </c>
      <c r="EA1051" t="s">
        <v>3</v>
      </c>
      <c r="EB1051" t="s">
        <v>3</v>
      </c>
      <c r="EC1051" t="s">
        <v>3</v>
      </c>
      <c r="EE1051">
        <v>126053084</v>
      </c>
      <c r="EF1051">
        <v>30</v>
      </c>
      <c r="EG1051" t="s">
        <v>23</v>
      </c>
      <c r="EH1051">
        <v>0</v>
      </c>
      <c r="EI1051" t="s">
        <v>3</v>
      </c>
      <c r="EJ1051">
        <v>1</v>
      </c>
      <c r="EK1051">
        <v>1623</v>
      </c>
      <c r="EL1051" t="s">
        <v>824</v>
      </c>
      <c r="EM1051" t="s">
        <v>825</v>
      </c>
      <c r="EO1051" t="s">
        <v>3</v>
      </c>
      <c r="EQ1051">
        <v>0</v>
      </c>
      <c r="ER1051">
        <v>0</v>
      </c>
      <c r="ES1051">
        <v>0</v>
      </c>
      <c r="ET1051">
        <v>0</v>
      </c>
      <c r="EU1051">
        <v>0</v>
      </c>
      <c r="EV1051">
        <v>0</v>
      </c>
      <c r="EW1051">
        <v>0</v>
      </c>
      <c r="EX1051">
        <v>0</v>
      </c>
      <c r="FQ1051">
        <v>0</v>
      </c>
      <c r="FR1051">
        <f t="shared" si="888"/>
        <v>0</v>
      </c>
      <c r="FS1051">
        <v>0</v>
      </c>
      <c r="FX1051">
        <v>110</v>
      </c>
      <c r="FY1051">
        <v>74</v>
      </c>
      <c r="GA1051" t="s">
        <v>259</v>
      </c>
      <c r="GD1051">
        <v>0</v>
      </c>
      <c r="GF1051">
        <v>-1495509255</v>
      </c>
      <c r="GG1051">
        <v>2</v>
      </c>
      <c r="GH1051">
        <v>2</v>
      </c>
      <c r="GI1051">
        <v>2</v>
      </c>
      <c r="GJ1051">
        <v>0</v>
      </c>
      <c r="GK1051">
        <f>ROUND(R1051*(S12)/100,2)</f>
        <v>0</v>
      </c>
      <c r="GL1051">
        <f t="shared" si="889"/>
        <v>0</v>
      </c>
      <c r="GM1051">
        <f t="shared" si="890"/>
        <v>0</v>
      </c>
      <c r="GN1051">
        <f t="shared" si="891"/>
        <v>0</v>
      </c>
      <c r="GO1051">
        <f t="shared" si="892"/>
        <v>0</v>
      </c>
      <c r="GP1051">
        <f t="shared" si="893"/>
        <v>0</v>
      </c>
      <c r="GR1051">
        <v>0</v>
      </c>
      <c r="GS1051">
        <v>4</v>
      </c>
      <c r="GT1051">
        <v>0</v>
      </c>
      <c r="GU1051" t="s">
        <v>3</v>
      </c>
      <c r="GV1051">
        <f t="shared" si="894"/>
        <v>0</v>
      </c>
      <c r="GW1051">
        <v>1</v>
      </c>
      <c r="GX1051">
        <f t="shared" si="895"/>
        <v>0</v>
      </c>
      <c r="HA1051">
        <v>0</v>
      </c>
      <c r="HB1051">
        <v>0</v>
      </c>
      <c r="HC1051">
        <f t="shared" si="896"/>
        <v>0</v>
      </c>
      <c r="HE1051" t="s">
        <v>3</v>
      </c>
      <c r="HF1051" t="s">
        <v>3</v>
      </c>
      <c r="HM1051" t="s">
        <v>3</v>
      </c>
      <c r="HN1051" t="s">
        <v>3</v>
      </c>
      <c r="HO1051" t="s">
        <v>3</v>
      </c>
      <c r="HP1051" t="s">
        <v>3</v>
      </c>
      <c r="HQ1051" t="s">
        <v>3</v>
      </c>
      <c r="IK1051">
        <v>0</v>
      </c>
    </row>
    <row r="1052" spans="1:255" x14ac:dyDescent="0.2">
      <c r="A1052" s="2">
        <v>18</v>
      </c>
      <c r="B1052" s="2">
        <v>1</v>
      </c>
      <c r="C1052" s="2">
        <v>845</v>
      </c>
      <c r="D1052" s="2"/>
      <c r="E1052" s="2" t="s">
        <v>840</v>
      </c>
      <c r="F1052" s="2" t="s">
        <v>841</v>
      </c>
      <c r="G1052" s="2" t="s">
        <v>842</v>
      </c>
      <c r="H1052" s="2" t="s">
        <v>250</v>
      </c>
      <c r="I1052" s="2">
        <f>I1042*J1052</f>
        <v>7</v>
      </c>
      <c r="J1052" s="2">
        <v>35</v>
      </c>
      <c r="K1052" s="2">
        <v>35</v>
      </c>
      <c r="L1052" s="2"/>
      <c r="M1052" s="2"/>
      <c r="N1052" s="2"/>
      <c r="O1052" s="2">
        <f t="shared" si="866"/>
        <v>0</v>
      </c>
      <c r="P1052" s="2">
        <f t="shared" si="867"/>
        <v>0</v>
      </c>
      <c r="Q1052" s="2">
        <f t="shared" si="897"/>
        <v>0</v>
      </c>
      <c r="R1052" s="2">
        <f t="shared" si="868"/>
        <v>0</v>
      </c>
      <c r="S1052" s="2">
        <f t="shared" si="869"/>
        <v>0</v>
      </c>
      <c r="T1052" s="2">
        <f t="shared" si="870"/>
        <v>0</v>
      </c>
      <c r="U1052" s="2">
        <f t="shared" si="871"/>
        <v>0</v>
      </c>
      <c r="V1052" s="2">
        <f t="shared" si="872"/>
        <v>0</v>
      </c>
      <c r="W1052" s="2">
        <f t="shared" si="873"/>
        <v>0</v>
      </c>
      <c r="X1052" s="2">
        <f t="shared" si="874"/>
        <v>0</v>
      </c>
      <c r="Y1052" s="2">
        <f t="shared" si="875"/>
        <v>0</v>
      </c>
      <c r="Z1052" s="2"/>
      <c r="AA1052" s="2">
        <v>129761636</v>
      </c>
      <c r="AB1052" s="2">
        <f t="shared" si="876"/>
        <v>0</v>
      </c>
      <c r="AC1052" s="2">
        <f t="shared" si="877"/>
        <v>0</v>
      </c>
      <c r="AD1052" s="2">
        <f t="shared" si="898"/>
        <v>0</v>
      </c>
      <c r="AE1052" s="2">
        <f t="shared" si="899"/>
        <v>0</v>
      </c>
      <c r="AF1052" s="2">
        <f t="shared" si="900"/>
        <v>0</v>
      </c>
      <c r="AG1052" s="2">
        <f t="shared" si="878"/>
        <v>0</v>
      </c>
      <c r="AH1052" s="2">
        <f t="shared" si="901"/>
        <v>0</v>
      </c>
      <c r="AI1052" s="2">
        <f t="shared" si="902"/>
        <v>0</v>
      </c>
      <c r="AJ1052" s="2">
        <f t="shared" si="879"/>
        <v>0</v>
      </c>
      <c r="AK1052" s="2">
        <v>0</v>
      </c>
      <c r="AL1052" s="2">
        <v>0</v>
      </c>
      <c r="AM1052" s="2">
        <v>0</v>
      </c>
      <c r="AN1052" s="2">
        <v>0</v>
      </c>
      <c r="AO1052" s="2">
        <v>0</v>
      </c>
      <c r="AP1052" s="2">
        <v>0</v>
      </c>
      <c r="AQ1052" s="2">
        <v>0</v>
      </c>
      <c r="AR1052" s="2">
        <v>0</v>
      </c>
      <c r="AS1052" s="2">
        <v>0</v>
      </c>
      <c r="AT1052" s="2">
        <v>110</v>
      </c>
      <c r="AU1052" s="2">
        <v>74</v>
      </c>
      <c r="AV1052" s="2">
        <v>1</v>
      </c>
      <c r="AW1052" s="2">
        <v>1</v>
      </c>
      <c r="AX1052" s="2"/>
      <c r="AY1052" s="2"/>
      <c r="AZ1052" s="2">
        <v>1</v>
      </c>
      <c r="BA1052" s="2">
        <v>1</v>
      </c>
      <c r="BB1052" s="2">
        <v>1</v>
      </c>
      <c r="BC1052" s="2">
        <v>1</v>
      </c>
      <c r="BD1052" s="2" t="s">
        <v>3</v>
      </c>
      <c r="BE1052" s="2" t="s">
        <v>3</v>
      </c>
      <c r="BF1052" s="2" t="s">
        <v>3</v>
      </c>
      <c r="BG1052" s="2" t="s">
        <v>3</v>
      </c>
      <c r="BH1052" s="2">
        <v>3</v>
      </c>
      <c r="BI1052" s="2">
        <v>1</v>
      </c>
      <c r="BJ1052" s="2" t="s">
        <v>3</v>
      </c>
      <c r="BK1052" s="2"/>
      <c r="BL1052" s="2"/>
      <c r="BM1052" s="2">
        <v>1623</v>
      </c>
      <c r="BN1052" s="2">
        <v>0</v>
      </c>
      <c r="BO1052" s="2" t="s">
        <v>3</v>
      </c>
      <c r="BP1052" s="2">
        <v>0</v>
      </c>
      <c r="BQ1052" s="2">
        <v>30</v>
      </c>
      <c r="BR1052" s="2">
        <v>0</v>
      </c>
      <c r="BS1052" s="2">
        <v>1</v>
      </c>
      <c r="BT1052" s="2">
        <v>1</v>
      </c>
      <c r="BU1052" s="2">
        <v>1</v>
      </c>
      <c r="BV1052" s="2">
        <v>1</v>
      </c>
      <c r="BW1052" s="2">
        <v>1</v>
      </c>
      <c r="BX1052" s="2">
        <v>1</v>
      </c>
      <c r="BY1052" s="2" t="s">
        <v>3</v>
      </c>
      <c r="BZ1052" s="2">
        <v>110</v>
      </c>
      <c r="CA1052" s="2">
        <v>74</v>
      </c>
      <c r="CB1052" s="2" t="s">
        <v>3</v>
      </c>
      <c r="CC1052" s="2"/>
      <c r="CD1052" s="2"/>
      <c r="CE1052" s="2">
        <v>30</v>
      </c>
      <c r="CF1052" s="2">
        <v>0</v>
      </c>
      <c r="CG1052" s="2">
        <v>0</v>
      </c>
      <c r="CH1052" s="2"/>
      <c r="CI1052" s="2"/>
      <c r="CJ1052" s="2"/>
      <c r="CK1052" s="2"/>
      <c r="CL1052" s="2"/>
      <c r="CM1052" s="2">
        <v>0</v>
      </c>
      <c r="CN1052" s="2" t="s">
        <v>3</v>
      </c>
      <c r="CO1052" s="2">
        <v>0</v>
      </c>
      <c r="CP1052" s="2">
        <f t="shared" si="880"/>
        <v>0</v>
      </c>
      <c r="CQ1052" s="2">
        <f t="shared" si="881"/>
        <v>0</v>
      </c>
      <c r="CR1052" s="2">
        <f t="shared" si="903"/>
        <v>0</v>
      </c>
      <c r="CS1052" s="2">
        <f t="shared" si="882"/>
        <v>0</v>
      </c>
      <c r="CT1052" s="2">
        <f t="shared" si="883"/>
        <v>0</v>
      </c>
      <c r="CU1052" s="2">
        <f t="shared" si="884"/>
        <v>0</v>
      </c>
      <c r="CV1052" s="2">
        <f t="shared" si="885"/>
        <v>0</v>
      </c>
      <c r="CW1052" s="2">
        <f t="shared" si="886"/>
        <v>0</v>
      </c>
      <c r="CX1052" s="2">
        <f t="shared" si="887"/>
        <v>0</v>
      </c>
      <c r="CY1052" s="2">
        <f>((S1052*BZ1052)/100)</f>
        <v>0</v>
      </c>
      <c r="CZ1052" s="2">
        <f>((S1052*CA1052)/100)</f>
        <v>0</v>
      </c>
      <c r="DA1052" s="2"/>
      <c r="DB1052" s="2"/>
      <c r="DC1052" s="2" t="s">
        <v>3</v>
      </c>
      <c r="DD1052" s="2" t="s">
        <v>3</v>
      </c>
      <c r="DE1052" s="2" t="s">
        <v>3</v>
      </c>
      <c r="DF1052" s="2" t="s">
        <v>3</v>
      </c>
      <c r="DG1052" s="2" t="s">
        <v>3</v>
      </c>
      <c r="DH1052" s="2" t="s">
        <v>3</v>
      </c>
      <c r="DI1052" s="2" t="s">
        <v>3</v>
      </c>
      <c r="DJ1052" s="2" t="s">
        <v>3</v>
      </c>
      <c r="DK1052" s="2" t="s">
        <v>3</v>
      </c>
      <c r="DL1052" s="2" t="s">
        <v>3</v>
      </c>
      <c r="DM1052" s="2" t="s">
        <v>3</v>
      </c>
      <c r="DN1052" s="2">
        <v>0</v>
      </c>
      <c r="DO1052" s="2">
        <v>0</v>
      </c>
      <c r="DP1052" s="2">
        <v>1</v>
      </c>
      <c r="DQ1052" s="2">
        <v>1</v>
      </c>
      <c r="DR1052" s="2"/>
      <c r="DS1052" s="2"/>
      <c r="DT1052" s="2"/>
      <c r="DU1052" s="2">
        <v>1010</v>
      </c>
      <c r="DV1052" s="2" t="s">
        <v>250</v>
      </c>
      <c r="DW1052" s="2" t="s">
        <v>250</v>
      </c>
      <c r="DX1052" s="2">
        <v>1</v>
      </c>
      <c r="DY1052" s="2"/>
      <c r="DZ1052" s="2" t="s">
        <v>3</v>
      </c>
      <c r="EA1052" s="2" t="s">
        <v>3</v>
      </c>
      <c r="EB1052" s="2" t="s">
        <v>3</v>
      </c>
      <c r="EC1052" s="2" t="s">
        <v>3</v>
      </c>
      <c r="ED1052" s="2"/>
      <c r="EE1052" s="2">
        <v>126053084</v>
      </c>
      <c r="EF1052" s="2">
        <v>30</v>
      </c>
      <c r="EG1052" s="2" t="s">
        <v>23</v>
      </c>
      <c r="EH1052" s="2">
        <v>0</v>
      </c>
      <c r="EI1052" s="2" t="s">
        <v>3</v>
      </c>
      <c r="EJ1052" s="2">
        <v>1</v>
      </c>
      <c r="EK1052" s="2">
        <v>1623</v>
      </c>
      <c r="EL1052" s="2" t="s">
        <v>824</v>
      </c>
      <c r="EM1052" s="2" t="s">
        <v>825</v>
      </c>
      <c r="EN1052" s="2"/>
      <c r="EO1052" s="2" t="s">
        <v>3</v>
      </c>
      <c r="EP1052" s="2"/>
      <c r="EQ1052" s="2">
        <v>0</v>
      </c>
      <c r="ER1052" s="2">
        <v>0</v>
      </c>
      <c r="ES1052" s="2">
        <v>0</v>
      </c>
      <c r="ET1052" s="2">
        <v>0</v>
      </c>
      <c r="EU1052" s="2">
        <v>0</v>
      </c>
      <c r="EV1052" s="2">
        <v>0</v>
      </c>
      <c r="EW1052" s="2">
        <v>0</v>
      </c>
      <c r="EX1052" s="2">
        <v>0</v>
      </c>
      <c r="EY1052" s="2"/>
      <c r="EZ1052" s="2"/>
      <c r="FA1052" s="2"/>
      <c r="FB1052" s="2"/>
      <c r="FC1052" s="2"/>
      <c r="FD1052" s="2"/>
      <c r="FE1052" s="2"/>
      <c r="FF1052" s="2"/>
      <c r="FG1052" s="2"/>
      <c r="FH1052" s="2"/>
      <c r="FI1052" s="2"/>
      <c r="FJ1052" s="2"/>
      <c r="FK1052" s="2"/>
      <c r="FL1052" s="2"/>
      <c r="FM1052" s="2"/>
      <c r="FN1052" s="2"/>
      <c r="FO1052" s="2"/>
      <c r="FP1052" s="2"/>
      <c r="FQ1052" s="2">
        <v>0</v>
      </c>
      <c r="FR1052" s="2">
        <f t="shared" si="888"/>
        <v>0</v>
      </c>
      <c r="FS1052" s="2">
        <v>0</v>
      </c>
      <c r="FT1052" s="2"/>
      <c r="FU1052" s="2"/>
      <c r="FV1052" s="2"/>
      <c r="FW1052" s="2"/>
      <c r="FX1052" s="2">
        <v>110</v>
      </c>
      <c r="FY1052" s="2">
        <v>74</v>
      </c>
      <c r="FZ1052" s="2"/>
      <c r="GA1052" s="2" t="s">
        <v>3</v>
      </c>
      <c r="GB1052" s="2"/>
      <c r="GC1052" s="2"/>
      <c r="GD1052" s="2">
        <v>0</v>
      </c>
      <c r="GE1052" s="2"/>
      <c r="GF1052" s="2">
        <v>1942050970</v>
      </c>
      <c r="GG1052" s="2">
        <v>2</v>
      </c>
      <c r="GH1052" s="2">
        <v>0</v>
      </c>
      <c r="GI1052" s="2">
        <v>-2</v>
      </c>
      <c r="GJ1052" s="2">
        <v>0</v>
      </c>
      <c r="GK1052" s="2">
        <f>ROUND(R1052*(R12)/100,2)</f>
        <v>0</v>
      </c>
      <c r="GL1052" s="2">
        <f t="shared" si="889"/>
        <v>0</v>
      </c>
      <c r="GM1052" s="2">
        <f t="shared" si="890"/>
        <v>0</v>
      </c>
      <c r="GN1052" s="2">
        <f t="shared" si="891"/>
        <v>0</v>
      </c>
      <c r="GO1052" s="2">
        <f t="shared" si="892"/>
        <v>0</v>
      </c>
      <c r="GP1052" s="2">
        <f t="shared" si="893"/>
        <v>0</v>
      </c>
      <c r="GQ1052" s="2"/>
      <c r="GR1052" s="2">
        <v>0</v>
      </c>
      <c r="GS1052" s="2">
        <v>0</v>
      </c>
      <c r="GT1052" s="2">
        <v>0</v>
      </c>
      <c r="GU1052" s="2" t="s">
        <v>3</v>
      </c>
      <c r="GV1052" s="2">
        <f t="shared" si="894"/>
        <v>0</v>
      </c>
      <c r="GW1052" s="2">
        <v>1</v>
      </c>
      <c r="GX1052" s="2">
        <f t="shared" si="895"/>
        <v>0</v>
      </c>
      <c r="GY1052" s="2"/>
      <c r="GZ1052" s="2"/>
      <c r="HA1052" s="2">
        <v>0</v>
      </c>
      <c r="HB1052" s="2">
        <v>0</v>
      </c>
      <c r="HC1052" s="2">
        <f t="shared" si="896"/>
        <v>0</v>
      </c>
      <c r="HD1052" s="2"/>
      <c r="HE1052" s="2" t="s">
        <v>3</v>
      </c>
      <c r="HF1052" s="2" t="s">
        <v>3</v>
      </c>
      <c r="HG1052" s="2"/>
      <c r="HH1052" s="2"/>
      <c r="HI1052" s="2"/>
      <c r="HJ1052" s="2"/>
      <c r="HK1052" s="2"/>
      <c r="HL1052" s="2"/>
      <c r="HM1052" s="2" t="s">
        <v>3</v>
      </c>
      <c r="HN1052" s="2" t="s">
        <v>3</v>
      </c>
      <c r="HO1052" s="2" t="s">
        <v>3</v>
      </c>
      <c r="HP1052" s="2" t="s">
        <v>3</v>
      </c>
      <c r="HQ1052" s="2" t="s">
        <v>3</v>
      </c>
      <c r="HR1052" s="2"/>
      <c r="HS1052" s="2"/>
      <c r="HT1052" s="2"/>
      <c r="HU1052" s="2"/>
      <c r="HV1052" s="2"/>
      <c r="HW1052" s="2"/>
      <c r="HX1052" s="2"/>
      <c r="HY1052" s="2"/>
      <c r="HZ1052" s="2"/>
      <c r="IA1052" s="2"/>
      <c r="IB1052" s="2"/>
      <c r="IC1052" s="2"/>
      <c r="ID1052" s="2"/>
      <c r="IE1052" s="2"/>
      <c r="IF1052" s="2"/>
      <c r="IG1052" s="2"/>
      <c r="IH1052" s="2"/>
      <c r="II1052" s="2"/>
      <c r="IJ1052" s="2"/>
      <c r="IK1052" s="2">
        <v>0</v>
      </c>
      <c r="IL1052" s="2"/>
      <c r="IM1052" s="2"/>
      <c r="IN1052" s="2"/>
      <c r="IO1052" s="2"/>
      <c r="IP1052" s="2"/>
      <c r="IQ1052" s="2"/>
      <c r="IR1052" s="2"/>
      <c r="IS1052" s="2"/>
      <c r="IT1052" s="2"/>
      <c r="IU1052" s="2"/>
    </row>
    <row r="1053" spans="1:255" x14ac:dyDescent="0.2">
      <c r="A1053">
        <v>18</v>
      </c>
      <c r="B1053">
        <v>1</v>
      </c>
      <c r="C1053">
        <v>866</v>
      </c>
      <c r="E1053" t="s">
        <v>840</v>
      </c>
      <c r="F1053" t="s">
        <v>841</v>
      </c>
      <c r="G1053" t="s">
        <v>842</v>
      </c>
      <c r="H1053" t="s">
        <v>250</v>
      </c>
      <c r="I1053">
        <f>I1043*J1053</f>
        <v>7</v>
      </c>
      <c r="J1053">
        <v>35</v>
      </c>
      <c r="K1053">
        <v>35</v>
      </c>
      <c r="O1053">
        <f t="shared" si="866"/>
        <v>0</v>
      </c>
      <c r="P1053">
        <f t="shared" si="867"/>
        <v>0</v>
      </c>
      <c r="Q1053">
        <f t="shared" si="897"/>
        <v>0</v>
      </c>
      <c r="R1053">
        <f t="shared" si="868"/>
        <v>0</v>
      </c>
      <c r="S1053">
        <f t="shared" si="869"/>
        <v>0</v>
      </c>
      <c r="T1053">
        <f t="shared" si="870"/>
        <v>0</v>
      </c>
      <c r="U1053">
        <f t="shared" si="871"/>
        <v>0</v>
      </c>
      <c r="V1053">
        <f t="shared" si="872"/>
        <v>0</v>
      </c>
      <c r="W1053">
        <f t="shared" si="873"/>
        <v>0</v>
      </c>
      <c r="X1053">
        <f t="shared" si="874"/>
        <v>0</v>
      </c>
      <c r="Y1053">
        <f t="shared" si="875"/>
        <v>0</v>
      </c>
      <c r="AA1053">
        <v>129761633</v>
      </c>
      <c r="AB1053">
        <f t="shared" si="876"/>
        <v>0</v>
      </c>
      <c r="AC1053">
        <f t="shared" si="877"/>
        <v>0</v>
      </c>
      <c r="AD1053">
        <f t="shared" si="898"/>
        <v>0</v>
      </c>
      <c r="AE1053">
        <f t="shared" si="899"/>
        <v>0</v>
      </c>
      <c r="AF1053">
        <f t="shared" si="900"/>
        <v>0</v>
      </c>
      <c r="AG1053">
        <f t="shared" si="878"/>
        <v>0</v>
      </c>
      <c r="AH1053">
        <f t="shared" si="901"/>
        <v>0</v>
      </c>
      <c r="AI1053">
        <f t="shared" si="902"/>
        <v>0</v>
      </c>
      <c r="AJ1053">
        <f t="shared" si="879"/>
        <v>0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0</v>
      </c>
      <c r="AV1053">
        <v>1</v>
      </c>
      <c r="AW1053">
        <v>1</v>
      </c>
      <c r="AZ1053">
        <v>1</v>
      </c>
      <c r="BA1053">
        <v>1</v>
      </c>
      <c r="BB1053">
        <v>1</v>
      </c>
      <c r="BC1053">
        <v>5.64</v>
      </c>
      <c r="BD1053" t="s">
        <v>3</v>
      </c>
      <c r="BE1053" t="s">
        <v>3</v>
      </c>
      <c r="BF1053" t="s">
        <v>3</v>
      </c>
      <c r="BG1053" t="s">
        <v>3</v>
      </c>
      <c r="BH1053">
        <v>3</v>
      </c>
      <c r="BI1053">
        <v>1</v>
      </c>
      <c r="BJ1053" t="s">
        <v>3</v>
      </c>
      <c r="BM1053">
        <v>1623</v>
      </c>
      <c r="BN1053">
        <v>0</v>
      </c>
      <c r="BO1053" t="s">
        <v>841</v>
      </c>
      <c r="BP1053">
        <v>1</v>
      </c>
      <c r="BQ1053">
        <v>30</v>
      </c>
      <c r="BR1053">
        <v>0</v>
      </c>
      <c r="BS1053">
        <v>1</v>
      </c>
      <c r="BT1053">
        <v>1</v>
      </c>
      <c r="BU1053">
        <v>1</v>
      </c>
      <c r="BV1053">
        <v>1</v>
      </c>
      <c r="BW1053">
        <v>1</v>
      </c>
      <c r="BX1053">
        <v>1</v>
      </c>
      <c r="BY1053" t="s">
        <v>3</v>
      </c>
      <c r="BZ1053">
        <v>0</v>
      </c>
      <c r="CA1053">
        <v>0</v>
      </c>
      <c r="CB1053" t="s">
        <v>3</v>
      </c>
      <c r="CE1053">
        <v>30</v>
      </c>
      <c r="CF1053">
        <v>0</v>
      </c>
      <c r="CG1053">
        <v>0</v>
      </c>
      <c r="CM1053">
        <v>0</v>
      </c>
      <c r="CN1053" t="s">
        <v>3</v>
      </c>
      <c r="CO1053">
        <v>0</v>
      </c>
      <c r="CP1053">
        <f t="shared" si="880"/>
        <v>0</v>
      </c>
      <c r="CQ1053">
        <f t="shared" si="881"/>
        <v>0</v>
      </c>
      <c r="CR1053">
        <f t="shared" si="903"/>
        <v>0</v>
      </c>
      <c r="CS1053">
        <f t="shared" si="882"/>
        <v>0</v>
      </c>
      <c r="CT1053">
        <f t="shared" si="883"/>
        <v>0</v>
      </c>
      <c r="CU1053">
        <f t="shared" si="884"/>
        <v>0</v>
      </c>
      <c r="CV1053">
        <f t="shared" si="885"/>
        <v>0</v>
      </c>
      <c r="CW1053">
        <f t="shared" si="886"/>
        <v>0</v>
      </c>
      <c r="CX1053">
        <f t="shared" si="887"/>
        <v>0</v>
      </c>
      <c r="CY1053">
        <f>S1053*(BZ1053/100)</f>
        <v>0</v>
      </c>
      <c r="CZ1053">
        <f>S1053*(CA1053/100)</f>
        <v>0</v>
      </c>
      <c r="DC1053" t="s">
        <v>3</v>
      </c>
      <c r="DD1053" t="s">
        <v>3</v>
      </c>
      <c r="DE1053" t="s">
        <v>3</v>
      </c>
      <c r="DF1053" t="s">
        <v>3</v>
      </c>
      <c r="DG1053" t="s">
        <v>3</v>
      </c>
      <c r="DH1053" t="s">
        <v>3</v>
      </c>
      <c r="DI1053" t="s">
        <v>3</v>
      </c>
      <c r="DJ1053" t="s">
        <v>3</v>
      </c>
      <c r="DK1053" t="s">
        <v>3</v>
      </c>
      <c r="DL1053" t="s">
        <v>3</v>
      </c>
      <c r="DM1053" t="s">
        <v>3</v>
      </c>
      <c r="DN1053">
        <v>110</v>
      </c>
      <c r="DO1053">
        <v>74</v>
      </c>
      <c r="DP1053">
        <v>1</v>
      </c>
      <c r="DQ1053">
        <v>1</v>
      </c>
      <c r="DU1053">
        <v>1010</v>
      </c>
      <c r="DV1053" t="s">
        <v>250</v>
      </c>
      <c r="DW1053" t="s">
        <v>250</v>
      </c>
      <c r="DX1053">
        <v>1</v>
      </c>
      <c r="DZ1053" t="s">
        <v>3</v>
      </c>
      <c r="EA1053" t="s">
        <v>3</v>
      </c>
      <c r="EB1053" t="s">
        <v>3</v>
      </c>
      <c r="EC1053" t="s">
        <v>3</v>
      </c>
      <c r="EE1053">
        <v>126053084</v>
      </c>
      <c r="EF1053">
        <v>30</v>
      </c>
      <c r="EG1053" t="s">
        <v>23</v>
      </c>
      <c r="EH1053">
        <v>0</v>
      </c>
      <c r="EI1053" t="s">
        <v>3</v>
      </c>
      <c r="EJ1053">
        <v>1</v>
      </c>
      <c r="EK1053">
        <v>1623</v>
      </c>
      <c r="EL1053" t="s">
        <v>824</v>
      </c>
      <c r="EM1053" t="s">
        <v>825</v>
      </c>
      <c r="EO1053" t="s">
        <v>3</v>
      </c>
      <c r="EQ1053">
        <v>0</v>
      </c>
      <c r="ER1053">
        <v>0</v>
      </c>
      <c r="ES1053">
        <v>0</v>
      </c>
      <c r="ET1053">
        <v>0</v>
      </c>
      <c r="EU1053">
        <v>0</v>
      </c>
      <c r="EV1053">
        <v>0</v>
      </c>
      <c r="EW1053">
        <v>0</v>
      </c>
      <c r="EX1053">
        <v>0</v>
      </c>
      <c r="FQ1053">
        <v>0</v>
      </c>
      <c r="FR1053">
        <f t="shared" si="888"/>
        <v>0</v>
      </c>
      <c r="FS1053">
        <v>0</v>
      </c>
      <c r="FX1053">
        <v>110</v>
      </c>
      <c r="FY1053">
        <v>74</v>
      </c>
      <c r="GA1053" t="s">
        <v>259</v>
      </c>
      <c r="GD1053">
        <v>0</v>
      </c>
      <c r="GF1053">
        <v>1942050970</v>
      </c>
      <c r="GG1053">
        <v>2</v>
      </c>
      <c r="GH1053">
        <v>2</v>
      </c>
      <c r="GI1053">
        <v>2</v>
      </c>
      <c r="GJ1053">
        <v>0</v>
      </c>
      <c r="GK1053">
        <f>ROUND(R1053*(S12)/100,2)</f>
        <v>0</v>
      </c>
      <c r="GL1053">
        <f t="shared" si="889"/>
        <v>0</v>
      </c>
      <c r="GM1053">
        <f t="shared" si="890"/>
        <v>0</v>
      </c>
      <c r="GN1053">
        <f t="shared" si="891"/>
        <v>0</v>
      </c>
      <c r="GO1053">
        <f t="shared" si="892"/>
        <v>0</v>
      </c>
      <c r="GP1053">
        <f t="shared" si="893"/>
        <v>0</v>
      </c>
      <c r="GR1053">
        <v>0</v>
      </c>
      <c r="GS1053">
        <v>4</v>
      </c>
      <c r="GT1053">
        <v>0</v>
      </c>
      <c r="GU1053" t="s">
        <v>3</v>
      </c>
      <c r="GV1053">
        <f t="shared" si="894"/>
        <v>0</v>
      </c>
      <c r="GW1053">
        <v>1</v>
      </c>
      <c r="GX1053">
        <f t="shared" si="895"/>
        <v>0</v>
      </c>
      <c r="HA1053">
        <v>0</v>
      </c>
      <c r="HB1053">
        <v>0</v>
      </c>
      <c r="HC1053">
        <f t="shared" si="896"/>
        <v>0</v>
      </c>
      <c r="HE1053" t="s">
        <v>3</v>
      </c>
      <c r="HF1053" t="s">
        <v>3</v>
      </c>
      <c r="HM1053" t="s">
        <v>3</v>
      </c>
      <c r="HN1053" t="s">
        <v>3</v>
      </c>
      <c r="HO1053" t="s">
        <v>3</v>
      </c>
      <c r="HP1053" t="s">
        <v>3</v>
      </c>
      <c r="HQ1053" t="s">
        <v>3</v>
      </c>
      <c r="IK1053">
        <v>0</v>
      </c>
    </row>
    <row r="1054" spans="1:255" x14ac:dyDescent="0.2">
      <c r="A1054" s="2">
        <v>18</v>
      </c>
      <c r="B1054" s="2">
        <v>1</v>
      </c>
      <c r="C1054" s="2">
        <v>846</v>
      </c>
      <c r="D1054" s="2"/>
      <c r="E1054" s="2" t="s">
        <v>843</v>
      </c>
      <c r="F1054" s="2" t="s">
        <v>844</v>
      </c>
      <c r="G1054" s="2" t="s">
        <v>845</v>
      </c>
      <c r="H1054" s="2" t="s">
        <v>250</v>
      </c>
      <c r="I1054" s="2">
        <f>I1042*J1054</f>
        <v>2</v>
      </c>
      <c r="J1054" s="2">
        <v>10</v>
      </c>
      <c r="K1054" s="2">
        <v>10</v>
      </c>
      <c r="L1054" s="2"/>
      <c r="M1054" s="2"/>
      <c r="N1054" s="2"/>
      <c r="O1054" s="2">
        <f t="shared" si="866"/>
        <v>0</v>
      </c>
      <c r="P1054" s="2">
        <f t="shared" si="867"/>
        <v>0</v>
      </c>
      <c r="Q1054" s="2">
        <f t="shared" si="897"/>
        <v>0</v>
      </c>
      <c r="R1054" s="2">
        <f t="shared" si="868"/>
        <v>0</v>
      </c>
      <c r="S1054" s="2">
        <f t="shared" si="869"/>
        <v>0</v>
      </c>
      <c r="T1054" s="2">
        <f t="shared" si="870"/>
        <v>0</v>
      </c>
      <c r="U1054" s="2">
        <f t="shared" si="871"/>
        <v>0</v>
      </c>
      <c r="V1054" s="2">
        <f t="shared" si="872"/>
        <v>0</v>
      </c>
      <c r="W1054" s="2">
        <f t="shared" si="873"/>
        <v>0</v>
      </c>
      <c r="X1054" s="2">
        <f t="shared" si="874"/>
        <v>0</v>
      </c>
      <c r="Y1054" s="2">
        <f t="shared" si="875"/>
        <v>0</v>
      </c>
      <c r="Z1054" s="2"/>
      <c r="AA1054" s="2">
        <v>129761636</v>
      </c>
      <c r="AB1054" s="2">
        <f t="shared" si="876"/>
        <v>0</v>
      </c>
      <c r="AC1054" s="2">
        <f t="shared" si="877"/>
        <v>0</v>
      </c>
      <c r="AD1054" s="2">
        <f t="shared" si="898"/>
        <v>0</v>
      </c>
      <c r="AE1054" s="2">
        <f t="shared" si="899"/>
        <v>0</v>
      </c>
      <c r="AF1054" s="2">
        <f t="shared" si="900"/>
        <v>0</v>
      </c>
      <c r="AG1054" s="2">
        <f t="shared" si="878"/>
        <v>0</v>
      </c>
      <c r="AH1054" s="2">
        <f t="shared" si="901"/>
        <v>0</v>
      </c>
      <c r="AI1054" s="2">
        <f t="shared" si="902"/>
        <v>0</v>
      </c>
      <c r="AJ1054" s="2">
        <f t="shared" si="879"/>
        <v>0</v>
      </c>
      <c r="AK1054" s="2">
        <v>0</v>
      </c>
      <c r="AL1054" s="2">
        <v>0</v>
      </c>
      <c r="AM1054" s="2">
        <v>0</v>
      </c>
      <c r="AN1054" s="2">
        <v>0</v>
      </c>
      <c r="AO1054" s="2">
        <v>0</v>
      </c>
      <c r="AP1054" s="2">
        <v>0</v>
      </c>
      <c r="AQ1054" s="2">
        <v>0</v>
      </c>
      <c r="AR1054" s="2">
        <v>0</v>
      </c>
      <c r="AS1054" s="2">
        <v>0</v>
      </c>
      <c r="AT1054" s="2">
        <v>110</v>
      </c>
      <c r="AU1054" s="2">
        <v>74</v>
      </c>
      <c r="AV1054" s="2">
        <v>1</v>
      </c>
      <c r="AW1054" s="2">
        <v>1</v>
      </c>
      <c r="AX1054" s="2"/>
      <c r="AY1054" s="2"/>
      <c r="AZ1054" s="2">
        <v>1</v>
      </c>
      <c r="BA1054" s="2">
        <v>1</v>
      </c>
      <c r="BB1054" s="2">
        <v>1</v>
      </c>
      <c r="BC1054" s="2">
        <v>1</v>
      </c>
      <c r="BD1054" s="2" t="s">
        <v>3</v>
      </c>
      <c r="BE1054" s="2" t="s">
        <v>3</v>
      </c>
      <c r="BF1054" s="2" t="s">
        <v>3</v>
      </c>
      <c r="BG1054" s="2" t="s">
        <v>3</v>
      </c>
      <c r="BH1054" s="2">
        <v>3</v>
      </c>
      <c r="BI1054" s="2">
        <v>1</v>
      </c>
      <c r="BJ1054" s="2" t="s">
        <v>3</v>
      </c>
      <c r="BK1054" s="2"/>
      <c r="BL1054" s="2"/>
      <c r="BM1054" s="2">
        <v>1623</v>
      </c>
      <c r="BN1054" s="2">
        <v>0</v>
      </c>
      <c r="BO1054" s="2" t="s">
        <v>3</v>
      </c>
      <c r="BP1054" s="2">
        <v>0</v>
      </c>
      <c r="BQ1054" s="2">
        <v>30</v>
      </c>
      <c r="BR1054" s="2">
        <v>0</v>
      </c>
      <c r="BS1054" s="2">
        <v>1</v>
      </c>
      <c r="BT1054" s="2">
        <v>1</v>
      </c>
      <c r="BU1054" s="2">
        <v>1</v>
      </c>
      <c r="BV1054" s="2">
        <v>1</v>
      </c>
      <c r="BW1054" s="2">
        <v>1</v>
      </c>
      <c r="BX1054" s="2">
        <v>1</v>
      </c>
      <c r="BY1054" s="2" t="s">
        <v>3</v>
      </c>
      <c r="BZ1054" s="2">
        <v>110</v>
      </c>
      <c r="CA1054" s="2">
        <v>74</v>
      </c>
      <c r="CB1054" s="2" t="s">
        <v>3</v>
      </c>
      <c r="CC1054" s="2"/>
      <c r="CD1054" s="2"/>
      <c r="CE1054" s="2">
        <v>30</v>
      </c>
      <c r="CF1054" s="2">
        <v>0</v>
      </c>
      <c r="CG1054" s="2">
        <v>0</v>
      </c>
      <c r="CH1054" s="2"/>
      <c r="CI1054" s="2"/>
      <c r="CJ1054" s="2"/>
      <c r="CK1054" s="2"/>
      <c r="CL1054" s="2"/>
      <c r="CM1054" s="2">
        <v>0</v>
      </c>
      <c r="CN1054" s="2" t="s">
        <v>3</v>
      </c>
      <c r="CO1054" s="2">
        <v>0</v>
      </c>
      <c r="CP1054" s="2">
        <f t="shared" si="880"/>
        <v>0</v>
      </c>
      <c r="CQ1054" s="2">
        <f t="shared" si="881"/>
        <v>0</v>
      </c>
      <c r="CR1054" s="2">
        <f t="shared" si="903"/>
        <v>0</v>
      </c>
      <c r="CS1054" s="2">
        <f t="shared" si="882"/>
        <v>0</v>
      </c>
      <c r="CT1054" s="2">
        <f t="shared" si="883"/>
        <v>0</v>
      </c>
      <c r="CU1054" s="2">
        <f t="shared" si="884"/>
        <v>0</v>
      </c>
      <c r="CV1054" s="2">
        <f t="shared" si="885"/>
        <v>0</v>
      </c>
      <c r="CW1054" s="2">
        <f t="shared" si="886"/>
        <v>0</v>
      </c>
      <c r="CX1054" s="2">
        <f t="shared" si="887"/>
        <v>0</v>
      </c>
      <c r="CY1054" s="2">
        <f>((S1054*BZ1054)/100)</f>
        <v>0</v>
      </c>
      <c r="CZ1054" s="2">
        <f>((S1054*CA1054)/100)</f>
        <v>0</v>
      </c>
      <c r="DA1054" s="2"/>
      <c r="DB1054" s="2"/>
      <c r="DC1054" s="2" t="s">
        <v>3</v>
      </c>
      <c r="DD1054" s="2" t="s">
        <v>3</v>
      </c>
      <c r="DE1054" s="2" t="s">
        <v>3</v>
      </c>
      <c r="DF1054" s="2" t="s">
        <v>3</v>
      </c>
      <c r="DG1054" s="2" t="s">
        <v>3</v>
      </c>
      <c r="DH1054" s="2" t="s">
        <v>3</v>
      </c>
      <c r="DI1054" s="2" t="s">
        <v>3</v>
      </c>
      <c r="DJ1054" s="2" t="s">
        <v>3</v>
      </c>
      <c r="DK1054" s="2" t="s">
        <v>3</v>
      </c>
      <c r="DL1054" s="2" t="s">
        <v>3</v>
      </c>
      <c r="DM1054" s="2" t="s">
        <v>3</v>
      </c>
      <c r="DN1054" s="2">
        <v>0</v>
      </c>
      <c r="DO1054" s="2">
        <v>0</v>
      </c>
      <c r="DP1054" s="2">
        <v>1</v>
      </c>
      <c r="DQ1054" s="2">
        <v>1</v>
      </c>
      <c r="DR1054" s="2"/>
      <c r="DS1054" s="2"/>
      <c r="DT1054" s="2"/>
      <c r="DU1054" s="2">
        <v>1010</v>
      </c>
      <c r="DV1054" s="2" t="s">
        <v>250</v>
      </c>
      <c r="DW1054" s="2" t="s">
        <v>250</v>
      </c>
      <c r="DX1054" s="2">
        <v>1</v>
      </c>
      <c r="DY1054" s="2"/>
      <c r="DZ1054" s="2" t="s">
        <v>3</v>
      </c>
      <c r="EA1054" s="2" t="s">
        <v>3</v>
      </c>
      <c r="EB1054" s="2" t="s">
        <v>3</v>
      </c>
      <c r="EC1054" s="2" t="s">
        <v>3</v>
      </c>
      <c r="ED1054" s="2"/>
      <c r="EE1054" s="2">
        <v>126053084</v>
      </c>
      <c r="EF1054" s="2">
        <v>30</v>
      </c>
      <c r="EG1054" s="2" t="s">
        <v>23</v>
      </c>
      <c r="EH1054" s="2">
        <v>0</v>
      </c>
      <c r="EI1054" s="2" t="s">
        <v>3</v>
      </c>
      <c r="EJ1054" s="2">
        <v>1</v>
      </c>
      <c r="EK1054" s="2">
        <v>1623</v>
      </c>
      <c r="EL1054" s="2" t="s">
        <v>824</v>
      </c>
      <c r="EM1054" s="2" t="s">
        <v>825</v>
      </c>
      <c r="EN1054" s="2"/>
      <c r="EO1054" s="2" t="s">
        <v>3</v>
      </c>
      <c r="EP1054" s="2"/>
      <c r="EQ1054" s="2">
        <v>0</v>
      </c>
      <c r="ER1054" s="2">
        <v>0</v>
      </c>
      <c r="ES1054" s="2">
        <v>0</v>
      </c>
      <c r="ET1054" s="2">
        <v>0</v>
      </c>
      <c r="EU1054" s="2">
        <v>0</v>
      </c>
      <c r="EV1054" s="2">
        <v>0</v>
      </c>
      <c r="EW1054" s="2">
        <v>0</v>
      </c>
      <c r="EX1054" s="2">
        <v>0</v>
      </c>
      <c r="EY1054" s="2"/>
      <c r="EZ1054" s="2"/>
      <c r="FA1054" s="2"/>
      <c r="FB1054" s="2"/>
      <c r="FC1054" s="2"/>
      <c r="FD1054" s="2"/>
      <c r="FE1054" s="2"/>
      <c r="FF1054" s="2"/>
      <c r="FG1054" s="2"/>
      <c r="FH1054" s="2"/>
      <c r="FI1054" s="2"/>
      <c r="FJ1054" s="2"/>
      <c r="FK1054" s="2"/>
      <c r="FL1054" s="2"/>
      <c r="FM1054" s="2"/>
      <c r="FN1054" s="2"/>
      <c r="FO1054" s="2"/>
      <c r="FP1054" s="2"/>
      <c r="FQ1054" s="2">
        <v>0</v>
      </c>
      <c r="FR1054" s="2">
        <f t="shared" si="888"/>
        <v>0</v>
      </c>
      <c r="FS1054" s="2">
        <v>0</v>
      </c>
      <c r="FT1054" s="2"/>
      <c r="FU1054" s="2"/>
      <c r="FV1054" s="2"/>
      <c r="FW1054" s="2"/>
      <c r="FX1054" s="2">
        <v>110</v>
      </c>
      <c r="FY1054" s="2">
        <v>74</v>
      </c>
      <c r="FZ1054" s="2"/>
      <c r="GA1054" s="2" t="s">
        <v>3</v>
      </c>
      <c r="GB1054" s="2"/>
      <c r="GC1054" s="2"/>
      <c r="GD1054" s="2">
        <v>0</v>
      </c>
      <c r="GE1054" s="2"/>
      <c r="GF1054" s="2">
        <v>-729385371</v>
      </c>
      <c r="GG1054" s="2">
        <v>2</v>
      </c>
      <c r="GH1054" s="2">
        <v>0</v>
      </c>
      <c r="GI1054" s="2">
        <v>-2</v>
      </c>
      <c r="GJ1054" s="2">
        <v>0</v>
      </c>
      <c r="GK1054" s="2">
        <f>ROUND(R1054*(R12)/100,2)</f>
        <v>0</v>
      </c>
      <c r="GL1054" s="2">
        <f t="shared" si="889"/>
        <v>0</v>
      </c>
      <c r="GM1054" s="2">
        <f t="shared" si="890"/>
        <v>0</v>
      </c>
      <c r="GN1054" s="2">
        <f t="shared" si="891"/>
        <v>0</v>
      </c>
      <c r="GO1054" s="2">
        <f t="shared" si="892"/>
        <v>0</v>
      </c>
      <c r="GP1054" s="2">
        <f t="shared" si="893"/>
        <v>0</v>
      </c>
      <c r="GQ1054" s="2"/>
      <c r="GR1054" s="2">
        <v>0</v>
      </c>
      <c r="GS1054" s="2">
        <v>0</v>
      </c>
      <c r="GT1054" s="2">
        <v>0</v>
      </c>
      <c r="GU1054" s="2" t="s">
        <v>3</v>
      </c>
      <c r="GV1054" s="2">
        <f t="shared" si="894"/>
        <v>0</v>
      </c>
      <c r="GW1054" s="2">
        <v>1</v>
      </c>
      <c r="GX1054" s="2">
        <f t="shared" si="895"/>
        <v>0</v>
      </c>
      <c r="GY1054" s="2"/>
      <c r="GZ1054" s="2"/>
      <c r="HA1054" s="2">
        <v>0</v>
      </c>
      <c r="HB1054" s="2">
        <v>0</v>
      </c>
      <c r="HC1054" s="2">
        <f t="shared" si="896"/>
        <v>0</v>
      </c>
      <c r="HD1054" s="2"/>
      <c r="HE1054" s="2" t="s">
        <v>3</v>
      </c>
      <c r="HF1054" s="2" t="s">
        <v>3</v>
      </c>
      <c r="HG1054" s="2"/>
      <c r="HH1054" s="2"/>
      <c r="HI1054" s="2"/>
      <c r="HJ1054" s="2"/>
      <c r="HK1054" s="2"/>
      <c r="HL1054" s="2"/>
      <c r="HM1054" s="2" t="s">
        <v>3</v>
      </c>
      <c r="HN1054" s="2" t="s">
        <v>3</v>
      </c>
      <c r="HO1054" s="2" t="s">
        <v>3</v>
      </c>
      <c r="HP1054" s="2" t="s">
        <v>3</v>
      </c>
      <c r="HQ1054" s="2" t="s">
        <v>3</v>
      </c>
      <c r="HR1054" s="2"/>
      <c r="HS1054" s="2"/>
      <c r="HT1054" s="2"/>
      <c r="HU1054" s="2"/>
      <c r="HV1054" s="2"/>
      <c r="HW1054" s="2"/>
      <c r="HX1054" s="2"/>
      <c r="HY1054" s="2"/>
      <c r="HZ1054" s="2"/>
      <c r="IA1054" s="2"/>
      <c r="IB1054" s="2"/>
      <c r="IC1054" s="2"/>
      <c r="ID1054" s="2"/>
      <c r="IE1054" s="2"/>
      <c r="IF1054" s="2"/>
      <c r="IG1054" s="2"/>
      <c r="IH1054" s="2"/>
      <c r="II1054" s="2"/>
      <c r="IJ1054" s="2"/>
      <c r="IK1054" s="2">
        <v>0</v>
      </c>
      <c r="IL1054" s="2"/>
      <c r="IM1054" s="2"/>
      <c r="IN1054" s="2"/>
      <c r="IO1054" s="2"/>
      <c r="IP1054" s="2"/>
      <c r="IQ1054" s="2"/>
      <c r="IR1054" s="2"/>
      <c r="IS1054" s="2"/>
      <c r="IT1054" s="2"/>
      <c r="IU1054" s="2"/>
    </row>
    <row r="1055" spans="1:255" x14ac:dyDescent="0.2">
      <c r="A1055">
        <v>18</v>
      </c>
      <c r="B1055">
        <v>1</v>
      </c>
      <c r="C1055">
        <v>867</v>
      </c>
      <c r="E1055" t="s">
        <v>843</v>
      </c>
      <c r="F1055" t="s">
        <v>844</v>
      </c>
      <c r="G1055" t="s">
        <v>845</v>
      </c>
      <c r="H1055" t="s">
        <v>250</v>
      </c>
      <c r="I1055">
        <f>I1043*J1055</f>
        <v>2</v>
      </c>
      <c r="J1055">
        <v>10</v>
      </c>
      <c r="K1055">
        <v>10</v>
      </c>
      <c r="O1055">
        <f t="shared" si="866"/>
        <v>0</v>
      </c>
      <c r="P1055">
        <f t="shared" si="867"/>
        <v>0</v>
      </c>
      <c r="Q1055">
        <f t="shared" si="897"/>
        <v>0</v>
      </c>
      <c r="R1055">
        <f t="shared" si="868"/>
        <v>0</v>
      </c>
      <c r="S1055">
        <f t="shared" si="869"/>
        <v>0</v>
      </c>
      <c r="T1055">
        <f t="shared" si="870"/>
        <v>0</v>
      </c>
      <c r="U1055">
        <f t="shared" si="871"/>
        <v>0</v>
      </c>
      <c r="V1055">
        <f t="shared" si="872"/>
        <v>0</v>
      </c>
      <c r="W1055">
        <f t="shared" si="873"/>
        <v>0</v>
      </c>
      <c r="X1055">
        <f t="shared" si="874"/>
        <v>0</v>
      </c>
      <c r="Y1055">
        <f t="shared" si="875"/>
        <v>0</v>
      </c>
      <c r="AA1055">
        <v>129761633</v>
      </c>
      <c r="AB1055">
        <f t="shared" si="876"/>
        <v>0</v>
      </c>
      <c r="AC1055">
        <f t="shared" si="877"/>
        <v>0</v>
      </c>
      <c r="AD1055">
        <f t="shared" si="898"/>
        <v>0</v>
      </c>
      <c r="AE1055">
        <f t="shared" si="899"/>
        <v>0</v>
      </c>
      <c r="AF1055">
        <f t="shared" si="900"/>
        <v>0</v>
      </c>
      <c r="AG1055">
        <f t="shared" si="878"/>
        <v>0</v>
      </c>
      <c r="AH1055">
        <f t="shared" si="901"/>
        <v>0</v>
      </c>
      <c r="AI1055">
        <f t="shared" si="902"/>
        <v>0</v>
      </c>
      <c r="AJ1055">
        <f t="shared" si="879"/>
        <v>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1</v>
      </c>
      <c r="AW1055">
        <v>1</v>
      </c>
      <c r="AZ1055">
        <v>1</v>
      </c>
      <c r="BA1055">
        <v>1</v>
      </c>
      <c r="BB1055">
        <v>1</v>
      </c>
      <c r="BC1055">
        <v>2.0099999999999998</v>
      </c>
      <c r="BD1055" t="s">
        <v>3</v>
      </c>
      <c r="BE1055" t="s">
        <v>3</v>
      </c>
      <c r="BF1055" t="s">
        <v>3</v>
      </c>
      <c r="BG1055" t="s">
        <v>3</v>
      </c>
      <c r="BH1055">
        <v>3</v>
      </c>
      <c r="BI1055">
        <v>1</v>
      </c>
      <c r="BJ1055" t="s">
        <v>3</v>
      </c>
      <c r="BM1055">
        <v>1623</v>
      </c>
      <c r="BN1055">
        <v>0</v>
      </c>
      <c r="BO1055" t="s">
        <v>844</v>
      </c>
      <c r="BP1055">
        <v>1</v>
      </c>
      <c r="BQ1055">
        <v>30</v>
      </c>
      <c r="BR1055">
        <v>0</v>
      </c>
      <c r="BS1055">
        <v>1</v>
      </c>
      <c r="BT1055">
        <v>1</v>
      </c>
      <c r="BU1055">
        <v>1</v>
      </c>
      <c r="BV1055">
        <v>1</v>
      </c>
      <c r="BW1055">
        <v>1</v>
      </c>
      <c r="BX1055">
        <v>1</v>
      </c>
      <c r="BY1055" t="s">
        <v>3</v>
      </c>
      <c r="BZ1055">
        <v>0</v>
      </c>
      <c r="CA1055">
        <v>0</v>
      </c>
      <c r="CB1055" t="s">
        <v>3</v>
      </c>
      <c r="CE1055">
        <v>30</v>
      </c>
      <c r="CF1055">
        <v>0</v>
      </c>
      <c r="CG1055">
        <v>0</v>
      </c>
      <c r="CM1055">
        <v>0</v>
      </c>
      <c r="CN1055" t="s">
        <v>3</v>
      </c>
      <c r="CO1055">
        <v>0</v>
      </c>
      <c r="CP1055">
        <f t="shared" si="880"/>
        <v>0</v>
      </c>
      <c r="CQ1055">
        <f t="shared" si="881"/>
        <v>0</v>
      </c>
      <c r="CR1055">
        <f t="shared" si="903"/>
        <v>0</v>
      </c>
      <c r="CS1055">
        <f t="shared" si="882"/>
        <v>0</v>
      </c>
      <c r="CT1055">
        <f t="shared" si="883"/>
        <v>0</v>
      </c>
      <c r="CU1055">
        <f t="shared" si="884"/>
        <v>0</v>
      </c>
      <c r="CV1055">
        <f t="shared" si="885"/>
        <v>0</v>
      </c>
      <c r="CW1055">
        <f t="shared" si="886"/>
        <v>0</v>
      </c>
      <c r="CX1055">
        <f t="shared" si="887"/>
        <v>0</v>
      </c>
      <c r="CY1055">
        <f>S1055*(BZ1055/100)</f>
        <v>0</v>
      </c>
      <c r="CZ1055">
        <f>S1055*(CA1055/100)</f>
        <v>0</v>
      </c>
      <c r="DC1055" t="s">
        <v>3</v>
      </c>
      <c r="DD1055" t="s">
        <v>3</v>
      </c>
      <c r="DE1055" t="s">
        <v>3</v>
      </c>
      <c r="DF1055" t="s">
        <v>3</v>
      </c>
      <c r="DG1055" t="s">
        <v>3</v>
      </c>
      <c r="DH1055" t="s">
        <v>3</v>
      </c>
      <c r="DI1055" t="s">
        <v>3</v>
      </c>
      <c r="DJ1055" t="s">
        <v>3</v>
      </c>
      <c r="DK1055" t="s">
        <v>3</v>
      </c>
      <c r="DL1055" t="s">
        <v>3</v>
      </c>
      <c r="DM1055" t="s">
        <v>3</v>
      </c>
      <c r="DN1055">
        <v>110</v>
      </c>
      <c r="DO1055">
        <v>74</v>
      </c>
      <c r="DP1055">
        <v>1</v>
      </c>
      <c r="DQ1055">
        <v>1</v>
      </c>
      <c r="DU1055">
        <v>1010</v>
      </c>
      <c r="DV1055" t="s">
        <v>250</v>
      </c>
      <c r="DW1055" t="s">
        <v>250</v>
      </c>
      <c r="DX1055">
        <v>1</v>
      </c>
      <c r="DZ1055" t="s">
        <v>3</v>
      </c>
      <c r="EA1055" t="s">
        <v>3</v>
      </c>
      <c r="EB1055" t="s">
        <v>3</v>
      </c>
      <c r="EC1055" t="s">
        <v>3</v>
      </c>
      <c r="EE1055">
        <v>126053084</v>
      </c>
      <c r="EF1055">
        <v>30</v>
      </c>
      <c r="EG1055" t="s">
        <v>23</v>
      </c>
      <c r="EH1055">
        <v>0</v>
      </c>
      <c r="EI1055" t="s">
        <v>3</v>
      </c>
      <c r="EJ1055">
        <v>1</v>
      </c>
      <c r="EK1055">
        <v>1623</v>
      </c>
      <c r="EL1055" t="s">
        <v>824</v>
      </c>
      <c r="EM1055" t="s">
        <v>825</v>
      </c>
      <c r="EO1055" t="s">
        <v>3</v>
      </c>
      <c r="EQ1055">
        <v>0</v>
      </c>
      <c r="ER1055">
        <v>0</v>
      </c>
      <c r="ES1055">
        <v>0</v>
      </c>
      <c r="ET1055">
        <v>0</v>
      </c>
      <c r="EU1055">
        <v>0</v>
      </c>
      <c r="EV1055">
        <v>0</v>
      </c>
      <c r="EW1055">
        <v>0</v>
      </c>
      <c r="EX1055">
        <v>0</v>
      </c>
      <c r="FQ1055">
        <v>0</v>
      </c>
      <c r="FR1055">
        <f t="shared" si="888"/>
        <v>0</v>
      </c>
      <c r="FS1055">
        <v>0</v>
      </c>
      <c r="FX1055">
        <v>110</v>
      </c>
      <c r="FY1055">
        <v>74</v>
      </c>
      <c r="GA1055" t="s">
        <v>259</v>
      </c>
      <c r="GD1055">
        <v>0</v>
      </c>
      <c r="GF1055">
        <v>-729385371</v>
      </c>
      <c r="GG1055">
        <v>2</v>
      </c>
      <c r="GH1055">
        <v>2</v>
      </c>
      <c r="GI1055">
        <v>2</v>
      </c>
      <c r="GJ1055">
        <v>0</v>
      </c>
      <c r="GK1055">
        <f>ROUND(R1055*(S12)/100,2)</f>
        <v>0</v>
      </c>
      <c r="GL1055">
        <f t="shared" si="889"/>
        <v>0</v>
      </c>
      <c r="GM1055">
        <f t="shared" si="890"/>
        <v>0</v>
      </c>
      <c r="GN1055">
        <f t="shared" si="891"/>
        <v>0</v>
      </c>
      <c r="GO1055">
        <f t="shared" si="892"/>
        <v>0</v>
      </c>
      <c r="GP1055">
        <f t="shared" si="893"/>
        <v>0</v>
      </c>
      <c r="GR1055">
        <v>0</v>
      </c>
      <c r="GS1055">
        <v>4</v>
      </c>
      <c r="GT1055">
        <v>0</v>
      </c>
      <c r="GU1055" t="s">
        <v>3</v>
      </c>
      <c r="GV1055">
        <f t="shared" si="894"/>
        <v>0</v>
      </c>
      <c r="GW1055">
        <v>1</v>
      </c>
      <c r="GX1055">
        <f t="shared" si="895"/>
        <v>0</v>
      </c>
      <c r="HA1055">
        <v>0</v>
      </c>
      <c r="HB1055">
        <v>0</v>
      </c>
      <c r="HC1055">
        <f t="shared" si="896"/>
        <v>0</v>
      </c>
      <c r="HE1055" t="s">
        <v>3</v>
      </c>
      <c r="HF1055" t="s">
        <v>3</v>
      </c>
      <c r="HM1055" t="s">
        <v>3</v>
      </c>
      <c r="HN1055" t="s">
        <v>3</v>
      </c>
      <c r="HO1055" t="s">
        <v>3</v>
      </c>
      <c r="HP1055" t="s">
        <v>3</v>
      </c>
      <c r="HQ1055" t="s">
        <v>3</v>
      </c>
      <c r="IK1055">
        <v>0</v>
      </c>
    </row>
    <row r="1056" spans="1:255" x14ac:dyDescent="0.2">
      <c r="A1056" s="2">
        <v>18</v>
      </c>
      <c r="B1056" s="2">
        <v>1</v>
      </c>
      <c r="C1056" s="2">
        <v>849</v>
      </c>
      <c r="D1056" s="2"/>
      <c r="E1056" s="2" t="s">
        <v>846</v>
      </c>
      <c r="F1056" s="2" t="s">
        <v>847</v>
      </c>
      <c r="G1056" s="2" t="s">
        <v>848</v>
      </c>
      <c r="H1056" s="2" t="s">
        <v>250</v>
      </c>
      <c r="I1056" s="2">
        <f>I1042*J1056</f>
        <v>2</v>
      </c>
      <c r="J1056" s="2">
        <v>10</v>
      </c>
      <c r="K1056" s="2">
        <v>10</v>
      </c>
      <c r="L1056" s="2"/>
      <c r="M1056" s="2"/>
      <c r="N1056" s="2"/>
      <c r="O1056" s="2">
        <f t="shared" si="866"/>
        <v>0</v>
      </c>
      <c r="P1056" s="2">
        <f t="shared" si="867"/>
        <v>0</v>
      </c>
      <c r="Q1056" s="2">
        <f t="shared" si="897"/>
        <v>0</v>
      </c>
      <c r="R1056" s="2">
        <f t="shared" si="868"/>
        <v>0</v>
      </c>
      <c r="S1056" s="2">
        <f t="shared" si="869"/>
        <v>0</v>
      </c>
      <c r="T1056" s="2">
        <f t="shared" si="870"/>
        <v>0</v>
      </c>
      <c r="U1056" s="2">
        <f t="shared" si="871"/>
        <v>0</v>
      </c>
      <c r="V1056" s="2">
        <f t="shared" si="872"/>
        <v>0</v>
      </c>
      <c r="W1056" s="2">
        <f t="shared" si="873"/>
        <v>0</v>
      </c>
      <c r="X1056" s="2">
        <f t="shared" si="874"/>
        <v>0</v>
      </c>
      <c r="Y1056" s="2">
        <f t="shared" si="875"/>
        <v>0</v>
      </c>
      <c r="Z1056" s="2"/>
      <c r="AA1056" s="2">
        <v>129761636</v>
      </c>
      <c r="AB1056" s="2">
        <f t="shared" si="876"/>
        <v>0</v>
      </c>
      <c r="AC1056" s="2">
        <f t="shared" si="877"/>
        <v>0</v>
      </c>
      <c r="AD1056" s="2">
        <f t="shared" si="898"/>
        <v>0</v>
      </c>
      <c r="AE1056" s="2">
        <f t="shared" si="899"/>
        <v>0</v>
      </c>
      <c r="AF1056" s="2">
        <f t="shared" si="900"/>
        <v>0</v>
      </c>
      <c r="AG1056" s="2">
        <f t="shared" si="878"/>
        <v>0</v>
      </c>
      <c r="AH1056" s="2">
        <f t="shared" si="901"/>
        <v>0</v>
      </c>
      <c r="AI1056" s="2">
        <f t="shared" si="902"/>
        <v>0</v>
      </c>
      <c r="AJ1056" s="2">
        <f t="shared" si="879"/>
        <v>0</v>
      </c>
      <c r="AK1056" s="2">
        <v>0</v>
      </c>
      <c r="AL1056" s="2">
        <v>0</v>
      </c>
      <c r="AM1056" s="2">
        <v>0</v>
      </c>
      <c r="AN1056" s="2">
        <v>0</v>
      </c>
      <c r="AO1056" s="2">
        <v>0</v>
      </c>
      <c r="AP1056" s="2">
        <v>0</v>
      </c>
      <c r="AQ1056" s="2">
        <v>0</v>
      </c>
      <c r="AR1056" s="2">
        <v>0</v>
      </c>
      <c r="AS1056" s="2">
        <v>0</v>
      </c>
      <c r="AT1056" s="2">
        <v>110</v>
      </c>
      <c r="AU1056" s="2">
        <v>74</v>
      </c>
      <c r="AV1056" s="2">
        <v>1</v>
      </c>
      <c r="AW1056" s="2">
        <v>1</v>
      </c>
      <c r="AX1056" s="2"/>
      <c r="AY1056" s="2"/>
      <c r="AZ1056" s="2">
        <v>1</v>
      </c>
      <c r="BA1056" s="2">
        <v>1</v>
      </c>
      <c r="BB1056" s="2">
        <v>1</v>
      </c>
      <c r="BC1056" s="2">
        <v>1</v>
      </c>
      <c r="BD1056" s="2" t="s">
        <v>3</v>
      </c>
      <c r="BE1056" s="2" t="s">
        <v>3</v>
      </c>
      <c r="BF1056" s="2" t="s">
        <v>3</v>
      </c>
      <c r="BG1056" s="2" t="s">
        <v>3</v>
      </c>
      <c r="BH1056" s="2">
        <v>3</v>
      </c>
      <c r="BI1056" s="2">
        <v>1</v>
      </c>
      <c r="BJ1056" s="2" t="s">
        <v>3</v>
      </c>
      <c r="BK1056" s="2"/>
      <c r="BL1056" s="2"/>
      <c r="BM1056" s="2">
        <v>1623</v>
      </c>
      <c r="BN1056" s="2">
        <v>0</v>
      </c>
      <c r="BO1056" s="2" t="s">
        <v>3</v>
      </c>
      <c r="BP1056" s="2">
        <v>0</v>
      </c>
      <c r="BQ1056" s="2">
        <v>30</v>
      </c>
      <c r="BR1056" s="2">
        <v>0</v>
      </c>
      <c r="BS1056" s="2">
        <v>1</v>
      </c>
      <c r="BT1056" s="2">
        <v>1</v>
      </c>
      <c r="BU1056" s="2">
        <v>1</v>
      </c>
      <c r="BV1056" s="2">
        <v>1</v>
      </c>
      <c r="BW1056" s="2">
        <v>1</v>
      </c>
      <c r="BX1056" s="2">
        <v>1</v>
      </c>
      <c r="BY1056" s="2" t="s">
        <v>3</v>
      </c>
      <c r="BZ1056" s="2">
        <v>110</v>
      </c>
      <c r="CA1056" s="2">
        <v>74</v>
      </c>
      <c r="CB1056" s="2" t="s">
        <v>3</v>
      </c>
      <c r="CC1056" s="2"/>
      <c r="CD1056" s="2"/>
      <c r="CE1056" s="2">
        <v>30</v>
      </c>
      <c r="CF1056" s="2">
        <v>0</v>
      </c>
      <c r="CG1056" s="2">
        <v>0</v>
      </c>
      <c r="CH1056" s="2"/>
      <c r="CI1056" s="2"/>
      <c r="CJ1056" s="2"/>
      <c r="CK1056" s="2"/>
      <c r="CL1056" s="2"/>
      <c r="CM1056" s="2">
        <v>0</v>
      </c>
      <c r="CN1056" s="2" t="s">
        <v>3</v>
      </c>
      <c r="CO1056" s="2">
        <v>0</v>
      </c>
      <c r="CP1056" s="2">
        <f t="shared" si="880"/>
        <v>0</v>
      </c>
      <c r="CQ1056" s="2">
        <f t="shared" si="881"/>
        <v>0</v>
      </c>
      <c r="CR1056" s="2">
        <f t="shared" si="903"/>
        <v>0</v>
      </c>
      <c r="CS1056" s="2">
        <f t="shared" si="882"/>
        <v>0</v>
      </c>
      <c r="CT1056" s="2">
        <f t="shared" si="883"/>
        <v>0</v>
      </c>
      <c r="CU1056" s="2">
        <f t="shared" si="884"/>
        <v>0</v>
      </c>
      <c r="CV1056" s="2">
        <f t="shared" si="885"/>
        <v>0</v>
      </c>
      <c r="CW1056" s="2">
        <f t="shared" si="886"/>
        <v>0</v>
      </c>
      <c r="CX1056" s="2">
        <f t="shared" si="887"/>
        <v>0</v>
      </c>
      <c r="CY1056" s="2">
        <f>((S1056*BZ1056)/100)</f>
        <v>0</v>
      </c>
      <c r="CZ1056" s="2">
        <f>((S1056*CA1056)/100)</f>
        <v>0</v>
      </c>
      <c r="DA1056" s="2"/>
      <c r="DB1056" s="2"/>
      <c r="DC1056" s="2" t="s">
        <v>3</v>
      </c>
      <c r="DD1056" s="2" t="s">
        <v>3</v>
      </c>
      <c r="DE1056" s="2" t="s">
        <v>3</v>
      </c>
      <c r="DF1056" s="2" t="s">
        <v>3</v>
      </c>
      <c r="DG1056" s="2" t="s">
        <v>3</v>
      </c>
      <c r="DH1056" s="2" t="s">
        <v>3</v>
      </c>
      <c r="DI1056" s="2" t="s">
        <v>3</v>
      </c>
      <c r="DJ1056" s="2" t="s">
        <v>3</v>
      </c>
      <c r="DK1056" s="2" t="s">
        <v>3</v>
      </c>
      <c r="DL1056" s="2" t="s">
        <v>3</v>
      </c>
      <c r="DM1056" s="2" t="s">
        <v>3</v>
      </c>
      <c r="DN1056" s="2">
        <v>0</v>
      </c>
      <c r="DO1056" s="2">
        <v>0</v>
      </c>
      <c r="DP1056" s="2">
        <v>1</v>
      </c>
      <c r="DQ1056" s="2">
        <v>1</v>
      </c>
      <c r="DR1056" s="2"/>
      <c r="DS1056" s="2"/>
      <c r="DT1056" s="2"/>
      <c r="DU1056" s="2">
        <v>1010</v>
      </c>
      <c r="DV1056" s="2" t="s">
        <v>250</v>
      </c>
      <c r="DW1056" s="2" t="s">
        <v>250</v>
      </c>
      <c r="DX1056" s="2">
        <v>1</v>
      </c>
      <c r="DY1056" s="2"/>
      <c r="DZ1056" s="2" t="s">
        <v>3</v>
      </c>
      <c r="EA1056" s="2" t="s">
        <v>3</v>
      </c>
      <c r="EB1056" s="2" t="s">
        <v>3</v>
      </c>
      <c r="EC1056" s="2" t="s">
        <v>3</v>
      </c>
      <c r="ED1056" s="2"/>
      <c r="EE1056" s="2">
        <v>126053084</v>
      </c>
      <c r="EF1056" s="2">
        <v>30</v>
      </c>
      <c r="EG1056" s="2" t="s">
        <v>23</v>
      </c>
      <c r="EH1056" s="2">
        <v>0</v>
      </c>
      <c r="EI1056" s="2" t="s">
        <v>3</v>
      </c>
      <c r="EJ1056" s="2">
        <v>1</v>
      </c>
      <c r="EK1056" s="2">
        <v>1623</v>
      </c>
      <c r="EL1056" s="2" t="s">
        <v>824</v>
      </c>
      <c r="EM1056" s="2" t="s">
        <v>825</v>
      </c>
      <c r="EN1056" s="2"/>
      <c r="EO1056" s="2" t="s">
        <v>3</v>
      </c>
      <c r="EP1056" s="2"/>
      <c r="EQ1056" s="2">
        <v>0</v>
      </c>
      <c r="ER1056" s="2">
        <v>0</v>
      </c>
      <c r="ES1056" s="2">
        <v>0</v>
      </c>
      <c r="ET1056" s="2">
        <v>0</v>
      </c>
      <c r="EU1056" s="2">
        <v>0</v>
      </c>
      <c r="EV1056" s="2">
        <v>0</v>
      </c>
      <c r="EW1056" s="2">
        <v>0</v>
      </c>
      <c r="EX1056" s="2">
        <v>0</v>
      </c>
      <c r="EY1056" s="2"/>
      <c r="EZ1056" s="2"/>
      <c r="FA1056" s="2"/>
      <c r="FB1056" s="2"/>
      <c r="FC1056" s="2"/>
      <c r="FD1056" s="2"/>
      <c r="FE1056" s="2"/>
      <c r="FF1056" s="2"/>
      <c r="FG1056" s="2"/>
      <c r="FH1056" s="2"/>
      <c r="FI1056" s="2"/>
      <c r="FJ1056" s="2"/>
      <c r="FK1056" s="2"/>
      <c r="FL1056" s="2"/>
      <c r="FM1056" s="2"/>
      <c r="FN1056" s="2"/>
      <c r="FO1056" s="2"/>
      <c r="FP1056" s="2"/>
      <c r="FQ1056" s="2">
        <v>0</v>
      </c>
      <c r="FR1056" s="2">
        <f t="shared" si="888"/>
        <v>0</v>
      </c>
      <c r="FS1056" s="2">
        <v>0</v>
      </c>
      <c r="FT1056" s="2"/>
      <c r="FU1056" s="2"/>
      <c r="FV1056" s="2"/>
      <c r="FW1056" s="2"/>
      <c r="FX1056" s="2">
        <v>110</v>
      </c>
      <c r="FY1056" s="2">
        <v>74</v>
      </c>
      <c r="FZ1056" s="2"/>
      <c r="GA1056" s="2" t="s">
        <v>3</v>
      </c>
      <c r="GB1056" s="2"/>
      <c r="GC1056" s="2"/>
      <c r="GD1056" s="2">
        <v>0</v>
      </c>
      <c r="GE1056" s="2"/>
      <c r="GF1056" s="2">
        <v>1773581639</v>
      </c>
      <c r="GG1056" s="2">
        <v>2</v>
      </c>
      <c r="GH1056" s="2">
        <v>0</v>
      </c>
      <c r="GI1056" s="2">
        <v>-2</v>
      </c>
      <c r="GJ1056" s="2">
        <v>0</v>
      </c>
      <c r="GK1056" s="2">
        <f>ROUND(R1056*(R12)/100,2)</f>
        <v>0</v>
      </c>
      <c r="GL1056" s="2">
        <f t="shared" si="889"/>
        <v>0</v>
      </c>
      <c r="GM1056" s="2">
        <f t="shared" si="890"/>
        <v>0</v>
      </c>
      <c r="GN1056" s="2">
        <f t="shared" si="891"/>
        <v>0</v>
      </c>
      <c r="GO1056" s="2">
        <f t="shared" si="892"/>
        <v>0</v>
      </c>
      <c r="GP1056" s="2">
        <f t="shared" si="893"/>
        <v>0</v>
      </c>
      <c r="GQ1056" s="2"/>
      <c r="GR1056" s="2">
        <v>0</v>
      </c>
      <c r="GS1056" s="2">
        <v>0</v>
      </c>
      <c r="GT1056" s="2">
        <v>0</v>
      </c>
      <c r="GU1056" s="2" t="s">
        <v>3</v>
      </c>
      <c r="GV1056" s="2">
        <f t="shared" si="894"/>
        <v>0</v>
      </c>
      <c r="GW1056" s="2">
        <v>1</v>
      </c>
      <c r="GX1056" s="2">
        <f t="shared" si="895"/>
        <v>0</v>
      </c>
      <c r="GY1056" s="2"/>
      <c r="GZ1056" s="2"/>
      <c r="HA1056" s="2">
        <v>0</v>
      </c>
      <c r="HB1056" s="2">
        <v>0</v>
      </c>
      <c r="HC1056" s="2">
        <f t="shared" si="896"/>
        <v>0</v>
      </c>
      <c r="HD1056" s="2"/>
      <c r="HE1056" s="2" t="s">
        <v>3</v>
      </c>
      <c r="HF1056" s="2" t="s">
        <v>3</v>
      </c>
      <c r="HG1056" s="2"/>
      <c r="HH1056" s="2"/>
      <c r="HI1056" s="2"/>
      <c r="HJ1056" s="2"/>
      <c r="HK1056" s="2"/>
      <c r="HL1056" s="2"/>
      <c r="HM1056" s="2" t="s">
        <v>3</v>
      </c>
      <c r="HN1056" s="2" t="s">
        <v>3</v>
      </c>
      <c r="HO1056" s="2" t="s">
        <v>3</v>
      </c>
      <c r="HP1056" s="2" t="s">
        <v>3</v>
      </c>
      <c r="HQ1056" s="2" t="s">
        <v>3</v>
      </c>
      <c r="HR1056" s="2"/>
      <c r="HS1056" s="2"/>
      <c r="HT1056" s="2"/>
      <c r="HU1056" s="2"/>
      <c r="HV1056" s="2"/>
      <c r="HW1056" s="2"/>
      <c r="HX1056" s="2"/>
      <c r="HY1056" s="2"/>
      <c r="HZ1056" s="2"/>
      <c r="IA1056" s="2"/>
      <c r="IB1056" s="2"/>
      <c r="IC1056" s="2"/>
      <c r="ID1056" s="2"/>
      <c r="IE1056" s="2"/>
      <c r="IF1056" s="2"/>
      <c r="IG1056" s="2"/>
      <c r="IH1056" s="2"/>
      <c r="II1056" s="2"/>
      <c r="IJ1056" s="2"/>
      <c r="IK1056" s="2">
        <v>0</v>
      </c>
      <c r="IL1056" s="2"/>
      <c r="IM1056" s="2"/>
      <c r="IN1056" s="2"/>
      <c r="IO1056" s="2"/>
      <c r="IP1056" s="2"/>
      <c r="IQ1056" s="2"/>
      <c r="IR1056" s="2"/>
      <c r="IS1056" s="2"/>
      <c r="IT1056" s="2"/>
      <c r="IU1056" s="2"/>
    </row>
    <row r="1057" spans="1:255" x14ac:dyDescent="0.2">
      <c r="A1057">
        <v>18</v>
      </c>
      <c r="B1057">
        <v>1</v>
      </c>
      <c r="C1057">
        <v>870</v>
      </c>
      <c r="E1057" t="s">
        <v>846</v>
      </c>
      <c r="F1057" t="s">
        <v>847</v>
      </c>
      <c r="G1057" t="s">
        <v>848</v>
      </c>
      <c r="H1057" t="s">
        <v>250</v>
      </c>
      <c r="I1057">
        <f>I1043*J1057</f>
        <v>2</v>
      </c>
      <c r="J1057">
        <v>10</v>
      </c>
      <c r="K1057">
        <v>10</v>
      </c>
      <c r="O1057">
        <f t="shared" si="866"/>
        <v>0</v>
      </c>
      <c r="P1057">
        <f t="shared" si="867"/>
        <v>0</v>
      </c>
      <c r="Q1057">
        <f t="shared" si="897"/>
        <v>0</v>
      </c>
      <c r="R1057">
        <f t="shared" si="868"/>
        <v>0</v>
      </c>
      <c r="S1057">
        <f t="shared" si="869"/>
        <v>0</v>
      </c>
      <c r="T1057">
        <f t="shared" si="870"/>
        <v>0</v>
      </c>
      <c r="U1057">
        <f t="shared" si="871"/>
        <v>0</v>
      </c>
      <c r="V1057">
        <f t="shared" si="872"/>
        <v>0</v>
      </c>
      <c r="W1057">
        <f t="shared" si="873"/>
        <v>0</v>
      </c>
      <c r="X1057">
        <f t="shared" si="874"/>
        <v>0</v>
      </c>
      <c r="Y1057">
        <f t="shared" si="875"/>
        <v>0</v>
      </c>
      <c r="AA1057">
        <v>129761633</v>
      </c>
      <c r="AB1057">
        <f t="shared" si="876"/>
        <v>0</v>
      </c>
      <c r="AC1057">
        <f t="shared" si="877"/>
        <v>0</v>
      </c>
      <c r="AD1057">
        <f t="shared" si="898"/>
        <v>0</v>
      </c>
      <c r="AE1057">
        <f t="shared" si="899"/>
        <v>0</v>
      </c>
      <c r="AF1057">
        <f t="shared" si="900"/>
        <v>0</v>
      </c>
      <c r="AG1057">
        <f t="shared" si="878"/>
        <v>0</v>
      </c>
      <c r="AH1057">
        <f t="shared" si="901"/>
        <v>0</v>
      </c>
      <c r="AI1057">
        <f t="shared" si="902"/>
        <v>0</v>
      </c>
      <c r="AJ1057">
        <f t="shared" si="879"/>
        <v>0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1</v>
      </c>
      <c r="AW1057">
        <v>1</v>
      </c>
      <c r="AZ1057">
        <v>1</v>
      </c>
      <c r="BA1057">
        <v>1</v>
      </c>
      <c r="BB1057">
        <v>1</v>
      </c>
      <c r="BC1057">
        <v>8.89</v>
      </c>
      <c r="BD1057" t="s">
        <v>3</v>
      </c>
      <c r="BE1057" t="s">
        <v>3</v>
      </c>
      <c r="BF1057" t="s">
        <v>3</v>
      </c>
      <c r="BG1057" t="s">
        <v>3</v>
      </c>
      <c r="BH1057">
        <v>3</v>
      </c>
      <c r="BI1057">
        <v>1</v>
      </c>
      <c r="BJ1057" t="s">
        <v>3</v>
      </c>
      <c r="BM1057">
        <v>1623</v>
      </c>
      <c r="BN1057">
        <v>0</v>
      </c>
      <c r="BO1057" t="s">
        <v>847</v>
      </c>
      <c r="BP1057">
        <v>1</v>
      </c>
      <c r="BQ1057">
        <v>30</v>
      </c>
      <c r="BR1057">
        <v>0</v>
      </c>
      <c r="BS1057">
        <v>1</v>
      </c>
      <c r="BT1057">
        <v>1</v>
      </c>
      <c r="BU1057">
        <v>1</v>
      </c>
      <c r="BV1057">
        <v>1</v>
      </c>
      <c r="BW1057">
        <v>1</v>
      </c>
      <c r="BX1057">
        <v>1</v>
      </c>
      <c r="BY1057" t="s">
        <v>3</v>
      </c>
      <c r="BZ1057">
        <v>0</v>
      </c>
      <c r="CA1057">
        <v>0</v>
      </c>
      <c r="CB1057" t="s">
        <v>3</v>
      </c>
      <c r="CE1057">
        <v>30</v>
      </c>
      <c r="CF1057">
        <v>0</v>
      </c>
      <c r="CG1057">
        <v>0</v>
      </c>
      <c r="CM1057">
        <v>0</v>
      </c>
      <c r="CN1057" t="s">
        <v>3</v>
      </c>
      <c r="CO1057">
        <v>0</v>
      </c>
      <c r="CP1057">
        <f t="shared" si="880"/>
        <v>0</v>
      </c>
      <c r="CQ1057">
        <f t="shared" si="881"/>
        <v>0</v>
      </c>
      <c r="CR1057">
        <f t="shared" si="903"/>
        <v>0</v>
      </c>
      <c r="CS1057">
        <f t="shared" si="882"/>
        <v>0</v>
      </c>
      <c r="CT1057">
        <f t="shared" si="883"/>
        <v>0</v>
      </c>
      <c r="CU1057">
        <f t="shared" si="884"/>
        <v>0</v>
      </c>
      <c r="CV1057">
        <f t="shared" si="885"/>
        <v>0</v>
      </c>
      <c r="CW1057">
        <f t="shared" si="886"/>
        <v>0</v>
      </c>
      <c r="CX1057">
        <f t="shared" si="887"/>
        <v>0</v>
      </c>
      <c r="CY1057">
        <f>S1057*(BZ1057/100)</f>
        <v>0</v>
      </c>
      <c r="CZ1057">
        <f>S1057*(CA1057/100)</f>
        <v>0</v>
      </c>
      <c r="DC1057" t="s">
        <v>3</v>
      </c>
      <c r="DD1057" t="s">
        <v>3</v>
      </c>
      <c r="DE1057" t="s">
        <v>3</v>
      </c>
      <c r="DF1057" t="s">
        <v>3</v>
      </c>
      <c r="DG1057" t="s">
        <v>3</v>
      </c>
      <c r="DH1057" t="s">
        <v>3</v>
      </c>
      <c r="DI1057" t="s">
        <v>3</v>
      </c>
      <c r="DJ1057" t="s">
        <v>3</v>
      </c>
      <c r="DK1057" t="s">
        <v>3</v>
      </c>
      <c r="DL1057" t="s">
        <v>3</v>
      </c>
      <c r="DM1057" t="s">
        <v>3</v>
      </c>
      <c r="DN1057">
        <v>110</v>
      </c>
      <c r="DO1057">
        <v>74</v>
      </c>
      <c r="DP1057">
        <v>1</v>
      </c>
      <c r="DQ1057">
        <v>1</v>
      </c>
      <c r="DU1057">
        <v>1010</v>
      </c>
      <c r="DV1057" t="s">
        <v>250</v>
      </c>
      <c r="DW1057" t="s">
        <v>250</v>
      </c>
      <c r="DX1057">
        <v>1</v>
      </c>
      <c r="DZ1057" t="s">
        <v>3</v>
      </c>
      <c r="EA1057" t="s">
        <v>3</v>
      </c>
      <c r="EB1057" t="s">
        <v>3</v>
      </c>
      <c r="EC1057" t="s">
        <v>3</v>
      </c>
      <c r="EE1057">
        <v>126053084</v>
      </c>
      <c r="EF1057">
        <v>30</v>
      </c>
      <c r="EG1057" t="s">
        <v>23</v>
      </c>
      <c r="EH1057">
        <v>0</v>
      </c>
      <c r="EI1057" t="s">
        <v>3</v>
      </c>
      <c r="EJ1057">
        <v>1</v>
      </c>
      <c r="EK1057">
        <v>1623</v>
      </c>
      <c r="EL1057" t="s">
        <v>824</v>
      </c>
      <c r="EM1057" t="s">
        <v>825</v>
      </c>
      <c r="EO1057" t="s">
        <v>3</v>
      </c>
      <c r="EQ1057">
        <v>0</v>
      </c>
      <c r="ER1057">
        <v>0</v>
      </c>
      <c r="ES1057">
        <v>0</v>
      </c>
      <c r="ET1057">
        <v>0</v>
      </c>
      <c r="EU1057">
        <v>0</v>
      </c>
      <c r="EV1057">
        <v>0</v>
      </c>
      <c r="EW1057">
        <v>0</v>
      </c>
      <c r="EX1057">
        <v>0</v>
      </c>
      <c r="FQ1057">
        <v>0</v>
      </c>
      <c r="FR1057">
        <f t="shared" si="888"/>
        <v>0</v>
      </c>
      <c r="FS1057">
        <v>0</v>
      </c>
      <c r="FX1057">
        <v>110</v>
      </c>
      <c r="FY1057">
        <v>74</v>
      </c>
      <c r="GA1057" t="s">
        <v>259</v>
      </c>
      <c r="GD1057">
        <v>0</v>
      </c>
      <c r="GF1057">
        <v>1773581639</v>
      </c>
      <c r="GG1057">
        <v>2</v>
      </c>
      <c r="GH1057">
        <v>2</v>
      </c>
      <c r="GI1057">
        <v>2</v>
      </c>
      <c r="GJ1057">
        <v>0</v>
      </c>
      <c r="GK1057">
        <f>ROUND(R1057*(S12)/100,2)</f>
        <v>0</v>
      </c>
      <c r="GL1057">
        <f t="shared" si="889"/>
        <v>0</v>
      </c>
      <c r="GM1057">
        <f t="shared" si="890"/>
        <v>0</v>
      </c>
      <c r="GN1057">
        <f t="shared" si="891"/>
        <v>0</v>
      </c>
      <c r="GO1057">
        <f t="shared" si="892"/>
        <v>0</v>
      </c>
      <c r="GP1057">
        <f t="shared" si="893"/>
        <v>0</v>
      </c>
      <c r="GR1057">
        <v>0</v>
      </c>
      <c r="GS1057">
        <v>4</v>
      </c>
      <c r="GT1057">
        <v>0</v>
      </c>
      <c r="GU1057" t="s">
        <v>3</v>
      </c>
      <c r="GV1057">
        <f t="shared" si="894"/>
        <v>0</v>
      </c>
      <c r="GW1057">
        <v>1</v>
      </c>
      <c r="GX1057">
        <f t="shared" si="895"/>
        <v>0</v>
      </c>
      <c r="HA1057">
        <v>0</v>
      </c>
      <c r="HB1057">
        <v>0</v>
      </c>
      <c r="HC1057">
        <f t="shared" si="896"/>
        <v>0</v>
      </c>
      <c r="HE1057" t="s">
        <v>3</v>
      </c>
      <c r="HF1057" t="s">
        <v>3</v>
      </c>
      <c r="HM1057" t="s">
        <v>3</v>
      </c>
      <c r="HN1057" t="s">
        <v>3</v>
      </c>
      <c r="HO1057" t="s">
        <v>3</v>
      </c>
      <c r="HP1057" t="s">
        <v>3</v>
      </c>
      <c r="HQ1057" t="s">
        <v>3</v>
      </c>
      <c r="IK1057">
        <v>0</v>
      </c>
    </row>
    <row r="1058" spans="1:255" x14ac:dyDescent="0.2">
      <c r="A1058" s="2">
        <v>18</v>
      </c>
      <c r="B1058" s="2">
        <v>1</v>
      </c>
      <c r="C1058" s="2">
        <v>848</v>
      </c>
      <c r="D1058" s="2"/>
      <c r="E1058" s="2" t="s">
        <v>849</v>
      </c>
      <c r="F1058" s="2" t="s">
        <v>850</v>
      </c>
      <c r="G1058" s="2" t="s">
        <v>851</v>
      </c>
      <c r="H1058" s="2" t="s">
        <v>250</v>
      </c>
      <c r="I1058" s="2">
        <f>I1042*J1058</f>
        <v>4</v>
      </c>
      <c r="J1058" s="2">
        <v>20</v>
      </c>
      <c r="K1058" s="2">
        <v>20</v>
      </c>
      <c r="L1058" s="2"/>
      <c r="M1058" s="2"/>
      <c r="N1058" s="2"/>
      <c r="O1058" s="2">
        <f t="shared" si="866"/>
        <v>0</v>
      </c>
      <c r="P1058" s="2">
        <f t="shared" si="867"/>
        <v>0</v>
      </c>
      <c r="Q1058" s="2">
        <f t="shared" si="897"/>
        <v>0</v>
      </c>
      <c r="R1058" s="2">
        <f t="shared" si="868"/>
        <v>0</v>
      </c>
      <c r="S1058" s="2">
        <f t="shared" si="869"/>
        <v>0</v>
      </c>
      <c r="T1058" s="2">
        <f t="shared" si="870"/>
        <v>0</v>
      </c>
      <c r="U1058" s="2">
        <f t="shared" si="871"/>
        <v>0</v>
      </c>
      <c r="V1058" s="2">
        <f t="shared" si="872"/>
        <v>0</v>
      </c>
      <c r="W1058" s="2">
        <f t="shared" si="873"/>
        <v>0</v>
      </c>
      <c r="X1058" s="2">
        <f t="shared" si="874"/>
        <v>0</v>
      </c>
      <c r="Y1058" s="2">
        <f t="shared" si="875"/>
        <v>0</v>
      </c>
      <c r="Z1058" s="2"/>
      <c r="AA1058" s="2">
        <v>129761636</v>
      </c>
      <c r="AB1058" s="2">
        <f t="shared" si="876"/>
        <v>0</v>
      </c>
      <c r="AC1058" s="2">
        <f t="shared" si="877"/>
        <v>0</v>
      </c>
      <c r="AD1058" s="2">
        <f t="shared" si="898"/>
        <v>0</v>
      </c>
      <c r="AE1058" s="2">
        <f t="shared" si="899"/>
        <v>0</v>
      </c>
      <c r="AF1058" s="2">
        <f t="shared" si="900"/>
        <v>0</v>
      </c>
      <c r="AG1058" s="2">
        <f t="shared" si="878"/>
        <v>0</v>
      </c>
      <c r="AH1058" s="2">
        <f t="shared" si="901"/>
        <v>0</v>
      </c>
      <c r="AI1058" s="2">
        <f t="shared" si="902"/>
        <v>0</v>
      </c>
      <c r="AJ1058" s="2">
        <f t="shared" si="879"/>
        <v>0</v>
      </c>
      <c r="AK1058" s="2">
        <v>0</v>
      </c>
      <c r="AL1058" s="2">
        <v>0</v>
      </c>
      <c r="AM1058" s="2">
        <v>0</v>
      </c>
      <c r="AN1058" s="2">
        <v>0</v>
      </c>
      <c r="AO1058" s="2">
        <v>0</v>
      </c>
      <c r="AP1058" s="2">
        <v>0</v>
      </c>
      <c r="AQ1058" s="2">
        <v>0</v>
      </c>
      <c r="AR1058" s="2">
        <v>0</v>
      </c>
      <c r="AS1058" s="2">
        <v>0</v>
      </c>
      <c r="AT1058" s="2">
        <v>110</v>
      </c>
      <c r="AU1058" s="2">
        <v>74</v>
      </c>
      <c r="AV1058" s="2">
        <v>1</v>
      </c>
      <c r="AW1058" s="2">
        <v>1</v>
      </c>
      <c r="AX1058" s="2"/>
      <c r="AY1058" s="2"/>
      <c r="AZ1058" s="2">
        <v>1</v>
      </c>
      <c r="BA1058" s="2">
        <v>1</v>
      </c>
      <c r="BB1058" s="2">
        <v>1</v>
      </c>
      <c r="BC1058" s="2">
        <v>1</v>
      </c>
      <c r="BD1058" s="2" t="s">
        <v>3</v>
      </c>
      <c r="BE1058" s="2" t="s">
        <v>3</v>
      </c>
      <c r="BF1058" s="2" t="s">
        <v>3</v>
      </c>
      <c r="BG1058" s="2" t="s">
        <v>3</v>
      </c>
      <c r="BH1058" s="2">
        <v>3</v>
      </c>
      <c r="BI1058" s="2">
        <v>1</v>
      </c>
      <c r="BJ1058" s="2" t="s">
        <v>3</v>
      </c>
      <c r="BK1058" s="2"/>
      <c r="BL1058" s="2"/>
      <c r="BM1058" s="2">
        <v>1623</v>
      </c>
      <c r="BN1058" s="2">
        <v>0</v>
      </c>
      <c r="BO1058" s="2" t="s">
        <v>3</v>
      </c>
      <c r="BP1058" s="2">
        <v>0</v>
      </c>
      <c r="BQ1058" s="2">
        <v>30</v>
      </c>
      <c r="BR1058" s="2">
        <v>0</v>
      </c>
      <c r="BS1058" s="2">
        <v>1</v>
      </c>
      <c r="BT1058" s="2">
        <v>1</v>
      </c>
      <c r="BU1058" s="2">
        <v>1</v>
      </c>
      <c r="BV1058" s="2">
        <v>1</v>
      </c>
      <c r="BW1058" s="2">
        <v>1</v>
      </c>
      <c r="BX1058" s="2">
        <v>1</v>
      </c>
      <c r="BY1058" s="2" t="s">
        <v>3</v>
      </c>
      <c r="BZ1058" s="2">
        <v>110</v>
      </c>
      <c r="CA1058" s="2">
        <v>74</v>
      </c>
      <c r="CB1058" s="2" t="s">
        <v>3</v>
      </c>
      <c r="CC1058" s="2"/>
      <c r="CD1058" s="2"/>
      <c r="CE1058" s="2">
        <v>30</v>
      </c>
      <c r="CF1058" s="2">
        <v>0</v>
      </c>
      <c r="CG1058" s="2">
        <v>0</v>
      </c>
      <c r="CH1058" s="2"/>
      <c r="CI1058" s="2"/>
      <c r="CJ1058" s="2"/>
      <c r="CK1058" s="2"/>
      <c r="CL1058" s="2"/>
      <c r="CM1058" s="2">
        <v>0</v>
      </c>
      <c r="CN1058" s="2" t="s">
        <v>3</v>
      </c>
      <c r="CO1058" s="2">
        <v>0</v>
      </c>
      <c r="CP1058" s="2">
        <f t="shared" si="880"/>
        <v>0</v>
      </c>
      <c r="CQ1058" s="2">
        <f t="shared" si="881"/>
        <v>0</v>
      </c>
      <c r="CR1058" s="2">
        <f t="shared" si="903"/>
        <v>0</v>
      </c>
      <c r="CS1058" s="2">
        <f t="shared" si="882"/>
        <v>0</v>
      </c>
      <c r="CT1058" s="2">
        <f t="shared" si="883"/>
        <v>0</v>
      </c>
      <c r="CU1058" s="2">
        <f t="shared" si="884"/>
        <v>0</v>
      </c>
      <c r="CV1058" s="2">
        <f t="shared" si="885"/>
        <v>0</v>
      </c>
      <c r="CW1058" s="2">
        <f t="shared" si="886"/>
        <v>0</v>
      </c>
      <c r="CX1058" s="2">
        <f t="shared" si="887"/>
        <v>0</v>
      </c>
      <c r="CY1058" s="2">
        <f>((S1058*BZ1058)/100)</f>
        <v>0</v>
      </c>
      <c r="CZ1058" s="2">
        <f>((S1058*CA1058)/100)</f>
        <v>0</v>
      </c>
      <c r="DA1058" s="2"/>
      <c r="DB1058" s="2"/>
      <c r="DC1058" s="2" t="s">
        <v>3</v>
      </c>
      <c r="DD1058" s="2" t="s">
        <v>3</v>
      </c>
      <c r="DE1058" s="2" t="s">
        <v>3</v>
      </c>
      <c r="DF1058" s="2" t="s">
        <v>3</v>
      </c>
      <c r="DG1058" s="2" t="s">
        <v>3</v>
      </c>
      <c r="DH1058" s="2" t="s">
        <v>3</v>
      </c>
      <c r="DI1058" s="2" t="s">
        <v>3</v>
      </c>
      <c r="DJ1058" s="2" t="s">
        <v>3</v>
      </c>
      <c r="DK1058" s="2" t="s">
        <v>3</v>
      </c>
      <c r="DL1058" s="2" t="s">
        <v>3</v>
      </c>
      <c r="DM1058" s="2" t="s">
        <v>3</v>
      </c>
      <c r="DN1058" s="2">
        <v>0</v>
      </c>
      <c r="DO1058" s="2">
        <v>0</v>
      </c>
      <c r="DP1058" s="2">
        <v>1</v>
      </c>
      <c r="DQ1058" s="2">
        <v>1</v>
      </c>
      <c r="DR1058" s="2"/>
      <c r="DS1058" s="2"/>
      <c r="DT1058" s="2"/>
      <c r="DU1058" s="2">
        <v>1010</v>
      </c>
      <c r="DV1058" s="2" t="s">
        <v>250</v>
      </c>
      <c r="DW1058" s="2" t="s">
        <v>250</v>
      </c>
      <c r="DX1058" s="2">
        <v>1</v>
      </c>
      <c r="DY1058" s="2"/>
      <c r="DZ1058" s="2" t="s">
        <v>3</v>
      </c>
      <c r="EA1058" s="2" t="s">
        <v>3</v>
      </c>
      <c r="EB1058" s="2" t="s">
        <v>3</v>
      </c>
      <c r="EC1058" s="2" t="s">
        <v>3</v>
      </c>
      <c r="ED1058" s="2"/>
      <c r="EE1058" s="2">
        <v>126053084</v>
      </c>
      <c r="EF1058" s="2">
        <v>30</v>
      </c>
      <c r="EG1058" s="2" t="s">
        <v>23</v>
      </c>
      <c r="EH1058" s="2">
        <v>0</v>
      </c>
      <c r="EI1058" s="2" t="s">
        <v>3</v>
      </c>
      <c r="EJ1058" s="2">
        <v>1</v>
      </c>
      <c r="EK1058" s="2">
        <v>1623</v>
      </c>
      <c r="EL1058" s="2" t="s">
        <v>824</v>
      </c>
      <c r="EM1058" s="2" t="s">
        <v>825</v>
      </c>
      <c r="EN1058" s="2"/>
      <c r="EO1058" s="2" t="s">
        <v>3</v>
      </c>
      <c r="EP1058" s="2"/>
      <c r="EQ1058" s="2">
        <v>0</v>
      </c>
      <c r="ER1058" s="2">
        <v>0</v>
      </c>
      <c r="ES1058" s="2">
        <v>0</v>
      </c>
      <c r="ET1058" s="2">
        <v>0</v>
      </c>
      <c r="EU1058" s="2">
        <v>0</v>
      </c>
      <c r="EV1058" s="2">
        <v>0</v>
      </c>
      <c r="EW1058" s="2">
        <v>0</v>
      </c>
      <c r="EX1058" s="2">
        <v>0</v>
      </c>
      <c r="EY1058" s="2"/>
      <c r="EZ1058" s="2"/>
      <c r="FA1058" s="2"/>
      <c r="FB1058" s="2"/>
      <c r="FC1058" s="2"/>
      <c r="FD1058" s="2"/>
      <c r="FE1058" s="2"/>
      <c r="FF1058" s="2"/>
      <c r="FG1058" s="2"/>
      <c r="FH1058" s="2"/>
      <c r="FI1058" s="2"/>
      <c r="FJ1058" s="2"/>
      <c r="FK1058" s="2"/>
      <c r="FL1058" s="2"/>
      <c r="FM1058" s="2"/>
      <c r="FN1058" s="2"/>
      <c r="FO1058" s="2"/>
      <c r="FP1058" s="2"/>
      <c r="FQ1058" s="2">
        <v>0</v>
      </c>
      <c r="FR1058" s="2">
        <f t="shared" si="888"/>
        <v>0</v>
      </c>
      <c r="FS1058" s="2">
        <v>0</v>
      </c>
      <c r="FT1058" s="2"/>
      <c r="FU1058" s="2"/>
      <c r="FV1058" s="2"/>
      <c r="FW1058" s="2"/>
      <c r="FX1058" s="2">
        <v>110</v>
      </c>
      <c r="FY1058" s="2">
        <v>74</v>
      </c>
      <c r="FZ1058" s="2"/>
      <c r="GA1058" s="2" t="s">
        <v>3</v>
      </c>
      <c r="GB1058" s="2"/>
      <c r="GC1058" s="2"/>
      <c r="GD1058" s="2">
        <v>0</v>
      </c>
      <c r="GE1058" s="2"/>
      <c r="GF1058" s="2">
        <v>1698173573</v>
      </c>
      <c r="GG1058" s="2">
        <v>2</v>
      </c>
      <c r="GH1058" s="2">
        <v>0</v>
      </c>
      <c r="GI1058" s="2">
        <v>-2</v>
      </c>
      <c r="GJ1058" s="2">
        <v>0</v>
      </c>
      <c r="GK1058" s="2">
        <f>ROUND(R1058*(R12)/100,2)</f>
        <v>0</v>
      </c>
      <c r="GL1058" s="2">
        <f t="shared" si="889"/>
        <v>0</v>
      </c>
      <c r="GM1058" s="2">
        <f t="shared" si="890"/>
        <v>0</v>
      </c>
      <c r="GN1058" s="2">
        <f t="shared" si="891"/>
        <v>0</v>
      </c>
      <c r="GO1058" s="2">
        <f t="shared" si="892"/>
        <v>0</v>
      </c>
      <c r="GP1058" s="2">
        <f t="shared" si="893"/>
        <v>0</v>
      </c>
      <c r="GQ1058" s="2"/>
      <c r="GR1058" s="2">
        <v>0</v>
      </c>
      <c r="GS1058" s="2">
        <v>0</v>
      </c>
      <c r="GT1058" s="2">
        <v>0</v>
      </c>
      <c r="GU1058" s="2" t="s">
        <v>3</v>
      </c>
      <c r="GV1058" s="2">
        <f t="shared" si="894"/>
        <v>0</v>
      </c>
      <c r="GW1058" s="2">
        <v>1</v>
      </c>
      <c r="GX1058" s="2">
        <f t="shared" si="895"/>
        <v>0</v>
      </c>
      <c r="GY1058" s="2"/>
      <c r="GZ1058" s="2"/>
      <c r="HA1058" s="2">
        <v>0</v>
      </c>
      <c r="HB1058" s="2">
        <v>0</v>
      </c>
      <c r="HC1058" s="2">
        <f t="shared" si="896"/>
        <v>0</v>
      </c>
      <c r="HD1058" s="2"/>
      <c r="HE1058" s="2" t="s">
        <v>3</v>
      </c>
      <c r="HF1058" s="2" t="s">
        <v>3</v>
      </c>
      <c r="HG1058" s="2"/>
      <c r="HH1058" s="2"/>
      <c r="HI1058" s="2"/>
      <c r="HJ1058" s="2"/>
      <c r="HK1058" s="2"/>
      <c r="HL1058" s="2"/>
      <c r="HM1058" s="2" t="s">
        <v>3</v>
      </c>
      <c r="HN1058" s="2" t="s">
        <v>3</v>
      </c>
      <c r="HO1058" s="2" t="s">
        <v>3</v>
      </c>
      <c r="HP1058" s="2" t="s">
        <v>3</v>
      </c>
      <c r="HQ1058" s="2" t="s">
        <v>3</v>
      </c>
      <c r="HR1058" s="2"/>
      <c r="HS1058" s="2"/>
      <c r="HT1058" s="2"/>
      <c r="HU1058" s="2"/>
      <c r="HV1058" s="2"/>
      <c r="HW1058" s="2"/>
      <c r="HX1058" s="2"/>
      <c r="HY1058" s="2"/>
      <c r="HZ1058" s="2"/>
      <c r="IA1058" s="2"/>
      <c r="IB1058" s="2"/>
      <c r="IC1058" s="2"/>
      <c r="ID1058" s="2"/>
      <c r="IE1058" s="2"/>
      <c r="IF1058" s="2"/>
      <c r="IG1058" s="2"/>
      <c r="IH1058" s="2"/>
      <c r="II1058" s="2"/>
      <c r="IJ1058" s="2"/>
      <c r="IK1058" s="2">
        <v>0</v>
      </c>
      <c r="IL1058" s="2"/>
      <c r="IM1058" s="2"/>
      <c r="IN1058" s="2"/>
      <c r="IO1058" s="2"/>
      <c r="IP1058" s="2"/>
      <c r="IQ1058" s="2"/>
      <c r="IR1058" s="2"/>
      <c r="IS1058" s="2"/>
      <c r="IT1058" s="2"/>
      <c r="IU1058" s="2"/>
    </row>
    <row r="1059" spans="1:255" x14ac:dyDescent="0.2">
      <c r="A1059">
        <v>18</v>
      </c>
      <c r="B1059">
        <v>1</v>
      </c>
      <c r="C1059">
        <v>869</v>
      </c>
      <c r="E1059" t="s">
        <v>849</v>
      </c>
      <c r="F1059" t="s">
        <v>850</v>
      </c>
      <c r="G1059" t="s">
        <v>851</v>
      </c>
      <c r="H1059" t="s">
        <v>250</v>
      </c>
      <c r="I1059">
        <f>I1043*J1059</f>
        <v>4</v>
      </c>
      <c r="J1059">
        <v>20</v>
      </c>
      <c r="K1059">
        <v>20</v>
      </c>
      <c r="O1059">
        <f t="shared" si="866"/>
        <v>0</v>
      </c>
      <c r="P1059">
        <f t="shared" si="867"/>
        <v>0</v>
      </c>
      <c r="Q1059">
        <f t="shared" si="897"/>
        <v>0</v>
      </c>
      <c r="R1059">
        <f t="shared" si="868"/>
        <v>0</v>
      </c>
      <c r="S1059">
        <f t="shared" si="869"/>
        <v>0</v>
      </c>
      <c r="T1059">
        <f t="shared" si="870"/>
        <v>0</v>
      </c>
      <c r="U1059">
        <f t="shared" si="871"/>
        <v>0</v>
      </c>
      <c r="V1059">
        <f t="shared" si="872"/>
        <v>0</v>
      </c>
      <c r="W1059">
        <f t="shared" si="873"/>
        <v>0</v>
      </c>
      <c r="X1059">
        <f t="shared" si="874"/>
        <v>0</v>
      </c>
      <c r="Y1059">
        <f t="shared" si="875"/>
        <v>0</v>
      </c>
      <c r="AA1059">
        <v>129761633</v>
      </c>
      <c r="AB1059">
        <f t="shared" si="876"/>
        <v>0</v>
      </c>
      <c r="AC1059">
        <f t="shared" si="877"/>
        <v>0</v>
      </c>
      <c r="AD1059">
        <f t="shared" si="898"/>
        <v>0</v>
      </c>
      <c r="AE1059">
        <f t="shared" si="899"/>
        <v>0</v>
      </c>
      <c r="AF1059">
        <f t="shared" si="900"/>
        <v>0</v>
      </c>
      <c r="AG1059">
        <f t="shared" si="878"/>
        <v>0</v>
      </c>
      <c r="AH1059">
        <f t="shared" si="901"/>
        <v>0</v>
      </c>
      <c r="AI1059">
        <f t="shared" si="902"/>
        <v>0</v>
      </c>
      <c r="AJ1059">
        <f t="shared" si="879"/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1</v>
      </c>
      <c r="AW1059">
        <v>1</v>
      </c>
      <c r="AZ1059">
        <v>1</v>
      </c>
      <c r="BA1059">
        <v>1</v>
      </c>
      <c r="BB1059">
        <v>1</v>
      </c>
      <c r="BC1059">
        <v>8.94</v>
      </c>
      <c r="BD1059" t="s">
        <v>3</v>
      </c>
      <c r="BE1059" t="s">
        <v>3</v>
      </c>
      <c r="BF1059" t="s">
        <v>3</v>
      </c>
      <c r="BG1059" t="s">
        <v>3</v>
      </c>
      <c r="BH1059">
        <v>3</v>
      </c>
      <c r="BI1059">
        <v>1</v>
      </c>
      <c r="BJ1059" t="s">
        <v>3</v>
      </c>
      <c r="BM1059">
        <v>1623</v>
      </c>
      <c r="BN1059">
        <v>0</v>
      </c>
      <c r="BO1059" t="s">
        <v>850</v>
      </c>
      <c r="BP1059">
        <v>1</v>
      </c>
      <c r="BQ1059">
        <v>30</v>
      </c>
      <c r="BR1059">
        <v>0</v>
      </c>
      <c r="BS1059">
        <v>1</v>
      </c>
      <c r="BT1059">
        <v>1</v>
      </c>
      <c r="BU1059">
        <v>1</v>
      </c>
      <c r="BV1059">
        <v>1</v>
      </c>
      <c r="BW1059">
        <v>1</v>
      </c>
      <c r="BX1059">
        <v>1</v>
      </c>
      <c r="BY1059" t="s">
        <v>3</v>
      </c>
      <c r="BZ1059">
        <v>0</v>
      </c>
      <c r="CA1059">
        <v>0</v>
      </c>
      <c r="CB1059" t="s">
        <v>3</v>
      </c>
      <c r="CE1059">
        <v>30</v>
      </c>
      <c r="CF1059">
        <v>0</v>
      </c>
      <c r="CG1059">
        <v>0</v>
      </c>
      <c r="CM1059">
        <v>0</v>
      </c>
      <c r="CN1059" t="s">
        <v>3</v>
      </c>
      <c r="CO1059">
        <v>0</v>
      </c>
      <c r="CP1059">
        <f t="shared" si="880"/>
        <v>0</v>
      </c>
      <c r="CQ1059">
        <f t="shared" si="881"/>
        <v>0</v>
      </c>
      <c r="CR1059">
        <f t="shared" si="903"/>
        <v>0</v>
      </c>
      <c r="CS1059">
        <f t="shared" si="882"/>
        <v>0</v>
      </c>
      <c r="CT1059">
        <f t="shared" si="883"/>
        <v>0</v>
      </c>
      <c r="CU1059">
        <f t="shared" si="884"/>
        <v>0</v>
      </c>
      <c r="CV1059">
        <f t="shared" si="885"/>
        <v>0</v>
      </c>
      <c r="CW1059">
        <f t="shared" si="886"/>
        <v>0</v>
      </c>
      <c r="CX1059">
        <f t="shared" si="887"/>
        <v>0</v>
      </c>
      <c r="CY1059">
        <f>S1059*(BZ1059/100)</f>
        <v>0</v>
      </c>
      <c r="CZ1059">
        <f>S1059*(CA1059/100)</f>
        <v>0</v>
      </c>
      <c r="DC1059" t="s">
        <v>3</v>
      </c>
      <c r="DD1059" t="s">
        <v>3</v>
      </c>
      <c r="DE1059" t="s">
        <v>3</v>
      </c>
      <c r="DF1059" t="s">
        <v>3</v>
      </c>
      <c r="DG1059" t="s">
        <v>3</v>
      </c>
      <c r="DH1059" t="s">
        <v>3</v>
      </c>
      <c r="DI1059" t="s">
        <v>3</v>
      </c>
      <c r="DJ1059" t="s">
        <v>3</v>
      </c>
      <c r="DK1059" t="s">
        <v>3</v>
      </c>
      <c r="DL1059" t="s">
        <v>3</v>
      </c>
      <c r="DM1059" t="s">
        <v>3</v>
      </c>
      <c r="DN1059">
        <v>110</v>
      </c>
      <c r="DO1059">
        <v>74</v>
      </c>
      <c r="DP1059">
        <v>1</v>
      </c>
      <c r="DQ1059">
        <v>1</v>
      </c>
      <c r="DU1059">
        <v>1010</v>
      </c>
      <c r="DV1059" t="s">
        <v>250</v>
      </c>
      <c r="DW1059" t="s">
        <v>250</v>
      </c>
      <c r="DX1059">
        <v>1</v>
      </c>
      <c r="DZ1059" t="s">
        <v>3</v>
      </c>
      <c r="EA1059" t="s">
        <v>3</v>
      </c>
      <c r="EB1059" t="s">
        <v>3</v>
      </c>
      <c r="EC1059" t="s">
        <v>3</v>
      </c>
      <c r="EE1059">
        <v>126053084</v>
      </c>
      <c r="EF1059">
        <v>30</v>
      </c>
      <c r="EG1059" t="s">
        <v>23</v>
      </c>
      <c r="EH1059">
        <v>0</v>
      </c>
      <c r="EI1059" t="s">
        <v>3</v>
      </c>
      <c r="EJ1059">
        <v>1</v>
      </c>
      <c r="EK1059">
        <v>1623</v>
      </c>
      <c r="EL1059" t="s">
        <v>824</v>
      </c>
      <c r="EM1059" t="s">
        <v>825</v>
      </c>
      <c r="EO1059" t="s">
        <v>3</v>
      </c>
      <c r="EQ1059">
        <v>0</v>
      </c>
      <c r="ER1059">
        <v>0</v>
      </c>
      <c r="ES1059">
        <v>0</v>
      </c>
      <c r="ET1059">
        <v>0</v>
      </c>
      <c r="EU1059">
        <v>0</v>
      </c>
      <c r="EV1059">
        <v>0</v>
      </c>
      <c r="EW1059">
        <v>0</v>
      </c>
      <c r="EX1059">
        <v>0</v>
      </c>
      <c r="FQ1059">
        <v>0</v>
      </c>
      <c r="FR1059">
        <f t="shared" si="888"/>
        <v>0</v>
      </c>
      <c r="FS1059">
        <v>0</v>
      </c>
      <c r="FX1059">
        <v>110</v>
      </c>
      <c r="FY1059">
        <v>74</v>
      </c>
      <c r="GA1059" t="s">
        <v>259</v>
      </c>
      <c r="GD1059">
        <v>0</v>
      </c>
      <c r="GF1059">
        <v>1698173573</v>
      </c>
      <c r="GG1059">
        <v>2</v>
      </c>
      <c r="GH1059">
        <v>2</v>
      </c>
      <c r="GI1059">
        <v>2</v>
      </c>
      <c r="GJ1059">
        <v>0</v>
      </c>
      <c r="GK1059">
        <f>ROUND(R1059*(S12)/100,2)</f>
        <v>0</v>
      </c>
      <c r="GL1059">
        <f t="shared" si="889"/>
        <v>0</v>
      </c>
      <c r="GM1059">
        <f t="shared" si="890"/>
        <v>0</v>
      </c>
      <c r="GN1059">
        <f t="shared" si="891"/>
        <v>0</v>
      </c>
      <c r="GO1059">
        <f t="shared" si="892"/>
        <v>0</v>
      </c>
      <c r="GP1059">
        <f t="shared" si="893"/>
        <v>0</v>
      </c>
      <c r="GR1059">
        <v>0</v>
      </c>
      <c r="GS1059">
        <v>4</v>
      </c>
      <c r="GT1059">
        <v>0</v>
      </c>
      <c r="GU1059" t="s">
        <v>3</v>
      </c>
      <c r="GV1059">
        <f t="shared" si="894"/>
        <v>0</v>
      </c>
      <c r="GW1059">
        <v>1</v>
      </c>
      <c r="GX1059">
        <f t="shared" si="895"/>
        <v>0</v>
      </c>
      <c r="HA1059">
        <v>0</v>
      </c>
      <c r="HB1059">
        <v>0</v>
      </c>
      <c r="HC1059">
        <f t="shared" si="896"/>
        <v>0</v>
      </c>
      <c r="HE1059" t="s">
        <v>3</v>
      </c>
      <c r="HF1059" t="s">
        <v>3</v>
      </c>
      <c r="HM1059" t="s">
        <v>3</v>
      </c>
      <c r="HN1059" t="s">
        <v>3</v>
      </c>
      <c r="HO1059" t="s">
        <v>3</v>
      </c>
      <c r="HP1059" t="s">
        <v>3</v>
      </c>
      <c r="HQ1059" t="s">
        <v>3</v>
      </c>
      <c r="IK1059">
        <v>0</v>
      </c>
    </row>
    <row r="1060" spans="1:255" x14ac:dyDescent="0.2">
      <c r="A1060" s="2">
        <v>18</v>
      </c>
      <c r="B1060" s="2">
        <v>1</v>
      </c>
      <c r="C1060" s="2">
        <v>850</v>
      </c>
      <c r="D1060" s="2"/>
      <c r="E1060" s="2" t="s">
        <v>852</v>
      </c>
      <c r="F1060" s="2" t="s">
        <v>853</v>
      </c>
      <c r="G1060" s="2" t="s">
        <v>854</v>
      </c>
      <c r="H1060" s="2" t="s">
        <v>250</v>
      </c>
      <c r="I1060" s="2">
        <f>I1042*J1060</f>
        <v>20</v>
      </c>
      <c r="J1060" s="2">
        <v>100</v>
      </c>
      <c r="K1060" s="2">
        <v>100</v>
      </c>
      <c r="L1060" s="2"/>
      <c r="M1060" s="2"/>
      <c r="N1060" s="2"/>
      <c r="O1060" s="2">
        <f t="shared" si="866"/>
        <v>0</v>
      </c>
      <c r="P1060" s="2">
        <f t="shared" si="867"/>
        <v>0</v>
      </c>
      <c r="Q1060" s="2">
        <f t="shared" si="897"/>
        <v>0</v>
      </c>
      <c r="R1060" s="2">
        <f t="shared" si="868"/>
        <v>0</v>
      </c>
      <c r="S1060" s="2">
        <f t="shared" si="869"/>
        <v>0</v>
      </c>
      <c r="T1060" s="2">
        <f t="shared" si="870"/>
        <v>0</v>
      </c>
      <c r="U1060" s="2">
        <f t="shared" si="871"/>
        <v>0</v>
      </c>
      <c r="V1060" s="2">
        <f t="shared" si="872"/>
        <v>0</v>
      </c>
      <c r="W1060" s="2">
        <f t="shared" si="873"/>
        <v>0</v>
      </c>
      <c r="X1060" s="2">
        <f t="shared" si="874"/>
        <v>0</v>
      </c>
      <c r="Y1060" s="2">
        <f t="shared" si="875"/>
        <v>0</v>
      </c>
      <c r="Z1060" s="2"/>
      <c r="AA1060" s="2">
        <v>129761636</v>
      </c>
      <c r="AB1060" s="2">
        <f t="shared" si="876"/>
        <v>0</v>
      </c>
      <c r="AC1060" s="2">
        <f t="shared" si="877"/>
        <v>0</v>
      </c>
      <c r="AD1060" s="2">
        <f t="shared" si="898"/>
        <v>0</v>
      </c>
      <c r="AE1060" s="2">
        <f t="shared" si="899"/>
        <v>0</v>
      </c>
      <c r="AF1060" s="2">
        <f t="shared" si="900"/>
        <v>0</v>
      </c>
      <c r="AG1060" s="2">
        <f t="shared" si="878"/>
        <v>0</v>
      </c>
      <c r="AH1060" s="2">
        <f t="shared" si="901"/>
        <v>0</v>
      </c>
      <c r="AI1060" s="2">
        <f t="shared" si="902"/>
        <v>0</v>
      </c>
      <c r="AJ1060" s="2">
        <f t="shared" si="879"/>
        <v>0</v>
      </c>
      <c r="AK1060" s="2">
        <v>0</v>
      </c>
      <c r="AL1060" s="2">
        <v>0</v>
      </c>
      <c r="AM1060" s="2">
        <v>0</v>
      </c>
      <c r="AN1060" s="2">
        <v>0</v>
      </c>
      <c r="AO1060" s="2">
        <v>0</v>
      </c>
      <c r="AP1060" s="2">
        <v>0</v>
      </c>
      <c r="AQ1060" s="2">
        <v>0</v>
      </c>
      <c r="AR1060" s="2">
        <v>0</v>
      </c>
      <c r="AS1060" s="2">
        <v>0</v>
      </c>
      <c r="AT1060" s="2">
        <v>110</v>
      </c>
      <c r="AU1060" s="2">
        <v>74</v>
      </c>
      <c r="AV1060" s="2">
        <v>1</v>
      </c>
      <c r="AW1060" s="2">
        <v>1</v>
      </c>
      <c r="AX1060" s="2"/>
      <c r="AY1060" s="2"/>
      <c r="AZ1060" s="2">
        <v>1</v>
      </c>
      <c r="BA1060" s="2">
        <v>1</v>
      </c>
      <c r="BB1060" s="2">
        <v>1</v>
      </c>
      <c r="BC1060" s="2">
        <v>1</v>
      </c>
      <c r="BD1060" s="2" t="s">
        <v>3</v>
      </c>
      <c r="BE1060" s="2" t="s">
        <v>3</v>
      </c>
      <c r="BF1060" s="2" t="s">
        <v>3</v>
      </c>
      <c r="BG1060" s="2" t="s">
        <v>3</v>
      </c>
      <c r="BH1060" s="2">
        <v>3</v>
      </c>
      <c r="BI1060" s="2">
        <v>1</v>
      </c>
      <c r="BJ1060" s="2" t="s">
        <v>3</v>
      </c>
      <c r="BK1060" s="2"/>
      <c r="BL1060" s="2"/>
      <c r="BM1060" s="2">
        <v>1623</v>
      </c>
      <c r="BN1060" s="2">
        <v>0</v>
      </c>
      <c r="BO1060" s="2" t="s">
        <v>3</v>
      </c>
      <c r="BP1060" s="2">
        <v>0</v>
      </c>
      <c r="BQ1060" s="2">
        <v>30</v>
      </c>
      <c r="BR1060" s="2">
        <v>0</v>
      </c>
      <c r="BS1060" s="2">
        <v>1</v>
      </c>
      <c r="BT1060" s="2">
        <v>1</v>
      </c>
      <c r="BU1060" s="2">
        <v>1</v>
      </c>
      <c r="BV1060" s="2">
        <v>1</v>
      </c>
      <c r="BW1060" s="2">
        <v>1</v>
      </c>
      <c r="BX1060" s="2">
        <v>1</v>
      </c>
      <c r="BY1060" s="2" t="s">
        <v>3</v>
      </c>
      <c r="BZ1060" s="2">
        <v>110</v>
      </c>
      <c r="CA1060" s="2">
        <v>74</v>
      </c>
      <c r="CB1060" s="2" t="s">
        <v>3</v>
      </c>
      <c r="CC1060" s="2"/>
      <c r="CD1060" s="2"/>
      <c r="CE1060" s="2">
        <v>30</v>
      </c>
      <c r="CF1060" s="2">
        <v>0</v>
      </c>
      <c r="CG1060" s="2">
        <v>0</v>
      </c>
      <c r="CH1060" s="2"/>
      <c r="CI1060" s="2"/>
      <c r="CJ1060" s="2"/>
      <c r="CK1060" s="2"/>
      <c r="CL1060" s="2"/>
      <c r="CM1060" s="2">
        <v>0</v>
      </c>
      <c r="CN1060" s="2" t="s">
        <v>3</v>
      </c>
      <c r="CO1060" s="2">
        <v>0</v>
      </c>
      <c r="CP1060" s="2">
        <f t="shared" si="880"/>
        <v>0</v>
      </c>
      <c r="CQ1060" s="2">
        <f t="shared" si="881"/>
        <v>0</v>
      </c>
      <c r="CR1060" s="2">
        <f t="shared" si="903"/>
        <v>0</v>
      </c>
      <c r="CS1060" s="2">
        <f t="shared" si="882"/>
        <v>0</v>
      </c>
      <c r="CT1060" s="2">
        <f t="shared" si="883"/>
        <v>0</v>
      </c>
      <c r="CU1060" s="2">
        <f t="shared" si="884"/>
        <v>0</v>
      </c>
      <c r="CV1060" s="2">
        <f t="shared" si="885"/>
        <v>0</v>
      </c>
      <c r="CW1060" s="2">
        <f t="shared" si="886"/>
        <v>0</v>
      </c>
      <c r="CX1060" s="2">
        <f t="shared" si="887"/>
        <v>0</v>
      </c>
      <c r="CY1060" s="2">
        <f>((S1060*BZ1060)/100)</f>
        <v>0</v>
      </c>
      <c r="CZ1060" s="2">
        <f>((S1060*CA1060)/100)</f>
        <v>0</v>
      </c>
      <c r="DA1060" s="2"/>
      <c r="DB1060" s="2"/>
      <c r="DC1060" s="2" t="s">
        <v>3</v>
      </c>
      <c r="DD1060" s="2" t="s">
        <v>3</v>
      </c>
      <c r="DE1060" s="2" t="s">
        <v>3</v>
      </c>
      <c r="DF1060" s="2" t="s">
        <v>3</v>
      </c>
      <c r="DG1060" s="2" t="s">
        <v>3</v>
      </c>
      <c r="DH1060" s="2" t="s">
        <v>3</v>
      </c>
      <c r="DI1060" s="2" t="s">
        <v>3</v>
      </c>
      <c r="DJ1060" s="2" t="s">
        <v>3</v>
      </c>
      <c r="DK1060" s="2" t="s">
        <v>3</v>
      </c>
      <c r="DL1060" s="2" t="s">
        <v>3</v>
      </c>
      <c r="DM1060" s="2" t="s">
        <v>3</v>
      </c>
      <c r="DN1060" s="2">
        <v>0</v>
      </c>
      <c r="DO1060" s="2">
        <v>0</v>
      </c>
      <c r="DP1060" s="2">
        <v>1</v>
      </c>
      <c r="DQ1060" s="2">
        <v>1</v>
      </c>
      <c r="DR1060" s="2"/>
      <c r="DS1060" s="2"/>
      <c r="DT1060" s="2"/>
      <c r="DU1060" s="2">
        <v>1010</v>
      </c>
      <c r="DV1060" s="2" t="s">
        <v>250</v>
      </c>
      <c r="DW1060" s="2" t="s">
        <v>250</v>
      </c>
      <c r="DX1060" s="2">
        <v>1</v>
      </c>
      <c r="DY1060" s="2"/>
      <c r="DZ1060" s="2" t="s">
        <v>3</v>
      </c>
      <c r="EA1060" s="2" t="s">
        <v>3</v>
      </c>
      <c r="EB1060" s="2" t="s">
        <v>3</v>
      </c>
      <c r="EC1060" s="2" t="s">
        <v>3</v>
      </c>
      <c r="ED1060" s="2"/>
      <c r="EE1060" s="2">
        <v>126053084</v>
      </c>
      <c r="EF1060" s="2">
        <v>30</v>
      </c>
      <c r="EG1060" s="2" t="s">
        <v>23</v>
      </c>
      <c r="EH1060" s="2">
        <v>0</v>
      </c>
      <c r="EI1060" s="2" t="s">
        <v>3</v>
      </c>
      <c r="EJ1060" s="2">
        <v>1</v>
      </c>
      <c r="EK1060" s="2">
        <v>1623</v>
      </c>
      <c r="EL1060" s="2" t="s">
        <v>824</v>
      </c>
      <c r="EM1060" s="2" t="s">
        <v>825</v>
      </c>
      <c r="EN1060" s="2"/>
      <c r="EO1060" s="2" t="s">
        <v>3</v>
      </c>
      <c r="EP1060" s="2"/>
      <c r="EQ1060" s="2">
        <v>0</v>
      </c>
      <c r="ER1060" s="2">
        <v>0</v>
      </c>
      <c r="ES1060" s="2">
        <v>0</v>
      </c>
      <c r="ET1060" s="2">
        <v>0</v>
      </c>
      <c r="EU1060" s="2">
        <v>0</v>
      </c>
      <c r="EV1060" s="2">
        <v>0</v>
      </c>
      <c r="EW1060" s="2">
        <v>0</v>
      </c>
      <c r="EX1060" s="2">
        <v>0</v>
      </c>
      <c r="EY1060" s="2"/>
      <c r="EZ1060" s="2"/>
      <c r="FA1060" s="2"/>
      <c r="FB1060" s="2"/>
      <c r="FC1060" s="2"/>
      <c r="FD1060" s="2"/>
      <c r="FE1060" s="2"/>
      <c r="FF1060" s="2"/>
      <c r="FG1060" s="2"/>
      <c r="FH1060" s="2"/>
      <c r="FI1060" s="2"/>
      <c r="FJ1060" s="2"/>
      <c r="FK1060" s="2"/>
      <c r="FL1060" s="2"/>
      <c r="FM1060" s="2"/>
      <c r="FN1060" s="2"/>
      <c r="FO1060" s="2"/>
      <c r="FP1060" s="2"/>
      <c r="FQ1060" s="2">
        <v>0</v>
      </c>
      <c r="FR1060" s="2">
        <f t="shared" si="888"/>
        <v>0</v>
      </c>
      <c r="FS1060" s="2">
        <v>0</v>
      </c>
      <c r="FT1060" s="2"/>
      <c r="FU1060" s="2"/>
      <c r="FV1060" s="2"/>
      <c r="FW1060" s="2"/>
      <c r="FX1060" s="2">
        <v>110</v>
      </c>
      <c r="FY1060" s="2">
        <v>74</v>
      </c>
      <c r="FZ1060" s="2"/>
      <c r="GA1060" s="2" t="s">
        <v>3</v>
      </c>
      <c r="GB1060" s="2"/>
      <c r="GC1060" s="2"/>
      <c r="GD1060" s="2">
        <v>0</v>
      </c>
      <c r="GE1060" s="2"/>
      <c r="GF1060" s="2">
        <v>71534593</v>
      </c>
      <c r="GG1060" s="2">
        <v>2</v>
      </c>
      <c r="GH1060" s="2">
        <v>0</v>
      </c>
      <c r="GI1060" s="2">
        <v>-2</v>
      </c>
      <c r="GJ1060" s="2">
        <v>0</v>
      </c>
      <c r="GK1060" s="2">
        <f>ROUND(R1060*(R12)/100,2)</f>
        <v>0</v>
      </c>
      <c r="GL1060" s="2">
        <f t="shared" si="889"/>
        <v>0</v>
      </c>
      <c r="GM1060" s="2">
        <f t="shared" si="890"/>
        <v>0</v>
      </c>
      <c r="GN1060" s="2">
        <f t="shared" si="891"/>
        <v>0</v>
      </c>
      <c r="GO1060" s="2">
        <f t="shared" si="892"/>
        <v>0</v>
      </c>
      <c r="GP1060" s="2">
        <f t="shared" si="893"/>
        <v>0</v>
      </c>
      <c r="GQ1060" s="2"/>
      <c r="GR1060" s="2">
        <v>0</v>
      </c>
      <c r="GS1060" s="2">
        <v>0</v>
      </c>
      <c r="GT1060" s="2">
        <v>0</v>
      </c>
      <c r="GU1060" s="2" t="s">
        <v>3</v>
      </c>
      <c r="GV1060" s="2">
        <f t="shared" si="894"/>
        <v>0</v>
      </c>
      <c r="GW1060" s="2">
        <v>1</v>
      </c>
      <c r="GX1060" s="2">
        <f t="shared" si="895"/>
        <v>0</v>
      </c>
      <c r="GY1060" s="2"/>
      <c r="GZ1060" s="2"/>
      <c r="HA1060" s="2">
        <v>0</v>
      </c>
      <c r="HB1060" s="2">
        <v>0</v>
      </c>
      <c r="HC1060" s="2">
        <f t="shared" si="896"/>
        <v>0</v>
      </c>
      <c r="HD1060" s="2"/>
      <c r="HE1060" s="2" t="s">
        <v>3</v>
      </c>
      <c r="HF1060" s="2" t="s">
        <v>3</v>
      </c>
      <c r="HG1060" s="2"/>
      <c r="HH1060" s="2"/>
      <c r="HI1060" s="2"/>
      <c r="HJ1060" s="2"/>
      <c r="HK1060" s="2"/>
      <c r="HL1060" s="2"/>
      <c r="HM1060" s="2" t="s">
        <v>3</v>
      </c>
      <c r="HN1060" s="2" t="s">
        <v>3</v>
      </c>
      <c r="HO1060" s="2" t="s">
        <v>3</v>
      </c>
      <c r="HP1060" s="2" t="s">
        <v>3</v>
      </c>
      <c r="HQ1060" s="2" t="s">
        <v>3</v>
      </c>
      <c r="HR1060" s="2"/>
      <c r="HS1060" s="2"/>
      <c r="HT1060" s="2"/>
      <c r="HU1060" s="2"/>
      <c r="HV1060" s="2"/>
      <c r="HW1060" s="2"/>
      <c r="HX1060" s="2"/>
      <c r="HY1060" s="2"/>
      <c r="HZ1060" s="2"/>
      <c r="IA1060" s="2"/>
      <c r="IB1060" s="2"/>
      <c r="IC1060" s="2"/>
      <c r="ID1060" s="2"/>
      <c r="IE1060" s="2"/>
      <c r="IF1060" s="2"/>
      <c r="IG1060" s="2"/>
      <c r="IH1060" s="2"/>
      <c r="II1060" s="2"/>
      <c r="IJ1060" s="2"/>
      <c r="IK1060" s="2">
        <v>0</v>
      </c>
      <c r="IL1060" s="2"/>
      <c r="IM1060" s="2"/>
      <c r="IN1060" s="2"/>
      <c r="IO1060" s="2"/>
      <c r="IP1060" s="2"/>
      <c r="IQ1060" s="2"/>
      <c r="IR1060" s="2"/>
      <c r="IS1060" s="2"/>
      <c r="IT1060" s="2"/>
      <c r="IU1060" s="2"/>
    </row>
    <row r="1061" spans="1:255" x14ac:dyDescent="0.2">
      <c r="A1061">
        <v>18</v>
      </c>
      <c r="B1061">
        <v>1</v>
      </c>
      <c r="C1061">
        <v>871</v>
      </c>
      <c r="E1061" t="s">
        <v>852</v>
      </c>
      <c r="F1061" t="s">
        <v>853</v>
      </c>
      <c r="G1061" t="s">
        <v>854</v>
      </c>
      <c r="H1061" t="s">
        <v>250</v>
      </c>
      <c r="I1061">
        <f>I1043*J1061</f>
        <v>20</v>
      </c>
      <c r="J1061">
        <v>100</v>
      </c>
      <c r="K1061">
        <v>100</v>
      </c>
      <c r="O1061">
        <f t="shared" si="866"/>
        <v>0</v>
      </c>
      <c r="P1061">
        <f t="shared" si="867"/>
        <v>0</v>
      </c>
      <c r="Q1061">
        <f t="shared" si="897"/>
        <v>0</v>
      </c>
      <c r="R1061">
        <f t="shared" si="868"/>
        <v>0</v>
      </c>
      <c r="S1061">
        <f t="shared" si="869"/>
        <v>0</v>
      </c>
      <c r="T1061">
        <f t="shared" si="870"/>
        <v>0</v>
      </c>
      <c r="U1061">
        <f t="shared" si="871"/>
        <v>0</v>
      </c>
      <c r="V1061">
        <f t="shared" si="872"/>
        <v>0</v>
      </c>
      <c r="W1061">
        <f t="shared" si="873"/>
        <v>0</v>
      </c>
      <c r="X1061">
        <f t="shared" si="874"/>
        <v>0</v>
      </c>
      <c r="Y1061">
        <f t="shared" si="875"/>
        <v>0</v>
      </c>
      <c r="AA1061">
        <v>129761633</v>
      </c>
      <c r="AB1061">
        <f t="shared" si="876"/>
        <v>0</v>
      </c>
      <c r="AC1061">
        <f t="shared" si="877"/>
        <v>0</v>
      </c>
      <c r="AD1061">
        <f t="shared" si="898"/>
        <v>0</v>
      </c>
      <c r="AE1061">
        <f t="shared" si="899"/>
        <v>0</v>
      </c>
      <c r="AF1061">
        <f t="shared" si="900"/>
        <v>0</v>
      </c>
      <c r="AG1061">
        <f t="shared" si="878"/>
        <v>0</v>
      </c>
      <c r="AH1061">
        <f t="shared" si="901"/>
        <v>0</v>
      </c>
      <c r="AI1061">
        <f t="shared" si="902"/>
        <v>0</v>
      </c>
      <c r="AJ1061">
        <f t="shared" si="879"/>
        <v>0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0</v>
      </c>
      <c r="AV1061">
        <v>1</v>
      </c>
      <c r="AW1061">
        <v>1</v>
      </c>
      <c r="AZ1061">
        <v>1</v>
      </c>
      <c r="BA1061">
        <v>1</v>
      </c>
      <c r="BB1061">
        <v>1</v>
      </c>
      <c r="BC1061">
        <v>4.5599999999999996</v>
      </c>
      <c r="BD1061" t="s">
        <v>3</v>
      </c>
      <c r="BE1061" t="s">
        <v>3</v>
      </c>
      <c r="BF1061" t="s">
        <v>3</v>
      </c>
      <c r="BG1061" t="s">
        <v>3</v>
      </c>
      <c r="BH1061">
        <v>3</v>
      </c>
      <c r="BI1061">
        <v>1</v>
      </c>
      <c r="BJ1061" t="s">
        <v>3</v>
      </c>
      <c r="BM1061">
        <v>1623</v>
      </c>
      <c r="BN1061">
        <v>0</v>
      </c>
      <c r="BO1061" t="s">
        <v>853</v>
      </c>
      <c r="BP1061">
        <v>1</v>
      </c>
      <c r="BQ1061">
        <v>30</v>
      </c>
      <c r="BR1061">
        <v>0</v>
      </c>
      <c r="BS1061">
        <v>1</v>
      </c>
      <c r="BT1061">
        <v>1</v>
      </c>
      <c r="BU1061">
        <v>1</v>
      </c>
      <c r="BV1061">
        <v>1</v>
      </c>
      <c r="BW1061">
        <v>1</v>
      </c>
      <c r="BX1061">
        <v>1</v>
      </c>
      <c r="BY1061" t="s">
        <v>3</v>
      </c>
      <c r="BZ1061">
        <v>0</v>
      </c>
      <c r="CA1061">
        <v>0</v>
      </c>
      <c r="CB1061" t="s">
        <v>3</v>
      </c>
      <c r="CE1061">
        <v>30</v>
      </c>
      <c r="CF1061">
        <v>0</v>
      </c>
      <c r="CG1061">
        <v>0</v>
      </c>
      <c r="CM1061">
        <v>0</v>
      </c>
      <c r="CN1061" t="s">
        <v>3</v>
      </c>
      <c r="CO1061">
        <v>0</v>
      </c>
      <c r="CP1061">
        <f t="shared" si="880"/>
        <v>0</v>
      </c>
      <c r="CQ1061">
        <f t="shared" si="881"/>
        <v>0</v>
      </c>
      <c r="CR1061">
        <f t="shared" si="903"/>
        <v>0</v>
      </c>
      <c r="CS1061">
        <f t="shared" si="882"/>
        <v>0</v>
      </c>
      <c r="CT1061">
        <f t="shared" si="883"/>
        <v>0</v>
      </c>
      <c r="CU1061">
        <f t="shared" si="884"/>
        <v>0</v>
      </c>
      <c r="CV1061">
        <f t="shared" si="885"/>
        <v>0</v>
      </c>
      <c r="CW1061">
        <f t="shared" si="886"/>
        <v>0</v>
      </c>
      <c r="CX1061">
        <f t="shared" si="887"/>
        <v>0</v>
      </c>
      <c r="CY1061">
        <f>S1061*(BZ1061/100)</f>
        <v>0</v>
      </c>
      <c r="CZ1061">
        <f>S1061*(CA1061/100)</f>
        <v>0</v>
      </c>
      <c r="DC1061" t="s">
        <v>3</v>
      </c>
      <c r="DD1061" t="s">
        <v>3</v>
      </c>
      <c r="DE1061" t="s">
        <v>3</v>
      </c>
      <c r="DF1061" t="s">
        <v>3</v>
      </c>
      <c r="DG1061" t="s">
        <v>3</v>
      </c>
      <c r="DH1061" t="s">
        <v>3</v>
      </c>
      <c r="DI1061" t="s">
        <v>3</v>
      </c>
      <c r="DJ1061" t="s">
        <v>3</v>
      </c>
      <c r="DK1061" t="s">
        <v>3</v>
      </c>
      <c r="DL1061" t="s">
        <v>3</v>
      </c>
      <c r="DM1061" t="s">
        <v>3</v>
      </c>
      <c r="DN1061">
        <v>110</v>
      </c>
      <c r="DO1061">
        <v>74</v>
      </c>
      <c r="DP1061">
        <v>1</v>
      </c>
      <c r="DQ1061">
        <v>1</v>
      </c>
      <c r="DU1061">
        <v>1010</v>
      </c>
      <c r="DV1061" t="s">
        <v>250</v>
      </c>
      <c r="DW1061" t="s">
        <v>250</v>
      </c>
      <c r="DX1061">
        <v>1</v>
      </c>
      <c r="DZ1061" t="s">
        <v>3</v>
      </c>
      <c r="EA1061" t="s">
        <v>3</v>
      </c>
      <c r="EB1061" t="s">
        <v>3</v>
      </c>
      <c r="EC1061" t="s">
        <v>3</v>
      </c>
      <c r="EE1061">
        <v>126053084</v>
      </c>
      <c r="EF1061">
        <v>30</v>
      </c>
      <c r="EG1061" t="s">
        <v>23</v>
      </c>
      <c r="EH1061">
        <v>0</v>
      </c>
      <c r="EI1061" t="s">
        <v>3</v>
      </c>
      <c r="EJ1061">
        <v>1</v>
      </c>
      <c r="EK1061">
        <v>1623</v>
      </c>
      <c r="EL1061" t="s">
        <v>824</v>
      </c>
      <c r="EM1061" t="s">
        <v>825</v>
      </c>
      <c r="EO1061" t="s">
        <v>3</v>
      </c>
      <c r="EQ1061">
        <v>0</v>
      </c>
      <c r="ER1061">
        <v>0</v>
      </c>
      <c r="ES1061">
        <v>0</v>
      </c>
      <c r="ET1061">
        <v>0</v>
      </c>
      <c r="EU1061">
        <v>0</v>
      </c>
      <c r="EV1061">
        <v>0</v>
      </c>
      <c r="EW1061">
        <v>0</v>
      </c>
      <c r="EX1061">
        <v>0</v>
      </c>
      <c r="FQ1061">
        <v>0</v>
      </c>
      <c r="FR1061">
        <f t="shared" si="888"/>
        <v>0</v>
      </c>
      <c r="FS1061">
        <v>0</v>
      </c>
      <c r="FX1061">
        <v>110</v>
      </c>
      <c r="FY1061">
        <v>74</v>
      </c>
      <c r="GA1061" t="s">
        <v>259</v>
      </c>
      <c r="GD1061">
        <v>0</v>
      </c>
      <c r="GF1061">
        <v>71534593</v>
      </c>
      <c r="GG1061">
        <v>2</v>
      </c>
      <c r="GH1061">
        <v>2</v>
      </c>
      <c r="GI1061">
        <v>2</v>
      </c>
      <c r="GJ1061">
        <v>0</v>
      </c>
      <c r="GK1061">
        <f>ROUND(R1061*(S12)/100,2)</f>
        <v>0</v>
      </c>
      <c r="GL1061">
        <f t="shared" si="889"/>
        <v>0</v>
      </c>
      <c r="GM1061">
        <f t="shared" si="890"/>
        <v>0</v>
      </c>
      <c r="GN1061">
        <f t="shared" si="891"/>
        <v>0</v>
      </c>
      <c r="GO1061">
        <f t="shared" si="892"/>
        <v>0</v>
      </c>
      <c r="GP1061">
        <f t="shared" si="893"/>
        <v>0</v>
      </c>
      <c r="GR1061">
        <v>0</v>
      </c>
      <c r="GS1061">
        <v>4</v>
      </c>
      <c r="GT1061">
        <v>0</v>
      </c>
      <c r="GU1061" t="s">
        <v>3</v>
      </c>
      <c r="GV1061">
        <f t="shared" si="894"/>
        <v>0</v>
      </c>
      <c r="GW1061">
        <v>1</v>
      </c>
      <c r="GX1061">
        <f t="shared" si="895"/>
        <v>0</v>
      </c>
      <c r="HA1061">
        <v>0</v>
      </c>
      <c r="HB1061">
        <v>0</v>
      </c>
      <c r="HC1061">
        <f t="shared" si="896"/>
        <v>0</v>
      </c>
      <c r="HE1061" t="s">
        <v>3</v>
      </c>
      <c r="HF1061" t="s">
        <v>3</v>
      </c>
      <c r="HM1061" t="s">
        <v>3</v>
      </c>
      <c r="HN1061" t="s">
        <v>3</v>
      </c>
      <c r="HO1061" t="s">
        <v>3</v>
      </c>
      <c r="HP1061" t="s">
        <v>3</v>
      </c>
      <c r="HQ1061" t="s">
        <v>3</v>
      </c>
      <c r="IK1061">
        <v>0</v>
      </c>
    </row>
    <row r="1062" spans="1:255" x14ac:dyDescent="0.2">
      <c r="A1062" s="2">
        <v>17</v>
      </c>
      <c r="B1062" s="2">
        <v>1</v>
      </c>
      <c r="C1062" s="2">
        <f>ROW(SmtRes!A880)</f>
        <v>880</v>
      </c>
      <c r="D1062" s="2">
        <f>ROW(EtalonRes!A849)</f>
        <v>849</v>
      </c>
      <c r="E1062" s="2" t="s">
        <v>124</v>
      </c>
      <c r="F1062" s="2" t="s">
        <v>855</v>
      </c>
      <c r="G1062" s="2" t="s">
        <v>856</v>
      </c>
      <c r="H1062" s="2" t="s">
        <v>857</v>
      </c>
      <c r="I1062" s="2">
        <v>1.6</v>
      </c>
      <c r="J1062" s="2">
        <v>0</v>
      </c>
      <c r="K1062" s="2">
        <v>1.6</v>
      </c>
      <c r="L1062" s="2"/>
      <c r="M1062" s="2"/>
      <c r="N1062" s="2"/>
      <c r="O1062" s="2">
        <f t="shared" si="866"/>
        <v>174.73</v>
      </c>
      <c r="P1062" s="2">
        <f t="shared" si="867"/>
        <v>95.71</v>
      </c>
      <c r="Q1062" s="2">
        <f>(ROUND((ROUND((((ET1062*1.25))*AV1062*I1062),2)*BB1062),2)+ROUND((ROUND(((AE1062-((EU1062*1.25)))*AV1062*I1062),2)*BS1062),2))</f>
        <v>26.4</v>
      </c>
      <c r="R1062" s="2">
        <f t="shared" si="868"/>
        <v>5.28</v>
      </c>
      <c r="S1062" s="2">
        <f t="shared" si="869"/>
        <v>52.62</v>
      </c>
      <c r="T1062" s="2">
        <f t="shared" si="870"/>
        <v>0</v>
      </c>
      <c r="U1062" s="2">
        <f t="shared" si="871"/>
        <v>4.048</v>
      </c>
      <c r="V1062" s="2">
        <f t="shared" si="872"/>
        <v>0</v>
      </c>
      <c r="W1062" s="2">
        <f t="shared" si="873"/>
        <v>0</v>
      </c>
      <c r="X1062" s="2">
        <f t="shared" si="874"/>
        <v>47.88</v>
      </c>
      <c r="Y1062" s="2">
        <f t="shared" si="875"/>
        <v>36.83</v>
      </c>
      <c r="Z1062" s="2"/>
      <c r="AA1062" s="2">
        <v>129761636</v>
      </c>
      <c r="AB1062" s="2">
        <f t="shared" si="876"/>
        <v>109.21</v>
      </c>
      <c r="AC1062" s="2">
        <f t="shared" si="877"/>
        <v>59.82</v>
      </c>
      <c r="AD1062" s="2">
        <f>ROUND(((((ET1062*1.25))-((EU1062*1.25)))+AE1062),6)</f>
        <v>16.5</v>
      </c>
      <c r="AE1062" s="2">
        <f>ROUND(((EU1062*1.25)),6)</f>
        <v>3.3</v>
      </c>
      <c r="AF1062" s="2">
        <f>ROUND(((EV1062*1.15)),6)</f>
        <v>32.89</v>
      </c>
      <c r="AG1062" s="2">
        <f t="shared" si="878"/>
        <v>0</v>
      </c>
      <c r="AH1062" s="2">
        <f>((EW1062*1.15))</f>
        <v>2.5299999999999998</v>
      </c>
      <c r="AI1062" s="2">
        <f>((EX1062*1.25))</f>
        <v>0</v>
      </c>
      <c r="AJ1062" s="2">
        <f t="shared" si="879"/>
        <v>0</v>
      </c>
      <c r="AK1062" s="2">
        <v>101.62</v>
      </c>
      <c r="AL1062" s="2">
        <v>59.82</v>
      </c>
      <c r="AM1062" s="2">
        <v>13.2</v>
      </c>
      <c r="AN1062" s="2">
        <v>2.64</v>
      </c>
      <c r="AO1062" s="2">
        <v>28.6</v>
      </c>
      <c r="AP1062" s="2">
        <v>0</v>
      </c>
      <c r="AQ1062" s="2">
        <v>2.2000000000000002</v>
      </c>
      <c r="AR1062" s="2">
        <v>0</v>
      </c>
      <c r="AS1062" s="2">
        <v>0</v>
      </c>
      <c r="AT1062" s="2">
        <v>91</v>
      </c>
      <c r="AU1062" s="2">
        <v>70</v>
      </c>
      <c r="AV1062" s="2">
        <v>1</v>
      </c>
      <c r="AW1062" s="2">
        <v>1</v>
      </c>
      <c r="AX1062" s="2"/>
      <c r="AY1062" s="2"/>
      <c r="AZ1062" s="2">
        <v>1</v>
      </c>
      <c r="BA1062" s="2">
        <v>1</v>
      </c>
      <c r="BB1062" s="2">
        <v>1</v>
      </c>
      <c r="BC1062" s="2">
        <v>1</v>
      </c>
      <c r="BD1062" s="2" t="s">
        <v>3</v>
      </c>
      <c r="BE1062" s="2" t="s">
        <v>3</v>
      </c>
      <c r="BF1062" s="2" t="s">
        <v>3</v>
      </c>
      <c r="BG1062" s="2" t="s">
        <v>3</v>
      </c>
      <c r="BH1062" s="2">
        <v>0</v>
      </c>
      <c r="BI1062" s="2">
        <v>1</v>
      </c>
      <c r="BJ1062" s="2" t="s">
        <v>858</v>
      </c>
      <c r="BK1062" s="2"/>
      <c r="BL1062" s="2"/>
      <c r="BM1062" s="2">
        <v>143</v>
      </c>
      <c r="BN1062" s="2">
        <v>0</v>
      </c>
      <c r="BO1062" s="2" t="s">
        <v>3</v>
      </c>
      <c r="BP1062" s="2">
        <v>0</v>
      </c>
      <c r="BQ1062" s="2">
        <v>30</v>
      </c>
      <c r="BR1062" s="2">
        <v>0</v>
      </c>
      <c r="BS1062" s="2">
        <v>1</v>
      </c>
      <c r="BT1062" s="2">
        <v>1</v>
      </c>
      <c r="BU1062" s="2">
        <v>1</v>
      </c>
      <c r="BV1062" s="2">
        <v>1</v>
      </c>
      <c r="BW1062" s="2">
        <v>1</v>
      </c>
      <c r="BX1062" s="2">
        <v>1</v>
      </c>
      <c r="BY1062" s="2" t="s">
        <v>3</v>
      </c>
      <c r="BZ1062" s="2">
        <v>91</v>
      </c>
      <c r="CA1062" s="2">
        <v>70</v>
      </c>
      <c r="CB1062" s="2" t="s">
        <v>3</v>
      </c>
      <c r="CC1062" s="2"/>
      <c r="CD1062" s="2"/>
      <c r="CE1062" s="2">
        <v>30</v>
      </c>
      <c r="CF1062" s="2">
        <v>0</v>
      </c>
      <c r="CG1062" s="2">
        <v>0</v>
      </c>
      <c r="CH1062" s="2"/>
      <c r="CI1062" s="2"/>
      <c r="CJ1062" s="2"/>
      <c r="CK1062" s="2"/>
      <c r="CL1062" s="2"/>
      <c r="CM1062" s="2">
        <v>0</v>
      </c>
      <c r="CN1062" s="2" t="s">
        <v>1559</v>
      </c>
      <c r="CO1062" s="2">
        <v>0</v>
      </c>
      <c r="CP1062" s="2">
        <f t="shared" si="880"/>
        <v>174.73</v>
      </c>
      <c r="CQ1062" s="2">
        <f t="shared" si="881"/>
        <v>59.82</v>
      </c>
      <c r="CR1062" s="2">
        <f>(ROUND((ROUND((((ET1062*1.25))*AV1062*1),2)*BB1062),2)+ROUND((ROUND(((AE1062-((EU1062*1.25)))*AV1062*1),2)*BS1062),2))</f>
        <v>16.5</v>
      </c>
      <c r="CS1062" s="2">
        <f t="shared" si="882"/>
        <v>3.3</v>
      </c>
      <c r="CT1062" s="2">
        <f t="shared" si="883"/>
        <v>32.89</v>
      </c>
      <c r="CU1062" s="2">
        <f t="shared" si="884"/>
        <v>0</v>
      </c>
      <c r="CV1062" s="2">
        <f t="shared" si="885"/>
        <v>2.5299999999999998</v>
      </c>
      <c r="CW1062" s="2">
        <f t="shared" si="886"/>
        <v>0</v>
      </c>
      <c r="CX1062" s="2">
        <f t="shared" si="887"/>
        <v>0</v>
      </c>
      <c r="CY1062" s="2">
        <f>((S1062*BZ1062)/100)</f>
        <v>47.8842</v>
      </c>
      <c r="CZ1062" s="2">
        <f>((S1062*CA1062)/100)</f>
        <v>36.833999999999996</v>
      </c>
      <c r="DA1062" s="2"/>
      <c r="DB1062" s="2"/>
      <c r="DC1062" s="2" t="s">
        <v>3</v>
      </c>
      <c r="DD1062" s="2" t="s">
        <v>3</v>
      </c>
      <c r="DE1062" s="2" t="s">
        <v>86</v>
      </c>
      <c r="DF1062" s="2" t="s">
        <v>86</v>
      </c>
      <c r="DG1062" s="2" t="s">
        <v>87</v>
      </c>
      <c r="DH1062" s="2" t="s">
        <v>3</v>
      </c>
      <c r="DI1062" s="2" t="s">
        <v>87</v>
      </c>
      <c r="DJ1062" s="2" t="s">
        <v>86</v>
      </c>
      <c r="DK1062" s="2" t="s">
        <v>3</v>
      </c>
      <c r="DL1062" s="2" t="s">
        <v>3</v>
      </c>
      <c r="DM1062" s="2" t="s">
        <v>3</v>
      </c>
      <c r="DN1062" s="2">
        <v>0</v>
      </c>
      <c r="DO1062" s="2">
        <v>0</v>
      </c>
      <c r="DP1062" s="2">
        <v>1</v>
      </c>
      <c r="DQ1062" s="2">
        <v>1</v>
      </c>
      <c r="DR1062" s="2"/>
      <c r="DS1062" s="2"/>
      <c r="DT1062" s="2"/>
      <c r="DU1062" s="2">
        <v>1013</v>
      </c>
      <c r="DV1062" s="2" t="s">
        <v>857</v>
      </c>
      <c r="DW1062" s="2" t="s">
        <v>857</v>
      </c>
      <c r="DX1062" s="2">
        <v>1</v>
      </c>
      <c r="DY1062" s="2"/>
      <c r="DZ1062" s="2" t="s">
        <v>3</v>
      </c>
      <c r="EA1062" s="2" t="s">
        <v>3</v>
      </c>
      <c r="EB1062" s="2" t="s">
        <v>3</v>
      </c>
      <c r="EC1062" s="2" t="s">
        <v>3</v>
      </c>
      <c r="ED1062" s="2"/>
      <c r="EE1062" s="2">
        <v>126051604</v>
      </c>
      <c r="EF1062" s="2">
        <v>30</v>
      </c>
      <c r="EG1062" s="2" t="s">
        <v>23</v>
      </c>
      <c r="EH1062" s="2">
        <v>0</v>
      </c>
      <c r="EI1062" s="2" t="s">
        <v>3</v>
      </c>
      <c r="EJ1062" s="2">
        <v>1</v>
      </c>
      <c r="EK1062" s="2">
        <v>143</v>
      </c>
      <c r="EL1062" s="2" t="s">
        <v>859</v>
      </c>
      <c r="EM1062" s="2" t="s">
        <v>860</v>
      </c>
      <c r="EN1062" s="2"/>
      <c r="EO1062" s="2" t="s">
        <v>90</v>
      </c>
      <c r="EP1062" s="2"/>
      <c r="EQ1062" s="2">
        <v>131072</v>
      </c>
      <c r="ER1062" s="2">
        <v>101.62</v>
      </c>
      <c r="ES1062" s="2">
        <v>59.82</v>
      </c>
      <c r="ET1062" s="2">
        <v>13.2</v>
      </c>
      <c r="EU1062" s="2">
        <v>2.64</v>
      </c>
      <c r="EV1062" s="2">
        <v>28.6</v>
      </c>
      <c r="EW1062" s="2">
        <v>2.2000000000000002</v>
      </c>
      <c r="EX1062" s="2">
        <v>0</v>
      </c>
      <c r="EY1062" s="2">
        <v>0</v>
      </c>
      <c r="EZ1062" s="2"/>
      <c r="FA1062" s="2"/>
      <c r="FB1062" s="2"/>
      <c r="FC1062" s="2"/>
      <c r="FD1062" s="2"/>
      <c r="FE1062" s="2"/>
      <c r="FF1062" s="2"/>
      <c r="FG1062" s="2"/>
      <c r="FH1062" s="2"/>
      <c r="FI1062" s="2"/>
      <c r="FJ1062" s="2"/>
      <c r="FK1062" s="2"/>
      <c r="FL1062" s="2"/>
      <c r="FM1062" s="2"/>
      <c r="FN1062" s="2"/>
      <c r="FO1062" s="2"/>
      <c r="FP1062" s="2"/>
      <c r="FQ1062" s="2">
        <v>0</v>
      </c>
      <c r="FR1062" s="2">
        <f t="shared" si="888"/>
        <v>0</v>
      </c>
      <c r="FS1062" s="2">
        <v>0</v>
      </c>
      <c r="FT1062" s="2"/>
      <c r="FU1062" s="2"/>
      <c r="FV1062" s="2"/>
      <c r="FW1062" s="2"/>
      <c r="FX1062" s="2">
        <v>91</v>
      </c>
      <c r="FY1062" s="2">
        <v>70</v>
      </c>
      <c r="FZ1062" s="2"/>
      <c r="GA1062" s="2" t="s">
        <v>3</v>
      </c>
      <c r="GB1062" s="2"/>
      <c r="GC1062" s="2"/>
      <c r="GD1062" s="2">
        <v>0</v>
      </c>
      <c r="GE1062" s="2"/>
      <c r="GF1062" s="2">
        <v>-1890138388</v>
      </c>
      <c r="GG1062" s="2">
        <v>2</v>
      </c>
      <c r="GH1062" s="2">
        <v>1</v>
      </c>
      <c r="GI1062" s="2">
        <v>-2</v>
      </c>
      <c r="GJ1062" s="2">
        <v>0</v>
      </c>
      <c r="GK1062" s="2">
        <f>ROUND(R1062*(R12)/100,2)</f>
        <v>9.24</v>
      </c>
      <c r="GL1062" s="2">
        <f t="shared" si="889"/>
        <v>0</v>
      </c>
      <c r="GM1062" s="2">
        <f t="shared" si="890"/>
        <v>268.68</v>
      </c>
      <c r="GN1062" s="2">
        <f t="shared" si="891"/>
        <v>268.68</v>
      </c>
      <c r="GO1062" s="2">
        <f t="shared" si="892"/>
        <v>0</v>
      </c>
      <c r="GP1062" s="2">
        <f t="shared" si="893"/>
        <v>0</v>
      </c>
      <c r="GQ1062" s="2"/>
      <c r="GR1062" s="2">
        <v>0</v>
      </c>
      <c r="GS1062" s="2">
        <v>0</v>
      </c>
      <c r="GT1062" s="2">
        <v>0</v>
      </c>
      <c r="GU1062" s="2" t="s">
        <v>3</v>
      </c>
      <c r="GV1062" s="2">
        <f t="shared" si="894"/>
        <v>0</v>
      </c>
      <c r="GW1062" s="2">
        <v>1</v>
      </c>
      <c r="GX1062" s="2">
        <f t="shared" si="895"/>
        <v>0</v>
      </c>
      <c r="GY1062" s="2"/>
      <c r="GZ1062" s="2"/>
      <c r="HA1062" s="2">
        <v>0</v>
      </c>
      <c r="HB1062" s="2">
        <v>0</v>
      </c>
      <c r="HC1062" s="2">
        <f t="shared" si="896"/>
        <v>0</v>
      </c>
      <c r="HD1062" s="2"/>
      <c r="HE1062" s="2" t="s">
        <v>3</v>
      </c>
      <c r="HF1062" s="2" t="s">
        <v>3</v>
      </c>
      <c r="HG1062" s="2"/>
      <c r="HH1062" s="2"/>
      <c r="HI1062" s="2"/>
      <c r="HJ1062" s="2"/>
      <c r="HK1062" s="2"/>
      <c r="HL1062" s="2"/>
      <c r="HM1062" s="2" t="s">
        <v>3</v>
      </c>
      <c r="HN1062" s="2" t="s">
        <v>3</v>
      </c>
      <c r="HO1062" s="2" t="s">
        <v>3</v>
      </c>
      <c r="HP1062" s="2" t="s">
        <v>3</v>
      </c>
      <c r="HQ1062" s="2" t="s">
        <v>3</v>
      </c>
      <c r="HR1062" s="2"/>
      <c r="HS1062" s="2"/>
      <c r="HT1062" s="2"/>
      <c r="HU1062" s="2"/>
      <c r="HV1062" s="2"/>
      <c r="HW1062" s="2"/>
      <c r="HX1062" s="2"/>
      <c r="HY1062" s="2"/>
      <c r="HZ1062" s="2"/>
      <c r="IA1062" s="2"/>
      <c r="IB1062" s="2"/>
      <c r="IC1062" s="2"/>
      <c r="ID1062" s="2"/>
      <c r="IE1062" s="2"/>
      <c r="IF1062" s="2"/>
      <c r="IG1062" s="2"/>
      <c r="IH1062" s="2"/>
      <c r="II1062" s="2"/>
      <c r="IJ1062" s="2"/>
      <c r="IK1062" s="2">
        <v>0</v>
      </c>
      <c r="IL1062" s="2"/>
      <c r="IM1062" s="2"/>
      <c r="IN1062" s="2"/>
      <c r="IO1062" s="2"/>
      <c r="IP1062" s="2"/>
      <c r="IQ1062" s="2"/>
      <c r="IR1062" s="2"/>
      <c r="IS1062" s="2"/>
      <c r="IT1062" s="2"/>
      <c r="IU1062" s="2"/>
    </row>
    <row r="1063" spans="1:255" x14ac:dyDescent="0.2">
      <c r="A1063">
        <v>17</v>
      </c>
      <c r="B1063">
        <v>1</v>
      </c>
      <c r="C1063">
        <f>ROW(SmtRes!A888)</f>
        <v>888</v>
      </c>
      <c r="D1063">
        <f>ROW(EtalonRes!A858)</f>
        <v>858</v>
      </c>
      <c r="E1063" t="s">
        <v>124</v>
      </c>
      <c r="F1063" t="s">
        <v>855</v>
      </c>
      <c r="G1063" t="s">
        <v>856</v>
      </c>
      <c r="H1063" t="s">
        <v>857</v>
      </c>
      <c r="I1063">
        <v>1.6</v>
      </c>
      <c r="J1063">
        <v>0</v>
      </c>
      <c r="K1063">
        <v>1.6</v>
      </c>
      <c r="O1063">
        <f t="shared" si="866"/>
        <v>3617.2</v>
      </c>
      <c r="P1063">
        <f t="shared" si="867"/>
        <v>1754.36</v>
      </c>
      <c r="Q1063">
        <f>(ROUND((ROUND((((ET1063*1.25))*AV1063*I1063),2)*BB1063),2)+ROUND((ROUND(((AE1063-((EU1063*1.25)))*AV1063*I1063),2)*BS1063),2))</f>
        <v>335.28</v>
      </c>
      <c r="R1063">
        <f t="shared" si="868"/>
        <v>153.28</v>
      </c>
      <c r="S1063">
        <f t="shared" si="869"/>
        <v>1527.56</v>
      </c>
      <c r="T1063">
        <f t="shared" si="870"/>
        <v>0</v>
      </c>
      <c r="U1063">
        <f t="shared" si="871"/>
        <v>4.048</v>
      </c>
      <c r="V1063">
        <f t="shared" si="872"/>
        <v>0</v>
      </c>
      <c r="W1063">
        <f t="shared" si="873"/>
        <v>0</v>
      </c>
      <c r="X1063">
        <f t="shared" si="874"/>
        <v>1145.67</v>
      </c>
      <c r="Y1063">
        <f t="shared" si="875"/>
        <v>626.29999999999995</v>
      </c>
      <c r="AA1063">
        <v>129761633</v>
      </c>
      <c r="AB1063">
        <f t="shared" si="876"/>
        <v>109.21</v>
      </c>
      <c r="AC1063">
        <f t="shared" si="877"/>
        <v>59.82</v>
      </c>
      <c r="AD1063">
        <f>ROUND(((((ET1063*1.25))-((EU1063*1.25)))+AE1063),6)</f>
        <v>16.5</v>
      </c>
      <c r="AE1063">
        <f>ROUND(((EU1063*1.25)),6)</f>
        <v>3.3</v>
      </c>
      <c r="AF1063">
        <f>ROUND(((EV1063*1.15)),6)</f>
        <v>32.89</v>
      </c>
      <c r="AG1063">
        <f t="shared" si="878"/>
        <v>0</v>
      </c>
      <c r="AH1063">
        <f>((EW1063*1.15))</f>
        <v>2.5299999999999998</v>
      </c>
      <c r="AI1063">
        <f>((EX1063*1.25))</f>
        <v>0</v>
      </c>
      <c r="AJ1063">
        <f t="shared" si="879"/>
        <v>0</v>
      </c>
      <c r="AK1063">
        <v>101.62</v>
      </c>
      <c r="AL1063">
        <v>59.82</v>
      </c>
      <c r="AM1063">
        <v>13.2</v>
      </c>
      <c r="AN1063">
        <v>2.64</v>
      </c>
      <c r="AO1063">
        <v>28.6</v>
      </c>
      <c r="AP1063">
        <v>0</v>
      </c>
      <c r="AQ1063">
        <v>2.2000000000000002</v>
      </c>
      <c r="AR1063">
        <v>0</v>
      </c>
      <c r="AS1063">
        <v>0</v>
      </c>
      <c r="AT1063">
        <v>75</v>
      </c>
      <c r="AU1063">
        <v>41</v>
      </c>
      <c r="AV1063">
        <v>1</v>
      </c>
      <c r="AW1063">
        <v>1</v>
      </c>
      <c r="AZ1063">
        <v>1</v>
      </c>
      <c r="BA1063">
        <v>29.03</v>
      </c>
      <c r="BB1063">
        <v>12.7</v>
      </c>
      <c r="BC1063">
        <v>18.329999999999998</v>
      </c>
      <c r="BD1063" t="s">
        <v>3</v>
      </c>
      <c r="BE1063" t="s">
        <v>3</v>
      </c>
      <c r="BF1063" t="s">
        <v>3</v>
      </c>
      <c r="BG1063" t="s">
        <v>3</v>
      </c>
      <c r="BH1063">
        <v>0</v>
      </c>
      <c r="BI1063">
        <v>1</v>
      </c>
      <c r="BJ1063" t="s">
        <v>858</v>
      </c>
      <c r="BM1063">
        <v>143</v>
      </c>
      <c r="BN1063">
        <v>0</v>
      </c>
      <c r="BO1063" t="s">
        <v>855</v>
      </c>
      <c r="BP1063">
        <v>1</v>
      </c>
      <c r="BQ1063">
        <v>30</v>
      </c>
      <c r="BR1063">
        <v>0</v>
      </c>
      <c r="BS1063">
        <v>29.03</v>
      </c>
      <c r="BT1063">
        <v>1</v>
      </c>
      <c r="BU1063">
        <v>1</v>
      </c>
      <c r="BV1063">
        <v>1</v>
      </c>
      <c r="BW1063">
        <v>1</v>
      </c>
      <c r="BX1063">
        <v>1</v>
      </c>
      <c r="BY1063" t="s">
        <v>3</v>
      </c>
      <c r="BZ1063">
        <v>75</v>
      </c>
      <c r="CA1063">
        <v>41</v>
      </c>
      <c r="CB1063" t="s">
        <v>3</v>
      </c>
      <c r="CE1063">
        <v>30</v>
      </c>
      <c r="CF1063">
        <v>0</v>
      </c>
      <c r="CG1063">
        <v>0</v>
      </c>
      <c r="CM1063">
        <v>0</v>
      </c>
      <c r="CN1063" t="s">
        <v>1559</v>
      </c>
      <c r="CO1063">
        <v>0</v>
      </c>
      <c r="CP1063">
        <f t="shared" si="880"/>
        <v>3617.2</v>
      </c>
      <c r="CQ1063">
        <f t="shared" si="881"/>
        <v>1096.5</v>
      </c>
      <c r="CR1063">
        <f>(ROUND((ROUND((((ET1063*1.25))*AV1063*1),2)*BB1063),2)+ROUND((ROUND(((AE1063-((EU1063*1.25)))*AV1063*1),2)*BS1063),2))</f>
        <v>209.55</v>
      </c>
      <c r="CS1063">
        <f t="shared" si="882"/>
        <v>95.8</v>
      </c>
      <c r="CT1063">
        <f t="shared" si="883"/>
        <v>954.8</v>
      </c>
      <c r="CU1063">
        <f t="shared" si="884"/>
        <v>0</v>
      </c>
      <c r="CV1063">
        <f t="shared" si="885"/>
        <v>2.5299999999999998</v>
      </c>
      <c r="CW1063">
        <f t="shared" si="886"/>
        <v>0</v>
      </c>
      <c r="CX1063">
        <f t="shared" si="887"/>
        <v>0</v>
      </c>
      <c r="CY1063">
        <f>S1063*(BZ1063/100)</f>
        <v>1145.67</v>
      </c>
      <c r="CZ1063">
        <f>S1063*(CA1063/100)</f>
        <v>626.29959999999994</v>
      </c>
      <c r="DC1063" t="s">
        <v>3</v>
      </c>
      <c r="DD1063" t="s">
        <v>3</v>
      </c>
      <c r="DE1063" t="s">
        <v>86</v>
      </c>
      <c r="DF1063" t="s">
        <v>86</v>
      </c>
      <c r="DG1063" t="s">
        <v>87</v>
      </c>
      <c r="DH1063" t="s">
        <v>3</v>
      </c>
      <c r="DI1063" t="s">
        <v>87</v>
      </c>
      <c r="DJ1063" t="s">
        <v>86</v>
      </c>
      <c r="DK1063" t="s">
        <v>3</v>
      </c>
      <c r="DL1063" t="s">
        <v>3</v>
      </c>
      <c r="DM1063" t="s">
        <v>3</v>
      </c>
      <c r="DN1063">
        <v>91</v>
      </c>
      <c r="DO1063">
        <v>70</v>
      </c>
      <c r="DP1063">
        <v>1</v>
      </c>
      <c r="DQ1063">
        <v>1</v>
      </c>
      <c r="DU1063">
        <v>1013</v>
      </c>
      <c r="DV1063" t="s">
        <v>857</v>
      </c>
      <c r="DW1063" t="s">
        <v>857</v>
      </c>
      <c r="DX1063">
        <v>1</v>
      </c>
      <c r="DZ1063" t="s">
        <v>3</v>
      </c>
      <c r="EA1063" t="s">
        <v>3</v>
      </c>
      <c r="EB1063" t="s">
        <v>3</v>
      </c>
      <c r="EC1063" t="s">
        <v>3</v>
      </c>
      <c r="EE1063">
        <v>126051604</v>
      </c>
      <c r="EF1063">
        <v>30</v>
      </c>
      <c r="EG1063" t="s">
        <v>23</v>
      </c>
      <c r="EH1063">
        <v>0</v>
      </c>
      <c r="EI1063" t="s">
        <v>3</v>
      </c>
      <c r="EJ1063">
        <v>1</v>
      </c>
      <c r="EK1063">
        <v>143</v>
      </c>
      <c r="EL1063" t="s">
        <v>859</v>
      </c>
      <c r="EM1063" t="s">
        <v>860</v>
      </c>
      <c r="EO1063" t="s">
        <v>90</v>
      </c>
      <c r="EQ1063">
        <v>131072</v>
      </c>
      <c r="ER1063">
        <v>101.62</v>
      </c>
      <c r="ES1063">
        <v>59.82</v>
      </c>
      <c r="ET1063">
        <v>13.2</v>
      </c>
      <c r="EU1063">
        <v>2.64</v>
      </c>
      <c r="EV1063">
        <v>28.6</v>
      </c>
      <c r="EW1063">
        <v>2.2000000000000002</v>
      </c>
      <c r="EX1063">
        <v>0</v>
      </c>
      <c r="EY1063">
        <v>0</v>
      </c>
      <c r="FQ1063">
        <v>0</v>
      </c>
      <c r="FR1063">
        <f t="shared" si="888"/>
        <v>0</v>
      </c>
      <c r="FS1063">
        <v>0</v>
      </c>
      <c r="FX1063">
        <v>91</v>
      </c>
      <c r="FY1063">
        <v>70</v>
      </c>
      <c r="GA1063" t="s">
        <v>3</v>
      </c>
      <c r="GD1063">
        <v>0</v>
      </c>
      <c r="GF1063">
        <v>-1890138388</v>
      </c>
      <c r="GG1063">
        <v>2</v>
      </c>
      <c r="GH1063">
        <v>1</v>
      </c>
      <c r="GI1063">
        <v>2</v>
      </c>
      <c r="GJ1063">
        <v>0</v>
      </c>
      <c r="GK1063">
        <f>ROUND(R1063*(S12)/100,2)</f>
        <v>245.25</v>
      </c>
      <c r="GL1063">
        <f t="shared" si="889"/>
        <v>0</v>
      </c>
      <c r="GM1063">
        <f t="shared" si="890"/>
        <v>5634.42</v>
      </c>
      <c r="GN1063">
        <f t="shared" si="891"/>
        <v>5634.42</v>
      </c>
      <c r="GO1063">
        <f t="shared" si="892"/>
        <v>0</v>
      </c>
      <c r="GP1063">
        <f t="shared" si="893"/>
        <v>0</v>
      </c>
      <c r="GR1063">
        <v>0</v>
      </c>
      <c r="GS1063">
        <v>3</v>
      </c>
      <c r="GT1063">
        <v>0</v>
      </c>
      <c r="GU1063" t="s">
        <v>3</v>
      </c>
      <c r="GV1063">
        <f t="shared" si="894"/>
        <v>0</v>
      </c>
      <c r="GW1063">
        <v>1</v>
      </c>
      <c r="GX1063">
        <f t="shared" si="895"/>
        <v>0</v>
      </c>
      <c r="HA1063">
        <v>0</v>
      </c>
      <c r="HB1063">
        <v>0</v>
      </c>
      <c r="HC1063">
        <f t="shared" si="896"/>
        <v>0</v>
      </c>
      <c r="HE1063" t="s">
        <v>3</v>
      </c>
      <c r="HF1063" t="s">
        <v>3</v>
      </c>
      <c r="HM1063" t="s">
        <v>3</v>
      </c>
      <c r="HN1063" t="s">
        <v>3</v>
      </c>
      <c r="HO1063" t="s">
        <v>3</v>
      </c>
      <c r="HP1063" t="s">
        <v>3</v>
      </c>
      <c r="HQ1063" t="s">
        <v>3</v>
      </c>
      <c r="IK1063">
        <v>0</v>
      </c>
    </row>
    <row r="1064" spans="1:255" x14ac:dyDescent="0.2">
      <c r="A1064" s="2">
        <v>18</v>
      </c>
      <c r="B1064" s="2">
        <v>1</v>
      </c>
      <c r="C1064" s="2">
        <v>879</v>
      </c>
      <c r="D1064" s="2"/>
      <c r="E1064" s="2" t="s">
        <v>131</v>
      </c>
      <c r="F1064" s="2" t="s">
        <v>861</v>
      </c>
      <c r="G1064" s="2" t="s">
        <v>862</v>
      </c>
      <c r="H1064" s="2" t="s">
        <v>270</v>
      </c>
      <c r="I1064" s="2">
        <f>I1062*J1064</f>
        <v>24</v>
      </c>
      <c r="J1064" s="2">
        <v>15</v>
      </c>
      <c r="K1064" s="2">
        <v>15</v>
      </c>
      <c r="L1064" s="2"/>
      <c r="M1064" s="2"/>
      <c r="N1064" s="2"/>
      <c r="O1064" s="2">
        <f t="shared" si="866"/>
        <v>150.96</v>
      </c>
      <c r="P1064" s="2">
        <f t="shared" si="867"/>
        <v>150.96</v>
      </c>
      <c r="Q1064" s="2">
        <f t="shared" ref="Q1064:Q1069" si="904">(ROUND((ROUND(((ET1064)*AV1064*I1064),2)*BB1064),2)+ROUND((ROUND(((AE1064-(EU1064))*AV1064*I1064),2)*BS1064),2))</f>
        <v>0</v>
      </c>
      <c r="R1064" s="2">
        <f t="shared" si="868"/>
        <v>0</v>
      </c>
      <c r="S1064" s="2">
        <f t="shared" si="869"/>
        <v>0</v>
      </c>
      <c r="T1064" s="2">
        <f t="shared" si="870"/>
        <v>0</v>
      </c>
      <c r="U1064" s="2">
        <f t="shared" si="871"/>
        <v>0</v>
      </c>
      <c r="V1064" s="2">
        <f t="shared" si="872"/>
        <v>0</v>
      </c>
      <c r="W1064" s="2">
        <f t="shared" si="873"/>
        <v>0</v>
      </c>
      <c r="X1064" s="2">
        <f t="shared" si="874"/>
        <v>0</v>
      </c>
      <c r="Y1064" s="2">
        <f t="shared" si="875"/>
        <v>0</v>
      </c>
      <c r="Z1064" s="2"/>
      <c r="AA1064" s="2">
        <v>129761636</v>
      </c>
      <c r="AB1064" s="2">
        <f t="shared" si="876"/>
        <v>6.29</v>
      </c>
      <c r="AC1064" s="2">
        <f t="shared" si="877"/>
        <v>6.29</v>
      </c>
      <c r="AD1064" s="2">
        <f t="shared" ref="AD1064:AD1069" si="905">ROUND((((ET1064)-(EU1064))+AE1064),6)</f>
        <v>0</v>
      </c>
      <c r="AE1064" s="2">
        <f t="shared" ref="AE1064:AF1069" si="906">ROUND((EU1064),6)</f>
        <v>0</v>
      </c>
      <c r="AF1064" s="2">
        <f t="shared" si="906"/>
        <v>0</v>
      </c>
      <c r="AG1064" s="2">
        <f t="shared" si="878"/>
        <v>0</v>
      </c>
      <c r="AH1064" s="2">
        <f t="shared" ref="AH1064:AI1069" si="907">(EW1064)</f>
        <v>0</v>
      </c>
      <c r="AI1064" s="2">
        <f t="shared" si="907"/>
        <v>0</v>
      </c>
      <c r="AJ1064" s="2">
        <f t="shared" si="879"/>
        <v>0</v>
      </c>
      <c r="AK1064" s="2">
        <v>6.29</v>
      </c>
      <c r="AL1064" s="2">
        <v>6.29</v>
      </c>
      <c r="AM1064" s="2">
        <v>0</v>
      </c>
      <c r="AN1064" s="2">
        <v>0</v>
      </c>
      <c r="AO1064" s="2">
        <v>0</v>
      </c>
      <c r="AP1064" s="2">
        <v>0</v>
      </c>
      <c r="AQ1064" s="2">
        <v>0</v>
      </c>
      <c r="AR1064" s="2">
        <v>0</v>
      </c>
      <c r="AS1064" s="2">
        <v>0</v>
      </c>
      <c r="AT1064" s="2">
        <v>91</v>
      </c>
      <c r="AU1064" s="2">
        <v>70</v>
      </c>
      <c r="AV1064" s="2">
        <v>1</v>
      </c>
      <c r="AW1064" s="2">
        <v>1</v>
      </c>
      <c r="AX1064" s="2"/>
      <c r="AY1064" s="2"/>
      <c r="AZ1064" s="2">
        <v>1</v>
      </c>
      <c r="BA1064" s="2">
        <v>1</v>
      </c>
      <c r="BB1064" s="2">
        <v>1</v>
      </c>
      <c r="BC1064" s="2">
        <v>1</v>
      </c>
      <c r="BD1064" s="2" t="s">
        <v>3</v>
      </c>
      <c r="BE1064" s="2" t="s">
        <v>3</v>
      </c>
      <c r="BF1064" s="2" t="s">
        <v>3</v>
      </c>
      <c r="BG1064" s="2" t="s">
        <v>3</v>
      </c>
      <c r="BH1064" s="2">
        <v>3</v>
      </c>
      <c r="BI1064" s="2">
        <v>1</v>
      </c>
      <c r="BJ1064" s="2" t="s">
        <v>863</v>
      </c>
      <c r="BK1064" s="2"/>
      <c r="BL1064" s="2"/>
      <c r="BM1064" s="2">
        <v>143</v>
      </c>
      <c r="BN1064" s="2">
        <v>0</v>
      </c>
      <c r="BO1064" s="2" t="s">
        <v>3</v>
      </c>
      <c r="BP1064" s="2">
        <v>0</v>
      </c>
      <c r="BQ1064" s="2">
        <v>30</v>
      </c>
      <c r="BR1064" s="2">
        <v>0</v>
      </c>
      <c r="BS1064" s="2">
        <v>1</v>
      </c>
      <c r="BT1064" s="2">
        <v>1</v>
      </c>
      <c r="BU1064" s="2">
        <v>1</v>
      </c>
      <c r="BV1064" s="2">
        <v>1</v>
      </c>
      <c r="BW1064" s="2">
        <v>1</v>
      </c>
      <c r="BX1064" s="2">
        <v>1</v>
      </c>
      <c r="BY1064" s="2" t="s">
        <v>3</v>
      </c>
      <c r="BZ1064" s="2">
        <v>91</v>
      </c>
      <c r="CA1064" s="2">
        <v>70</v>
      </c>
      <c r="CB1064" s="2" t="s">
        <v>3</v>
      </c>
      <c r="CC1064" s="2"/>
      <c r="CD1064" s="2"/>
      <c r="CE1064" s="2">
        <v>30</v>
      </c>
      <c r="CF1064" s="2">
        <v>0</v>
      </c>
      <c r="CG1064" s="2">
        <v>0</v>
      </c>
      <c r="CH1064" s="2"/>
      <c r="CI1064" s="2"/>
      <c r="CJ1064" s="2"/>
      <c r="CK1064" s="2"/>
      <c r="CL1064" s="2"/>
      <c r="CM1064" s="2">
        <v>0</v>
      </c>
      <c r="CN1064" s="2" t="s">
        <v>3</v>
      </c>
      <c r="CO1064" s="2">
        <v>0</v>
      </c>
      <c r="CP1064" s="2">
        <f t="shared" si="880"/>
        <v>150.96</v>
      </c>
      <c r="CQ1064" s="2">
        <f t="shared" si="881"/>
        <v>6.29</v>
      </c>
      <c r="CR1064" s="2">
        <f t="shared" ref="CR1064:CR1069" si="908">(ROUND((ROUND(((ET1064)*AV1064*1),2)*BB1064),2)+ROUND((ROUND(((AE1064-(EU1064))*AV1064*1),2)*BS1064),2))</f>
        <v>0</v>
      </c>
      <c r="CS1064" s="2">
        <f t="shared" si="882"/>
        <v>0</v>
      </c>
      <c r="CT1064" s="2">
        <f t="shared" si="883"/>
        <v>0</v>
      </c>
      <c r="CU1064" s="2">
        <f t="shared" si="884"/>
        <v>0</v>
      </c>
      <c r="CV1064" s="2">
        <f t="shared" si="885"/>
        <v>0</v>
      </c>
      <c r="CW1064" s="2">
        <f t="shared" si="886"/>
        <v>0</v>
      </c>
      <c r="CX1064" s="2">
        <f t="shared" si="887"/>
        <v>0</v>
      </c>
      <c r="CY1064" s="2">
        <f>((S1064*BZ1064)/100)</f>
        <v>0</v>
      </c>
      <c r="CZ1064" s="2">
        <f>((S1064*CA1064)/100)</f>
        <v>0</v>
      </c>
      <c r="DA1064" s="2"/>
      <c r="DB1064" s="2"/>
      <c r="DC1064" s="2" t="s">
        <v>3</v>
      </c>
      <c r="DD1064" s="2" t="s">
        <v>3</v>
      </c>
      <c r="DE1064" s="2" t="s">
        <v>3</v>
      </c>
      <c r="DF1064" s="2" t="s">
        <v>3</v>
      </c>
      <c r="DG1064" s="2" t="s">
        <v>3</v>
      </c>
      <c r="DH1064" s="2" t="s">
        <v>3</v>
      </c>
      <c r="DI1064" s="2" t="s">
        <v>3</v>
      </c>
      <c r="DJ1064" s="2" t="s">
        <v>3</v>
      </c>
      <c r="DK1064" s="2" t="s">
        <v>3</v>
      </c>
      <c r="DL1064" s="2" t="s">
        <v>3</v>
      </c>
      <c r="DM1064" s="2" t="s">
        <v>3</v>
      </c>
      <c r="DN1064" s="2">
        <v>0</v>
      </c>
      <c r="DO1064" s="2">
        <v>0</v>
      </c>
      <c r="DP1064" s="2">
        <v>1</v>
      </c>
      <c r="DQ1064" s="2">
        <v>1</v>
      </c>
      <c r="DR1064" s="2"/>
      <c r="DS1064" s="2"/>
      <c r="DT1064" s="2"/>
      <c r="DU1064" s="2">
        <v>1003</v>
      </c>
      <c r="DV1064" s="2" t="s">
        <v>270</v>
      </c>
      <c r="DW1064" s="2" t="s">
        <v>270</v>
      </c>
      <c r="DX1064" s="2">
        <v>1</v>
      </c>
      <c r="DY1064" s="2"/>
      <c r="DZ1064" s="2" t="s">
        <v>3</v>
      </c>
      <c r="EA1064" s="2" t="s">
        <v>3</v>
      </c>
      <c r="EB1064" s="2" t="s">
        <v>3</v>
      </c>
      <c r="EC1064" s="2" t="s">
        <v>3</v>
      </c>
      <c r="ED1064" s="2"/>
      <c r="EE1064" s="2">
        <v>126051604</v>
      </c>
      <c r="EF1064" s="2">
        <v>30</v>
      </c>
      <c r="EG1064" s="2" t="s">
        <v>23</v>
      </c>
      <c r="EH1064" s="2">
        <v>0</v>
      </c>
      <c r="EI1064" s="2" t="s">
        <v>3</v>
      </c>
      <c r="EJ1064" s="2">
        <v>1</v>
      </c>
      <c r="EK1064" s="2">
        <v>143</v>
      </c>
      <c r="EL1064" s="2" t="s">
        <v>859</v>
      </c>
      <c r="EM1064" s="2" t="s">
        <v>860</v>
      </c>
      <c r="EN1064" s="2"/>
      <c r="EO1064" s="2" t="s">
        <v>3</v>
      </c>
      <c r="EP1064" s="2"/>
      <c r="EQ1064" s="2">
        <v>0</v>
      </c>
      <c r="ER1064" s="2">
        <v>6.29</v>
      </c>
      <c r="ES1064" s="2">
        <v>6.29</v>
      </c>
      <c r="ET1064" s="2">
        <v>0</v>
      </c>
      <c r="EU1064" s="2">
        <v>0</v>
      </c>
      <c r="EV1064" s="2">
        <v>0</v>
      </c>
      <c r="EW1064" s="2">
        <v>0</v>
      </c>
      <c r="EX1064" s="2">
        <v>0</v>
      </c>
      <c r="EY1064" s="2"/>
      <c r="EZ1064" s="2"/>
      <c r="FA1064" s="2"/>
      <c r="FB1064" s="2"/>
      <c r="FC1064" s="2"/>
      <c r="FD1064" s="2"/>
      <c r="FE1064" s="2"/>
      <c r="FF1064" s="2"/>
      <c r="FG1064" s="2"/>
      <c r="FH1064" s="2"/>
      <c r="FI1064" s="2"/>
      <c r="FJ1064" s="2"/>
      <c r="FK1064" s="2"/>
      <c r="FL1064" s="2"/>
      <c r="FM1064" s="2"/>
      <c r="FN1064" s="2"/>
      <c r="FO1064" s="2"/>
      <c r="FP1064" s="2"/>
      <c r="FQ1064" s="2">
        <v>0</v>
      </c>
      <c r="FR1064" s="2">
        <f t="shared" si="888"/>
        <v>0</v>
      </c>
      <c r="FS1064" s="2">
        <v>0</v>
      </c>
      <c r="FT1064" s="2"/>
      <c r="FU1064" s="2"/>
      <c r="FV1064" s="2"/>
      <c r="FW1064" s="2"/>
      <c r="FX1064" s="2">
        <v>91</v>
      </c>
      <c r="FY1064" s="2">
        <v>70</v>
      </c>
      <c r="FZ1064" s="2"/>
      <c r="GA1064" s="2" t="s">
        <v>3</v>
      </c>
      <c r="GB1064" s="2"/>
      <c r="GC1064" s="2"/>
      <c r="GD1064" s="2">
        <v>0</v>
      </c>
      <c r="GE1064" s="2"/>
      <c r="GF1064" s="2">
        <v>846456849</v>
      </c>
      <c r="GG1064" s="2">
        <v>2</v>
      </c>
      <c r="GH1064" s="2">
        <v>1</v>
      </c>
      <c r="GI1064" s="2">
        <v>-2</v>
      </c>
      <c r="GJ1064" s="2">
        <v>0</v>
      </c>
      <c r="GK1064" s="2">
        <f>ROUND(R1064*(R12)/100,2)</f>
        <v>0</v>
      </c>
      <c r="GL1064" s="2">
        <f t="shared" si="889"/>
        <v>0</v>
      </c>
      <c r="GM1064" s="2">
        <f t="shared" si="890"/>
        <v>150.96</v>
      </c>
      <c r="GN1064" s="2">
        <f t="shared" si="891"/>
        <v>150.96</v>
      </c>
      <c r="GO1064" s="2">
        <f t="shared" si="892"/>
        <v>0</v>
      </c>
      <c r="GP1064" s="2">
        <f t="shared" si="893"/>
        <v>0</v>
      </c>
      <c r="GQ1064" s="2"/>
      <c r="GR1064" s="2">
        <v>0</v>
      </c>
      <c r="GS1064" s="2">
        <v>0</v>
      </c>
      <c r="GT1064" s="2">
        <v>0</v>
      </c>
      <c r="GU1064" s="2" t="s">
        <v>3</v>
      </c>
      <c r="GV1064" s="2">
        <f t="shared" si="894"/>
        <v>0</v>
      </c>
      <c r="GW1064" s="2">
        <v>1</v>
      </c>
      <c r="GX1064" s="2">
        <f t="shared" si="895"/>
        <v>0</v>
      </c>
      <c r="GY1064" s="2"/>
      <c r="GZ1064" s="2"/>
      <c r="HA1064" s="2">
        <v>0</v>
      </c>
      <c r="HB1064" s="2">
        <v>0</v>
      </c>
      <c r="HC1064" s="2">
        <f t="shared" si="896"/>
        <v>0</v>
      </c>
      <c r="HD1064" s="2"/>
      <c r="HE1064" s="2" t="s">
        <v>3</v>
      </c>
      <c r="HF1064" s="2" t="s">
        <v>3</v>
      </c>
      <c r="HG1064" s="2"/>
      <c r="HH1064" s="2"/>
      <c r="HI1064" s="2"/>
      <c r="HJ1064" s="2"/>
      <c r="HK1064" s="2"/>
      <c r="HL1064" s="2"/>
      <c r="HM1064" s="2" t="s">
        <v>3</v>
      </c>
      <c r="HN1064" s="2" t="s">
        <v>3</v>
      </c>
      <c r="HO1064" s="2" t="s">
        <v>3</v>
      </c>
      <c r="HP1064" s="2" t="s">
        <v>3</v>
      </c>
      <c r="HQ1064" s="2" t="s">
        <v>3</v>
      </c>
      <c r="HR1064" s="2"/>
      <c r="HS1064" s="2"/>
      <c r="HT1064" s="2"/>
      <c r="HU1064" s="2"/>
      <c r="HV1064" s="2"/>
      <c r="HW1064" s="2"/>
      <c r="HX1064" s="2"/>
      <c r="HY1064" s="2"/>
      <c r="HZ1064" s="2"/>
      <c r="IA1064" s="2"/>
      <c r="IB1064" s="2"/>
      <c r="IC1064" s="2"/>
      <c r="ID1064" s="2"/>
      <c r="IE1064" s="2"/>
      <c r="IF1064" s="2"/>
      <c r="IG1064" s="2"/>
      <c r="IH1064" s="2"/>
      <c r="II1064" s="2"/>
      <c r="IJ1064" s="2"/>
      <c r="IK1064" s="2">
        <v>0</v>
      </c>
      <c r="IL1064" s="2"/>
      <c r="IM1064" s="2"/>
      <c r="IN1064" s="2"/>
      <c r="IO1064" s="2"/>
      <c r="IP1064" s="2"/>
      <c r="IQ1064" s="2"/>
      <c r="IR1064" s="2"/>
      <c r="IS1064" s="2"/>
      <c r="IT1064" s="2"/>
      <c r="IU1064" s="2"/>
    </row>
    <row r="1065" spans="1:255" x14ac:dyDescent="0.2">
      <c r="A1065">
        <v>18</v>
      </c>
      <c r="B1065">
        <v>1</v>
      </c>
      <c r="C1065">
        <v>887</v>
      </c>
      <c r="E1065" t="s">
        <v>131</v>
      </c>
      <c r="F1065" t="s">
        <v>861</v>
      </c>
      <c r="G1065" t="s">
        <v>862</v>
      </c>
      <c r="H1065" t="s">
        <v>270</v>
      </c>
      <c r="I1065">
        <f>I1063*J1065</f>
        <v>24</v>
      </c>
      <c r="J1065">
        <v>15</v>
      </c>
      <c r="K1065">
        <v>15</v>
      </c>
      <c r="O1065">
        <f t="shared" si="866"/>
        <v>1265.04</v>
      </c>
      <c r="P1065">
        <f t="shared" si="867"/>
        <v>1265.04</v>
      </c>
      <c r="Q1065">
        <f t="shared" si="904"/>
        <v>0</v>
      </c>
      <c r="R1065">
        <f t="shared" si="868"/>
        <v>0</v>
      </c>
      <c r="S1065">
        <f t="shared" si="869"/>
        <v>0</v>
      </c>
      <c r="T1065">
        <f t="shared" si="870"/>
        <v>0</v>
      </c>
      <c r="U1065">
        <f t="shared" si="871"/>
        <v>0</v>
      </c>
      <c r="V1065">
        <f t="shared" si="872"/>
        <v>0</v>
      </c>
      <c r="W1065">
        <f t="shared" si="873"/>
        <v>0</v>
      </c>
      <c r="X1065">
        <f t="shared" si="874"/>
        <v>0</v>
      </c>
      <c r="Y1065">
        <f t="shared" si="875"/>
        <v>0</v>
      </c>
      <c r="AA1065">
        <v>129761633</v>
      </c>
      <c r="AB1065">
        <f t="shared" si="876"/>
        <v>6.29</v>
      </c>
      <c r="AC1065">
        <f t="shared" si="877"/>
        <v>6.29</v>
      </c>
      <c r="AD1065">
        <f t="shared" si="905"/>
        <v>0</v>
      </c>
      <c r="AE1065">
        <f t="shared" si="906"/>
        <v>0</v>
      </c>
      <c r="AF1065">
        <f t="shared" si="906"/>
        <v>0</v>
      </c>
      <c r="AG1065">
        <f t="shared" si="878"/>
        <v>0</v>
      </c>
      <c r="AH1065">
        <f t="shared" si="907"/>
        <v>0</v>
      </c>
      <c r="AI1065">
        <f t="shared" si="907"/>
        <v>0</v>
      </c>
      <c r="AJ1065">
        <f t="shared" si="879"/>
        <v>0</v>
      </c>
      <c r="AK1065">
        <v>6.29</v>
      </c>
      <c r="AL1065">
        <v>6.29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  <c r="AV1065">
        <v>1</v>
      </c>
      <c r="AW1065">
        <v>1</v>
      </c>
      <c r="AZ1065">
        <v>1</v>
      </c>
      <c r="BA1065">
        <v>1</v>
      </c>
      <c r="BB1065">
        <v>1</v>
      </c>
      <c r="BC1065">
        <v>8.3800000000000008</v>
      </c>
      <c r="BD1065" t="s">
        <v>3</v>
      </c>
      <c r="BE1065" t="s">
        <v>3</v>
      </c>
      <c r="BF1065" t="s">
        <v>3</v>
      </c>
      <c r="BG1065" t="s">
        <v>3</v>
      </c>
      <c r="BH1065">
        <v>3</v>
      </c>
      <c r="BI1065">
        <v>1</v>
      </c>
      <c r="BJ1065" t="s">
        <v>863</v>
      </c>
      <c r="BM1065">
        <v>143</v>
      </c>
      <c r="BN1065">
        <v>0</v>
      </c>
      <c r="BO1065" t="s">
        <v>861</v>
      </c>
      <c r="BP1065">
        <v>1</v>
      </c>
      <c r="BQ1065">
        <v>30</v>
      </c>
      <c r="BR1065">
        <v>0</v>
      </c>
      <c r="BS1065">
        <v>1</v>
      </c>
      <c r="BT1065">
        <v>1</v>
      </c>
      <c r="BU1065">
        <v>1</v>
      </c>
      <c r="BV1065">
        <v>1</v>
      </c>
      <c r="BW1065">
        <v>1</v>
      </c>
      <c r="BX1065">
        <v>1</v>
      </c>
      <c r="BY1065" t="s">
        <v>3</v>
      </c>
      <c r="BZ1065">
        <v>0</v>
      </c>
      <c r="CA1065">
        <v>0</v>
      </c>
      <c r="CB1065" t="s">
        <v>3</v>
      </c>
      <c r="CE1065">
        <v>30</v>
      </c>
      <c r="CF1065">
        <v>0</v>
      </c>
      <c r="CG1065">
        <v>0</v>
      </c>
      <c r="CM1065">
        <v>0</v>
      </c>
      <c r="CN1065" t="s">
        <v>3</v>
      </c>
      <c r="CO1065">
        <v>0</v>
      </c>
      <c r="CP1065">
        <f t="shared" si="880"/>
        <v>1265.04</v>
      </c>
      <c r="CQ1065">
        <f t="shared" si="881"/>
        <v>52.71</v>
      </c>
      <c r="CR1065">
        <f t="shared" si="908"/>
        <v>0</v>
      </c>
      <c r="CS1065">
        <f t="shared" si="882"/>
        <v>0</v>
      </c>
      <c r="CT1065">
        <f t="shared" si="883"/>
        <v>0</v>
      </c>
      <c r="CU1065">
        <f t="shared" si="884"/>
        <v>0</v>
      </c>
      <c r="CV1065">
        <f t="shared" si="885"/>
        <v>0</v>
      </c>
      <c r="CW1065">
        <f t="shared" si="886"/>
        <v>0</v>
      </c>
      <c r="CX1065">
        <f t="shared" si="887"/>
        <v>0</v>
      </c>
      <c r="CY1065">
        <f>S1065*(BZ1065/100)</f>
        <v>0</v>
      </c>
      <c r="CZ1065">
        <f>S1065*(CA1065/100)</f>
        <v>0</v>
      </c>
      <c r="DC1065" t="s">
        <v>3</v>
      </c>
      <c r="DD1065" t="s">
        <v>3</v>
      </c>
      <c r="DE1065" t="s">
        <v>3</v>
      </c>
      <c r="DF1065" t="s">
        <v>3</v>
      </c>
      <c r="DG1065" t="s">
        <v>3</v>
      </c>
      <c r="DH1065" t="s">
        <v>3</v>
      </c>
      <c r="DI1065" t="s">
        <v>3</v>
      </c>
      <c r="DJ1065" t="s">
        <v>3</v>
      </c>
      <c r="DK1065" t="s">
        <v>3</v>
      </c>
      <c r="DL1065" t="s">
        <v>3</v>
      </c>
      <c r="DM1065" t="s">
        <v>3</v>
      </c>
      <c r="DN1065">
        <v>91</v>
      </c>
      <c r="DO1065">
        <v>70</v>
      </c>
      <c r="DP1065">
        <v>1</v>
      </c>
      <c r="DQ1065">
        <v>1</v>
      </c>
      <c r="DU1065">
        <v>1003</v>
      </c>
      <c r="DV1065" t="s">
        <v>270</v>
      </c>
      <c r="DW1065" t="s">
        <v>270</v>
      </c>
      <c r="DX1065">
        <v>1</v>
      </c>
      <c r="DZ1065" t="s">
        <v>3</v>
      </c>
      <c r="EA1065" t="s">
        <v>3</v>
      </c>
      <c r="EB1065" t="s">
        <v>3</v>
      </c>
      <c r="EC1065" t="s">
        <v>3</v>
      </c>
      <c r="EE1065">
        <v>126051604</v>
      </c>
      <c r="EF1065">
        <v>30</v>
      </c>
      <c r="EG1065" t="s">
        <v>23</v>
      </c>
      <c r="EH1065">
        <v>0</v>
      </c>
      <c r="EI1065" t="s">
        <v>3</v>
      </c>
      <c r="EJ1065">
        <v>1</v>
      </c>
      <c r="EK1065">
        <v>143</v>
      </c>
      <c r="EL1065" t="s">
        <v>859</v>
      </c>
      <c r="EM1065" t="s">
        <v>860</v>
      </c>
      <c r="EO1065" t="s">
        <v>3</v>
      </c>
      <c r="EQ1065">
        <v>0</v>
      </c>
      <c r="ER1065">
        <v>6.29</v>
      </c>
      <c r="ES1065">
        <v>6.29</v>
      </c>
      <c r="ET1065">
        <v>0</v>
      </c>
      <c r="EU1065">
        <v>0</v>
      </c>
      <c r="EV1065">
        <v>0</v>
      </c>
      <c r="EW1065">
        <v>0</v>
      </c>
      <c r="EX1065">
        <v>0</v>
      </c>
      <c r="FQ1065">
        <v>0</v>
      </c>
      <c r="FR1065">
        <f t="shared" si="888"/>
        <v>0</v>
      </c>
      <c r="FS1065">
        <v>0</v>
      </c>
      <c r="FX1065">
        <v>91</v>
      </c>
      <c r="FY1065">
        <v>70</v>
      </c>
      <c r="GA1065" t="s">
        <v>3</v>
      </c>
      <c r="GD1065">
        <v>0</v>
      </c>
      <c r="GF1065">
        <v>846456849</v>
      </c>
      <c r="GG1065">
        <v>2</v>
      </c>
      <c r="GH1065">
        <v>1</v>
      </c>
      <c r="GI1065">
        <v>2</v>
      </c>
      <c r="GJ1065">
        <v>0</v>
      </c>
      <c r="GK1065">
        <f>ROUND(R1065*(S12)/100,2)</f>
        <v>0</v>
      </c>
      <c r="GL1065">
        <f t="shared" si="889"/>
        <v>0</v>
      </c>
      <c r="GM1065">
        <f t="shared" si="890"/>
        <v>1265.04</v>
      </c>
      <c r="GN1065">
        <f t="shared" si="891"/>
        <v>1265.04</v>
      </c>
      <c r="GO1065">
        <f t="shared" si="892"/>
        <v>0</v>
      </c>
      <c r="GP1065">
        <f t="shared" si="893"/>
        <v>0</v>
      </c>
      <c r="GR1065">
        <v>0</v>
      </c>
      <c r="GS1065">
        <v>3</v>
      </c>
      <c r="GT1065">
        <v>0</v>
      </c>
      <c r="GU1065" t="s">
        <v>3</v>
      </c>
      <c r="GV1065">
        <f t="shared" si="894"/>
        <v>0</v>
      </c>
      <c r="GW1065">
        <v>1</v>
      </c>
      <c r="GX1065">
        <f t="shared" si="895"/>
        <v>0</v>
      </c>
      <c r="HA1065">
        <v>0</v>
      </c>
      <c r="HB1065">
        <v>0</v>
      </c>
      <c r="HC1065">
        <f t="shared" si="896"/>
        <v>0</v>
      </c>
      <c r="HE1065" t="s">
        <v>3</v>
      </c>
      <c r="HF1065" t="s">
        <v>3</v>
      </c>
      <c r="HM1065" t="s">
        <v>3</v>
      </c>
      <c r="HN1065" t="s">
        <v>3</v>
      </c>
      <c r="HO1065" t="s">
        <v>3</v>
      </c>
      <c r="HP1065" t="s">
        <v>3</v>
      </c>
      <c r="HQ1065" t="s">
        <v>3</v>
      </c>
      <c r="IK1065">
        <v>0</v>
      </c>
    </row>
    <row r="1066" spans="1:255" x14ac:dyDescent="0.2">
      <c r="A1066" s="2">
        <v>18</v>
      </c>
      <c r="B1066" s="2">
        <v>1</v>
      </c>
      <c r="C1066" s="2">
        <v>875</v>
      </c>
      <c r="D1066" s="2"/>
      <c r="E1066" s="2" t="s">
        <v>864</v>
      </c>
      <c r="F1066" s="2" t="s">
        <v>865</v>
      </c>
      <c r="G1066" s="2" t="s">
        <v>1569</v>
      </c>
      <c r="H1066" s="2" t="s">
        <v>270</v>
      </c>
      <c r="I1066" s="2">
        <f>I1062*J1066</f>
        <v>16.8</v>
      </c>
      <c r="J1066" s="2">
        <v>10.5</v>
      </c>
      <c r="K1066" s="2">
        <v>10.5</v>
      </c>
      <c r="L1066" s="2"/>
      <c r="M1066" s="2"/>
      <c r="N1066" s="2"/>
      <c r="O1066" s="2">
        <f t="shared" si="866"/>
        <v>82.32</v>
      </c>
      <c r="P1066" s="2">
        <f t="shared" si="867"/>
        <v>82.32</v>
      </c>
      <c r="Q1066" s="2">
        <f t="shared" si="904"/>
        <v>0</v>
      </c>
      <c r="R1066" s="2">
        <f t="shared" si="868"/>
        <v>0</v>
      </c>
      <c r="S1066" s="2">
        <f t="shared" si="869"/>
        <v>0</v>
      </c>
      <c r="T1066" s="2">
        <f t="shared" si="870"/>
        <v>0</v>
      </c>
      <c r="U1066" s="2">
        <f t="shared" si="871"/>
        <v>0</v>
      </c>
      <c r="V1066" s="2">
        <f t="shared" si="872"/>
        <v>0</v>
      </c>
      <c r="W1066" s="2">
        <f t="shared" si="873"/>
        <v>0</v>
      </c>
      <c r="X1066" s="2">
        <f t="shared" si="874"/>
        <v>0</v>
      </c>
      <c r="Y1066" s="2">
        <f t="shared" si="875"/>
        <v>0</v>
      </c>
      <c r="Z1066" s="2"/>
      <c r="AA1066" s="2">
        <v>129761636</v>
      </c>
      <c r="AB1066" s="2">
        <f t="shared" si="876"/>
        <v>4.9000000000000004</v>
      </c>
      <c r="AC1066" s="2">
        <f t="shared" si="877"/>
        <v>4.9000000000000004</v>
      </c>
      <c r="AD1066" s="2">
        <f t="shared" si="905"/>
        <v>0</v>
      </c>
      <c r="AE1066" s="2">
        <f t="shared" si="906"/>
        <v>0</v>
      </c>
      <c r="AF1066" s="2">
        <f t="shared" si="906"/>
        <v>0</v>
      </c>
      <c r="AG1066" s="2">
        <f t="shared" si="878"/>
        <v>0</v>
      </c>
      <c r="AH1066" s="2">
        <f t="shared" si="907"/>
        <v>0</v>
      </c>
      <c r="AI1066" s="2">
        <f t="shared" si="907"/>
        <v>0</v>
      </c>
      <c r="AJ1066" s="2">
        <f t="shared" si="879"/>
        <v>0</v>
      </c>
      <c r="AK1066" s="2">
        <v>4.9000000000000004</v>
      </c>
      <c r="AL1066" s="2">
        <v>4.9000000000000004</v>
      </c>
      <c r="AM1066" s="2">
        <v>0</v>
      </c>
      <c r="AN1066" s="2">
        <v>0</v>
      </c>
      <c r="AO1066" s="2">
        <v>0</v>
      </c>
      <c r="AP1066" s="2">
        <v>0</v>
      </c>
      <c r="AQ1066" s="2">
        <v>0</v>
      </c>
      <c r="AR1066" s="2">
        <v>0</v>
      </c>
      <c r="AS1066" s="2">
        <v>0</v>
      </c>
      <c r="AT1066" s="2">
        <v>91</v>
      </c>
      <c r="AU1066" s="2">
        <v>70</v>
      </c>
      <c r="AV1066" s="2">
        <v>1</v>
      </c>
      <c r="AW1066" s="2">
        <v>1</v>
      </c>
      <c r="AX1066" s="2"/>
      <c r="AY1066" s="2"/>
      <c r="AZ1066" s="2">
        <v>1</v>
      </c>
      <c r="BA1066" s="2">
        <v>1</v>
      </c>
      <c r="BB1066" s="2">
        <v>1</v>
      </c>
      <c r="BC1066" s="2">
        <v>1</v>
      </c>
      <c r="BD1066" s="2" t="s">
        <v>3</v>
      </c>
      <c r="BE1066" s="2" t="s">
        <v>3</v>
      </c>
      <c r="BF1066" s="2" t="s">
        <v>3</v>
      </c>
      <c r="BG1066" s="2" t="s">
        <v>3</v>
      </c>
      <c r="BH1066" s="2">
        <v>3</v>
      </c>
      <c r="BI1066" s="2">
        <v>1</v>
      </c>
      <c r="BJ1066" s="2" t="s">
        <v>866</v>
      </c>
      <c r="BK1066" s="2"/>
      <c r="BL1066" s="2"/>
      <c r="BM1066" s="2">
        <v>143</v>
      </c>
      <c r="BN1066" s="2">
        <v>0</v>
      </c>
      <c r="BO1066" s="2" t="s">
        <v>3</v>
      </c>
      <c r="BP1066" s="2">
        <v>0</v>
      </c>
      <c r="BQ1066" s="2">
        <v>30</v>
      </c>
      <c r="BR1066" s="2">
        <v>0</v>
      </c>
      <c r="BS1066" s="2">
        <v>1</v>
      </c>
      <c r="BT1066" s="2">
        <v>1</v>
      </c>
      <c r="BU1066" s="2">
        <v>1</v>
      </c>
      <c r="BV1066" s="2">
        <v>1</v>
      </c>
      <c r="BW1066" s="2">
        <v>1</v>
      </c>
      <c r="BX1066" s="2">
        <v>1</v>
      </c>
      <c r="BY1066" s="2" t="s">
        <v>3</v>
      </c>
      <c r="BZ1066" s="2">
        <v>91</v>
      </c>
      <c r="CA1066" s="2">
        <v>70</v>
      </c>
      <c r="CB1066" s="2" t="s">
        <v>3</v>
      </c>
      <c r="CC1066" s="2"/>
      <c r="CD1066" s="2"/>
      <c r="CE1066" s="2">
        <v>30</v>
      </c>
      <c r="CF1066" s="2">
        <v>0</v>
      </c>
      <c r="CG1066" s="2">
        <v>0</v>
      </c>
      <c r="CH1066" s="2"/>
      <c r="CI1066" s="2"/>
      <c r="CJ1066" s="2"/>
      <c r="CK1066" s="2"/>
      <c r="CL1066" s="2"/>
      <c r="CM1066" s="2">
        <v>0</v>
      </c>
      <c r="CN1066" s="2" t="s">
        <v>3</v>
      </c>
      <c r="CO1066" s="2">
        <v>0</v>
      </c>
      <c r="CP1066" s="2">
        <f t="shared" si="880"/>
        <v>82.32</v>
      </c>
      <c r="CQ1066" s="2">
        <f t="shared" si="881"/>
        <v>4.9000000000000004</v>
      </c>
      <c r="CR1066" s="2">
        <f t="shared" si="908"/>
        <v>0</v>
      </c>
      <c r="CS1066" s="2">
        <f t="shared" si="882"/>
        <v>0</v>
      </c>
      <c r="CT1066" s="2">
        <f t="shared" si="883"/>
        <v>0</v>
      </c>
      <c r="CU1066" s="2">
        <f t="shared" si="884"/>
        <v>0</v>
      </c>
      <c r="CV1066" s="2">
        <f t="shared" si="885"/>
        <v>0</v>
      </c>
      <c r="CW1066" s="2">
        <f t="shared" si="886"/>
        <v>0</v>
      </c>
      <c r="CX1066" s="2">
        <f t="shared" si="887"/>
        <v>0</v>
      </c>
      <c r="CY1066" s="2">
        <f>((S1066*BZ1066)/100)</f>
        <v>0</v>
      </c>
      <c r="CZ1066" s="2">
        <f>((S1066*CA1066)/100)</f>
        <v>0</v>
      </c>
      <c r="DA1066" s="2"/>
      <c r="DB1066" s="2"/>
      <c r="DC1066" s="2" t="s">
        <v>3</v>
      </c>
      <c r="DD1066" s="2" t="s">
        <v>3</v>
      </c>
      <c r="DE1066" s="2" t="s">
        <v>3</v>
      </c>
      <c r="DF1066" s="2" t="s">
        <v>3</v>
      </c>
      <c r="DG1066" s="2" t="s">
        <v>3</v>
      </c>
      <c r="DH1066" s="2" t="s">
        <v>3</v>
      </c>
      <c r="DI1066" s="2" t="s">
        <v>3</v>
      </c>
      <c r="DJ1066" s="2" t="s">
        <v>3</v>
      </c>
      <c r="DK1066" s="2" t="s">
        <v>3</v>
      </c>
      <c r="DL1066" s="2" t="s">
        <v>3</v>
      </c>
      <c r="DM1066" s="2" t="s">
        <v>3</v>
      </c>
      <c r="DN1066" s="2">
        <v>0</v>
      </c>
      <c r="DO1066" s="2">
        <v>0</v>
      </c>
      <c r="DP1066" s="2">
        <v>1</v>
      </c>
      <c r="DQ1066" s="2">
        <v>1</v>
      </c>
      <c r="DR1066" s="2"/>
      <c r="DS1066" s="2"/>
      <c r="DT1066" s="2"/>
      <c r="DU1066" s="2">
        <v>1003</v>
      </c>
      <c r="DV1066" s="2" t="s">
        <v>270</v>
      </c>
      <c r="DW1066" s="2" t="s">
        <v>270</v>
      </c>
      <c r="DX1066" s="2">
        <v>1</v>
      </c>
      <c r="DY1066" s="2"/>
      <c r="DZ1066" s="2" t="s">
        <v>3</v>
      </c>
      <c r="EA1066" s="2" t="s">
        <v>3</v>
      </c>
      <c r="EB1066" s="2" t="s">
        <v>3</v>
      </c>
      <c r="EC1066" s="2" t="s">
        <v>3</v>
      </c>
      <c r="ED1066" s="2"/>
      <c r="EE1066" s="2">
        <v>126051604</v>
      </c>
      <c r="EF1066" s="2">
        <v>30</v>
      </c>
      <c r="EG1066" s="2" t="s">
        <v>23</v>
      </c>
      <c r="EH1066" s="2">
        <v>0</v>
      </c>
      <c r="EI1066" s="2" t="s">
        <v>3</v>
      </c>
      <c r="EJ1066" s="2">
        <v>1</v>
      </c>
      <c r="EK1066" s="2">
        <v>143</v>
      </c>
      <c r="EL1066" s="2" t="s">
        <v>859</v>
      </c>
      <c r="EM1066" s="2" t="s">
        <v>860</v>
      </c>
      <c r="EN1066" s="2"/>
      <c r="EO1066" s="2" t="s">
        <v>3</v>
      </c>
      <c r="EP1066" s="2"/>
      <c r="EQ1066" s="2">
        <v>0</v>
      </c>
      <c r="ER1066" s="2">
        <v>4.9000000000000004</v>
      </c>
      <c r="ES1066" s="2">
        <v>4.9000000000000004</v>
      </c>
      <c r="ET1066" s="2">
        <v>0</v>
      </c>
      <c r="EU1066" s="2">
        <v>0</v>
      </c>
      <c r="EV1066" s="2">
        <v>0</v>
      </c>
      <c r="EW1066" s="2">
        <v>0</v>
      </c>
      <c r="EX1066" s="2">
        <v>0</v>
      </c>
      <c r="EY1066" s="2"/>
      <c r="EZ1066" s="2"/>
      <c r="FA1066" s="2"/>
      <c r="FB1066" s="2"/>
      <c r="FC1066" s="2"/>
      <c r="FD1066" s="2"/>
      <c r="FE1066" s="2"/>
      <c r="FF1066" s="2"/>
      <c r="FG1066" s="2"/>
      <c r="FH1066" s="2"/>
      <c r="FI1066" s="2"/>
      <c r="FJ1066" s="2"/>
      <c r="FK1066" s="2"/>
      <c r="FL1066" s="2"/>
      <c r="FM1066" s="2"/>
      <c r="FN1066" s="2"/>
      <c r="FO1066" s="2"/>
      <c r="FP1066" s="2"/>
      <c r="FQ1066" s="2">
        <v>0</v>
      </c>
      <c r="FR1066" s="2">
        <f t="shared" si="888"/>
        <v>0</v>
      </c>
      <c r="FS1066" s="2">
        <v>0</v>
      </c>
      <c r="FT1066" s="2"/>
      <c r="FU1066" s="2"/>
      <c r="FV1066" s="2"/>
      <c r="FW1066" s="2"/>
      <c r="FX1066" s="2">
        <v>91</v>
      </c>
      <c r="FY1066" s="2">
        <v>70</v>
      </c>
      <c r="FZ1066" s="2"/>
      <c r="GA1066" s="2" t="s">
        <v>3</v>
      </c>
      <c r="GB1066" s="2"/>
      <c r="GC1066" s="2"/>
      <c r="GD1066" s="2">
        <v>0</v>
      </c>
      <c r="GE1066" s="2"/>
      <c r="GF1066" s="2">
        <v>-1102853522</v>
      </c>
      <c r="GG1066" s="2">
        <v>2</v>
      </c>
      <c r="GH1066" s="2">
        <v>1</v>
      </c>
      <c r="GI1066" s="2">
        <v>-2</v>
      </c>
      <c r="GJ1066" s="2">
        <v>0</v>
      </c>
      <c r="GK1066" s="2">
        <f>ROUND(R1066*(R12)/100,2)</f>
        <v>0</v>
      </c>
      <c r="GL1066" s="2">
        <f t="shared" si="889"/>
        <v>0</v>
      </c>
      <c r="GM1066" s="2">
        <f t="shared" si="890"/>
        <v>82.32</v>
      </c>
      <c r="GN1066" s="2">
        <f t="shared" si="891"/>
        <v>82.32</v>
      </c>
      <c r="GO1066" s="2">
        <f t="shared" si="892"/>
        <v>0</v>
      </c>
      <c r="GP1066" s="2">
        <f t="shared" si="893"/>
        <v>0</v>
      </c>
      <c r="GQ1066" s="2"/>
      <c r="GR1066" s="2">
        <v>0</v>
      </c>
      <c r="GS1066" s="2">
        <v>0</v>
      </c>
      <c r="GT1066" s="2">
        <v>0</v>
      </c>
      <c r="GU1066" s="2" t="s">
        <v>3</v>
      </c>
      <c r="GV1066" s="2">
        <f t="shared" si="894"/>
        <v>0</v>
      </c>
      <c r="GW1066" s="2">
        <v>1</v>
      </c>
      <c r="GX1066" s="2">
        <f t="shared" si="895"/>
        <v>0</v>
      </c>
      <c r="GY1066" s="2"/>
      <c r="GZ1066" s="2"/>
      <c r="HA1066" s="2">
        <v>0</v>
      </c>
      <c r="HB1066" s="2">
        <v>0</v>
      </c>
      <c r="HC1066" s="2">
        <f t="shared" si="896"/>
        <v>0</v>
      </c>
      <c r="HD1066" s="2"/>
      <c r="HE1066" s="2" t="s">
        <v>3</v>
      </c>
      <c r="HF1066" s="2" t="s">
        <v>3</v>
      </c>
      <c r="HG1066" s="2"/>
      <c r="HH1066" s="2"/>
      <c r="HI1066" s="2"/>
      <c r="HJ1066" s="2"/>
      <c r="HK1066" s="2"/>
      <c r="HL1066" s="2"/>
      <c r="HM1066" s="2" t="s">
        <v>3</v>
      </c>
      <c r="HN1066" s="2" t="s">
        <v>3</v>
      </c>
      <c r="HO1066" s="2" t="s">
        <v>3</v>
      </c>
      <c r="HP1066" s="2" t="s">
        <v>3</v>
      </c>
      <c r="HQ1066" s="2" t="s">
        <v>3</v>
      </c>
      <c r="HR1066" s="2"/>
      <c r="HS1066" s="2"/>
      <c r="HT1066" s="2"/>
      <c r="HU1066" s="2"/>
      <c r="HV1066" s="2"/>
      <c r="HW1066" s="2"/>
      <c r="HX1066" s="2"/>
      <c r="HY1066" s="2"/>
      <c r="HZ1066" s="2"/>
      <c r="IA1066" s="2"/>
      <c r="IB1066" s="2"/>
      <c r="IC1066" s="2"/>
      <c r="ID1066" s="2"/>
      <c r="IE1066" s="2"/>
      <c r="IF1066" s="2"/>
      <c r="IG1066" s="2"/>
      <c r="IH1066" s="2"/>
      <c r="II1066" s="2"/>
      <c r="IJ1066" s="2"/>
      <c r="IK1066" s="2">
        <v>0</v>
      </c>
      <c r="IL1066" s="2"/>
      <c r="IM1066" s="2"/>
      <c r="IN1066" s="2"/>
      <c r="IO1066" s="2"/>
      <c r="IP1066" s="2"/>
      <c r="IQ1066" s="2"/>
      <c r="IR1066" s="2"/>
      <c r="IS1066" s="2"/>
      <c r="IT1066" s="2"/>
      <c r="IU1066" s="2"/>
    </row>
    <row r="1067" spans="1:255" x14ac:dyDescent="0.2">
      <c r="A1067">
        <v>18</v>
      </c>
      <c r="B1067">
        <v>1</v>
      </c>
      <c r="C1067">
        <v>883</v>
      </c>
      <c r="E1067" t="s">
        <v>864</v>
      </c>
      <c r="F1067" t="s">
        <v>865</v>
      </c>
      <c r="G1067" t="s">
        <v>1569</v>
      </c>
      <c r="H1067" t="s">
        <v>270</v>
      </c>
      <c r="I1067">
        <f>I1063*J1067</f>
        <v>16.8</v>
      </c>
      <c r="J1067">
        <v>10.5</v>
      </c>
      <c r="K1067">
        <v>10.5</v>
      </c>
      <c r="O1067">
        <f t="shared" si="866"/>
        <v>409.95</v>
      </c>
      <c r="P1067">
        <f t="shared" si="867"/>
        <v>409.95</v>
      </c>
      <c r="Q1067">
        <f t="shared" si="904"/>
        <v>0</v>
      </c>
      <c r="R1067">
        <f t="shared" si="868"/>
        <v>0</v>
      </c>
      <c r="S1067">
        <f t="shared" si="869"/>
        <v>0</v>
      </c>
      <c r="T1067">
        <f t="shared" si="870"/>
        <v>0</v>
      </c>
      <c r="U1067">
        <f t="shared" si="871"/>
        <v>0</v>
      </c>
      <c r="V1067">
        <f t="shared" si="872"/>
        <v>0</v>
      </c>
      <c r="W1067">
        <f t="shared" si="873"/>
        <v>0</v>
      </c>
      <c r="X1067">
        <f t="shared" si="874"/>
        <v>0</v>
      </c>
      <c r="Y1067">
        <f t="shared" si="875"/>
        <v>0</v>
      </c>
      <c r="AA1067">
        <v>129761633</v>
      </c>
      <c r="AB1067">
        <f t="shared" si="876"/>
        <v>4.9000000000000004</v>
      </c>
      <c r="AC1067">
        <f t="shared" si="877"/>
        <v>4.9000000000000004</v>
      </c>
      <c r="AD1067">
        <f t="shared" si="905"/>
        <v>0</v>
      </c>
      <c r="AE1067">
        <f t="shared" si="906"/>
        <v>0</v>
      </c>
      <c r="AF1067">
        <f t="shared" si="906"/>
        <v>0</v>
      </c>
      <c r="AG1067">
        <f t="shared" si="878"/>
        <v>0</v>
      </c>
      <c r="AH1067">
        <f t="shared" si="907"/>
        <v>0</v>
      </c>
      <c r="AI1067">
        <f t="shared" si="907"/>
        <v>0</v>
      </c>
      <c r="AJ1067">
        <f t="shared" si="879"/>
        <v>0</v>
      </c>
      <c r="AK1067">
        <v>4.9000000000000004</v>
      </c>
      <c r="AL1067">
        <v>4.9000000000000004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1</v>
      </c>
      <c r="AW1067">
        <v>1</v>
      </c>
      <c r="AZ1067">
        <v>1</v>
      </c>
      <c r="BA1067">
        <v>1</v>
      </c>
      <c r="BB1067">
        <v>1</v>
      </c>
      <c r="BC1067">
        <v>4.9800000000000004</v>
      </c>
      <c r="BD1067" t="s">
        <v>3</v>
      </c>
      <c r="BE1067" t="s">
        <v>3</v>
      </c>
      <c r="BF1067" t="s">
        <v>3</v>
      </c>
      <c r="BG1067" t="s">
        <v>3</v>
      </c>
      <c r="BH1067">
        <v>3</v>
      </c>
      <c r="BI1067">
        <v>1</v>
      </c>
      <c r="BJ1067" t="s">
        <v>866</v>
      </c>
      <c r="BM1067">
        <v>143</v>
      </c>
      <c r="BN1067">
        <v>0</v>
      </c>
      <c r="BO1067" t="s">
        <v>865</v>
      </c>
      <c r="BP1067">
        <v>1</v>
      </c>
      <c r="BQ1067">
        <v>30</v>
      </c>
      <c r="BR1067">
        <v>0</v>
      </c>
      <c r="BS1067">
        <v>1</v>
      </c>
      <c r="BT1067">
        <v>1</v>
      </c>
      <c r="BU1067">
        <v>1</v>
      </c>
      <c r="BV1067">
        <v>1</v>
      </c>
      <c r="BW1067">
        <v>1</v>
      </c>
      <c r="BX1067">
        <v>1</v>
      </c>
      <c r="BY1067" t="s">
        <v>3</v>
      </c>
      <c r="BZ1067">
        <v>0</v>
      </c>
      <c r="CA1067">
        <v>0</v>
      </c>
      <c r="CB1067" t="s">
        <v>3</v>
      </c>
      <c r="CE1067">
        <v>30</v>
      </c>
      <c r="CF1067">
        <v>0</v>
      </c>
      <c r="CG1067">
        <v>0</v>
      </c>
      <c r="CM1067">
        <v>0</v>
      </c>
      <c r="CN1067" t="s">
        <v>3</v>
      </c>
      <c r="CO1067">
        <v>0</v>
      </c>
      <c r="CP1067">
        <f t="shared" si="880"/>
        <v>409.95</v>
      </c>
      <c r="CQ1067">
        <f t="shared" si="881"/>
        <v>24.4</v>
      </c>
      <c r="CR1067">
        <f t="shared" si="908"/>
        <v>0</v>
      </c>
      <c r="CS1067">
        <f t="shared" si="882"/>
        <v>0</v>
      </c>
      <c r="CT1067">
        <f t="shared" si="883"/>
        <v>0</v>
      </c>
      <c r="CU1067">
        <f t="shared" si="884"/>
        <v>0</v>
      </c>
      <c r="CV1067">
        <f t="shared" si="885"/>
        <v>0</v>
      </c>
      <c r="CW1067">
        <f t="shared" si="886"/>
        <v>0</v>
      </c>
      <c r="CX1067">
        <f t="shared" si="887"/>
        <v>0</v>
      </c>
      <c r="CY1067">
        <f>S1067*(BZ1067/100)</f>
        <v>0</v>
      </c>
      <c r="CZ1067">
        <f>S1067*(CA1067/100)</f>
        <v>0</v>
      </c>
      <c r="DC1067" t="s">
        <v>3</v>
      </c>
      <c r="DD1067" t="s">
        <v>3</v>
      </c>
      <c r="DE1067" t="s">
        <v>3</v>
      </c>
      <c r="DF1067" t="s">
        <v>3</v>
      </c>
      <c r="DG1067" t="s">
        <v>3</v>
      </c>
      <c r="DH1067" t="s">
        <v>3</v>
      </c>
      <c r="DI1067" t="s">
        <v>3</v>
      </c>
      <c r="DJ1067" t="s">
        <v>3</v>
      </c>
      <c r="DK1067" t="s">
        <v>3</v>
      </c>
      <c r="DL1067" t="s">
        <v>3</v>
      </c>
      <c r="DM1067" t="s">
        <v>3</v>
      </c>
      <c r="DN1067">
        <v>91</v>
      </c>
      <c r="DO1067">
        <v>70</v>
      </c>
      <c r="DP1067">
        <v>1</v>
      </c>
      <c r="DQ1067">
        <v>1</v>
      </c>
      <c r="DU1067">
        <v>1003</v>
      </c>
      <c r="DV1067" t="s">
        <v>270</v>
      </c>
      <c r="DW1067" t="s">
        <v>270</v>
      </c>
      <c r="DX1067">
        <v>1</v>
      </c>
      <c r="DZ1067" t="s">
        <v>3</v>
      </c>
      <c r="EA1067" t="s">
        <v>3</v>
      </c>
      <c r="EB1067" t="s">
        <v>3</v>
      </c>
      <c r="EC1067" t="s">
        <v>3</v>
      </c>
      <c r="EE1067">
        <v>126051604</v>
      </c>
      <c r="EF1067">
        <v>30</v>
      </c>
      <c r="EG1067" t="s">
        <v>23</v>
      </c>
      <c r="EH1067">
        <v>0</v>
      </c>
      <c r="EI1067" t="s">
        <v>3</v>
      </c>
      <c r="EJ1067">
        <v>1</v>
      </c>
      <c r="EK1067">
        <v>143</v>
      </c>
      <c r="EL1067" t="s">
        <v>859</v>
      </c>
      <c r="EM1067" t="s">
        <v>860</v>
      </c>
      <c r="EO1067" t="s">
        <v>3</v>
      </c>
      <c r="EQ1067">
        <v>0</v>
      </c>
      <c r="ER1067">
        <v>4.9000000000000004</v>
      </c>
      <c r="ES1067">
        <v>4.9000000000000004</v>
      </c>
      <c r="ET1067">
        <v>0</v>
      </c>
      <c r="EU1067">
        <v>0</v>
      </c>
      <c r="EV1067">
        <v>0</v>
      </c>
      <c r="EW1067">
        <v>0</v>
      </c>
      <c r="EX1067">
        <v>0</v>
      </c>
      <c r="FQ1067">
        <v>0</v>
      </c>
      <c r="FR1067">
        <f t="shared" si="888"/>
        <v>0</v>
      </c>
      <c r="FS1067">
        <v>0</v>
      </c>
      <c r="FX1067">
        <v>91</v>
      </c>
      <c r="FY1067">
        <v>70</v>
      </c>
      <c r="GA1067" t="s">
        <v>3</v>
      </c>
      <c r="GD1067">
        <v>0</v>
      </c>
      <c r="GF1067">
        <v>-1102853522</v>
      </c>
      <c r="GG1067">
        <v>2</v>
      </c>
      <c r="GH1067">
        <v>1</v>
      </c>
      <c r="GI1067">
        <v>2</v>
      </c>
      <c r="GJ1067">
        <v>0</v>
      </c>
      <c r="GK1067">
        <f>ROUND(R1067*(S12)/100,2)</f>
        <v>0</v>
      </c>
      <c r="GL1067">
        <f t="shared" si="889"/>
        <v>0</v>
      </c>
      <c r="GM1067">
        <f t="shared" si="890"/>
        <v>409.95</v>
      </c>
      <c r="GN1067">
        <f t="shared" si="891"/>
        <v>409.95</v>
      </c>
      <c r="GO1067">
        <f t="shared" si="892"/>
        <v>0</v>
      </c>
      <c r="GP1067">
        <f t="shared" si="893"/>
        <v>0</v>
      </c>
      <c r="GR1067">
        <v>0</v>
      </c>
      <c r="GS1067">
        <v>3</v>
      </c>
      <c r="GT1067">
        <v>0</v>
      </c>
      <c r="GU1067" t="s">
        <v>3</v>
      </c>
      <c r="GV1067">
        <f t="shared" si="894"/>
        <v>0</v>
      </c>
      <c r="GW1067">
        <v>1</v>
      </c>
      <c r="GX1067">
        <f t="shared" si="895"/>
        <v>0</v>
      </c>
      <c r="HA1067">
        <v>0</v>
      </c>
      <c r="HB1067">
        <v>0</v>
      </c>
      <c r="HC1067">
        <f t="shared" si="896"/>
        <v>0</v>
      </c>
      <c r="HE1067" t="s">
        <v>3</v>
      </c>
      <c r="HF1067" t="s">
        <v>3</v>
      </c>
      <c r="HM1067" t="s">
        <v>3</v>
      </c>
      <c r="HN1067" t="s">
        <v>3</v>
      </c>
      <c r="HO1067" t="s">
        <v>3</v>
      </c>
      <c r="HP1067" t="s">
        <v>3</v>
      </c>
      <c r="HQ1067" t="s">
        <v>3</v>
      </c>
      <c r="IK1067">
        <v>0</v>
      </c>
    </row>
    <row r="1068" spans="1:255" x14ac:dyDescent="0.2">
      <c r="A1068" s="2">
        <v>18</v>
      </c>
      <c r="B1068" s="2">
        <v>1</v>
      </c>
      <c r="C1068" s="2">
        <v>876</v>
      </c>
      <c r="D1068" s="2"/>
      <c r="E1068" s="2" t="s">
        <v>867</v>
      </c>
      <c r="F1068" s="2" t="s">
        <v>868</v>
      </c>
      <c r="G1068" s="2" t="s">
        <v>869</v>
      </c>
      <c r="H1068" s="2" t="s">
        <v>870</v>
      </c>
      <c r="I1068" s="2">
        <f>I1062*J1068</f>
        <v>0.2</v>
      </c>
      <c r="J1068" s="2">
        <v>0.125</v>
      </c>
      <c r="K1068" s="2">
        <v>0.125</v>
      </c>
      <c r="L1068" s="2"/>
      <c r="M1068" s="2"/>
      <c r="N1068" s="2"/>
      <c r="O1068" s="2">
        <f t="shared" si="866"/>
        <v>28.99</v>
      </c>
      <c r="P1068" s="2">
        <f t="shared" si="867"/>
        <v>28.99</v>
      </c>
      <c r="Q1068" s="2">
        <f t="shared" si="904"/>
        <v>0</v>
      </c>
      <c r="R1068" s="2">
        <f t="shared" si="868"/>
        <v>0</v>
      </c>
      <c r="S1068" s="2">
        <f t="shared" si="869"/>
        <v>0</v>
      </c>
      <c r="T1068" s="2">
        <f t="shared" si="870"/>
        <v>0</v>
      </c>
      <c r="U1068" s="2">
        <f t="shared" si="871"/>
        <v>0</v>
      </c>
      <c r="V1068" s="2">
        <f t="shared" si="872"/>
        <v>0</v>
      </c>
      <c r="W1068" s="2">
        <f t="shared" si="873"/>
        <v>0</v>
      </c>
      <c r="X1068" s="2">
        <f t="shared" si="874"/>
        <v>0</v>
      </c>
      <c r="Y1068" s="2">
        <f t="shared" si="875"/>
        <v>0</v>
      </c>
      <c r="Z1068" s="2"/>
      <c r="AA1068" s="2">
        <v>129761636</v>
      </c>
      <c r="AB1068" s="2">
        <f t="shared" si="876"/>
        <v>144.94</v>
      </c>
      <c r="AC1068" s="2">
        <f t="shared" si="877"/>
        <v>144.94</v>
      </c>
      <c r="AD1068" s="2">
        <f t="shared" si="905"/>
        <v>0</v>
      </c>
      <c r="AE1068" s="2">
        <f t="shared" si="906"/>
        <v>0</v>
      </c>
      <c r="AF1068" s="2">
        <f t="shared" si="906"/>
        <v>0</v>
      </c>
      <c r="AG1068" s="2">
        <f t="shared" si="878"/>
        <v>0</v>
      </c>
      <c r="AH1068" s="2">
        <f t="shared" si="907"/>
        <v>0</v>
      </c>
      <c r="AI1068" s="2">
        <f t="shared" si="907"/>
        <v>0</v>
      </c>
      <c r="AJ1068" s="2">
        <f t="shared" si="879"/>
        <v>0</v>
      </c>
      <c r="AK1068" s="2">
        <v>144.94</v>
      </c>
      <c r="AL1068" s="2">
        <v>144.94</v>
      </c>
      <c r="AM1068" s="2">
        <v>0</v>
      </c>
      <c r="AN1068" s="2">
        <v>0</v>
      </c>
      <c r="AO1068" s="2">
        <v>0</v>
      </c>
      <c r="AP1068" s="2">
        <v>0</v>
      </c>
      <c r="AQ1068" s="2">
        <v>0</v>
      </c>
      <c r="AR1068" s="2">
        <v>0</v>
      </c>
      <c r="AS1068" s="2">
        <v>0</v>
      </c>
      <c r="AT1068" s="2">
        <v>91</v>
      </c>
      <c r="AU1068" s="2">
        <v>70</v>
      </c>
      <c r="AV1068" s="2">
        <v>1</v>
      </c>
      <c r="AW1068" s="2">
        <v>1</v>
      </c>
      <c r="AX1068" s="2"/>
      <c r="AY1068" s="2"/>
      <c r="AZ1068" s="2">
        <v>1</v>
      </c>
      <c r="BA1068" s="2">
        <v>1</v>
      </c>
      <c r="BB1068" s="2">
        <v>1</v>
      </c>
      <c r="BC1068" s="2">
        <v>1</v>
      </c>
      <c r="BD1068" s="2" t="s">
        <v>3</v>
      </c>
      <c r="BE1068" s="2" t="s">
        <v>3</v>
      </c>
      <c r="BF1068" s="2" t="s">
        <v>3</v>
      </c>
      <c r="BG1068" s="2" t="s">
        <v>3</v>
      </c>
      <c r="BH1068" s="2">
        <v>3</v>
      </c>
      <c r="BI1068" s="2">
        <v>1</v>
      </c>
      <c r="BJ1068" s="2" t="s">
        <v>871</v>
      </c>
      <c r="BK1068" s="2"/>
      <c r="BL1068" s="2"/>
      <c r="BM1068" s="2">
        <v>143</v>
      </c>
      <c r="BN1068" s="2">
        <v>0</v>
      </c>
      <c r="BO1068" s="2" t="s">
        <v>3</v>
      </c>
      <c r="BP1068" s="2">
        <v>0</v>
      </c>
      <c r="BQ1068" s="2">
        <v>30</v>
      </c>
      <c r="BR1068" s="2">
        <v>0</v>
      </c>
      <c r="BS1068" s="2">
        <v>1</v>
      </c>
      <c r="BT1068" s="2">
        <v>1</v>
      </c>
      <c r="BU1068" s="2">
        <v>1</v>
      </c>
      <c r="BV1068" s="2">
        <v>1</v>
      </c>
      <c r="BW1068" s="2">
        <v>1</v>
      </c>
      <c r="BX1068" s="2">
        <v>1</v>
      </c>
      <c r="BY1068" s="2" t="s">
        <v>3</v>
      </c>
      <c r="BZ1068" s="2">
        <v>91</v>
      </c>
      <c r="CA1068" s="2">
        <v>70</v>
      </c>
      <c r="CB1068" s="2" t="s">
        <v>3</v>
      </c>
      <c r="CC1068" s="2"/>
      <c r="CD1068" s="2"/>
      <c r="CE1068" s="2">
        <v>30</v>
      </c>
      <c r="CF1068" s="2">
        <v>0</v>
      </c>
      <c r="CG1068" s="2">
        <v>0</v>
      </c>
      <c r="CH1068" s="2"/>
      <c r="CI1068" s="2"/>
      <c r="CJ1068" s="2"/>
      <c r="CK1068" s="2"/>
      <c r="CL1068" s="2"/>
      <c r="CM1068" s="2">
        <v>0</v>
      </c>
      <c r="CN1068" s="2" t="s">
        <v>3</v>
      </c>
      <c r="CO1068" s="2">
        <v>0</v>
      </c>
      <c r="CP1068" s="2">
        <f t="shared" si="880"/>
        <v>28.99</v>
      </c>
      <c r="CQ1068" s="2">
        <f t="shared" si="881"/>
        <v>144.94</v>
      </c>
      <c r="CR1068" s="2">
        <f t="shared" si="908"/>
        <v>0</v>
      </c>
      <c r="CS1068" s="2">
        <f t="shared" si="882"/>
        <v>0</v>
      </c>
      <c r="CT1068" s="2">
        <f t="shared" si="883"/>
        <v>0</v>
      </c>
      <c r="CU1068" s="2">
        <f t="shared" si="884"/>
        <v>0</v>
      </c>
      <c r="CV1068" s="2">
        <f t="shared" si="885"/>
        <v>0</v>
      </c>
      <c r="CW1068" s="2">
        <f t="shared" si="886"/>
        <v>0</v>
      </c>
      <c r="CX1068" s="2">
        <f t="shared" si="887"/>
        <v>0</v>
      </c>
      <c r="CY1068" s="2">
        <f>((S1068*BZ1068)/100)</f>
        <v>0</v>
      </c>
      <c r="CZ1068" s="2">
        <f>((S1068*CA1068)/100)</f>
        <v>0</v>
      </c>
      <c r="DA1068" s="2"/>
      <c r="DB1068" s="2"/>
      <c r="DC1068" s="2" t="s">
        <v>3</v>
      </c>
      <c r="DD1068" s="2" t="s">
        <v>3</v>
      </c>
      <c r="DE1068" s="2" t="s">
        <v>3</v>
      </c>
      <c r="DF1068" s="2" t="s">
        <v>3</v>
      </c>
      <c r="DG1068" s="2" t="s">
        <v>3</v>
      </c>
      <c r="DH1068" s="2" t="s">
        <v>3</v>
      </c>
      <c r="DI1068" s="2" t="s">
        <v>3</v>
      </c>
      <c r="DJ1068" s="2" t="s">
        <v>3</v>
      </c>
      <c r="DK1068" s="2" t="s">
        <v>3</v>
      </c>
      <c r="DL1068" s="2" t="s">
        <v>3</v>
      </c>
      <c r="DM1068" s="2" t="s">
        <v>3</v>
      </c>
      <c r="DN1068" s="2">
        <v>0</v>
      </c>
      <c r="DO1068" s="2">
        <v>0</v>
      </c>
      <c r="DP1068" s="2">
        <v>1</v>
      </c>
      <c r="DQ1068" s="2">
        <v>1</v>
      </c>
      <c r="DR1068" s="2"/>
      <c r="DS1068" s="2"/>
      <c r="DT1068" s="2"/>
      <c r="DU1068" s="2">
        <v>1002</v>
      </c>
      <c r="DV1068" s="2" t="s">
        <v>870</v>
      </c>
      <c r="DW1068" s="2" t="s">
        <v>870</v>
      </c>
      <c r="DX1068" s="2">
        <v>1</v>
      </c>
      <c r="DY1068" s="2"/>
      <c r="DZ1068" s="2" t="s">
        <v>3</v>
      </c>
      <c r="EA1068" s="2" t="s">
        <v>3</v>
      </c>
      <c r="EB1068" s="2" t="s">
        <v>3</v>
      </c>
      <c r="EC1068" s="2" t="s">
        <v>3</v>
      </c>
      <c r="ED1068" s="2"/>
      <c r="EE1068" s="2">
        <v>126051604</v>
      </c>
      <c r="EF1068" s="2">
        <v>30</v>
      </c>
      <c r="EG1068" s="2" t="s">
        <v>23</v>
      </c>
      <c r="EH1068" s="2">
        <v>0</v>
      </c>
      <c r="EI1068" s="2" t="s">
        <v>3</v>
      </c>
      <c r="EJ1068" s="2">
        <v>1</v>
      </c>
      <c r="EK1068" s="2">
        <v>143</v>
      </c>
      <c r="EL1068" s="2" t="s">
        <v>859</v>
      </c>
      <c r="EM1068" s="2" t="s">
        <v>860</v>
      </c>
      <c r="EN1068" s="2"/>
      <c r="EO1068" s="2" t="s">
        <v>3</v>
      </c>
      <c r="EP1068" s="2"/>
      <c r="EQ1068" s="2">
        <v>0</v>
      </c>
      <c r="ER1068" s="2">
        <v>144.94</v>
      </c>
      <c r="ES1068" s="2">
        <v>144.94</v>
      </c>
      <c r="ET1068" s="2">
        <v>0</v>
      </c>
      <c r="EU1068" s="2">
        <v>0</v>
      </c>
      <c r="EV1068" s="2">
        <v>0</v>
      </c>
      <c r="EW1068" s="2">
        <v>0</v>
      </c>
      <c r="EX1068" s="2">
        <v>0</v>
      </c>
      <c r="EY1068" s="2"/>
      <c r="EZ1068" s="2"/>
      <c r="FA1068" s="2"/>
      <c r="FB1068" s="2"/>
      <c r="FC1068" s="2"/>
      <c r="FD1068" s="2"/>
      <c r="FE1068" s="2"/>
      <c r="FF1068" s="2"/>
      <c r="FG1068" s="2"/>
      <c r="FH1068" s="2"/>
      <c r="FI1068" s="2"/>
      <c r="FJ1068" s="2"/>
      <c r="FK1068" s="2"/>
      <c r="FL1068" s="2"/>
      <c r="FM1068" s="2"/>
      <c r="FN1068" s="2"/>
      <c r="FO1068" s="2"/>
      <c r="FP1068" s="2"/>
      <c r="FQ1068" s="2">
        <v>0</v>
      </c>
      <c r="FR1068" s="2">
        <f t="shared" si="888"/>
        <v>0</v>
      </c>
      <c r="FS1068" s="2">
        <v>0</v>
      </c>
      <c r="FT1068" s="2"/>
      <c r="FU1068" s="2"/>
      <c r="FV1068" s="2"/>
      <c r="FW1068" s="2"/>
      <c r="FX1068" s="2">
        <v>91</v>
      </c>
      <c r="FY1068" s="2">
        <v>70</v>
      </c>
      <c r="FZ1068" s="2"/>
      <c r="GA1068" s="2" t="s">
        <v>3</v>
      </c>
      <c r="GB1068" s="2"/>
      <c r="GC1068" s="2"/>
      <c r="GD1068" s="2">
        <v>0</v>
      </c>
      <c r="GE1068" s="2"/>
      <c r="GF1068" s="2">
        <v>1055545440</v>
      </c>
      <c r="GG1068" s="2">
        <v>2</v>
      </c>
      <c r="GH1068" s="2">
        <v>1</v>
      </c>
      <c r="GI1068" s="2">
        <v>-2</v>
      </c>
      <c r="GJ1068" s="2">
        <v>0</v>
      </c>
      <c r="GK1068" s="2">
        <f>ROUND(R1068*(R12)/100,2)</f>
        <v>0</v>
      </c>
      <c r="GL1068" s="2">
        <f t="shared" si="889"/>
        <v>0</v>
      </c>
      <c r="GM1068" s="2">
        <f t="shared" si="890"/>
        <v>28.99</v>
      </c>
      <c r="GN1068" s="2">
        <f t="shared" si="891"/>
        <v>28.99</v>
      </c>
      <c r="GO1068" s="2">
        <f t="shared" si="892"/>
        <v>0</v>
      </c>
      <c r="GP1068" s="2">
        <f t="shared" si="893"/>
        <v>0</v>
      </c>
      <c r="GQ1068" s="2"/>
      <c r="GR1068" s="2">
        <v>0</v>
      </c>
      <c r="GS1068" s="2">
        <v>0</v>
      </c>
      <c r="GT1068" s="2">
        <v>0</v>
      </c>
      <c r="GU1068" s="2" t="s">
        <v>3</v>
      </c>
      <c r="GV1068" s="2">
        <f t="shared" si="894"/>
        <v>0</v>
      </c>
      <c r="GW1068" s="2">
        <v>1</v>
      </c>
      <c r="GX1068" s="2">
        <f t="shared" si="895"/>
        <v>0</v>
      </c>
      <c r="GY1068" s="2"/>
      <c r="GZ1068" s="2"/>
      <c r="HA1068" s="2">
        <v>0</v>
      </c>
      <c r="HB1068" s="2">
        <v>0</v>
      </c>
      <c r="HC1068" s="2">
        <f t="shared" si="896"/>
        <v>0</v>
      </c>
      <c r="HD1068" s="2"/>
      <c r="HE1068" s="2" t="s">
        <v>3</v>
      </c>
      <c r="HF1068" s="2" t="s">
        <v>3</v>
      </c>
      <c r="HG1068" s="2"/>
      <c r="HH1068" s="2"/>
      <c r="HI1068" s="2"/>
      <c r="HJ1068" s="2"/>
      <c r="HK1068" s="2"/>
      <c r="HL1068" s="2"/>
      <c r="HM1068" s="2" t="s">
        <v>3</v>
      </c>
      <c r="HN1068" s="2" t="s">
        <v>3</v>
      </c>
      <c r="HO1068" s="2" t="s">
        <v>3</v>
      </c>
      <c r="HP1068" s="2" t="s">
        <v>3</v>
      </c>
      <c r="HQ1068" s="2" t="s">
        <v>3</v>
      </c>
      <c r="HR1068" s="2"/>
      <c r="HS1068" s="2"/>
      <c r="HT1068" s="2"/>
      <c r="HU1068" s="2"/>
      <c r="HV1068" s="2"/>
      <c r="HW1068" s="2"/>
      <c r="HX1068" s="2"/>
      <c r="HY1068" s="2"/>
      <c r="HZ1068" s="2"/>
      <c r="IA1068" s="2"/>
      <c r="IB1068" s="2"/>
      <c r="IC1068" s="2"/>
      <c r="ID1068" s="2"/>
      <c r="IE1068" s="2"/>
      <c r="IF1068" s="2"/>
      <c r="IG1068" s="2"/>
      <c r="IH1068" s="2"/>
      <c r="II1068" s="2"/>
      <c r="IJ1068" s="2"/>
      <c r="IK1068" s="2">
        <v>0</v>
      </c>
      <c r="IL1068" s="2"/>
      <c r="IM1068" s="2"/>
      <c r="IN1068" s="2"/>
      <c r="IO1068" s="2"/>
      <c r="IP1068" s="2"/>
      <c r="IQ1068" s="2"/>
      <c r="IR1068" s="2"/>
      <c r="IS1068" s="2"/>
      <c r="IT1068" s="2"/>
      <c r="IU1068" s="2"/>
    </row>
    <row r="1069" spans="1:255" x14ac:dyDescent="0.2">
      <c r="A1069">
        <v>18</v>
      </c>
      <c r="B1069">
        <v>1</v>
      </c>
      <c r="C1069">
        <v>884</v>
      </c>
      <c r="E1069" t="s">
        <v>867</v>
      </c>
      <c r="F1069" t="s">
        <v>868</v>
      </c>
      <c r="G1069" t="s">
        <v>869</v>
      </c>
      <c r="H1069" t="s">
        <v>870</v>
      </c>
      <c r="I1069">
        <f>I1063*J1069</f>
        <v>0.2</v>
      </c>
      <c r="J1069">
        <v>0.125</v>
      </c>
      <c r="K1069">
        <v>0.125</v>
      </c>
      <c r="O1069">
        <f t="shared" si="866"/>
        <v>190.17</v>
      </c>
      <c r="P1069">
        <f t="shared" si="867"/>
        <v>190.17</v>
      </c>
      <c r="Q1069">
        <f t="shared" si="904"/>
        <v>0</v>
      </c>
      <c r="R1069">
        <f t="shared" si="868"/>
        <v>0</v>
      </c>
      <c r="S1069">
        <f t="shared" si="869"/>
        <v>0</v>
      </c>
      <c r="T1069">
        <f t="shared" si="870"/>
        <v>0</v>
      </c>
      <c r="U1069">
        <f t="shared" si="871"/>
        <v>0</v>
      </c>
      <c r="V1069">
        <f t="shared" si="872"/>
        <v>0</v>
      </c>
      <c r="W1069">
        <f t="shared" si="873"/>
        <v>0</v>
      </c>
      <c r="X1069">
        <f t="shared" si="874"/>
        <v>0</v>
      </c>
      <c r="Y1069">
        <f t="shared" si="875"/>
        <v>0</v>
      </c>
      <c r="AA1069">
        <v>129761633</v>
      </c>
      <c r="AB1069">
        <f t="shared" si="876"/>
        <v>144.94</v>
      </c>
      <c r="AC1069">
        <f t="shared" si="877"/>
        <v>144.94</v>
      </c>
      <c r="AD1069">
        <f t="shared" si="905"/>
        <v>0</v>
      </c>
      <c r="AE1069">
        <f t="shared" si="906"/>
        <v>0</v>
      </c>
      <c r="AF1069">
        <f t="shared" si="906"/>
        <v>0</v>
      </c>
      <c r="AG1069">
        <f t="shared" si="878"/>
        <v>0</v>
      </c>
      <c r="AH1069">
        <f t="shared" si="907"/>
        <v>0</v>
      </c>
      <c r="AI1069">
        <f t="shared" si="907"/>
        <v>0</v>
      </c>
      <c r="AJ1069">
        <f t="shared" si="879"/>
        <v>0</v>
      </c>
      <c r="AK1069">
        <v>144.94</v>
      </c>
      <c r="AL1069">
        <v>144.94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1</v>
      </c>
      <c r="AW1069">
        <v>1</v>
      </c>
      <c r="AZ1069">
        <v>1</v>
      </c>
      <c r="BA1069">
        <v>1</v>
      </c>
      <c r="BB1069">
        <v>1</v>
      </c>
      <c r="BC1069">
        <v>6.56</v>
      </c>
      <c r="BD1069" t="s">
        <v>3</v>
      </c>
      <c r="BE1069" t="s">
        <v>3</v>
      </c>
      <c r="BF1069" t="s">
        <v>3</v>
      </c>
      <c r="BG1069" t="s">
        <v>3</v>
      </c>
      <c r="BH1069">
        <v>3</v>
      </c>
      <c r="BI1069">
        <v>1</v>
      </c>
      <c r="BJ1069" t="s">
        <v>871</v>
      </c>
      <c r="BM1069">
        <v>143</v>
      </c>
      <c r="BN1069">
        <v>0</v>
      </c>
      <c r="BO1069" t="s">
        <v>868</v>
      </c>
      <c r="BP1069">
        <v>1</v>
      </c>
      <c r="BQ1069">
        <v>30</v>
      </c>
      <c r="BR1069">
        <v>0</v>
      </c>
      <c r="BS1069">
        <v>1</v>
      </c>
      <c r="BT1069">
        <v>1</v>
      </c>
      <c r="BU1069">
        <v>1</v>
      </c>
      <c r="BV1069">
        <v>1</v>
      </c>
      <c r="BW1069">
        <v>1</v>
      </c>
      <c r="BX1069">
        <v>1</v>
      </c>
      <c r="BY1069" t="s">
        <v>3</v>
      </c>
      <c r="BZ1069">
        <v>0</v>
      </c>
      <c r="CA1069">
        <v>0</v>
      </c>
      <c r="CB1069" t="s">
        <v>3</v>
      </c>
      <c r="CE1069">
        <v>30</v>
      </c>
      <c r="CF1069">
        <v>0</v>
      </c>
      <c r="CG1069">
        <v>0</v>
      </c>
      <c r="CM1069">
        <v>0</v>
      </c>
      <c r="CN1069" t="s">
        <v>3</v>
      </c>
      <c r="CO1069">
        <v>0</v>
      </c>
      <c r="CP1069">
        <f t="shared" si="880"/>
        <v>190.17</v>
      </c>
      <c r="CQ1069">
        <f t="shared" si="881"/>
        <v>950.81</v>
      </c>
      <c r="CR1069">
        <f t="shared" si="908"/>
        <v>0</v>
      </c>
      <c r="CS1069">
        <f t="shared" si="882"/>
        <v>0</v>
      </c>
      <c r="CT1069">
        <f t="shared" si="883"/>
        <v>0</v>
      </c>
      <c r="CU1069">
        <f t="shared" si="884"/>
        <v>0</v>
      </c>
      <c r="CV1069">
        <f t="shared" si="885"/>
        <v>0</v>
      </c>
      <c r="CW1069">
        <f t="shared" si="886"/>
        <v>0</v>
      </c>
      <c r="CX1069">
        <f t="shared" si="887"/>
        <v>0</v>
      </c>
      <c r="CY1069">
        <f>S1069*(BZ1069/100)</f>
        <v>0</v>
      </c>
      <c r="CZ1069">
        <f>S1069*(CA1069/100)</f>
        <v>0</v>
      </c>
      <c r="DC1069" t="s">
        <v>3</v>
      </c>
      <c r="DD1069" t="s">
        <v>3</v>
      </c>
      <c r="DE1069" t="s">
        <v>3</v>
      </c>
      <c r="DF1069" t="s">
        <v>3</v>
      </c>
      <c r="DG1069" t="s">
        <v>3</v>
      </c>
      <c r="DH1069" t="s">
        <v>3</v>
      </c>
      <c r="DI1069" t="s">
        <v>3</v>
      </c>
      <c r="DJ1069" t="s">
        <v>3</v>
      </c>
      <c r="DK1069" t="s">
        <v>3</v>
      </c>
      <c r="DL1069" t="s">
        <v>3</v>
      </c>
      <c r="DM1069" t="s">
        <v>3</v>
      </c>
      <c r="DN1069">
        <v>91</v>
      </c>
      <c r="DO1069">
        <v>70</v>
      </c>
      <c r="DP1069">
        <v>1</v>
      </c>
      <c r="DQ1069">
        <v>1</v>
      </c>
      <c r="DU1069">
        <v>1002</v>
      </c>
      <c r="DV1069" t="s">
        <v>870</v>
      </c>
      <c r="DW1069" t="s">
        <v>870</v>
      </c>
      <c r="DX1069">
        <v>1</v>
      </c>
      <c r="DZ1069" t="s">
        <v>3</v>
      </c>
      <c r="EA1069" t="s">
        <v>3</v>
      </c>
      <c r="EB1069" t="s">
        <v>3</v>
      </c>
      <c r="EC1069" t="s">
        <v>3</v>
      </c>
      <c r="EE1069">
        <v>126051604</v>
      </c>
      <c r="EF1069">
        <v>30</v>
      </c>
      <c r="EG1069" t="s">
        <v>23</v>
      </c>
      <c r="EH1069">
        <v>0</v>
      </c>
      <c r="EI1069" t="s">
        <v>3</v>
      </c>
      <c r="EJ1069">
        <v>1</v>
      </c>
      <c r="EK1069">
        <v>143</v>
      </c>
      <c r="EL1069" t="s">
        <v>859</v>
      </c>
      <c r="EM1069" t="s">
        <v>860</v>
      </c>
      <c r="EO1069" t="s">
        <v>3</v>
      </c>
      <c r="EQ1069">
        <v>0</v>
      </c>
      <c r="ER1069">
        <v>144.94</v>
      </c>
      <c r="ES1069">
        <v>144.94</v>
      </c>
      <c r="ET1069">
        <v>0</v>
      </c>
      <c r="EU1069">
        <v>0</v>
      </c>
      <c r="EV1069">
        <v>0</v>
      </c>
      <c r="EW1069">
        <v>0</v>
      </c>
      <c r="EX1069">
        <v>0</v>
      </c>
      <c r="FQ1069">
        <v>0</v>
      </c>
      <c r="FR1069">
        <f t="shared" si="888"/>
        <v>0</v>
      </c>
      <c r="FS1069">
        <v>0</v>
      </c>
      <c r="FX1069">
        <v>91</v>
      </c>
      <c r="FY1069">
        <v>70</v>
      </c>
      <c r="GA1069" t="s">
        <v>3</v>
      </c>
      <c r="GD1069">
        <v>0</v>
      </c>
      <c r="GF1069">
        <v>1055545440</v>
      </c>
      <c r="GG1069">
        <v>2</v>
      </c>
      <c r="GH1069">
        <v>1</v>
      </c>
      <c r="GI1069">
        <v>2</v>
      </c>
      <c r="GJ1069">
        <v>0</v>
      </c>
      <c r="GK1069">
        <f>ROUND(R1069*(S12)/100,2)</f>
        <v>0</v>
      </c>
      <c r="GL1069">
        <f t="shared" si="889"/>
        <v>0</v>
      </c>
      <c r="GM1069">
        <f t="shared" si="890"/>
        <v>190.17</v>
      </c>
      <c r="GN1069">
        <f t="shared" si="891"/>
        <v>190.17</v>
      </c>
      <c r="GO1069">
        <f t="shared" si="892"/>
        <v>0</v>
      </c>
      <c r="GP1069">
        <f t="shared" si="893"/>
        <v>0</v>
      </c>
      <c r="GR1069">
        <v>0</v>
      </c>
      <c r="GS1069">
        <v>3</v>
      </c>
      <c r="GT1069">
        <v>0</v>
      </c>
      <c r="GU1069" t="s">
        <v>3</v>
      </c>
      <c r="GV1069">
        <f t="shared" si="894"/>
        <v>0</v>
      </c>
      <c r="GW1069">
        <v>1</v>
      </c>
      <c r="GX1069">
        <f t="shared" si="895"/>
        <v>0</v>
      </c>
      <c r="HA1069">
        <v>0</v>
      </c>
      <c r="HB1069">
        <v>0</v>
      </c>
      <c r="HC1069">
        <f t="shared" si="896"/>
        <v>0</v>
      </c>
      <c r="HE1069" t="s">
        <v>3</v>
      </c>
      <c r="HF1069" t="s">
        <v>3</v>
      </c>
      <c r="HM1069" t="s">
        <v>3</v>
      </c>
      <c r="HN1069" t="s">
        <v>3</v>
      </c>
      <c r="HO1069" t="s">
        <v>3</v>
      </c>
      <c r="HP1069" t="s">
        <v>3</v>
      </c>
      <c r="HQ1069" t="s">
        <v>3</v>
      </c>
      <c r="IK1069">
        <v>0</v>
      </c>
    </row>
    <row r="1070" spans="1:255" x14ac:dyDescent="0.2">
      <c r="A1070" s="2">
        <v>17</v>
      </c>
      <c r="B1070" s="2">
        <v>1</v>
      </c>
      <c r="C1070" s="2">
        <f>ROW(SmtRes!A891)</f>
        <v>891</v>
      </c>
      <c r="D1070" s="2">
        <f>ROW(EtalonRes!A860)</f>
        <v>860</v>
      </c>
      <c r="E1070" s="2" t="s">
        <v>176</v>
      </c>
      <c r="F1070" s="2" t="s">
        <v>872</v>
      </c>
      <c r="G1070" s="2" t="s">
        <v>873</v>
      </c>
      <c r="H1070" s="2" t="s">
        <v>874</v>
      </c>
      <c r="I1070" s="2">
        <v>5.0000000000000001E-3</v>
      </c>
      <c r="J1070" s="2">
        <v>0</v>
      </c>
      <c r="K1070" s="2">
        <v>5.0000000000000001E-3</v>
      </c>
      <c r="L1070" s="2"/>
      <c r="M1070" s="2"/>
      <c r="N1070" s="2"/>
      <c r="O1070" s="2">
        <f t="shared" si="866"/>
        <v>2.4500000000000002</v>
      </c>
      <c r="P1070" s="2">
        <f t="shared" si="867"/>
        <v>0</v>
      </c>
      <c r="Q1070" s="2">
        <f>(ROUND((ROUND((((ET1070*1.25))*AV1070*I1070),2)*BB1070),2)+ROUND((ROUND(((AE1070-((EU1070*1.25)))*AV1070*I1070),2)*BS1070),2))</f>
        <v>0</v>
      </c>
      <c r="R1070" s="2">
        <f t="shared" si="868"/>
        <v>0</v>
      </c>
      <c r="S1070" s="2">
        <f t="shared" si="869"/>
        <v>2.4500000000000002</v>
      </c>
      <c r="T1070" s="2">
        <f t="shared" si="870"/>
        <v>0</v>
      </c>
      <c r="U1070" s="2">
        <f t="shared" si="871"/>
        <v>0.19377500000000003</v>
      </c>
      <c r="V1070" s="2">
        <f t="shared" si="872"/>
        <v>0</v>
      </c>
      <c r="W1070" s="2">
        <f t="shared" si="873"/>
        <v>0</v>
      </c>
      <c r="X1070" s="2">
        <f t="shared" si="874"/>
        <v>2.7</v>
      </c>
      <c r="Y1070" s="2">
        <f t="shared" si="875"/>
        <v>1.81</v>
      </c>
      <c r="Z1070" s="2"/>
      <c r="AA1070" s="2">
        <v>129761636</v>
      </c>
      <c r="AB1070" s="2">
        <f t="shared" si="876"/>
        <v>489.08350000000002</v>
      </c>
      <c r="AC1070" s="2">
        <f t="shared" si="877"/>
        <v>0</v>
      </c>
      <c r="AD1070" s="2">
        <f>ROUND(((((ET1070*1.25))-((EU1070*1.25)))+AE1070),6)</f>
        <v>0</v>
      </c>
      <c r="AE1070" s="2">
        <f>ROUND(((EU1070*1.25)),6)</f>
        <v>0</v>
      </c>
      <c r="AF1070" s="2">
        <f>ROUND(((EV1070*1.15)),6)</f>
        <v>489.08350000000002</v>
      </c>
      <c r="AG1070" s="2">
        <f t="shared" si="878"/>
        <v>0</v>
      </c>
      <c r="AH1070" s="2">
        <f>((EW1070*1.15))</f>
        <v>38.755000000000003</v>
      </c>
      <c r="AI1070" s="2">
        <f>((EX1070*1.25))</f>
        <v>0</v>
      </c>
      <c r="AJ1070" s="2">
        <f t="shared" si="879"/>
        <v>0</v>
      </c>
      <c r="AK1070" s="2">
        <v>425.29</v>
      </c>
      <c r="AL1070" s="2">
        <v>0</v>
      </c>
      <c r="AM1070" s="2">
        <v>0</v>
      </c>
      <c r="AN1070" s="2">
        <v>0</v>
      </c>
      <c r="AO1070" s="2">
        <v>425.29</v>
      </c>
      <c r="AP1070" s="2">
        <v>0</v>
      </c>
      <c r="AQ1070" s="2">
        <v>33.700000000000003</v>
      </c>
      <c r="AR1070" s="2">
        <v>0</v>
      </c>
      <c r="AS1070" s="2">
        <v>0</v>
      </c>
      <c r="AT1070" s="2">
        <v>110</v>
      </c>
      <c r="AU1070" s="2">
        <v>74</v>
      </c>
      <c r="AV1070" s="2">
        <v>1</v>
      </c>
      <c r="AW1070" s="2">
        <v>1</v>
      </c>
      <c r="AX1070" s="2"/>
      <c r="AY1070" s="2"/>
      <c r="AZ1070" s="2">
        <v>1</v>
      </c>
      <c r="BA1070" s="2">
        <v>1</v>
      </c>
      <c r="BB1070" s="2">
        <v>1</v>
      </c>
      <c r="BC1070" s="2">
        <v>1</v>
      </c>
      <c r="BD1070" s="2" t="s">
        <v>3</v>
      </c>
      <c r="BE1070" s="2" t="s">
        <v>3</v>
      </c>
      <c r="BF1070" s="2" t="s">
        <v>3</v>
      </c>
      <c r="BG1070" s="2" t="s">
        <v>3</v>
      </c>
      <c r="BH1070" s="2">
        <v>0</v>
      </c>
      <c r="BI1070" s="2">
        <v>1</v>
      </c>
      <c r="BJ1070" s="2" t="s">
        <v>875</v>
      </c>
      <c r="BK1070" s="2"/>
      <c r="BL1070" s="2"/>
      <c r="BM1070" s="2">
        <v>1623</v>
      </c>
      <c r="BN1070" s="2">
        <v>0</v>
      </c>
      <c r="BO1070" s="2" t="s">
        <v>3</v>
      </c>
      <c r="BP1070" s="2">
        <v>0</v>
      </c>
      <c r="BQ1070" s="2">
        <v>30</v>
      </c>
      <c r="BR1070" s="2">
        <v>0</v>
      </c>
      <c r="BS1070" s="2">
        <v>1</v>
      </c>
      <c r="BT1070" s="2">
        <v>1</v>
      </c>
      <c r="BU1070" s="2">
        <v>1</v>
      </c>
      <c r="BV1070" s="2">
        <v>1</v>
      </c>
      <c r="BW1070" s="2">
        <v>1</v>
      </c>
      <c r="BX1070" s="2">
        <v>1</v>
      </c>
      <c r="BY1070" s="2" t="s">
        <v>3</v>
      </c>
      <c r="BZ1070" s="2">
        <v>110</v>
      </c>
      <c r="CA1070" s="2">
        <v>74</v>
      </c>
      <c r="CB1070" s="2" t="s">
        <v>3</v>
      </c>
      <c r="CC1070" s="2"/>
      <c r="CD1070" s="2"/>
      <c r="CE1070" s="2">
        <v>30</v>
      </c>
      <c r="CF1070" s="2">
        <v>0</v>
      </c>
      <c r="CG1070" s="2">
        <v>0</v>
      </c>
      <c r="CH1070" s="2"/>
      <c r="CI1070" s="2"/>
      <c r="CJ1070" s="2"/>
      <c r="CK1070" s="2"/>
      <c r="CL1070" s="2"/>
      <c r="CM1070" s="2">
        <v>0</v>
      </c>
      <c r="CN1070" s="2" t="s">
        <v>1559</v>
      </c>
      <c r="CO1070" s="2">
        <v>0</v>
      </c>
      <c r="CP1070" s="2">
        <f t="shared" si="880"/>
        <v>2.4500000000000002</v>
      </c>
      <c r="CQ1070" s="2">
        <f t="shared" si="881"/>
        <v>0</v>
      </c>
      <c r="CR1070" s="2">
        <f>(ROUND((ROUND((((ET1070*1.25))*AV1070*1),2)*BB1070),2)+ROUND((ROUND(((AE1070-((EU1070*1.25)))*AV1070*1),2)*BS1070),2))</f>
        <v>0</v>
      </c>
      <c r="CS1070" s="2">
        <f t="shared" si="882"/>
        <v>0</v>
      </c>
      <c r="CT1070" s="2">
        <f t="shared" si="883"/>
        <v>489.08</v>
      </c>
      <c r="CU1070" s="2">
        <f t="shared" si="884"/>
        <v>0</v>
      </c>
      <c r="CV1070" s="2">
        <f t="shared" si="885"/>
        <v>38.755000000000003</v>
      </c>
      <c r="CW1070" s="2">
        <f t="shared" si="886"/>
        <v>0</v>
      </c>
      <c r="CX1070" s="2">
        <f t="shared" si="887"/>
        <v>0</v>
      </c>
      <c r="CY1070" s="2">
        <f>((S1070*BZ1070)/100)</f>
        <v>2.6949999999999998</v>
      </c>
      <c r="CZ1070" s="2">
        <f>((S1070*CA1070)/100)</f>
        <v>1.8130000000000002</v>
      </c>
      <c r="DA1070" s="2"/>
      <c r="DB1070" s="2"/>
      <c r="DC1070" s="2" t="s">
        <v>3</v>
      </c>
      <c r="DD1070" s="2" t="s">
        <v>3</v>
      </c>
      <c r="DE1070" s="2" t="s">
        <v>86</v>
      </c>
      <c r="DF1070" s="2" t="s">
        <v>86</v>
      </c>
      <c r="DG1070" s="2" t="s">
        <v>87</v>
      </c>
      <c r="DH1070" s="2" t="s">
        <v>3</v>
      </c>
      <c r="DI1070" s="2" t="s">
        <v>87</v>
      </c>
      <c r="DJ1070" s="2" t="s">
        <v>86</v>
      </c>
      <c r="DK1070" s="2" t="s">
        <v>3</v>
      </c>
      <c r="DL1070" s="2" t="s">
        <v>3</v>
      </c>
      <c r="DM1070" s="2" t="s">
        <v>3</v>
      </c>
      <c r="DN1070" s="2">
        <v>0</v>
      </c>
      <c r="DO1070" s="2">
        <v>0</v>
      </c>
      <c r="DP1070" s="2">
        <v>1</v>
      </c>
      <c r="DQ1070" s="2">
        <v>1</v>
      </c>
      <c r="DR1070" s="2"/>
      <c r="DS1070" s="2"/>
      <c r="DT1070" s="2"/>
      <c r="DU1070" s="2">
        <v>1013</v>
      </c>
      <c r="DV1070" s="2" t="s">
        <v>874</v>
      </c>
      <c r="DW1070" s="2" t="s">
        <v>874</v>
      </c>
      <c r="DX1070" s="2">
        <v>1</v>
      </c>
      <c r="DY1070" s="2"/>
      <c r="DZ1070" s="2" t="s">
        <v>3</v>
      </c>
      <c r="EA1070" s="2" t="s">
        <v>3</v>
      </c>
      <c r="EB1070" s="2" t="s">
        <v>3</v>
      </c>
      <c r="EC1070" s="2" t="s">
        <v>3</v>
      </c>
      <c r="ED1070" s="2"/>
      <c r="EE1070" s="2">
        <v>126053084</v>
      </c>
      <c r="EF1070" s="2">
        <v>30</v>
      </c>
      <c r="EG1070" s="2" t="s">
        <v>23</v>
      </c>
      <c r="EH1070" s="2">
        <v>0</v>
      </c>
      <c r="EI1070" s="2" t="s">
        <v>3</v>
      </c>
      <c r="EJ1070" s="2">
        <v>1</v>
      </c>
      <c r="EK1070" s="2">
        <v>1623</v>
      </c>
      <c r="EL1070" s="2" t="s">
        <v>824</v>
      </c>
      <c r="EM1070" s="2" t="s">
        <v>825</v>
      </c>
      <c r="EN1070" s="2"/>
      <c r="EO1070" s="2" t="s">
        <v>90</v>
      </c>
      <c r="EP1070" s="2"/>
      <c r="EQ1070" s="2">
        <v>131072</v>
      </c>
      <c r="ER1070" s="2">
        <v>425.29</v>
      </c>
      <c r="ES1070" s="2">
        <v>0</v>
      </c>
      <c r="ET1070" s="2">
        <v>0</v>
      </c>
      <c r="EU1070" s="2">
        <v>0</v>
      </c>
      <c r="EV1070" s="2">
        <v>425.29</v>
      </c>
      <c r="EW1070" s="2">
        <v>33.700000000000003</v>
      </c>
      <c r="EX1070" s="2">
        <v>0</v>
      </c>
      <c r="EY1070" s="2">
        <v>0</v>
      </c>
      <c r="EZ1070" s="2"/>
      <c r="FA1070" s="2"/>
      <c r="FB1070" s="2"/>
      <c r="FC1070" s="2"/>
      <c r="FD1070" s="2"/>
      <c r="FE1070" s="2"/>
      <c r="FF1070" s="2"/>
      <c r="FG1070" s="2"/>
      <c r="FH1070" s="2"/>
      <c r="FI1070" s="2"/>
      <c r="FJ1070" s="2"/>
      <c r="FK1070" s="2"/>
      <c r="FL1070" s="2"/>
      <c r="FM1070" s="2"/>
      <c r="FN1070" s="2"/>
      <c r="FO1070" s="2"/>
      <c r="FP1070" s="2"/>
      <c r="FQ1070" s="2">
        <v>0</v>
      </c>
      <c r="FR1070" s="2">
        <f t="shared" si="888"/>
        <v>0</v>
      </c>
      <c r="FS1070" s="2">
        <v>0</v>
      </c>
      <c r="FT1070" s="2"/>
      <c r="FU1070" s="2"/>
      <c r="FV1070" s="2"/>
      <c r="FW1070" s="2"/>
      <c r="FX1070" s="2">
        <v>110</v>
      </c>
      <c r="FY1070" s="2">
        <v>74</v>
      </c>
      <c r="FZ1070" s="2"/>
      <c r="GA1070" s="2" t="s">
        <v>3</v>
      </c>
      <c r="GB1070" s="2"/>
      <c r="GC1070" s="2"/>
      <c r="GD1070" s="2">
        <v>0</v>
      </c>
      <c r="GE1070" s="2"/>
      <c r="GF1070" s="2">
        <v>-460763688</v>
      </c>
      <c r="GG1070" s="2">
        <v>2</v>
      </c>
      <c r="GH1070" s="2">
        <v>1</v>
      </c>
      <c r="GI1070" s="2">
        <v>-2</v>
      </c>
      <c r="GJ1070" s="2">
        <v>0</v>
      </c>
      <c r="GK1070" s="2">
        <f>ROUND(R1070*(R12)/100,2)</f>
        <v>0</v>
      </c>
      <c r="GL1070" s="2">
        <f t="shared" si="889"/>
        <v>0</v>
      </c>
      <c r="GM1070" s="2">
        <f t="shared" si="890"/>
        <v>6.96</v>
      </c>
      <c r="GN1070" s="2">
        <f t="shared" si="891"/>
        <v>6.96</v>
      </c>
      <c r="GO1070" s="2">
        <f t="shared" si="892"/>
        <v>0</v>
      </c>
      <c r="GP1070" s="2">
        <f t="shared" si="893"/>
        <v>0</v>
      </c>
      <c r="GQ1070" s="2"/>
      <c r="GR1070" s="2">
        <v>0</v>
      </c>
      <c r="GS1070" s="2">
        <v>0</v>
      </c>
      <c r="GT1070" s="2">
        <v>0</v>
      </c>
      <c r="GU1070" s="2" t="s">
        <v>3</v>
      </c>
      <c r="GV1070" s="2">
        <f t="shared" si="894"/>
        <v>0</v>
      </c>
      <c r="GW1070" s="2">
        <v>1</v>
      </c>
      <c r="GX1070" s="2">
        <f t="shared" si="895"/>
        <v>0</v>
      </c>
      <c r="GY1070" s="2"/>
      <c r="GZ1070" s="2"/>
      <c r="HA1070" s="2">
        <v>0</v>
      </c>
      <c r="HB1070" s="2">
        <v>0</v>
      </c>
      <c r="HC1070" s="2">
        <f t="shared" si="896"/>
        <v>0</v>
      </c>
      <c r="HD1070" s="2"/>
      <c r="HE1070" s="2" t="s">
        <v>3</v>
      </c>
      <c r="HF1070" s="2" t="s">
        <v>3</v>
      </c>
      <c r="HG1070" s="2"/>
      <c r="HH1070" s="2"/>
      <c r="HI1070" s="2"/>
      <c r="HJ1070" s="2"/>
      <c r="HK1070" s="2"/>
      <c r="HL1070" s="2"/>
      <c r="HM1070" s="2" t="s">
        <v>3</v>
      </c>
      <c r="HN1070" s="2" t="s">
        <v>3</v>
      </c>
      <c r="HO1070" s="2" t="s">
        <v>3</v>
      </c>
      <c r="HP1070" s="2" t="s">
        <v>3</v>
      </c>
      <c r="HQ1070" s="2" t="s">
        <v>3</v>
      </c>
      <c r="HR1070" s="2"/>
      <c r="HS1070" s="2"/>
      <c r="HT1070" s="2"/>
      <c r="HU1070" s="2"/>
      <c r="HV1070" s="2"/>
      <c r="HW1070" s="2"/>
      <c r="HX1070" s="2"/>
      <c r="HY1070" s="2"/>
      <c r="HZ1070" s="2"/>
      <c r="IA1070" s="2"/>
      <c r="IB1070" s="2"/>
      <c r="IC1070" s="2"/>
      <c r="ID1070" s="2"/>
      <c r="IE1070" s="2"/>
      <c r="IF1070" s="2"/>
      <c r="IG1070" s="2"/>
      <c r="IH1070" s="2"/>
      <c r="II1070" s="2"/>
      <c r="IJ1070" s="2"/>
      <c r="IK1070" s="2">
        <v>0</v>
      </c>
      <c r="IL1070" s="2"/>
      <c r="IM1070" s="2"/>
      <c r="IN1070" s="2"/>
      <c r="IO1070" s="2"/>
      <c r="IP1070" s="2"/>
      <c r="IQ1070" s="2"/>
      <c r="IR1070" s="2"/>
      <c r="IS1070" s="2"/>
      <c r="IT1070" s="2"/>
      <c r="IU1070" s="2"/>
    </row>
    <row r="1071" spans="1:255" x14ac:dyDescent="0.2">
      <c r="A1071">
        <v>17</v>
      </c>
      <c r="B1071">
        <v>1</v>
      </c>
      <c r="C1071">
        <f>ROW(SmtRes!A894)</f>
        <v>894</v>
      </c>
      <c r="D1071">
        <f>ROW(EtalonRes!A862)</f>
        <v>862</v>
      </c>
      <c r="E1071" t="s">
        <v>176</v>
      </c>
      <c r="F1071" t="s">
        <v>872</v>
      </c>
      <c r="G1071" t="s">
        <v>873</v>
      </c>
      <c r="H1071" t="s">
        <v>874</v>
      </c>
      <c r="I1071">
        <v>5.0000000000000001E-3</v>
      </c>
      <c r="J1071">
        <v>0</v>
      </c>
      <c r="K1071">
        <v>5.0000000000000001E-3</v>
      </c>
      <c r="O1071">
        <f t="shared" si="866"/>
        <v>71.12</v>
      </c>
      <c r="P1071">
        <f t="shared" si="867"/>
        <v>0</v>
      </c>
      <c r="Q1071">
        <f>(ROUND((ROUND((((ET1071*1.25))*AV1071*I1071),2)*BB1071),2)+ROUND((ROUND(((AE1071-((EU1071*1.25)))*AV1071*I1071),2)*BS1071),2))</f>
        <v>0</v>
      </c>
      <c r="R1071">
        <f t="shared" si="868"/>
        <v>0</v>
      </c>
      <c r="S1071">
        <f t="shared" si="869"/>
        <v>71.12</v>
      </c>
      <c r="T1071">
        <f t="shared" si="870"/>
        <v>0</v>
      </c>
      <c r="U1071">
        <f t="shared" si="871"/>
        <v>0.19377500000000003</v>
      </c>
      <c r="V1071">
        <f t="shared" si="872"/>
        <v>0</v>
      </c>
      <c r="W1071">
        <f t="shared" si="873"/>
        <v>0</v>
      </c>
      <c r="X1071">
        <f t="shared" si="874"/>
        <v>64.010000000000005</v>
      </c>
      <c r="Y1071">
        <f t="shared" si="875"/>
        <v>29.16</v>
      </c>
      <c r="AA1071">
        <v>129761633</v>
      </c>
      <c r="AB1071">
        <f t="shared" si="876"/>
        <v>489.08350000000002</v>
      </c>
      <c r="AC1071">
        <f t="shared" si="877"/>
        <v>0</v>
      </c>
      <c r="AD1071">
        <f>ROUND(((((ET1071*1.25))-((EU1071*1.25)))+AE1071),6)</f>
        <v>0</v>
      </c>
      <c r="AE1071">
        <f>ROUND(((EU1071*1.25)),6)</f>
        <v>0</v>
      </c>
      <c r="AF1071">
        <f>ROUND(((EV1071*1.15)),6)</f>
        <v>489.08350000000002</v>
      </c>
      <c r="AG1071">
        <f t="shared" si="878"/>
        <v>0</v>
      </c>
      <c r="AH1071">
        <f>((EW1071*1.15))</f>
        <v>38.755000000000003</v>
      </c>
      <c r="AI1071">
        <f>((EX1071*1.25))</f>
        <v>0</v>
      </c>
      <c r="AJ1071">
        <f t="shared" si="879"/>
        <v>0</v>
      </c>
      <c r="AK1071">
        <v>425.29</v>
      </c>
      <c r="AL1071">
        <v>0</v>
      </c>
      <c r="AM1071">
        <v>0</v>
      </c>
      <c r="AN1071">
        <v>0</v>
      </c>
      <c r="AO1071">
        <v>425.29</v>
      </c>
      <c r="AP1071">
        <v>0</v>
      </c>
      <c r="AQ1071">
        <v>33.700000000000003</v>
      </c>
      <c r="AR1071">
        <v>0</v>
      </c>
      <c r="AS1071">
        <v>0</v>
      </c>
      <c r="AT1071">
        <v>90</v>
      </c>
      <c r="AU1071">
        <v>41</v>
      </c>
      <c r="AV1071">
        <v>1</v>
      </c>
      <c r="AW1071">
        <v>1</v>
      </c>
      <c r="AZ1071">
        <v>1</v>
      </c>
      <c r="BA1071">
        <v>29.03</v>
      </c>
      <c r="BB1071">
        <v>1</v>
      </c>
      <c r="BC1071">
        <v>1</v>
      </c>
      <c r="BD1071" t="s">
        <v>3</v>
      </c>
      <c r="BE1071" t="s">
        <v>3</v>
      </c>
      <c r="BF1071" t="s">
        <v>3</v>
      </c>
      <c r="BG1071" t="s">
        <v>3</v>
      </c>
      <c r="BH1071">
        <v>0</v>
      </c>
      <c r="BI1071">
        <v>1</v>
      </c>
      <c r="BJ1071" t="s">
        <v>875</v>
      </c>
      <c r="BM1071">
        <v>1623</v>
      </c>
      <c r="BN1071">
        <v>0</v>
      </c>
      <c r="BO1071" t="s">
        <v>872</v>
      </c>
      <c r="BP1071">
        <v>1</v>
      </c>
      <c r="BQ1071">
        <v>30</v>
      </c>
      <c r="BR1071">
        <v>0</v>
      </c>
      <c r="BS1071">
        <v>29.03</v>
      </c>
      <c r="BT1071">
        <v>1</v>
      </c>
      <c r="BU1071">
        <v>1</v>
      </c>
      <c r="BV1071">
        <v>1</v>
      </c>
      <c r="BW1071">
        <v>1</v>
      </c>
      <c r="BX1071">
        <v>1</v>
      </c>
      <c r="BY1071" t="s">
        <v>3</v>
      </c>
      <c r="BZ1071">
        <v>90</v>
      </c>
      <c r="CA1071">
        <v>41</v>
      </c>
      <c r="CB1071" t="s">
        <v>3</v>
      </c>
      <c r="CE1071">
        <v>30</v>
      </c>
      <c r="CF1071">
        <v>0</v>
      </c>
      <c r="CG1071">
        <v>0</v>
      </c>
      <c r="CM1071">
        <v>0</v>
      </c>
      <c r="CN1071" t="s">
        <v>1559</v>
      </c>
      <c r="CO1071">
        <v>0</v>
      </c>
      <c r="CP1071">
        <f t="shared" si="880"/>
        <v>71.12</v>
      </c>
      <c r="CQ1071">
        <f t="shared" si="881"/>
        <v>0</v>
      </c>
      <c r="CR1071">
        <f>(ROUND((ROUND((((ET1071*1.25))*AV1071*1),2)*BB1071),2)+ROUND((ROUND(((AE1071-((EU1071*1.25)))*AV1071*1),2)*BS1071),2))</f>
        <v>0</v>
      </c>
      <c r="CS1071">
        <f t="shared" si="882"/>
        <v>0</v>
      </c>
      <c r="CT1071">
        <f t="shared" si="883"/>
        <v>14197.99</v>
      </c>
      <c r="CU1071">
        <f t="shared" si="884"/>
        <v>0</v>
      </c>
      <c r="CV1071">
        <f t="shared" si="885"/>
        <v>38.755000000000003</v>
      </c>
      <c r="CW1071">
        <f t="shared" si="886"/>
        <v>0</v>
      </c>
      <c r="CX1071">
        <f t="shared" si="887"/>
        <v>0</v>
      </c>
      <c r="CY1071">
        <f>S1071*(BZ1071/100)</f>
        <v>64.00800000000001</v>
      </c>
      <c r="CZ1071">
        <f>S1071*(CA1071/100)</f>
        <v>29.159199999999998</v>
      </c>
      <c r="DC1071" t="s">
        <v>3</v>
      </c>
      <c r="DD1071" t="s">
        <v>3</v>
      </c>
      <c r="DE1071" t="s">
        <v>86</v>
      </c>
      <c r="DF1071" t="s">
        <v>86</v>
      </c>
      <c r="DG1071" t="s">
        <v>87</v>
      </c>
      <c r="DH1071" t="s">
        <v>3</v>
      </c>
      <c r="DI1071" t="s">
        <v>87</v>
      </c>
      <c r="DJ1071" t="s">
        <v>86</v>
      </c>
      <c r="DK1071" t="s">
        <v>3</v>
      </c>
      <c r="DL1071" t="s">
        <v>3</v>
      </c>
      <c r="DM1071" t="s">
        <v>3</v>
      </c>
      <c r="DN1071">
        <v>110</v>
      </c>
      <c r="DO1071">
        <v>74</v>
      </c>
      <c r="DP1071">
        <v>1</v>
      </c>
      <c r="DQ1071">
        <v>1</v>
      </c>
      <c r="DU1071">
        <v>1013</v>
      </c>
      <c r="DV1071" t="s">
        <v>874</v>
      </c>
      <c r="DW1071" t="s">
        <v>874</v>
      </c>
      <c r="DX1071">
        <v>1</v>
      </c>
      <c r="DZ1071" t="s">
        <v>3</v>
      </c>
      <c r="EA1071" t="s">
        <v>3</v>
      </c>
      <c r="EB1071" t="s">
        <v>3</v>
      </c>
      <c r="EC1071" t="s">
        <v>3</v>
      </c>
      <c r="EE1071">
        <v>126053084</v>
      </c>
      <c r="EF1071">
        <v>30</v>
      </c>
      <c r="EG1071" t="s">
        <v>23</v>
      </c>
      <c r="EH1071">
        <v>0</v>
      </c>
      <c r="EI1071" t="s">
        <v>3</v>
      </c>
      <c r="EJ1071">
        <v>1</v>
      </c>
      <c r="EK1071">
        <v>1623</v>
      </c>
      <c r="EL1071" t="s">
        <v>824</v>
      </c>
      <c r="EM1071" t="s">
        <v>825</v>
      </c>
      <c r="EO1071" t="s">
        <v>90</v>
      </c>
      <c r="EQ1071">
        <v>131072</v>
      </c>
      <c r="ER1071">
        <v>425.29</v>
      </c>
      <c r="ES1071">
        <v>0</v>
      </c>
      <c r="ET1071">
        <v>0</v>
      </c>
      <c r="EU1071">
        <v>0</v>
      </c>
      <c r="EV1071">
        <v>425.29</v>
      </c>
      <c r="EW1071">
        <v>33.700000000000003</v>
      </c>
      <c r="EX1071">
        <v>0</v>
      </c>
      <c r="EY1071">
        <v>0</v>
      </c>
      <c r="FQ1071">
        <v>0</v>
      </c>
      <c r="FR1071">
        <f t="shared" si="888"/>
        <v>0</v>
      </c>
      <c r="FS1071">
        <v>0</v>
      </c>
      <c r="FX1071">
        <v>110</v>
      </c>
      <c r="FY1071">
        <v>74</v>
      </c>
      <c r="GA1071" t="s">
        <v>3</v>
      </c>
      <c r="GD1071">
        <v>0</v>
      </c>
      <c r="GF1071">
        <v>-460763688</v>
      </c>
      <c r="GG1071">
        <v>2</v>
      </c>
      <c r="GH1071">
        <v>1</v>
      </c>
      <c r="GI1071">
        <v>2</v>
      </c>
      <c r="GJ1071">
        <v>0</v>
      </c>
      <c r="GK1071">
        <f>ROUND(R1071*(S12)/100,2)</f>
        <v>0</v>
      </c>
      <c r="GL1071">
        <f t="shared" si="889"/>
        <v>0</v>
      </c>
      <c r="GM1071">
        <f t="shared" si="890"/>
        <v>164.29</v>
      </c>
      <c r="GN1071">
        <f t="shared" si="891"/>
        <v>164.29</v>
      </c>
      <c r="GO1071">
        <f t="shared" si="892"/>
        <v>0</v>
      </c>
      <c r="GP1071">
        <f t="shared" si="893"/>
        <v>0</v>
      </c>
      <c r="GR1071">
        <v>0</v>
      </c>
      <c r="GS1071">
        <v>3</v>
      </c>
      <c r="GT1071">
        <v>0</v>
      </c>
      <c r="GU1071" t="s">
        <v>3</v>
      </c>
      <c r="GV1071">
        <f t="shared" si="894"/>
        <v>0</v>
      </c>
      <c r="GW1071">
        <v>1</v>
      </c>
      <c r="GX1071">
        <f t="shared" si="895"/>
        <v>0</v>
      </c>
      <c r="HA1071">
        <v>0</v>
      </c>
      <c r="HB1071">
        <v>0</v>
      </c>
      <c r="HC1071">
        <f t="shared" si="896"/>
        <v>0</v>
      </c>
      <c r="HE1071" t="s">
        <v>3</v>
      </c>
      <c r="HF1071" t="s">
        <v>3</v>
      </c>
      <c r="HM1071" t="s">
        <v>3</v>
      </c>
      <c r="HN1071" t="s">
        <v>3</v>
      </c>
      <c r="HO1071" t="s">
        <v>3</v>
      </c>
      <c r="HP1071" t="s">
        <v>3</v>
      </c>
      <c r="HQ1071" t="s">
        <v>3</v>
      </c>
      <c r="IK1071">
        <v>0</v>
      </c>
    </row>
    <row r="1072" spans="1:255" x14ac:dyDescent="0.2">
      <c r="A1072" s="2">
        <v>18</v>
      </c>
      <c r="B1072" s="2">
        <v>1</v>
      </c>
      <c r="C1072" s="2">
        <v>890</v>
      </c>
      <c r="D1072" s="2"/>
      <c r="E1072" s="2" t="s">
        <v>548</v>
      </c>
      <c r="F1072" s="2" t="s">
        <v>876</v>
      </c>
      <c r="G1072" s="2" t="s">
        <v>877</v>
      </c>
      <c r="H1072" s="2" t="s">
        <v>238</v>
      </c>
      <c r="I1072" s="2">
        <f>I1070*J1072</f>
        <v>1</v>
      </c>
      <c r="J1072" s="2">
        <v>200</v>
      </c>
      <c r="K1072" s="2">
        <v>200</v>
      </c>
      <c r="L1072" s="2"/>
      <c r="M1072" s="2"/>
      <c r="N1072" s="2"/>
      <c r="O1072" s="2">
        <f t="shared" si="866"/>
        <v>15.74</v>
      </c>
      <c r="P1072" s="2">
        <f t="shared" si="867"/>
        <v>15.74</v>
      </c>
      <c r="Q1072" s="2">
        <f>(ROUND((ROUND(((ET1072)*AV1072*I1072),2)*BB1072),2)+ROUND((ROUND(((AE1072-(EU1072))*AV1072*I1072),2)*BS1072),2))</f>
        <v>0</v>
      </c>
      <c r="R1072" s="2">
        <f t="shared" si="868"/>
        <v>0</v>
      </c>
      <c r="S1072" s="2">
        <f t="shared" si="869"/>
        <v>0</v>
      </c>
      <c r="T1072" s="2">
        <f t="shared" si="870"/>
        <v>0</v>
      </c>
      <c r="U1072" s="2">
        <f t="shared" si="871"/>
        <v>0</v>
      </c>
      <c r="V1072" s="2">
        <f t="shared" si="872"/>
        <v>0</v>
      </c>
      <c r="W1072" s="2">
        <f t="shared" si="873"/>
        <v>0</v>
      </c>
      <c r="X1072" s="2">
        <f t="shared" si="874"/>
        <v>0</v>
      </c>
      <c r="Y1072" s="2">
        <f t="shared" si="875"/>
        <v>0</v>
      </c>
      <c r="Z1072" s="2"/>
      <c r="AA1072" s="2">
        <v>129761636</v>
      </c>
      <c r="AB1072" s="2">
        <f t="shared" si="876"/>
        <v>15.74</v>
      </c>
      <c r="AC1072" s="2">
        <f t="shared" si="877"/>
        <v>15.74</v>
      </c>
      <c r="AD1072" s="2">
        <f>ROUND((((ET1072)-(EU1072))+AE1072),6)</f>
        <v>0</v>
      </c>
      <c r="AE1072" s="2">
        <f t="shared" ref="AE1072:AF1075" si="909">ROUND((EU1072),6)</f>
        <v>0</v>
      </c>
      <c r="AF1072" s="2">
        <f t="shared" si="909"/>
        <v>0</v>
      </c>
      <c r="AG1072" s="2">
        <f t="shared" si="878"/>
        <v>0</v>
      </c>
      <c r="AH1072" s="2">
        <f t="shared" ref="AH1072:AI1075" si="910">(EW1072)</f>
        <v>0</v>
      </c>
      <c r="AI1072" s="2">
        <f t="shared" si="910"/>
        <v>0</v>
      </c>
      <c r="AJ1072" s="2">
        <f t="shared" si="879"/>
        <v>0</v>
      </c>
      <c r="AK1072" s="2">
        <v>15.74</v>
      </c>
      <c r="AL1072" s="2">
        <v>15.74</v>
      </c>
      <c r="AM1072" s="2">
        <v>0</v>
      </c>
      <c r="AN1072" s="2">
        <v>0</v>
      </c>
      <c r="AO1072" s="2">
        <v>0</v>
      </c>
      <c r="AP1072" s="2">
        <v>0</v>
      </c>
      <c r="AQ1072" s="2">
        <v>0</v>
      </c>
      <c r="AR1072" s="2">
        <v>0</v>
      </c>
      <c r="AS1072" s="2">
        <v>0</v>
      </c>
      <c r="AT1072" s="2">
        <v>110</v>
      </c>
      <c r="AU1072" s="2">
        <v>74</v>
      </c>
      <c r="AV1072" s="2">
        <v>1</v>
      </c>
      <c r="AW1072" s="2">
        <v>1</v>
      </c>
      <c r="AX1072" s="2"/>
      <c r="AY1072" s="2"/>
      <c r="AZ1072" s="2">
        <v>1</v>
      </c>
      <c r="BA1072" s="2">
        <v>1</v>
      </c>
      <c r="BB1072" s="2">
        <v>1</v>
      </c>
      <c r="BC1072" s="2">
        <v>1</v>
      </c>
      <c r="BD1072" s="2" t="s">
        <v>3</v>
      </c>
      <c r="BE1072" s="2" t="s">
        <v>3</v>
      </c>
      <c r="BF1072" s="2" t="s">
        <v>3</v>
      </c>
      <c r="BG1072" s="2" t="s">
        <v>3</v>
      </c>
      <c r="BH1072" s="2">
        <v>3</v>
      </c>
      <c r="BI1072" s="2">
        <v>1</v>
      </c>
      <c r="BJ1072" s="2" t="s">
        <v>878</v>
      </c>
      <c r="BK1072" s="2"/>
      <c r="BL1072" s="2"/>
      <c r="BM1072" s="2">
        <v>1623</v>
      </c>
      <c r="BN1072" s="2">
        <v>0</v>
      </c>
      <c r="BO1072" s="2" t="s">
        <v>3</v>
      </c>
      <c r="BP1072" s="2">
        <v>0</v>
      </c>
      <c r="BQ1072" s="2">
        <v>30</v>
      </c>
      <c r="BR1072" s="2">
        <v>0</v>
      </c>
      <c r="BS1072" s="2">
        <v>1</v>
      </c>
      <c r="BT1072" s="2">
        <v>1</v>
      </c>
      <c r="BU1072" s="2">
        <v>1</v>
      </c>
      <c r="BV1072" s="2">
        <v>1</v>
      </c>
      <c r="BW1072" s="2">
        <v>1</v>
      </c>
      <c r="BX1072" s="2">
        <v>1</v>
      </c>
      <c r="BY1072" s="2" t="s">
        <v>3</v>
      </c>
      <c r="BZ1072" s="2">
        <v>110</v>
      </c>
      <c r="CA1072" s="2">
        <v>74</v>
      </c>
      <c r="CB1072" s="2" t="s">
        <v>3</v>
      </c>
      <c r="CC1072" s="2"/>
      <c r="CD1072" s="2"/>
      <c r="CE1072" s="2">
        <v>30</v>
      </c>
      <c r="CF1072" s="2">
        <v>0</v>
      </c>
      <c r="CG1072" s="2">
        <v>0</v>
      </c>
      <c r="CH1072" s="2"/>
      <c r="CI1072" s="2"/>
      <c r="CJ1072" s="2"/>
      <c r="CK1072" s="2"/>
      <c r="CL1072" s="2"/>
      <c r="CM1072" s="2">
        <v>0</v>
      </c>
      <c r="CN1072" s="2" t="s">
        <v>3</v>
      </c>
      <c r="CO1072" s="2">
        <v>0</v>
      </c>
      <c r="CP1072" s="2">
        <f t="shared" si="880"/>
        <v>15.74</v>
      </c>
      <c r="CQ1072" s="2">
        <f t="shared" si="881"/>
        <v>15.74</v>
      </c>
      <c r="CR1072" s="2">
        <f>(ROUND((ROUND(((ET1072)*AV1072*1),2)*BB1072),2)+ROUND((ROUND(((AE1072-(EU1072))*AV1072*1),2)*BS1072),2))</f>
        <v>0</v>
      </c>
      <c r="CS1072" s="2">
        <f t="shared" si="882"/>
        <v>0</v>
      </c>
      <c r="CT1072" s="2">
        <f t="shared" si="883"/>
        <v>0</v>
      </c>
      <c r="CU1072" s="2">
        <f t="shared" si="884"/>
        <v>0</v>
      </c>
      <c r="CV1072" s="2">
        <f t="shared" si="885"/>
        <v>0</v>
      </c>
      <c r="CW1072" s="2">
        <f t="shared" si="886"/>
        <v>0</v>
      </c>
      <c r="CX1072" s="2">
        <f t="shared" si="887"/>
        <v>0</v>
      </c>
      <c r="CY1072" s="2">
        <f>((S1072*BZ1072)/100)</f>
        <v>0</v>
      </c>
      <c r="CZ1072" s="2">
        <f>((S1072*CA1072)/100)</f>
        <v>0</v>
      </c>
      <c r="DA1072" s="2"/>
      <c r="DB1072" s="2"/>
      <c r="DC1072" s="2" t="s">
        <v>3</v>
      </c>
      <c r="DD1072" s="2" t="s">
        <v>3</v>
      </c>
      <c r="DE1072" s="2" t="s">
        <v>3</v>
      </c>
      <c r="DF1072" s="2" t="s">
        <v>3</v>
      </c>
      <c r="DG1072" s="2" t="s">
        <v>3</v>
      </c>
      <c r="DH1072" s="2" t="s">
        <v>3</v>
      </c>
      <c r="DI1072" s="2" t="s">
        <v>3</v>
      </c>
      <c r="DJ1072" s="2" t="s">
        <v>3</v>
      </c>
      <c r="DK1072" s="2" t="s">
        <v>3</v>
      </c>
      <c r="DL1072" s="2" t="s">
        <v>3</v>
      </c>
      <c r="DM1072" s="2" t="s">
        <v>3</v>
      </c>
      <c r="DN1072" s="2">
        <v>0</v>
      </c>
      <c r="DO1072" s="2">
        <v>0</v>
      </c>
      <c r="DP1072" s="2">
        <v>1</v>
      </c>
      <c r="DQ1072" s="2">
        <v>1</v>
      </c>
      <c r="DR1072" s="2"/>
      <c r="DS1072" s="2"/>
      <c r="DT1072" s="2"/>
      <c r="DU1072" s="2">
        <v>1013</v>
      </c>
      <c r="DV1072" s="2" t="s">
        <v>238</v>
      </c>
      <c r="DW1072" s="2" t="s">
        <v>238</v>
      </c>
      <c r="DX1072" s="2">
        <v>1</v>
      </c>
      <c r="DY1072" s="2"/>
      <c r="DZ1072" s="2" t="s">
        <v>3</v>
      </c>
      <c r="EA1072" s="2" t="s">
        <v>3</v>
      </c>
      <c r="EB1072" s="2" t="s">
        <v>3</v>
      </c>
      <c r="EC1072" s="2" t="s">
        <v>3</v>
      </c>
      <c r="ED1072" s="2"/>
      <c r="EE1072" s="2">
        <v>126053084</v>
      </c>
      <c r="EF1072" s="2">
        <v>30</v>
      </c>
      <c r="EG1072" s="2" t="s">
        <v>23</v>
      </c>
      <c r="EH1072" s="2">
        <v>0</v>
      </c>
      <c r="EI1072" s="2" t="s">
        <v>3</v>
      </c>
      <c r="EJ1072" s="2">
        <v>1</v>
      </c>
      <c r="EK1072" s="2">
        <v>1623</v>
      </c>
      <c r="EL1072" s="2" t="s">
        <v>824</v>
      </c>
      <c r="EM1072" s="2" t="s">
        <v>825</v>
      </c>
      <c r="EN1072" s="2"/>
      <c r="EO1072" s="2" t="s">
        <v>3</v>
      </c>
      <c r="EP1072" s="2"/>
      <c r="EQ1072" s="2">
        <v>0</v>
      </c>
      <c r="ER1072" s="2">
        <v>15.74</v>
      </c>
      <c r="ES1072" s="2">
        <v>15.74</v>
      </c>
      <c r="ET1072" s="2">
        <v>0</v>
      </c>
      <c r="EU1072" s="2">
        <v>0</v>
      </c>
      <c r="EV1072" s="2">
        <v>0</v>
      </c>
      <c r="EW1072" s="2">
        <v>0</v>
      </c>
      <c r="EX1072" s="2">
        <v>0</v>
      </c>
      <c r="EY1072" s="2"/>
      <c r="EZ1072" s="2"/>
      <c r="FA1072" s="2"/>
      <c r="FB1072" s="2"/>
      <c r="FC1072" s="2"/>
      <c r="FD1072" s="2"/>
      <c r="FE1072" s="2"/>
      <c r="FF1072" s="2"/>
      <c r="FG1072" s="2"/>
      <c r="FH1072" s="2"/>
      <c r="FI1072" s="2"/>
      <c r="FJ1072" s="2"/>
      <c r="FK1072" s="2"/>
      <c r="FL1072" s="2"/>
      <c r="FM1072" s="2"/>
      <c r="FN1072" s="2"/>
      <c r="FO1072" s="2"/>
      <c r="FP1072" s="2"/>
      <c r="FQ1072" s="2">
        <v>0</v>
      </c>
      <c r="FR1072" s="2">
        <f t="shared" si="888"/>
        <v>0</v>
      </c>
      <c r="FS1072" s="2">
        <v>0</v>
      </c>
      <c r="FT1072" s="2"/>
      <c r="FU1072" s="2"/>
      <c r="FV1072" s="2"/>
      <c r="FW1072" s="2"/>
      <c r="FX1072" s="2">
        <v>110</v>
      </c>
      <c r="FY1072" s="2">
        <v>74</v>
      </c>
      <c r="FZ1072" s="2"/>
      <c r="GA1072" s="2" t="s">
        <v>3</v>
      </c>
      <c r="GB1072" s="2"/>
      <c r="GC1072" s="2"/>
      <c r="GD1072" s="2">
        <v>0</v>
      </c>
      <c r="GE1072" s="2"/>
      <c r="GF1072" s="2">
        <v>-711005652</v>
      </c>
      <c r="GG1072" s="2">
        <v>2</v>
      </c>
      <c r="GH1072" s="2">
        <v>1</v>
      </c>
      <c r="GI1072" s="2">
        <v>-2</v>
      </c>
      <c r="GJ1072" s="2">
        <v>0</v>
      </c>
      <c r="GK1072" s="2">
        <f>ROUND(R1072*(R12)/100,2)</f>
        <v>0</v>
      </c>
      <c r="GL1072" s="2">
        <f t="shared" si="889"/>
        <v>0</v>
      </c>
      <c r="GM1072" s="2">
        <f t="shared" si="890"/>
        <v>15.74</v>
      </c>
      <c r="GN1072" s="2">
        <f t="shared" si="891"/>
        <v>15.74</v>
      </c>
      <c r="GO1072" s="2">
        <f t="shared" si="892"/>
        <v>0</v>
      </c>
      <c r="GP1072" s="2">
        <f t="shared" si="893"/>
        <v>0</v>
      </c>
      <c r="GQ1072" s="2"/>
      <c r="GR1072" s="2">
        <v>0</v>
      </c>
      <c r="GS1072" s="2">
        <v>0</v>
      </c>
      <c r="GT1072" s="2">
        <v>0</v>
      </c>
      <c r="GU1072" s="2" t="s">
        <v>3</v>
      </c>
      <c r="GV1072" s="2">
        <f t="shared" si="894"/>
        <v>0</v>
      </c>
      <c r="GW1072" s="2">
        <v>1</v>
      </c>
      <c r="GX1072" s="2">
        <f t="shared" si="895"/>
        <v>0</v>
      </c>
      <c r="GY1072" s="2"/>
      <c r="GZ1072" s="2"/>
      <c r="HA1072" s="2">
        <v>0</v>
      </c>
      <c r="HB1072" s="2">
        <v>0</v>
      </c>
      <c r="HC1072" s="2">
        <f t="shared" si="896"/>
        <v>0</v>
      </c>
      <c r="HD1072" s="2"/>
      <c r="HE1072" s="2" t="s">
        <v>3</v>
      </c>
      <c r="HF1072" s="2" t="s">
        <v>3</v>
      </c>
      <c r="HG1072" s="2"/>
      <c r="HH1072" s="2"/>
      <c r="HI1072" s="2"/>
      <c r="HJ1072" s="2"/>
      <c r="HK1072" s="2"/>
      <c r="HL1072" s="2"/>
      <c r="HM1072" s="2" t="s">
        <v>3</v>
      </c>
      <c r="HN1072" s="2" t="s">
        <v>3</v>
      </c>
      <c r="HO1072" s="2" t="s">
        <v>3</v>
      </c>
      <c r="HP1072" s="2" t="s">
        <v>3</v>
      </c>
      <c r="HQ1072" s="2" t="s">
        <v>3</v>
      </c>
      <c r="HR1072" s="2"/>
      <c r="HS1072" s="2"/>
      <c r="HT1072" s="2"/>
      <c r="HU1072" s="2"/>
      <c r="HV1072" s="2"/>
      <c r="HW1072" s="2"/>
      <c r="HX1072" s="2"/>
      <c r="HY1072" s="2"/>
      <c r="HZ1072" s="2"/>
      <c r="IA1072" s="2"/>
      <c r="IB1072" s="2"/>
      <c r="IC1072" s="2"/>
      <c r="ID1072" s="2"/>
      <c r="IE1072" s="2"/>
      <c r="IF1072" s="2"/>
      <c r="IG1072" s="2"/>
      <c r="IH1072" s="2"/>
      <c r="II1072" s="2"/>
      <c r="IJ1072" s="2"/>
      <c r="IK1072" s="2">
        <v>0</v>
      </c>
      <c r="IL1072" s="2"/>
      <c r="IM1072" s="2"/>
      <c r="IN1072" s="2"/>
      <c r="IO1072" s="2"/>
      <c r="IP1072" s="2"/>
      <c r="IQ1072" s="2"/>
      <c r="IR1072" s="2"/>
      <c r="IS1072" s="2"/>
      <c r="IT1072" s="2"/>
      <c r="IU1072" s="2"/>
    </row>
    <row r="1073" spans="1:255" x14ac:dyDescent="0.2">
      <c r="A1073">
        <v>18</v>
      </c>
      <c r="B1073">
        <v>1</v>
      </c>
      <c r="C1073">
        <v>893</v>
      </c>
      <c r="E1073" t="s">
        <v>548</v>
      </c>
      <c r="F1073" t="s">
        <v>876</v>
      </c>
      <c r="G1073" t="s">
        <v>877</v>
      </c>
      <c r="H1073" t="s">
        <v>238</v>
      </c>
      <c r="I1073">
        <f>I1071*J1073</f>
        <v>1</v>
      </c>
      <c r="J1073">
        <v>200</v>
      </c>
      <c r="K1073">
        <v>200</v>
      </c>
      <c r="O1073">
        <f t="shared" si="866"/>
        <v>81.22</v>
      </c>
      <c r="P1073">
        <f t="shared" si="867"/>
        <v>81.22</v>
      </c>
      <c r="Q1073">
        <f>(ROUND((ROUND(((ET1073)*AV1073*I1073),2)*BB1073),2)+ROUND((ROUND(((AE1073-(EU1073))*AV1073*I1073),2)*BS1073),2))</f>
        <v>0</v>
      </c>
      <c r="R1073">
        <f t="shared" si="868"/>
        <v>0</v>
      </c>
      <c r="S1073">
        <f t="shared" si="869"/>
        <v>0</v>
      </c>
      <c r="T1073">
        <f t="shared" si="870"/>
        <v>0</v>
      </c>
      <c r="U1073">
        <f t="shared" si="871"/>
        <v>0</v>
      </c>
      <c r="V1073">
        <f t="shared" si="872"/>
        <v>0</v>
      </c>
      <c r="W1073">
        <f t="shared" si="873"/>
        <v>0</v>
      </c>
      <c r="X1073">
        <f t="shared" si="874"/>
        <v>0</v>
      </c>
      <c r="Y1073">
        <f t="shared" si="875"/>
        <v>0</v>
      </c>
      <c r="AA1073">
        <v>129761633</v>
      </c>
      <c r="AB1073">
        <f t="shared" si="876"/>
        <v>15.74</v>
      </c>
      <c r="AC1073">
        <f t="shared" si="877"/>
        <v>15.74</v>
      </c>
      <c r="AD1073">
        <f>ROUND((((ET1073)-(EU1073))+AE1073),6)</f>
        <v>0</v>
      </c>
      <c r="AE1073">
        <f t="shared" si="909"/>
        <v>0</v>
      </c>
      <c r="AF1073">
        <f t="shared" si="909"/>
        <v>0</v>
      </c>
      <c r="AG1073">
        <f t="shared" si="878"/>
        <v>0</v>
      </c>
      <c r="AH1073">
        <f t="shared" si="910"/>
        <v>0</v>
      </c>
      <c r="AI1073">
        <f t="shared" si="910"/>
        <v>0</v>
      </c>
      <c r="AJ1073">
        <f t="shared" si="879"/>
        <v>0</v>
      </c>
      <c r="AK1073">
        <v>15.74</v>
      </c>
      <c r="AL1073">
        <v>15.74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1</v>
      </c>
      <c r="AW1073">
        <v>1</v>
      </c>
      <c r="AZ1073">
        <v>1</v>
      </c>
      <c r="BA1073">
        <v>1</v>
      </c>
      <c r="BB1073">
        <v>1</v>
      </c>
      <c r="BC1073">
        <v>5.16</v>
      </c>
      <c r="BD1073" t="s">
        <v>3</v>
      </c>
      <c r="BE1073" t="s">
        <v>3</v>
      </c>
      <c r="BF1073" t="s">
        <v>3</v>
      </c>
      <c r="BG1073" t="s">
        <v>3</v>
      </c>
      <c r="BH1073">
        <v>3</v>
      </c>
      <c r="BI1073">
        <v>1</v>
      </c>
      <c r="BJ1073" t="s">
        <v>878</v>
      </c>
      <c r="BM1073">
        <v>1623</v>
      </c>
      <c r="BN1073">
        <v>0</v>
      </c>
      <c r="BO1073" t="s">
        <v>876</v>
      </c>
      <c r="BP1073">
        <v>1</v>
      </c>
      <c r="BQ1073">
        <v>30</v>
      </c>
      <c r="BR1073">
        <v>0</v>
      </c>
      <c r="BS1073">
        <v>1</v>
      </c>
      <c r="BT1073">
        <v>1</v>
      </c>
      <c r="BU1073">
        <v>1</v>
      </c>
      <c r="BV1073">
        <v>1</v>
      </c>
      <c r="BW1073">
        <v>1</v>
      </c>
      <c r="BX1073">
        <v>1</v>
      </c>
      <c r="BY1073" t="s">
        <v>3</v>
      </c>
      <c r="BZ1073">
        <v>0</v>
      </c>
      <c r="CA1073">
        <v>0</v>
      </c>
      <c r="CB1073" t="s">
        <v>3</v>
      </c>
      <c r="CE1073">
        <v>30</v>
      </c>
      <c r="CF1073">
        <v>0</v>
      </c>
      <c r="CG1073">
        <v>0</v>
      </c>
      <c r="CM1073">
        <v>0</v>
      </c>
      <c r="CN1073" t="s">
        <v>3</v>
      </c>
      <c r="CO1073">
        <v>0</v>
      </c>
      <c r="CP1073">
        <f t="shared" si="880"/>
        <v>81.22</v>
      </c>
      <c r="CQ1073">
        <f t="shared" si="881"/>
        <v>81.22</v>
      </c>
      <c r="CR1073">
        <f>(ROUND((ROUND(((ET1073)*AV1073*1),2)*BB1073),2)+ROUND((ROUND(((AE1073-(EU1073))*AV1073*1),2)*BS1073),2))</f>
        <v>0</v>
      </c>
      <c r="CS1073">
        <f t="shared" si="882"/>
        <v>0</v>
      </c>
      <c r="CT1073">
        <f t="shared" si="883"/>
        <v>0</v>
      </c>
      <c r="CU1073">
        <f t="shared" si="884"/>
        <v>0</v>
      </c>
      <c r="CV1073">
        <f t="shared" si="885"/>
        <v>0</v>
      </c>
      <c r="CW1073">
        <f t="shared" si="886"/>
        <v>0</v>
      </c>
      <c r="CX1073">
        <f t="shared" si="887"/>
        <v>0</v>
      </c>
      <c r="CY1073">
        <f>S1073*(BZ1073/100)</f>
        <v>0</v>
      </c>
      <c r="CZ1073">
        <f>S1073*(CA1073/100)</f>
        <v>0</v>
      </c>
      <c r="DC1073" t="s">
        <v>3</v>
      </c>
      <c r="DD1073" t="s">
        <v>3</v>
      </c>
      <c r="DE1073" t="s">
        <v>3</v>
      </c>
      <c r="DF1073" t="s">
        <v>3</v>
      </c>
      <c r="DG1073" t="s">
        <v>3</v>
      </c>
      <c r="DH1073" t="s">
        <v>3</v>
      </c>
      <c r="DI1073" t="s">
        <v>3</v>
      </c>
      <c r="DJ1073" t="s">
        <v>3</v>
      </c>
      <c r="DK1073" t="s">
        <v>3</v>
      </c>
      <c r="DL1073" t="s">
        <v>3</v>
      </c>
      <c r="DM1073" t="s">
        <v>3</v>
      </c>
      <c r="DN1073">
        <v>110</v>
      </c>
      <c r="DO1073">
        <v>74</v>
      </c>
      <c r="DP1073">
        <v>1</v>
      </c>
      <c r="DQ1073">
        <v>1</v>
      </c>
      <c r="DU1073">
        <v>1013</v>
      </c>
      <c r="DV1073" t="s">
        <v>238</v>
      </c>
      <c r="DW1073" t="s">
        <v>238</v>
      </c>
      <c r="DX1073">
        <v>1</v>
      </c>
      <c r="DZ1073" t="s">
        <v>3</v>
      </c>
      <c r="EA1073" t="s">
        <v>3</v>
      </c>
      <c r="EB1073" t="s">
        <v>3</v>
      </c>
      <c r="EC1073" t="s">
        <v>3</v>
      </c>
      <c r="EE1073">
        <v>126053084</v>
      </c>
      <c r="EF1073">
        <v>30</v>
      </c>
      <c r="EG1073" t="s">
        <v>23</v>
      </c>
      <c r="EH1073">
        <v>0</v>
      </c>
      <c r="EI1073" t="s">
        <v>3</v>
      </c>
      <c r="EJ1073">
        <v>1</v>
      </c>
      <c r="EK1073">
        <v>1623</v>
      </c>
      <c r="EL1073" t="s">
        <v>824</v>
      </c>
      <c r="EM1073" t="s">
        <v>825</v>
      </c>
      <c r="EO1073" t="s">
        <v>3</v>
      </c>
      <c r="EQ1073">
        <v>0</v>
      </c>
      <c r="ER1073">
        <v>15.74</v>
      </c>
      <c r="ES1073">
        <v>15.74</v>
      </c>
      <c r="ET1073">
        <v>0</v>
      </c>
      <c r="EU1073">
        <v>0</v>
      </c>
      <c r="EV1073">
        <v>0</v>
      </c>
      <c r="EW1073">
        <v>0</v>
      </c>
      <c r="EX1073">
        <v>0</v>
      </c>
      <c r="FQ1073">
        <v>0</v>
      </c>
      <c r="FR1073">
        <f t="shared" si="888"/>
        <v>0</v>
      </c>
      <c r="FS1073">
        <v>0</v>
      </c>
      <c r="FX1073">
        <v>110</v>
      </c>
      <c r="FY1073">
        <v>74</v>
      </c>
      <c r="GA1073" t="s">
        <v>3</v>
      </c>
      <c r="GD1073">
        <v>0</v>
      </c>
      <c r="GF1073">
        <v>-711005652</v>
      </c>
      <c r="GG1073">
        <v>2</v>
      </c>
      <c r="GH1073">
        <v>1</v>
      </c>
      <c r="GI1073">
        <v>2</v>
      </c>
      <c r="GJ1073">
        <v>0</v>
      </c>
      <c r="GK1073">
        <f>ROUND(R1073*(S12)/100,2)</f>
        <v>0</v>
      </c>
      <c r="GL1073">
        <f t="shared" si="889"/>
        <v>0</v>
      </c>
      <c r="GM1073">
        <f t="shared" si="890"/>
        <v>81.22</v>
      </c>
      <c r="GN1073">
        <f t="shared" si="891"/>
        <v>81.22</v>
      </c>
      <c r="GO1073">
        <f t="shared" si="892"/>
        <v>0</v>
      </c>
      <c r="GP1073">
        <f t="shared" si="893"/>
        <v>0</v>
      </c>
      <c r="GR1073">
        <v>0</v>
      </c>
      <c r="GS1073">
        <v>3</v>
      </c>
      <c r="GT1073">
        <v>0</v>
      </c>
      <c r="GU1073" t="s">
        <v>3</v>
      </c>
      <c r="GV1073">
        <f t="shared" si="894"/>
        <v>0</v>
      </c>
      <c r="GW1073">
        <v>1</v>
      </c>
      <c r="GX1073">
        <f t="shared" si="895"/>
        <v>0</v>
      </c>
      <c r="HA1073">
        <v>0</v>
      </c>
      <c r="HB1073">
        <v>0</v>
      </c>
      <c r="HC1073">
        <f t="shared" si="896"/>
        <v>0</v>
      </c>
      <c r="HE1073" t="s">
        <v>3</v>
      </c>
      <c r="HF1073" t="s">
        <v>3</v>
      </c>
      <c r="HM1073" t="s">
        <v>3</v>
      </c>
      <c r="HN1073" t="s">
        <v>3</v>
      </c>
      <c r="HO1073" t="s">
        <v>3</v>
      </c>
      <c r="HP1073" t="s">
        <v>3</v>
      </c>
      <c r="HQ1073" t="s">
        <v>3</v>
      </c>
      <c r="IK1073">
        <v>0</v>
      </c>
    </row>
    <row r="1074" spans="1:255" x14ac:dyDescent="0.2">
      <c r="A1074" s="2">
        <v>18</v>
      </c>
      <c r="B1074" s="2">
        <v>1</v>
      </c>
      <c r="C1074" s="2">
        <v>891</v>
      </c>
      <c r="D1074" s="2"/>
      <c r="E1074" s="2" t="s">
        <v>552</v>
      </c>
      <c r="F1074" s="2" t="s">
        <v>879</v>
      </c>
      <c r="G1074" s="2" t="s">
        <v>880</v>
      </c>
      <c r="H1074" s="2" t="s">
        <v>250</v>
      </c>
      <c r="I1074" s="2">
        <f>I1070*J1074</f>
        <v>3</v>
      </c>
      <c r="J1074" s="2">
        <v>600</v>
      </c>
      <c r="K1074" s="2">
        <v>600</v>
      </c>
      <c r="L1074" s="2"/>
      <c r="M1074" s="2"/>
      <c r="N1074" s="2"/>
      <c r="O1074" s="2">
        <f t="shared" ref="O1074:O1091" si="911">ROUND(CP1074,2)</f>
        <v>52.77</v>
      </c>
      <c r="P1074" s="2">
        <f t="shared" ref="P1074:P1091" si="912">ROUND((ROUND((AC1074*AW1074*I1074),2)*BC1074),2)</f>
        <v>52.77</v>
      </c>
      <c r="Q1074" s="2">
        <f>(ROUND((ROUND(((ET1074)*AV1074*I1074),2)*BB1074),2)+ROUND((ROUND(((AE1074-(EU1074))*AV1074*I1074),2)*BS1074),2))</f>
        <v>0</v>
      </c>
      <c r="R1074" s="2">
        <f t="shared" ref="R1074:R1091" si="913">ROUND((ROUND((AE1074*AV1074*I1074),2)*BS1074),2)</f>
        <v>0</v>
      </c>
      <c r="S1074" s="2">
        <f t="shared" ref="S1074:S1091" si="914">ROUND((ROUND((AF1074*AV1074*I1074),2)*BA1074),2)</f>
        <v>0</v>
      </c>
      <c r="T1074" s="2">
        <f t="shared" ref="T1074:T1091" si="915">ROUND(CU1074*I1074,2)</f>
        <v>0</v>
      </c>
      <c r="U1074" s="2">
        <f t="shared" ref="U1074:U1091" si="916">CV1074*I1074</f>
        <v>0</v>
      </c>
      <c r="V1074" s="2">
        <f t="shared" ref="V1074:V1091" si="917">CW1074*I1074</f>
        <v>0</v>
      </c>
      <c r="W1074" s="2">
        <f t="shared" ref="W1074:W1091" si="918">ROUND(CX1074*I1074,2)</f>
        <v>0</v>
      </c>
      <c r="X1074" s="2">
        <f t="shared" ref="X1074:X1091" si="919">ROUND(CY1074,2)</f>
        <v>0</v>
      </c>
      <c r="Y1074" s="2">
        <f t="shared" ref="Y1074:Y1091" si="920">ROUND(CZ1074,2)</f>
        <v>0</v>
      </c>
      <c r="Z1074" s="2"/>
      <c r="AA1074" s="2">
        <v>129761636</v>
      </c>
      <c r="AB1074" s="2">
        <f t="shared" ref="AB1074:AB1091" si="921">ROUND((AC1074+AD1074+AF1074),6)</f>
        <v>17.59</v>
      </c>
      <c r="AC1074" s="2">
        <f t="shared" ref="AC1074:AC1091" si="922">ROUND((ES1074),6)</f>
        <v>17.59</v>
      </c>
      <c r="AD1074" s="2">
        <f>ROUND((((ET1074)-(EU1074))+AE1074),6)</f>
        <v>0</v>
      </c>
      <c r="AE1074" s="2">
        <f t="shared" si="909"/>
        <v>0</v>
      </c>
      <c r="AF1074" s="2">
        <f t="shared" si="909"/>
        <v>0</v>
      </c>
      <c r="AG1074" s="2">
        <f t="shared" ref="AG1074:AG1091" si="923">ROUND((AP1074),6)</f>
        <v>0</v>
      </c>
      <c r="AH1074" s="2">
        <f t="shared" si="910"/>
        <v>0</v>
      </c>
      <c r="AI1074" s="2">
        <f t="shared" si="910"/>
        <v>0</v>
      </c>
      <c r="AJ1074" s="2">
        <f t="shared" ref="AJ1074:AJ1091" si="924">(AS1074)</f>
        <v>0</v>
      </c>
      <c r="AK1074" s="2">
        <v>17.59</v>
      </c>
      <c r="AL1074" s="2">
        <v>17.59</v>
      </c>
      <c r="AM1074" s="2">
        <v>0</v>
      </c>
      <c r="AN1074" s="2">
        <v>0</v>
      </c>
      <c r="AO1074" s="2">
        <v>0</v>
      </c>
      <c r="AP1074" s="2">
        <v>0</v>
      </c>
      <c r="AQ1074" s="2">
        <v>0</v>
      </c>
      <c r="AR1074" s="2">
        <v>0</v>
      </c>
      <c r="AS1074" s="2">
        <v>0</v>
      </c>
      <c r="AT1074" s="2">
        <v>110</v>
      </c>
      <c r="AU1074" s="2">
        <v>74</v>
      </c>
      <c r="AV1074" s="2">
        <v>1</v>
      </c>
      <c r="AW1074" s="2">
        <v>1</v>
      </c>
      <c r="AX1074" s="2"/>
      <c r="AY1074" s="2"/>
      <c r="AZ1074" s="2">
        <v>1</v>
      </c>
      <c r="BA1074" s="2">
        <v>1</v>
      </c>
      <c r="BB1074" s="2">
        <v>1</v>
      </c>
      <c r="BC1074" s="2">
        <v>1</v>
      </c>
      <c r="BD1074" s="2" t="s">
        <v>3</v>
      </c>
      <c r="BE1074" s="2" t="s">
        <v>3</v>
      </c>
      <c r="BF1074" s="2" t="s">
        <v>3</v>
      </c>
      <c r="BG1074" s="2" t="s">
        <v>3</v>
      </c>
      <c r="BH1074" s="2">
        <v>3</v>
      </c>
      <c r="BI1074" s="2">
        <v>1</v>
      </c>
      <c r="BJ1074" s="2" t="s">
        <v>881</v>
      </c>
      <c r="BK1074" s="2"/>
      <c r="BL1074" s="2"/>
      <c r="BM1074" s="2">
        <v>1623</v>
      </c>
      <c r="BN1074" s="2">
        <v>0</v>
      </c>
      <c r="BO1074" s="2" t="s">
        <v>3</v>
      </c>
      <c r="BP1074" s="2">
        <v>0</v>
      </c>
      <c r="BQ1074" s="2">
        <v>30</v>
      </c>
      <c r="BR1074" s="2">
        <v>0</v>
      </c>
      <c r="BS1074" s="2">
        <v>1</v>
      </c>
      <c r="BT1074" s="2">
        <v>1</v>
      </c>
      <c r="BU1074" s="2">
        <v>1</v>
      </c>
      <c r="BV1074" s="2">
        <v>1</v>
      </c>
      <c r="BW1074" s="2">
        <v>1</v>
      </c>
      <c r="BX1074" s="2">
        <v>1</v>
      </c>
      <c r="BY1074" s="2" t="s">
        <v>3</v>
      </c>
      <c r="BZ1074" s="2">
        <v>110</v>
      </c>
      <c r="CA1074" s="2">
        <v>74</v>
      </c>
      <c r="CB1074" s="2" t="s">
        <v>3</v>
      </c>
      <c r="CC1074" s="2"/>
      <c r="CD1074" s="2"/>
      <c r="CE1074" s="2">
        <v>30</v>
      </c>
      <c r="CF1074" s="2">
        <v>0</v>
      </c>
      <c r="CG1074" s="2">
        <v>0</v>
      </c>
      <c r="CH1074" s="2"/>
      <c r="CI1074" s="2"/>
      <c r="CJ1074" s="2"/>
      <c r="CK1074" s="2"/>
      <c r="CL1074" s="2"/>
      <c r="CM1074" s="2">
        <v>0</v>
      </c>
      <c r="CN1074" s="2" t="s">
        <v>3</v>
      </c>
      <c r="CO1074" s="2">
        <v>0</v>
      </c>
      <c r="CP1074" s="2">
        <f t="shared" ref="CP1074:CP1091" si="925">(P1074+Q1074+S1074)</f>
        <v>52.77</v>
      </c>
      <c r="CQ1074" s="2">
        <f t="shared" ref="CQ1074:CQ1091" si="926">ROUND((ROUND((AC1074*AW1074*1),2)*BC1074),2)</f>
        <v>17.59</v>
      </c>
      <c r="CR1074" s="2">
        <f>(ROUND((ROUND(((ET1074)*AV1074*1),2)*BB1074),2)+ROUND((ROUND(((AE1074-(EU1074))*AV1074*1),2)*BS1074),2))</f>
        <v>0</v>
      </c>
      <c r="CS1074" s="2">
        <f t="shared" ref="CS1074:CS1091" si="927">ROUND((ROUND((AE1074*AV1074*1),2)*BS1074),2)</f>
        <v>0</v>
      </c>
      <c r="CT1074" s="2">
        <f t="shared" ref="CT1074:CT1091" si="928">ROUND((ROUND((AF1074*AV1074*1),2)*BA1074),2)</f>
        <v>0</v>
      </c>
      <c r="CU1074" s="2">
        <f t="shared" ref="CU1074:CU1091" si="929">AG1074</f>
        <v>0</v>
      </c>
      <c r="CV1074" s="2">
        <f t="shared" ref="CV1074:CV1091" si="930">(AH1074*AV1074)</f>
        <v>0</v>
      </c>
      <c r="CW1074" s="2">
        <f t="shared" ref="CW1074:CW1091" si="931">AI1074</f>
        <v>0</v>
      </c>
      <c r="CX1074" s="2">
        <f t="shared" ref="CX1074:CX1091" si="932">AJ1074</f>
        <v>0</v>
      </c>
      <c r="CY1074" s="2">
        <f>((S1074*BZ1074)/100)</f>
        <v>0</v>
      </c>
      <c r="CZ1074" s="2">
        <f>((S1074*CA1074)/100)</f>
        <v>0</v>
      </c>
      <c r="DA1074" s="2"/>
      <c r="DB1074" s="2"/>
      <c r="DC1074" s="2" t="s">
        <v>3</v>
      </c>
      <c r="DD1074" s="2" t="s">
        <v>3</v>
      </c>
      <c r="DE1074" s="2" t="s">
        <v>3</v>
      </c>
      <c r="DF1074" s="2" t="s">
        <v>3</v>
      </c>
      <c r="DG1074" s="2" t="s">
        <v>3</v>
      </c>
      <c r="DH1074" s="2" t="s">
        <v>3</v>
      </c>
      <c r="DI1074" s="2" t="s">
        <v>3</v>
      </c>
      <c r="DJ1074" s="2" t="s">
        <v>3</v>
      </c>
      <c r="DK1074" s="2" t="s">
        <v>3</v>
      </c>
      <c r="DL1074" s="2" t="s">
        <v>3</v>
      </c>
      <c r="DM1074" s="2" t="s">
        <v>3</v>
      </c>
      <c r="DN1074" s="2">
        <v>0</v>
      </c>
      <c r="DO1074" s="2">
        <v>0</v>
      </c>
      <c r="DP1074" s="2">
        <v>1</v>
      </c>
      <c r="DQ1074" s="2">
        <v>1</v>
      </c>
      <c r="DR1074" s="2"/>
      <c r="DS1074" s="2"/>
      <c r="DT1074" s="2"/>
      <c r="DU1074" s="2">
        <v>1010</v>
      </c>
      <c r="DV1074" s="2" t="s">
        <v>250</v>
      </c>
      <c r="DW1074" s="2" t="s">
        <v>250</v>
      </c>
      <c r="DX1074" s="2">
        <v>1</v>
      </c>
      <c r="DY1074" s="2"/>
      <c r="DZ1074" s="2" t="s">
        <v>3</v>
      </c>
      <c r="EA1074" s="2" t="s">
        <v>3</v>
      </c>
      <c r="EB1074" s="2" t="s">
        <v>3</v>
      </c>
      <c r="EC1074" s="2" t="s">
        <v>3</v>
      </c>
      <c r="ED1074" s="2"/>
      <c r="EE1074" s="2">
        <v>126053084</v>
      </c>
      <c r="EF1074" s="2">
        <v>30</v>
      </c>
      <c r="EG1074" s="2" t="s">
        <v>23</v>
      </c>
      <c r="EH1074" s="2">
        <v>0</v>
      </c>
      <c r="EI1074" s="2" t="s">
        <v>3</v>
      </c>
      <c r="EJ1074" s="2">
        <v>1</v>
      </c>
      <c r="EK1074" s="2">
        <v>1623</v>
      </c>
      <c r="EL1074" s="2" t="s">
        <v>824</v>
      </c>
      <c r="EM1074" s="2" t="s">
        <v>825</v>
      </c>
      <c r="EN1074" s="2"/>
      <c r="EO1074" s="2" t="s">
        <v>3</v>
      </c>
      <c r="EP1074" s="2"/>
      <c r="EQ1074" s="2">
        <v>0</v>
      </c>
      <c r="ER1074" s="2">
        <v>17.59</v>
      </c>
      <c r="ES1074" s="2">
        <v>17.59</v>
      </c>
      <c r="ET1074" s="2">
        <v>0</v>
      </c>
      <c r="EU1074" s="2">
        <v>0</v>
      </c>
      <c r="EV1074" s="2">
        <v>0</v>
      </c>
      <c r="EW1074" s="2">
        <v>0</v>
      </c>
      <c r="EX1074" s="2">
        <v>0</v>
      </c>
      <c r="EY1074" s="2"/>
      <c r="EZ1074" s="2"/>
      <c r="FA1074" s="2"/>
      <c r="FB1074" s="2"/>
      <c r="FC1074" s="2"/>
      <c r="FD1074" s="2"/>
      <c r="FE1074" s="2"/>
      <c r="FF1074" s="2"/>
      <c r="FG1074" s="2"/>
      <c r="FH1074" s="2"/>
      <c r="FI1074" s="2"/>
      <c r="FJ1074" s="2"/>
      <c r="FK1074" s="2"/>
      <c r="FL1074" s="2"/>
      <c r="FM1074" s="2"/>
      <c r="FN1074" s="2"/>
      <c r="FO1074" s="2"/>
      <c r="FP1074" s="2"/>
      <c r="FQ1074" s="2">
        <v>0</v>
      </c>
      <c r="FR1074" s="2">
        <f t="shared" ref="FR1074:FR1091" si="933">ROUND(IF(AND(BH1074=3,BI1074=3),P1074,0),2)</f>
        <v>0</v>
      </c>
      <c r="FS1074" s="2">
        <v>0</v>
      </c>
      <c r="FT1074" s="2"/>
      <c r="FU1074" s="2"/>
      <c r="FV1074" s="2"/>
      <c r="FW1074" s="2"/>
      <c r="FX1074" s="2">
        <v>110</v>
      </c>
      <c r="FY1074" s="2">
        <v>74</v>
      </c>
      <c r="FZ1074" s="2"/>
      <c r="GA1074" s="2" t="s">
        <v>3</v>
      </c>
      <c r="GB1074" s="2"/>
      <c r="GC1074" s="2"/>
      <c r="GD1074" s="2">
        <v>0</v>
      </c>
      <c r="GE1074" s="2"/>
      <c r="GF1074" s="2">
        <v>1306956936</v>
      </c>
      <c r="GG1074" s="2">
        <v>2</v>
      </c>
      <c r="GH1074" s="2">
        <v>1</v>
      </c>
      <c r="GI1074" s="2">
        <v>-2</v>
      </c>
      <c r="GJ1074" s="2">
        <v>0</v>
      </c>
      <c r="GK1074" s="2">
        <f>ROUND(R1074*(R12)/100,2)</f>
        <v>0</v>
      </c>
      <c r="GL1074" s="2">
        <f t="shared" ref="GL1074:GL1091" si="934">ROUND(IF(AND(BH1074=3,BI1074=3,FS1074&lt;&gt;0),P1074,0),2)</f>
        <v>0</v>
      </c>
      <c r="GM1074" s="2">
        <f t="shared" ref="GM1074:GM1091" si="935">ROUND(O1074+X1074+Y1074+GK1074,2)+GX1074</f>
        <v>52.77</v>
      </c>
      <c r="GN1074" s="2">
        <f t="shared" ref="GN1074:GN1091" si="936">IF(OR(BI1074=0,BI1074=1),ROUND(O1074+X1074+Y1074+GK1074,2),0)</f>
        <v>52.77</v>
      </c>
      <c r="GO1074" s="2">
        <f t="shared" ref="GO1074:GO1091" si="937">IF(BI1074=2,ROUND(O1074+X1074+Y1074+GK1074,2),0)</f>
        <v>0</v>
      </c>
      <c r="GP1074" s="2">
        <f t="shared" ref="GP1074:GP1091" si="938">IF(BI1074=4,ROUND(O1074+X1074+Y1074+GK1074,2)+GX1074,0)</f>
        <v>0</v>
      </c>
      <c r="GQ1074" s="2"/>
      <c r="GR1074" s="2">
        <v>0</v>
      </c>
      <c r="GS1074" s="2">
        <v>0</v>
      </c>
      <c r="GT1074" s="2">
        <v>0</v>
      </c>
      <c r="GU1074" s="2" t="s">
        <v>3</v>
      </c>
      <c r="GV1074" s="2">
        <f t="shared" ref="GV1074:GV1091" si="939">ROUND((GT1074),6)</f>
        <v>0</v>
      </c>
      <c r="GW1074" s="2">
        <v>1</v>
      </c>
      <c r="GX1074" s="2">
        <f t="shared" ref="GX1074:GX1091" si="940">ROUND(HC1074*I1074,2)</f>
        <v>0</v>
      </c>
      <c r="GY1074" s="2"/>
      <c r="GZ1074" s="2"/>
      <c r="HA1074" s="2">
        <v>0</v>
      </c>
      <c r="HB1074" s="2">
        <v>0</v>
      </c>
      <c r="HC1074" s="2">
        <f t="shared" ref="HC1074:HC1091" si="941">GV1074*GW1074</f>
        <v>0</v>
      </c>
      <c r="HD1074" s="2"/>
      <c r="HE1074" s="2" t="s">
        <v>3</v>
      </c>
      <c r="HF1074" s="2" t="s">
        <v>3</v>
      </c>
      <c r="HG1074" s="2"/>
      <c r="HH1074" s="2"/>
      <c r="HI1074" s="2"/>
      <c r="HJ1074" s="2"/>
      <c r="HK1074" s="2"/>
      <c r="HL1074" s="2"/>
      <c r="HM1074" s="2" t="s">
        <v>3</v>
      </c>
      <c r="HN1074" s="2" t="s">
        <v>3</v>
      </c>
      <c r="HO1074" s="2" t="s">
        <v>3</v>
      </c>
      <c r="HP1074" s="2" t="s">
        <v>3</v>
      </c>
      <c r="HQ1074" s="2" t="s">
        <v>3</v>
      </c>
      <c r="HR1074" s="2"/>
      <c r="HS1074" s="2"/>
      <c r="HT1074" s="2"/>
      <c r="HU1074" s="2"/>
      <c r="HV1074" s="2"/>
      <c r="HW1074" s="2"/>
      <c r="HX1074" s="2"/>
      <c r="HY1074" s="2"/>
      <c r="HZ1074" s="2"/>
      <c r="IA1074" s="2"/>
      <c r="IB1074" s="2"/>
      <c r="IC1074" s="2"/>
      <c r="ID1074" s="2"/>
      <c r="IE1074" s="2"/>
      <c r="IF1074" s="2"/>
      <c r="IG1074" s="2"/>
      <c r="IH1074" s="2"/>
      <c r="II1074" s="2"/>
      <c r="IJ1074" s="2"/>
      <c r="IK1074" s="2">
        <v>0</v>
      </c>
      <c r="IL1074" s="2"/>
      <c r="IM1074" s="2"/>
      <c r="IN1074" s="2"/>
      <c r="IO1074" s="2"/>
      <c r="IP1074" s="2"/>
      <c r="IQ1074" s="2"/>
      <c r="IR1074" s="2"/>
      <c r="IS1074" s="2"/>
      <c r="IT1074" s="2"/>
      <c r="IU1074" s="2"/>
    </row>
    <row r="1075" spans="1:255" x14ac:dyDescent="0.2">
      <c r="A1075">
        <v>18</v>
      </c>
      <c r="B1075">
        <v>1</v>
      </c>
      <c r="C1075">
        <v>894</v>
      </c>
      <c r="E1075" t="s">
        <v>552</v>
      </c>
      <c r="F1075" t="s">
        <v>879</v>
      </c>
      <c r="G1075" t="s">
        <v>880</v>
      </c>
      <c r="H1075" t="s">
        <v>250</v>
      </c>
      <c r="I1075">
        <f>I1071*J1075</f>
        <v>3</v>
      </c>
      <c r="J1075">
        <v>600</v>
      </c>
      <c r="K1075">
        <v>600</v>
      </c>
      <c r="O1075">
        <f t="shared" si="911"/>
        <v>241.69</v>
      </c>
      <c r="P1075">
        <f t="shared" si="912"/>
        <v>241.69</v>
      </c>
      <c r="Q1075">
        <f>(ROUND((ROUND(((ET1075)*AV1075*I1075),2)*BB1075),2)+ROUND((ROUND(((AE1075-(EU1075))*AV1075*I1075),2)*BS1075),2))</f>
        <v>0</v>
      </c>
      <c r="R1075">
        <f t="shared" si="913"/>
        <v>0</v>
      </c>
      <c r="S1075">
        <f t="shared" si="914"/>
        <v>0</v>
      </c>
      <c r="T1075">
        <f t="shared" si="915"/>
        <v>0</v>
      </c>
      <c r="U1075">
        <f t="shared" si="916"/>
        <v>0</v>
      </c>
      <c r="V1075">
        <f t="shared" si="917"/>
        <v>0</v>
      </c>
      <c r="W1075">
        <f t="shared" si="918"/>
        <v>0</v>
      </c>
      <c r="X1075">
        <f t="shared" si="919"/>
        <v>0</v>
      </c>
      <c r="Y1075">
        <f t="shared" si="920"/>
        <v>0</v>
      </c>
      <c r="AA1075">
        <v>129761633</v>
      </c>
      <c r="AB1075">
        <f t="shared" si="921"/>
        <v>17.59</v>
      </c>
      <c r="AC1075">
        <f t="shared" si="922"/>
        <v>17.59</v>
      </c>
      <c r="AD1075">
        <f>ROUND((((ET1075)-(EU1075))+AE1075),6)</f>
        <v>0</v>
      </c>
      <c r="AE1075">
        <f t="shared" si="909"/>
        <v>0</v>
      </c>
      <c r="AF1075">
        <f t="shared" si="909"/>
        <v>0</v>
      </c>
      <c r="AG1075">
        <f t="shared" si="923"/>
        <v>0</v>
      </c>
      <c r="AH1075">
        <f t="shared" si="910"/>
        <v>0</v>
      </c>
      <c r="AI1075">
        <f t="shared" si="910"/>
        <v>0</v>
      </c>
      <c r="AJ1075">
        <f t="shared" si="924"/>
        <v>0</v>
      </c>
      <c r="AK1075">
        <v>17.59</v>
      </c>
      <c r="AL1075">
        <v>17.59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1</v>
      </c>
      <c r="AW1075">
        <v>1</v>
      </c>
      <c r="AZ1075">
        <v>1</v>
      </c>
      <c r="BA1075">
        <v>1</v>
      </c>
      <c r="BB1075">
        <v>1</v>
      </c>
      <c r="BC1075">
        <v>4.58</v>
      </c>
      <c r="BD1075" t="s">
        <v>3</v>
      </c>
      <c r="BE1075" t="s">
        <v>3</v>
      </c>
      <c r="BF1075" t="s">
        <v>3</v>
      </c>
      <c r="BG1075" t="s">
        <v>3</v>
      </c>
      <c r="BH1075">
        <v>3</v>
      </c>
      <c r="BI1075">
        <v>1</v>
      </c>
      <c r="BJ1075" t="s">
        <v>881</v>
      </c>
      <c r="BM1075">
        <v>1623</v>
      </c>
      <c r="BN1075">
        <v>0</v>
      </c>
      <c r="BO1075" t="s">
        <v>879</v>
      </c>
      <c r="BP1075">
        <v>1</v>
      </c>
      <c r="BQ1075">
        <v>30</v>
      </c>
      <c r="BR1075">
        <v>0</v>
      </c>
      <c r="BS1075">
        <v>1</v>
      </c>
      <c r="BT1075">
        <v>1</v>
      </c>
      <c r="BU1075">
        <v>1</v>
      </c>
      <c r="BV1075">
        <v>1</v>
      </c>
      <c r="BW1075">
        <v>1</v>
      </c>
      <c r="BX1075">
        <v>1</v>
      </c>
      <c r="BY1075" t="s">
        <v>3</v>
      </c>
      <c r="BZ1075">
        <v>0</v>
      </c>
      <c r="CA1075">
        <v>0</v>
      </c>
      <c r="CB1075" t="s">
        <v>3</v>
      </c>
      <c r="CE1075">
        <v>30</v>
      </c>
      <c r="CF1075">
        <v>0</v>
      </c>
      <c r="CG1075">
        <v>0</v>
      </c>
      <c r="CM1075">
        <v>0</v>
      </c>
      <c r="CN1075" t="s">
        <v>3</v>
      </c>
      <c r="CO1075">
        <v>0</v>
      </c>
      <c r="CP1075">
        <f t="shared" si="925"/>
        <v>241.69</v>
      </c>
      <c r="CQ1075">
        <f t="shared" si="926"/>
        <v>80.56</v>
      </c>
      <c r="CR1075">
        <f>(ROUND((ROUND(((ET1075)*AV1075*1),2)*BB1075),2)+ROUND((ROUND(((AE1075-(EU1075))*AV1075*1),2)*BS1075),2))</f>
        <v>0</v>
      </c>
      <c r="CS1075">
        <f t="shared" si="927"/>
        <v>0</v>
      </c>
      <c r="CT1075">
        <f t="shared" si="928"/>
        <v>0</v>
      </c>
      <c r="CU1075">
        <f t="shared" si="929"/>
        <v>0</v>
      </c>
      <c r="CV1075">
        <f t="shared" si="930"/>
        <v>0</v>
      </c>
      <c r="CW1075">
        <f t="shared" si="931"/>
        <v>0</v>
      </c>
      <c r="CX1075">
        <f t="shared" si="932"/>
        <v>0</v>
      </c>
      <c r="CY1075">
        <f>S1075*(BZ1075/100)</f>
        <v>0</v>
      </c>
      <c r="CZ1075">
        <f>S1075*(CA1075/100)</f>
        <v>0</v>
      </c>
      <c r="DC1075" t="s">
        <v>3</v>
      </c>
      <c r="DD1075" t="s">
        <v>3</v>
      </c>
      <c r="DE1075" t="s">
        <v>3</v>
      </c>
      <c r="DF1075" t="s">
        <v>3</v>
      </c>
      <c r="DG1075" t="s">
        <v>3</v>
      </c>
      <c r="DH1075" t="s">
        <v>3</v>
      </c>
      <c r="DI1075" t="s">
        <v>3</v>
      </c>
      <c r="DJ1075" t="s">
        <v>3</v>
      </c>
      <c r="DK1075" t="s">
        <v>3</v>
      </c>
      <c r="DL1075" t="s">
        <v>3</v>
      </c>
      <c r="DM1075" t="s">
        <v>3</v>
      </c>
      <c r="DN1075">
        <v>110</v>
      </c>
      <c r="DO1075">
        <v>74</v>
      </c>
      <c r="DP1075">
        <v>1</v>
      </c>
      <c r="DQ1075">
        <v>1</v>
      </c>
      <c r="DU1075">
        <v>1010</v>
      </c>
      <c r="DV1075" t="s">
        <v>250</v>
      </c>
      <c r="DW1075" t="s">
        <v>250</v>
      </c>
      <c r="DX1075">
        <v>1</v>
      </c>
      <c r="DZ1075" t="s">
        <v>3</v>
      </c>
      <c r="EA1075" t="s">
        <v>3</v>
      </c>
      <c r="EB1075" t="s">
        <v>3</v>
      </c>
      <c r="EC1075" t="s">
        <v>3</v>
      </c>
      <c r="EE1075">
        <v>126053084</v>
      </c>
      <c r="EF1075">
        <v>30</v>
      </c>
      <c r="EG1075" t="s">
        <v>23</v>
      </c>
      <c r="EH1075">
        <v>0</v>
      </c>
      <c r="EI1075" t="s">
        <v>3</v>
      </c>
      <c r="EJ1075">
        <v>1</v>
      </c>
      <c r="EK1075">
        <v>1623</v>
      </c>
      <c r="EL1075" t="s">
        <v>824</v>
      </c>
      <c r="EM1075" t="s">
        <v>825</v>
      </c>
      <c r="EO1075" t="s">
        <v>3</v>
      </c>
      <c r="EQ1075">
        <v>0</v>
      </c>
      <c r="ER1075">
        <v>17.59</v>
      </c>
      <c r="ES1075">
        <v>17.59</v>
      </c>
      <c r="ET1075">
        <v>0</v>
      </c>
      <c r="EU1075">
        <v>0</v>
      </c>
      <c r="EV1075">
        <v>0</v>
      </c>
      <c r="EW1075">
        <v>0</v>
      </c>
      <c r="EX1075">
        <v>0</v>
      </c>
      <c r="FQ1075">
        <v>0</v>
      </c>
      <c r="FR1075">
        <f t="shared" si="933"/>
        <v>0</v>
      </c>
      <c r="FS1075">
        <v>0</v>
      </c>
      <c r="FX1075">
        <v>110</v>
      </c>
      <c r="FY1075">
        <v>74</v>
      </c>
      <c r="GA1075" t="s">
        <v>3</v>
      </c>
      <c r="GD1075">
        <v>0</v>
      </c>
      <c r="GF1075">
        <v>1306956936</v>
      </c>
      <c r="GG1075">
        <v>2</v>
      </c>
      <c r="GH1075">
        <v>1</v>
      </c>
      <c r="GI1075">
        <v>2</v>
      </c>
      <c r="GJ1075">
        <v>0</v>
      </c>
      <c r="GK1075">
        <f>ROUND(R1075*(S12)/100,2)</f>
        <v>0</v>
      </c>
      <c r="GL1075">
        <f t="shared" si="934"/>
        <v>0</v>
      </c>
      <c r="GM1075">
        <f t="shared" si="935"/>
        <v>241.69</v>
      </c>
      <c r="GN1075">
        <f t="shared" si="936"/>
        <v>241.69</v>
      </c>
      <c r="GO1075">
        <f t="shared" si="937"/>
        <v>0</v>
      </c>
      <c r="GP1075">
        <f t="shared" si="938"/>
        <v>0</v>
      </c>
      <c r="GR1075">
        <v>0</v>
      </c>
      <c r="GS1075">
        <v>3</v>
      </c>
      <c r="GT1075">
        <v>0</v>
      </c>
      <c r="GU1075" t="s">
        <v>3</v>
      </c>
      <c r="GV1075">
        <f t="shared" si="939"/>
        <v>0</v>
      </c>
      <c r="GW1075">
        <v>1</v>
      </c>
      <c r="GX1075">
        <f t="shared" si="940"/>
        <v>0</v>
      </c>
      <c r="HA1075">
        <v>0</v>
      </c>
      <c r="HB1075">
        <v>0</v>
      </c>
      <c r="HC1075">
        <f t="shared" si="941"/>
        <v>0</v>
      </c>
      <c r="HE1075" t="s">
        <v>3</v>
      </c>
      <c r="HF1075" t="s">
        <v>3</v>
      </c>
      <c r="HM1075" t="s">
        <v>3</v>
      </c>
      <c r="HN1075" t="s">
        <v>3</v>
      </c>
      <c r="HO1075" t="s">
        <v>3</v>
      </c>
      <c r="HP1075" t="s">
        <v>3</v>
      </c>
      <c r="HQ1075" t="s">
        <v>3</v>
      </c>
      <c r="IK1075">
        <v>0</v>
      </c>
    </row>
    <row r="1076" spans="1:255" x14ac:dyDescent="0.2">
      <c r="A1076" s="2">
        <v>17</v>
      </c>
      <c r="B1076" s="2">
        <v>1</v>
      </c>
      <c r="C1076" s="2">
        <f>ROW(SmtRes!A907)</f>
        <v>907</v>
      </c>
      <c r="D1076" s="2">
        <f>ROW(EtalonRes!A877)</f>
        <v>877</v>
      </c>
      <c r="E1076" s="2" t="s">
        <v>181</v>
      </c>
      <c r="F1076" s="2" t="s">
        <v>882</v>
      </c>
      <c r="G1076" s="2" t="s">
        <v>883</v>
      </c>
      <c r="H1076" s="2" t="s">
        <v>884</v>
      </c>
      <c r="I1076" s="2">
        <v>0.01</v>
      </c>
      <c r="J1076" s="2">
        <v>0</v>
      </c>
      <c r="K1076" s="2">
        <v>0.01</v>
      </c>
      <c r="L1076" s="2"/>
      <c r="M1076" s="2"/>
      <c r="N1076" s="2"/>
      <c r="O1076" s="2">
        <f t="shared" si="911"/>
        <v>7.89</v>
      </c>
      <c r="P1076" s="2">
        <f t="shared" si="912"/>
        <v>0.61</v>
      </c>
      <c r="Q1076" s="2">
        <f>(ROUND((ROUND((((ET1076*1.25))*AV1076*I1076),2)*BB1076),2)+ROUND((ROUND(((AE1076-((EU1076*1.25)))*AV1076*I1076),2)*BS1076),2))</f>
        <v>1</v>
      </c>
      <c r="R1076" s="2">
        <f t="shared" si="913"/>
        <v>0.16</v>
      </c>
      <c r="S1076" s="2">
        <f t="shared" si="914"/>
        <v>6.28</v>
      </c>
      <c r="T1076" s="2">
        <f t="shared" si="915"/>
        <v>0</v>
      </c>
      <c r="U1076" s="2">
        <f t="shared" si="916"/>
        <v>0.49794999999999995</v>
      </c>
      <c r="V1076" s="2">
        <f t="shared" si="917"/>
        <v>0</v>
      </c>
      <c r="W1076" s="2">
        <f t="shared" si="918"/>
        <v>0</v>
      </c>
      <c r="X1076" s="2">
        <f t="shared" si="919"/>
        <v>6.91</v>
      </c>
      <c r="Y1076" s="2">
        <f t="shared" si="920"/>
        <v>4.6500000000000004</v>
      </c>
      <c r="Z1076" s="2"/>
      <c r="AA1076" s="2">
        <v>129761636</v>
      </c>
      <c r="AB1076" s="2">
        <f t="shared" si="921"/>
        <v>789.88499999999999</v>
      </c>
      <c r="AC1076" s="2">
        <f t="shared" si="922"/>
        <v>61.03</v>
      </c>
      <c r="AD1076" s="2">
        <f>ROUND(((((ET1076*1.25))-((EU1076*1.25)))+AE1076),6)</f>
        <v>100.4375</v>
      </c>
      <c r="AE1076" s="2">
        <f>ROUND(((EU1076*1.25)),6)</f>
        <v>15.5375</v>
      </c>
      <c r="AF1076" s="2">
        <f>ROUND(((EV1076*1.15)),6)</f>
        <v>628.41750000000002</v>
      </c>
      <c r="AG1076" s="2">
        <f t="shared" si="923"/>
        <v>0</v>
      </c>
      <c r="AH1076" s="2">
        <f>((EW1076*1.15))</f>
        <v>49.794999999999995</v>
      </c>
      <c r="AI1076" s="2">
        <f>((EX1076*1.25))</f>
        <v>0</v>
      </c>
      <c r="AJ1076" s="2">
        <f t="shared" si="924"/>
        <v>0</v>
      </c>
      <c r="AK1076" s="2">
        <v>687.83</v>
      </c>
      <c r="AL1076" s="2">
        <v>61.03</v>
      </c>
      <c r="AM1076" s="2">
        <v>80.349999999999994</v>
      </c>
      <c r="AN1076" s="2">
        <v>12.43</v>
      </c>
      <c r="AO1076" s="2">
        <v>546.45000000000005</v>
      </c>
      <c r="AP1076" s="2">
        <v>0</v>
      </c>
      <c r="AQ1076" s="2">
        <v>43.3</v>
      </c>
      <c r="AR1076" s="2">
        <v>0</v>
      </c>
      <c r="AS1076" s="2">
        <v>0</v>
      </c>
      <c r="AT1076" s="2">
        <v>110</v>
      </c>
      <c r="AU1076" s="2">
        <v>74</v>
      </c>
      <c r="AV1076" s="2">
        <v>1</v>
      </c>
      <c r="AW1076" s="2">
        <v>1</v>
      </c>
      <c r="AX1076" s="2"/>
      <c r="AY1076" s="2"/>
      <c r="AZ1076" s="2">
        <v>1</v>
      </c>
      <c r="BA1076" s="2">
        <v>1</v>
      </c>
      <c r="BB1076" s="2">
        <v>1</v>
      </c>
      <c r="BC1076" s="2">
        <v>1</v>
      </c>
      <c r="BD1076" s="2" t="s">
        <v>3</v>
      </c>
      <c r="BE1076" s="2" t="s">
        <v>3</v>
      </c>
      <c r="BF1076" s="2" t="s">
        <v>3</v>
      </c>
      <c r="BG1076" s="2" t="s">
        <v>3</v>
      </c>
      <c r="BH1076" s="2">
        <v>0</v>
      </c>
      <c r="BI1076" s="2">
        <v>1</v>
      </c>
      <c r="BJ1076" s="2" t="s">
        <v>885</v>
      </c>
      <c r="BK1076" s="2"/>
      <c r="BL1076" s="2"/>
      <c r="BM1076" s="2">
        <v>1623</v>
      </c>
      <c r="BN1076" s="2">
        <v>0</v>
      </c>
      <c r="BO1076" s="2" t="s">
        <v>3</v>
      </c>
      <c r="BP1076" s="2">
        <v>0</v>
      </c>
      <c r="BQ1076" s="2">
        <v>30</v>
      </c>
      <c r="BR1076" s="2">
        <v>0</v>
      </c>
      <c r="BS1076" s="2">
        <v>1</v>
      </c>
      <c r="BT1076" s="2">
        <v>1</v>
      </c>
      <c r="BU1076" s="2">
        <v>1</v>
      </c>
      <c r="BV1076" s="2">
        <v>1</v>
      </c>
      <c r="BW1076" s="2">
        <v>1</v>
      </c>
      <c r="BX1076" s="2">
        <v>1</v>
      </c>
      <c r="BY1076" s="2" t="s">
        <v>3</v>
      </c>
      <c r="BZ1076" s="2">
        <v>110</v>
      </c>
      <c r="CA1076" s="2">
        <v>74</v>
      </c>
      <c r="CB1076" s="2" t="s">
        <v>3</v>
      </c>
      <c r="CC1076" s="2"/>
      <c r="CD1076" s="2"/>
      <c r="CE1076" s="2">
        <v>30</v>
      </c>
      <c r="CF1076" s="2">
        <v>0</v>
      </c>
      <c r="CG1076" s="2">
        <v>0</v>
      </c>
      <c r="CH1076" s="2"/>
      <c r="CI1076" s="2"/>
      <c r="CJ1076" s="2"/>
      <c r="CK1076" s="2"/>
      <c r="CL1076" s="2"/>
      <c r="CM1076" s="2">
        <v>0</v>
      </c>
      <c r="CN1076" s="2" t="s">
        <v>1559</v>
      </c>
      <c r="CO1076" s="2">
        <v>0</v>
      </c>
      <c r="CP1076" s="2">
        <f t="shared" si="925"/>
        <v>7.8900000000000006</v>
      </c>
      <c r="CQ1076" s="2">
        <f t="shared" si="926"/>
        <v>61.03</v>
      </c>
      <c r="CR1076" s="2">
        <f>(ROUND((ROUND((((ET1076*1.25))*AV1076*1),2)*BB1076),2)+ROUND((ROUND(((AE1076-((EU1076*1.25)))*AV1076*1),2)*BS1076),2))</f>
        <v>100.44</v>
      </c>
      <c r="CS1076" s="2">
        <f t="shared" si="927"/>
        <v>15.54</v>
      </c>
      <c r="CT1076" s="2">
        <f t="shared" si="928"/>
        <v>628.41999999999996</v>
      </c>
      <c r="CU1076" s="2">
        <f t="shared" si="929"/>
        <v>0</v>
      </c>
      <c r="CV1076" s="2">
        <f t="shared" si="930"/>
        <v>49.794999999999995</v>
      </c>
      <c r="CW1076" s="2">
        <f t="shared" si="931"/>
        <v>0</v>
      </c>
      <c r="CX1076" s="2">
        <f t="shared" si="932"/>
        <v>0</v>
      </c>
      <c r="CY1076" s="2">
        <f>((S1076*BZ1076)/100)</f>
        <v>6.9080000000000004</v>
      </c>
      <c r="CZ1076" s="2">
        <f>((S1076*CA1076)/100)</f>
        <v>4.6472000000000007</v>
      </c>
      <c r="DA1076" s="2"/>
      <c r="DB1076" s="2"/>
      <c r="DC1076" s="2" t="s">
        <v>3</v>
      </c>
      <c r="DD1076" s="2" t="s">
        <v>3</v>
      </c>
      <c r="DE1076" s="2" t="s">
        <v>86</v>
      </c>
      <c r="DF1076" s="2" t="s">
        <v>86</v>
      </c>
      <c r="DG1076" s="2" t="s">
        <v>87</v>
      </c>
      <c r="DH1076" s="2" t="s">
        <v>3</v>
      </c>
      <c r="DI1076" s="2" t="s">
        <v>87</v>
      </c>
      <c r="DJ1076" s="2" t="s">
        <v>86</v>
      </c>
      <c r="DK1076" s="2" t="s">
        <v>3</v>
      </c>
      <c r="DL1076" s="2" t="s">
        <v>3</v>
      </c>
      <c r="DM1076" s="2" t="s">
        <v>3</v>
      </c>
      <c r="DN1076" s="2">
        <v>0</v>
      </c>
      <c r="DO1076" s="2">
        <v>0</v>
      </c>
      <c r="DP1076" s="2">
        <v>1</v>
      </c>
      <c r="DQ1076" s="2">
        <v>1</v>
      </c>
      <c r="DR1076" s="2"/>
      <c r="DS1076" s="2"/>
      <c r="DT1076" s="2"/>
      <c r="DU1076" s="2">
        <v>1013</v>
      </c>
      <c r="DV1076" s="2" t="s">
        <v>884</v>
      </c>
      <c r="DW1076" s="2" t="s">
        <v>884</v>
      </c>
      <c r="DX1076" s="2">
        <v>1</v>
      </c>
      <c r="DY1076" s="2"/>
      <c r="DZ1076" s="2" t="s">
        <v>3</v>
      </c>
      <c r="EA1076" s="2" t="s">
        <v>3</v>
      </c>
      <c r="EB1076" s="2" t="s">
        <v>3</v>
      </c>
      <c r="EC1076" s="2" t="s">
        <v>3</v>
      </c>
      <c r="ED1076" s="2"/>
      <c r="EE1076" s="2">
        <v>126053084</v>
      </c>
      <c r="EF1076" s="2">
        <v>30</v>
      </c>
      <c r="EG1076" s="2" t="s">
        <v>23</v>
      </c>
      <c r="EH1076" s="2">
        <v>0</v>
      </c>
      <c r="EI1076" s="2" t="s">
        <v>3</v>
      </c>
      <c r="EJ1076" s="2">
        <v>1</v>
      </c>
      <c r="EK1076" s="2">
        <v>1623</v>
      </c>
      <c r="EL1076" s="2" t="s">
        <v>824</v>
      </c>
      <c r="EM1076" s="2" t="s">
        <v>825</v>
      </c>
      <c r="EN1076" s="2"/>
      <c r="EO1076" s="2" t="s">
        <v>90</v>
      </c>
      <c r="EP1076" s="2"/>
      <c r="EQ1076" s="2">
        <v>131072</v>
      </c>
      <c r="ER1076" s="2">
        <v>687.83</v>
      </c>
      <c r="ES1076" s="2">
        <v>61.03</v>
      </c>
      <c r="ET1076" s="2">
        <v>80.349999999999994</v>
      </c>
      <c r="EU1076" s="2">
        <v>12.43</v>
      </c>
      <c r="EV1076" s="2">
        <v>546.45000000000005</v>
      </c>
      <c r="EW1076" s="2">
        <v>43.3</v>
      </c>
      <c r="EX1076" s="2">
        <v>0</v>
      </c>
      <c r="EY1076" s="2">
        <v>0</v>
      </c>
      <c r="EZ1076" s="2"/>
      <c r="FA1076" s="2"/>
      <c r="FB1076" s="2"/>
      <c r="FC1076" s="2"/>
      <c r="FD1076" s="2"/>
      <c r="FE1076" s="2"/>
      <c r="FF1076" s="2"/>
      <c r="FG1076" s="2"/>
      <c r="FH1076" s="2"/>
      <c r="FI1076" s="2"/>
      <c r="FJ1076" s="2"/>
      <c r="FK1076" s="2"/>
      <c r="FL1076" s="2"/>
      <c r="FM1076" s="2"/>
      <c r="FN1076" s="2"/>
      <c r="FO1076" s="2"/>
      <c r="FP1076" s="2"/>
      <c r="FQ1076" s="2">
        <v>0</v>
      </c>
      <c r="FR1076" s="2">
        <f t="shared" si="933"/>
        <v>0</v>
      </c>
      <c r="FS1076" s="2">
        <v>0</v>
      </c>
      <c r="FT1076" s="2"/>
      <c r="FU1076" s="2"/>
      <c r="FV1076" s="2"/>
      <c r="FW1076" s="2"/>
      <c r="FX1076" s="2">
        <v>110</v>
      </c>
      <c r="FY1076" s="2">
        <v>74</v>
      </c>
      <c r="FZ1076" s="2"/>
      <c r="GA1076" s="2" t="s">
        <v>3</v>
      </c>
      <c r="GB1076" s="2"/>
      <c r="GC1076" s="2"/>
      <c r="GD1076" s="2">
        <v>0</v>
      </c>
      <c r="GE1076" s="2"/>
      <c r="GF1076" s="2">
        <v>-1514873996</v>
      </c>
      <c r="GG1076" s="2">
        <v>2</v>
      </c>
      <c r="GH1076" s="2">
        <v>1</v>
      </c>
      <c r="GI1076" s="2">
        <v>-2</v>
      </c>
      <c r="GJ1076" s="2">
        <v>0</v>
      </c>
      <c r="GK1076" s="2">
        <f>ROUND(R1076*(R12)/100,2)</f>
        <v>0.28000000000000003</v>
      </c>
      <c r="GL1076" s="2">
        <f t="shared" si="934"/>
        <v>0</v>
      </c>
      <c r="GM1076" s="2">
        <f t="shared" si="935"/>
        <v>19.73</v>
      </c>
      <c r="GN1076" s="2">
        <f t="shared" si="936"/>
        <v>19.73</v>
      </c>
      <c r="GO1076" s="2">
        <f t="shared" si="937"/>
        <v>0</v>
      </c>
      <c r="GP1076" s="2">
        <f t="shared" si="938"/>
        <v>0</v>
      </c>
      <c r="GQ1076" s="2"/>
      <c r="GR1076" s="2">
        <v>0</v>
      </c>
      <c r="GS1076" s="2">
        <v>0</v>
      </c>
      <c r="GT1076" s="2">
        <v>0</v>
      </c>
      <c r="GU1076" s="2" t="s">
        <v>3</v>
      </c>
      <c r="GV1076" s="2">
        <f t="shared" si="939"/>
        <v>0</v>
      </c>
      <c r="GW1076" s="2">
        <v>1</v>
      </c>
      <c r="GX1076" s="2">
        <f t="shared" si="940"/>
        <v>0</v>
      </c>
      <c r="GY1076" s="2"/>
      <c r="GZ1076" s="2"/>
      <c r="HA1076" s="2">
        <v>0</v>
      </c>
      <c r="HB1076" s="2">
        <v>0</v>
      </c>
      <c r="HC1076" s="2">
        <f t="shared" si="941"/>
        <v>0</v>
      </c>
      <c r="HD1076" s="2"/>
      <c r="HE1076" s="2" t="s">
        <v>3</v>
      </c>
      <c r="HF1076" s="2" t="s">
        <v>3</v>
      </c>
      <c r="HG1076" s="2"/>
      <c r="HH1076" s="2"/>
      <c r="HI1076" s="2"/>
      <c r="HJ1076" s="2"/>
      <c r="HK1076" s="2"/>
      <c r="HL1076" s="2"/>
      <c r="HM1076" s="2" t="s">
        <v>3</v>
      </c>
      <c r="HN1076" s="2" t="s">
        <v>3</v>
      </c>
      <c r="HO1076" s="2" t="s">
        <v>3</v>
      </c>
      <c r="HP1076" s="2" t="s">
        <v>3</v>
      </c>
      <c r="HQ1076" s="2" t="s">
        <v>3</v>
      </c>
      <c r="HR1076" s="2"/>
      <c r="HS1076" s="2"/>
      <c r="HT1076" s="2"/>
      <c r="HU1076" s="2"/>
      <c r="HV1076" s="2"/>
      <c r="HW1076" s="2"/>
      <c r="HX1076" s="2"/>
      <c r="HY1076" s="2"/>
      <c r="HZ1076" s="2"/>
      <c r="IA1076" s="2"/>
      <c r="IB1076" s="2"/>
      <c r="IC1076" s="2"/>
      <c r="ID1076" s="2"/>
      <c r="IE1076" s="2"/>
      <c r="IF1076" s="2"/>
      <c r="IG1076" s="2"/>
      <c r="IH1076" s="2"/>
      <c r="II1076" s="2"/>
      <c r="IJ1076" s="2"/>
      <c r="IK1076" s="2">
        <v>0</v>
      </c>
      <c r="IL1076" s="2"/>
      <c r="IM1076" s="2"/>
      <c r="IN1076" s="2"/>
      <c r="IO1076" s="2"/>
      <c r="IP1076" s="2"/>
      <c r="IQ1076" s="2"/>
      <c r="IR1076" s="2"/>
      <c r="IS1076" s="2"/>
      <c r="IT1076" s="2"/>
      <c r="IU1076" s="2"/>
    </row>
    <row r="1077" spans="1:255" x14ac:dyDescent="0.2">
      <c r="A1077">
        <v>17</v>
      </c>
      <c r="B1077">
        <v>1</v>
      </c>
      <c r="C1077">
        <f>ROW(SmtRes!A920)</f>
        <v>920</v>
      </c>
      <c r="D1077">
        <f>ROW(EtalonRes!A892)</f>
        <v>892</v>
      </c>
      <c r="E1077" t="s">
        <v>181</v>
      </c>
      <c r="F1077" t="s">
        <v>882</v>
      </c>
      <c r="G1077" t="s">
        <v>883</v>
      </c>
      <c r="H1077" t="s">
        <v>884</v>
      </c>
      <c r="I1077">
        <v>0.01</v>
      </c>
      <c r="J1077">
        <v>0</v>
      </c>
      <c r="K1077">
        <v>0.01</v>
      </c>
      <c r="O1077">
        <f t="shared" si="911"/>
        <v>196.84</v>
      </c>
      <c r="P1077">
        <f t="shared" si="912"/>
        <v>3.32</v>
      </c>
      <c r="Q1077">
        <f>(ROUND((ROUND((((ET1077*1.25))*AV1077*I1077),2)*BB1077),2)+ROUND((ROUND(((AE1077-((EU1077*1.25)))*AV1077*I1077),2)*BS1077),2))</f>
        <v>11.21</v>
      </c>
      <c r="R1077">
        <f t="shared" si="913"/>
        <v>4.6399999999999997</v>
      </c>
      <c r="S1077">
        <f t="shared" si="914"/>
        <v>182.31</v>
      </c>
      <c r="T1077">
        <f t="shared" si="915"/>
        <v>0</v>
      </c>
      <c r="U1077">
        <f t="shared" si="916"/>
        <v>0.49794999999999995</v>
      </c>
      <c r="V1077">
        <f t="shared" si="917"/>
        <v>0</v>
      </c>
      <c r="W1077">
        <f t="shared" si="918"/>
        <v>0</v>
      </c>
      <c r="X1077">
        <f t="shared" si="919"/>
        <v>164.08</v>
      </c>
      <c r="Y1077">
        <f t="shared" si="920"/>
        <v>74.75</v>
      </c>
      <c r="AA1077">
        <v>129761633</v>
      </c>
      <c r="AB1077">
        <f t="shared" si="921"/>
        <v>789.88499999999999</v>
      </c>
      <c r="AC1077">
        <f t="shared" si="922"/>
        <v>61.03</v>
      </c>
      <c r="AD1077">
        <f>ROUND(((((ET1077*1.25))-((EU1077*1.25)))+AE1077),6)</f>
        <v>100.4375</v>
      </c>
      <c r="AE1077">
        <f>ROUND(((EU1077*1.25)),6)</f>
        <v>15.5375</v>
      </c>
      <c r="AF1077">
        <f>ROUND(((EV1077*1.15)),6)</f>
        <v>628.41750000000002</v>
      </c>
      <c r="AG1077">
        <f t="shared" si="923"/>
        <v>0</v>
      </c>
      <c r="AH1077">
        <f>((EW1077*1.15))</f>
        <v>49.794999999999995</v>
      </c>
      <c r="AI1077">
        <f>((EX1077*1.25))</f>
        <v>0</v>
      </c>
      <c r="AJ1077">
        <f t="shared" si="924"/>
        <v>0</v>
      </c>
      <c r="AK1077">
        <v>687.83</v>
      </c>
      <c r="AL1077">
        <v>61.03</v>
      </c>
      <c r="AM1077">
        <v>80.349999999999994</v>
      </c>
      <c r="AN1077">
        <v>12.43</v>
      </c>
      <c r="AO1077">
        <v>546.45000000000005</v>
      </c>
      <c r="AP1077">
        <v>0</v>
      </c>
      <c r="AQ1077">
        <v>43.3</v>
      </c>
      <c r="AR1077">
        <v>0</v>
      </c>
      <c r="AS1077">
        <v>0</v>
      </c>
      <c r="AT1077">
        <v>90</v>
      </c>
      <c r="AU1077">
        <v>41</v>
      </c>
      <c r="AV1077">
        <v>1</v>
      </c>
      <c r="AW1077">
        <v>1</v>
      </c>
      <c r="AZ1077">
        <v>1</v>
      </c>
      <c r="BA1077">
        <v>29.03</v>
      </c>
      <c r="BB1077">
        <v>11.21</v>
      </c>
      <c r="BC1077">
        <v>5.45</v>
      </c>
      <c r="BD1077" t="s">
        <v>3</v>
      </c>
      <c r="BE1077" t="s">
        <v>3</v>
      </c>
      <c r="BF1077" t="s">
        <v>3</v>
      </c>
      <c r="BG1077" t="s">
        <v>3</v>
      </c>
      <c r="BH1077">
        <v>0</v>
      </c>
      <c r="BI1077">
        <v>1</v>
      </c>
      <c r="BJ1077" t="s">
        <v>885</v>
      </c>
      <c r="BM1077">
        <v>1623</v>
      </c>
      <c r="BN1077">
        <v>0</v>
      </c>
      <c r="BO1077" t="s">
        <v>882</v>
      </c>
      <c r="BP1077">
        <v>1</v>
      </c>
      <c r="BQ1077">
        <v>30</v>
      </c>
      <c r="BR1077">
        <v>0</v>
      </c>
      <c r="BS1077">
        <v>29.03</v>
      </c>
      <c r="BT1077">
        <v>1</v>
      </c>
      <c r="BU1077">
        <v>1</v>
      </c>
      <c r="BV1077">
        <v>1</v>
      </c>
      <c r="BW1077">
        <v>1</v>
      </c>
      <c r="BX1077">
        <v>1</v>
      </c>
      <c r="BY1077" t="s">
        <v>3</v>
      </c>
      <c r="BZ1077">
        <v>90</v>
      </c>
      <c r="CA1077">
        <v>41</v>
      </c>
      <c r="CB1077" t="s">
        <v>3</v>
      </c>
      <c r="CE1077">
        <v>30</v>
      </c>
      <c r="CF1077">
        <v>0</v>
      </c>
      <c r="CG1077">
        <v>0</v>
      </c>
      <c r="CM1077">
        <v>0</v>
      </c>
      <c r="CN1077" t="s">
        <v>1559</v>
      </c>
      <c r="CO1077">
        <v>0</v>
      </c>
      <c r="CP1077">
        <f t="shared" si="925"/>
        <v>196.84</v>
      </c>
      <c r="CQ1077">
        <f t="shared" si="926"/>
        <v>332.61</v>
      </c>
      <c r="CR1077">
        <f>(ROUND((ROUND((((ET1077*1.25))*AV1077*1),2)*BB1077),2)+ROUND((ROUND(((AE1077-((EU1077*1.25)))*AV1077*1),2)*BS1077),2))</f>
        <v>1125.93</v>
      </c>
      <c r="CS1077">
        <f t="shared" si="927"/>
        <v>451.13</v>
      </c>
      <c r="CT1077">
        <f t="shared" si="928"/>
        <v>18243.03</v>
      </c>
      <c r="CU1077">
        <f t="shared" si="929"/>
        <v>0</v>
      </c>
      <c r="CV1077">
        <f t="shared" si="930"/>
        <v>49.794999999999995</v>
      </c>
      <c r="CW1077">
        <f t="shared" si="931"/>
        <v>0</v>
      </c>
      <c r="CX1077">
        <f t="shared" si="932"/>
        <v>0</v>
      </c>
      <c r="CY1077">
        <f>S1077*(BZ1077/100)</f>
        <v>164.07900000000001</v>
      </c>
      <c r="CZ1077">
        <f>S1077*(CA1077/100)</f>
        <v>74.747100000000003</v>
      </c>
      <c r="DC1077" t="s">
        <v>3</v>
      </c>
      <c r="DD1077" t="s">
        <v>3</v>
      </c>
      <c r="DE1077" t="s">
        <v>86</v>
      </c>
      <c r="DF1077" t="s">
        <v>86</v>
      </c>
      <c r="DG1077" t="s">
        <v>87</v>
      </c>
      <c r="DH1077" t="s">
        <v>3</v>
      </c>
      <c r="DI1077" t="s">
        <v>87</v>
      </c>
      <c r="DJ1077" t="s">
        <v>86</v>
      </c>
      <c r="DK1077" t="s">
        <v>3</v>
      </c>
      <c r="DL1077" t="s">
        <v>3</v>
      </c>
      <c r="DM1077" t="s">
        <v>3</v>
      </c>
      <c r="DN1077">
        <v>110</v>
      </c>
      <c r="DO1077">
        <v>74</v>
      </c>
      <c r="DP1077">
        <v>1</v>
      </c>
      <c r="DQ1077">
        <v>1</v>
      </c>
      <c r="DU1077">
        <v>1013</v>
      </c>
      <c r="DV1077" t="s">
        <v>884</v>
      </c>
      <c r="DW1077" t="s">
        <v>884</v>
      </c>
      <c r="DX1077">
        <v>1</v>
      </c>
      <c r="DZ1077" t="s">
        <v>3</v>
      </c>
      <c r="EA1077" t="s">
        <v>3</v>
      </c>
      <c r="EB1077" t="s">
        <v>3</v>
      </c>
      <c r="EC1077" t="s">
        <v>3</v>
      </c>
      <c r="EE1077">
        <v>126053084</v>
      </c>
      <c r="EF1077">
        <v>30</v>
      </c>
      <c r="EG1077" t="s">
        <v>23</v>
      </c>
      <c r="EH1077">
        <v>0</v>
      </c>
      <c r="EI1077" t="s">
        <v>3</v>
      </c>
      <c r="EJ1077">
        <v>1</v>
      </c>
      <c r="EK1077">
        <v>1623</v>
      </c>
      <c r="EL1077" t="s">
        <v>824</v>
      </c>
      <c r="EM1077" t="s">
        <v>825</v>
      </c>
      <c r="EO1077" t="s">
        <v>90</v>
      </c>
      <c r="EQ1077">
        <v>131072</v>
      </c>
      <c r="ER1077">
        <v>687.83</v>
      </c>
      <c r="ES1077">
        <v>61.03</v>
      </c>
      <c r="ET1077">
        <v>80.349999999999994</v>
      </c>
      <c r="EU1077">
        <v>12.43</v>
      </c>
      <c r="EV1077">
        <v>546.45000000000005</v>
      </c>
      <c r="EW1077">
        <v>43.3</v>
      </c>
      <c r="EX1077">
        <v>0</v>
      </c>
      <c r="EY1077">
        <v>0</v>
      </c>
      <c r="FQ1077">
        <v>0</v>
      </c>
      <c r="FR1077">
        <f t="shared" si="933"/>
        <v>0</v>
      </c>
      <c r="FS1077">
        <v>0</v>
      </c>
      <c r="FX1077">
        <v>110</v>
      </c>
      <c r="FY1077">
        <v>74</v>
      </c>
      <c r="GA1077" t="s">
        <v>3</v>
      </c>
      <c r="GD1077">
        <v>0</v>
      </c>
      <c r="GF1077">
        <v>-1514873996</v>
      </c>
      <c r="GG1077">
        <v>2</v>
      </c>
      <c r="GH1077">
        <v>1</v>
      </c>
      <c r="GI1077">
        <v>2</v>
      </c>
      <c r="GJ1077">
        <v>0</v>
      </c>
      <c r="GK1077">
        <f>ROUND(R1077*(S12)/100,2)</f>
        <v>7.42</v>
      </c>
      <c r="GL1077">
        <f t="shared" si="934"/>
        <v>0</v>
      </c>
      <c r="GM1077">
        <f t="shared" si="935"/>
        <v>443.09</v>
      </c>
      <c r="GN1077">
        <f t="shared" si="936"/>
        <v>443.09</v>
      </c>
      <c r="GO1077">
        <f t="shared" si="937"/>
        <v>0</v>
      </c>
      <c r="GP1077">
        <f t="shared" si="938"/>
        <v>0</v>
      </c>
      <c r="GR1077">
        <v>0</v>
      </c>
      <c r="GS1077">
        <v>3</v>
      </c>
      <c r="GT1077">
        <v>0</v>
      </c>
      <c r="GU1077" t="s">
        <v>3</v>
      </c>
      <c r="GV1077">
        <f t="shared" si="939"/>
        <v>0</v>
      </c>
      <c r="GW1077">
        <v>1</v>
      </c>
      <c r="GX1077">
        <f t="shared" si="940"/>
        <v>0</v>
      </c>
      <c r="HA1077">
        <v>0</v>
      </c>
      <c r="HB1077">
        <v>0</v>
      </c>
      <c r="HC1077">
        <f t="shared" si="941"/>
        <v>0</v>
      </c>
      <c r="HE1077" t="s">
        <v>3</v>
      </c>
      <c r="HF1077" t="s">
        <v>3</v>
      </c>
      <c r="HM1077" t="s">
        <v>3</v>
      </c>
      <c r="HN1077" t="s">
        <v>3</v>
      </c>
      <c r="HO1077" t="s">
        <v>3</v>
      </c>
      <c r="HP1077" t="s">
        <v>3</v>
      </c>
      <c r="HQ1077" t="s">
        <v>3</v>
      </c>
      <c r="IK1077">
        <v>0</v>
      </c>
    </row>
    <row r="1078" spans="1:255" x14ac:dyDescent="0.2">
      <c r="A1078" s="2">
        <v>18</v>
      </c>
      <c r="B1078" s="2">
        <v>1</v>
      </c>
      <c r="C1078" s="2">
        <v>907</v>
      </c>
      <c r="D1078" s="2"/>
      <c r="E1078" s="2" t="s">
        <v>190</v>
      </c>
      <c r="F1078" s="2" t="s">
        <v>886</v>
      </c>
      <c r="G1078" s="2" t="s">
        <v>887</v>
      </c>
      <c r="H1078" s="2" t="s">
        <v>270</v>
      </c>
      <c r="I1078" s="2">
        <f>I1076*J1078</f>
        <v>1</v>
      </c>
      <c r="J1078" s="2">
        <v>100</v>
      </c>
      <c r="K1078" s="2">
        <v>100</v>
      </c>
      <c r="L1078" s="2"/>
      <c r="M1078" s="2"/>
      <c r="N1078" s="2"/>
      <c r="O1078" s="2">
        <f t="shared" si="911"/>
        <v>31.42</v>
      </c>
      <c r="P1078" s="2">
        <f t="shared" si="912"/>
        <v>31.42</v>
      </c>
      <c r="Q1078" s="2">
        <f>(ROUND((ROUND(((ET1078)*AV1078*I1078),2)*BB1078),2)+ROUND((ROUND(((AE1078-(EU1078))*AV1078*I1078),2)*BS1078),2))</f>
        <v>0</v>
      </c>
      <c r="R1078" s="2">
        <f t="shared" si="913"/>
        <v>0</v>
      </c>
      <c r="S1078" s="2">
        <f t="shared" si="914"/>
        <v>0</v>
      </c>
      <c r="T1078" s="2">
        <f t="shared" si="915"/>
        <v>0</v>
      </c>
      <c r="U1078" s="2">
        <f t="shared" si="916"/>
        <v>0</v>
      </c>
      <c r="V1078" s="2">
        <f t="shared" si="917"/>
        <v>0</v>
      </c>
      <c r="W1078" s="2">
        <f t="shared" si="918"/>
        <v>0</v>
      </c>
      <c r="X1078" s="2">
        <f t="shared" si="919"/>
        <v>0</v>
      </c>
      <c r="Y1078" s="2">
        <f t="shared" si="920"/>
        <v>0</v>
      </c>
      <c r="Z1078" s="2"/>
      <c r="AA1078" s="2">
        <v>129761636</v>
      </c>
      <c r="AB1078" s="2">
        <f t="shared" si="921"/>
        <v>31.42</v>
      </c>
      <c r="AC1078" s="2">
        <f t="shared" si="922"/>
        <v>31.42</v>
      </c>
      <c r="AD1078" s="2">
        <f>ROUND((((ET1078)-(EU1078))+AE1078),6)</f>
        <v>0</v>
      </c>
      <c r="AE1078" s="2">
        <f>ROUND((EU1078),6)</f>
        <v>0</v>
      </c>
      <c r="AF1078" s="2">
        <f>ROUND((EV1078),6)</f>
        <v>0</v>
      </c>
      <c r="AG1078" s="2">
        <f t="shared" si="923"/>
        <v>0</v>
      </c>
      <c r="AH1078" s="2">
        <f>(EW1078)</f>
        <v>0</v>
      </c>
      <c r="AI1078" s="2">
        <f>(EX1078)</f>
        <v>0</v>
      </c>
      <c r="AJ1078" s="2">
        <f t="shared" si="924"/>
        <v>0</v>
      </c>
      <c r="AK1078" s="2">
        <v>31.42</v>
      </c>
      <c r="AL1078" s="2">
        <v>31.42</v>
      </c>
      <c r="AM1078" s="2">
        <v>0</v>
      </c>
      <c r="AN1078" s="2">
        <v>0</v>
      </c>
      <c r="AO1078" s="2">
        <v>0</v>
      </c>
      <c r="AP1078" s="2">
        <v>0</v>
      </c>
      <c r="AQ1078" s="2">
        <v>0</v>
      </c>
      <c r="AR1078" s="2">
        <v>0</v>
      </c>
      <c r="AS1078" s="2">
        <v>0</v>
      </c>
      <c r="AT1078" s="2">
        <v>110</v>
      </c>
      <c r="AU1078" s="2">
        <v>74</v>
      </c>
      <c r="AV1078" s="2">
        <v>1</v>
      </c>
      <c r="AW1078" s="2">
        <v>1</v>
      </c>
      <c r="AX1078" s="2"/>
      <c r="AY1078" s="2"/>
      <c r="AZ1078" s="2">
        <v>1</v>
      </c>
      <c r="BA1078" s="2">
        <v>1</v>
      </c>
      <c r="BB1078" s="2">
        <v>1</v>
      </c>
      <c r="BC1078" s="2">
        <v>1</v>
      </c>
      <c r="BD1078" s="2" t="s">
        <v>3</v>
      </c>
      <c r="BE1078" s="2" t="s">
        <v>3</v>
      </c>
      <c r="BF1078" s="2" t="s">
        <v>3</v>
      </c>
      <c r="BG1078" s="2" t="s">
        <v>3</v>
      </c>
      <c r="BH1078" s="2">
        <v>3</v>
      </c>
      <c r="BI1078" s="2">
        <v>1</v>
      </c>
      <c r="BJ1078" s="2" t="s">
        <v>888</v>
      </c>
      <c r="BK1078" s="2"/>
      <c r="BL1078" s="2"/>
      <c r="BM1078" s="2">
        <v>1623</v>
      </c>
      <c r="BN1078" s="2">
        <v>0</v>
      </c>
      <c r="BO1078" s="2" t="s">
        <v>3</v>
      </c>
      <c r="BP1078" s="2">
        <v>0</v>
      </c>
      <c r="BQ1078" s="2">
        <v>30</v>
      </c>
      <c r="BR1078" s="2">
        <v>0</v>
      </c>
      <c r="BS1078" s="2">
        <v>1</v>
      </c>
      <c r="BT1078" s="2">
        <v>1</v>
      </c>
      <c r="BU1078" s="2">
        <v>1</v>
      </c>
      <c r="BV1078" s="2">
        <v>1</v>
      </c>
      <c r="BW1078" s="2">
        <v>1</v>
      </c>
      <c r="BX1078" s="2">
        <v>1</v>
      </c>
      <c r="BY1078" s="2" t="s">
        <v>3</v>
      </c>
      <c r="BZ1078" s="2">
        <v>110</v>
      </c>
      <c r="CA1078" s="2">
        <v>74</v>
      </c>
      <c r="CB1078" s="2" t="s">
        <v>3</v>
      </c>
      <c r="CC1078" s="2"/>
      <c r="CD1078" s="2"/>
      <c r="CE1078" s="2">
        <v>30</v>
      </c>
      <c r="CF1078" s="2">
        <v>0</v>
      </c>
      <c r="CG1078" s="2">
        <v>0</v>
      </c>
      <c r="CH1078" s="2"/>
      <c r="CI1078" s="2"/>
      <c r="CJ1078" s="2"/>
      <c r="CK1078" s="2"/>
      <c r="CL1078" s="2"/>
      <c r="CM1078" s="2">
        <v>0</v>
      </c>
      <c r="CN1078" s="2" t="s">
        <v>3</v>
      </c>
      <c r="CO1078" s="2">
        <v>0</v>
      </c>
      <c r="CP1078" s="2">
        <f t="shared" si="925"/>
        <v>31.42</v>
      </c>
      <c r="CQ1078" s="2">
        <f t="shared" si="926"/>
        <v>31.42</v>
      </c>
      <c r="CR1078" s="2">
        <f>(ROUND((ROUND(((ET1078)*AV1078*1),2)*BB1078),2)+ROUND((ROUND(((AE1078-(EU1078))*AV1078*1),2)*BS1078),2))</f>
        <v>0</v>
      </c>
      <c r="CS1078" s="2">
        <f t="shared" si="927"/>
        <v>0</v>
      </c>
      <c r="CT1078" s="2">
        <f t="shared" si="928"/>
        <v>0</v>
      </c>
      <c r="CU1078" s="2">
        <f t="shared" si="929"/>
        <v>0</v>
      </c>
      <c r="CV1078" s="2">
        <f t="shared" si="930"/>
        <v>0</v>
      </c>
      <c r="CW1078" s="2">
        <f t="shared" si="931"/>
        <v>0</v>
      </c>
      <c r="CX1078" s="2">
        <f t="shared" si="932"/>
        <v>0</v>
      </c>
      <c r="CY1078" s="2">
        <f>((S1078*BZ1078)/100)</f>
        <v>0</v>
      </c>
      <c r="CZ1078" s="2">
        <f>((S1078*CA1078)/100)</f>
        <v>0</v>
      </c>
      <c r="DA1078" s="2"/>
      <c r="DB1078" s="2"/>
      <c r="DC1078" s="2" t="s">
        <v>3</v>
      </c>
      <c r="DD1078" s="2" t="s">
        <v>3</v>
      </c>
      <c r="DE1078" s="2" t="s">
        <v>3</v>
      </c>
      <c r="DF1078" s="2" t="s">
        <v>3</v>
      </c>
      <c r="DG1078" s="2" t="s">
        <v>3</v>
      </c>
      <c r="DH1078" s="2" t="s">
        <v>3</v>
      </c>
      <c r="DI1078" s="2" t="s">
        <v>3</v>
      </c>
      <c r="DJ1078" s="2" t="s">
        <v>3</v>
      </c>
      <c r="DK1078" s="2" t="s">
        <v>3</v>
      </c>
      <c r="DL1078" s="2" t="s">
        <v>3</v>
      </c>
      <c r="DM1078" s="2" t="s">
        <v>3</v>
      </c>
      <c r="DN1078" s="2">
        <v>0</v>
      </c>
      <c r="DO1078" s="2">
        <v>0</v>
      </c>
      <c r="DP1078" s="2">
        <v>1</v>
      </c>
      <c r="DQ1078" s="2">
        <v>1</v>
      </c>
      <c r="DR1078" s="2"/>
      <c r="DS1078" s="2"/>
      <c r="DT1078" s="2"/>
      <c r="DU1078" s="2">
        <v>1003</v>
      </c>
      <c r="DV1078" s="2" t="s">
        <v>270</v>
      </c>
      <c r="DW1078" s="2" t="s">
        <v>270</v>
      </c>
      <c r="DX1078" s="2">
        <v>1</v>
      </c>
      <c r="DY1078" s="2"/>
      <c r="DZ1078" s="2" t="s">
        <v>3</v>
      </c>
      <c r="EA1078" s="2" t="s">
        <v>3</v>
      </c>
      <c r="EB1078" s="2" t="s">
        <v>3</v>
      </c>
      <c r="EC1078" s="2" t="s">
        <v>3</v>
      </c>
      <c r="ED1078" s="2"/>
      <c r="EE1078" s="2">
        <v>126053084</v>
      </c>
      <c r="EF1078" s="2">
        <v>30</v>
      </c>
      <c r="EG1078" s="2" t="s">
        <v>23</v>
      </c>
      <c r="EH1078" s="2">
        <v>0</v>
      </c>
      <c r="EI1078" s="2" t="s">
        <v>3</v>
      </c>
      <c r="EJ1078" s="2">
        <v>1</v>
      </c>
      <c r="EK1078" s="2">
        <v>1623</v>
      </c>
      <c r="EL1078" s="2" t="s">
        <v>824</v>
      </c>
      <c r="EM1078" s="2" t="s">
        <v>825</v>
      </c>
      <c r="EN1078" s="2"/>
      <c r="EO1078" s="2" t="s">
        <v>3</v>
      </c>
      <c r="EP1078" s="2"/>
      <c r="EQ1078" s="2">
        <v>0</v>
      </c>
      <c r="ER1078" s="2">
        <v>31.42</v>
      </c>
      <c r="ES1078" s="2">
        <v>31.42</v>
      </c>
      <c r="ET1078" s="2">
        <v>0</v>
      </c>
      <c r="EU1078" s="2">
        <v>0</v>
      </c>
      <c r="EV1078" s="2">
        <v>0</v>
      </c>
      <c r="EW1078" s="2">
        <v>0</v>
      </c>
      <c r="EX1078" s="2">
        <v>0</v>
      </c>
      <c r="EY1078" s="2"/>
      <c r="EZ1078" s="2"/>
      <c r="FA1078" s="2"/>
      <c r="FB1078" s="2"/>
      <c r="FC1078" s="2"/>
      <c r="FD1078" s="2"/>
      <c r="FE1078" s="2"/>
      <c r="FF1078" s="2"/>
      <c r="FG1078" s="2"/>
      <c r="FH1078" s="2"/>
      <c r="FI1078" s="2"/>
      <c r="FJ1078" s="2"/>
      <c r="FK1078" s="2"/>
      <c r="FL1078" s="2"/>
      <c r="FM1078" s="2"/>
      <c r="FN1078" s="2"/>
      <c r="FO1078" s="2"/>
      <c r="FP1078" s="2"/>
      <c r="FQ1078" s="2">
        <v>0</v>
      </c>
      <c r="FR1078" s="2">
        <f t="shared" si="933"/>
        <v>0</v>
      </c>
      <c r="FS1078" s="2">
        <v>0</v>
      </c>
      <c r="FT1078" s="2"/>
      <c r="FU1078" s="2"/>
      <c r="FV1078" s="2"/>
      <c r="FW1078" s="2"/>
      <c r="FX1078" s="2">
        <v>110</v>
      </c>
      <c r="FY1078" s="2">
        <v>74</v>
      </c>
      <c r="FZ1078" s="2"/>
      <c r="GA1078" s="2" t="s">
        <v>3</v>
      </c>
      <c r="GB1078" s="2"/>
      <c r="GC1078" s="2"/>
      <c r="GD1078" s="2">
        <v>0</v>
      </c>
      <c r="GE1078" s="2"/>
      <c r="GF1078" s="2">
        <v>1721147367</v>
      </c>
      <c r="GG1078" s="2">
        <v>2</v>
      </c>
      <c r="GH1078" s="2">
        <v>1</v>
      </c>
      <c r="GI1078" s="2">
        <v>-2</v>
      </c>
      <c r="GJ1078" s="2">
        <v>0</v>
      </c>
      <c r="GK1078" s="2">
        <f>ROUND(R1078*(R12)/100,2)</f>
        <v>0</v>
      </c>
      <c r="GL1078" s="2">
        <f t="shared" si="934"/>
        <v>0</v>
      </c>
      <c r="GM1078" s="2">
        <f t="shared" si="935"/>
        <v>31.42</v>
      </c>
      <c r="GN1078" s="2">
        <f t="shared" si="936"/>
        <v>31.42</v>
      </c>
      <c r="GO1078" s="2">
        <f t="shared" si="937"/>
        <v>0</v>
      </c>
      <c r="GP1078" s="2">
        <f t="shared" si="938"/>
        <v>0</v>
      </c>
      <c r="GQ1078" s="2"/>
      <c r="GR1078" s="2">
        <v>0</v>
      </c>
      <c r="GS1078" s="2">
        <v>0</v>
      </c>
      <c r="GT1078" s="2">
        <v>0</v>
      </c>
      <c r="GU1078" s="2" t="s">
        <v>3</v>
      </c>
      <c r="GV1078" s="2">
        <f t="shared" si="939"/>
        <v>0</v>
      </c>
      <c r="GW1078" s="2">
        <v>1</v>
      </c>
      <c r="GX1078" s="2">
        <f t="shared" si="940"/>
        <v>0</v>
      </c>
      <c r="GY1078" s="2"/>
      <c r="GZ1078" s="2"/>
      <c r="HA1078" s="2">
        <v>0</v>
      </c>
      <c r="HB1078" s="2">
        <v>0</v>
      </c>
      <c r="HC1078" s="2">
        <f t="shared" si="941"/>
        <v>0</v>
      </c>
      <c r="HD1078" s="2"/>
      <c r="HE1078" s="2" t="s">
        <v>3</v>
      </c>
      <c r="HF1078" s="2" t="s">
        <v>3</v>
      </c>
      <c r="HG1078" s="2"/>
      <c r="HH1078" s="2"/>
      <c r="HI1078" s="2"/>
      <c r="HJ1078" s="2"/>
      <c r="HK1078" s="2"/>
      <c r="HL1078" s="2"/>
      <c r="HM1078" s="2" t="s">
        <v>3</v>
      </c>
      <c r="HN1078" s="2" t="s">
        <v>3</v>
      </c>
      <c r="HO1078" s="2" t="s">
        <v>3</v>
      </c>
      <c r="HP1078" s="2" t="s">
        <v>3</v>
      </c>
      <c r="HQ1078" s="2" t="s">
        <v>3</v>
      </c>
      <c r="HR1078" s="2"/>
      <c r="HS1078" s="2"/>
      <c r="HT1078" s="2"/>
      <c r="HU1078" s="2"/>
      <c r="HV1078" s="2"/>
      <c r="HW1078" s="2"/>
      <c r="HX1078" s="2"/>
      <c r="HY1078" s="2"/>
      <c r="HZ1078" s="2"/>
      <c r="IA1078" s="2"/>
      <c r="IB1078" s="2"/>
      <c r="IC1078" s="2"/>
      <c r="ID1078" s="2"/>
      <c r="IE1078" s="2"/>
      <c r="IF1078" s="2"/>
      <c r="IG1078" s="2"/>
      <c r="IH1078" s="2"/>
      <c r="II1078" s="2"/>
      <c r="IJ1078" s="2"/>
      <c r="IK1078" s="2">
        <v>0</v>
      </c>
      <c r="IL1078" s="2"/>
      <c r="IM1078" s="2"/>
      <c r="IN1078" s="2"/>
      <c r="IO1078" s="2"/>
      <c r="IP1078" s="2"/>
      <c r="IQ1078" s="2"/>
      <c r="IR1078" s="2"/>
      <c r="IS1078" s="2"/>
      <c r="IT1078" s="2"/>
      <c r="IU1078" s="2"/>
    </row>
    <row r="1079" spans="1:255" x14ac:dyDescent="0.2">
      <c r="A1079">
        <v>18</v>
      </c>
      <c r="B1079">
        <v>1</v>
      </c>
      <c r="C1079">
        <v>920</v>
      </c>
      <c r="E1079" t="s">
        <v>190</v>
      </c>
      <c r="F1079" t="s">
        <v>886</v>
      </c>
      <c r="G1079" t="s">
        <v>887</v>
      </c>
      <c r="H1079" t="s">
        <v>270</v>
      </c>
      <c r="I1079">
        <f>I1077*J1079</f>
        <v>1</v>
      </c>
      <c r="J1079">
        <v>100</v>
      </c>
      <c r="K1079">
        <v>100</v>
      </c>
      <c r="O1079">
        <f t="shared" si="911"/>
        <v>580.96</v>
      </c>
      <c r="P1079">
        <f t="shared" si="912"/>
        <v>580.96</v>
      </c>
      <c r="Q1079">
        <f>(ROUND((ROUND(((ET1079)*AV1079*I1079),2)*BB1079),2)+ROUND((ROUND(((AE1079-(EU1079))*AV1079*I1079),2)*BS1079),2))</f>
        <v>0</v>
      </c>
      <c r="R1079">
        <f t="shared" si="913"/>
        <v>0</v>
      </c>
      <c r="S1079">
        <f t="shared" si="914"/>
        <v>0</v>
      </c>
      <c r="T1079">
        <f t="shared" si="915"/>
        <v>0</v>
      </c>
      <c r="U1079">
        <f t="shared" si="916"/>
        <v>0</v>
      </c>
      <c r="V1079">
        <f t="shared" si="917"/>
        <v>0</v>
      </c>
      <c r="W1079">
        <f t="shared" si="918"/>
        <v>0</v>
      </c>
      <c r="X1079">
        <f t="shared" si="919"/>
        <v>0</v>
      </c>
      <c r="Y1079">
        <f t="shared" si="920"/>
        <v>0</v>
      </c>
      <c r="AA1079">
        <v>129761633</v>
      </c>
      <c r="AB1079">
        <f t="shared" si="921"/>
        <v>31.42</v>
      </c>
      <c r="AC1079">
        <f t="shared" si="922"/>
        <v>31.42</v>
      </c>
      <c r="AD1079">
        <f>ROUND((((ET1079)-(EU1079))+AE1079),6)</f>
        <v>0</v>
      </c>
      <c r="AE1079">
        <f>ROUND((EU1079),6)</f>
        <v>0</v>
      </c>
      <c r="AF1079">
        <f>ROUND((EV1079),6)</f>
        <v>0</v>
      </c>
      <c r="AG1079">
        <f t="shared" si="923"/>
        <v>0</v>
      </c>
      <c r="AH1079">
        <f>(EW1079)</f>
        <v>0</v>
      </c>
      <c r="AI1079">
        <f>(EX1079)</f>
        <v>0</v>
      </c>
      <c r="AJ1079">
        <f t="shared" si="924"/>
        <v>0</v>
      </c>
      <c r="AK1079">
        <v>31.42</v>
      </c>
      <c r="AL1079">
        <v>31.42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1</v>
      </c>
      <c r="AW1079">
        <v>1</v>
      </c>
      <c r="AZ1079">
        <v>1</v>
      </c>
      <c r="BA1079">
        <v>1</v>
      </c>
      <c r="BB1079">
        <v>1</v>
      </c>
      <c r="BC1079">
        <v>18.489999999999998</v>
      </c>
      <c r="BD1079" t="s">
        <v>3</v>
      </c>
      <c r="BE1079" t="s">
        <v>3</v>
      </c>
      <c r="BF1079" t="s">
        <v>3</v>
      </c>
      <c r="BG1079" t="s">
        <v>3</v>
      </c>
      <c r="BH1079">
        <v>3</v>
      </c>
      <c r="BI1079">
        <v>1</v>
      </c>
      <c r="BJ1079" t="s">
        <v>888</v>
      </c>
      <c r="BM1079">
        <v>1623</v>
      </c>
      <c r="BN1079">
        <v>0</v>
      </c>
      <c r="BO1079" t="s">
        <v>886</v>
      </c>
      <c r="BP1079">
        <v>1</v>
      </c>
      <c r="BQ1079">
        <v>30</v>
      </c>
      <c r="BR1079">
        <v>0</v>
      </c>
      <c r="BS1079">
        <v>1</v>
      </c>
      <c r="BT1079">
        <v>1</v>
      </c>
      <c r="BU1079">
        <v>1</v>
      </c>
      <c r="BV1079">
        <v>1</v>
      </c>
      <c r="BW1079">
        <v>1</v>
      </c>
      <c r="BX1079">
        <v>1</v>
      </c>
      <c r="BY1079" t="s">
        <v>3</v>
      </c>
      <c r="BZ1079">
        <v>0</v>
      </c>
      <c r="CA1079">
        <v>0</v>
      </c>
      <c r="CB1079" t="s">
        <v>3</v>
      </c>
      <c r="CE1079">
        <v>30</v>
      </c>
      <c r="CF1079">
        <v>0</v>
      </c>
      <c r="CG1079">
        <v>0</v>
      </c>
      <c r="CM1079">
        <v>0</v>
      </c>
      <c r="CN1079" t="s">
        <v>3</v>
      </c>
      <c r="CO1079">
        <v>0</v>
      </c>
      <c r="CP1079">
        <f t="shared" si="925"/>
        <v>580.96</v>
      </c>
      <c r="CQ1079">
        <f t="shared" si="926"/>
        <v>580.96</v>
      </c>
      <c r="CR1079">
        <f>(ROUND((ROUND(((ET1079)*AV1079*1),2)*BB1079),2)+ROUND((ROUND(((AE1079-(EU1079))*AV1079*1),2)*BS1079),2))</f>
        <v>0</v>
      </c>
      <c r="CS1079">
        <f t="shared" si="927"/>
        <v>0</v>
      </c>
      <c r="CT1079">
        <f t="shared" si="928"/>
        <v>0</v>
      </c>
      <c r="CU1079">
        <f t="shared" si="929"/>
        <v>0</v>
      </c>
      <c r="CV1079">
        <f t="shared" si="930"/>
        <v>0</v>
      </c>
      <c r="CW1079">
        <f t="shared" si="931"/>
        <v>0</v>
      </c>
      <c r="CX1079">
        <f t="shared" si="932"/>
        <v>0</v>
      </c>
      <c r="CY1079">
        <f>S1079*(BZ1079/100)</f>
        <v>0</v>
      </c>
      <c r="CZ1079">
        <f>S1079*(CA1079/100)</f>
        <v>0</v>
      </c>
      <c r="DC1079" t="s">
        <v>3</v>
      </c>
      <c r="DD1079" t="s">
        <v>3</v>
      </c>
      <c r="DE1079" t="s">
        <v>3</v>
      </c>
      <c r="DF1079" t="s">
        <v>3</v>
      </c>
      <c r="DG1079" t="s">
        <v>3</v>
      </c>
      <c r="DH1079" t="s">
        <v>3</v>
      </c>
      <c r="DI1079" t="s">
        <v>3</v>
      </c>
      <c r="DJ1079" t="s">
        <v>3</v>
      </c>
      <c r="DK1079" t="s">
        <v>3</v>
      </c>
      <c r="DL1079" t="s">
        <v>3</v>
      </c>
      <c r="DM1079" t="s">
        <v>3</v>
      </c>
      <c r="DN1079">
        <v>110</v>
      </c>
      <c r="DO1079">
        <v>74</v>
      </c>
      <c r="DP1079">
        <v>1</v>
      </c>
      <c r="DQ1079">
        <v>1</v>
      </c>
      <c r="DU1079">
        <v>1003</v>
      </c>
      <c r="DV1079" t="s">
        <v>270</v>
      </c>
      <c r="DW1079" t="s">
        <v>270</v>
      </c>
      <c r="DX1079">
        <v>1</v>
      </c>
      <c r="DZ1079" t="s">
        <v>3</v>
      </c>
      <c r="EA1079" t="s">
        <v>3</v>
      </c>
      <c r="EB1079" t="s">
        <v>3</v>
      </c>
      <c r="EC1079" t="s">
        <v>3</v>
      </c>
      <c r="EE1079">
        <v>126053084</v>
      </c>
      <c r="EF1079">
        <v>30</v>
      </c>
      <c r="EG1079" t="s">
        <v>23</v>
      </c>
      <c r="EH1079">
        <v>0</v>
      </c>
      <c r="EI1079" t="s">
        <v>3</v>
      </c>
      <c r="EJ1079">
        <v>1</v>
      </c>
      <c r="EK1079">
        <v>1623</v>
      </c>
      <c r="EL1079" t="s">
        <v>824</v>
      </c>
      <c r="EM1079" t="s">
        <v>825</v>
      </c>
      <c r="EO1079" t="s">
        <v>3</v>
      </c>
      <c r="EQ1079">
        <v>0</v>
      </c>
      <c r="ER1079">
        <v>31.42</v>
      </c>
      <c r="ES1079">
        <v>31.42</v>
      </c>
      <c r="ET1079">
        <v>0</v>
      </c>
      <c r="EU1079">
        <v>0</v>
      </c>
      <c r="EV1079">
        <v>0</v>
      </c>
      <c r="EW1079">
        <v>0</v>
      </c>
      <c r="EX1079">
        <v>0</v>
      </c>
      <c r="FQ1079">
        <v>0</v>
      </c>
      <c r="FR1079">
        <f t="shared" si="933"/>
        <v>0</v>
      </c>
      <c r="FS1079">
        <v>0</v>
      </c>
      <c r="FX1079">
        <v>110</v>
      </c>
      <c r="FY1079">
        <v>74</v>
      </c>
      <c r="GA1079" t="s">
        <v>3</v>
      </c>
      <c r="GD1079">
        <v>0</v>
      </c>
      <c r="GF1079">
        <v>1721147367</v>
      </c>
      <c r="GG1079">
        <v>2</v>
      </c>
      <c r="GH1079">
        <v>1</v>
      </c>
      <c r="GI1079">
        <v>2</v>
      </c>
      <c r="GJ1079">
        <v>0</v>
      </c>
      <c r="GK1079">
        <f>ROUND(R1079*(S12)/100,2)</f>
        <v>0</v>
      </c>
      <c r="GL1079">
        <f t="shared" si="934"/>
        <v>0</v>
      </c>
      <c r="GM1079">
        <f t="shared" si="935"/>
        <v>580.96</v>
      </c>
      <c r="GN1079">
        <f t="shared" si="936"/>
        <v>580.96</v>
      </c>
      <c r="GO1079">
        <f t="shared" si="937"/>
        <v>0</v>
      </c>
      <c r="GP1079">
        <f t="shared" si="938"/>
        <v>0</v>
      </c>
      <c r="GR1079">
        <v>0</v>
      </c>
      <c r="GS1079">
        <v>3</v>
      </c>
      <c r="GT1079">
        <v>0</v>
      </c>
      <c r="GU1079" t="s">
        <v>3</v>
      </c>
      <c r="GV1079">
        <f t="shared" si="939"/>
        <v>0</v>
      </c>
      <c r="GW1079">
        <v>1</v>
      </c>
      <c r="GX1079">
        <f t="shared" si="940"/>
        <v>0</v>
      </c>
      <c r="HA1079">
        <v>0</v>
      </c>
      <c r="HB1079">
        <v>0</v>
      </c>
      <c r="HC1079">
        <f t="shared" si="941"/>
        <v>0</v>
      </c>
      <c r="HE1079" t="s">
        <v>3</v>
      </c>
      <c r="HF1079" t="s">
        <v>3</v>
      </c>
      <c r="HM1079" t="s">
        <v>3</v>
      </c>
      <c r="HN1079" t="s">
        <v>3</v>
      </c>
      <c r="HO1079" t="s">
        <v>3</v>
      </c>
      <c r="HP1079" t="s">
        <v>3</v>
      </c>
      <c r="HQ1079" t="s">
        <v>3</v>
      </c>
      <c r="IK1079">
        <v>0</v>
      </c>
    </row>
    <row r="1080" spans="1:255" x14ac:dyDescent="0.2">
      <c r="A1080" s="2">
        <v>17</v>
      </c>
      <c r="B1080" s="2">
        <v>1</v>
      </c>
      <c r="C1080" s="2">
        <f>ROW(SmtRes!A931)</f>
        <v>931</v>
      </c>
      <c r="D1080" s="2">
        <f>ROW(EtalonRes!A905)</f>
        <v>905</v>
      </c>
      <c r="E1080" s="2" t="s">
        <v>191</v>
      </c>
      <c r="F1080" s="2" t="s">
        <v>889</v>
      </c>
      <c r="G1080" s="2" t="s">
        <v>890</v>
      </c>
      <c r="H1080" s="2" t="s">
        <v>884</v>
      </c>
      <c r="I1080" s="2">
        <v>0.08</v>
      </c>
      <c r="J1080" s="2">
        <v>0</v>
      </c>
      <c r="K1080" s="2">
        <v>0.08</v>
      </c>
      <c r="L1080" s="2"/>
      <c r="M1080" s="2"/>
      <c r="N1080" s="2"/>
      <c r="O1080" s="2">
        <f t="shared" si="911"/>
        <v>84.54</v>
      </c>
      <c r="P1080" s="2">
        <f t="shared" si="912"/>
        <v>11.71</v>
      </c>
      <c r="Q1080" s="2">
        <f>(ROUND((ROUND((((ET1080*1.25))*AV1080*I1080),2)*BB1080),2)+ROUND((ROUND(((AE1080-((EU1080*1.25)))*AV1080*I1080),2)*BS1080),2))</f>
        <v>11.41</v>
      </c>
      <c r="R1080" s="2">
        <f t="shared" si="913"/>
        <v>1.66</v>
      </c>
      <c r="S1080" s="2">
        <f t="shared" si="914"/>
        <v>61.42</v>
      </c>
      <c r="T1080" s="2">
        <f t="shared" si="915"/>
        <v>0</v>
      </c>
      <c r="U1080" s="2">
        <f t="shared" si="916"/>
        <v>5.1059999999999999</v>
      </c>
      <c r="V1080" s="2">
        <f t="shared" si="917"/>
        <v>0</v>
      </c>
      <c r="W1080" s="2">
        <f t="shared" si="918"/>
        <v>0</v>
      </c>
      <c r="X1080" s="2">
        <f t="shared" si="919"/>
        <v>67.56</v>
      </c>
      <c r="Y1080" s="2">
        <f t="shared" si="920"/>
        <v>45.45</v>
      </c>
      <c r="Z1080" s="2"/>
      <c r="AA1080" s="2">
        <v>129761636</v>
      </c>
      <c r="AB1080" s="2">
        <f t="shared" si="921"/>
        <v>1056.729</v>
      </c>
      <c r="AC1080" s="2">
        <f t="shared" si="922"/>
        <v>146.32</v>
      </c>
      <c r="AD1080" s="2">
        <f>ROUND(((((ET1080*1.25))-((EU1080*1.25)))+AE1080),6)</f>
        <v>142.6</v>
      </c>
      <c r="AE1080" s="2">
        <f>ROUND(((EU1080*1.25)),6)</f>
        <v>20.7</v>
      </c>
      <c r="AF1080" s="2">
        <f>ROUND(((EV1080*1.15)),6)</f>
        <v>767.80899999999997</v>
      </c>
      <c r="AG1080" s="2">
        <f t="shared" si="923"/>
        <v>0</v>
      </c>
      <c r="AH1080" s="2">
        <f>((EW1080*1.15))</f>
        <v>63.824999999999996</v>
      </c>
      <c r="AI1080" s="2">
        <f>((EX1080*1.25))</f>
        <v>0</v>
      </c>
      <c r="AJ1080" s="2">
        <f t="shared" si="924"/>
        <v>0</v>
      </c>
      <c r="AK1080" s="2">
        <v>928.06</v>
      </c>
      <c r="AL1080" s="2">
        <v>146.32</v>
      </c>
      <c r="AM1080" s="2">
        <v>114.08</v>
      </c>
      <c r="AN1080" s="2">
        <v>16.559999999999999</v>
      </c>
      <c r="AO1080" s="2">
        <v>667.66</v>
      </c>
      <c r="AP1080" s="2">
        <v>0</v>
      </c>
      <c r="AQ1080" s="2">
        <v>55.5</v>
      </c>
      <c r="AR1080" s="2">
        <v>0</v>
      </c>
      <c r="AS1080" s="2">
        <v>0</v>
      </c>
      <c r="AT1080" s="2">
        <v>110</v>
      </c>
      <c r="AU1080" s="2">
        <v>74</v>
      </c>
      <c r="AV1080" s="2">
        <v>1</v>
      </c>
      <c r="AW1080" s="2">
        <v>1</v>
      </c>
      <c r="AX1080" s="2"/>
      <c r="AY1080" s="2"/>
      <c r="AZ1080" s="2">
        <v>1</v>
      </c>
      <c r="BA1080" s="2">
        <v>1</v>
      </c>
      <c r="BB1080" s="2">
        <v>1</v>
      </c>
      <c r="BC1080" s="2">
        <v>1</v>
      </c>
      <c r="BD1080" s="2" t="s">
        <v>3</v>
      </c>
      <c r="BE1080" s="2" t="s">
        <v>3</v>
      </c>
      <c r="BF1080" s="2" t="s">
        <v>3</v>
      </c>
      <c r="BG1080" s="2" t="s">
        <v>3</v>
      </c>
      <c r="BH1080" s="2">
        <v>0</v>
      </c>
      <c r="BI1080" s="2">
        <v>1</v>
      </c>
      <c r="BJ1080" s="2" t="s">
        <v>891</v>
      </c>
      <c r="BK1080" s="2"/>
      <c r="BL1080" s="2"/>
      <c r="BM1080" s="2">
        <v>1623</v>
      </c>
      <c r="BN1080" s="2">
        <v>0</v>
      </c>
      <c r="BO1080" s="2" t="s">
        <v>3</v>
      </c>
      <c r="BP1080" s="2">
        <v>0</v>
      </c>
      <c r="BQ1080" s="2">
        <v>30</v>
      </c>
      <c r="BR1080" s="2">
        <v>0</v>
      </c>
      <c r="BS1080" s="2">
        <v>1</v>
      </c>
      <c r="BT1080" s="2">
        <v>1</v>
      </c>
      <c r="BU1080" s="2">
        <v>1</v>
      </c>
      <c r="BV1080" s="2">
        <v>1</v>
      </c>
      <c r="BW1080" s="2">
        <v>1</v>
      </c>
      <c r="BX1080" s="2">
        <v>1</v>
      </c>
      <c r="BY1080" s="2" t="s">
        <v>3</v>
      </c>
      <c r="BZ1080" s="2">
        <v>110</v>
      </c>
      <c r="CA1080" s="2">
        <v>74</v>
      </c>
      <c r="CB1080" s="2" t="s">
        <v>3</v>
      </c>
      <c r="CC1080" s="2"/>
      <c r="CD1080" s="2"/>
      <c r="CE1080" s="2">
        <v>30</v>
      </c>
      <c r="CF1080" s="2">
        <v>0</v>
      </c>
      <c r="CG1080" s="2">
        <v>0</v>
      </c>
      <c r="CH1080" s="2"/>
      <c r="CI1080" s="2"/>
      <c r="CJ1080" s="2"/>
      <c r="CK1080" s="2"/>
      <c r="CL1080" s="2"/>
      <c r="CM1080" s="2">
        <v>0</v>
      </c>
      <c r="CN1080" s="2" t="s">
        <v>1559</v>
      </c>
      <c r="CO1080" s="2">
        <v>0</v>
      </c>
      <c r="CP1080" s="2">
        <f t="shared" si="925"/>
        <v>84.54</v>
      </c>
      <c r="CQ1080" s="2">
        <f t="shared" si="926"/>
        <v>146.32</v>
      </c>
      <c r="CR1080" s="2">
        <f>(ROUND((ROUND((((ET1080*1.25))*AV1080*1),2)*BB1080),2)+ROUND((ROUND(((AE1080-((EU1080*1.25)))*AV1080*1),2)*BS1080),2))</f>
        <v>142.6</v>
      </c>
      <c r="CS1080" s="2">
        <f t="shared" si="927"/>
        <v>20.7</v>
      </c>
      <c r="CT1080" s="2">
        <f t="shared" si="928"/>
        <v>767.81</v>
      </c>
      <c r="CU1080" s="2">
        <f t="shared" si="929"/>
        <v>0</v>
      </c>
      <c r="CV1080" s="2">
        <f t="shared" si="930"/>
        <v>63.824999999999996</v>
      </c>
      <c r="CW1080" s="2">
        <f t="shared" si="931"/>
        <v>0</v>
      </c>
      <c r="CX1080" s="2">
        <f t="shared" si="932"/>
        <v>0</v>
      </c>
      <c r="CY1080" s="2">
        <f>((S1080*BZ1080)/100)</f>
        <v>67.561999999999998</v>
      </c>
      <c r="CZ1080" s="2">
        <f>((S1080*CA1080)/100)</f>
        <v>45.450800000000001</v>
      </c>
      <c r="DA1080" s="2"/>
      <c r="DB1080" s="2"/>
      <c r="DC1080" s="2" t="s">
        <v>3</v>
      </c>
      <c r="DD1080" s="2" t="s">
        <v>3</v>
      </c>
      <c r="DE1080" s="2" t="s">
        <v>86</v>
      </c>
      <c r="DF1080" s="2" t="s">
        <v>86</v>
      </c>
      <c r="DG1080" s="2" t="s">
        <v>87</v>
      </c>
      <c r="DH1080" s="2" t="s">
        <v>3</v>
      </c>
      <c r="DI1080" s="2" t="s">
        <v>87</v>
      </c>
      <c r="DJ1080" s="2" t="s">
        <v>86</v>
      </c>
      <c r="DK1080" s="2" t="s">
        <v>3</v>
      </c>
      <c r="DL1080" s="2" t="s">
        <v>3</v>
      </c>
      <c r="DM1080" s="2" t="s">
        <v>3</v>
      </c>
      <c r="DN1080" s="2">
        <v>0</v>
      </c>
      <c r="DO1080" s="2">
        <v>0</v>
      </c>
      <c r="DP1080" s="2">
        <v>1</v>
      </c>
      <c r="DQ1080" s="2">
        <v>1</v>
      </c>
      <c r="DR1080" s="2"/>
      <c r="DS1080" s="2"/>
      <c r="DT1080" s="2"/>
      <c r="DU1080" s="2">
        <v>1013</v>
      </c>
      <c r="DV1080" s="2" t="s">
        <v>884</v>
      </c>
      <c r="DW1080" s="2" t="s">
        <v>884</v>
      </c>
      <c r="DX1080" s="2">
        <v>1</v>
      </c>
      <c r="DY1080" s="2"/>
      <c r="DZ1080" s="2" t="s">
        <v>3</v>
      </c>
      <c r="EA1080" s="2" t="s">
        <v>3</v>
      </c>
      <c r="EB1080" s="2" t="s">
        <v>3</v>
      </c>
      <c r="EC1080" s="2" t="s">
        <v>3</v>
      </c>
      <c r="ED1080" s="2"/>
      <c r="EE1080" s="2">
        <v>126053084</v>
      </c>
      <c r="EF1080" s="2">
        <v>30</v>
      </c>
      <c r="EG1080" s="2" t="s">
        <v>23</v>
      </c>
      <c r="EH1080" s="2">
        <v>0</v>
      </c>
      <c r="EI1080" s="2" t="s">
        <v>3</v>
      </c>
      <c r="EJ1080" s="2">
        <v>1</v>
      </c>
      <c r="EK1080" s="2">
        <v>1623</v>
      </c>
      <c r="EL1080" s="2" t="s">
        <v>824</v>
      </c>
      <c r="EM1080" s="2" t="s">
        <v>825</v>
      </c>
      <c r="EN1080" s="2"/>
      <c r="EO1080" s="2" t="s">
        <v>90</v>
      </c>
      <c r="EP1080" s="2"/>
      <c r="EQ1080" s="2">
        <v>131072</v>
      </c>
      <c r="ER1080" s="2">
        <v>928.06</v>
      </c>
      <c r="ES1080" s="2">
        <v>146.32</v>
      </c>
      <c r="ET1080" s="2">
        <v>114.08</v>
      </c>
      <c r="EU1080" s="2">
        <v>16.559999999999999</v>
      </c>
      <c r="EV1080" s="2">
        <v>667.66</v>
      </c>
      <c r="EW1080" s="2">
        <v>55.5</v>
      </c>
      <c r="EX1080" s="2">
        <v>0</v>
      </c>
      <c r="EY1080" s="2">
        <v>0</v>
      </c>
      <c r="EZ1080" s="2"/>
      <c r="FA1080" s="2"/>
      <c r="FB1080" s="2"/>
      <c r="FC1080" s="2"/>
      <c r="FD1080" s="2"/>
      <c r="FE1080" s="2"/>
      <c r="FF1080" s="2"/>
      <c r="FG1080" s="2"/>
      <c r="FH1080" s="2"/>
      <c r="FI1080" s="2"/>
      <c r="FJ1080" s="2"/>
      <c r="FK1080" s="2"/>
      <c r="FL1080" s="2"/>
      <c r="FM1080" s="2"/>
      <c r="FN1080" s="2"/>
      <c r="FO1080" s="2"/>
      <c r="FP1080" s="2"/>
      <c r="FQ1080" s="2">
        <v>0</v>
      </c>
      <c r="FR1080" s="2">
        <f t="shared" si="933"/>
        <v>0</v>
      </c>
      <c r="FS1080" s="2">
        <v>0</v>
      </c>
      <c r="FT1080" s="2"/>
      <c r="FU1080" s="2"/>
      <c r="FV1080" s="2"/>
      <c r="FW1080" s="2"/>
      <c r="FX1080" s="2">
        <v>110</v>
      </c>
      <c r="FY1080" s="2">
        <v>74</v>
      </c>
      <c r="FZ1080" s="2"/>
      <c r="GA1080" s="2" t="s">
        <v>3</v>
      </c>
      <c r="GB1080" s="2"/>
      <c r="GC1080" s="2"/>
      <c r="GD1080" s="2">
        <v>0</v>
      </c>
      <c r="GE1080" s="2"/>
      <c r="GF1080" s="2">
        <v>1327249091</v>
      </c>
      <c r="GG1080" s="2">
        <v>2</v>
      </c>
      <c r="GH1080" s="2">
        <v>1</v>
      </c>
      <c r="GI1080" s="2">
        <v>-2</v>
      </c>
      <c r="GJ1080" s="2">
        <v>0</v>
      </c>
      <c r="GK1080" s="2">
        <f>ROUND(R1080*(R12)/100,2)</f>
        <v>2.91</v>
      </c>
      <c r="GL1080" s="2">
        <f t="shared" si="934"/>
        <v>0</v>
      </c>
      <c r="GM1080" s="2">
        <f t="shared" si="935"/>
        <v>200.46</v>
      </c>
      <c r="GN1080" s="2">
        <f t="shared" si="936"/>
        <v>200.46</v>
      </c>
      <c r="GO1080" s="2">
        <f t="shared" si="937"/>
        <v>0</v>
      </c>
      <c r="GP1080" s="2">
        <f t="shared" si="938"/>
        <v>0</v>
      </c>
      <c r="GQ1080" s="2"/>
      <c r="GR1080" s="2">
        <v>0</v>
      </c>
      <c r="GS1080" s="2">
        <v>0</v>
      </c>
      <c r="GT1080" s="2">
        <v>0</v>
      </c>
      <c r="GU1080" s="2" t="s">
        <v>3</v>
      </c>
      <c r="GV1080" s="2">
        <f t="shared" si="939"/>
        <v>0</v>
      </c>
      <c r="GW1080" s="2">
        <v>1</v>
      </c>
      <c r="GX1080" s="2">
        <f t="shared" si="940"/>
        <v>0</v>
      </c>
      <c r="GY1080" s="2"/>
      <c r="GZ1080" s="2"/>
      <c r="HA1080" s="2">
        <v>0</v>
      </c>
      <c r="HB1080" s="2">
        <v>0</v>
      </c>
      <c r="HC1080" s="2">
        <f t="shared" si="941"/>
        <v>0</v>
      </c>
      <c r="HD1080" s="2"/>
      <c r="HE1080" s="2" t="s">
        <v>3</v>
      </c>
      <c r="HF1080" s="2" t="s">
        <v>3</v>
      </c>
      <c r="HG1080" s="2"/>
      <c r="HH1080" s="2"/>
      <c r="HI1080" s="2"/>
      <c r="HJ1080" s="2"/>
      <c r="HK1080" s="2"/>
      <c r="HL1080" s="2"/>
      <c r="HM1080" s="2" t="s">
        <v>3</v>
      </c>
      <c r="HN1080" s="2" t="s">
        <v>3</v>
      </c>
      <c r="HO1080" s="2" t="s">
        <v>3</v>
      </c>
      <c r="HP1080" s="2" t="s">
        <v>3</v>
      </c>
      <c r="HQ1080" s="2" t="s">
        <v>3</v>
      </c>
      <c r="HR1080" s="2"/>
      <c r="HS1080" s="2"/>
      <c r="HT1080" s="2"/>
      <c r="HU1080" s="2"/>
      <c r="HV1080" s="2"/>
      <c r="HW1080" s="2"/>
      <c r="HX1080" s="2"/>
      <c r="HY1080" s="2"/>
      <c r="HZ1080" s="2"/>
      <c r="IA1080" s="2"/>
      <c r="IB1080" s="2"/>
      <c r="IC1080" s="2"/>
      <c r="ID1080" s="2"/>
      <c r="IE1080" s="2"/>
      <c r="IF1080" s="2"/>
      <c r="IG1080" s="2"/>
      <c r="IH1080" s="2"/>
      <c r="II1080" s="2"/>
      <c r="IJ1080" s="2"/>
      <c r="IK1080" s="2">
        <v>0</v>
      </c>
      <c r="IL1080" s="2"/>
      <c r="IM1080" s="2"/>
      <c r="IN1080" s="2"/>
      <c r="IO1080" s="2"/>
      <c r="IP1080" s="2"/>
      <c r="IQ1080" s="2"/>
      <c r="IR1080" s="2"/>
      <c r="IS1080" s="2"/>
      <c r="IT1080" s="2"/>
      <c r="IU1080" s="2"/>
    </row>
    <row r="1081" spans="1:255" x14ac:dyDescent="0.2">
      <c r="A1081">
        <v>17</v>
      </c>
      <c r="B1081">
        <v>1</v>
      </c>
      <c r="C1081">
        <f>ROW(SmtRes!A942)</f>
        <v>942</v>
      </c>
      <c r="D1081">
        <f>ROW(EtalonRes!A918)</f>
        <v>918</v>
      </c>
      <c r="E1081" t="s">
        <v>191</v>
      </c>
      <c r="F1081" t="s">
        <v>889</v>
      </c>
      <c r="G1081" t="s">
        <v>890</v>
      </c>
      <c r="H1081" t="s">
        <v>884</v>
      </c>
      <c r="I1081">
        <v>0.08</v>
      </c>
      <c r="J1081">
        <v>0</v>
      </c>
      <c r="K1081">
        <v>0.08</v>
      </c>
      <c r="O1081">
        <f t="shared" si="911"/>
        <v>1995.26</v>
      </c>
      <c r="P1081">
        <f t="shared" si="912"/>
        <v>84.9</v>
      </c>
      <c r="Q1081">
        <f>(ROUND((ROUND((((ET1081*1.25))*AV1081*I1081),2)*BB1081),2)+ROUND((ROUND(((AE1081-((EU1081*1.25)))*AV1081*I1081),2)*BS1081),2))</f>
        <v>127.34</v>
      </c>
      <c r="R1081">
        <f t="shared" si="913"/>
        <v>48.19</v>
      </c>
      <c r="S1081">
        <f t="shared" si="914"/>
        <v>1783.02</v>
      </c>
      <c r="T1081">
        <f t="shared" si="915"/>
        <v>0</v>
      </c>
      <c r="U1081">
        <f t="shared" si="916"/>
        <v>5.1059999999999999</v>
      </c>
      <c r="V1081">
        <f t="shared" si="917"/>
        <v>0</v>
      </c>
      <c r="W1081">
        <f t="shared" si="918"/>
        <v>0</v>
      </c>
      <c r="X1081">
        <f t="shared" si="919"/>
        <v>1604.72</v>
      </c>
      <c r="Y1081">
        <f t="shared" si="920"/>
        <v>731.04</v>
      </c>
      <c r="AA1081">
        <v>129761633</v>
      </c>
      <c r="AB1081">
        <f t="shared" si="921"/>
        <v>1056.729</v>
      </c>
      <c r="AC1081">
        <f t="shared" si="922"/>
        <v>146.32</v>
      </c>
      <c r="AD1081">
        <f>ROUND(((((ET1081*1.25))-((EU1081*1.25)))+AE1081),6)</f>
        <v>142.6</v>
      </c>
      <c r="AE1081">
        <f>ROUND(((EU1081*1.25)),6)</f>
        <v>20.7</v>
      </c>
      <c r="AF1081">
        <f>ROUND(((EV1081*1.15)),6)</f>
        <v>767.80899999999997</v>
      </c>
      <c r="AG1081">
        <f t="shared" si="923"/>
        <v>0</v>
      </c>
      <c r="AH1081">
        <f>((EW1081*1.15))</f>
        <v>63.824999999999996</v>
      </c>
      <c r="AI1081">
        <f>((EX1081*1.25))</f>
        <v>0</v>
      </c>
      <c r="AJ1081">
        <f t="shared" si="924"/>
        <v>0</v>
      </c>
      <c r="AK1081">
        <v>928.06</v>
      </c>
      <c r="AL1081">
        <v>146.32</v>
      </c>
      <c r="AM1081">
        <v>114.08</v>
      </c>
      <c r="AN1081">
        <v>16.559999999999999</v>
      </c>
      <c r="AO1081">
        <v>667.66</v>
      </c>
      <c r="AP1081">
        <v>0</v>
      </c>
      <c r="AQ1081">
        <v>55.5</v>
      </c>
      <c r="AR1081">
        <v>0</v>
      </c>
      <c r="AS1081">
        <v>0</v>
      </c>
      <c r="AT1081">
        <v>90</v>
      </c>
      <c r="AU1081">
        <v>41</v>
      </c>
      <c r="AV1081">
        <v>1</v>
      </c>
      <c r="AW1081">
        <v>1</v>
      </c>
      <c r="AZ1081">
        <v>1</v>
      </c>
      <c r="BA1081">
        <v>29.03</v>
      </c>
      <c r="BB1081">
        <v>11.16</v>
      </c>
      <c r="BC1081">
        <v>7.25</v>
      </c>
      <c r="BD1081" t="s">
        <v>3</v>
      </c>
      <c r="BE1081" t="s">
        <v>3</v>
      </c>
      <c r="BF1081" t="s">
        <v>3</v>
      </c>
      <c r="BG1081" t="s">
        <v>3</v>
      </c>
      <c r="BH1081">
        <v>0</v>
      </c>
      <c r="BI1081">
        <v>1</v>
      </c>
      <c r="BJ1081" t="s">
        <v>891</v>
      </c>
      <c r="BM1081">
        <v>1623</v>
      </c>
      <c r="BN1081">
        <v>0</v>
      </c>
      <c r="BO1081" t="s">
        <v>889</v>
      </c>
      <c r="BP1081">
        <v>1</v>
      </c>
      <c r="BQ1081">
        <v>30</v>
      </c>
      <c r="BR1081">
        <v>0</v>
      </c>
      <c r="BS1081">
        <v>29.03</v>
      </c>
      <c r="BT1081">
        <v>1</v>
      </c>
      <c r="BU1081">
        <v>1</v>
      </c>
      <c r="BV1081">
        <v>1</v>
      </c>
      <c r="BW1081">
        <v>1</v>
      </c>
      <c r="BX1081">
        <v>1</v>
      </c>
      <c r="BY1081" t="s">
        <v>3</v>
      </c>
      <c r="BZ1081">
        <v>90</v>
      </c>
      <c r="CA1081">
        <v>41</v>
      </c>
      <c r="CB1081" t="s">
        <v>3</v>
      </c>
      <c r="CE1081">
        <v>30</v>
      </c>
      <c r="CF1081">
        <v>0</v>
      </c>
      <c r="CG1081">
        <v>0</v>
      </c>
      <c r="CM1081">
        <v>0</v>
      </c>
      <c r="CN1081" t="s">
        <v>1559</v>
      </c>
      <c r="CO1081">
        <v>0</v>
      </c>
      <c r="CP1081">
        <f t="shared" si="925"/>
        <v>1995.26</v>
      </c>
      <c r="CQ1081">
        <f t="shared" si="926"/>
        <v>1060.82</v>
      </c>
      <c r="CR1081">
        <f>(ROUND((ROUND((((ET1081*1.25))*AV1081*1),2)*BB1081),2)+ROUND((ROUND(((AE1081-((EU1081*1.25)))*AV1081*1),2)*BS1081),2))</f>
        <v>1591.42</v>
      </c>
      <c r="CS1081">
        <f t="shared" si="927"/>
        <v>600.91999999999996</v>
      </c>
      <c r="CT1081">
        <f t="shared" si="928"/>
        <v>22289.52</v>
      </c>
      <c r="CU1081">
        <f t="shared" si="929"/>
        <v>0</v>
      </c>
      <c r="CV1081">
        <f t="shared" si="930"/>
        <v>63.824999999999996</v>
      </c>
      <c r="CW1081">
        <f t="shared" si="931"/>
        <v>0</v>
      </c>
      <c r="CX1081">
        <f t="shared" si="932"/>
        <v>0</v>
      </c>
      <c r="CY1081">
        <f>S1081*(BZ1081/100)</f>
        <v>1604.7180000000001</v>
      </c>
      <c r="CZ1081">
        <f>S1081*(CA1081/100)</f>
        <v>731.03819999999996</v>
      </c>
      <c r="DC1081" t="s">
        <v>3</v>
      </c>
      <c r="DD1081" t="s">
        <v>3</v>
      </c>
      <c r="DE1081" t="s">
        <v>86</v>
      </c>
      <c r="DF1081" t="s">
        <v>86</v>
      </c>
      <c r="DG1081" t="s">
        <v>87</v>
      </c>
      <c r="DH1081" t="s">
        <v>3</v>
      </c>
      <c r="DI1081" t="s">
        <v>87</v>
      </c>
      <c r="DJ1081" t="s">
        <v>86</v>
      </c>
      <c r="DK1081" t="s">
        <v>3</v>
      </c>
      <c r="DL1081" t="s">
        <v>3</v>
      </c>
      <c r="DM1081" t="s">
        <v>3</v>
      </c>
      <c r="DN1081">
        <v>110</v>
      </c>
      <c r="DO1081">
        <v>74</v>
      </c>
      <c r="DP1081">
        <v>1</v>
      </c>
      <c r="DQ1081">
        <v>1</v>
      </c>
      <c r="DU1081">
        <v>1013</v>
      </c>
      <c r="DV1081" t="s">
        <v>884</v>
      </c>
      <c r="DW1081" t="s">
        <v>884</v>
      </c>
      <c r="DX1081">
        <v>1</v>
      </c>
      <c r="DZ1081" t="s">
        <v>3</v>
      </c>
      <c r="EA1081" t="s">
        <v>3</v>
      </c>
      <c r="EB1081" t="s">
        <v>3</v>
      </c>
      <c r="EC1081" t="s">
        <v>3</v>
      </c>
      <c r="EE1081">
        <v>126053084</v>
      </c>
      <c r="EF1081">
        <v>30</v>
      </c>
      <c r="EG1081" t="s">
        <v>23</v>
      </c>
      <c r="EH1081">
        <v>0</v>
      </c>
      <c r="EI1081" t="s">
        <v>3</v>
      </c>
      <c r="EJ1081">
        <v>1</v>
      </c>
      <c r="EK1081">
        <v>1623</v>
      </c>
      <c r="EL1081" t="s">
        <v>824</v>
      </c>
      <c r="EM1081" t="s">
        <v>825</v>
      </c>
      <c r="EO1081" t="s">
        <v>90</v>
      </c>
      <c r="EQ1081">
        <v>131072</v>
      </c>
      <c r="ER1081">
        <v>928.06</v>
      </c>
      <c r="ES1081">
        <v>146.32</v>
      </c>
      <c r="ET1081">
        <v>114.08</v>
      </c>
      <c r="EU1081">
        <v>16.559999999999999</v>
      </c>
      <c r="EV1081">
        <v>667.66</v>
      </c>
      <c r="EW1081">
        <v>55.5</v>
      </c>
      <c r="EX1081">
        <v>0</v>
      </c>
      <c r="EY1081">
        <v>0</v>
      </c>
      <c r="FQ1081">
        <v>0</v>
      </c>
      <c r="FR1081">
        <f t="shared" si="933"/>
        <v>0</v>
      </c>
      <c r="FS1081">
        <v>0</v>
      </c>
      <c r="FX1081">
        <v>110</v>
      </c>
      <c r="FY1081">
        <v>74</v>
      </c>
      <c r="GA1081" t="s">
        <v>3</v>
      </c>
      <c r="GD1081">
        <v>0</v>
      </c>
      <c r="GF1081">
        <v>1327249091</v>
      </c>
      <c r="GG1081">
        <v>2</v>
      </c>
      <c r="GH1081">
        <v>1</v>
      </c>
      <c r="GI1081">
        <v>2</v>
      </c>
      <c r="GJ1081">
        <v>0</v>
      </c>
      <c r="GK1081">
        <f>ROUND(R1081*(S12)/100,2)</f>
        <v>77.099999999999994</v>
      </c>
      <c r="GL1081">
        <f t="shared" si="934"/>
        <v>0</v>
      </c>
      <c r="GM1081">
        <f t="shared" si="935"/>
        <v>4408.12</v>
      </c>
      <c r="GN1081">
        <f t="shared" si="936"/>
        <v>4408.12</v>
      </c>
      <c r="GO1081">
        <f t="shared" si="937"/>
        <v>0</v>
      </c>
      <c r="GP1081">
        <f t="shared" si="938"/>
        <v>0</v>
      </c>
      <c r="GR1081">
        <v>0</v>
      </c>
      <c r="GS1081">
        <v>3</v>
      </c>
      <c r="GT1081">
        <v>0</v>
      </c>
      <c r="GU1081" t="s">
        <v>3</v>
      </c>
      <c r="GV1081">
        <f t="shared" si="939"/>
        <v>0</v>
      </c>
      <c r="GW1081">
        <v>1</v>
      </c>
      <c r="GX1081">
        <f t="shared" si="940"/>
        <v>0</v>
      </c>
      <c r="HA1081">
        <v>0</v>
      </c>
      <c r="HB1081">
        <v>0</v>
      </c>
      <c r="HC1081">
        <f t="shared" si="941"/>
        <v>0</v>
      </c>
      <c r="HE1081" t="s">
        <v>3</v>
      </c>
      <c r="HF1081" t="s">
        <v>3</v>
      </c>
      <c r="HM1081" t="s">
        <v>3</v>
      </c>
      <c r="HN1081" t="s">
        <v>3</v>
      </c>
      <c r="HO1081" t="s">
        <v>3</v>
      </c>
      <c r="HP1081" t="s">
        <v>3</v>
      </c>
      <c r="HQ1081" t="s">
        <v>3</v>
      </c>
      <c r="IK1081">
        <v>0</v>
      </c>
    </row>
    <row r="1082" spans="1:255" x14ac:dyDescent="0.2">
      <c r="A1082" s="2">
        <v>18</v>
      </c>
      <c r="B1082" s="2">
        <v>1</v>
      </c>
      <c r="C1082" s="2">
        <v>930</v>
      </c>
      <c r="D1082" s="2"/>
      <c r="E1082" s="2" t="s">
        <v>195</v>
      </c>
      <c r="F1082" s="2" t="s">
        <v>892</v>
      </c>
      <c r="G1082" s="2" t="s">
        <v>893</v>
      </c>
      <c r="H1082" s="2" t="s">
        <v>270</v>
      </c>
      <c r="I1082" s="2">
        <f>I1080*J1082</f>
        <v>8</v>
      </c>
      <c r="J1082" s="2">
        <v>100</v>
      </c>
      <c r="K1082" s="2">
        <v>100</v>
      </c>
      <c r="L1082" s="2"/>
      <c r="M1082" s="2"/>
      <c r="N1082" s="2"/>
      <c r="O1082" s="2">
        <f t="shared" si="911"/>
        <v>895.36</v>
      </c>
      <c r="P1082" s="2">
        <f t="shared" si="912"/>
        <v>895.36</v>
      </c>
      <c r="Q1082" s="2">
        <f>(ROUND((ROUND(((ET1082)*AV1082*I1082),2)*BB1082),2)+ROUND((ROUND(((AE1082-(EU1082))*AV1082*I1082),2)*BS1082),2))</f>
        <v>0</v>
      </c>
      <c r="R1082" s="2">
        <f t="shared" si="913"/>
        <v>0</v>
      </c>
      <c r="S1082" s="2">
        <f t="shared" si="914"/>
        <v>0</v>
      </c>
      <c r="T1082" s="2">
        <f t="shared" si="915"/>
        <v>0</v>
      </c>
      <c r="U1082" s="2">
        <f t="shared" si="916"/>
        <v>0</v>
      </c>
      <c r="V1082" s="2">
        <f t="shared" si="917"/>
        <v>0</v>
      </c>
      <c r="W1082" s="2">
        <f t="shared" si="918"/>
        <v>0</v>
      </c>
      <c r="X1082" s="2">
        <f t="shared" si="919"/>
        <v>0</v>
      </c>
      <c r="Y1082" s="2">
        <f t="shared" si="920"/>
        <v>0</v>
      </c>
      <c r="Z1082" s="2"/>
      <c r="AA1082" s="2">
        <v>129761636</v>
      </c>
      <c r="AB1082" s="2">
        <f t="shared" si="921"/>
        <v>111.92</v>
      </c>
      <c r="AC1082" s="2">
        <f t="shared" si="922"/>
        <v>111.92</v>
      </c>
      <c r="AD1082" s="2">
        <f>ROUND((((ET1082)-(EU1082))+AE1082),6)</f>
        <v>0</v>
      </c>
      <c r="AE1082" s="2">
        <f>ROUND((EU1082),6)</f>
        <v>0</v>
      </c>
      <c r="AF1082" s="2">
        <f>ROUND((EV1082),6)</f>
        <v>0</v>
      </c>
      <c r="AG1082" s="2">
        <f t="shared" si="923"/>
        <v>0</v>
      </c>
      <c r="AH1082" s="2">
        <f>(EW1082)</f>
        <v>0</v>
      </c>
      <c r="AI1082" s="2">
        <f>(EX1082)</f>
        <v>0</v>
      </c>
      <c r="AJ1082" s="2">
        <f t="shared" si="924"/>
        <v>0</v>
      </c>
      <c r="AK1082" s="2">
        <v>111.92</v>
      </c>
      <c r="AL1082" s="2">
        <v>111.92</v>
      </c>
      <c r="AM1082" s="2">
        <v>0</v>
      </c>
      <c r="AN1082" s="2">
        <v>0</v>
      </c>
      <c r="AO1082" s="2">
        <v>0</v>
      </c>
      <c r="AP1082" s="2">
        <v>0</v>
      </c>
      <c r="AQ1082" s="2">
        <v>0</v>
      </c>
      <c r="AR1082" s="2">
        <v>0</v>
      </c>
      <c r="AS1082" s="2">
        <v>0</v>
      </c>
      <c r="AT1082" s="2">
        <v>110</v>
      </c>
      <c r="AU1082" s="2">
        <v>74</v>
      </c>
      <c r="AV1082" s="2">
        <v>1</v>
      </c>
      <c r="AW1082" s="2">
        <v>1</v>
      </c>
      <c r="AX1082" s="2"/>
      <c r="AY1082" s="2"/>
      <c r="AZ1082" s="2">
        <v>1</v>
      </c>
      <c r="BA1082" s="2">
        <v>1</v>
      </c>
      <c r="BB1082" s="2">
        <v>1</v>
      </c>
      <c r="BC1082" s="2">
        <v>1</v>
      </c>
      <c r="BD1082" s="2" t="s">
        <v>3</v>
      </c>
      <c r="BE1082" s="2" t="s">
        <v>3</v>
      </c>
      <c r="BF1082" s="2" t="s">
        <v>3</v>
      </c>
      <c r="BG1082" s="2" t="s">
        <v>3</v>
      </c>
      <c r="BH1082" s="2">
        <v>3</v>
      </c>
      <c r="BI1082" s="2">
        <v>1</v>
      </c>
      <c r="BJ1082" s="2" t="s">
        <v>894</v>
      </c>
      <c r="BK1082" s="2"/>
      <c r="BL1082" s="2"/>
      <c r="BM1082" s="2">
        <v>1623</v>
      </c>
      <c r="BN1082" s="2">
        <v>0</v>
      </c>
      <c r="BO1082" s="2" t="s">
        <v>3</v>
      </c>
      <c r="BP1082" s="2">
        <v>0</v>
      </c>
      <c r="BQ1082" s="2">
        <v>30</v>
      </c>
      <c r="BR1082" s="2">
        <v>0</v>
      </c>
      <c r="BS1082" s="2">
        <v>1</v>
      </c>
      <c r="BT1082" s="2">
        <v>1</v>
      </c>
      <c r="BU1082" s="2">
        <v>1</v>
      </c>
      <c r="BV1082" s="2">
        <v>1</v>
      </c>
      <c r="BW1082" s="2">
        <v>1</v>
      </c>
      <c r="BX1082" s="2">
        <v>1</v>
      </c>
      <c r="BY1082" s="2" t="s">
        <v>3</v>
      </c>
      <c r="BZ1082" s="2">
        <v>110</v>
      </c>
      <c r="CA1082" s="2">
        <v>74</v>
      </c>
      <c r="CB1082" s="2" t="s">
        <v>3</v>
      </c>
      <c r="CC1082" s="2"/>
      <c r="CD1082" s="2"/>
      <c r="CE1082" s="2">
        <v>30</v>
      </c>
      <c r="CF1082" s="2">
        <v>0</v>
      </c>
      <c r="CG1082" s="2">
        <v>0</v>
      </c>
      <c r="CH1082" s="2"/>
      <c r="CI1082" s="2"/>
      <c r="CJ1082" s="2"/>
      <c r="CK1082" s="2"/>
      <c r="CL1082" s="2"/>
      <c r="CM1082" s="2">
        <v>0</v>
      </c>
      <c r="CN1082" s="2" t="s">
        <v>3</v>
      </c>
      <c r="CO1082" s="2">
        <v>0</v>
      </c>
      <c r="CP1082" s="2">
        <f t="shared" si="925"/>
        <v>895.36</v>
      </c>
      <c r="CQ1082" s="2">
        <f t="shared" si="926"/>
        <v>111.92</v>
      </c>
      <c r="CR1082" s="2">
        <f>(ROUND((ROUND(((ET1082)*AV1082*1),2)*BB1082),2)+ROUND((ROUND(((AE1082-(EU1082))*AV1082*1),2)*BS1082),2))</f>
        <v>0</v>
      </c>
      <c r="CS1082" s="2">
        <f t="shared" si="927"/>
        <v>0</v>
      </c>
      <c r="CT1082" s="2">
        <f t="shared" si="928"/>
        <v>0</v>
      </c>
      <c r="CU1082" s="2">
        <f t="shared" si="929"/>
        <v>0</v>
      </c>
      <c r="CV1082" s="2">
        <f t="shared" si="930"/>
        <v>0</v>
      </c>
      <c r="CW1082" s="2">
        <f t="shared" si="931"/>
        <v>0</v>
      </c>
      <c r="CX1082" s="2">
        <f t="shared" si="932"/>
        <v>0</v>
      </c>
      <c r="CY1082" s="2">
        <f>((S1082*BZ1082)/100)</f>
        <v>0</v>
      </c>
      <c r="CZ1082" s="2">
        <f>((S1082*CA1082)/100)</f>
        <v>0</v>
      </c>
      <c r="DA1082" s="2"/>
      <c r="DB1082" s="2"/>
      <c r="DC1082" s="2" t="s">
        <v>3</v>
      </c>
      <c r="DD1082" s="2" t="s">
        <v>3</v>
      </c>
      <c r="DE1082" s="2" t="s">
        <v>3</v>
      </c>
      <c r="DF1082" s="2" t="s">
        <v>3</v>
      </c>
      <c r="DG1082" s="2" t="s">
        <v>3</v>
      </c>
      <c r="DH1082" s="2" t="s">
        <v>3</v>
      </c>
      <c r="DI1082" s="2" t="s">
        <v>3</v>
      </c>
      <c r="DJ1082" s="2" t="s">
        <v>3</v>
      </c>
      <c r="DK1082" s="2" t="s">
        <v>3</v>
      </c>
      <c r="DL1082" s="2" t="s">
        <v>3</v>
      </c>
      <c r="DM1082" s="2" t="s">
        <v>3</v>
      </c>
      <c r="DN1082" s="2">
        <v>0</v>
      </c>
      <c r="DO1082" s="2">
        <v>0</v>
      </c>
      <c r="DP1082" s="2">
        <v>1</v>
      </c>
      <c r="DQ1082" s="2">
        <v>1</v>
      </c>
      <c r="DR1082" s="2"/>
      <c r="DS1082" s="2"/>
      <c r="DT1082" s="2"/>
      <c r="DU1082" s="2">
        <v>1003</v>
      </c>
      <c r="DV1082" s="2" t="s">
        <v>270</v>
      </c>
      <c r="DW1082" s="2" t="s">
        <v>270</v>
      </c>
      <c r="DX1082" s="2">
        <v>1</v>
      </c>
      <c r="DY1082" s="2"/>
      <c r="DZ1082" s="2" t="s">
        <v>3</v>
      </c>
      <c r="EA1082" s="2" t="s">
        <v>3</v>
      </c>
      <c r="EB1082" s="2" t="s">
        <v>3</v>
      </c>
      <c r="EC1082" s="2" t="s">
        <v>3</v>
      </c>
      <c r="ED1082" s="2"/>
      <c r="EE1082" s="2">
        <v>126053084</v>
      </c>
      <c r="EF1082" s="2">
        <v>30</v>
      </c>
      <c r="EG1082" s="2" t="s">
        <v>23</v>
      </c>
      <c r="EH1082" s="2">
        <v>0</v>
      </c>
      <c r="EI1082" s="2" t="s">
        <v>3</v>
      </c>
      <c r="EJ1082" s="2">
        <v>1</v>
      </c>
      <c r="EK1082" s="2">
        <v>1623</v>
      </c>
      <c r="EL1082" s="2" t="s">
        <v>824</v>
      </c>
      <c r="EM1082" s="2" t="s">
        <v>825</v>
      </c>
      <c r="EN1082" s="2"/>
      <c r="EO1082" s="2" t="s">
        <v>3</v>
      </c>
      <c r="EP1082" s="2"/>
      <c r="EQ1082" s="2">
        <v>0</v>
      </c>
      <c r="ER1082" s="2">
        <v>111.92</v>
      </c>
      <c r="ES1082" s="2">
        <v>111.92</v>
      </c>
      <c r="ET1082" s="2">
        <v>0</v>
      </c>
      <c r="EU1082" s="2">
        <v>0</v>
      </c>
      <c r="EV1082" s="2">
        <v>0</v>
      </c>
      <c r="EW1082" s="2">
        <v>0</v>
      </c>
      <c r="EX1082" s="2">
        <v>0</v>
      </c>
      <c r="EY1082" s="2"/>
      <c r="EZ1082" s="2"/>
      <c r="FA1082" s="2"/>
      <c r="FB1082" s="2"/>
      <c r="FC1082" s="2"/>
      <c r="FD1082" s="2"/>
      <c r="FE1082" s="2"/>
      <c r="FF1082" s="2"/>
      <c r="FG1082" s="2"/>
      <c r="FH1082" s="2"/>
      <c r="FI1082" s="2"/>
      <c r="FJ1082" s="2"/>
      <c r="FK1082" s="2"/>
      <c r="FL1082" s="2"/>
      <c r="FM1082" s="2"/>
      <c r="FN1082" s="2"/>
      <c r="FO1082" s="2"/>
      <c r="FP1082" s="2"/>
      <c r="FQ1082" s="2">
        <v>0</v>
      </c>
      <c r="FR1082" s="2">
        <f t="shared" si="933"/>
        <v>0</v>
      </c>
      <c r="FS1082" s="2">
        <v>0</v>
      </c>
      <c r="FT1082" s="2"/>
      <c r="FU1082" s="2"/>
      <c r="FV1082" s="2"/>
      <c r="FW1082" s="2"/>
      <c r="FX1082" s="2">
        <v>110</v>
      </c>
      <c r="FY1082" s="2">
        <v>74</v>
      </c>
      <c r="FZ1082" s="2"/>
      <c r="GA1082" s="2" t="s">
        <v>3</v>
      </c>
      <c r="GB1082" s="2"/>
      <c r="GC1082" s="2"/>
      <c r="GD1082" s="2">
        <v>0</v>
      </c>
      <c r="GE1082" s="2"/>
      <c r="GF1082" s="2">
        <v>-675544823</v>
      </c>
      <c r="GG1082" s="2">
        <v>2</v>
      </c>
      <c r="GH1082" s="2">
        <v>1</v>
      </c>
      <c r="GI1082" s="2">
        <v>-2</v>
      </c>
      <c r="GJ1082" s="2">
        <v>0</v>
      </c>
      <c r="GK1082" s="2">
        <f>ROUND(R1082*(R12)/100,2)</f>
        <v>0</v>
      </c>
      <c r="GL1082" s="2">
        <f t="shared" si="934"/>
        <v>0</v>
      </c>
      <c r="GM1082" s="2">
        <f t="shared" si="935"/>
        <v>895.36</v>
      </c>
      <c r="GN1082" s="2">
        <f t="shared" si="936"/>
        <v>895.36</v>
      </c>
      <c r="GO1082" s="2">
        <f t="shared" si="937"/>
        <v>0</v>
      </c>
      <c r="GP1082" s="2">
        <f t="shared" si="938"/>
        <v>0</v>
      </c>
      <c r="GQ1082" s="2"/>
      <c r="GR1082" s="2">
        <v>0</v>
      </c>
      <c r="GS1082" s="2">
        <v>0</v>
      </c>
      <c r="GT1082" s="2">
        <v>0</v>
      </c>
      <c r="GU1082" s="2" t="s">
        <v>3</v>
      </c>
      <c r="GV1082" s="2">
        <f t="shared" si="939"/>
        <v>0</v>
      </c>
      <c r="GW1082" s="2">
        <v>1</v>
      </c>
      <c r="GX1082" s="2">
        <f t="shared" si="940"/>
        <v>0</v>
      </c>
      <c r="GY1082" s="2"/>
      <c r="GZ1082" s="2"/>
      <c r="HA1082" s="2">
        <v>0</v>
      </c>
      <c r="HB1082" s="2">
        <v>0</v>
      </c>
      <c r="HC1082" s="2">
        <f t="shared" si="941"/>
        <v>0</v>
      </c>
      <c r="HD1082" s="2"/>
      <c r="HE1082" s="2" t="s">
        <v>3</v>
      </c>
      <c r="HF1082" s="2" t="s">
        <v>3</v>
      </c>
      <c r="HG1082" s="2"/>
      <c r="HH1082" s="2"/>
      <c r="HI1082" s="2"/>
      <c r="HJ1082" s="2"/>
      <c r="HK1082" s="2"/>
      <c r="HL1082" s="2"/>
      <c r="HM1082" s="2" t="s">
        <v>3</v>
      </c>
      <c r="HN1082" s="2" t="s">
        <v>3</v>
      </c>
      <c r="HO1082" s="2" t="s">
        <v>3</v>
      </c>
      <c r="HP1082" s="2" t="s">
        <v>3</v>
      </c>
      <c r="HQ1082" s="2" t="s">
        <v>3</v>
      </c>
      <c r="HR1082" s="2"/>
      <c r="HS1082" s="2"/>
      <c r="HT1082" s="2"/>
      <c r="HU1082" s="2"/>
      <c r="HV1082" s="2"/>
      <c r="HW1082" s="2"/>
      <c r="HX1082" s="2"/>
      <c r="HY1082" s="2"/>
      <c r="HZ1082" s="2"/>
      <c r="IA1082" s="2"/>
      <c r="IB1082" s="2"/>
      <c r="IC1082" s="2"/>
      <c r="ID1082" s="2"/>
      <c r="IE1082" s="2"/>
      <c r="IF1082" s="2"/>
      <c r="IG1082" s="2"/>
      <c r="IH1082" s="2"/>
      <c r="II1082" s="2"/>
      <c r="IJ1082" s="2"/>
      <c r="IK1082" s="2">
        <v>0</v>
      </c>
      <c r="IL1082" s="2"/>
      <c r="IM1082" s="2"/>
      <c r="IN1082" s="2"/>
      <c r="IO1082" s="2"/>
      <c r="IP1082" s="2"/>
      <c r="IQ1082" s="2"/>
      <c r="IR1082" s="2"/>
      <c r="IS1082" s="2"/>
      <c r="IT1082" s="2"/>
      <c r="IU1082" s="2"/>
    </row>
    <row r="1083" spans="1:255" x14ac:dyDescent="0.2">
      <c r="A1083">
        <v>18</v>
      </c>
      <c r="B1083">
        <v>1</v>
      </c>
      <c r="C1083">
        <v>941</v>
      </c>
      <c r="E1083" t="s">
        <v>195</v>
      </c>
      <c r="F1083" t="s">
        <v>892</v>
      </c>
      <c r="G1083" t="s">
        <v>893</v>
      </c>
      <c r="H1083" t="s">
        <v>270</v>
      </c>
      <c r="I1083">
        <f>I1081*J1083</f>
        <v>8</v>
      </c>
      <c r="J1083">
        <v>100</v>
      </c>
      <c r="K1083">
        <v>100</v>
      </c>
      <c r="O1083">
        <f t="shared" si="911"/>
        <v>12069.45</v>
      </c>
      <c r="P1083">
        <f t="shared" si="912"/>
        <v>12069.45</v>
      </c>
      <c r="Q1083">
        <f>(ROUND((ROUND(((ET1083)*AV1083*I1083),2)*BB1083),2)+ROUND((ROUND(((AE1083-(EU1083))*AV1083*I1083),2)*BS1083),2))</f>
        <v>0</v>
      </c>
      <c r="R1083">
        <f t="shared" si="913"/>
        <v>0</v>
      </c>
      <c r="S1083">
        <f t="shared" si="914"/>
        <v>0</v>
      </c>
      <c r="T1083">
        <f t="shared" si="915"/>
        <v>0</v>
      </c>
      <c r="U1083">
        <f t="shared" si="916"/>
        <v>0</v>
      </c>
      <c r="V1083">
        <f t="shared" si="917"/>
        <v>0</v>
      </c>
      <c r="W1083">
        <f t="shared" si="918"/>
        <v>0</v>
      </c>
      <c r="X1083">
        <f t="shared" si="919"/>
        <v>0</v>
      </c>
      <c r="Y1083">
        <f t="shared" si="920"/>
        <v>0</v>
      </c>
      <c r="AA1083">
        <v>129761633</v>
      </c>
      <c r="AB1083">
        <f t="shared" si="921"/>
        <v>111.92</v>
      </c>
      <c r="AC1083">
        <f t="shared" si="922"/>
        <v>111.92</v>
      </c>
      <c r="AD1083">
        <f>ROUND((((ET1083)-(EU1083))+AE1083),6)</f>
        <v>0</v>
      </c>
      <c r="AE1083">
        <f>ROUND((EU1083),6)</f>
        <v>0</v>
      </c>
      <c r="AF1083">
        <f>ROUND((EV1083),6)</f>
        <v>0</v>
      </c>
      <c r="AG1083">
        <f t="shared" si="923"/>
        <v>0</v>
      </c>
      <c r="AH1083">
        <f>(EW1083)</f>
        <v>0</v>
      </c>
      <c r="AI1083">
        <f>(EX1083)</f>
        <v>0</v>
      </c>
      <c r="AJ1083">
        <f t="shared" si="924"/>
        <v>0</v>
      </c>
      <c r="AK1083">
        <v>111.92</v>
      </c>
      <c r="AL1083">
        <v>111.92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  <c r="AV1083">
        <v>1</v>
      </c>
      <c r="AW1083">
        <v>1</v>
      </c>
      <c r="AZ1083">
        <v>1</v>
      </c>
      <c r="BA1083">
        <v>1</v>
      </c>
      <c r="BB1083">
        <v>1</v>
      </c>
      <c r="BC1083">
        <v>13.48</v>
      </c>
      <c r="BD1083" t="s">
        <v>3</v>
      </c>
      <c r="BE1083" t="s">
        <v>3</v>
      </c>
      <c r="BF1083" t="s">
        <v>3</v>
      </c>
      <c r="BG1083" t="s">
        <v>3</v>
      </c>
      <c r="BH1083">
        <v>3</v>
      </c>
      <c r="BI1083">
        <v>1</v>
      </c>
      <c r="BJ1083" t="s">
        <v>894</v>
      </c>
      <c r="BM1083">
        <v>1623</v>
      </c>
      <c r="BN1083">
        <v>0</v>
      </c>
      <c r="BO1083" t="s">
        <v>892</v>
      </c>
      <c r="BP1083">
        <v>1</v>
      </c>
      <c r="BQ1083">
        <v>30</v>
      </c>
      <c r="BR1083">
        <v>0</v>
      </c>
      <c r="BS1083">
        <v>1</v>
      </c>
      <c r="BT1083">
        <v>1</v>
      </c>
      <c r="BU1083">
        <v>1</v>
      </c>
      <c r="BV1083">
        <v>1</v>
      </c>
      <c r="BW1083">
        <v>1</v>
      </c>
      <c r="BX1083">
        <v>1</v>
      </c>
      <c r="BY1083" t="s">
        <v>3</v>
      </c>
      <c r="BZ1083">
        <v>0</v>
      </c>
      <c r="CA1083">
        <v>0</v>
      </c>
      <c r="CB1083" t="s">
        <v>3</v>
      </c>
      <c r="CE1083">
        <v>30</v>
      </c>
      <c r="CF1083">
        <v>0</v>
      </c>
      <c r="CG1083">
        <v>0</v>
      </c>
      <c r="CM1083">
        <v>0</v>
      </c>
      <c r="CN1083" t="s">
        <v>3</v>
      </c>
      <c r="CO1083">
        <v>0</v>
      </c>
      <c r="CP1083">
        <f t="shared" si="925"/>
        <v>12069.45</v>
      </c>
      <c r="CQ1083">
        <f t="shared" si="926"/>
        <v>1508.68</v>
      </c>
      <c r="CR1083">
        <f>(ROUND((ROUND(((ET1083)*AV1083*1),2)*BB1083),2)+ROUND((ROUND(((AE1083-(EU1083))*AV1083*1),2)*BS1083),2))</f>
        <v>0</v>
      </c>
      <c r="CS1083">
        <f t="shared" si="927"/>
        <v>0</v>
      </c>
      <c r="CT1083">
        <f t="shared" si="928"/>
        <v>0</v>
      </c>
      <c r="CU1083">
        <f t="shared" si="929"/>
        <v>0</v>
      </c>
      <c r="CV1083">
        <f t="shared" si="930"/>
        <v>0</v>
      </c>
      <c r="CW1083">
        <f t="shared" si="931"/>
        <v>0</v>
      </c>
      <c r="CX1083">
        <f t="shared" si="932"/>
        <v>0</v>
      </c>
      <c r="CY1083">
        <f>S1083*(BZ1083/100)</f>
        <v>0</v>
      </c>
      <c r="CZ1083">
        <f>S1083*(CA1083/100)</f>
        <v>0</v>
      </c>
      <c r="DC1083" t="s">
        <v>3</v>
      </c>
      <c r="DD1083" t="s">
        <v>3</v>
      </c>
      <c r="DE1083" t="s">
        <v>3</v>
      </c>
      <c r="DF1083" t="s">
        <v>3</v>
      </c>
      <c r="DG1083" t="s">
        <v>3</v>
      </c>
      <c r="DH1083" t="s">
        <v>3</v>
      </c>
      <c r="DI1083" t="s">
        <v>3</v>
      </c>
      <c r="DJ1083" t="s">
        <v>3</v>
      </c>
      <c r="DK1083" t="s">
        <v>3</v>
      </c>
      <c r="DL1083" t="s">
        <v>3</v>
      </c>
      <c r="DM1083" t="s">
        <v>3</v>
      </c>
      <c r="DN1083">
        <v>110</v>
      </c>
      <c r="DO1083">
        <v>74</v>
      </c>
      <c r="DP1083">
        <v>1</v>
      </c>
      <c r="DQ1083">
        <v>1</v>
      </c>
      <c r="DU1083">
        <v>1003</v>
      </c>
      <c r="DV1083" t="s">
        <v>270</v>
      </c>
      <c r="DW1083" t="s">
        <v>270</v>
      </c>
      <c r="DX1083">
        <v>1</v>
      </c>
      <c r="DZ1083" t="s">
        <v>3</v>
      </c>
      <c r="EA1083" t="s">
        <v>3</v>
      </c>
      <c r="EB1083" t="s">
        <v>3</v>
      </c>
      <c r="EC1083" t="s">
        <v>3</v>
      </c>
      <c r="EE1083">
        <v>126053084</v>
      </c>
      <c r="EF1083">
        <v>30</v>
      </c>
      <c r="EG1083" t="s">
        <v>23</v>
      </c>
      <c r="EH1083">
        <v>0</v>
      </c>
      <c r="EI1083" t="s">
        <v>3</v>
      </c>
      <c r="EJ1083">
        <v>1</v>
      </c>
      <c r="EK1083">
        <v>1623</v>
      </c>
      <c r="EL1083" t="s">
        <v>824</v>
      </c>
      <c r="EM1083" t="s">
        <v>825</v>
      </c>
      <c r="EO1083" t="s">
        <v>3</v>
      </c>
      <c r="EQ1083">
        <v>0</v>
      </c>
      <c r="ER1083">
        <v>111.92</v>
      </c>
      <c r="ES1083">
        <v>111.92</v>
      </c>
      <c r="ET1083">
        <v>0</v>
      </c>
      <c r="EU1083">
        <v>0</v>
      </c>
      <c r="EV1083">
        <v>0</v>
      </c>
      <c r="EW1083">
        <v>0</v>
      </c>
      <c r="EX1083">
        <v>0</v>
      </c>
      <c r="FQ1083">
        <v>0</v>
      </c>
      <c r="FR1083">
        <f t="shared" si="933"/>
        <v>0</v>
      </c>
      <c r="FS1083">
        <v>0</v>
      </c>
      <c r="FX1083">
        <v>110</v>
      </c>
      <c r="FY1083">
        <v>74</v>
      </c>
      <c r="GA1083" t="s">
        <v>3</v>
      </c>
      <c r="GD1083">
        <v>0</v>
      </c>
      <c r="GF1083">
        <v>-675544823</v>
      </c>
      <c r="GG1083">
        <v>2</v>
      </c>
      <c r="GH1083">
        <v>1</v>
      </c>
      <c r="GI1083">
        <v>2</v>
      </c>
      <c r="GJ1083">
        <v>0</v>
      </c>
      <c r="GK1083">
        <f>ROUND(R1083*(S12)/100,2)</f>
        <v>0</v>
      </c>
      <c r="GL1083">
        <f t="shared" si="934"/>
        <v>0</v>
      </c>
      <c r="GM1083">
        <f t="shared" si="935"/>
        <v>12069.45</v>
      </c>
      <c r="GN1083">
        <f t="shared" si="936"/>
        <v>12069.45</v>
      </c>
      <c r="GO1083">
        <f t="shared" si="937"/>
        <v>0</v>
      </c>
      <c r="GP1083">
        <f t="shared" si="938"/>
        <v>0</v>
      </c>
      <c r="GR1083">
        <v>0</v>
      </c>
      <c r="GS1083">
        <v>3</v>
      </c>
      <c r="GT1083">
        <v>0</v>
      </c>
      <c r="GU1083" t="s">
        <v>3</v>
      </c>
      <c r="GV1083">
        <f t="shared" si="939"/>
        <v>0</v>
      </c>
      <c r="GW1083">
        <v>1</v>
      </c>
      <c r="GX1083">
        <f t="shared" si="940"/>
        <v>0</v>
      </c>
      <c r="HA1083">
        <v>0</v>
      </c>
      <c r="HB1083">
        <v>0</v>
      </c>
      <c r="HC1083">
        <f t="shared" si="941"/>
        <v>0</v>
      </c>
      <c r="HE1083" t="s">
        <v>3</v>
      </c>
      <c r="HF1083" t="s">
        <v>3</v>
      </c>
      <c r="HM1083" t="s">
        <v>3</v>
      </c>
      <c r="HN1083" t="s">
        <v>3</v>
      </c>
      <c r="HO1083" t="s">
        <v>3</v>
      </c>
      <c r="HP1083" t="s">
        <v>3</v>
      </c>
      <c r="HQ1083" t="s">
        <v>3</v>
      </c>
      <c r="IK1083">
        <v>0</v>
      </c>
    </row>
    <row r="1084" spans="1:255" x14ac:dyDescent="0.2">
      <c r="A1084" s="2">
        <v>17</v>
      </c>
      <c r="B1084" s="2">
        <v>1</v>
      </c>
      <c r="C1084" s="2">
        <f>ROW(SmtRes!A950)</f>
        <v>950</v>
      </c>
      <c r="D1084" s="2">
        <f>ROW(EtalonRes!A925)</f>
        <v>925</v>
      </c>
      <c r="E1084" s="2" t="s">
        <v>196</v>
      </c>
      <c r="F1084" s="2" t="s">
        <v>895</v>
      </c>
      <c r="G1084" s="2" t="s">
        <v>896</v>
      </c>
      <c r="H1084" s="2" t="s">
        <v>897</v>
      </c>
      <c r="I1084" s="2">
        <v>2</v>
      </c>
      <c r="J1084" s="2">
        <v>0</v>
      </c>
      <c r="K1084" s="2">
        <v>2</v>
      </c>
      <c r="L1084" s="2"/>
      <c r="M1084" s="2"/>
      <c r="N1084" s="2"/>
      <c r="O1084" s="2">
        <f t="shared" si="911"/>
        <v>454.25</v>
      </c>
      <c r="P1084" s="2">
        <f t="shared" si="912"/>
        <v>422.82</v>
      </c>
      <c r="Q1084" s="2">
        <f>(ROUND((ROUND((((ET1084*1.25))*AV1084*I1084),2)*BB1084),2)+ROUND((ROUND(((AE1084-((EU1084*1.25)))*AV1084*I1084),2)*BS1084),2))</f>
        <v>5.58</v>
      </c>
      <c r="R1084" s="2">
        <f t="shared" si="913"/>
        <v>1.33</v>
      </c>
      <c r="S1084" s="2">
        <f t="shared" si="914"/>
        <v>25.85</v>
      </c>
      <c r="T1084" s="2">
        <f t="shared" si="915"/>
        <v>0</v>
      </c>
      <c r="U1084" s="2">
        <f t="shared" si="916"/>
        <v>2.0699999999999998</v>
      </c>
      <c r="V1084" s="2">
        <f t="shared" si="917"/>
        <v>0</v>
      </c>
      <c r="W1084" s="2">
        <f t="shared" si="918"/>
        <v>0</v>
      </c>
      <c r="X1084" s="2">
        <f t="shared" si="919"/>
        <v>28.44</v>
      </c>
      <c r="Y1084" s="2">
        <f t="shared" si="920"/>
        <v>19.13</v>
      </c>
      <c r="Z1084" s="2"/>
      <c r="AA1084" s="2">
        <v>129761636</v>
      </c>
      <c r="AB1084" s="2">
        <f t="shared" si="921"/>
        <v>227.12350000000001</v>
      </c>
      <c r="AC1084" s="2">
        <f t="shared" si="922"/>
        <v>211.41</v>
      </c>
      <c r="AD1084" s="2">
        <f>ROUND(((((ET1084*1.25))-((EU1084*1.25)))+AE1084),6)</f>
        <v>2.7875000000000001</v>
      </c>
      <c r="AE1084" s="2">
        <f>ROUND(((EU1084*1.25)),6)</f>
        <v>0.66249999999999998</v>
      </c>
      <c r="AF1084" s="2">
        <f>ROUND(((EV1084*1.15)),6)</f>
        <v>12.926</v>
      </c>
      <c r="AG1084" s="2">
        <f t="shared" si="923"/>
        <v>0</v>
      </c>
      <c r="AH1084" s="2">
        <f>((EW1084*1.15))</f>
        <v>1.0349999999999999</v>
      </c>
      <c r="AI1084" s="2">
        <f>((EX1084*1.25))</f>
        <v>0</v>
      </c>
      <c r="AJ1084" s="2">
        <f t="shared" si="924"/>
        <v>0</v>
      </c>
      <c r="AK1084" s="2">
        <v>224.88</v>
      </c>
      <c r="AL1084" s="2">
        <v>211.41</v>
      </c>
      <c r="AM1084" s="2">
        <v>2.23</v>
      </c>
      <c r="AN1084" s="2">
        <v>0.53</v>
      </c>
      <c r="AO1084" s="2">
        <v>11.24</v>
      </c>
      <c r="AP1084" s="2">
        <v>0</v>
      </c>
      <c r="AQ1084" s="2">
        <v>0.9</v>
      </c>
      <c r="AR1084" s="2">
        <v>0</v>
      </c>
      <c r="AS1084" s="2">
        <v>0</v>
      </c>
      <c r="AT1084" s="2">
        <v>110</v>
      </c>
      <c r="AU1084" s="2">
        <v>74</v>
      </c>
      <c r="AV1084" s="2">
        <v>1</v>
      </c>
      <c r="AW1084" s="2">
        <v>1</v>
      </c>
      <c r="AX1084" s="2"/>
      <c r="AY1084" s="2"/>
      <c r="AZ1084" s="2">
        <v>1</v>
      </c>
      <c r="BA1084" s="2">
        <v>1</v>
      </c>
      <c r="BB1084" s="2">
        <v>1</v>
      </c>
      <c r="BC1084" s="2">
        <v>1</v>
      </c>
      <c r="BD1084" s="2" t="s">
        <v>3</v>
      </c>
      <c r="BE1084" s="2" t="s">
        <v>3</v>
      </c>
      <c r="BF1084" s="2" t="s">
        <v>3</v>
      </c>
      <c r="BG1084" s="2" t="s">
        <v>3</v>
      </c>
      <c r="BH1084" s="2">
        <v>0</v>
      </c>
      <c r="BI1084" s="2">
        <v>1</v>
      </c>
      <c r="BJ1084" s="2" t="s">
        <v>898</v>
      </c>
      <c r="BK1084" s="2"/>
      <c r="BL1084" s="2"/>
      <c r="BM1084" s="2">
        <v>133</v>
      </c>
      <c r="BN1084" s="2">
        <v>0</v>
      </c>
      <c r="BO1084" s="2" t="s">
        <v>3</v>
      </c>
      <c r="BP1084" s="2">
        <v>0</v>
      </c>
      <c r="BQ1084" s="2">
        <v>30</v>
      </c>
      <c r="BR1084" s="2">
        <v>0</v>
      </c>
      <c r="BS1084" s="2">
        <v>1</v>
      </c>
      <c r="BT1084" s="2">
        <v>1</v>
      </c>
      <c r="BU1084" s="2">
        <v>1</v>
      </c>
      <c r="BV1084" s="2">
        <v>1</v>
      </c>
      <c r="BW1084" s="2">
        <v>1</v>
      </c>
      <c r="BX1084" s="2">
        <v>1</v>
      </c>
      <c r="BY1084" s="2" t="s">
        <v>3</v>
      </c>
      <c r="BZ1084" s="2">
        <v>110</v>
      </c>
      <c r="CA1084" s="2">
        <v>74</v>
      </c>
      <c r="CB1084" s="2" t="s">
        <v>3</v>
      </c>
      <c r="CC1084" s="2"/>
      <c r="CD1084" s="2"/>
      <c r="CE1084" s="2">
        <v>30</v>
      </c>
      <c r="CF1084" s="2">
        <v>0</v>
      </c>
      <c r="CG1084" s="2">
        <v>0</v>
      </c>
      <c r="CH1084" s="2"/>
      <c r="CI1084" s="2"/>
      <c r="CJ1084" s="2"/>
      <c r="CK1084" s="2"/>
      <c r="CL1084" s="2"/>
      <c r="CM1084" s="2">
        <v>0</v>
      </c>
      <c r="CN1084" s="2" t="s">
        <v>1559</v>
      </c>
      <c r="CO1084" s="2">
        <v>0</v>
      </c>
      <c r="CP1084" s="2">
        <f t="shared" si="925"/>
        <v>454.25</v>
      </c>
      <c r="CQ1084" s="2">
        <f t="shared" si="926"/>
        <v>211.41</v>
      </c>
      <c r="CR1084" s="2">
        <f>(ROUND((ROUND((((ET1084*1.25))*AV1084*1),2)*BB1084),2)+ROUND((ROUND(((AE1084-((EU1084*1.25)))*AV1084*1),2)*BS1084),2))</f>
        <v>2.79</v>
      </c>
      <c r="CS1084" s="2">
        <f t="shared" si="927"/>
        <v>0.66</v>
      </c>
      <c r="CT1084" s="2">
        <f t="shared" si="928"/>
        <v>12.93</v>
      </c>
      <c r="CU1084" s="2">
        <f t="shared" si="929"/>
        <v>0</v>
      </c>
      <c r="CV1084" s="2">
        <f t="shared" si="930"/>
        <v>1.0349999999999999</v>
      </c>
      <c r="CW1084" s="2">
        <f t="shared" si="931"/>
        <v>0</v>
      </c>
      <c r="CX1084" s="2">
        <f t="shared" si="932"/>
        <v>0</v>
      </c>
      <c r="CY1084" s="2">
        <f>((S1084*BZ1084)/100)</f>
        <v>28.434999999999999</v>
      </c>
      <c r="CZ1084" s="2">
        <f>((S1084*CA1084)/100)</f>
        <v>19.129000000000001</v>
      </c>
      <c r="DA1084" s="2"/>
      <c r="DB1084" s="2"/>
      <c r="DC1084" s="2" t="s">
        <v>3</v>
      </c>
      <c r="DD1084" s="2" t="s">
        <v>3</v>
      </c>
      <c r="DE1084" s="2" t="s">
        <v>86</v>
      </c>
      <c r="DF1084" s="2" t="s">
        <v>86</v>
      </c>
      <c r="DG1084" s="2" t="s">
        <v>87</v>
      </c>
      <c r="DH1084" s="2" t="s">
        <v>3</v>
      </c>
      <c r="DI1084" s="2" t="s">
        <v>87</v>
      </c>
      <c r="DJ1084" s="2" t="s">
        <v>86</v>
      </c>
      <c r="DK1084" s="2" t="s">
        <v>3</v>
      </c>
      <c r="DL1084" s="2" t="s">
        <v>3</v>
      </c>
      <c r="DM1084" s="2" t="s">
        <v>3</v>
      </c>
      <c r="DN1084" s="2">
        <v>0</v>
      </c>
      <c r="DO1084" s="2">
        <v>0</v>
      </c>
      <c r="DP1084" s="2">
        <v>1</v>
      </c>
      <c r="DQ1084" s="2">
        <v>1</v>
      </c>
      <c r="DR1084" s="2"/>
      <c r="DS1084" s="2"/>
      <c r="DT1084" s="2"/>
      <c r="DU1084" s="2">
        <v>1013</v>
      </c>
      <c r="DV1084" s="2" t="s">
        <v>897</v>
      </c>
      <c r="DW1084" s="2" t="s">
        <v>897</v>
      </c>
      <c r="DX1084" s="2">
        <v>1</v>
      </c>
      <c r="DY1084" s="2"/>
      <c r="DZ1084" s="2" t="s">
        <v>3</v>
      </c>
      <c r="EA1084" s="2" t="s">
        <v>3</v>
      </c>
      <c r="EB1084" s="2" t="s">
        <v>3</v>
      </c>
      <c r="EC1084" s="2" t="s">
        <v>3</v>
      </c>
      <c r="ED1084" s="2"/>
      <c r="EE1084" s="2">
        <v>126051594</v>
      </c>
      <c r="EF1084" s="2">
        <v>30</v>
      </c>
      <c r="EG1084" s="2" t="s">
        <v>23</v>
      </c>
      <c r="EH1084" s="2">
        <v>0</v>
      </c>
      <c r="EI1084" s="2" t="s">
        <v>3</v>
      </c>
      <c r="EJ1084" s="2">
        <v>1</v>
      </c>
      <c r="EK1084" s="2">
        <v>133</v>
      </c>
      <c r="EL1084" s="2" t="s">
        <v>899</v>
      </c>
      <c r="EM1084" s="2" t="s">
        <v>900</v>
      </c>
      <c r="EN1084" s="2"/>
      <c r="EO1084" s="2" t="s">
        <v>90</v>
      </c>
      <c r="EP1084" s="2"/>
      <c r="EQ1084" s="2">
        <v>131072</v>
      </c>
      <c r="ER1084" s="2">
        <v>224.88</v>
      </c>
      <c r="ES1084" s="2">
        <v>211.41</v>
      </c>
      <c r="ET1084" s="2">
        <v>2.23</v>
      </c>
      <c r="EU1084" s="2">
        <v>0.53</v>
      </c>
      <c r="EV1084" s="2">
        <v>11.24</v>
      </c>
      <c r="EW1084" s="2">
        <v>0.9</v>
      </c>
      <c r="EX1084" s="2">
        <v>0</v>
      </c>
      <c r="EY1084" s="2">
        <v>0</v>
      </c>
      <c r="EZ1084" s="2"/>
      <c r="FA1084" s="2"/>
      <c r="FB1084" s="2"/>
      <c r="FC1084" s="2"/>
      <c r="FD1084" s="2"/>
      <c r="FE1084" s="2"/>
      <c r="FF1084" s="2"/>
      <c r="FG1084" s="2"/>
      <c r="FH1084" s="2"/>
      <c r="FI1084" s="2"/>
      <c r="FJ1084" s="2"/>
      <c r="FK1084" s="2"/>
      <c r="FL1084" s="2"/>
      <c r="FM1084" s="2"/>
      <c r="FN1084" s="2"/>
      <c r="FO1084" s="2"/>
      <c r="FP1084" s="2"/>
      <c r="FQ1084" s="2">
        <v>0</v>
      </c>
      <c r="FR1084" s="2">
        <f t="shared" si="933"/>
        <v>0</v>
      </c>
      <c r="FS1084" s="2">
        <v>0</v>
      </c>
      <c r="FT1084" s="2"/>
      <c r="FU1084" s="2"/>
      <c r="FV1084" s="2"/>
      <c r="FW1084" s="2"/>
      <c r="FX1084" s="2">
        <v>110</v>
      </c>
      <c r="FY1084" s="2">
        <v>74</v>
      </c>
      <c r="FZ1084" s="2"/>
      <c r="GA1084" s="2" t="s">
        <v>3</v>
      </c>
      <c r="GB1084" s="2"/>
      <c r="GC1084" s="2"/>
      <c r="GD1084" s="2">
        <v>0</v>
      </c>
      <c r="GE1084" s="2"/>
      <c r="GF1084" s="2">
        <v>2115358332</v>
      </c>
      <c r="GG1084" s="2">
        <v>2</v>
      </c>
      <c r="GH1084" s="2">
        <v>1</v>
      </c>
      <c r="GI1084" s="2">
        <v>-2</v>
      </c>
      <c r="GJ1084" s="2">
        <v>0</v>
      </c>
      <c r="GK1084" s="2">
        <f>ROUND(R1084*(R12)/100,2)</f>
        <v>2.33</v>
      </c>
      <c r="GL1084" s="2">
        <f t="shared" si="934"/>
        <v>0</v>
      </c>
      <c r="GM1084" s="2">
        <f t="shared" si="935"/>
        <v>504.15</v>
      </c>
      <c r="GN1084" s="2">
        <f t="shared" si="936"/>
        <v>504.15</v>
      </c>
      <c r="GO1084" s="2">
        <f t="shared" si="937"/>
        <v>0</v>
      </c>
      <c r="GP1084" s="2">
        <f t="shared" si="938"/>
        <v>0</v>
      </c>
      <c r="GQ1084" s="2"/>
      <c r="GR1084" s="2">
        <v>0</v>
      </c>
      <c r="GS1084" s="2">
        <v>0</v>
      </c>
      <c r="GT1084" s="2">
        <v>0</v>
      </c>
      <c r="GU1084" s="2" t="s">
        <v>3</v>
      </c>
      <c r="GV1084" s="2">
        <f t="shared" si="939"/>
        <v>0</v>
      </c>
      <c r="GW1084" s="2">
        <v>1</v>
      </c>
      <c r="GX1084" s="2">
        <f t="shared" si="940"/>
        <v>0</v>
      </c>
      <c r="GY1084" s="2"/>
      <c r="GZ1084" s="2"/>
      <c r="HA1084" s="2">
        <v>0</v>
      </c>
      <c r="HB1084" s="2">
        <v>0</v>
      </c>
      <c r="HC1084" s="2">
        <f t="shared" si="941"/>
        <v>0</v>
      </c>
      <c r="HD1084" s="2"/>
      <c r="HE1084" s="2" t="s">
        <v>3</v>
      </c>
      <c r="HF1084" s="2" t="s">
        <v>3</v>
      </c>
      <c r="HG1084" s="2"/>
      <c r="HH1084" s="2"/>
      <c r="HI1084" s="2"/>
      <c r="HJ1084" s="2"/>
      <c r="HK1084" s="2"/>
      <c r="HL1084" s="2"/>
      <c r="HM1084" s="2" t="s">
        <v>3</v>
      </c>
      <c r="HN1084" s="2" t="s">
        <v>3</v>
      </c>
      <c r="HO1084" s="2" t="s">
        <v>3</v>
      </c>
      <c r="HP1084" s="2" t="s">
        <v>3</v>
      </c>
      <c r="HQ1084" s="2" t="s">
        <v>3</v>
      </c>
      <c r="HR1084" s="2"/>
      <c r="HS1084" s="2"/>
      <c r="HT1084" s="2"/>
      <c r="HU1084" s="2"/>
      <c r="HV1084" s="2"/>
      <c r="HW1084" s="2"/>
      <c r="HX1084" s="2"/>
      <c r="HY1084" s="2"/>
      <c r="HZ1084" s="2"/>
      <c r="IA1084" s="2"/>
      <c r="IB1084" s="2"/>
      <c r="IC1084" s="2"/>
      <c r="ID1084" s="2"/>
      <c r="IE1084" s="2"/>
      <c r="IF1084" s="2"/>
      <c r="IG1084" s="2"/>
      <c r="IH1084" s="2"/>
      <c r="II1084" s="2"/>
      <c r="IJ1084" s="2"/>
      <c r="IK1084" s="2">
        <v>0</v>
      </c>
      <c r="IL1084" s="2"/>
      <c r="IM1084" s="2"/>
      <c r="IN1084" s="2"/>
      <c r="IO1084" s="2"/>
      <c r="IP1084" s="2"/>
      <c r="IQ1084" s="2"/>
      <c r="IR1084" s="2"/>
      <c r="IS1084" s="2"/>
      <c r="IT1084" s="2"/>
      <c r="IU1084" s="2"/>
    </row>
    <row r="1085" spans="1:255" x14ac:dyDescent="0.2">
      <c r="A1085">
        <v>17</v>
      </c>
      <c r="B1085">
        <v>1</v>
      </c>
      <c r="C1085">
        <f>ROW(SmtRes!A958)</f>
        <v>958</v>
      </c>
      <c r="D1085">
        <f>ROW(EtalonRes!A932)</f>
        <v>932</v>
      </c>
      <c r="E1085" t="s">
        <v>196</v>
      </c>
      <c r="F1085" t="s">
        <v>895</v>
      </c>
      <c r="G1085" t="s">
        <v>896</v>
      </c>
      <c r="H1085" t="s">
        <v>897</v>
      </c>
      <c r="I1085">
        <v>2</v>
      </c>
      <c r="J1085">
        <v>0</v>
      </c>
      <c r="K1085">
        <v>2</v>
      </c>
      <c r="O1085">
        <f t="shared" si="911"/>
        <v>1760.02</v>
      </c>
      <c r="P1085">
        <f t="shared" si="912"/>
        <v>934.43</v>
      </c>
      <c r="Q1085">
        <f>(ROUND((ROUND((((ET1085*1.25))*AV1085*I1085),2)*BB1085),2)+ROUND((ROUND(((AE1085-((EU1085*1.25)))*AV1085*I1085),2)*BS1085),2))</f>
        <v>75.16</v>
      </c>
      <c r="R1085">
        <f t="shared" si="913"/>
        <v>38.61</v>
      </c>
      <c r="S1085">
        <f t="shared" si="914"/>
        <v>750.43</v>
      </c>
      <c r="T1085">
        <f t="shared" si="915"/>
        <v>0</v>
      </c>
      <c r="U1085">
        <f t="shared" si="916"/>
        <v>2.0699999999999998</v>
      </c>
      <c r="V1085">
        <f t="shared" si="917"/>
        <v>0</v>
      </c>
      <c r="W1085">
        <f t="shared" si="918"/>
        <v>0</v>
      </c>
      <c r="X1085">
        <f t="shared" si="919"/>
        <v>675.39</v>
      </c>
      <c r="Y1085">
        <f t="shared" si="920"/>
        <v>307.68</v>
      </c>
      <c r="AA1085">
        <v>129761633</v>
      </c>
      <c r="AB1085">
        <f t="shared" si="921"/>
        <v>227.12350000000001</v>
      </c>
      <c r="AC1085">
        <f t="shared" si="922"/>
        <v>211.41</v>
      </c>
      <c r="AD1085">
        <f>ROUND(((((ET1085*1.25))-((EU1085*1.25)))+AE1085),6)</f>
        <v>2.7875000000000001</v>
      </c>
      <c r="AE1085">
        <f>ROUND(((EU1085*1.25)),6)</f>
        <v>0.66249999999999998</v>
      </c>
      <c r="AF1085">
        <f>ROUND(((EV1085*1.15)),6)</f>
        <v>12.926</v>
      </c>
      <c r="AG1085">
        <f t="shared" si="923"/>
        <v>0</v>
      </c>
      <c r="AH1085">
        <f>((EW1085*1.15))</f>
        <v>1.0349999999999999</v>
      </c>
      <c r="AI1085">
        <f>((EX1085*1.25))</f>
        <v>0</v>
      </c>
      <c r="AJ1085">
        <f t="shared" si="924"/>
        <v>0</v>
      </c>
      <c r="AK1085">
        <v>224.88</v>
      </c>
      <c r="AL1085">
        <v>211.41</v>
      </c>
      <c r="AM1085">
        <v>2.23</v>
      </c>
      <c r="AN1085">
        <v>0.53</v>
      </c>
      <c r="AO1085">
        <v>11.24</v>
      </c>
      <c r="AP1085">
        <v>0</v>
      </c>
      <c r="AQ1085">
        <v>0.9</v>
      </c>
      <c r="AR1085">
        <v>0</v>
      </c>
      <c r="AS1085">
        <v>0</v>
      </c>
      <c r="AT1085">
        <v>90</v>
      </c>
      <c r="AU1085">
        <v>41</v>
      </c>
      <c r="AV1085">
        <v>1</v>
      </c>
      <c r="AW1085">
        <v>1</v>
      </c>
      <c r="AZ1085">
        <v>1</v>
      </c>
      <c r="BA1085">
        <v>29.03</v>
      </c>
      <c r="BB1085">
        <v>13.47</v>
      </c>
      <c r="BC1085">
        <v>2.21</v>
      </c>
      <c r="BD1085" t="s">
        <v>3</v>
      </c>
      <c r="BE1085" t="s">
        <v>3</v>
      </c>
      <c r="BF1085" t="s">
        <v>3</v>
      </c>
      <c r="BG1085" t="s">
        <v>3</v>
      </c>
      <c r="BH1085">
        <v>0</v>
      </c>
      <c r="BI1085">
        <v>1</v>
      </c>
      <c r="BJ1085" t="s">
        <v>898</v>
      </c>
      <c r="BM1085">
        <v>133</v>
      </c>
      <c r="BN1085">
        <v>0</v>
      </c>
      <c r="BO1085" t="s">
        <v>895</v>
      </c>
      <c r="BP1085">
        <v>1</v>
      </c>
      <c r="BQ1085">
        <v>30</v>
      </c>
      <c r="BR1085">
        <v>0</v>
      </c>
      <c r="BS1085">
        <v>29.03</v>
      </c>
      <c r="BT1085">
        <v>1</v>
      </c>
      <c r="BU1085">
        <v>1</v>
      </c>
      <c r="BV1085">
        <v>1</v>
      </c>
      <c r="BW1085">
        <v>1</v>
      </c>
      <c r="BX1085">
        <v>1</v>
      </c>
      <c r="BY1085" t="s">
        <v>3</v>
      </c>
      <c r="BZ1085">
        <v>90</v>
      </c>
      <c r="CA1085">
        <v>41</v>
      </c>
      <c r="CB1085" t="s">
        <v>3</v>
      </c>
      <c r="CE1085">
        <v>30</v>
      </c>
      <c r="CF1085">
        <v>0</v>
      </c>
      <c r="CG1085">
        <v>0</v>
      </c>
      <c r="CM1085">
        <v>0</v>
      </c>
      <c r="CN1085" t="s">
        <v>1559</v>
      </c>
      <c r="CO1085">
        <v>0</v>
      </c>
      <c r="CP1085">
        <f t="shared" si="925"/>
        <v>1760.02</v>
      </c>
      <c r="CQ1085">
        <f t="shared" si="926"/>
        <v>467.22</v>
      </c>
      <c r="CR1085">
        <f>(ROUND((ROUND((((ET1085*1.25))*AV1085*1),2)*BB1085),2)+ROUND((ROUND(((AE1085-((EU1085*1.25)))*AV1085*1),2)*BS1085),2))</f>
        <v>37.58</v>
      </c>
      <c r="CS1085">
        <f t="shared" si="927"/>
        <v>19.16</v>
      </c>
      <c r="CT1085">
        <f t="shared" si="928"/>
        <v>375.36</v>
      </c>
      <c r="CU1085">
        <f t="shared" si="929"/>
        <v>0</v>
      </c>
      <c r="CV1085">
        <f t="shared" si="930"/>
        <v>1.0349999999999999</v>
      </c>
      <c r="CW1085">
        <f t="shared" si="931"/>
        <v>0</v>
      </c>
      <c r="CX1085">
        <f t="shared" si="932"/>
        <v>0</v>
      </c>
      <c r="CY1085">
        <f>S1085*(BZ1085/100)</f>
        <v>675.38699999999994</v>
      </c>
      <c r="CZ1085">
        <f>S1085*(CA1085/100)</f>
        <v>307.67629999999997</v>
      </c>
      <c r="DC1085" t="s">
        <v>3</v>
      </c>
      <c r="DD1085" t="s">
        <v>3</v>
      </c>
      <c r="DE1085" t="s">
        <v>86</v>
      </c>
      <c r="DF1085" t="s">
        <v>86</v>
      </c>
      <c r="DG1085" t="s">
        <v>87</v>
      </c>
      <c r="DH1085" t="s">
        <v>3</v>
      </c>
      <c r="DI1085" t="s">
        <v>87</v>
      </c>
      <c r="DJ1085" t="s">
        <v>86</v>
      </c>
      <c r="DK1085" t="s">
        <v>3</v>
      </c>
      <c r="DL1085" t="s">
        <v>3</v>
      </c>
      <c r="DM1085" t="s">
        <v>3</v>
      </c>
      <c r="DN1085">
        <v>110</v>
      </c>
      <c r="DO1085">
        <v>74</v>
      </c>
      <c r="DP1085">
        <v>1</v>
      </c>
      <c r="DQ1085">
        <v>1</v>
      </c>
      <c r="DU1085">
        <v>1013</v>
      </c>
      <c r="DV1085" t="s">
        <v>897</v>
      </c>
      <c r="DW1085" t="s">
        <v>897</v>
      </c>
      <c r="DX1085">
        <v>1</v>
      </c>
      <c r="DZ1085" t="s">
        <v>3</v>
      </c>
      <c r="EA1085" t="s">
        <v>3</v>
      </c>
      <c r="EB1085" t="s">
        <v>3</v>
      </c>
      <c r="EC1085" t="s">
        <v>3</v>
      </c>
      <c r="EE1085">
        <v>126051594</v>
      </c>
      <c r="EF1085">
        <v>30</v>
      </c>
      <c r="EG1085" t="s">
        <v>23</v>
      </c>
      <c r="EH1085">
        <v>0</v>
      </c>
      <c r="EI1085" t="s">
        <v>3</v>
      </c>
      <c r="EJ1085">
        <v>1</v>
      </c>
      <c r="EK1085">
        <v>133</v>
      </c>
      <c r="EL1085" t="s">
        <v>899</v>
      </c>
      <c r="EM1085" t="s">
        <v>900</v>
      </c>
      <c r="EO1085" t="s">
        <v>90</v>
      </c>
      <c r="EQ1085">
        <v>131072</v>
      </c>
      <c r="ER1085">
        <v>224.88</v>
      </c>
      <c r="ES1085">
        <v>211.41</v>
      </c>
      <c r="ET1085">
        <v>2.23</v>
      </c>
      <c r="EU1085">
        <v>0.53</v>
      </c>
      <c r="EV1085">
        <v>11.24</v>
      </c>
      <c r="EW1085">
        <v>0.9</v>
      </c>
      <c r="EX1085">
        <v>0</v>
      </c>
      <c r="EY1085">
        <v>0</v>
      </c>
      <c r="FQ1085">
        <v>0</v>
      </c>
      <c r="FR1085">
        <f t="shared" si="933"/>
        <v>0</v>
      </c>
      <c r="FS1085">
        <v>0</v>
      </c>
      <c r="FX1085">
        <v>110</v>
      </c>
      <c r="FY1085">
        <v>74</v>
      </c>
      <c r="GA1085" t="s">
        <v>3</v>
      </c>
      <c r="GD1085">
        <v>0</v>
      </c>
      <c r="GF1085">
        <v>2115358332</v>
      </c>
      <c r="GG1085">
        <v>2</v>
      </c>
      <c r="GH1085">
        <v>1</v>
      </c>
      <c r="GI1085">
        <v>2</v>
      </c>
      <c r="GJ1085">
        <v>0</v>
      </c>
      <c r="GK1085">
        <f>ROUND(R1085*(S12)/100,2)</f>
        <v>61.78</v>
      </c>
      <c r="GL1085">
        <f t="shared" si="934"/>
        <v>0</v>
      </c>
      <c r="GM1085">
        <f t="shared" si="935"/>
        <v>2804.87</v>
      </c>
      <c r="GN1085">
        <f t="shared" si="936"/>
        <v>2804.87</v>
      </c>
      <c r="GO1085">
        <f t="shared" si="937"/>
        <v>0</v>
      </c>
      <c r="GP1085">
        <f t="shared" si="938"/>
        <v>0</v>
      </c>
      <c r="GR1085">
        <v>0</v>
      </c>
      <c r="GS1085">
        <v>3</v>
      </c>
      <c r="GT1085">
        <v>0</v>
      </c>
      <c r="GU1085" t="s">
        <v>3</v>
      </c>
      <c r="GV1085">
        <f t="shared" si="939"/>
        <v>0</v>
      </c>
      <c r="GW1085">
        <v>1</v>
      </c>
      <c r="GX1085">
        <f t="shared" si="940"/>
        <v>0</v>
      </c>
      <c r="HA1085">
        <v>0</v>
      </c>
      <c r="HB1085">
        <v>0</v>
      </c>
      <c r="HC1085">
        <f t="shared" si="941"/>
        <v>0</v>
      </c>
      <c r="HE1085" t="s">
        <v>3</v>
      </c>
      <c r="HF1085" t="s">
        <v>3</v>
      </c>
      <c r="HM1085" t="s">
        <v>3</v>
      </c>
      <c r="HN1085" t="s">
        <v>3</v>
      </c>
      <c r="HO1085" t="s">
        <v>3</v>
      </c>
      <c r="HP1085" t="s">
        <v>3</v>
      </c>
      <c r="HQ1085" t="s">
        <v>3</v>
      </c>
      <c r="IK1085">
        <v>0</v>
      </c>
    </row>
    <row r="1086" spans="1:255" x14ac:dyDescent="0.2">
      <c r="A1086" s="2">
        <v>18</v>
      </c>
      <c r="B1086" s="2">
        <v>1</v>
      </c>
      <c r="C1086" s="2">
        <v>945</v>
      </c>
      <c r="D1086" s="2"/>
      <c r="E1086" s="2" t="s">
        <v>201</v>
      </c>
      <c r="F1086" s="2" t="s">
        <v>901</v>
      </c>
      <c r="G1086" s="2" t="s">
        <v>902</v>
      </c>
      <c r="H1086" s="2" t="s">
        <v>250</v>
      </c>
      <c r="I1086" s="2">
        <f>I1084*J1086</f>
        <v>2</v>
      </c>
      <c r="J1086" s="2">
        <v>1</v>
      </c>
      <c r="K1086" s="2">
        <v>1</v>
      </c>
      <c r="L1086" s="2"/>
      <c r="M1086" s="2"/>
      <c r="N1086" s="2"/>
      <c r="O1086" s="2">
        <f t="shared" si="911"/>
        <v>0</v>
      </c>
      <c r="P1086" s="2">
        <f t="shared" si="912"/>
        <v>0</v>
      </c>
      <c r="Q1086" s="2">
        <f t="shared" ref="Q1086:Q1091" si="942">(ROUND((ROUND(((ET1086)*AV1086*I1086),2)*BB1086),2)+ROUND((ROUND(((AE1086-(EU1086))*AV1086*I1086),2)*BS1086),2))</f>
        <v>0</v>
      </c>
      <c r="R1086" s="2">
        <f t="shared" si="913"/>
        <v>0</v>
      </c>
      <c r="S1086" s="2">
        <f t="shared" si="914"/>
        <v>0</v>
      </c>
      <c r="T1086" s="2">
        <f t="shared" si="915"/>
        <v>0</v>
      </c>
      <c r="U1086" s="2">
        <f t="shared" si="916"/>
        <v>0</v>
      </c>
      <c r="V1086" s="2">
        <f t="shared" si="917"/>
        <v>0</v>
      </c>
      <c r="W1086" s="2">
        <f t="shared" si="918"/>
        <v>0</v>
      </c>
      <c r="X1086" s="2">
        <f t="shared" si="919"/>
        <v>0</v>
      </c>
      <c r="Y1086" s="2">
        <f t="shared" si="920"/>
        <v>0</v>
      </c>
      <c r="Z1086" s="2"/>
      <c r="AA1086" s="2">
        <v>129761636</v>
      </c>
      <c r="AB1086" s="2">
        <f t="shared" si="921"/>
        <v>0</v>
      </c>
      <c r="AC1086" s="2">
        <f t="shared" si="922"/>
        <v>0</v>
      </c>
      <c r="AD1086" s="2">
        <f t="shared" ref="AD1086:AD1091" si="943">ROUND((((ET1086)-(EU1086))+AE1086),6)</f>
        <v>0</v>
      </c>
      <c r="AE1086" s="2">
        <f t="shared" ref="AE1086:AF1091" si="944">ROUND((EU1086),6)</f>
        <v>0</v>
      </c>
      <c r="AF1086" s="2">
        <f t="shared" si="944"/>
        <v>0</v>
      </c>
      <c r="AG1086" s="2">
        <f t="shared" si="923"/>
        <v>0</v>
      </c>
      <c r="AH1086" s="2">
        <f t="shared" ref="AH1086:AI1091" si="945">(EW1086)</f>
        <v>0</v>
      </c>
      <c r="AI1086" s="2">
        <f t="shared" si="945"/>
        <v>0</v>
      </c>
      <c r="AJ1086" s="2">
        <f t="shared" si="924"/>
        <v>0</v>
      </c>
      <c r="AK1086" s="2">
        <v>0</v>
      </c>
      <c r="AL1086" s="2">
        <v>0</v>
      </c>
      <c r="AM1086" s="2">
        <v>0</v>
      </c>
      <c r="AN1086" s="2">
        <v>0</v>
      </c>
      <c r="AO1086" s="2">
        <v>0</v>
      </c>
      <c r="AP1086" s="2">
        <v>0</v>
      </c>
      <c r="AQ1086" s="2">
        <v>0</v>
      </c>
      <c r="AR1086" s="2">
        <v>0</v>
      </c>
      <c r="AS1086" s="2">
        <v>0</v>
      </c>
      <c r="AT1086" s="2">
        <v>110</v>
      </c>
      <c r="AU1086" s="2">
        <v>74</v>
      </c>
      <c r="AV1086" s="2">
        <v>1</v>
      </c>
      <c r="AW1086" s="2">
        <v>1</v>
      </c>
      <c r="AX1086" s="2"/>
      <c r="AY1086" s="2"/>
      <c r="AZ1086" s="2">
        <v>1</v>
      </c>
      <c r="BA1086" s="2">
        <v>1</v>
      </c>
      <c r="BB1086" s="2">
        <v>1</v>
      </c>
      <c r="BC1086" s="2">
        <v>1</v>
      </c>
      <c r="BD1086" s="2" t="s">
        <v>3</v>
      </c>
      <c r="BE1086" s="2" t="s">
        <v>3</v>
      </c>
      <c r="BF1086" s="2" t="s">
        <v>3</v>
      </c>
      <c r="BG1086" s="2" t="s">
        <v>3</v>
      </c>
      <c r="BH1086" s="2">
        <v>3</v>
      </c>
      <c r="BI1086" s="2">
        <v>1</v>
      </c>
      <c r="BJ1086" s="2" t="s">
        <v>3</v>
      </c>
      <c r="BK1086" s="2"/>
      <c r="BL1086" s="2"/>
      <c r="BM1086" s="2">
        <v>133</v>
      </c>
      <c r="BN1086" s="2">
        <v>0</v>
      </c>
      <c r="BO1086" s="2" t="s">
        <v>3</v>
      </c>
      <c r="BP1086" s="2">
        <v>0</v>
      </c>
      <c r="BQ1086" s="2">
        <v>30</v>
      </c>
      <c r="BR1086" s="2">
        <v>0</v>
      </c>
      <c r="BS1086" s="2">
        <v>1</v>
      </c>
      <c r="BT1086" s="2">
        <v>1</v>
      </c>
      <c r="BU1086" s="2">
        <v>1</v>
      </c>
      <c r="BV1086" s="2">
        <v>1</v>
      </c>
      <c r="BW1086" s="2">
        <v>1</v>
      </c>
      <c r="BX1086" s="2">
        <v>1</v>
      </c>
      <c r="BY1086" s="2" t="s">
        <v>3</v>
      </c>
      <c r="BZ1086" s="2">
        <v>110</v>
      </c>
      <c r="CA1086" s="2">
        <v>74</v>
      </c>
      <c r="CB1086" s="2" t="s">
        <v>3</v>
      </c>
      <c r="CC1086" s="2"/>
      <c r="CD1086" s="2"/>
      <c r="CE1086" s="2">
        <v>30</v>
      </c>
      <c r="CF1086" s="2">
        <v>0</v>
      </c>
      <c r="CG1086" s="2">
        <v>0</v>
      </c>
      <c r="CH1086" s="2"/>
      <c r="CI1086" s="2"/>
      <c r="CJ1086" s="2"/>
      <c r="CK1086" s="2"/>
      <c r="CL1086" s="2"/>
      <c r="CM1086" s="2">
        <v>0</v>
      </c>
      <c r="CN1086" s="2" t="s">
        <v>3</v>
      </c>
      <c r="CO1086" s="2">
        <v>0</v>
      </c>
      <c r="CP1086" s="2">
        <f t="shared" si="925"/>
        <v>0</v>
      </c>
      <c r="CQ1086" s="2">
        <f t="shared" si="926"/>
        <v>0</v>
      </c>
      <c r="CR1086" s="2">
        <f t="shared" ref="CR1086:CR1091" si="946">(ROUND((ROUND(((ET1086)*AV1086*1),2)*BB1086),2)+ROUND((ROUND(((AE1086-(EU1086))*AV1086*1),2)*BS1086),2))</f>
        <v>0</v>
      </c>
      <c r="CS1086" s="2">
        <f t="shared" si="927"/>
        <v>0</v>
      </c>
      <c r="CT1086" s="2">
        <f t="shared" si="928"/>
        <v>0</v>
      </c>
      <c r="CU1086" s="2">
        <f t="shared" si="929"/>
        <v>0</v>
      </c>
      <c r="CV1086" s="2">
        <f t="shared" si="930"/>
        <v>0</v>
      </c>
      <c r="CW1086" s="2">
        <f t="shared" si="931"/>
        <v>0</v>
      </c>
      <c r="CX1086" s="2">
        <f t="shared" si="932"/>
        <v>0</v>
      </c>
      <c r="CY1086" s="2">
        <f>((S1086*BZ1086)/100)</f>
        <v>0</v>
      </c>
      <c r="CZ1086" s="2">
        <f>((S1086*CA1086)/100)</f>
        <v>0</v>
      </c>
      <c r="DA1086" s="2"/>
      <c r="DB1086" s="2"/>
      <c r="DC1086" s="2" t="s">
        <v>3</v>
      </c>
      <c r="DD1086" s="2" t="s">
        <v>3</v>
      </c>
      <c r="DE1086" s="2" t="s">
        <v>3</v>
      </c>
      <c r="DF1086" s="2" t="s">
        <v>3</v>
      </c>
      <c r="DG1086" s="2" t="s">
        <v>3</v>
      </c>
      <c r="DH1086" s="2" t="s">
        <v>3</v>
      </c>
      <c r="DI1086" s="2" t="s">
        <v>3</v>
      </c>
      <c r="DJ1086" s="2" t="s">
        <v>3</v>
      </c>
      <c r="DK1086" s="2" t="s">
        <v>3</v>
      </c>
      <c r="DL1086" s="2" t="s">
        <v>3</v>
      </c>
      <c r="DM1086" s="2" t="s">
        <v>3</v>
      </c>
      <c r="DN1086" s="2">
        <v>0</v>
      </c>
      <c r="DO1086" s="2">
        <v>0</v>
      </c>
      <c r="DP1086" s="2">
        <v>1</v>
      </c>
      <c r="DQ1086" s="2">
        <v>1</v>
      </c>
      <c r="DR1086" s="2"/>
      <c r="DS1086" s="2"/>
      <c r="DT1086" s="2"/>
      <c r="DU1086" s="2">
        <v>1010</v>
      </c>
      <c r="DV1086" s="2" t="s">
        <v>250</v>
      </c>
      <c r="DW1086" s="2" t="s">
        <v>250</v>
      </c>
      <c r="DX1086" s="2">
        <v>1</v>
      </c>
      <c r="DY1086" s="2"/>
      <c r="DZ1086" s="2" t="s">
        <v>3</v>
      </c>
      <c r="EA1086" s="2" t="s">
        <v>3</v>
      </c>
      <c r="EB1086" s="2" t="s">
        <v>3</v>
      </c>
      <c r="EC1086" s="2" t="s">
        <v>3</v>
      </c>
      <c r="ED1086" s="2"/>
      <c r="EE1086" s="2">
        <v>126051594</v>
      </c>
      <c r="EF1086" s="2">
        <v>30</v>
      </c>
      <c r="EG1086" s="2" t="s">
        <v>23</v>
      </c>
      <c r="EH1086" s="2">
        <v>0</v>
      </c>
      <c r="EI1086" s="2" t="s">
        <v>3</v>
      </c>
      <c r="EJ1086" s="2">
        <v>1</v>
      </c>
      <c r="EK1086" s="2">
        <v>133</v>
      </c>
      <c r="EL1086" s="2" t="s">
        <v>899</v>
      </c>
      <c r="EM1086" s="2" t="s">
        <v>900</v>
      </c>
      <c r="EN1086" s="2"/>
      <c r="EO1086" s="2" t="s">
        <v>3</v>
      </c>
      <c r="EP1086" s="2"/>
      <c r="EQ1086" s="2">
        <v>0</v>
      </c>
      <c r="ER1086" s="2">
        <v>0</v>
      </c>
      <c r="ES1086" s="2">
        <v>0</v>
      </c>
      <c r="ET1086" s="2">
        <v>0</v>
      </c>
      <c r="EU1086" s="2">
        <v>0</v>
      </c>
      <c r="EV1086" s="2">
        <v>0</v>
      </c>
      <c r="EW1086" s="2">
        <v>0</v>
      </c>
      <c r="EX1086" s="2">
        <v>0</v>
      </c>
      <c r="EY1086" s="2"/>
      <c r="EZ1086" s="2"/>
      <c r="FA1086" s="2"/>
      <c r="FB1086" s="2"/>
      <c r="FC1086" s="2"/>
      <c r="FD1086" s="2"/>
      <c r="FE1086" s="2"/>
      <c r="FF1086" s="2"/>
      <c r="FG1086" s="2"/>
      <c r="FH1086" s="2"/>
      <c r="FI1086" s="2"/>
      <c r="FJ1086" s="2"/>
      <c r="FK1086" s="2"/>
      <c r="FL1086" s="2"/>
      <c r="FM1086" s="2"/>
      <c r="FN1086" s="2"/>
      <c r="FO1086" s="2"/>
      <c r="FP1086" s="2"/>
      <c r="FQ1086" s="2">
        <v>0</v>
      </c>
      <c r="FR1086" s="2">
        <f t="shared" si="933"/>
        <v>0</v>
      </c>
      <c r="FS1086" s="2">
        <v>0</v>
      </c>
      <c r="FT1086" s="2"/>
      <c r="FU1086" s="2"/>
      <c r="FV1086" s="2"/>
      <c r="FW1086" s="2"/>
      <c r="FX1086" s="2">
        <v>110</v>
      </c>
      <c r="FY1086" s="2">
        <v>74</v>
      </c>
      <c r="FZ1086" s="2"/>
      <c r="GA1086" s="2" t="s">
        <v>3</v>
      </c>
      <c r="GB1086" s="2"/>
      <c r="GC1086" s="2"/>
      <c r="GD1086" s="2">
        <v>0</v>
      </c>
      <c r="GE1086" s="2"/>
      <c r="GF1086" s="2">
        <v>-1188360614</v>
      </c>
      <c r="GG1086" s="2">
        <v>2</v>
      </c>
      <c r="GH1086" s="2">
        <v>0</v>
      </c>
      <c r="GI1086" s="2">
        <v>-2</v>
      </c>
      <c r="GJ1086" s="2">
        <v>0</v>
      </c>
      <c r="GK1086" s="2">
        <f>ROUND(R1086*(R12)/100,2)</f>
        <v>0</v>
      </c>
      <c r="GL1086" s="2">
        <f t="shared" si="934"/>
        <v>0</v>
      </c>
      <c r="GM1086" s="2">
        <f t="shared" si="935"/>
        <v>0</v>
      </c>
      <c r="GN1086" s="2">
        <f t="shared" si="936"/>
        <v>0</v>
      </c>
      <c r="GO1086" s="2">
        <f t="shared" si="937"/>
        <v>0</v>
      </c>
      <c r="GP1086" s="2">
        <f t="shared" si="938"/>
        <v>0</v>
      </c>
      <c r="GQ1086" s="2"/>
      <c r="GR1086" s="2">
        <v>0</v>
      </c>
      <c r="GS1086" s="2">
        <v>0</v>
      </c>
      <c r="GT1086" s="2">
        <v>0</v>
      </c>
      <c r="GU1086" s="2" t="s">
        <v>3</v>
      </c>
      <c r="GV1086" s="2">
        <f t="shared" si="939"/>
        <v>0</v>
      </c>
      <c r="GW1086" s="2">
        <v>1</v>
      </c>
      <c r="GX1086" s="2">
        <f t="shared" si="940"/>
        <v>0</v>
      </c>
      <c r="GY1086" s="2"/>
      <c r="GZ1086" s="2"/>
      <c r="HA1086" s="2">
        <v>0</v>
      </c>
      <c r="HB1086" s="2">
        <v>0</v>
      </c>
      <c r="HC1086" s="2">
        <f t="shared" si="941"/>
        <v>0</v>
      </c>
      <c r="HD1086" s="2"/>
      <c r="HE1086" s="2" t="s">
        <v>3</v>
      </c>
      <c r="HF1086" s="2" t="s">
        <v>3</v>
      </c>
      <c r="HG1086" s="2"/>
      <c r="HH1086" s="2"/>
      <c r="HI1086" s="2"/>
      <c r="HJ1086" s="2"/>
      <c r="HK1086" s="2"/>
      <c r="HL1086" s="2"/>
      <c r="HM1086" s="2" t="s">
        <v>3</v>
      </c>
      <c r="HN1086" s="2" t="s">
        <v>3</v>
      </c>
      <c r="HO1086" s="2" t="s">
        <v>3</v>
      </c>
      <c r="HP1086" s="2" t="s">
        <v>3</v>
      </c>
      <c r="HQ1086" s="2" t="s">
        <v>3</v>
      </c>
      <c r="HR1086" s="2"/>
      <c r="HS1086" s="2"/>
      <c r="HT1086" s="2"/>
      <c r="HU1086" s="2"/>
      <c r="HV1086" s="2"/>
      <c r="HW1086" s="2"/>
      <c r="HX1086" s="2"/>
      <c r="HY1086" s="2"/>
      <c r="HZ1086" s="2"/>
      <c r="IA1086" s="2"/>
      <c r="IB1086" s="2"/>
      <c r="IC1086" s="2"/>
      <c r="ID1086" s="2"/>
      <c r="IE1086" s="2"/>
      <c r="IF1086" s="2"/>
      <c r="IG1086" s="2"/>
      <c r="IH1086" s="2"/>
      <c r="II1086" s="2"/>
      <c r="IJ1086" s="2"/>
      <c r="IK1086" s="2">
        <v>0</v>
      </c>
      <c r="IL1086" s="2"/>
      <c r="IM1086" s="2"/>
      <c r="IN1086" s="2"/>
      <c r="IO1086" s="2"/>
      <c r="IP1086" s="2"/>
      <c r="IQ1086" s="2"/>
      <c r="IR1086" s="2"/>
      <c r="IS1086" s="2"/>
      <c r="IT1086" s="2"/>
      <c r="IU1086" s="2"/>
    </row>
    <row r="1087" spans="1:255" x14ac:dyDescent="0.2">
      <c r="A1087">
        <v>18</v>
      </c>
      <c r="B1087">
        <v>1</v>
      </c>
      <c r="C1087">
        <v>953</v>
      </c>
      <c r="E1087" t="s">
        <v>201</v>
      </c>
      <c r="F1087" t="s">
        <v>901</v>
      </c>
      <c r="G1087" t="s">
        <v>902</v>
      </c>
      <c r="H1087" t="s">
        <v>250</v>
      </c>
      <c r="I1087">
        <f>I1085*J1087</f>
        <v>2</v>
      </c>
      <c r="J1087">
        <v>1</v>
      </c>
      <c r="K1087">
        <v>1</v>
      </c>
      <c r="O1087">
        <f t="shared" si="911"/>
        <v>0</v>
      </c>
      <c r="P1087">
        <f t="shared" si="912"/>
        <v>0</v>
      </c>
      <c r="Q1087">
        <f t="shared" si="942"/>
        <v>0</v>
      </c>
      <c r="R1087">
        <f t="shared" si="913"/>
        <v>0</v>
      </c>
      <c r="S1087">
        <f t="shared" si="914"/>
        <v>0</v>
      </c>
      <c r="T1087">
        <f t="shared" si="915"/>
        <v>0</v>
      </c>
      <c r="U1087">
        <f t="shared" si="916"/>
        <v>0</v>
      </c>
      <c r="V1087">
        <f t="shared" si="917"/>
        <v>0</v>
      </c>
      <c r="W1087">
        <f t="shared" si="918"/>
        <v>0</v>
      </c>
      <c r="X1087">
        <f t="shared" si="919"/>
        <v>0</v>
      </c>
      <c r="Y1087">
        <f t="shared" si="920"/>
        <v>0</v>
      </c>
      <c r="AA1087">
        <v>129761633</v>
      </c>
      <c r="AB1087">
        <f t="shared" si="921"/>
        <v>0</v>
      </c>
      <c r="AC1087">
        <f t="shared" si="922"/>
        <v>0</v>
      </c>
      <c r="AD1087">
        <f t="shared" si="943"/>
        <v>0</v>
      </c>
      <c r="AE1087">
        <f t="shared" si="944"/>
        <v>0</v>
      </c>
      <c r="AF1087">
        <f t="shared" si="944"/>
        <v>0</v>
      </c>
      <c r="AG1087">
        <f t="shared" si="923"/>
        <v>0</v>
      </c>
      <c r="AH1087">
        <f t="shared" si="945"/>
        <v>0</v>
      </c>
      <c r="AI1087">
        <f t="shared" si="945"/>
        <v>0</v>
      </c>
      <c r="AJ1087">
        <f t="shared" si="924"/>
        <v>0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1</v>
      </c>
      <c r="AW1087">
        <v>1</v>
      </c>
      <c r="AZ1087">
        <v>1</v>
      </c>
      <c r="BA1087">
        <v>1</v>
      </c>
      <c r="BB1087">
        <v>1</v>
      </c>
      <c r="BC1087">
        <v>4.82</v>
      </c>
      <c r="BD1087" t="s">
        <v>3</v>
      </c>
      <c r="BE1087" t="s">
        <v>3</v>
      </c>
      <c r="BF1087" t="s">
        <v>3</v>
      </c>
      <c r="BG1087" t="s">
        <v>3</v>
      </c>
      <c r="BH1087">
        <v>3</v>
      </c>
      <c r="BI1087">
        <v>1</v>
      </c>
      <c r="BJ1087" t="s">
        <v>3</v>
      </c>
      <c r="BM1087">
        <v>133</v>
      </c>
      <c r="BN1087">
        <v>0</v>
      </c>
      <c r="BO1087" t="s">
        <v>901</v>
      </c>
      <c r="BP1087">
        <v>1</v>
      </c>
      <c r="BQ1087">
        <v>30</v>
      </c>
      <c r="BR1087">
        <v>0</v>
      </c>
      <c r="BS1087">
        <v>1</v>
      </c>
      <c r="BT1087">
        <v>1</v>
      </c>
      <c r="BU1087">
        <v>1</v>
      </c>
      <c r="BV1087">
        <v>1</v>
      </c>
      <c r="BW1087">
        <v>1</v>
      </c>
      <c r="BX1087">
        <v>1</v>
      </c>
      <c r="BY1087" t="s">
        <v>3</v>
      </c>
      <c r="BZ1087">
        <v>0</v>
      </c>
      <c r="CA1087">
        <v>0</v>
      </c>
      <c r="CB1087" t="s">
        <v>3</v>
      </c>
      <c r="CE1087">
        <v>30</v>
      </c>
      <c r="CF1087">
        <v>0</v>
      </c>
      <c r="CG1087">
        <v>0</v>
      </c>
      <c r="CM1087">
        <v>0</v>
      </c>
      <c r="CN1087" t="s">
        <v>3</v>
      </c>
      <c r="CO1087">
        <v>0</v>
      </c>
      <c r="CP1087">
        <f t="shared" si="925"/>
        <v>0</v>
      </c>
      <c r="CQ1087">
        <f t="shared" si="926"/>
        <v>0</v>
      </c>
      <c r="CR1087">
        <f t="shared" si="946"/>
        <v>0</v>
      </c>
      <c r="CS1087">
        <f t="shared" si="927"/>
        <v>0</v>
      </c>
      <c r="CT1087">
        <f t="shared" si="928"/>
        <v>0</v>
      </c>
      <c r="CU1087">
        <f t="shared" si="929"/>
        <v>0</v>
      </c>
      <c r="CV1087">
        <f t="shared" si="930"/>
        <v>0</v>
      </c>
      <c r="CW1087">
        <f t="shared" si="931"/>
        <v>0</v>
      </c>
      <c r="CX1087">
        <f t="shared" si="932"/>
        <v>0</v>
      </c>
      <c r="CY1087">
        <f>S1087*(BZ1087/100)</f>
        <v>0</v>
      </c>
      <c r="CZ1087">
        <f>S1087*(CA1087/100)</f>
        <v>0</v>
      </c>
      <c r="DC1087" t="s">
        <v>3</v>
      </c>
      <c r="DD1087" t="s">
        <v>3</v>
      </c>
      <c r="DE1087" t="s">
        <v>3</v>
      </c>
      <c r="DF1087" t="s">
        <v>3</v>
      </c>
      <c r="DG1087" t="s">
        <v>3</v>
      </c>
      <c r="DH1087" t="s">
        <v>3</v>
      </c>
      <c r="DI1087" t="s">
        <v>3</v>
      </c>
      <c r="DJ1087" t="s">
        <v>3</v>
      </c>
      <c r="DK1087" t="s">
        <v>3</v>
      </c>
      <c r="DL1087" t="s">
        <v>3</v>
      </c>
      <c r="DM1087" t="s">
        <v>3</v>
      </c>
      <c r="DN1087">
        <v>110</v>
      </c>
      <c r="DO1087">
        <v>74</v>
      </c>
      <c r="DP1087">
        <v>1</v>
      </c>
      <c r="DQ1087">
        <v>1</v>
      </c>
      <c r="DU1087">
        <v>1010</v>
      </c>
      <c r="DV1087" t="s">
        <v>250</v>
      </c>
      <c r="DW1087" t="s">
        <v>250</v>
      </c>
      <c r="DX1087">
        <v>1</v>
      </c>
      <c r="DZ1087" t="s">
        <v>3</v>
      </c>
      <c r="EA1087" t="s">
        <v>3</v>
      </c>
      <c r="EB1087" t="s">
        <v>3</v>
      </c>
      <c r="EC1087" t="s">
        <v>3</v>
      </c>
      <c r="EE1087">
        <v>126051594</v>
      </c>
      <c r="EF1087">
        <v>30</v>
      </c>
      <c r="EG1087" t="s">
        <v>23</v>
      </c>
      <c r="EH1087">
        <v>0</v>
      </c>
      <c r="EI1087" t="s">
        <v>3</v>
      </c>
      <c r="EJ1087">
        <v>1</v>
      </c>
      <c r="EK1087">
        <v>133</v>
      </c>
      <c r="EL1087" t="s">
        <v>899</v>
      </c>
      <c r="EM1087" t="s">
        <v>900</v>
      </c>
      <c r="EO1087" t="s">
        <v>3</v>
      </c>
      <c r="EQ1087">
        <v>0</v>
      </c>
      <c r="ER1087">
        <v>0</v>
      </c>
      <c r="ES1087">
        <v>0</v>
      </c>
      <c r="ET1087">
        <v>0</v>
      </c>
      <c r="EU1087">
        <v>0</v>
      </c>
      <c r="EV1087">
        <v>0</v>
      </c>
      <c r="EW1087">
        <v>0</v>
      </c>
      <c r="EX1087">
        <v>0</v>
      </c>
      <c r="FQ1087">
        <v>0</v>
      </c>
      <c r="FR1087">
        <f t="shared" si="933"/>
        <v>0</v>
      </c>
      <c r="FS1087">
        <v>0</v>
      </c>
      <c r="FX1087">
        <v>110</v>
      </c>
      <c r="FY1087">
        <v>74</v>
      </c>
      <c r="GA1087" t="s">
        <v>259</v>
      </c>
      <c r="GD1087">
        <v>0</v>
      </c>
      <c r="GF1087">
        <v>-1188360614</v>
      </c>
      <c r="GG1087">
        <v>2</v>
      </c>
      <c r="GH1087">
        <v>2</v>
      </c>
      <c r="GI1087">
        <v>2</v>
      </c>
      <c r="GJ1087">
        <v>0</v>
      </c>
      <c r="GK1087">
        <f>ROUND(R1087*(S12)/100,2)</f>
        <v>0</v>
      </c>
      <c r="GL1087">
        <f t="shared" si="934"/>
        <v>0</v>
      </c>
      <c r="GM1087">
        <f t="shared" si="935"/>
        <v>0</v>
      </c>
      <c r="GN1087">
        <f t="shared" si="936"/>
        <v>0</v>
      </c>
      <c r="GO1087">
        <f t="shared" si="937"/>
        <v>0</v>
      </c>
      <c r="GP1087">
        <f t="shared" si="938"/>
        <v>0</v>
      </c>
      <c r="GR1087">
        <v>0</v>
      </c>
      <c r="GS1087">
        <v>4</v>
      </c>
      <c r="GT1087">
        <v>0</v>
      </c>
      <c r="GU1087" t="s">
        <v>3</v>
      </c>
      <c r="GV1087">
        <f t="shared" si="939"/>
        <v>0</v>
      </c>
      <c r="GW1087">
        <v>1</v>
      </c>
      <c r="GX1087">
        <f t="shared" si="940"/>
        <v>0</v>
      </c>
      <c r="HA1087">
        <v>0</v>
      </c>
      <c r="HB1087">
        <v>0</v>
      </c>
      <c r="HC1087">
        <f t="shared" si="941"/>
        <v>0</v>
      </c>
      <c r="HE1087" t="s">
        <v>3</v>
      </c>
      <c r="HF1087" t="s">
        <v>3</v>
      </c>
      <c r="HM1087" t="s">
        <v>3</v>
      </c>
      <c r="HN1087" t="s">
        <v>3</v>
      </c>
      <c r="HO1087" t="s">
        <v>3</v>
      </c>
      <c r="HP1087" t="s">
        <v>3</v>
      </c>
      <c r="HQ1087" t="s">
        <v>3</v>
      </c>
      <c r="IK1087">
        <v>0</v>
      </c>
    </row>
    <row r="1088" spans="1:255" x14ac:dyDescent="0.2">
      <c r="A1088" s="2">
        <v>18</v>
      </c>
      <c r="B1088" s="2">
        <v>1</v>
      </c>
      <c r="C1088" s="2">
        <v>946</v>
      </c>
      <c r="D1088" s="2"/>
      <c r="E1088" s="2" t="s">
        <v>903</v>
      </c>
      <c r="F1088" s="2" t="s">
        <v>904</v>
      </c>
      <c r="G1088" s="2" t="s">
        <v>905</v>
      </c>
      <c r="H1088" s="2" t="s">
        <v>270</v>
      </c>
      <c r="I1088" s="2">
        <f>I1084*J1088</f>
        <v>40</v>
      </c>
      <c r="J1088" s="2">
        <v>20</v>
      </c>
      <c r="K1088" s="2">
        <v>20</v>
      </c>
      <c r="L1088" s="2"/>
      <c r="M1088" s="2"/>
      <c r="N1088" s="2"/>
      <c r="O1088" s="2">
        <f t="shared" si="911"/>
        <v>0</v>
      </c>
      <c r="P1088" s="2">
        <f t="shared" si="912"/>
        <v>0</v>
      </c>
      <c r="Q1088" s="2">
        <f t="shared" si="942"/>
        <v>0</v>
      </c>
      <c r="R1088" s="2">
        <f t="shared" si="913"/>
        <v>0</v>
      </c>
      <c r="S1088" s="2">
        <f t="shared" si="914"/>
        <v>0</v>
      </c>
      <c r="T1088" s="2">
        <f t="shared" si="915"/>
        <v>0</v>
      </c>
      <c r="U1088" s="2">
        <f t="shared" si="916"/>
        <v>0</v>
      </c>
      <c r="V1088" s="2">
        <f t="shared" si="917"/>
        <v>0</v>
      </c>
      <c r="W1088" s="2">
        <f t="shared" si="918"/>
        <v>0</v>
      </c>
      <c r="X1088" s="2">
        <f t="shared" si="919"/>
        <v>0</v>
      </c>
      <c r="Y1088" s="2">
        <f t="shared" si="920"/>
        <v>0</v>
      </c>
      <c r="Z1088" s="2"/>
      <c r="AA1088" s="2">
        <v>129761636</v>
      </c>
      <c r="AB1088" s="2">
        <f t="shared" si="921"/>
        <v>0</v>
      </c>
      <c r="AC1088" s="2">
        <f t="shared" si="922"/>
        <v>0</v>
      </c>
      <c r="AD1088" s="2">
        <f t="shared" si="943"/>
        <v>0</v>
      </c>
      <c r="AE1088" s="2">
        <f t="shared" si="944"/>
        <v>0</v>
      </c>
      <c r="AF1088" s="2">
        <f t="shared" si="944"/>
        <v>0</v>
      </c>
      <c r="AG1088" s="2">
        <f t="shared" si="923"/>
        <v>0</v>
      </c>
      <c r="AH1088" s="2">
        <f t="shared" si="945"/>
        <v>0</v>
      </c>
      <c r="AI1088" s="2">
        <f t="shared" si="945"/>
        <v>0</v>
      </c>
      <c r="AJ1088" s="2">
        <f t="shared" si="924"/>
        <v>0</v>
      </c>
      <c r="AK1088" s="2">
        <v>0</v>
      </c>
      <c r="AL1088" s="2">
        <v>0</v>
      </c>
      <c r="AM1088" s="2">
        <v>0</v>
      </c>
      <c r="AN1088" s="2">
        <v>0</v>
      </c>
      <c r="AO1088" s="2">
        <v>0</v>
      </c>
      <c r="AP1088" s="2">
        <v>0</v>
      </c>
      <c r="AQ1088" s="2">
        <v>0</v>
      </c>
      <c r="AR1088" s="2">
        <v>0</v>
      </c>
      <c r="AS1088" s="2">
        <v>0</v>
      </c>
      <c r="AT1088" s="2">
        <v>110</v>
      </c>
      <c r="AU1088" s="2">
        <v>74</v>
      </c>
      <c r="AV1088" s="2">
        <v>1</v>
      </c>
      <c r="AW1088" s="2">
        <v>1</v>
      </c>
      <c r="AX1088" s="2"/>
      <c r="AY1088" s="2"/>
      <c r="AZ1088" s="2">
        <v>1</v>
      </c>
      <c r="BA1088" s="2">
        <v>1</v>
      </c>
      <c r="BB1088" s="2">
        <v>1</v>
      </c>
      <c r="BC1088" s="2">
        <v>1</v>
      </c>
      <c r="BD1088" s="2" t="s">
        <v>3</v>
      </c>
      <c r="BE1088" s="2" t="s">
        <v>3</v>
      </c>
      <c r="BF1088" s="2" t="s">
        <v>3</v>
      </c>
      <c r="BG1088" s="2" t="s">
        <v>3</v>
      </c>
      <c r="BH1088" s="2">
        <v>3</v>
      </c>
      <c r="BI1088" s="2">
        <v>1</v>
      </c>
      <c r="BJ1088" s="2" t="s">
        <v>3</v>
      </c>
      <c r="BK1088" s="2"/>
      <c r="BL1088" s="2"/>
      <c r="BM1088" s="2">
        <v>133</v>
      </c>
      <c r="BN1088" s="2">
        <v>0</v>
      </c>
      <c r="BO1088" s="2" t="s">
        <v>3</v>
      </c>
      <c r="BP1088" s="2">
        <v>0</v>
      </c>
      <c r="BQ1088" s="2">
        <v>30</v>
      </c>
      <c r="BR1088" s="2">
        <v>0</v>
      </c>
      <c r="BS1088" s="2">
        <v>1</v>
      </c>
      <c r="BT1088" s="2">
        <v>1</v>
      </c>
      <c r="BU1088" s="2">
        <v>1</v>
      </c>
      <c r="BV1088" s="2">
        <v>1</v>
      </c>
      <c r="BW1088" s="2">
        <v>1</v>
      </c>
      <c r="BX1088" s="2">
        <v>1</v>
      </c>
      <c r="BY1088" s="2" t="s">
        <v>3</v>
      </c>
      <c r="BZ1088" s="2">
        <v>110</v>
      </c>
      <c r="CA1088" s="2">
        <v>74</v>
      </c>
      <c r="CB1088" s="2" t="s">
        <v>3</v>
      </c>
      <c r="CC1088" s="2"/>
      <c r="CD1088" s="2"/>
      <c r="CE1088" s="2">
        <v>30</v>
      </c>
      <c r="CF1088" s="2">
        <v>0</v>
      </c>
      <c r="CG1088" s="2">
        <v>0</v>
      </c>
      <c r="CH1088" s="2"/>
      <c r="CI1088" s="2"/>
      <c r="CJ1088" s="2"/>
      <c r="CK1088" s="2"/>
      <c r="CL1088" s="2"/>
      <c r="CM1088" s="2">
        <v>0</v>
      </c>
      <c r="CN1088" s="2" t="s">
        <v>3</v>
      </c>
      <c r="CO1088" s="2">
        <v>0</v>
      </c>
      <c r="CP1088" s="2">
        <f t="shared" si="925"/>
        <v>0</v>
      </c>
      <c r="CQ1088" s="2">
        <f t="shared" si="926"/>
        <v>0</v>
      </c>
      <c r="CR1088" s="2">
        <f t="shared" si="946"/>
        <v>0</v>
      </c>
      <c r="CS1088" s="2">
        <f t="shared" si="927"/>
        <v>0</v>
      </c>
      <c r="CT1088" s="2">
        <f t="shared" si="928"/>
        <v>0</v>
      </c>
      <c r="CU1088" s="2">
        <f t="shared" si="929"/>
        <v>0</v>
      </c>
      <c r="CV1088" s="2">
        <f t="shared" si="930"/>
        <v>0</v>
      </c>
      <c r="CW1088" s="2">
        <f t="shared" si="931"/>
        <v>0</v>
      </c>
      <c r="CX1088" s="2">
        <f t="shared" si="932"/>
        <v>0</v>
      </c>
      <c r="CY1088" s="2">
        <f>((S1088*BZ1088)/100)</f>
        <v>0</v>
      </c>
      <c r="CZ1088" s="2">
        <f>((S1088*CA1088)/100)</f>
        <v>0</v>
      </c>
      <c r="DA1088" s="2"/>
      <c r="DB1088" s="2"/>
      <c r="DC1088" s="2" t="s">
        <v>3</v>
      </c>
      <c r="DD1088" s="2" t="s">
        <v>3</v>
      </c>
      <c r="DE1088" s="2" t="s">
        <v>3</v>
      </c>
      <c r="DF1088" s="2" t="s">
        <v>3</v>
      </c>
      <c r="DG1088" s="2" t="s">
        <v>3</v>
      </c>
      <c r="DH1088" s="2" t="s">
        <v>3</v>
      </c>
      <c r="DI1088" s="2" t="s">
        <v>3</v>
      </c>
      <c r="DJ1088" s="2" t="s">
        <v>3</v>
      </c>
      <c r="DK1088" s="2" t="s">
        <v>3</v>
      </c>
      <c r="DL1088" s="2" t="s">
        <v>3</v>
      </c>
      <c r="DM1088" s="2" t="s">
        <v>3</v>
      </c>
      <c r="DN1088" s="2">
        <v>0</v>
      </c>
      <c r="DO1088" s="2">
        <v>0</v>
      </c>
      <c r="DP1088" s="2">
        <v>1</v>
      </c>
      <c r="DQ1088" s="2">
        <v>1</v>
      </c>
      <c r="DR1088" s="2"/>
      <c r="DS1088" s="2"/>
      <c r="DT1088" s="2"/>
      <c r="DU1088" s="2">
        <v>1003</v>
      </c>
      <c r="DV1088" s="2" t="s">
        <v>270</v>
      </c>
      <c r="DW1088" s="2" t="s">
        <v>270</v>
      </c>
      <c r="DX1088" s="2">
        <v>1</v>
      </c>
      <c r="DY1088" s="2"/>
      <c r="DZ1088" s="2" t="s">
        <v>3</v>
      </c>
      <c r="EA1088" s="2" t="s">
        <v>3</v>
      </c>
      <c r="EB1088" s="2" t="s">
        <v>3</v>
      </c>
      <c r="EC1088" s="2" t="s">
        <v>3</v>
      </c>
      <c r="ED1088" s="2"/>
      <c r="EE1088" s="2">
        <v>126051594</v>
      </c>
      <c r="EF1088" s="2">
        <v>30</v>
      </c>
      <c r="EG1088" s="2" t="s">
        <v>23</v>
      </c>
      <c r="EH1088" s="2">
        <v>0</v>
      </c>
      <c r="EI1088" s="2" t="s">
        <v>3</v>
      </c>
      <c r="EJ1088" s="2">
        <v>1</v>
      </c>
      <c r="EK1088" s="2">
        <v>133</v>
      </c>
      <c r="EL1088" s="2" t="s">
        <v>899</v>
      </c>
      <c r="EM1088" s="2" t="s">
        <v>900</v>
      </c>
      <c r="EN1088" s="2"/>
      <c r="EO1088" s="2" t="s">
        <v>3</v>
      </c>
      <c r="EP1088" s="2"/>
      <c r="EQ1088" s="2">
        <v>0</v>
      </c>
      <c r="ER1088" s="2">
        <v>0</v>
      </c>
      <c r="ES1088" s="2">
        <v>0</v>
      </c>
      <c r="ET1088" s="2">
        <v>0</v>
      </c>
      <c r="EU1088" s="2">
        <v>0</v>
      </c>
      <c r="EV1088" s="2">
        <v>0</v>
      </c>
      <c r="EW1088" s="2">
        <v>0</v>
      </c>
      <c r="EX1088" s="2">
        <v>0</v>
      </c>
      <c r="EY1088" s="2"/>
      <c r="EZ1088" s="2"/>
      <c r="FA1088" s="2"/>
      <c r="FB1088" s="2"/>
      <c r="FC1088" s="2"/>
      <c r="FD1088" s="2"/>
      <c r="FE1088" s="2"/>
      <c r="FF1088" s="2"/>
      <c r="FG1088" s="2"/>
      <c r="FH1088" s="2"/>
      <c r="FI1088" s="2"/>
      <c r="FJ1088" s="2"/>
      <c r="FK1088" s="2"/>
      <c r="FL1088" s="2"/>
      <c r="FM1088" s="2"/>
      <c r="FN1088" s="2"/>
      <c r="FO1088" s="2"/>
      <c r="FP1088" s="2"/>
      <c r="FQ1088" s="2">
        <v>0</v>
      </c>
      <c r="FR1088" s="2">
        <f t="shared" si="933"/>
        <v>0</v>
      </c>
      <c r="FS1088" s="2">
        <v>0</v>
      </c>
      <c r="FT1088" s="2"/>
      <c r="FU1088" s="2"/>
      <c r="FV1088" s="2"/>
      <c r="FW1088" s="2"/>
      <c r="FX1088" s="2">
        <v>110</v>
      </c>
      <c r="FY1088" s="2">
        <v>74</v>
      </c>
      <c r="FZ1088" s="2"/>
      <c r="GA1088" s="2" t="s">
        <v>3</v>
      </c>
      <c r="GB1088" s="2"/>
      <c r="GC1088" s="2"/>
      <c r="GD1088" s="2">
        <v>0</v>
      </c>
      <c r="GE1088" s="2"/>
      <c r="GF1088" s="2">
        <v>-566754181</v>
      </c>
      <c r="GG1088" s="2">
        <v>2</v>
      </c>
      <c r="GH1088" s="2">
        <v>0</v>
      </c>
      <c r="GI1088" s="2">
        <v>-2</v>
      </c>
      <c r="GJ1088" s="2">
        <v>0</v>
      </c>
      <c r="GK1088" s="2">
        <f>ROUND(R1088*(R12)/100,2)</f>
        <v>0</v>
      </c>
      <c r="GL1088" s="2">
        <f t="shared" si="934"/>
        <v>0</v>
      </c>
      <c r="GM1088" s="2">
        <f t="shared" si="935"/>
        <v>0</v>
      </c>
      <c r="GN1088" s="2">
        <f t="shared" si="936"/>
        <v>0</v>
      </c>
      <c r="GO1088" s="2">
        <f t="shared" si="937"/>
        <v>0</v>
      </c>
      <c r="GP1088" s="2">
        <f t="shared" si="938"/>
        <v>0</v>
      </c>
      <c r="GQ1088" s="2"/>
      <c r="GR1088" s="2">
        <v>0</v>
      </c>
      <c r="GS1088" s="2">
        <v>0</v>
      </c>
      <c r="GT1088" s="2">
        <v>0</v>
      </c>
      <c r="GU1088" s="2" t="s">
        <v>3</v>
      </c>
      <c r="GV1088" s="2">
        <f t="shared" si="939"/>
        <v>0</v>
      </c>
      <c r="GW1088" s="2">
        <v>1</v>
      </c>
      <c r="GX1088" s="2">
        <f t="shared" si="940"/>
        <v>0</v>
      </c>
      <c r="GY1088" s="2"/>
      <c r="GZ1088" s="2"/>
      <c r="HA1088" s="2">
        <v>0</v>
      </c>
      <c r="HB1088" s="2">
        <v>0</v>
      </c>
      <c r="HC1088" s="2">
        <f t="shared" si="941"/>
        <v>0</v>
      </c>
      <c r="HD1088" s="2"/>
      <c r="HE1088" s="2" t="s">
        <v>3</v>
      </c>
      <c r="HF1088" s="2" t="s">
        <v>3</v>
      </c>
      <c r="HG1088" s="2"/>
      <c r="HH1088" s="2"/>
      <c r="HI1088" s="2"/>
      <c r="HJ1088" s="2"/>
      <c r="HK1088" s="2"/>
      <c r="HL1088" s="2"/>
      <c r="HM1088" s="2" t="s">
        <v>3</v>
      </c>
      <c r="HN1088" s="2" t="s">
        <v>3</v>
      </c>
      <c r="HO1088" s="2" t="s">
        <v>3</v>
      </c>
      <c r="HP1088" s="2" t="s">
        <v>3</v>
      </c>
      <c r="HQ1088" s="2" t="s">
        <v>3</v>
      </c>
      <c r="HR1088" s="2"/>
      <c r="HS1088" s="2"/>
      <c r="HT1088" s="2"/>
      <c r="HU1088" s="2"/>
      <c r="HV1088" s="2"/>
      <c r="HW1088" s="2"/>
      <c r="HX1088" s="2"/>
      <c r="HY1088" s="2"/>
      <c r="HZ1088" s="2"/>
      <c r="IA1088" s="2"/>
      <c r="IB1088" s="2"/>
      <c r="IC1088" s="2"/>
      <c r="ID1088" s="2"/>
      <c r="IE1088" s="2"/>
      <c r="IF1088" s="2"/>
      <c r="IG1088" s="2"/>
      <c r="IH1088" s="2"/>
      <c r="II1088" s="2"/>
      <c r="IJ1088" s="2"/>
      <c r="IK1088" s="2">
        <v>0</v>
      </c>
      <c r="IL1088" s="2"/>
      <c r="IM1088" s="2"/>
      <c r="IN1088" s="2"/>
      <c r="IO1088" s="2"/>
      <c r="IP1088" s="2"/>
      <c r="IQ1088" s="2"/>
      <c r="IR1088" s="2"/>
      <c r="IS1088" s="2"/>
      <c r="IT1088" s="2"/>
      <c r="IU1088" s="2"/>
    </row>
    <row r="1089" spans="1:255" x14ac:dyDescent="0.2">
      <c r="A1089">
        <v>18</v>
      </c>
      <c r="B1089">
        <v>1</v>
      </c>
      <c r="C1089">
        <v>954</v>
      </c>
      <c r="E1089" t="s">
        <v>903</v>
      </c>
      <c r="F1089" t="s">
        <v>904</v>
      </c>
      <c r="G1089" t="s">
        <v>905</v>
      </c>
      <c r="H1089" t="s">
        <v>270</v>
      </c>
      <c r="I1089">
        <f>I1085*J1089</f>
        <v>40</v>
      </c>
      <c r="J1089">
        <v>20</v>
      </c>
      <c r="K1089">
        <v>20</v>
      </c>
      <c r="O1089">
        <f t="shared" si="911"/>
        <v>0</v>
      </c>
      <c r="P1089">
        <f t="shared" si="912"/>
        <v>0</v>
      </c>
      <c r="Q1089">
        <f t="shared" si="942"/>
        <v>0</v>
      </c>
      <c r="R1089">
        <f t="shared" si="913"/>
        <v>0</v>
      </c>
      <c r="S1089">
        <f t="shared" si="914"/>
        <v>0</v>
      </c>
      <c r="T1089">
        <f t="shared" si="915"/>
        <v>0</v>
      </c>
      <c r="U1089">
        <f t="shared" si="916"/>
        <v>0</v>
      </c>
      <c r="V1089">
        <f t="shared" si="917"/>
        <v>0</v>
      </c>
      <c r="W1089">
        <f t="shared" si="918"/>
        <v>0</v>
      </c>
      <c r="X1089">
        <f t="shared" si="919"/>
        <v>0</v>
      </c>
      <c r="Y1089">
        <f t="shared" si="920"/>
        <v>0</v>
      </c>
      <c r="AA1089">
        <v>129761633</v>
      </c>
      <c r="AB1089">
        <f t="shared" si="921"/>
        <v>0</v>
      </c>
      <c r="AC1089">
        <f t="shared" si="922"/>
        <v>0</v>
      </c>
      <c r="AD1089">
        <f t="shared" si="943"/>
        <v>0</v>
      </c>
      <c r="AE1089">
        <f t="shared" si="944"/>
        <v>0</v>
      </c>
      <c r="AF1089">
        <f t="shared" si="944"/>
        <v>0</v>
      </c>
      <c r="AG1089">
        <f t="shared" si="923"/>
        <v>0</v>
      </c>
      <c r="AH1089">
        <f t="shared" si="945"/>
        <v>0</v>
      </c>
      <c r="AI1089">
        <f t="shared" si="945"/>
        <v>0</v>
      </c>
      <c r="AJ1089">
        <f t="shared" si="924"/>
        <v>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  <c r="AV1089">
        <v>1</v>
      </c>
      <c r="AW1089">
        <v>1</v>
      </c>
      <c r="AZ1089">
        <v>1</v>
      </c>
      <c r="BA1089">
        <v>1</v>
      </c>
      <c r="BB1089">
        <v>1</v>
      </c>
      <c r="BC1089">
        <v>8.65</v>
      </c>
      <c r="BD1089" t="s">
        <v>3</v>
      </c>
      <c r="BE1089" t="s">
        <v>3</v>
      </c>
      <c r="BF1089" t="s">
        <v>3</v>
      </c>
      <c r="BG1089" t="s">
        <v>3</v>
      </c>
      <c r="BH1089">
        <v>3</v>
      </c>
      <c r="BI1089">
        <v>1</v>
      </c>
      <c r="BJ1089" t="s">
        <v>3</v>
      </c>
      <c r="BM1089">
        <v>133</v>
      </c>
      <c r="BN1089">
        <v>0</v>
      </c>
      <c r="BO1089" t="s">
        <v>3</v>
      </c>
      <c r="BP1089">
        <v>0</v>
      </c>
      <c r="BQ1089">
        <v>30</v>
      </c>
      <c r="BR1089">
        <v>0</v>
      </c>
      <c r="BS1089">
        <v>1</v>
      </c>
      <c r="BT1089">
        <v>1</v>
      </c>
      <c r="BU1089">
        <v>1</v>
      </c>
      <c r="BV1089">
        <v>1</v>
      </c>
      <c r="BW1089">
        <v>1</v>
      </c>
      <c r="BX1089">
        <v>1</v>
      </c>
      <c r="BY1089" t="s">
        <v>3</v>
      </c>
      <c r="BZ1089">
        <v>0</v>
      </c>
      <c r="CA1089">
        <v>0</v>
      </c>
      <c r="CB1089" t="s">
        <v>3</v>
      </c>
      <c r="CE1089">
        <v>30</v>
      </c>
      <c r="CF1089">
        <v>0</v>
      </c>
      <c r="CG1089">
        <v>0</v>
      </c>
      <c r="CM1089">
        <v>0</v>
      </c>
      <c r="CN1089" t="s">
        <v>3</v>
      </c>
      <c r="CO1089">
        <v>0</v>
      </c>
      <c r="CP1089">
        <f t="shared" si="925"/>
        <v>0</v>
      </c>
      <c r="CQ1089">
        <f t="shared" si="926"/>
        <v>0</v>
      </c>
      <c r="CR1089">
        <f t="shared" si="946"/>
        <v>0</v>
      </c>
      <c r="CS1089">
        <f t="shared" si="927"/>
        <v>0</v>
      </c>
      <c r="CT1089">
        <f t="shared" si="928"/>
        <v>0</v>
      </c>
      <c r="CU1089">
        <f t="shared" si="929"/>
        <v>0</v>
      </c>
      <c r="CV1089">
        <f t="shared" si="930"/>
        <v>0</v>
      </c>
      <c r="CW1089">
        <f t="shared" si="931"/>
        <v>0</v>
      </c>
      <c r="CX1089">
        <f t="shared" si="932"/>
        <v>0</v>
      </c>
      <c r="CY1089">
        <f>S1089*(BZ1089/100)</f>
        <v>0</v>
      </c>
      <c r="CZ1089">
        <f>S1089*(CA1089/100)</f>
        <v>0</v>
      </c>
      <c r="DC1089" t="s">
        <v>3</v>
      </c>
      <c r="DD1089" t="s">
        <v>3</v>
      </c>
      <c r="DE1089" t="s">
        <v>3</v>
      </c>
      <c r="DF1089" t="s">
        <v>3</v>
      </c>
      <c r="DG1089" t="s">
        <v>3</v>
      </c>
      <c r="DH1089" t="s">
        <v>3</v>
      </c>
      <c r="DI1089" t="s">
        <v>3</v>
      </c>
      <c r="DJ1089" t="s">
        <v>3</v>
      </c>
      <c r="DK1089" t="s">
        <v>3</v>
      </c>
      <c r="DL1089" t="s">
        <v>3</v>
      </c>
      <c r="DM1089" t="s">
        <v>3</v>
      </c>
      <c r="DN1089">
        <v>110</v>
      </c>
      <c r="DO1089">
        <v>74</v>
      </c>
      <c r="DP1089">
        <v>1</v>
      </c>
      <c r="DQ1089">
        <v>1</v>
      </c>
      <c r="DU1089">
        <v>1003</v>
      </c>
      <c r="DV1089" t="s">
        <v>270</v>
      </c>
      <c r="DW1089" t="s">
        <v>270</v>
      </c>
      <c r="DX1089">
        <v>1</v>
      </c>
      <c r="DZ1089" t="s">
        <v>3</v>
      </c>
      <c r="EA1089" t="s">
        <v>3</v>
      </c>
      <c r="EB1089" t="s">
        <v>3</v>
      </c>
      <c r="EC1089" t="s">
        <v>3</v>
      </c>
      <c r="EE1089">
        <v>126051594</v>
      </c>
      <c r="EF1089">
        <v>30</v>
      </c>
      <c r="EG1089" t="s">
        <v>23</v>
      </c>
      <c r="EH1089">
        <v>0</v>
      </c>
      <c r="EI1089" t="s">
        <v>3</v>
      </c>
      <c r="EJ1089">
        <v>1</v>
      </c>
      <c r="EK1089">
        <v>133</v>
      </c>
      <c r="EL1089" t="s">
        <v>899</v>
      </c>
      <c r="EM1089" t="s">
        <v>900</v>
      </c>
      <c r="EO1089" t="s">
        <v>3</v>
      </c>
      <c r="EQ1089">
        <v>0</v>
      </c>
      <c r="ER1089">
        <v>0</v>
      </c>
      <c r="ES1089">
        <v>0</v>
      </c>
      <c r="ET1089">
        <v>0</v>
      </c>
      <c r="EU1089">
        <v>0</v>
      </c>
      <c r="EV1089">
        <v>0</v>
      </c>
      <c r="EW1089">
        <v>0</v>
      </c>
      <c r="EX1089">
        <v>0</v>
      </c>
      <c r="FQ1089">
        <v>0</v>
      </c>
      <c r="FR1089">
        <f t="shared" si="933"/>
        <v>0</v>
      </c>
      <c r="FS1089">
        <v>0</v>
      </c>
      <c r="FX1089">
        <v>110</v>
      </c>
      <c r="FY1089">
        <v>74</v>
      </c>
      <c r="GA1089" t="s">
        <v>259</v>
      </c>
      <c r="GD1089">
        <v>0</v>
      </c>
      <c r="GF1089">
        <v>-566754181</v>
      </c>
      <c r="GG1089">
        <v>2</v>
      </c>
      <c r="GH1089">
        <v>2</v>
      </c>
      <c r="GI1089">
        <v>5</v>
      </c>
      <c r="GJ1089">
        <v>0</v>
      </c>
      <c r="GK1089">
        <f>ROUND(R1089*(S12)/100,2)</f>
        <v>0</v>
      </c>
      <c r="GL1089">
        <f t="shared" si="934"/>
        <v>0</v>
      </c>
      <c r="GM1089">
        <f t="shared" si="935"/>
        <v>0</v>
      </c>
      <c r="GN1089">
        <f t="shared" si="936"/>
        <v>0</v>
      </c>
      <c r="GO1089">
        <f t="shared" si="937"/>
        <v>0</v>
      </c>
      <c r="GP1089">
        <f t="shared" si="938"/>
        <v>0</v>
      </c>
      <c r="GR1089">
        <v>0</v>
      </c>
      <c r="GS1089">
        <v>4</v>
      </c>
      <c r="GT1089">
        <v>0</v>
      </c>
      <c r="GU1089" t="s">
        <v>3</v>
      </c>
      <c r="GV1089">
        <f t="shared" si="939"/>
        <v>0</v>
      </c>
      <c r="GW1089">
        <v>1</v>
      </c>
      <c r="GX1089">
        <f t="shared" si="940"/>
        <v>0</v>
      </c>
      <c r="HA1089">
        <v>0</v>
      </c>
      <c r="HB1089">
        <v>0</v>
      </c>
      <c r="HC1089">
        <f t="shared" si="941"/>
        <v>0</v>
      </c>
      <c r="HE1089" t="s">
        <v>3</v>
      </c>
      <c r="HF1089" t="s">
        <v>3</v>
      </c>
      <c r="HM1089" t="s">
        <v>3</v>
      </c>
      <c r="HN1089" t="s">
        <v>3</v>
      </c>
      <c r="HO1089" t="s">
        <v>3</v>
      </c>
      <c r="HP1089" t="s">
        <v>3</v>
      </c>
      <c r="HQ1089" t="s">
        <v>3</v>
      </c>
      <c r="IK1089">
        <v>0</v>
      </c>
    </row>
    <row r="1090" spans="1:255" x14ac:dyDescent="0.2">
      <c r="A1090" s="2">
        <v>18</v>
      </c>
      <c r="B1090" s="2">
        <v>1</v>
      </c>
      <c r="C1090" s="2">
        <v>949</v>
      </c>
      <c r="D1090" s="2"/>
      <c r="E1090" s="2" t="s">
        <v>906</v>
      </c>
      <c r="F1090" s="2" t="s">
        <v>907</v>
      </c>
      <c r="G1090" s="2" t="s">
        <v>908</v>
      </c>
      <c r="H1090" s="2" t="s">
        <v>250</v>
      </c>
      <c r="I1090" s="2">
        <f>I1084*J1090</f>
        <v>2</v>
      </c>
      <c r="J1090" s="2">
        <v>1</v>
      </c>
      <c r="K1090" s="2">
        <v>1</v>
      </c>
      <c r="L1090" s="2"/>
      <c r="M1090" s="2"/>
      <c r="N1090" s="2"/>
      <c r="O1090" s="2">
        <f t="shared" si="911"/>
        <v>0</v>
      </c>
      <c r="P1090" s="2">
        <f t="shared" si="912"/>
        <v>0</v>
      </c>
      <c r="Q1090" s="2">
        <f t="shared" si="942"/>
        <v>0</v>
      </c>
      <c r="R1090" s="2">
        <f t="shared" si="913"/>
        <v>0</v>
      </c>
      <c r="S1090" s="2">
        <f t="shared" si="914"/>
        <v>0</v>
      </c>
      <c r="T1090" s="2">
        <f t="shared" si="915"/>
        <v>0</v>
      </c>
      <c r="U1090" s="2">
        <f t="shared" si="916"/>
        <v>0</v>
      </c>
      <c r="V1090" s="2">
        <f t="shared" si="917"/>
        <v>0</v>
      </c>
      <c r="W1090" s="2">
        <f t="shared" si="918"/>
        <v>0</v>
      </c>
      <c r="X1090" s="2">
        <f t="shared" si="919"/>
        <v>0</v>
      </c>
      <c r="Y1090" s="2">
        <f t="shared" si="920"/>
        <v>0</v>
      </c>
      <c r="Z1090" s="2"/>
      <c r="AA1090" s="2">
        <v>129761636</v>
      </c>
      <c r="AB1090" s="2">
        <f t="shared" si="921"/>
        <v>0</v>
      </c>
      <c r="AC1090" s="2">
        <f t="shared" si="922"/>
        <v>0</v>
      </c>
      <c r="AD1090" s="2">
        <f t="shared" si="943"/>
        <v>0</v>
      </c>
      <c r="AE1090" s="2">
        <f t="shared" si="944"/>
        <v>0</v>
      </c>
      <c r="AF1090" s="2">
        <f t="shared" si="944"/>
        <v>0</v>
      </c>
      <c r="AG1090" s="2">
        <f t="shared" si="923"/>
        <v>0</v>
      </c>
      <c r="AH1090" s="2">
        <f t="shared" si="945"/>
        <v>0</v>
      </c>
      <c r="AI1090" s="2">
        <f t="shared" si="945"/>
        <v>0</v>
      </c>
      <c r="AJ1090" s="2">
        <f t="shared" si="924"/>
        <v>0</v>
      </c>
      <c r="AK1090" s="2">
        <v>0</v>
      </c>
      <c r="AL1090" s="2">
        <v>0</v>
      </c>
      <c r="AM1090" s="2">
        <v>0</v>
      </c>
      <c r="AN1090" s="2">
        <v>0</v>
      </c>
      <c r="AO1090" s="2">
        <v>0</v>
      </c>
      <c r="AP1090" s="2">
        <v>0</v>
      </c>
      <c r="AQ1090" s="2">
        <v>0</v>
      </c>
      <c r="AR1090" s="2">
        <v>0</v>
      </c>
      <c r="AS1090" s="2">
        <v>0</v>
      </c>
      <c r="AT1090" s="2">
        <v>110</v>
      </c>
      <c r="AU1090" s="2">
        <v>74</v>
      </c>
      <c r="AV1090" s="2">
        <v>1</v>
      </c>
      <c r="AW1090" s="2">
        <v>1</v>
      </c>
      <c r="AX1090" s="2"/>
      <c r="AY1090" s="2"/>
      <c r="AZ1090" s="2">
        <v>1</v>
      </c>
      <c r="BA1090" s="2">
        <v>1</v>
      </c>
      <c r="BB1090" s="2">
        <v>1</v>
      </c>
      <c r="BC1090" s="2">
        <v>1</v>
      </c>
      <c r="BD1090" s="2" t="s">
        <v>3</v>
      </c>
      <c r="BE1090" s="2" t="s">
        <v>3</v>
      </c>
      <c r="BF1090" s="2" t="s">
        <v>3</v>
      </c>
      <c r="BG1090" s="2" t="s">
        <v>3</v>
      </c>
      <c r="BH1090" s="2">
        <v>3</v>
      </c>
      <c r="BI1090" s="2">
        <v>1</v>
      </c>
      <c r="BJ1090" s="2" t="s">
        <v>3</v>
      </c>
      <c r="BK1090" s="2"/>
      <c r="BL1090" s="2"/>
      <c r="BM1090" s="2">
        <v>133</v>
      </c>
      <c r="BN1090" s="2">
        <v>0</v>
      </c>
      <c r="BO1090" s="2" t="s">
        <v>3</v>
      </c>
      <c r="BP1090" s="2">
        <v>0</v>
      </c>
      <c r="BQ1090" s="2">
        <v>30</v>
      </c>
      <c r="BR1090" s="2">
        <v>0</v>
      </c>
      <c r="BS1090" s="2">
        <v>1</v>
      </c>
      <c r="BT1090" s="2">
        <v>1</v>
      </c>
      <c r="BU1090" s="2">
        <v>1</v>
      </c>
      <c r="BV1090" s="2">
        <v>1</v>
      </c>
      <c r="BW1090" s="2">
        <v>1</v>
      </c>
      <c r="BX1090" s="2">
        <v>1</v>
      </c>
      <c r="BY1090" s="2" t="s">
        <v>3</v>
      </c>
      <c r="BZ1090" s="2">
        <v>110</v>
      </c>
      <c r="CA1090" s="2">
        <v>74</v>
      </c>
      <c r="CB1090" s="2" t="s">
        <v>3</v>
      </c>
      <c r="CC1090" s="2"/>
      <c r="CD1090" s="2"/>
      <c r="CE1090" s="2">
        <v>30</v>
      </c>
      <c r="CF1090" s="2">
        <v>0</v>
      </c>
      <c r="CG1090" s="2">
        <v>0</v>
      </c>
      <c r="CH1090" s="2"/>
      <c r="CI1090" s="2"/>
      <c r="CJ1090" s="2"/>
      <c r="CK1090" s="2"/>
      <c r="CL1090" s="2"/>
      <c r="CM1090" s="2">
        <v>0</v>
      </c>
      <c r="CN1090" s="2" t="s">
        <v>3</v>
      </c>
      <c r="CO1090" s="2">
        <v>0</v>
      </c>
      <c r="CP1090" s="2">
        <f t="shared" si="925"/>
        <v>0</v>
      </c>
      <c r="CQ1090" s="2">
        <f t="shared" si="926"/>
        <v>0</v>
      </c>
      <c r="CR1090" s="2">
        <f t="shared" si="946"/>
        <v>0</v>
      </c>
      <c r="CS1090" s="2">
        <f t="shared" si="927"/>
        <v>0</v>
      </c>
      <c r="CT1090" s="2">
        <f t="shared" si="928"/>
        <v>0</v>
      </c>
      <c r="CU1090" s="2">
        <f t="shared" si="929"/>
        <v>0</v>
      </c>
      <c r="CV1090" s="2">
        <f t="shared" si="930"/>
        <v>0</v>
      </c>
      <c r="CW1090" s="2">
        <f t="shared" si="931"/>
        <v>0</v>
      </c>
      <c r="CX1090" s="2">
        <f t="shared" si="932"/>
        <v>0</v>
      </c>
      <c r="CY1090" s="2">
        <f>((S1090*BZ1090)/100)</f>
        <v>0</v>
      </c>
      <c r="CZ1090" s="2">
        <f>((S1090*CA1090)/100)</f>
        <v>0</v>
      </c>
      <c r="DA1090" s="2"/>
      <c r="DB1090" s="2"/>
      <c r="DC1090" s="2" t="s">
        <v>3</v>
      </c>
      <c r="DD1090" s="2" t="s">
        <v>3</v>
      </c>
      <c r="DE1090" s="2" t="s">
        <v>3</v>
      </c>
      <c r="DF1090" s="2" t="s">
        <v>3</v>
      </c>
      <c r="DG1090" s="2" t="s">
        <v>3</v>
      </c>
      <c r="DH1090" s="2" t="s">
        <v>3</v>
      </c>
      <c r="DI1090" s="2" t="s">
        <v>3</v>
      </c>
      <c r="DJ1090" s="2" t="s">
        <v>3</v>
      </c>
      <c r="DK1090" s="2" t="s">
        <v>3</v>
      </c>
      <c r="DL1090" s="2" t="s">
        <v>3</v>
      </c>
      <c r="DM1090" s="2" t="s">
        <v>3</v>
      </c>
      <c r="DN1090" s="2">
        <v>0</v>
      </c>
      <c r="DO1090" s="2">
        <v>0</v>
      </c>
      <c r="DP1090" s="2">
        <v>1</v>
      </c>
      <c r="DQ1090" s="2">
        <v>1</v>
      </c>
      <c r="DR1090" s="2"/>
      <c r="DS1090" s="2"/>
      <c r="DT1090" s="2"/>
      <c r="DU1090" s="2">
        <v>1010</v>
      </c>
      <c r="DV1090" s="2" t="s">
        <v>250</v>
      </c>
      <c r="DW1090" s="2" t="s">
        <v>250</v>
      </c>
      <c r="DX1090" s="2">
        <v>1</v>
      </c>
      <c r="DY1090" s="2"/>
      <c r="DZ1090" s="2" t="s">
        <v>3</v>
      </c>
      <c r="EA1090" s="2" t="s">
        <v>3</v>
      </c>
      <c r="EB1090" s="2" t="s">
        <v>3</v>
      </c>
      <c r="EC1090" s="2" t="s">
        <v>3</v>
      </c>
      <c r="ED1090" s="2"/>
      <c r="EE1090" s="2">
        <v>126051594</v>
      </c>
      <c r="EF1090" s="2">
        <v>30</v>
      </c>
      <c r="EG1090" s="2" t="s">
        <v>23</v>
      </c>
      <c r="EH1090" s="2">
        <v>0</v>
      </c>
      <c r="EI1090" s="2" t="s">
        <v>3</v>
      </c>
      <c r="EJ1090" s="2">
        <v>1</v>
      </c>
      <c r="EK1090" s="2">
        <v>133</v>
      </c>
      <c r="EL1090" s="2" t="s">
        <v>899</v>
      </c>
      <c r="EM1090" s="2" t="s">
        <v>900</v>
      </c>
      <c r="EN1090" s="2"/>
      <c r="EO1090" s="2" t="s">
        <v>3</v>
      </c>
      <c r="EP1090" s="2"/>
      <c r="EQ1090" s="2">
        <v>0</v>
      </c>
      <c r="ER1090" s="2">
        <v>0</v>
      </c>
      <c r="ES1090" s="2">
        <v>0</v>
      </c>
      <c r="ET1090" s="2">
        <v>0</v>
      </c>
      <c r="EU1090" s="2">
        <v>0</v>
      </c>
      <c r="EV1090" s="2">
        <v>0</v>
      </c>
      <c r="EW1090" s="2">
        <v>0</v>
      </c>
      <c r="EX1090" s="2">
        <v>0</v>
      </c>
      <c r="EY1090" s="2"/>
      <c r="EZ1090" s="2"/>
      <c r="FA1090" s="2"/>
      <c r="FB1090" s="2"/>
      <c r="FC1090" s="2"/>
      <c r="FD1090" s="2"/>
      <c r="FE1090" s="2"/>
      <c r="FF1090" s="2"/>
      <c r="FG1090" s="2"/>
      <c r="FH1090" s="2"/>
      <c r="FI1090" s="2"/>
      <c r="FJ1090" s="2"/>
      <c r="FK1090" s="2"/>
      <c r="FL1090" s="2"/>
      <c r="FM1090" s="2"/>
      <c r="FN1090" s="2"/>
      <c r="FO1090" s="2"/>
      <c r="FP1090" s="2"/>
      <c r="FQ1090" s="2">
        <v>0</v>
      </c>
      <c r="FR1090" s="2">
        <f t="shared" si="933"/>
        <v>0</v>
      </c>
      <c r="FS1090" s="2">
        <v>0</v>
      </c>
      <c r="FT1090" s="2"/>
      <c r="FU1090" s="2"/>
      <c r="FV1090" s="2"/>
      <c r="FW1090" s="2"/>
      <c r="FX1090" s="2">
        <v>110</v>
      </c>
      <c r="FY1090" s="2">
        <v>74</v>
      </c>
      <c r="FZ1090" s="2"/>
      <c r="GA1090" s="2" t="s">
        <v>3</v>
      </c>
      <c r="GB1090" s="2"/>
      <c r="GC1090" s="2"/>
      <c r="GD1090" s="2">
        <v>0</v>
      </c>
      <c r="GE1090" s="2"/>
      <c r="GF1090" s="2">
        <v>-846618015</v>
      </c>
      <c r="GG1090" s="2">
        <v>2</v>
      </c>
      <c r="GH1090" s="2">
        <v>0</v>
      </c>
      <c r="GI1090" s="2">
        <v>-2</v>
      </c>
      <c r="GJ1090" s="2">
        <v>0</v>
      </c>
      <c r="GK1090" s="2">
        <f>ROUND(R1090*(R12)/100,2)</f>
        <v>0</v>
      </c>
      <c r="GL1090" s="2">
        <f t="shared" si="934"/>
        <v>0</v>
      </c>
      <c r="GM1090" s="2">
        <f t="shared" si="935"/>
        <v>0</v>
      </c>
      <c r="GN1090" s="2">
        <f t="shared" si="936"/>
        <v>0</v>
      </c>
      <c r="GO1090" s="2">
        <f t="shared" si="937"/>
        <v>0</v>
      </c>
      <c r="GP1090" s="2">
        <f t="shared" si="938"/>
        <v>0</v>
      </c>
      <c r="GQ1090" s="2"/>
      <c r="GR1090" s="2">
        <v>0</v>
      </c>
      <c r="GS1090" s="2">
        <v>0</v>
      </c>
      <c r="GT1090" s="2">
        <v>0</v>
      </c>
      <c r="GU1090" s="2" t="s">
        <v>3</v>
      </c>
      <c r="GV1090" s="2">
        <f t="shared" si="939"/>
        <v>0</v>
      </c>
      <c r="GW1090" s="2">
        <v>1</v>
      </c>
      <c r="GX1090" s="2">
        <f t="shared" si="940"/>
        <v>0</v>
      </c>
      <c r="GY1090" s="2"/>
      <c r="GZ1090" s="2"/>
      <c r="HA1090" s="2">
        <v>0</v>
      </c>
      <c r="HB1090" s="2">
        <v>0</v>
      </c>
      <c r="HC1090" s="2">
        <f t="shared" si="941"/>
        <v>0</v>
      </c>
      <c r="HD1090" s="2"/>
      <c r="HE1090" s="2" t="s">
        <v>3</v>
      </c>
      <c r="HF1090" s="2" t="s">
        <v>3</v>
      </c>
      <c r="HG1090" s="2"/>
      <c r="HH1090" s="2"/>
      <c r="HI1090" s="2"/>
      <c r="HJ1090" s="2"/>
      <c r="HK1090" s="2"/>
      <c r="HL1090" s="2"/>
      <c r="HM1090" s="2" t="s">
        <v>3</v>
      </c>
      <c r="HN1090" s="2" t="s">
        <v>3</v>
      </c>
      <c r="HO1090" s="2" t="s">
        <v>3</v>
      </c>
      <c r="HP1090" s="2" t="s">
        <v>3</v>
      </c>
      <c r="HQ1090" s="2" t="s">
        <v>3</v>
      </c>
      <c r="HR1090" s="2"/>
      <c r="HS1090" s="2"/>
      <c r="HT1090" s="2"/>
      <c r="HU1090" s="2"/>
      <c r="HV1090" s="2"/>
      <c r="HW1090" s="2"/>
      <c r="HX1090" s="2"/>
      <c r="HY1090" s="2"/>
      <c r="HZ1090" s="2"/>
      <c r="IA1090" s="2"/>
      <c r="IB1090" s="2"/>
      <c r="IC1090" s="2"/>
      <c r="ID1090" s="2"/>
      <c r="IE1090" s="2"/>
      <c r="IF1090" s="2"/>
      <c r="IG1090" s="2"/>
      <c r="IH1090" s="2"/>
      <c r="II1090" s="2"/>
      <c r="IJ1090" s="2"/>
      <c r="IK1090" s="2">
        <v>0</v>
      </c>
      <c r="IL1090" s="2"/>
      <c r="IM1090" s="2"/>
      <c r="IN1090" s="2"/>
      <c r="IO1090" s="2"/>
      <c r="IP1090" s="2"/>
      <c r="IQ1090" s="2"/>
      <c r="IR1090" s="2"/>
      <c r="IS1090" s="2"/>
      <c r="IT1090" s="2"/>
      <c r="IU1090" s="2"/>
    </row>
    <row r="1091" spans="1:255" x14ac:dyDescent="0.2">
      <c r="A1091">
        <v>18</v>
      </c>
      <c r="B1091">
        <v>1</v>
      </c>
      <c r="C1091">
        <v>957</v>
      </c>
      <c r="E1091" t="s">
        <v>906</v>
      </c>
      <c r="F1091" t="s">
        <v>907</v>
      </c>
      <c r="G1091" t="s">
        <v>908</v>
      </c>
      <c r="H1091" t="s">
        <v>250</v>
      </c>
      <c r="I1091">
        <f>I1085*J1091</f>
        <v>2</v>
      </c>
      <c r="J1091">
        <v>1</v>
      </c>
      <c r="K1091">
        <v>1</v>
      </c>
      <c r="O1091">
        <f t="shared" si="911"/>
        <v>0</v>
      </c>
      <c r="P1091">
        <f t="shared" si="912"/>
        <v>0</v>
      </c>
      <c r="Q1091">
        <f t="shared" si="942"/>
        <v>0</v>
      </c>
      <c r="R1091">
        <f t="shared" si="913"/>
        <v>0</v>
      </c>
      <c r="S1091">
        <f t="shared" si="914"/>
        <v>0</v>
      </c>
      <c r="T1091">
        <f t="shared" si="915"/>
        <v>0</v>
      </c>
      <c r="U1091">
        <f t="shared" si="916"/>
        <v>0</v>
      </c>
      <c r="V1091">
        <f t="shared" si="917"/>
        <v>0</v>
      </c>
      <c r="W1091">
        <f t="shared" si="918"/>
        <v>0</v>
      </c>
      <c r="X1091">
        <f t="shared" si="919"/>
        <v>0</v>
      </c>
      <c r="Y1091">
        <f t="shared" si="920"/>
        <v>0</v>
      </c>
      <c r="AA1091">
        <v>129761633</v>
      </c>
      <c r="AB1091">
        <f t="shared" si="921"/>
        <v>0</v>
      </c>
      <c r="AC1091">
        <f t="shared" si="922"/>
        <v>0</v>
      </c>
      <c r="AD1091">
        <f t="shared" si="943"/>
        <v>0</v>
      </c>
      <c r="AE1091">
        <f t="shared" si="944"/>
        <v>0</v>
      </c>
      <c r="AF1091">
        <f t="shared" si="944"/>
        <v>0</v>
      </c>
      <c r="AG1091">
        <f t="shared" si="923"/>
        <v>0</v>
      </c>
      <c r="AH1091">
        <f t="shared" si="945"/>
        <v>0</v>
      </c>
      <c r="AI1091">
        <f t="shared" si="945"/>
        <v>0</v>
      </c>
      <c r="AJ1091">
        <f t="shared" si="924"/>
        <v>0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1</v>
      </c>
      <c r="AW1091">
        <v>1</v>
      </c>
      <c r="AZ1091">
        <v>1</v>
      </c>
      <c r="BA1091">
        <v>1</v>
      </c>
      <c r="BB1091">
        <v>1</v>
      </c>
      <c r="BC1091">
        <v>2.5499999999999998</v>
      </c>
      <c r="BD1091" t="s">
        <v>3</v>
      </c>
      <c r="BE1091" t="s">
        <v>3</v>
      </c>
      <c r="BF1091" t="s">
        <v>3</v>
      </c>
      <c r="BG1091" t="s">
        <v>3</v>
      </c>
      <c r="BH1091">
        <v>3</v>
      </c>
      <c r="BI1091">
        <v>1</v>
      </c>
      <c r="BJ1091" t="s">
        <v>3</v>
      </c>
      <c r="BM1091">
        <v>133</v>
      </c>
      <c r="BN1091">
        <v>0</v>
      </c>
      <c r="BO1091" t="s">
        <v>907</v>
      </c>
      <c r="BP1091">
        <v>1</v>
      </c>
      <c r="BQ1091">
        <v>30</v>
      </c>
      <c r="BR1091">
        <v>0</v>
      </c>
      <c r="BS1091">
        <v>1</v>
      </c>
      <c r="BT1091">
        <v>1</v>
      </c>
      <c r="BU1091">
        <v>1</v>
      </c>
      <c r="BV1091">
        <v>1</v>
      </c>
      <c r="BW1091">
        <v>1</v>
      </c>
      <c r="BX1091">
        <v>1</v>
      </c>
      <c r="BY1091" t="s">
        <v>3</v>
      </c>
      <c r="BZ1091">
        <v>0</v>
      </c>
      <c r="CA1091">
        <v>0</v>
      </c>
      <c r="CB1091" t="s">
        <v>3</v>
      </c>
      <c r="CE1091">
        <v>30</v>
      </c>
      <c r="CF1091">
        <v>0</v>
      </c>
      <c r="CG1091">
        <v>0</v>
      </c>
      <c r="CM1091">
        <v>0</v>
      </c>
      <c r="CN1091" t="s">
        <v>3</v>
      </c>
      <c r="CO1091">
        <v>0</v>
      </c>
      <c r="CP1091">
        <f t="shared" si="925"/>
        <v>0</v>
      </c>
      <c r="CQ1091">
        <f t="shared" si="926"/>
        <v>0</v>
      </c>
      <c r="CR1091">
        <f t="shared" si="946"/>
        <v>0</v>
      </c>
      <c r="CS1091">
        <f t="shared" si="927"/>
        <v>0</v>
      </c>
      <c r="CT1091">
        <f t="shared" si="928"/>
        <v>0</v>
      </c>
      <c r="CU1091">
        <f t="shared" si="929"/>
        <v>0</v>
      </c>
      <c r="CV1091">
        <f t="shared" si="930"/>
        <v>0</v>
      </c>
      <c r="CW1091">
        <f t="shared" si="931"/>
        <v>0</v>
      </c>
      <c r="CX1091">
        <f t="shared" si="932"/>
        <v>0</v>
      </c>
      <c r="CY1091">
        <f>S1091*(BZ1091/100)</f>
        <v>0</v>
      </c>
      <c r="CZ1091">
        <f>S1091*(CA1091/100)</f>
        <v>0</v>
      </c>
      <c r="DC1091" t="s">
        <v>3</v>
      </c>
      <c r="DD1091" t="s">
        <v>3</v>
      </c>
      <c r="DE1091" t="s">
        <v>3</v>
      </c>
      <c r="DF1091" t="s">
        <v>3</v>
      </c>
      <c r="DG1091" t="s">
        <v>3</v>
      </c>
      <c r="DH1091" t="s">
        <v>3</v>
      </c>
      <c r="DI1091" t="s">
        <v>3</v>
      </c>
      <c r="DJ1091" t="s">
        <v>3</v>
      </c>
      <c r="DK1091" t="s">
        <v>3</v>
      </c>
      <c r="DL1091" t="s">
        <v>3</v>
      </c>
      <c r="DM1091" t="s">
        <v>3</v>
      </c>
      <c r="DN1091">
        <v>110</v>
      </c>
      <c r="DO1091">
        <v>74</v>
      </c>
      <c r="DP1091">
        <v>1</v>
      </c>
      <c r="DQ1091">
        <v>1</v>
      </c>
      <c r="DU1091">
        <v>1010</v>
      </c>
      <c r="DV1091" t="s">
        <v>250</v>
      </c>
      <c r="DW1091" t="s">
        <v>250</v>
      </c>
      <c r="DX1091">
        <v>1</v>
      </c>
      <c r="DZ1091" t="s">
        <v>3</v>
      </c>
      <c r="EA1091" t="s">
        <v>3</v>
      </c>
      <c r="EB1091" t="s">
        <v>3</v>
      </c>
      <c r="EC1091" t="s">
        <v>3</v>
      </c>
      <c r="EE1091">
        <v>126051594</v>
      </c>
      <c r="EF1091">
        <v>30</v>
      </c>
      <c r="EG1091" t="s">
        <v>23</v>
      </c>
      <c r="EH1091">
        <v>0</v>
      </c>
      <c r="EI1091" t="s">
        <v>3</v>
      </c>
      <c r="EJ1091">
        <v>1</v>
      </c>
      <c r="EK1091">
        <v>133</v>
      </c>
      <c r="EL1091" t="s">
        <v>899</v>
      </c>
      <c r="EM1091" t="s">
        <v>900</v>
      </c>
      <c r="EO1091" t="s">
        <v>3</v>
      </c>
      <c r="EQ1091">
        <v>0</v>
      </c>
      <c r="ER1091">
        <v>0</v>
      </c>
      <c r="ES1091">
        <v>0</v>
      </c>
      <c r="ET1091">
        <v>0</v>
      </c>
      <c r="EU1091">
        <v>0</v>
      </c>
      <c r="EV1091">
        <v>0</v>
      </c>
      <c r="EW1091">
        <v>0</v>
      </c>
      <c r="EX1091">
        <v>0</v>
      </c>
      <c r="FQ1091">
        <v>0</v>
      </c>
      <c r="FR1091">
        <f t="shared" si="933"/>
        <v>0</v>
      </c>
      <c r="FS1091">
        <v>0</v>
      </c>
      <c r="FX1091">
        <v>110</v>
      </c>
      <c r="FY1091">
        <v>74</v>
      </c>
      <c r="GA1091" t="s">
        <v>259</v>
      </c>
      <c r="GD1091">
        <v>0</v>
      </c>
      <c r="GF1091">
        <v>-846618015</v>
      </c>
      <c r="GG1091">
        <v>2</v>
      </c>
      <c r="GH1091">
        <v>2</v>
      </c>
      <c r="GI1091">
        <v>2</v>
      </c>
      <c r="GJ1091">
        <v>0</v>
      </c>
      <c r="GK1091">
        <f>ROUND(R1091*(S12)/100,2)</f>
        <v>0</v>
      </c>
      <c r="GL1091">
        <f t="shared" si="934"/>
        <v>0</v>
      </c>
      <c r="GM1091">
        <f t="shared" si="935"/>
        <v>0</v>
      </c>
      <c r="GN1091">
        <f t="shared" si="936"/>
        <v>0</v>
      </c>
      <c r="GO1091">
        <f t="shared" si="937"/>
        <v>0</v>
      </c>
      <c r="GP1091">
        <f t="shared" si="938"/>
        <v>0</v>
      </c>
      <c r="GR1091">
        <v>0</v>
      </c>
      <c r="GS1091">
        <v>4</v>
      </c>
      <c r="GT1091">
        <v>0</v>
      </c>
      <c r="GU1091" t="s">
        <v>3</v>
      </c>
      <c r="GV1091">
        <f t="shared" si="939"/>
        <v>0</v>
      </c>
      <c r="GW1091">
        <v>1</v>
      </c>
      <c r="GX1091">
        <f t="shared" si="940"/>
        <v>0</v>
      </c>
      <c r="HA1091">
        <v>0</v>
      </c>
      <c r="HB1091">
        <v>0</v>
      </c>
      <c r="HC1091">
        <f t="shared" si="941"/>
        <v>0</v>
      </c>
      <c r="HE1091" t="s">
        <v>3</v>
      </c>
      <c r="HF1091" t="s">
        <v>3</v>
      </c>
      <c r="HM1091" t="s">
        <v>3</v>
      </c>
      <c r="HN1091" t="s">
        <v>3</v>
      </c>
      <c r="HO1091" t="s">
        <v>3</v>
      </c>
      <c r="HP1091" t="s">
        <v>3</v>
      </c>
      <c r="HQ1091" t="s">
        <v>3</v>
      </c>
      <c r="IK1091">
        <v>0</v>
      </c>
    </row>
    <row r="1093" spans="1:255" x14ac:dyDescent="0.2">
      <c r="A1093" s="3">
        <v>51</v>
      </c>
      <c r="B1093" s="3">
        <f>B1038</f>
        <v>1</v>
      </c>
      <c r="C1093" s="3">
        <f>A1038</f>
        <v>4</v>
      </c>
      <c r="D1093" s="3">
        <f>ROW(A1038)</f>
        <v>1038</v>
      </c>
      <c r="E1093" s="3"/>
      <c r="F1093" s="3" t="str">
        <f>IF(F1038&lt;&gt;"",F1038,"")</f>
        <v>Новый раздел</v>
      </c>
      <c r="G1093" s="3" t="str">
        <f>IF(G1038&lt;&gt;"",G1038,"")</f>
        <v>Внутренние сети В1, Т3, В2</v>
      </c>
      <c r="H1093" s="3">
        <v>0</v>
      </c>
      <c r="I1093" s="3"/>
      <c r="J1093" s="3"/>
      <c r="K1093" s="3"/>
      <c r="L1093" s="3"/>
      <c r="M1093" s="3"/>
      <c r="N1093" s="3"/>
      <c r="O1093" s="3">
        <f t="shared" ref="O1093:T1093" si="947">ROUND(AB1093,2)</f>
        <v>2514.34</v>
      </c>
      <c r="P1093" s="3">
        <f t="shared" si="947"/>
        <v>1835.97</v>
      </c>
      <c r="Q1093" s="3">
        <f t="shared" si="947"/>
        <v>53.72</v>
      </c>
      <c r="R1093" s="3">
        <f t="shared" si="947"/>
        <v>9.31</v>
      </c>
      <c r="S1093" s="3">
        <f t="shared" si="947"/>
        <v>624.65</v>
      </c>
      <c r="T1093" s="3">
        <f t="shared" si="947"/>
        <v>0</v>
      </c>
      <c r="U1093" s="3">
        <f>AH1093</f>
        <v>49.635725000000008</v>
      </c>
      <c r="V1093" s="3">
        <f>AI1093</f>
        <v>0</v>
      </c>
      <c r="W1093" s="3">
        <f>ROUND(AJ1093,2)</f>
        <v>0</v>
      </c>
      <c r="X1093" s="3">
        <f>ROUND(AK1093,2)</f>
        <v>677.12</v>
      </c>
      <c r="Y1093" s="3">
        <f>ROUND(AL1093,2)</f>
        <v>460.13</v>
      </c>
      <c r="Z1093" s="3"/>
      <c r="AA1093" s="3"/>
      <c r="AB1093" s="3">
        <f>ROUND(SUMIF(AA1042:AA1091,"=129761636",O1042:O1091),2)</f>
        <v>2514.34</v>
      </c>
      <c r="AC1093" s="3">
        <f>ROUND(SUMIF(AA1042:AA1091,"=129761636",P1042:P1091),2)</f>
        <v>1835.97</v>
      </c>
      <c r="AD1093" s="3">
        <f>ROUND(SUMIF(AA1042:AA1091,"=129761636",Q1042:Q1091),2)</f>
        <v>53.72</v>
      </c>
      <c r="AE1093" s="3">
        <f>ROUND(SUMIF(AA1042:AA1091,"=129761636",R1042:R1091),2)</f>
        <v>9.31</v>
      </c>
      <c r="AF1093" s="3">
        <f>ROUND(SUMIF(AA1042:AA1091,"=129761636",S1042:S1091),2)</f>
        <v>624.65</v>
      </c>
      <c r="AG1093" s="3">
        <f>ROUND(SUMIF(AA1042:AA1091,"=129761636",T1042:T1091),2)</f>
        <v>0</v>
      </c>
      <c r="AH1093" s="3">
        <f>SUMIF(AA1042:AA1091,"=129761636",U1042:U1091)</f>
        <v>49.635725000000008</v>
      </c>
      <c r="AI1093" s="3">
        <f>SUMIF(AA1042:AA1091,"=129761636",V1042:V1091)</f>
        <v>0</v>
      </c>
      <c r="AJ1093" s="3">
        <f>ROUND(SUMIF(AA1042:AA1091,"=129761636",W1042:W1091),2)</f>
        <v>0</v>
      </c>
      <c r="AK1093" s="3">
        <f>ROUND(SUMIF(AA1042:AA1091,"=129761636",X1042:X1091),2)</f>
        <v>677.12</v>
      </c>
      <c r="AL1093" s="3">
        <f>ROUND(SUMIF(AA1042:AA1091,"=129761636",Y1042:Y1091),2)</f>
        <v>460.13</v>
      </c>
      <c r="AM1093" s="3"/>
      <c r="AN1093" s="3"/>
      <c r="AO1093" s="3">
        <f t="shared" ref="AO1093:BD1093" si="948">ROUND(BX1093,2)</f>
        <v>0</v>
      </c>
      <c r="AP1093" s="3">
        <f t="shared" si="948"/>
        <v>0</v>
      </c>
      <c r="AQ1093" s="3">
        <f t="shared" si="948"/>
        <v>0</v>
      </c>
      <c r="AR1093" s="3">
        <f t="shared" si="948"/>
        <v>3667.89</v>
      </c>
      <c r="AS1093" s="3">
        <f t="shared" si="948"/>
        <v>3667.89</v>
      </c>
      <c r="AT1093" s="3">
        <f t="shared" si="948"/>
        <v>0</v>
      </c>
      <c r="AU1093" s="3">
        <f t="shared" si="948"/>
        <v>0</v>
      </c>
      <c r="AV1093" s="3">
        <f t="shared" si="948"/>
        <v>1835.97</v>
      </c>
      <c r="AW1093" s="3">
        <f t="shared" si="948"/>
        <v>1835.97</v>
      </c>
      <c r="AX1093" s="3">
        <f t="shared" si="948"/>
        <v>0</v>
      </c>
      <c r="AY1093" s="3">
        <f t="shared" si="948"/>
        <v>1835.97</v>
      </c>
      <c r="AZ1093" s="3">
        <f t="shared" si="948"/>
        <v>0</v>
      </c>
      <c r="BA1093" s="3">
        <f t="shared" si="948"/>
        <v>0</v>
      </c>
      <c r="BB1093" s="3">
        <f t="shared" si="948"/>
        <v>0</v>
      </c>
      <c r="BC1093" s="3">
        <f t="shared" si="948"/>
        <v>0</v>
      </c>
      <c r="BD1093" s="3">
        <f t="shared" si="948"/>
        <v>0</v>
      </c>
      <c r="BE1093" s="3"/>
      <c r="BF1093" s="3"/>
      <c r="BG1093" s="3"/>
      <c r="BH1093" s="3"/>
      <c r="BI1093" s="3"/>
      <c r="BJ1093" s="3"/>
      <c r="BK1093" s="3"/>
      <c r="BL1093" s="3"/>
      <c r="BM1093" s="3"/>
      <c r="BN1093" s="3"/>
      <c r="BO1093" s="3"/>
      <c r="BP1093" s="3"/>
      <c r="BQ1093" s="3"/>
      <c r="BR1093" s="3"/>
      <c r="BS1093" s="3"/>
      <c r="BT1093" s="3"/>
      <c r="BU1093" s="3"/>
      <c r="BV1093" s="3"/>
      <c r="BW1093" s="3"/>
      <c r="BX1093" s="3">
        <f>ROUND(SUMIF(AA1042:AA1091,"=129761636",FQ1042:FQ1091),2)</f>
        <v>0</v>
      </c>
      <c r="BY1093" s="3">
        <f>ROUND(SUMIF(AA1042:AA1091,"=129761636",FR1042:FR1091),2)</f>
        <v>0</v>
      </c>
      <c r="BZ1093" s="3">
        <f>ROUND(SUMIF(AA1042:AA1091,"=129761636",GL1042:GL1091),2)</f>
        <v>0</v>
      </c>
      <c r="CA1093" s="3">
        <f>ROUND(SUMIF(AA1042:AA1091,"=129761636",GM1042:GM1091),2)</f>
        <v>3667.89</v>
      </c>
      <c r="CB1093" s="3">
        <f>ROUND(SUMIF(AA1042:AA1091,"=129761636",GN1042:GN1091),2)</f>
        <v>3667.89</v>
      </c>
      <c r="CC1093" s="3">
        <f>ROUND(SUMIF(AA1042:AA1091,"=129761636",GO1042:GO1091),2)</f>
        <v>0</v>
      </c>
      <c r="CD1093" s="3">
        <f>ROUND(SUMIF(AA1042:AA1091,"=129761636",GP1042:GP1091),2)</f>
        <v>0</v>
      </c>
      <c r="CE1093" s="3">
        <f>AC1093-BX1093</f>
        <v>1835.97</v>
      </c>
      <c r="CF1093" s="3">
        <f>AC1093-BY1093</f>
        <v>1835.97</v>
      </c>
      <c r="CG1093" s="3">
        <f>BX1093-BZ1093</f>
        <v>0</v>
      </c>
      <c r="CH1093" s="3">
        <f>AC1093-BX1093-BY1093+BZ1093</f>
        <v>1835.97</v>
      </c>
      <c r="CI1093" s="3">
        <f>BY1093-BZ1093</f>
        <v>0</v>
      </c>
      <c r="CJ1093" s="3">
        <f>ROUND(SUMIF(AA1042:AA1091,"=129761636",GX1042:GX1091),2)</f>
        <v>0</v>
      </c>
      <c r="CK1093" s="3">
        <f>ROUND(SUMIF(AA1042:AA1091,"=129761636",GY1042:GY1091),2)</f>
        <v>0</v>
      </c>
      <c r="CL1093" s="3">
        <f>ROUND(SUMIF(AA1042:AA1091,"=129761636",GZ1042:GZ1091),2)</f>
        <v>0</v>
      </c>
      <c r="CM1093" s="3">
        <f>ROUND(SUMIF(AA1042:AA1091,"=129761636",HD1042:HD1091),2)</f>
        <v>0</v>
      </c>
      <c r="CN1093" s="3"/>
      <c r="CO1093" s="3"/>
      <c r="CP1093" s="3"/>
      <c r="CQ1093" s="3"/>
      <c r="CR1093" s="3"/>
      <c r="CS1093" s="3"/>
      <c r="CT1093" s="3"/>
      <c r="CU1093" s="3"/>
      <c r="CV1093" s="3"/>
      <c r="CW1093" s="3"/>
      <c r="CX1093" s="3"/>
      <c r="CY1093" s="3"/>
      <c r="CZ1093" s="3"/>
      <c r="DA1093" s="3"/>
      <c r="DB1093" s="3"/>
      <c r="DC1093" s="3"/>
      <c r="DD1093" s="3"/>
      <c r="DE1093" s="3"/>
      <c r="DF1093" s="3"/>
      <c r="DG1093" s="4">
        <f t="shared" ref="DG1093:DL1093" si="949">ROUND(DT1093,2)</f>
        <v>36907.599999999999</v>
      </c>
      <c r="DH1093" s="4">
        <f t="shared" si="949"/>
        <v>18127.240000000002</v>
      </c>
      <c r="DI1093" s="4">
        <f t="shared" si="949"/>
        <v>646.77</v>
      </c>
      <c r="DJ1093" s="4">
        <f t="shared" si="949"/>
        <v>270.27</v>
      </c>
      <c r="DK1093" s="4">
        <f t="shared" si="949"/>
        <v>18133.59</v>
      </c>
      <c r="DL1093" s="4">
        <f t="shared" si="949"/>
        <v>0</v>
      </c>
      <c r="DM1093" s="4">
        <f>DZ1093</f>
        <v>49.635725000000008</v>
      </c>
      <c r="DN1093" s="4">
        <f>EA1093</f>
        <v>0</v>
      </c>
      <c r="DO1093" s="4">
        <f>ROUND(EB1093,2)</f>
        <v>0</v>
      </c>
      <c r="DP1093" s="4">
        <f>ROUND(EC1093,2)</f>
        <v>16091.11</v>
      </c>
      <c r="DQ1093" s="4">
        <f>ROUND(ED1093,2)</f>
        <v>7434.78</v>
      </c>
      <c r="DR1093" s="4"/>
      <c r="DS1093" s="4"/>
      <c r="DT1093" s="4">
        <f>ROUND(SUMIF(AA1042:AA1091,"=129761633",O1042:O1091),2)</f>
        <v>36907.599999999999</v>
      </c>
      <c r="DU1093" s="4">
        <f>ROUND(SUMIF(AA1042:AA1091,"=129761633",P1042:P1091),2)</f>
        <v>18127.240000000002</v>
      </c>
      <c r="DV1093" s="4">
        <f>ROUND(SUMIF(AA1042:AA1091,"=129761633",Q1042:Q1091),2)</f>
        <v>646.77</v>
      </c>
      <c r="DW1093" s="4">
        <f>ROUND(SUMIF(AA1042:AA1091,"=129761633",R1042:R1091),2)</f>
        <v>270.27</v>
      </c>
      <c r="DX1093" s="4">
        <f>ROUND(SUMIF(AA1042:AA1091,"=129761633",S1042:S1091),2)</f>
        <v>18133.59</v>
      </c>
      <c r="DY1093" s="4">
        <f>ROUND(SUMIF(AA1042:AA1091,"=129761633",T1042:T1091),2)</f>
        <v>0</v>
      </c>
      <c r="DZ1093" s="4">
        <f>SUMIF(AA1042:AA1091,"=129761633",U1042:U1091)</f>
        <v>49.635725000000008</v>
      </c>
      <c r="EA1093" s="4">
        <f>SUMIF(AA1042:AA1091,"=129761633",V1042:V1091)</f>
        <v>0</v>
      </c>
      <c r="EB1093" s="4">
        <f>ROUND(SUMIF(AA1042:AA1091,"=129761633",W1042:W1091),2)</f>
        <v>0</v>
      </c>
      <c r="EC1093" s="4">
        <f>ROUND(SUMIF(AA1042:AA1091,"=129761633",X1042:X1091),2)</f>
        <v>16091.11</v>
      </c>
      <c r="ED1093" s="4">
        <f>ROUND(SUMIF(AA1042:AA1091,"=129761633",Y1042:Y1091),2)</f>
        <v>7434.78</v>
      </c>
      <c r="EE1093" s="4"/>
      <c r="EF1093" s="4"/>
      <c r="EG1093" s="4">
        <f t="shared" ref="EG1093:EV1093" si="950">ROUND(FP1093,2)</f>
        <v>0</v>
      </c>
      <c r="EH1093" s="4">
        <f t="shared" si="950"/>
        <v>0</v>
      </c>
      <c r="EI1093" s="4">
        <f t="shared" si="950"/>
        <v>0</v>
      </c>
      <c r="EJ1093" s="4">
        <f t="shared" si="950"/>
        <v>60865.919999999998</v>
      </c>
      <c r="EK1093" s="4">
        <f t="shared" si="950"/>
        <v>60865.919999999998</v>
      </c>
      <c r="EL1093" s="4">
        <f t="shared" si="950"/>
        <v>0</v>
      </c>
      <c r="EM1093" s="4">
        <f t="shared" si="950"/>
        <v>0</v>
      </c>
      <c r="EN1093" s="4">
        <f t="shared" si="950"/>
        <v>18127.240000000002</v>
      </c>
      <c r="EO1093" s="4">
        <f t="shared" si="950"/>
        <v>18127.240000000002</v>
      </c>
      <c r="EP1093" s="4">
        <f t="shared" si="950"/>
        <v>0</v>
      </c>
      <c r="EQ1093" s="4">
        <f t="shared" si="950"/>
        <v>18127.240000000002</v>
      </c>
      <c r="ER1093" s="4">
        <f t="shared" si="950"/>
        <v>0</v>
      </c>
      <c r="ES1093" s="4">
        <f t="shared" si="950"/>
        <v>0</v>
      </c>
      <c r="ET1093" s="4">
        <f t="shared" si="950"/>
        <v>0</v>
      </c>
      <c r="EU1093" s="4">
        <f t="shared" si="950"/>
        <v>0</v>
      </c>
      <c r="EV1093" s="4">
        <f t="shared" si="950"/>
        <v>0</v>
      </c>
      <c r="EW1093" s="4"/>
      <c r="EX1093" s="4"/>
      <c r="EY1093" s="4"/>
      <c r="EZ1093" s="4"/>
      <c r="FA1093" s="4"/>
      <c r="FB1093" s="4"/>
      <c r="FC1093" s="4"/>
      <c r="FD1093" s="4"/>
      <c r="FE1093" s="4"/>
      <c r="FF1093" s="4"/>
      <c r="FG1093" s="4"/>
      <c r="FH1093" s="4"/>
      <c r="FI1093" s="4"/>
      <c r="FJ1093" s="4"/>
      <c r="FK1093" s="4"/>
      <c r="FL1093" s="4"/>
      <c r="FM1093" s="4"/>
      <c r="FN1093" s="4"/>
      <c r="FO1093" s="4"/>
      <c r="FP1093" s="4">
        <f>ROUND(SUMIF(AA1042:AA1091,"=129761633",FQ1042:FQ1091),2)</f>
        <v>0</v>
      </c>
      <c r="FQ1093" s="4">
        <f>ROUND(SUMIF(AA1042:AA1091,"=129761633",FR1042:FR1091),2)</f>
        <v>0</v>
      </c>
      <c r="FR1093" s="4">
        <f>ROUND(SUMIF(AA1042:AA1091,"=129761633",GL1042:GL1091),2)</f>
        <v>0</v>
      </c>
      <c r="FS1093" s="4">
        <f>ROUND(SUMIF(AA1042:AA1091,"=129761633",GM1042:GM1091),2)</f>
        <v>60865.919999999998</v>
      </c>
      <c r="FT1093" s="4">
        <f>ROUND(SUMIF(AA1042:AA1091,"=129761633",GN1042:GN1091),2)</f>
        <v>60865.919999999998</v>
      </c>
      <c r="FU1093" s="4">
        <f>ROUND(SUMIF(AA1042:AA1091,"=129761633",GO1042:GO1091),2)</f>
        <v>0</v>
      </c>
      <c r="FV1093" s="4">
        <f>ROUND(SUMIF(AA1042:AA1091,"=129761633",GP1042:GP1091),2)</f>
        <v>0</v>
      </c>
      <c r="FW1093" s="4">
        <f>DU1093-FP1093</f>
        <v>18127.240000000002</v>
      </c>
      <c r="FX1093" s="4">
        <f>DU1093-FQ1093</f>
        <v>18127.240000000002</v>
      </c>
      <c r="FY1093" s="4">
        <f>FP1093-FR1093</f>
        <v>0</v>
      </c>
      <c r="FZ1093" s="4">
        <f>DU1093-FP1093-FQ1093+FR1093</f>
        <v>18127.240000000002</v>
      </c>
      <c r="GA1093" s="4">
        <f>FQ1093-FR1093</f>
        <v>0</v>
      </c>
      <c r="GB1093" s="4">
        <f>ROUND(SUMIF(AA1042:AA1091,"=129761633",GX1042:GX1091),2)</f>
        <v>0</v>
      </c>
      <c r="GC1093" s="4">
        <f>ROUND(SUMIF(AA1042:AA1091,"=129761633",GY1042:GY1091),2)</f>
        <v>0</v>
      </c>
      <c r="GD1093" s="4">
        <f>ROUND(SUMIF(AA1042:AA1091,"=129761633",GZ1042:GZ1091),2)</f>
        <v>0</v>
      </c>
      <c r="GE1093" s="4">
        <f>ROUND(SUMIF(AA1042:AA1091,"=129761633",HD1042:HD1091),2)</f>
        <v>0</v>
      </c>
      <c r="GF1093" s="4"/>
      <c r="GG1093" s="4"/>
      <c r="GH1093" s="4"/>
      <c r="GI1093" s="4"/>
      <c r="GJ1093" s="4"/>
      <c r="GK1093" s="4"/>
      <c r="GL1093" s="4"/>
      <c r="GM1093" s="4"/>
      <c r="GN1093" s="4"/>
      <c r="GO1093" s="4"/>
      <c r="GP1093" s="4"/>
      <c r="GQ1093" s="4"/>
      <c r="GR1093" s="4"/>
      <c r="GS1093" s="4"/>
      <c r="GT1093" s="4"/>
      <c r="GU1093" s="4"/>
      <c r="GV1093" s="4"/>
      <c r="GW1093" s="4"/>
      <c r="GX1093" s="4">
        <v>0</v>
      </c>
    </row>
    <row r="1095" spans="1:255" x14ac:dyDescent="0.2">
      <c r="A1095" s="5">
        <v>50</v>
      </c>
      <c r="B1095" s="5">
        <v>0</v>
      </c>
      <c r="C1095" s="5">
        <v>0</v>
      </c>
      <c r="D1095" s="5">
        <v>1</v>
      </c>
      <c r="E1095" s="5">
        <v>201</v>
      </c>
      <c r="F1095" s="5">
        <f>ROUND(Source!O1093,O1095)</f>
        <v>2514.34</v>
      </c>
      <c r="G1095" s="5" t="s">
        <v>26</v>
      </c>
      <c r="H1095" s="5" t="s">
        <v>27</v>
      </c>
      <c r="I1095" s="5"/>
      <c r="J1095" s="5"/>
      <c r="K1095" s="5">
        <v>201</v>
      </c>
      <c r="L1095" s="5">
        <v>1</v>
      </c>
      <c r="M1095" s="5">
        <v>3</v>
      </c>
      <c r="N1095" s="5" t="s">
        <v>3</v>
      </c>
      <c r="O1095" s="5">
        <v>2</v>
      </c>
      <c r="P1095" s="5">
        <f>ROUND(Source!DG1093,O1095)</f>
        <v>36907.599999999999</v>
      </c>
      <c r="Q1095" s="5"/>
      <c r="R1095" s="5"/>
      <c r="S1095" s="5"/>
      <c r="T1095" s="5"/>
      <c r="U1095" s="5"/>
      <c r="V1095" s="5"/>
      <c r="W1095" s="5">
        <v>2514.34</v>
      </c>
      <c r="X1095" s="5">
        <v>1</v>
      </c>
      <c r="Y1095" s="5">
        <v>2514.34</v>
      </c>
      <c r="Z1095" s="5">
        <v>36907.599999999999</v>
      </c>
      <c r="AA1095" s="5">
        <v>1</v>
      </c>
      <c r="AB1095" s="5">
        <v>36907.599999999999</v>
      </c>
    </row>
    <row r="1096" spans="1:255" x14ac:dyDescent="0.2">
      <c r="A1096" s="5">
        <v>50</v>
      </c>
      <c r="B1096" s="5">
        <v>0</v>
      </c>
      <c r="C1096" s="5">
        <v>0</v>
      </c>
      <c r="D1096" s="5">
        <v>1</v>
      </c>
      <c r="E1096" s="5">
        <v>202</v>
      </c>
      <c r="F1096" s="5">
        <f>ROUND(Source!P1093,O1096)</f>
        <v>1835.97</v>
      </c>
      <c r="G1096" s="5" t="s">
        <v>28</v>
      </c>
      <c r="H1096" s="5" t="s">
        <v>29</v>
      </c>
      <c r="I1096" s="5"/>
      <c r="J1096" s="5"/>
      <c r="K1096" s="5">
        <v>202</v>
      </c>
      <c r="L1096" s="5">
        <v>2</v>
      </c>
      <c r="M1096" s="5">
        <v>3</v>
      </c>
      <c r="N1096" s="5" t="s">
        <v>3</v>
      </c>
      <c r="O1096" s="5">
        <v>2</v>
      </c>
      <c r="P1096" s="5">
        <f>ROUND(Source!DH1093,O1096)</f>
        <v>18127.240000000002</v>
      </c>
      <c r="Q1096" s="5"/>
      <c r="R1096" s="5"/>
      <c r="S1096" s="5"/>
      <c r="T1096" s="5"/>
      <c r="U1096" s="5"/>
      <c r="V1096" s="5"/>
      <c r="W1096" s="5">
        <v>1835.97</v>
      </c>
      <c r="X1096" s="5">
        <v>1</v>
      </c>
      <c r="Y1096" s="5">
        <v>1835.97</v>
      </c>
      <c r="Z1096" s="5">
        <v>18127.240000000002</v>
      </c>
      <c r="AA1096" s="5">
        <v>1</v>
      </c>
      <c r="AB1096" s="5">
        <v>18127.240000000002</v>
      </c>
    </row>
    <row r="1097" spans="1:255" x14ac:dyDescent="0.2">
      <c r="A1097" s="5">
        <v>50</v>
      </c>
      <c r="B1097" s="5">
        <v>0</v>
      </c>
      <c r="C1097" s="5">
        <v>0</v>
      </c>
      <c r="D1097" s="5">
        <v>1</v>
      </c>
      <c r="E1097" s="5">
        <v>222</v>
      </c>
      <c r="F1097" s="5">
        <f>ROUND(Source!AO1093,O1097)</f>
        <v>0</v>
      </c>
      <c r="G1097" s="5" t="s">
        <v>30</v>
      </c>
      <c r="H1097" s="5" t="s">
        <v>31</v>
      </c>
      <c r="I1097" s="5"/>
      <c r="J1097" s="5"/>
      <c r="K1097" s="5">
        <v>222</v>
      </c>
      <c r="L1097" s="5">
        <v>3</v>
      </c>
      <c r="M1097" s="5">
        <v>3</v>
      </c>
      <c r="N1097" s="5" t="s">
        <v>3</v>
      </c>
      <c r="O1097" s="5">
        <v>2</v>
      </c>
      <c r="P1097" s="5">
        <f>ROUND(Source!EG1093,O1097)</f>
        <v>0</v>
      </c>
      <c r="Q1097" s="5"/>
      <c r="R1097" s="5"/>
      <c r="S1097" s="5"/>
      <c r="T1097" s="5"/>
      <c r="U1097" s="5"/>
      <c r="V1097" s="5"/>
      <c r="W1097" s="5">
        <v>0</v>
      </c>
      <c r="X1097" s="5">
        <v>1</v>
      </c>
      <c r="Y1097" s="5">
        <v>0</v>
      </c>
      <c r="Z1097" s="5">
        <v>0</v>
      </c>
      <c r="AA1097" s="5">
        <v>1</v>
      </c>
      <c r="AB1097" s="5">
        <v>0</v>
      </c>
    </row>
    <row r="1098" spans="1:255" x14ac:dyDescent="0.2">
      <c r="A1098" s="5">
        <v>50</v>
      </c>
      <c r="B1098" s="5">
        <v>0</v>
      </c>
      <c r="C1098" s="5">
        <v>0</v>
      </c>
      <c r="D1098" s="5">
        <v>1</v>
      </c>
      <c r="E1098" s="5">
        <v>225</v>
      </c>
      <c r="F1098" s="5">
        <f>ROUND(Source!AV1093,O1098)</f>
        <v>1835.97</v>
      </c>
      <c r="G1098" s="5" t="s">
        <v>32</v>
      </c>
      <c r="H1098" s="5" t="s">
        <v>33</v>
      </c>
      <c r="I1098" s="5"/>
      <c r="J1098" s="5"/>
      <c r="K1098" s="5">
        <v>225</v>
      </c>
      <c r="L1098" s="5">
        <v>4</v>
      </c>
      <c r="M1098" s="5">
        <v>3</v>
      </c>
      <c r="N1098" s="5" t="s">
        <v>3</v>
      </c>
      <c r="O1098" s="5">
        <v>2</v>
      </c>
      <c r="P1098" s="5">
        <f>ROUND(Source!EN1093,O1098)</f>
        <v>18127.240000000002</v>
      </c>
      <c r="Q1098" s="5"/>
      <c r="R1098" s="5"/>
      <c r="S1098" s="5"/>
      <c r="T1098" s="5"/>
      <c r="U1098" s="5"/>
      <c r="V1098" s="5"/>
      <c r="W1098" s="5">
        <v>1835.97</v>
      </c>
      <c r="X1098" s="5">
        <v>1</v>
      </c>
      <c r="Y1098" s="5">
        <v>1835.97</v>
      </c>
      <c r="Z1098" s="5">
        <v>18127.240000000002</v>
      </c>
      <c r="AA1098" s="5">
        <v>1</v>
      </c>
      <c r="AB1098" s="5">
        <v>18127.240000000002</v>
      </c>
    </row>
    <row r="1099" spans="1:255" x14ac:dyDescent="0.2">
      <c r="A1099" s="5">
        <v>50</v>
      </c>
      <c r="B1099" s="5">
        <v>0</v>
      </c>
      <c r="C1099" s="5">
        <v>0</v>
      </c>
      <c r="D1099" s="5">
        <v>1</v>
      </c>
      <c r="E1099" s="5">
        <v>226</v>
      </c>
      <c r="F1099" s="5">
        <f>ROUND(Source!AW1093,O1099)</f>
        <v>1835.97</v>
      </c>
      <c r="G1099" s="5" t="s">
        <v>34</v>
      </c>
      <c r="H1099" s="5" t="s">
        <v>35</v>
      </c>
      <c r="I1099" s="5"/>
      <c r="J1099" s="5"/>
      <c r="K1099" s="5">
        <v>226</v>
      </c>
      <c r="L1099" s="5">
        <v>5</v>
      </c>
      <c r="M1099" s="5">
        <v>3</v>
      </c>
      <c r="N1099" s="5" t="s">
        <v>3</v>
      </c>
      <c r="O1099" s="5">
        <v>2</v>
      </c>
      <c r="P1099" s="5">
        <f>ROUND(Source!EO1093,O1099)</f>
        <v>18127.240000000002</v>
      </c>
      <c r="Q1099" s="5"/>
      <c r="R1099" s="5"/>
      <c r="S1099" s="5"/>
      <c r="T1099" s="5"/>
      <c r="U1099" s="5"/>
      <c r="V1099" s="5"/>
      <c r="W1099" s="5">
        <v>1835.97</v>
      </c>
      <c r="X1099" s="5">
        <v>1</v>
      </c>
      <c r="Y1099" s="5">
        <v>1835.97</v>
      </c>
      <c r="Z1099" s="5">
        <v>18127.240000000002</v>
      </c>
      <c r="AA1099" s="5">
        <v>1</v>
      </c>
      <c r="AB1099" s="5">
        <v>18127.240000000002</v>
      </c>
    </row>
    <row r="1100" spans="1:255" x14ac:dyDescent="0.2">
      <c r="A1100" s="5">
        <v>50</v>
      </c>
      <c r="B1100" s="5">
        <v>0</v>
      </c>
      <c r="C1100" s="5">
        <v>0</v>
      </c>
      <c r="D1100" s="5">
        <v>1</v>
      </c>
      <c r="E1100" s="5">
        <v>227</v>
      </c>
      <c r="F1100" s="5">
        <f>ROUND(Source!AX1093,O1100)</f>
        <v>0</v>
      </c>
      <c r="G1100" s="5" t="s">
        <v>36</v>
      </c>
      <c r="H1100" s="5" t="s">
        <v>37</v>
      </c>
      <c r="I1100" s="5"/>
      <c r="J1100" s="5"/>
      <c r="K1100" s="5">
        <v>227</v>
      </c>
      <c r="L1100" s="5">
        <v>6</v>
      </c>
      <c r="M1100" s="5">
        <v>3</v>
      </c>
      <c r="N1100" s="5" t="s">
        <v>3</v>
      </c>
      <c r="O1100" s="5">
        <v>2</v>
      </c>
      <c r="P1100" s="5">
        <f>ROUND(Source!EP1093,O1100)</f>
        <v>0</v>
      </c>
      <c r="Q1100" s="5"/>
      <c r="R1100" s="5"/>
      <c r="S1100" s="5"/>
      <c r="T1100" s="5"/>
      <c r="U1100" s="5"/>
      <c r="V1100" s="5"/>
      <c r="W1100" s="5">
        <v>0</v>
      </c>
      <c r="X1100" s="5">
        <v>1</v>
      </c>
      <c r="Y1100" s="5">
        <v>0</v>
      </c>
      <c r="Z1100" s="5">
        <v>0</v>
      </c>
      <c r="AA1100" s="5">
        <v>1</v>
      </c>
      <c r="AB1100" s="5">
        <v>0</v>
      </c>
    </row>
    <row r="1101" spans="1:255" x14ac:dyDescent="0.2">
      <c r="A1101" s="5">
        <v>50</v>
      </c>
      <c r="B1101" s="5">
        <v>0</v>
      </c>
      <c r="C1101" s="5">
        <v>0</v>
      </c>
      <c r="D1101" s="5">
        <v>1</v>
      </c>
      <c r="E1101" s="5">
        <v>228</v>
      </c>
      <c r="F1101" s="5">
        <f>ROUND(Source!AY1093,O1101)</f>
        <v>1835.97</v>
      </c>
      <c r="G1101" s="5" t="s">
        <v>38</v>
      </c>
      <c r="H1101" s="5" t="s">
        <v>39</v>
      </c>
      <c r="I1101" s="5"/>
      <c r="J1101" s="5"/>
      <c r="K1101" s="5">
        <v>228</v>
      </c>
      <c r="L1101" s="5">
        <v>7</v>
      </c>
      <c r="M1101" s="5">
        <v>3</v>
      </c>
      <c r="N1101" s="5" t="s">
        <v>3</v>
      </c>
      <c r="O1101" s="5">
        <v>2</v>
      </c>
      <c r="P1101" s="5">
        <f>ROUND(Source!EQ1093,O1101)</f>
        <v>18127.240000000002</v>
      </c>
      <c r="Q1101" s="5"/>
      <c r="R1101" s="5"/>
      <c r="S1101" s="5"/>
      <c r="T1101" s="5"/>
      <c r="U1101" s="5"/>
      <c r="V1101" s="5"/>
      <c r="W1101" s="5">
        <v>1835.97</v>
      </c>
      <c r="X1101" s="5">
        <v>1</v>
      </c>
      <c r="Y1101" s="5">
        <v>1835.97</v>
      </c>
      <c r="Z1101" s="5">
        <v>18127.240000000002</v>
      </c>
      <c r="AA1101" s="5">
        <v>1</v>
      </c>
      <c r="AB1101" s="5">
        <v>18127.240000000002</v>
      </c>
    </row>
    <row r="1102" spans="1:255" x14ac:dyDescent="0.2">
      <c r="A1102" s="5">
        <v>50</v>
      </c>
      <c r="B1102" s="5">
        <v>0</v>
      </c>
      <c r="C1102" s="5">
        <v>0</v>
      </c>
      <c r="D1102" s="5">
        <v>1</v>
      </c>
      <c r="E1102" s="5">
        <v>216</v>
      </c>
      <c r="F1102" s="5">
        <f>ROUND(Source!AP1093,O1102)</f>
        <v>0</v>
      </c>
      <c r="G1102" s="5" t="s">
        <v>40</v>
      </c>
      <c r="H1102" s="5" t="s">
        <v>41</v>
      </c>
      <c r="I1102" s="5"/>
      <c r="J1102" s="5"/>
      <c r="K1102" s="5">
        <v>216</v>
      </c>
      <c r="L1102" s="5">
        <v>8</v>
      </c>
      <c r="M1102" s="5">
        <v>3</v>
      </c>
      <c r="N1102" s="5" t="s">
        <v>3</v>
      </c>
      <c r="O1102" s="5">
        <v>2</v>
      </c>
      <c r="P1102" s="5">
        <f>ROUND(Source!EH1093,O1102)</f>
        <v>0</v>
      </c>
      <c r="Q1102" s="5"/>
      <c r="R1102" s="5"/>
      <c r="S1102" s="5"/>
      <c r="T1102" s="5"/>
      <c r="U1102" s="5"/>
      <c r="V1102" s="5"/>
      <c r="W1102" s="5">
        <v>0</v>
      </c>
      <c r="X1102" s="5">
        <v>1</v>
      </c>
      <c r="Y1102" s="5">
        <v>0</v>
      </c>
      <c r="Z1102" s="5">
        <v>0</v>
      </c>
      <c r="AA1102" s="5">
        <v>1</v>
      </c>
      <c r="AB1102" s="5">
        <v>0</v>
      </c>
    </row>
    <row r="1103" spans="1:255" x14ac:dyDescent="0.2">
      <c r="A1103" s="5">
        <v>50</v>
      </c>
      <c r="B1103" s="5">
        <v>0</v>
      </c>
      <c r="C1103" s="5">
        <v>0</v>
      </c>
      <c r="D1103" s="5">
        <v>1</v>
      </c>
      <c r="E1103" s="5">
        <v>223</v>
      </c>
      <c r="F1103" s="5">
        <f>ROUND(Source!AQ1093,O1103)</f>
        <v>0</v>
      </c>
      <c r="G1103" s="5" t="s">
        <v>42</v>
      </c>
      <c r="H1103" s="5" t="s">
        <v>43</v>
      </c>
      <c r="I1103" s="5"/>
      <c r="J1103" s="5"/>
      <c r="K1103" s="5">
        <v>223</v>
      </c>
      <c r="L1103" s="5">
        <v>9</v>
      </c>
      <c r="M1103" s="5">
        <v>3</v>
      </c>
      <c r="N1103" s="5" t="s">
        <v>3</v>
      </c>
      <c r="O1103" s="5">
        <v>2</v>
      </c>
      <c r="P1103" s="5">
        <f>ROUND(Source!EI1093,O1103)</f>
        <v>0</v>
      </c>
      <c r="Q1103" s="5"/>
      <c r="R1103" s="5"/>
      <c r="S1103" s="5"/>
      <c r="T1103" s="5"/>
      <c r="U1103" s="5"/>
      <c r="V1103" s="5"/>
      <c r="W1103" s="5">
        <v>0</v>
      </c>
      <c r="X1103" s="5">
        <v>1</v>
      </c>
      <c r="Y1103" s="5">
        <v>0</v>
      </c>
      <c r="Z1103" s="5">
        <v>0</v>
      </c>
      <c r="AA1103" s="5">
        <v>1</v>
      </c>
      <c r="AB1103" s="5">
        <v>0</v>
      </c>
    </row>
    <row r="1104" spans="1:255" x14ac:dyDescent="0.2">
      <c r="A1104" s="5">
        <v>50</v>
      </c>
      <c r="B1104" s="5">
        <v>0</v>
      </c>
      <c r="C1104" s="5">
        <v>0</v>
      </c>
      <c r="D1104" s="5">
        <v>1</v>
      </c>
      <c r="E1104" s="5">
        <v>229</v>
      </c>
      <c r="F1104" s="5">
        <f>ROUND(Source!AZ1093,O1104)</f>
        <v>0</v>
      </c>
      <c r="G1104" s="5" t="s">
        <v>44</v>
      </c>
      <c r="H1104" s="5" t="s">
        <v>45</v>
      </c>
      <c r="I1104" s="5"/>
      <c r="J1104" s="5"/>
      <c r="K1104" s="5">
        <v>229</v>
      </c>
      <c r="L1104" s="5">
        <v>10</v>
      </c>
      <c r="M1104" s="5">
        <v>3</v>
      </c>
      <c r="N1104" s="5" t="s">
        <v>3</v>
      </c>
      <c r="O1104" s="5">
        <v>2</v>
      </c>
      <c r="P1104" s="5">
        <f>ROUND(Source!ER1093,O1104)</f>
        <v>0</v>
      </c>
      <c r="Q1104" s="5"/>
      <c r="R1104" s="5"/>
      <c r="S1104" s="5"/>
      <c r="T1104" s="5"/>
      <c r="U1104" s="5"/>
      <c r="V1104" s="5"/>
      <c r="W1104" s="5">
        <v>0</v>
      </c>
      <c r="X1104" s="5">
        <v>1</v>
      </c>
      <c r="Y1104" s="5">
        <v>0</v>
      </c>
      <c r="Z1104" s="5">
        <v>0</v>
      </c>
      <c r="AA1104" s="5">
        <v>1</v>
      </c>
      <c r="AB1104" s="5">
        <v>0</v>
      </c>
    </row>
    <row r="1105" spans="1:28" x14ac:dyDescent="0.2">
      <c r="A1105" s="5">
        <v>50</v>
      </c>
      <c r="B1105" s="5">
        <v>0</v>
      </c>
      <c r="C1105" s="5">
        <v>0</v>
      </c>
      <c r="D1105" s="5">
        <v>1</v>
      </c>
      <c r="E1105" s="5">
        <v>203</v>
      </c>
      <c r="F1105" s="5">
        <f>ROUND(Source!Q1093,O1105)</f>
        <v>53.72</v>
      </c>
      <c r="G1105" s="5" t="s">
        <v>46</v>
      </c>
      <c r="H1105" s="5" t="s">
        <v>47</v>
      </c>
      <c r="I1105" s="5"/>
      <c r="J1105" s="5"/>
      <c r="K1105" s="5">
        <v>203</v>
      </c>
      <c r="L1105" s="5">
        <v>11</v>
      </c>
      <c r="M1105" s="5">
        <v>3</v>
      </c>
      <c r="N1105" s="5" t="s">
        <v>3</v>
      </c>
      <c r="O1105" s="5">
        <v>2</v>
      </c>
      <c r="P1105" s="5">
        <f>ROUND(Source!DI1093,O1105)</f>
        <v>646.77</v>
      </c>
      <c r="Q1105" s="5"/>
      <c r="R1105" s="5"/>
      <c r="S1105" s="5"/>
      <c r="T1105" s="5"/>
      <c r="U1105" s="5"/>
      <c r="V1105" s="5"/>
      <c r="W1105" s="5">
        <v>53.72</v>
      </c>
      <c r="X1105" s="5">
        <v>1</v>
      </c>
      <c r="Y1105" s="5">
        <v>53.72</v>
      </c>
      <c r="Z1105" s="5">
        <v>646.77</v>
      </c>
      <c r="AA1105" s="5">
        <v>1</v>
      </c>
      <c r="AB1105" s="5">
        <v>646.77</v>
      </c>
    </row>
    <row r="1106" spans="1:28" x14ac:dyDescent="0.2">
      <c r="A1106" s="5">
        <v>50</v>
      </c>
      <c r="B1106" s="5">
        <v>0</v>
      </c>
      <c r="C1106" s="5">
        <v>0</v>
      </c>
      <c r="D1106" s="5">
        <v>1</v>
      </c>
      <c r="E1106" s="5">
        <v>231</v>
      </c>
      <c r="F1106" s="5">
        <f>ROUND(Source!BB1093,O1106)</f>
        <v>0</v>
      </c>
      <c r="G1106" s="5" t="s">
        <v>48</v>
      </c>
      <c r="H1106" s="5" t="s">
        <v>49</v>
      </c>
      <c r="I1106" s="5"/>
      <c r="J1106" s="5"/>
      <c r="K1106" s="5">
        <v>231</v>
      </c>
      <c r="L1106" s="5">
        <v>12</v>
      </c>
      <c r="M1106" s="5">
        <v>3</v>
      </c>
      <c r="N1106" s="5" t="s">
        <v>3</v>
      </c>
      <c r="O1106" s="5">
        <v>2</v>
      </c>
      <c r="P1106" s="5">
        <f>ROUND(Source!ET1093,O1106)</f>
        <v>0</v>
      </c>
      <c r="Q1106" s="5"/>
      <c r="R1106" s="5"/>
      <c r="S1106" s="5"/>
      <c r="T1106" s="5"/>
      <c r="U1106" s="5"/>
      <c r="V1106" s="5"/>
      <c r="W1106" s="5">
        <v>0</v>
      </c>
      <c r="X1106" s="5">
        <v>1</v>
      </c>
      <c r="Y1106" s="5">
        <v>0</v>
      </c>
      <c r="Z1106" s="5">
        <v>0</v>
      </c>
      <c r="AA1106" s="5">
        <v>1</v>
      </c>
      <c r="AB1106" s="5">
        <v>0</v>
      </c>
    </row>
    <row r="1107" spans="1:28" x14ac:dyDescent="0.2">
      <c r="A1107" s="5">
        <v>50</v>
      </c>
      <c r="B1107" s="5">
        <v>0</v>
      </c>
      <c r="C1107" s="5">
        <v>0</v>
      </c>
      <c r="D1107" s="5">
        <v>1</v>
      </c>
      <c r="E1107" s="5">
        <v>204</v>
      </c>
      <c r="F1107" s="5">
        <f>ROUND(Source!R1093,O1107)</f>
        <v>9.31</v>
      </c>
      <c r="G1107" s="5" t="s">
        <v>50</v>
      </c>
      <c r="H1107" s="5" t="s">
        <v>51</v>
      </c>
      <c r="I1107" s="5"/>
      <c r="J1107" s="5"/>
      <c r="K1107" s="5">
        <v>204</v>
      </c>
      <c r="L1107" s="5">
        <v>13</v>
      </c>
      <c r="M1107" s="5">
        <v>3</v>
      </c>
      <c r="N1107" s="5" t="s">
        <v>3</v>
      </c>
      <c r="O1107" s="5">
        <v>2</v>
      </c>
      <c r="P1107" s="5">
        <f>ROUND(Source!DJ1093,O1107)</f>
        <v>270.27</v>
      </c>
      <c r="Q1107" s="5"/>
      <c r="R1107" s="5"/>
      <c r="S1107" s="5"/>
      <c r="T1107" s="5"/>
      <c r="U1107" s="5"/>
      <c r="V1107" s="5"/>
      <c r="W1107" s="5">
        <v>9.31</v>
      </c>
      <c r="X1107" s="5">
        <v>1</v>
      </c>
      <c r="Y1107" s="5">
        <v>9.31</v>
      </c>
      <c r="Z1107" s="5">
        <v>270.27</v>
      </c>
      <c r="AA1107" s="5">
        <v>1</v>
      </c>
      <c r="AB1107" s="5">
        <v>270.27</v>
      </c>
    </row>
    <row r="1108" spans="1:28" x14ac:dyDescent="0.2">
      <c r="A1108" s="5">
        <v>50</v>
      </c>
      <c r="B1108" s="5">
        <v>0</v>
      </c>
      <c r="C1108" s="5">
        <v>0</v>
      </c>
      <c r="D1108" s="5">
        <v>1</v>
      </c>
      <c r="E1108" s="5">
        <v>205</v>
      </c>
      <c r="F1108" s="5">
        <f>ROUND(Source!S1093,O1108)</f>
        <v>624.65</v>
      </c>
      <c r="G1108" s="5" t="s">
        <v>52</v>
      </c>
      <c r="H1108" s="5" t="s">
        <v>53</v>
      </c>
      <c r="I1108" s="5"/>
      <c r="J1108" s="5"/>
      <c r="K1108" s="5">
        <v>205</v>
      </c>
      <c r="L1108" s="5">
        <v>14</v>
      </c>
      <c r="M1108" s="5">
        <v>3</v>
      </c>
      <c r="N1108" s="5" t="s">
        <v>3</v>
      </c>
      <c r="O1108" s="5">
        <v>2</v>
      </c>
      <c r="P1108" s="5">
        <f>ROUND(Source!DK1093,O1108)</f>
        <v>18133.59</v>
      </c>
      <c r="Q1108" s="5"/>
      <c r="R1108" s="5"/>
      <c r="S1108" s="5"/>
      <c r="T1108" s="5"/>
      <c r="U1108" s="5"/>
      <c r="V1108" s="5"/>
      <c r="W1108" s="5">
        <v>624.65</v>
      </c>
      <c r="X1108" s="5">
        <v>1</v>
      </c>
      <c r="Y1108" s="5">
        <v>624.65</v>
      </c>
      <c r="Z1108" s="5">
        <v>18133.59</v>
      </c>
      <c r="AA1108" s="5">
        <v>1</v>
      </c>
      <c r="AB1108" s="5">
        <v>18133.59</v>
      </c>
    </row>
    <row r="1109" spans="1:28" x14ac:dyDescent="0.2">
      <c r="A1109" s="5">
        <v>50</v>
      </c>
      <c r="B1109" s="5">
        <v>0</v>
      </c>
      <c r="C1109" s="5">
        <v>0</v>
      </c>
      <c r="D1109" s="5">
        <v>1</v>
      </c>
      <c r="E1109" s="5">
        <v>232</v>
      </c>
      <c r="F1109" s="5">
        <f>ROUND(Source!BC1093,O1109)</f>
        <v>0</v>
      </c>
      <c r="G1109" s="5" t="s">
        <v>54</v>
      </c>
      <c r="H1109" s="5" t="s">
        <v>55</v>
      </c>
      <c r="I1109" s="5"/>
      <c r="J1109" s="5"/>
      <c r="K1109" s="5">
        <v>232</v>
      </c>
      <c r="L1109" s="5">
        <v>15</v>
      </c>
      <c r="M1109" s="5">
        <v>3</v>
      </c>
      <c r="N1109" s="5" t="s">
        <v>3</v>
      </c>
      <c r="O1109" s="5">
        <v>2</v>
      </c>
      <c r="P1109" s="5">
        <f>ROUND(Source!EU1093,O1109)</f>
        <v>0</v>
      </c>
      <c r="Q1109" s="5"/>
      <c r="R1109" s="5"/>
      <c r="S1109" s="5"/>
      <c r="T1109" s="5"/>
      <c r="U1109" s="5"/>
      <c r="V1109" s="5"/>
      <c r="W1109" s="5">
        <v>0</v>
      </c>
      <c r="X1109" s="5">
        <v>1</v>
      </c>
      <c r="Y1109" s="5">
        <v>0</v>
      </c>
      <c r="Z1109" s="5">
        <v>0</v>
      </c>
      <c r="AA1109" s="5">
        <v>1</v>
      </c>
      <c r="AB1109" s="5">
        <v>0</v>
      </c>
    </row>
    <row r="1110" spans="1:28" x14ac:dyDescent="0.2">
      <c r="A1110" s="5">
        <v>50</v>
      </c>
      <c r="B1110" s="5">
        <v>0</v>
      </c>
      <c r="C1110" s="5">
        <v>0</v>
      </c>
      <c r="D1110" s="5">
        <v>1</v>
      </c>
      <c r="E1110" s="5">
        <v>214</v>
      </c>
      <c r="F1110" s="5">
        <f>ROUND(Source!AS1093,O1110)</f>
        <v>3667.89</v>
      </c>
      <c r="G1110" s="5" t="s">
        <v>56</v>
      </c>
      <c r="H1110" s="5" t="s">
        <v>57</v>
      </c>
      <c r="I1110" s="5"/>
      <c r="J1110" s="5"/>
      <c r="K1110" s="5">
        <v>214</v>
      </c>
      <c r="L1110" s="5">
        <v>16</v>
      </c>
      <c r="M1110" s="5">
        <v>3</v>
      </c>
      <c r="N1110" s="5" t="s">
        <v>3</v>
      </c>
      <c r="O1110" s="5">
        <v>2</v>
      </c>
      <c r="P1110" s="5">
        <f>ROUND(Source!EK1093,O1110)</f>
        <v>60865.919999999998</v>
      </c>
      <c r="Q1110" s="5"/>
      <c r="R1110" s="5"/>
      <c r="S1110" s="5"/>
      <c r="T1110" s="5"/>
      <c r="U1110" s="5"/>
      <c r="V1110" s="5"/>
      <c r="W1110" s="5">
        <v>3667.89</v>
      </c>
      <c r="X1110" s="5">
        <v>1</v>
      </c>
      <c r="Y1110" s="5">
        <v>3667.89</v>
      </c>
      <c r="Z1110" s="5">
        <v>60865.919999999998</v>
      </c>
      <c r="AA1110" s="5">
        <v>1</v>
      </c>
      <c r="AB1110" s="5">
        <v>60865.919999999998</v>
      </c>
    </row>
    <row r="1111" spans="1:28" x14ac:dyDescent="0.2">
      <c r="A1111" s="5">
        <v>50</v>
      </c>
      <c r="B1111" s="5">
        <v>0</v>
      </c>
      <c r="C1111" s="5">
        <v>0</v>
      </c>
      <c r="D1111" s="5">
        <v>1</v>
      </c>
      <c r="E1111" s="5">
        <v>215</v>
      </c>
      <c r="F1111" s="5">
        <f>ROUND(Source!AT1093,O1111)</f>
        <v>0</v>
      </c>
      <c r="G1111" s="5" t="s">
        <v>58</v>
      </c>
      <c r="H1111" s="5" t="s">
        <v>59</v>
      </c>
      <c r="I1111" s="5"/>
      <c r="J1111" s="5"/>
      <c r="K1111" s="5">
        <v>215</v>
      </c>
      <c r="L1111" s="5">
        <v>17</v>
      </c>
      <c r="M1111" s="5">
        <v>3</v>
      </c>
      <c r="N1111" s="5" t="s">
        <v>3</v>
      </c>
      <c r="O1111" s="5">
        <v>2</v>
      </c>
      <c r="P1111" s="5">
        <f>ROUND(Source!EL1093,O1111)</f>
        <v>0</v>
      </c>
      <c r="Q1111" s="5"/>
      <c r="R1111" s="5"/>
      <c r="S1111" s="5"/>
      <c r="T1111" s="5"/>
      <c r="U1111" s="5"/>
      <c r="V1111" s="5"/>
      <c r="W1111" s="5">
        <v>0</v>
      </c>
      <c r="X1111" s="5">
        <v>1</v>
      </c>
      <c r="Y1111" s="5">
        <v>0</v>
      </c>
      <c r="Z1111" s="5">
        <v>0</v>
      </c>
      <c r="AA1111" s="5">
        <v>1</v>
      </c>
      <c r="AB1111" s="5">
        <v>0</v>
      </c>
    </row>
    <row r="1112" spans="1:28" x14ac:dyDescent="0.2">
      <c r="A1112" s="5">
        <v>50</v>
      </c>
      <c r="B1112" s="5">
        <v>0</v>
      </c>
      <c r="C1112" s="5">
        <v>0</v>
      </c>
      <c r="D1112" s="5">
        <v>1</v>
      </c>
      <c r="E1112" s="5">
        <v>217</v>
      </c>
      <c r="F1112" s="5">
        <f>ROUND(Source!AU1093,O1112)</f>
        <v>0</v>
      </c>
      <c r="G1112" s="5" t="s">
        <v>60</v>
      </c>
      <c r="H1112" s="5" t="s">
        <v>61</v>
      </c>
      <c r="I1112" s="5"/>
      <c r="J1112" s="5"/>
      <c r="K1112" s="5">
        <v>217</v>
      </c>
      <c r="L1112" s="5">
        <v>18</v>
      </c>
      <c r="M1112" s="5">
        <v>3</v>
      </c>
      <c r="N1112" s="5" t="s">
        <v>3</v>
      </c>
      <c r="O1112" s="5">
        <v>2</v>
      </c>
      <c r="P1112" s="5">
        <f>ROUND(Source!EM1093,O1112)</f>
        <v>0</v>
      </c>
      <c r="Q1112" s="5"/>
      <c r="R1112" s="5"/>
      <c r="S1112" s="5"/>
      <c r="T1112" s="5"/>
      <c r="U1112" s="5"/>
      <c r="V1112" s="5"/>
      <c r="W1112" s="5">
        <v>0</v>
      </c>
      <c r="X1112" s="5">
        <v>1</v>
      </c>
      <c r="Y1112" s="5">
        <v>0</v>
      </c>
      <c r="Z1112" s="5">
        <v>0</v>
      </c>
      <c r="AA1112" s="5">
        <v>1</v>
      </c>
      <c r="AB1112" s="5">
        <v>0</v>
      </c>
    </row>
    <row r="1113" spans="1:28" x14ac:dyDescent="0.2">
      <c r="A1113" s="5">
        <v>50</v>
      </c>
      <c r="B1113" s="5">
        <v>0</v>
      </c>
      <c r="C1113" s="5">
        <v>0</v>
      </c>
      <c r="D1113" s="5">
        <v>1</v>
      </c>
      <c r="E1113" s="5">
        <v>230</v>
      </c>
      <c r="F1113" s="5">
        <f>ROUND(Source!BA1093,O1113)</f>
        <v>0</v>
      </c>
      <c r="G1113" s="5" t="s">
        <v>62</v>
      </c>
      <c r="H1113" s="5" t="s">
        <v>63</v>
      </c>
      <c r="I1113" s="5"/>
      <c r="J1113" s="5"/>
      <c r="K1113" s="5">
        <v>230</v>
      </c>
      <c r="L1113" s="5">
        <v>19</v>
      </c>
      <c r="M1113" s="5">
        <v>3</v>
      </c>
      <c r="N1113" s="5" t="s">
        <v>3</v>
      </c>
      <c r="O1113" s="5">
        <v>2</v>
      </c>
      <c r="P1113" s="5">
        <f>ROUND(Source!ES1093,O1113)</f>
        <v>0</v>
      </c>
      <c r="Q1113" s="5"/>
      <c r="R1113" s="5"/>
      <c r="S1113" s="5"/>
      <c r="T1113" s="5"/>
      <c r="U1113" s="5"/>
      <c r="V1113" s="5"/>
      <c r="W1113" s="5">
        <v>0</v>
      </c>
      <c r="X1113" s="5">
        <v>1</v>
      </c>
      <c r="Y1113" s="5">
        <v>0</v>
      </c>
      <c r="Z1113" s="5">
        <v>0</v>
      </c>
      <c r="AA1113" s="5">
        <v>1</v>
      </c>
      <c r="AB1113" s="5">
        <v>0</v>
      </c>
    </row>
    <row r="1114" spans="1:28" x14ac:dyDescent="0.2">
      <c r="A1114" s="5">
        <v>50</v>
      </c>
      <c r="B1114" s="5">
        <v>0</v>
      </c>
      <c r="C1114" s="5">
        <v>0</v>
      </c>
      <c r="D1114" s="5">
        <v>1</v>
      </c>
      <c r="E1114" s="5">
        <v>206</v>
      </c>
      <c r="F1114" s="5">
        <f>ROUND(Source!T1093,O1114)</f>
        <v>0</v>
      </c>
      <c r="G1114" s="5" t="s">
        <v>64</v>
      </c>
      <c r="H1114" s="5" t="s">
        <v>65</v>
      </c>
      <c r="I1114" s="5"/>
      <c r="J1114" s="5"/>
      <c r="K1114" s="5">
        <v>206</v>
      </c>
      <c r="L1114" s="5">
        <v>20</v>
      </c>
      <c r="M1114" s="5">
        <v>3</v>
      </c>
      <c r="N1114" s="5" t="s">
        <v>3</v>
      </c>
      <c r="O1114" s="5">
        <v>2</v>
      </c>
      <c r="P1114" s="5">
        <f>ROUND(Source!DL1093,O1114)</f>
        <v>0</v>
      </c>
      <c r="Q1114" s="5"/>
      <c r="R1114" s="5"/>
      <c r="S1114" s="5"/>
      <c r="T1114" s="5"/>
      <c r="U1114" s="5"/>
      <c r="V1114" s="5"/>
      <c r="W1114" s="5">
        <v>0</v>
      </c>
      <c r="X1114" s="5">
        <v>1</v>
      </c>
      <c r="Y1114" s="5">
        <v>0</v>
      </c>
      <c r="Z1114" s="5">
        <v>0</v>
      </c>
      <c r="AA1114" s="5">
        <v>1</v>
      </c>
      <c r="AB1114" s="5">
        <v>0</v>
      </c>
    </row>
    <row r="1115" spans="1:28" x14ac:dyDescent="0.2">
      <c r="A1115" s="5">
        <v>50</v>
      </c>
      <c r="B1115" s="5">
        <v>0</v>
      </c>
      <c r="C1115" s="5">
        <v>0</v>
      </c>
      <c r="D1115" s="5">
        <v>1</v>
      </c>
      <c r="E1115" s="5">
        <v>207</v>
      </c>
      <c r="F1115" s="5">
        <f>Source!U1093</f>
        <v>49.635725000000008</v>
      </c>
      <c r="G1115" s="5" t="s">
        <v>66</v>
      </c>
      <c r="H1115" s="5" t="s">
        <v>67</v>
      </c>
      <c r="I1115" s="5"/>
      <c r="J1115" s="5"/>
      <c r="K1115" s="5">
        <v>207</v>
      </c>
      <c r="L1115" s="5">
        <v>21</v>
      </c>
      <c r="M1115" s="5">
        <v>3</v>
      </c>
      <c r="N1115" s="5" t="s">
        <v>3</v>
      </c>
      <c r="O1115" s="5">
        <v>-1</v>
      </c>
      <c r="P1115" s="5">
        <f>Source!DM1093</f>
        <v>49.635725000000008</v>
      </c>
      <c r="Q1115" s="5"/>
      <c r="R1115" s="5"/>
      <c r="S1115" s="5"/>
      <c r="T1115" s="5"/>
      <c r="U1115" s="5"/>
      <c r="V1115" s="5"/>
      <c r="W1115" s="5">
        <v>49.635725000000008</v>
      </c>
      <c r="X1115" s="5">
        <v>1</v>
      </c>
      <c r="Y1115" s="5">
        <v>49.635725000000008</v>
      </c>
      <c r="Z1115" s="5">
        <v>49.635725000000008</v>
      </c>
      <c r="AA1115" s="5">
        <v>1</v>
      </c>
      <c r="AB1115" s="5">
        <v>49.635725000000008</v>
      </c>
    </row>
    <row r="1116" spans="1:28" x14ac:dyDescent="0.2">
      <c r="A1116" s="5">
        <v>50</v>
      </c>
      <c r="B1116" s="5">
        <v>0</v>
      </c>
      <c r="C1116" s="5">
        <v>0</v>
      </c>
      <c r="D1116" s="5">
        <v>1</v>
      </c>
      <c r="E1116" s="5">
        <v>208</v>
      </c>
      <c r="F1116" s="5">
        <f>Source!V1093</f>
        <v>0</v>
      </c>
      <c r="G1116" s="5" t="s">
        <v>68</v>
      </c>
      <c r="H1116" s="5" t="s">
        <v>69</v>
      </c>
      <c r="I1116" s="5"/>
      <c r="J1116" s="5"/>
      <c r="K1116" s="5">
        <v>208</v>
      </c>
      <c r="L1116" s="5">
        <v>22</v>
      </c>
      <c r="M1116" s="5">
        <v>3</v>
      </c>
      <c r="N1116" s="5" t="s">
        <v>3</v>
      </c>
      <c r="O1116" s="5">
        <v>-1</v>
      </c>
      <c r="P1116" s="5">
        <f>Source!DN1093</f>
        <v>0</v>
      </c>
      <c r="Q1116" s="5"/>
      <c r="R1116" s="5"/>
      <c r="S1116" s="5"/>
      <c r="T1116" s="5"/>
      <c r="U1116" s="5"/>
      <c r="V1116" s="5"/>
      <c r="W1116" s="5">
        <v>0</v>
      </c>
      <c r="X1116" s="5">
        <v>1</v>
      </c>
      <c r="Y1116" s="5">
        <v>0</v>
      </c>
      <c r="Z1116" s="5">
        <v>0</v>
      </c>
      <c r="AA1116" s="5">
        <v>1</v>
      </c>
      <c r="AB1116" s="5">
        <v>0</v>
      </c>
    </row>
    <row r="1117" spans="1:28" x14ac:dyDescent="0.2">
      <c r="A1117" s="5">
        <v>50</v>
      </c>
      <c r="B1117" s="5">
        <v>0</v>
      </c>
      <c r="C1117" s="5">
        <v>0</v>
      </c>
      <c r="D1117" s="5">
        <v>1</v>
      </c>
      <c r="E1117" s="5">
        <v>209</v>
      </c>
      <c r="F1117" s="5">
        <f>ROUND(Source!W1093,O1117)</f>
        <v>0</v>
      </c>
      <c r="G1117" s="5" t="s">
        <v>70</v>
      </c>
      <c r="H1117" s="5" t="s">
        <v>71</v>
      </c>
      <c r="I1117" s="5"/>
      <c r="J1117" s="5"/>
      <c r="K1117" s="5">
        <v>209</v>
      </c>
      <c r="L1117" s="5">
        <v>23</v>
      </c>
      <c r="M1117" s="5">
        <v>3</v>
      </c>
      <c r="N1117" s="5" t="s">
        <v>3</v>
      </c>
      <c r="O1117" s="5">
        <v>2</v>
      </c>
      <c r="P1117" s="5">
        <f>ROUND(Source!DO1093,O1117)</f>
        <v>0</v>
      </c>
      <c r="Q1117" s="5"/>
      <c r="R1117" s="5"/>
      <c r="S1117" s="5"/>
      <c r="T1117" s="5"/>
      <c r="U1117" s="5"/>
      <c r="V1117" s="5"/>
      <c r="W1117" s="5">
        <v>0</v>
      </c>
      <c r="X1117" s="5">
        <v>1</v>
      </c>
      <c r="Y1117" s="5">
        <v>0</v>
      </c>
      <c r="Z1117" s="5">
        <v>0</v>
      </c>
      <c r="AA1117" s="5">
        <v>1</v>
      </c>
      <c r="AB1117" s="5">
        <v>0</v>
      </c>
    </row>
    <row r="1118" spans="1:28" x14ac:dyDescent="0.2">
      <c r="A1118" s="5">
        <v>50</v>
      </c>
      <c r="B1118" s="5">
        <v>0</v>
      </c>
      <c r="C1118" s="5">
        <v>0</v>
      </c>
      <c r="D1118" s="5">
        <v>1</v>
      </c>
      <c r="E1118" s="5">
        <v>233</v>
      </c>
      <c r="F1118" s="5">
        <f>ROUND(Source!BD1093,O1118)</f>
        <v>0</v>
      </c>
      <c r="G1118" s="5" t="s">
        <v>72</v>
      </c>
      <c r="H1118" s="5" t="s">
        <v>73</v>
      </c>
      <c r="I1118" s="5"/>
      <c r="J1118" s="5"/>
      <c r="K1118" s="5">
        <v>233</v>
      </c>
      <c r="L1118" s="5">
        <v>24</v>
      </c>
      <c r="M1118" s="5">
        <v>3</v>
      </c>
      <c r="N1118" s="5" t="s">
        <v>3</v>
      </c>
      <c r="O1118" s="5">
        <v>2</v>
      </c>
      <c r="P1118" s="5">
        <f>ROUND(Source!EV1093,O1118)</f>
        <v>0</v>
      </c>
      <c r="Q1118" s="5"/>
      <c r="R1118" s="5"/>
      <c r="S1118" s="5"/>
      <c r="T1118" s="5"/>
      <c r="U1118" s="5"/>
      <c r="V1118" s="5"/>
      <c r="W1118" s="5">
        <v>0</v>
      </c>
      <c r="X1118" s="5">
        <v>1</v>
      </c>
      <c r="Y1118" s="5">
        <v>0</v>
      </c>
      <c r="Z1118" s="5">
        <v>0</v>
      </c>
      <c r="AA1118" s="5">
        <v>1</v>
      </c>
      <c r="AB1118" s="5">
        <v>0</v>
      </c>
    </row>
    <row r="1119" spans="1:28" x14ac:dyDescent="0.2">
      <c r="A1119" s="5">
        <v>50</v>
      </c>
      <c r="B1119" s="5">
        <v>0</v>
      </c>
      <c r="C1119" s="5">
        <v>0</v>
      </c>
      <c r="D1119" s="5">
        <v>1</v>
      </c>
      <c r="E1119" s="5">
        <v>210</v>
      </c>
      <c r="F1119" s="5">
        <f>ROUND(Source!X1093,O1119)</f>
        <v>677.12</v>
      </c>
      <c r="G1119" s="5" t="s">
        <v>74</v>
      </c>
      <c r="H1119" s="5" t="s">
        <v>75</v>
      </c>
      <c r="I1119" s="5"/>
      <c r="J1119" s="5"/>
      <c r="K1119" s="5">
        <v>210</v>
      </c>
      <c r="L1119" s="5">
        <v>25</v>
      </c>
      <c r="M1119" s="5">
        <v>3</v>
      </c>
      <c r="N1119" s="5" t="s">
        <v>3</v>
      </c>
      <c r="O1119" s="5">
        <v>2</v>
      </c>
      <c r="P1119" s="5">
        <f>ROUND(Source!DP1093,O1119)</f>
        <v>16091.11</v>
      </c>
      <c r="Q1119" s="5"/>
      <c r="R1119" s="5"/>
      <c r="S1119" s="5"/>
      <c r="T1119" s="5"/>
      <c r="U1119" s="5"/>
      <c r="V1119" s="5"/>
      <c r="W1119" s="5">
        <v>677.12</v>
      </c>
      <c r="X1119" s="5">
        <v>1</v>
      </c>
      <c r="Y1119" s="5">
        <v>677.12</v>
      </c>
      <c r="Z1119" s="5">
        <v>16091.11</v>
      </c>
      <c r="AA1119" s="5">
        <v>1</v>
      </c>
      <c r="AB1119" s="5">
        <v>16091.11</v>
      </c>
    </row>
    <row r="1120" spans="1:28" x14ac:dyDescent="0.2">
      <c r="A1120" s="5">
        <v>50</v>
      </c>
      <c r="B1120" s="5">
        <v>0</v>
      </c>
      <c r="C1120" s="5">
        <v>0</v>
      </c>
      <c r="D1120" s="5">
        <v>1</v>
      </c>
      <c r="E1120" s="5">
        <v>211</v>
      </c>
      <c r="F1120" s="5">
        <f>ROUND(Source!Y1093,O1120)</f>
        <v>460.13</v>
      </c>
      <c r="G1120" s="5" t="s">
        <v>76</v>
      </c>
      <c r="H1120" s="5" t="s">
        <v>77</v>
      </c>
      <c r="I1120" s="5"/>
      <c r="J1120" s="5"/>
      <c r="K1120" s="5">
        <v>211</v>
      </c>
      <c r="L1120" s="5">
        <v>26</v>
      </c>
      <c r="M1120" s="5">
        <v>3</v>
      </c>
      <c r="N1120" s="5" t="s">
        <v>3</v>
      </c>
      <c r="O1120" s="5">
        <v>2</v>
      </c>
      <c r="P1120" s="5">
        <f>ROUND(Source!DQ1093,O1120)</f>
        <v>7434.78</v>
      </c>
      <c r="Q1120" s="5"/>
      <c r="R1120" s="5"/>
      <c r="S1120" s="5"/>
      <c r="T1120" s="5"/>
      <c r="U1120" s="5"/>
      <c r="V1120" s="5"/>
      <c r="W1120" s="5">
        <v>460.13</v>
      </c>
      <c r="X1120" s="5">
        <v>1</v>
      </c>
      <c r="Y1120" s="5">
        <v>460.13</v>
      </c>
      <c r="Z1120" s="5">
        <v>7434.78</v>
      </c>
      <c r="AA1120" s="5">
        <v>1</v>
      </c>
      <c r="AB1120" s="5">
        <v>7434.78</v>
      </c>
    </row>
    <row r="1121" spans="1:255" x14ac:dyDescent="0.2">
      <c r="A1121" s="5">
        <v>50</v>
      </c>
      <c r="B1121" s="5">
        <v>0</v>
      </c>
      <c r="C1121" s="5">
        <v>0</v>
      </c>
      <c r="D1121" s="5">
        <v>1</v>
      </c>
      <c r="E1121" s="5">
        <v>224</v>
      </c>
      <c r="F1121" s="5">
        <f>ROUND(Source!AR1093,O1121)</f>
        <v>3667.89</v>
      </c>
      <c r="G1121" s="5" t="s">
        <v>78</v>
      </c>
      <c r="H1121" s="5" t="s">
        <v>79</v>
      </c>
      <c r="I1121" s="5"/>
      <c r="J1121" s="5"/>
      <c r="K1121" s="5">
        <v>224</v>
      </c>
      <c r="L1121" s="5">
        <v>27</v>
      </c>
      <c r="M1121" s="5">
        <v>3</v>
      </c>
      <c r="N1121" s="5" t="s">
        <v>3</v>
      </c>
      <c r="O1121" s="5">
        <v>2</v>
      </c>
      <c r="P1121" s="5">
        <f>ROUND(Source!EJ1093,O1121)</f>
        <v>60865.919999999998</v>
      </c>
      <c r="Q1121" s="5"/>
      <c r="R1121" s="5"/>
      <c r="S1121" s="5"/>
      <c r="T1121" s="5"/>
      <c r="U1121" s="5"/>
      <c r="V1121" s="5"/>
      <c r="W1121" s="5">
        <v>3667.89</v>
      </c>
      <c r="X1121" s="5">
        <v>1</v>
      </c>
      <c r="Y1121" s="5">
        <v>3667.89</v>
      </c>
      <c r="Z1121" s="5">
        <v>60865.919999999998</v>
      </c>
      <c r="AA1121" s="5">
        <v>1</v>
      </c>
      <c r="AB1121" s="5">
        <v>60865.919999999998</v>
      </c>
    </row>
    <row r="1123" spans="1:255" x14ac:dyDescent="0.2">
      <c r="A1123" s="1">
        <v>4</v>
      </c>
      <c r="B1123" s="1">
        <v>1</v>
      </c>
      <c r="C1123" s="1"/>
      <c r="D1123" s="1">
        <f>ROW(A1156)</f>
        <v>1156</v>
      </c>
      <c r="E1123" s="1"/>
      <c r="F1123" s="1" t="s">
        <v>16</v>
      </c>
      <c r="G1123" s="1" t="s">
        <v>909</v>
      </c>
      <c r="H1123" s="1" t="s">
        <v>3</v>
      </c>
      <c r="I1123" s="1">
        <v>0</v>
      </c>
      <c r="J1123" s="1"/>
      <c r="K1123" s="1">
        <v>-1</v>
      </c>
      <c r="L1123" s="1"/>
      <c r="M1123" s="1" t="s">
        <v>3</v>
      </c>
      <c r="N1123" s="1"/>
      <c r="O1123" s="1"/>
      <c r="P1123" s="1"/>
      <c r="Q1123" s="1"/>
      <c r="R1123" s="1"/>
      <c r="S1123" s="1">
        <v>0</v>
      </c>
      <c r="T1123" s="1">
        <v>0</v>
      </c>
      <c r="U1123" s="1" t="s">
        <v>3</v>
      </c>
      <c r="V1123" s="1">
        <v>0</v>
      </c>
      <c r="W1123" s="1"/>
      <c r="X1123" s="1"/>
      <c r="Y1123" s="1"/>
      <c r="Z1123" s="1"/>
      <c r="AA1123" s="1"/>
      <c r="AB1123" s="1" t="s">
        <v>3</v>
      </c>
      <c r="AC1123" s="1" t="s">
        <v>3</v>
      </c>
      <c r="AD1123" s="1" t="s">
        <v>3</v>
      </c>
      <c r="AE1123" s="1" t="s">
        <v>3</v>
      </c>
      <c r="AF1123" s="1" t="s">
        <v>3</v>
      </c>
      <c r="AG1123" s="1" t="s">
        <v>3</v>
      </c>
      <c r="AH1123" s="1"/>
      <c r="AI1123" s="1"/>
      <c r="AJ1123" s="1"/>
      <c r="AK1123" s="1"/>
      <c r="AL1123" s="1"/>
      <c r="AM1123" s="1"/>
      <c r="AN1123" s="1"/>
      <c r="AO1123" s="1"/>
      <c r="AP1123" s="1" t="s">
        <v>3</v>
      </c>
      <c r="AQ1123" s="1" t="s">
        <v>3</v>
      </c>
      <c r="AR1123" s="1" t="s">
        <v>3</v>
      </c>
      <c r="AS1123" s="1"/>
      <c r="AT1123" s="1"/>
      <c r="AU1123" s="1"/>
      <c r="AV1123" s="1"/>
      <c r="AW1123" s="1"/>
      <c r="AX1123" s="1"/>
      <c r="AY1123" s="1"/>
      <c r="AZ1123" s="1" t="s">
        <v>3</v>
      </c>
      <c r="BA1123" s="1"/>
      <c r="BB1123" s="1" t="s">
        <v>3</v>
      </c>
      <c r="BC1123" s="1" t="s">
        <v>3</v>
      </c>
      <c r="BD1123" s="1" t="s">
        <v>3</v>
      </c>
      <c r="BE1123" s="1" t="s">
        <v>3</v>
      </c>
      <c r="BF1123" s="1" t="s">
        <v>3</v>
      </c>
      <c r="BG1123" s="1" t="s">
        <v>3</v>
      </c>
      <c r="BH1123" s="1" t="s">
        <v>3</v>
      </c>
      <c r="BI1123" s="1" t="s">
        <v>3</v>
      </c>
      <c r="BJ1123" s="1" t="s">
        <v>3</v>
      </c>
      <c r="BK1123" s="1" t="s">
        <v>3</v>
      </c>
      <c r="BL1123" s="1" t="s">
        <v>3</v>
      </c>
      <c r="BM1123" s="1" t="s">
        <v>3</v>
      </c>
      <c r="BN1123" s="1" t="s">
        <v>3</v>
      </c>
      <c r="BO1123" s="1" t="s">
        <v>3</v>
      </c>
      <c r="BP1123" s="1" t="s">
        <v>3</v>
      </c>
      <c r="BQ1123" s="1"/>
      <c r="BR1123" s="1"/>
      <c r="BS1123" s="1"/>
      <c r="BT1123" s="1"/>
      <c r="BU1123" s="1"/>
      <c r="BV1123" s="1"/>
      <c r="BW1123" s="1"/>
      <c r="BX1123" s="1">
        <v>0</v>
      </c>
      <c r="BY1123" s="1"/>
      <c r="BZ1123" s="1"/>
      <c r="CA1123" s="1"/>
      <c r="CB1123" s="1"/>
      <c r="CC1123" s="1"/>
      <c r="CD1123" s="1"/>
      <c r="CE1123" s="1"/>
      <c r="CF1123" s="1"/>
      <c r="CG1123" s="1"/>
      <c r="CH1123" s="1"/>
      <c r="CI1123" s="1"/>
      <c r="CJ1123" s="1">
        <v>0</v>
      </c>
    </row>
    <row r="1125" spans="1:255" x14ac:dyDescent="0.2">
      <c r="A1125" s="3">
        <v>52</v>
      </c>
      <c r="B1125" s="3">
        <f t="shared" ref="B1125:G1125" si="951">B1156</f>
        <v>1</v>
      </c>
      <c r="C1125" s="3">
        <f t="shared" si="951"/>
        <v>4</v>
      </c>
      <c r="D1125" s="3">
        <f t="shared" si="951"/>
        <v>1123</v>
      </c>
      <c r="E1125" s="3">
        <f t="shared" si="951"/>
        <v>0</v>
      </c>
      <c r="F1125" s="3" t="str">
        <f t="shared" si="951"/>
        <v>Новый раздел</v>
      </c>
      <c r="G1125" s="3" t="str">
        <f t="shared" si="951"/>
        <v>Внутренние сети  К1</v>
      </c>
      <c r="H1125" s="3"/>
      <c r="I1125" s="3"/>
      <c r="J1125" s="3"/>
      <c r="K1125" s="3"/>
      <c r="L1125" s="3"/>
      <c r="M1125" s="3"/>
      <c r="N1125" s="3"/>
      <c r="O1125" s="3">
        <f t="shared" ref="O1125:AT1125" si="952">O1156</f>
        <v>572.46</v>
      </c>
      <c r="P1125" s="3">
        <f t="shared" si="952"/>
        <v>525.21</v>
      </c>
      <c r="Q1125" s="3">
        <f t="shared" si="952"/>
        <v>0.85</v>
      </c>
      <c r="R1125" s="3">
        <f t="shared" si="952"/>
        <v>0.21</v>
      </c>
      <c r="S1125" s="3">
        <f t="shared" si="952"/>
        <v>46.4</v>
      </c>
      <c r="T1125" s="3">
        <f t="shared" si="952"/>
        <v>0</v>
      </c>
      <c r="U1125" s="3">
        <f t="shared" si="952"/>
        <v>3.6247999999999996</v>
      </c>
      <c r="V1125" s="3">
        <f t="shared" si="952"/>
        <v>0</v>
      </c>
      <c r="W1125" s="3">
        <f t="shared" si="952"/>
        <v>0</v>
      </c>
      <c r="X1125" s="3">
        <f t="shared" si="952"/>
        <v>51.04</v>
      </c>
      <c r="Y1125" s="3">
        <f t="shared" si="952"/>
        <v>34.33</v>
      </c>
      <c r="Z1125" s="3">
        <f t="shared" si="952"/>
        <v>0</v>
      </c>
      <c r="AA1125" s="3">
        <f t="shared" si="952"/>
        <v>0</v>
      </c>
      <c r="AB1125" s="3">
        <f t="shared" si="952"/>
        <v>572.46</v>
      </c>
      <c r="AC1125" s="3">
        <f t="shared" si="952"/>
        <v>525.21</v>
      </c>
      <c r="AD1125" s="3">
        <f t="shared" si="952"/>
        <v>0.85</v>
      </c>
      <c r="AE1125" s="3">
        <f t="shared" si="952"/>
        <v>0.21</v>
      </c>
      <c r="AF1125" s="3">
        <f t="shared" si="952"/>
        <v>46.4</v>
      </c>
      <c r="AG1125" s="3">
        <f t="shared" si="952"/>
        <v>0</v>
      </c>
      <c r="AH1125" s="3">
        <f t="shared" si="952"/>
        <v>3.6247999999999996</v>
      </c>
      <c r="AI1125" s="3">
        <f t="shared" si="952"/>
        <v>0</v>
      </c>
      <c r="AJ1125" s="3">
        <f t="shared" si="952"/>
        <v>0</v>
      </c>
      <c r="AK1125" s="3">
        <f t="shared" si="952"/>
        <v>51.04</v>
      </c>
      <c r="AL1125" s="3">
        <f t="shared" si="952"/>
        <v>34.33</v>
      </c>
      <c r="AM1125" s="3">
        <f t="shared" si="952"/>
        <v>0</v>
      </c>
      <c r="AN1125" s="3">
        <f t="shared" si="952"/>
        <v>0</v>
      </c>
      <c r="AO1125" s="3">
        <f t="shared" si="952"/>
        <v>0</v>
      </c>
      <c r="AP1125" s="3">
        <f t="shared" si="952"/>
        <v>0</v>
      </c>
      <c r="AQ1125" s="3">
        <f t="shared" si="952"/>
        <v>0</v>
      </c>
      <c r="AR1125" s="3">
        <f t="shared" si="952"/>
        <v>658.2</v>
      </c>
      <c r="AS1125" s="3">
        <f t="shared" si="952"/>
        <v>658.2</v>
      </c>
      <c r="AT1125" s="3">
        <f t="shared" si="952"/>
        <v>0</v>
      </c>
      <c r="AU1125" s="3">
        <f t="shared" ref="AU1125:BZ1125" si="953">AU1156</f>
        <v>0</v>
      </c>
      <c r="AV1125" s="3">
        <f t="shared" si="953"/>
        <v>525.21</v>
      </c>
      <c r="AW1125" s="3">
        <f t="shared" si="953"/>
        <v>525.21</v>
      </c>
      <c r="AX1125" s="3">
        <f t="shared" si="953"/>
        <v>0</v>
      </c>
      <c r="AY1125" s="3">
        <f t="shared" si="953"/>
        <v>525.21</v>
      </c>
      <c r="AZ1125" s="3">
        <f t="shared" si="953"/>
        <v>0</v>
      </c>
      <c r="BA1125" s="3">
        <f t="shared" si="953"/>
        <v>0</v>
      </c>
      <c r="BB1125" s="3">
        <f t="shared" si="953"/>
        <v>0</v>
      </c>
      <c r="BC1125" s="3">
        <f t="shared" si="953"/>
        <v>0</v>
      </c>
      <c r="BD1125" s="3">
        <f t="shared" si="953"/>
        <v>0</v>
      </c>
      <c r="BE1125" s="3">
        <f t="shared" si="953"/>
        <v>0</v>
      </c>
      <c r="BF1125" s="3">
        <f t="shared" si="953"/>
        <v>0</v>
      </c>
      <c r="BG1125" s="3">
        <f t="shared" si="953"/>
        <v>0</v>
      </c>
      <c r="BH1125" s="3">
        <f t="shared" si="953"/>
        <v>0</v>
      </c>
      <c r="BI1125" s="3">
        <f t="shared" si="953"/>
        <v>0</v>
      </c>
      <c r="BJ1125" s="3">
        <f t="shared" si="953"/>
        <v>0</v>
      </c>
      <c r="BK1125" s="3">
        <f t="shared" si="953"/>
        <v>0</v>
      </c>
      <c r="BL1125" s="3">
        <f t="shared" si="953"/>
        <v>0</v>
      </c>
      <c r="BM1125" s="3">
        <f t="shared" si="953"/>
        <v>0</v>
      </c>
      <c r="BN1125" s="3">
        <f t="shared" si="953"/>
        <v>0</v>
      </c>
      <c r="BO1125" s="3">
        <f t="shared" si="953"/>
        <v>0</v>
      </c>
      <c r="BP1125" s="3">
        <f t="shared" si="953"/>
        <v>0</v>
      </c>
      <c r="BQ1125" s="3">
        <f t="shared" si="953"/>
        <v>0</v>
      </c>
      <c r="BR1125" s="3">
        <f t="shared" si="953"/>
        <v>0</v>
      </c>
      <c r="BS1125" s="3">
        <f t="shared" si="953"/>
        <v>0</v>
      </c>
      <c r="BT1125" s="3">
        <f t="shared" si="953"/>
        <v>0</v>
      </c>
      <c r="BU1125" s="3">
        <f t="shared" si="953"/>
        <v>0</v>
      </c>
      <c r="BV1125" s="3">
        <f t="shared" si="953"/>
        <v>0</v>
      </c>
      <c r="BW1125" s="3">
        <f t="shared" si="953"/>
        <v>0</v>
      </c>
      <c r="BX1125" s="3">
        <f t="shared" si="953"/>
        <v>0</v>
      </c>
      <c r="BY1125" s="3">
        <f t="shared" si="953"/>
        <v>0</v>
      </c>
      <c r="BZ1125" s="3">
        <f t="shared" si="953"/>
        <v>0</v>
      </c>
      <c r="CA1125" s="3">
        <f t="shared" ref="CA1125:DF1125" si="954">CA1156</f>
        <v>658.2</v>
      </c>
      <c r="CB1125" s="3">
        <f t="shared" si="954"/>
        <v>658.2</v>
      </c>
      <c r="CC1125" s="3">
        <f t="shared" si="954"/>
        <v>0</v>
      </c>
      <c r="CD1125" s="3">
        <f t="shared" si="954"/>
        <v>0</v>
      </c>
      <c r="CE1125" s="3">
        <f t="shared" si="954"/>
        <v>525.21</v>
      </c>
      <c r="CF1125" s="3">
        <f t="shared" si="954"/>
        <v>525.21</v>
      </c>
      <c r="CG1125" s="3">
        <f t="shared" si="954"/>
        <v>0</v>
      </c>
      <c r="CH1125" s="3">
        <f t="shared" si="954"/>
        <v>525.21</v>
      </c>
      <c r="CI1125" s="3">
        <f t="shared" si="954"/>
        <v>0</v>
      </c>
      <c r="CJ1125" s="3">
        <f t="shared" si="954"/>
        <v>0</v>
      </c>
      <c r="CK1125" s="3">
        <f t="shared" si="954"/>
        <v>0</v>
      </c>
      <c r="CL1125" s="3">
        <f t="shared" si="954"/>
        <v>0</v>
      </c>
      <c r="CM1125" s="3">
        <f t="shared" si="954"/>
        <v>0</v>
      </c>
      <c r="CN1125" s="3">
        <f t="shared" si="954"/>
        <v>0</v>
      </c>
      <c r="CO1125" s="3">
        <f t="shared" si="954"/>
        <v>0</v>
      </c>
      <c r="CP1125" s="3">
        <f t="shared" si="954"/>
        <v>0</v>
      </c>
      <c r="CQ1125" s="3">
        <f t="shared" si="954"/>
        <v>0</v>
      </c>
      <c r="CR1125" s="3">
        <f t="shared" si="954"/>
        <v>0</v>
      </c>
      <c r="CS1125" s="3">
        <f t="shared" si="954"/>
        <v>0</v>
      </c>
      <c r="CT1125" s="3">
        <f t="shared" si="954"/>
        <v>0</v>
      </c>
      <c r="CU1125" s="3">
        <f t="shared" si="954"/>
        <v>0</v>
      </c>
      <c r="CV1125" s="3">
        <f t="shared" si="954"/>
        <v>0</v>
      </c>
      <c r="CW1125" s="3">
        <f t="shared" si="954"/>
        <v>0</v>
      </c>
      <c r="CX1125" s="3">
        <f t="shared" si="954"/>
        <v>0</v>
      </c>
      <c r="CY1125" s="3">
        <f t="shared" si="954"/>
        <v>0</v>
      </c>
      <c r="CZ1125" s="3">
        <f t="shared" si="954"/>
        <v>0</v>
      </c>
      <c r="DA1125" s="3">
        <f t="shared" si="954"/>
        <v>0</v>
      </c>
      <c r="DB1125" s="3">
        <f t="shared" si="954"/>
        <v>0</v>
      </c>
      <c r="DC1125" s="3">
        <f t="shared" si="954"/>
        <v>0</v>
      </c>
      <c r="DD1125" s="3">
        <f t="shared" si="954"/>
        <v>0</v>
      </c>
      <c r="DE1125" s="3">
        <f t="shared" si="954"/>
        <v>0</v>
      </c>
      <c r="DF1125" s="3">
        <f t="shared" si="954"/>
        <v>0</v>
      </c>
      <c r="DG1125" s="4">
        <f t="shared" ref="DG1125:EL1125" si="955">DG1156</f>
        <v>4342.21</v>
      </c>
      <c r="DH1125" s="4">
        <f t="shared" si="955"/>
        <v>2983.67</v>
      </c>
      <c r="DI1125" s="4">
        <f t="shared" si="955"/>
        <v>11.55</v>
      </c>
      <c r="DJ1125" s="4">
        <f t="shared" si="955"/>
        <v>6.09</v>
      </c>
      <c r="DK1125" s="4">
        <f t="shared" si="955"/>
        <v>1346.99</v>
      </c>
      <c r="DL1125" s="4">
        <f t="shared" si="955"/>
        <v>0</v>
      </c>
      <c r="DM1125" s="4">
        <f t="shared" si="955"/>
        <v>3.6247999999999996</v>
      </c>
      <c r="DN1125" s="4">
        <f t="shared" si="955"/>
        <v>0</v>
      </c>
      <c r="DO1125" s="4">
        <f t="shared" si="955"/>
        <v>0</v>
      </c>
      <c r="DP1125" s="4">
        <f t="shared" si="955"/>
        <v>1212.29</v>
      </c>
      <c r="DQ1125" s="4">
        <f t="shared" si="955"/>
        <v>552.27</v>
      </c>
      <c r="DR1125" s="4">
        <f t="shared" si="955"/>
        <v>0</v>
      </c>
      <c r="DS1125" s="4">
        <f t="shared" si="955"/>
        <v>0</v>
      </c>
      <c r="DT1125" s="4">
        <f t="shared" si="955"/>
        <v>4342.21</v>
      </c>
      <c r="DU1125" s="4">
        <f t="shared" si="955"/>
        <v>2983.67</v>
      </c>
      <c r="DV1125" s="4">
        <f t="shared" si="955"/>
        <v>11.55</v>
      </c>
      <c r="DW1125" s="4">
        <f t="shared" si="955"/>
        <v>6.09</v>
      </c>
      <c r="DX1125" s="4">
        <f t="shared" si="955"/>
        <v>1346.99</v>
      </c>
      <c r="DY1125" s="4">
        <f t="shared" si="955"/>
        <v>0</v>
      </c>
      <c r="DZ1125" s="4">
        <f t="shared" si="955"/>
        <v>3.6247999999999996</v>
      </c>
      <c r="EA1125" s="4">
        <f t="shared" si="955"/>
        <v>0</v>
      </c>
      <c r="EB1125" s="4">
        <f t="shared" si="955"/>
        <v>0</v>
      </c>
      <c r="EC1125" s="4">
        <f t="shared" si="955"/>
        <v>1212.29</v>
      </c>
      <c r="ED1125" s="4">
        <f t="shared" si="955"/>
        <v>552.27</v>
      </c>
      <c r="EE1125" s="4">
        <f t="shared" si="955"/>
        <v>0</v>
      </c>
      <c r="EF1125" s="4">
        <f t="shared" si="955"/>
        <v>0</v>
      </c>
      <c r="EG1125" s="4">
        <f t="shared" si="955"/>
        <v>0</v>
      </c>
      <c r="EH1125" s="4">
        <f t="shared" si="955"/>
        <v>0</v>
      </c>
      <c r="EI1125" s="4">
        <f t="shared" si="955"/>
        <v>0</v>
      </c>
      <c r="EJ1125" s="4">
        <f t="shared" si="955"/>
        <v>6116.51</v>
      </c>
      <c r="EK1125" s="4">
        <f t="shared" si="955"/>
        <v>6116.51</v>
      </c>
      <c r="EL1125" s="4">
        <f t="shared" si="955"/>
        <v>0</v>
      </c>
      <c r="EM1125" s="4">
        <f t="shared" ref="EM1125:FR1125" si="956">EM1156</f>
        <v>0</v>
      </c>
      <c r="EN1125" s="4">
        <f t="shared" si="956"/>
        <v>2983.67</v>
      </c>
      <c r="EO1125" s="4">
        <f t="shared" si="956"/>
        <v>2983.67</v>
      </c>
      <c r="EP1125" s="4">
        <f t="shared" si="956"/>
        <v>0</v>
      </c>
      <c r="EQ1125" s="4">
        <f t="shared" si="956"/>
        <v>2983.67</v>
      </c>
      <c r="ER1125" s="4">
        <f t="shared" si="956"/>
        <v>0</v>
      </c>
      <c r="ES1125" s="4">
        <f t="shared" si="956"/>
        <v>0</v>
      </c>
      <c r="ET1125" s="4">
        <f t="shared" si="956"/>
        <v>0</v>
      </c>
      <c r="EU1125" s="4">
        <f t="shared" si="956"/>
        <v>0</v>
      </c>
      <c r="EV1125" s="4">
        <f t="shared" si="956"/>
        <v>0</v>
      </c>
      <c r="EW1125" s="4">
        <f t="shared" si="956"/>
        <v>0</v>
      </c>
      <c r="EX1125" s="4">
        <f t="shared" si="956"/>
        <v>0</v>
      </c>
      <c r="EY1125" s="4">
        <f t="shared" si="956"/>
        <v>0</v>
      </c>
      <c r="EZ1125" s="4">
        <f t="shared" si="956"/>
        <v>0</v>
      </c>
      <c r="FA1125" s="4">
        <f t="shared" si="956"/>
        <v>0</v>
      </c>
      <c r="FB1125" s="4">
        <f t="shared" si="956"/>
        <v>0</v>
      </c>
      <c r="FC1125" s="4">
        <f t="shared" si="956"/>
        <v>0</v>
      </c>
      <c r="FD1125" s="4">
        <f t="shared" si="956"/>
        <v>0</v>
      </c>
      <c r="FE1125" s="4">
        <f t="shared" si="956"/>
        <v>0</v>
      </c>
      <c r="FF1125" s="4">
        <f t="shared" si="956"/>
        <v>0</v>
      </c>
      <c r="FG1125" s="4">
        <f t="shared" si="956"/>
        <v>0</v>
      </c>
      <c r="FH1125" s="4">
        <f t="shared" si="956"/>
        <v>0</v>
      </c>
      <c r="FI1125" s="4">
        <f t="shared" si="956"/>
        <v>0</v>
      </c>
      <c r="FJ1125" s="4">
        <f t="shared" si="956"/>
        <v>0</v>
      </c>
      <c r="FK1125" s="4">
        <f t="shared" si="956"/>
        <v>0</v>
      </c>
      <c r="FL1125" s="4">
        <f t="shared" si="956"/>
        <v>0</v>
      </c>
      <c r="FM1125" s="4">
        <f t="shared" si="956"/>
        <v>0</v>
      </c>
      <c r="FN1125" s="4">
        <f t="shared" si="956"/>
        <v>0</v>
      </c>
      <c r="FO1125" s="4">
        <f t="shared" si="956"/>
        <v>0</v>
      </c>
      <c r="FP1125" s="4">
        <f t="shared" si="956"/>
        <v>0</v>
      </c>
      <c r="FQ1125" s="4">
        <f t="shared" si="956"/>
        <v>0</v>
      </c>
      <c r="FR1125" s="4">
        <f t="shared" si="956"/>
        <v>0</v>
      </c>
      <c r="FS1125" s="4">
        <f t="shared" ref="FS1125:GX1125" si="957">FS1156</f>
        <v>6116.51</v>
      </c>
      <c r="FT1125" s="4">
        <f t="shared" si="957"/>
        <v>6116.51</v>
      </c>
      <c r="FU1125" s="4">
        <f t="shared" si="957"/>
        <v>0</v>
      </c>
      <c r="FV1125" s="4">
        <f t="shared" si="957"/>
        <v>0</v>
      </c>
      <c r="FW1125" s="4">
        <f t="shared" si="957"/>
        <v>2983.67</v>
      </c>
      <c r="FX1125" s="4">
        <f t="shared" si="957"/>
        <v>2983.67</v>
      </c>
      <c r="FY1125" s="4">
        <f t="shared" si="957"/>
        <v>0</v>
      </c>
      <c r="FZ1125" s="4">
        <f t="shared" si="957"/>
        <v>2983.67</v>
      </c>
      <c r="GA1125" s="4">
        <f t="shared" si="957"/>
        <v>0</v>
      </c>
      <c r="GB1125" s="4">
        <f t="shared" si="957"/>
        <v>0</v>
      </c>
      <c r="GC1125" s="4">
        <f t="shared" si="957"/>
        <v>0</v>
      </c>
      <c r="GD1125" s="4">
        <f t="shared" si="957"/>
        <v>0</v>
      </c>
      <c r="GE1125" s="4">
        <f t="shared" si="957"/>
        <v>0</v>
      </c>
      <c r="GF1125" s="4">
        <f t="shared" si="957"/>
        <v>0</v>
      </c>
      <c r="GG1125" s="4">
        <f t="shared" si="957"/>
        <v>0</v>
      </c>
      <c r="GH1125" s="4">
        <f t="shared" si="957"/>
        <v>0</v>
      </c>
      <c r="GI1125" s="4">
        <f t="shared" si="957"/>
        <v>0</v>
      </c>
      <c r="GJ1125" s="4">
        <f t="shared" si="957"/>
        <v>0</v>
      </c>
      <c r="GK1125" s="4">
        <f t="shared" si="957"/>
        <v>0</v>
      </c>
      <c r="GL1125" s="4">
        <f t="shared" si="957"/>
        <v>0</v>
      </c>
      <c r="GM1125" s="4">
        <f t="shared" si="957"/>
        <v>0</v>
      </c>
      <c r="GN1125" s="4">
        <f t="shared" si="957"/>
        <v>0</v>
      </c>
      <c r="GO1125" s="4">
        <f t="shared" si="957"/>
        <v>0</v>
      </c>
      <c r="GP1125" s="4">
        <f t="shared" si="957"/>
        <v>0</v>
      </c>
      <c r="GQ1125" s="4">
        <f t="shared" si="957"/>
        <v>0</v>
      </c>
      <c r="GR1125" s="4">
        <f t="shared" si="957"/>
        <v>0</v>
      </c>
      <c r="GS1125" s="4">
        <f t="shared" si="957"/>
        <v>0</v>
      </c>
      <c r="GT1125" s="4">
        <f t="shared" si="957"/>
        <v>0</v>
      </c>
      <c r="GU1125" s="4">
        <f t="shared" si="957"/>
        <v>0</v>
      </c>
      <c r="GV1125" s="4">
        <f t="shared" si="957"/>
        <v>0</v>
      </c>
      <c r="GW1125" s="4">
        <f t="shared" si="957"/>
        <v>0</v>
      </c>
      <c r="GX1125" s="4">
        <f t="shared" si="957"/>
        <v>0</v>
      </c>
    </row>
    <row r="1127" spans="1:255" x14ac:dyDescent="0.2">
      <c r="A1127" s="2">
        <v>17</v>
      </c>
      <c r="B1127" s="2">
        <v>1</v>
      </c>
      <c r="C1127" s="2">
        <f>ROW(SmtRes!A965)</f>
        <v>965</v>
      </c>
      <c r="D1127" s="2">
        <f>ROW(EtalonRes!A938)</f>
        <v>938</v>
      </c>
      <c r="E1127" s="2" t="s">
        <v>202</v>
      </c>
      <c r="F1127" s="2" t="s">
        <v>910</v>
      </c>
      <c r="G1127" s="2" t="s">
        <v>911</v>
      </c>
      <c r="H1127" s="2" t="s">
        <v>455</v>
      </c>
      <c r="I1127" s="2">
        <v>0.03</v>
      </c>
      <c r="J1127" s="2">
        <v>0</v>
      </c>
      <c r="K1127" s="2">
        <v>0.03</v>
      </c>
      <c r="L1127" s="2"/>
      <c r="M1127" s="2"/>
      <c r="N1127" s="2"/>
      <c r="O1127" s="2">
        <f t="shared" ref="O1127:O1154" si="958">ROUND(CP1127,2)</f>
        <v>31.79</v>
      </c>
      <c r="P1127" s="2">
        <f t="shared" ref="P1127:P1154" si="959">ROUND((ROUND((AC1127*AW1127*I1127),2)*BC1127),2)</f>
        <v>5.68</v>
      </c>
      <c r="Q1127" s="2">
        <f>(ROUND((ROUND((((ET1127*1.25))*AV1127*I1127),2)*BB1127),2)+ROUND((ROUND(((AE1127-((EU1127*1.25)))*AV1127*I1127),2)*BS1127),2))</f>
        <v>0.32</v>
      </c>
      <c r="R1127" s="2">
        <f t="shared" ref="R1127:R1154" si="960">ROUND((ROUND((AE1127*AV1127*I1127),2)*BS1127),2)</f>
        <v>0.08</v>
      </c>
      <c r="S1127" s="2">
        <f t="shared" ref="S1127:S1154" si="961">ROUND((ROUND((AF1127*AV1127*I1127),2)*BA1127),2)</f>
        <v>25.79</v>
      </c>
      <c r="T1127" s="2">
        <f t="shared" ref="T1127:T1154" si="962">ROUND(CU1127*I1127,2)</f>
        <v>0</v>
      </c>
      <c r="U1127" s="2">
        <f t="shared" ref="U1127:U1154" si="963">CV1127*I1127</f>
        <v>2.0147999999999997</v>
      </c>
      <c r="V1127" s="2">
        <f t="shared" ref="V1127:V1154" si="964">CW1127*I1127</f>
        <v>0</v>
      </c>
      <c r="W1127" s="2">
        <f t="shared" ref="W1127:W1154" si="965">ROUND(CX1127*I1127,2)</f>
        <v>0</v>
      </c>
      <c r="X1127" s="2">
        <f t="shared" ref="X1127:X1154" si="966">ROUND(CY1127,2)</f>
        <v>28.37</v>
      </c>
      <c r="Y1127" s="2">
        <f t="shared" ref="Y1127:Y1154" si="967">ROUND(CZ1127,2)</f>
        <v>19.079999999999998</v>
      </c>
      <c r="Z1127" s="2"/>
      <c r="AA1127" s="2">
        <v>129761636</v>
      </c>
      <c r="AB1127" s="2">
        <f t="shared" ref="AB1127:AB1154" si="968">ROUND((AC1127+AD1127+AF1127),6)</f>
        <v>1059.4455</v>
      </c>
      <c r="AC1127" s="2">
        <f t="shared" ref="AC1127:AC1154" si="969">ROUND((ES1127),6)</f>
        <v>189.21</v>
      </c>
      <c r="AD1127" s="2">
        <f>ROUND(((((ET1127*1.25))-((EU1127*1.25)))+AE1127),6)</f>
        <v>10.5875</v>
      </c>
      <c r="AE1127" s="2">
        <f>ROUND(((EU1127*1.25)),6)</f>
        <v>2.5750000000000002</v>
      </c>
      <c r="AF1127" s="2">
        <f>ROUND(((EV1127*1.15)),6)</f>
        <v>859.64800000000002</v>
      </c>
      <c r="AG1127" s="2">
        <f t="shared" ref="AG1127:AG1154" si="970">ROUND((AP1127),6)</f>
        <v>0</v>
      </c>
      <c r="AH1127" s="2">
        <f>((EW1127*1.15))</f>
        <v>67.16</v>
      </c>
      <c r="AI1127" s="2">
        <f>((EX1127*1.25))</f>
        <v>0</v>
      </c>
      <c r="AJ1127" s="2">
        <f t="shared" ref="AJ1127:AJ1154" si="971">(AS1127)</f>
        <v>0</v>
      </c>
      <c r="AK1127" s="2">
        <v>945.2</v>
      </c>
      <c r="AL1127" s="2">
        <v>189.21</v>
      </c>
      <c r="AM1127" s="2">
        <v>8.4700000000000006</v>
      </c>
      <c r="AN1127" s="2">
        <v>2.06</v>
      </c>
      <c r="AO1127" s="2">
        <v>747.52</v>
      </c>
      <c r="AP1127" s="2">
        <v>0</v>
      </c>
      <c r="AQ1127" s="2">
        <v>58.4</v>
      </c>
      <c r="AR1127" s="2">
        <v>0</v>
      </c>
      <c r="AS1127" s="2">
        <v>0</v>
      </c>
      <c r="AT1127" s="2">
        <v>110</v>
      </c>
      <c r="AU1127" s="2">
        <v>74</v>
      </c>
      <c r="AV1127" s="2">
        <v>1</v>
      </c>
      <c r="AW1127" s="2">
        <v>1</v>
      </c>
      <c r="AX1127" s="2"/>
      <c r="AY1127" s="2"/>
      <c r="AZ1127" s="2">
        <v>1</v>
      </c>
      <c r="BA1127" s="2">
        <v>1</v>
      </c>
      <c r="BB1127" s="2">
        <v>1</v>
      </c>
      <c r="BC1127" s="2">
        <v>1</v>
      </c>
      <c r="BD1127" s="2" t="s">
        <v>3</v>
      </c>
      <c r="BE1127" s="2" t="s">
        <v>3</v>
      </c>
      <c r="BF1127" s="2" t="s">
        <v>3</v>
      </c>
      <c r="BG1127" s="2" t="s">
        <v>3</v>
      </c>
      <c r="BH1127" s="2">
        <v>0</v>
      </c>
      <c r="BI1127" s="2">
        <v>1</v>
      </c>
      <c r="BJ1127" s="2" t="s">
        <v>912</v>
      </c>
      <c r="BK1127" s="2"/>
      <c r="BL1127" s="2"/>
      <c r="BM1127" s="2">
        <v>1623</v>
      </c>
      <c r="BN1127" s="2">
        <v>0</v>
      </c>
      <c r="BO1127" s="2" t="s">
        <v>3</v>
      </c>
      <c r="BP1127" s="2">
        <v>0</v>
      </c>
      <c r="BQ1127" s="2">
        <v>30</v>
      </c>
      <c r="BR1127" s="2">
        <v>0</v>
      </c>
      <c r="BS1127" s="2">
        <v>1</v>
      </c>
      <c r="BT1127" s="2">
        <v>1</v>
      </c>
      <c r="BU1127" s="2">
        <v>1</v>
      </c>
      <c r="BV1127" s="2">
        <v>1</v>
      </c>
      <c r="BW1127" s="2">
        <v>1</v>
      </c>
      <c r="BX1127" s="2">
        <v>1</v>
      </c>
      <c r="BY1127" s="2" t="s">
        <v>3</v>
      </c>
      <c r="BZ1127" s="2">
        <v>110</v>
      </c>
      <c r="CA1127" s="2">
        <v>74</v>
      </c>
      <c r="CB1127" s="2" t="s">
        <v>3</v>
      </c>
      <c r="CC1127" s="2"/>
      <c r="CD1127" s="2"/>
      <c r="CE1127" s="2">
        <v>30</v>
      </c>
      <c r="CF1127" s="2">
        <v>0</v>
      </c>
      <c r="CG1127" s="2">
        <v>0</v>
      </c>
      <c r="CH1127" s="2"/>
      <c r="CI1127" s="2"/>
      <c r="CJ1127" s="2"/>
      <c r="CK1127" s="2"/>
      <c r="CL1127" s="2"/>
      <c r="CM1127" s="2">
        <v>0</v>
      </c>
      <c r="CN1127" s="2" t="s">
        <v>1559</v>
      </c>
      <c r="CO1127" s="2">
        <v>0</v>
      </c>
      <c r="CP1127" s="2">
        <f t="shared" ref="CP1127:CP1154" si="972">(P1127+Q1127+S1127)</f>
        <v>31.79</v>
      </c>
      <c r="CQ1127" s="2">
        <f t="shared" ref="CQ1127:CQ1154" si="973">ROUND((ROUND((AC1127*AW1127*1),2)*BC1127),2)</f>
        <v>189.21</v>
      </c>
      <c r="CR1127" s="2">
        <f>(ROUND((ROUND((((ET1127*1.25))*AV1127*1),2)*BB1127),2)+ROUND((ROUND(((AE1127-((EU1127*1.25)))*AV1127*1),2)*BS1127),2))</f>
        <v>10.59</v>
      </c>
      <c r="CS1127" s="2">
        <f t="shared" ref="CS1127:CS1154" si="974">ROUND((ROUND((AE1127*AV1127*1),2)*BS1127),2)</f>
        <v>2.58</v>
      </c>
      <c r="CT1127" s="2">
        <f t="shared" ref="CT1127:CT1154" si="975">ROUND((ROUND((AF1127*AV1127*1),2)*BA1127),2)</f>
        <v>859.65</v>
      </c>
      <c r="CU1127" s="2">
        <f t="shared" ref="CU1127:CU1154" si="976">AG1127</f>
        <v>0</v>
      </c>
      <c r="CV1127" s="2">
        <f t="shared" ref="CV1127:CV1154" si="977">(AH1127*AV1127)</f>
        <v>67.16</v>
      </c>
      <c r="CW1127" s="2">
        <f t="shared" ref="CW1127:CW1154" si="978">AI1127</f>
        <v>0</v>
      </c>
      <c r="CX1127" s="2">
        <f t="shared" ref="CX1127:CX1154" si="979">AJ1127</f>
        <v>0</v>
      </c>
      <c r="CY1127" s="2">
        <f>((S1127*BZ1127)/100)</f>
        <v>28.369</v>
      </c>
      <c r="CZ1127" s="2">
        <f>((S1127*CA1127)/100)</f>
        <v>19.084600000000002</v>
      </c>
      <c r="DA1127" s="2"/>
      <c r="DB1127" s="2"/>
      <c r="DC1127" s="2" t="s">
        <v>3</v>
      </c>
      <c r="DD1127" s="2" t="s">
        <v>3</v>
      </c>
      <c r="DE1127" s="2" t="s">
        <v>86</v>
      </c>
      <c r="DF1127" s="2" t="s">
        <v>86</v>
      </c>
      <c r="DG1127" s="2" t="s">
        <v>87</v>
      </c>
      <c r="DH1127" s="2" t="s">
        <v>3</v>
      </c>
      <c r="DI1127" s="2" t="s">
        <v>87</v>
      </c>
      <c r="DJ1127" s="2" t="s">
        <v>86</v>
      </c>
      <c r="DK1127" s="2" t="s">
        <v>3</v>
      </c>
      <c r="DL1127" s="2" t="s">
        <v>3</v>
      </c>
      <c r="DM1127" s="2" t="s">
        <v>3</v>
      </c>
      <c r="DN1127" s="2">
        <v>0</v>
      </c>
      <c r="DO1127" s="2">
        <v>0</v>
      </c>
      <c r="DP1127" s="2">
        <v>1</v>
      </c>
      <c r="DQ1127" s="2">
        <v>1</v>
      </c>
      <c r="DR1127" s="2"/>
      <c r="DS1127" s="2"/>
      <c r="DT1127" s="2"/>
      <c r="DU1127" s="2">
        <v>1003</v>
      </c>
      <c r="DV1127" s="2" t="s">
        <v>455</v>
      </c>
      <c r="DW1127" s="2" t="s">
        <v>455</v>
      </c>
      <c r="DX1127" s="2">
        <v>100</v>
      </c>
      <c r="DY1127" s="2"/>
      <c r="DZ1127" s="2" t="s">
        <v>3</v>
      </c>
      <c r="EA1127" s="2" t="s">
        <v>3</v>
      </c>
      <c r="EB1127" s="2" t="s">
        <v>3</v>
      </c>
      <c r="EC1127" s="2" t="s">
        <v>3</v>
      </c>
      <c r="ED1127" s="2"/>
      <c r="EE1127" s="2">
        <v>126053084</v>
      </c>
      <c r="EF1127" s="2">
        <v>30</v>
      </c>
      <c r="EG1127" s="2" t="s">
        <v>23</v>
      </c>
      <c r="EH1127" s="2">
        <v>0</v>
      </c>
      <c r="EI1127" s="2" t="s">
        <v>3</v>
      </c>
      <c r="EJ1127" s="2">
        <v>1</v>
      </c>
      <c r="EK1127" s="2">
        <v>1623</v>
      </c>
      <c r="EL1127" s="2" t="s">
        <v>824</v>
      </c>
      <c r="EM1127" s="2" t="s">
        <v>825</v>
      </c>
      <c r="EN1127" s="2"/>
      <c r="EO1127" s="2" t="s">
        <v>90</v>
      </c>
      <c r="EP1127" s="2"/>
      <c r="EQ1127" s="2">
        <v>131072</v>
      </c>
      <c r="ER1127" s="2">
        <v>945.2</v>
      </c>
      <c r="ES1127" s="2">
        <v>189.21</v>
      </c>
      <c r="ET1127" s="2">
        <v>8.4700000000000006</v>
      </c>
      <c r="EU1127" s="2">
        <v>2.06</v>
      </c>
      <c r="EV1127" s="2">
        <v>747.52</v>
      </c>
      <c r="EW1127" s="2">
        <v>58.4</v>
      </c>
      <c r="EX1127" s="2">
        <v>0</v>
      </c>
      <c r="EY1127" s="2">
        <v>0</v>
      </c>
      <c r="EZ1127" s="2"/>
      <c r="FA1127" s="2"/>
      <c r="FB1127" s="2"/>
      <c r="FC1127" s="2"/>
      <c r="FD1127" s="2"/>
      <c r="FE1127" s="2"/>
      <c r="FF1127" s="2"/>
      <c r="FG1127" s="2"/>
      <c r="FH1127" s="2"/>
      <c r="FI1127" s="2"/>
      <c r="FJ1127" s="2"/>
      <c r="FK1127" s="2"/>
      <c r="FL1127" s="2"/>
      <c r="FM1127" s="2"/>
      <c r="FN1127" s="2"/>
      <c r="FO1127" s="2"/>
      <c r="FP1127" s="2"/>
      <c r="FQ1127" s="2">
        <v>0</v>
      </c>
      <c r="FR1127" s="2">
        <f t="shared" ref="FR1127:FR1154" si="980">ROUND(IF(AND(BH1127=3,BI1127=3),P1127,0),2)</f>
        <v>0</v>
      </c>
      <c r="FS1127" s="2">
        <v>0</v>
      </c>
      <c r="FT1127" s="2"/>
      <c r="FU1127" s="2"/>
      <c r="FV1127" s="2"/>
      <c r="FW1127" s="2"/>
      <c r="FX1127" s="2">
        <v>110</v>
      </c>
      <c r="FY1127" s="2">
        <v>74</v>
      </c>
      <c r="FZ1127" s="2"/>
      <c r="GA1127" s="2" t="s">
        <v>3</v>
      </c>
      <c r="GB1127" s="2"/>
      <c r="GC1127" s="2"/>
      <c r="GD1127" s="2">
        <v>0</v>
      </c>
      <c r="GE1127" s="2"/>
      <c r="GF1127" s="2">
        <v>-1297509681</v>
      </c>
      <c r="GG1127" s="2">
        <v>2</v>
      </c>
      <c r="GH1127" s="2">
        <v>1</v>
      </c>
      <c r="GI1127" s="2">
        <v>-2</v>
      </c>
      <c r="GJ1127" s="2">
        <v>0</v>
      </c>
      <c r="GK1127" s="2">
        <f>ROUND(R1127*(R12)/100,2)</f>
        <v>0.14000000000000001</v>
      </c>
      <c r="GL1127" s="2">
        <f t="shared" ref="GL1127:GL1154" si="981">ROUND(IF(AND(BH1127=3,BI1127=3,FS1127&lt;&gt;0),P1127,0),2)</f>
        <v>0</v>
      </c>
      <c r="GM1127" s="2">
        <f t="shared" ref="GM1127:GM1154" si="982">ROUND(O1127+X1127+Y1127+GK1127,2)+GX1127</f>
        <v>79.38</v>
      </c>
      <c r="GN1127" s="2">
        <f t="shared" ref="GN1127:GN1154" si="983">IF(OR(BI1127=0,BI1127=1),ROUND(O1127+X1127+Y1127+GK1127,2),0)</f>
        <v>79.38</v>
      </c>
      <c r="GO1127" s="2">
        <f t="shared" ref="GO1127:GO1154" si="984">IF(BI1127=2,ROUND(O1127+X1127+Y1127+GK1127,2),0)</f>
        <v>0</v>
      </c>
      <c r="GP1127" s="2">
        <f t="shared" ref="GP1127:GP1154" si="985">IF(BI1127=4,ROUND(O1127+X1127+Y1127+GK1127,2)+GX1127,0)</f>
        <v>0</v>
      </c>
      <c r="GQ1127" s="2"/>
      <c r="GR1127" s="2">
        <v>0</v>
      </c>
      <c r="GS1127" s="2">
        <v>0</v>
      </c>
      <c r="GT1127" s="2">
        <v>0</v>
      </c>
      <c r="GU1127" s="2" t="s">
        <v>3</v>
      </c>
      <c r="GV1127" s="2">
        <f t="shared" ref="GV1127:GV1154" si="986">ROUND((GT1127),6)</f>
        <v>0</v>
      </c>
      <c r="GW1127" s="2">
        <v>1</v>
      </c>
      <c r="GX1127" s="2">
        <f t="shared" ref="GX1127:GX1154" si="987">ROUND(HC1127*I1127,2)</f>
        <v>0</v>
      </c>
      <c r="GY1127" s="2"/>
      <c r="GZ1127" s="2"/>
      <c r="HA1127" s="2">
        <v>0</v>
      </c>
      <c r="HB1127" s="2">
        <v>0</v>
      </c>
      <c r="HC1127" s="2">
        <f t="shared" ref="HC1127:HC1154" si="988">GV1127*GW1127</f>
        <v>0</v>
      </c>
      <c r="HD1127" s="2"/>
      <c r="HE1127" s="2" t="s">
        <v>3</v>
      </c>
      <c r="HF1127" s="2" t="s">
        <v>3</v>
      </c>
      <c r="HG1127" s="2"/>
      <c r="HH1127" s="2"/>
      <c r="HI1127" s="2"/>
      <c r="HJ1127" s="2"/>
      <c r="HK1127" s="2"/>
      <c r="HL1127" s="2"/>
      <c r="HM1127" s="2" t="s">
        <v>3</v>
      </c>
      <c r="HN1127" s="2" t="s">
        <v>3</v>
      </c>
      <c r="HO1127" s="2" t="s">
        <v>3</v>
      </c>
      <c r="HP1127" s="2" t="s">
        <v>3</v>
      </c>
      <c r="HQ1127" s="2" t="s">
        <v>3</v>
      </c>
      <c r="HR1127" s="2"/>
      <c r="HS1127" s="2"/>
      <c r="HT1127" s="2"/>
      <c r="HU1127" s="2"/>
      <c r="HV1127" s="2"/>
      <c r="HW1127" s="2"/>
      <c r="HX1127" s="2"/>
      <c r="HY1127" s="2"/>
      <c r="HZ1127" s="2"/>
      <c r="IA1127" s="2"/>
      <c r="IB1127" s="2"/>
      <c r="IC1127" s="2"/>
      <c r="ID1127" s="2"/>
      <c r="IE1127" s="2"/>
      <c r="IF1127" s="2"/>
      <c r="IG1127" s="2"/>
      <c r="IH1127" s="2"/>
      <c r="II1127" s="2"/>
      <c r="IJ1127" s="2"/>
      <c r="IK1127" s="2">
        <v>0</v>
      </c>
      <c r="IL1127" s="2"/>
      <c r="IM1127" s="2"/>
      <c r="IN1127" s="2"/>
      <c r="IO1127" s="2"/>
      <c r="IP1127" s="2"/>
      <c r="IQ1127" s="2"/>
      <c r="IR1127" s="2"/>
      <c r="IS1127" s="2"/>
      <c r="IT1127" s="2"/>
      <c r="IU1127" s="2"/>
    </row>
    <row r="1128" spans="1:255" x14ac:dyDescent="0.2">
      <c r="A1128">
        <v>17</v>
      </c>
      <c r="B1128">
        <v>1</v>
      </c>
      <c r="C1128">
        <f>ROW(SmtRes!A972)</f>
        <v>972</v>
      </c>
      <c r="D1128">
        <f>ROW(EtalonRes!A944)</f>
        <v>944</v>
      </c>
      <c r="E1128" t="s">
        <v>202</v>
      </c>
      <c r="F1128" t="s">
        <v>910</v>
      </c>
      <c r="G1128" t="s">
        <v>911</v>
      </c>
      <c r="H1128" t="s">
        <v>455</v>
      </c>
      <c r="I1128">
        <v>0.03</v>
      </c>
      <c r="J1128">
        <v>0</v>
      </c>
      <c r="K1128">
        <v>0.03</v>
      </c>
      <c r="O1128">
        <f t="shared" si="958"/>
        <v>803.41</v>
      </c>
      <c r="P1128">
        <f t="shared" si="959"/>
        <v>50.38</v>
      </c>
      <c r="Q1128">
        <f>(ROUND((ROUND((((ET1128*1.25))*AV1128*I1128),2)*BB1128),2)+ROUND((ROUND(((AE1128-((EU1128*1.25)))*AV1128*I1128),2)*BS1128),2))</f>
        <v>4.3499999999999996</v>
      </c>
      <c r="R1128">
        <f t="shared" si="960"/>
        <v>2.3199999999999998</v>
      </c>
      <c r="S1128">
        <f t="shared" si="961"/>
        <v>748.68</v>
      </c>
      <c r="T1128">
        <f t="shared" si="962"/>
        <v>0</v>
      </c>
      <c r="U1128">
        <f t="shared" si="963"/>
        <v>2.0147999999999997</v>
      </c>
      <c r="V1128">
        <f t="shared" si="964"/>
        <v>0</v>
      </c>
      <c r="W1128">
        <f t="shared" si="965"/>
        <v>0</v>
      </c>
      <c r="X1128">
        <f t="shared" si="966"/>
        <v>673.81</v>
      </c>
      <c r="Y1128">
        <f t="shared" si="967"/>
        <v>306.95999999999998</v>
      </c>
      <c r="AA1128">
        <v>129761633</v>
      </c>
      <c r="AB1128">
        <f t="shared" si="968"/>
        <v>1059.4455</v>
      </c>
      <c r="AC1128">
        <f t="shared" si="969"/>
        <v>189.21</v>
      </c>
      <c r="AD1128">
        <f>ROUND(((((ET1128*1.25))-((EU1128*1.25)))+AE1128),6)</f>
        <v>10.5875</v>
      </c>
      <c r="AE1128">
        <f>ROUND(((EU1128*1.25)),6)</f>
        <v>2.5750000000000002</v>
      </c>
      <c r="AF1128">
        <f>ROUND(((EV1128*1.15)),6)</f>
        <v>859.64800000000002</v>
      </c>
      <c r="AG1128">
        <f t="shared" si="970"/>
        <v>0</v>
      </c>
      <c r="AH1128">
        <f>((EW1128*1.15))</f>
        <v>67.16</v>
      </c>
      <c r="AI1128">
        <f>((EX1128*1.25))</f>
        <v>0</v>
      </c>
      <c r="AJ1128">
        <f t="shared" si="971"/>
        <v>0</v>
      </c>
      <c r="AK1128">
        <v>945.2</v>
      </c>
      <c r="AL1128">
        <v>189.21</v>
      </c>
      <c r="AM1128">
        <v>8.4700000000000006</v>
      </c>
      <c r="AN1128">
        <v>2.06</v>
      </c>
      <c r="AO1128">
        <v>747.52</v>
      </c>
      <c r="AP1128">
        <v>0</v>
      </c>
      <c r="AQ1128">
        <v>58.4</v>
      </c>
      <c r="AR1128">
        <v>0</v>
      </c>
      <c r="AS1128">
        <v>0</v>
      </c>
      <c r="AT1128">
        <v>90</v>
      </c>
      <c r="AU1128">
        <v>41</v>
      </c>
      <c r="AV1128">
        <v>1</v>
      </c>
      <c r="AW1128">
        <v>1</v>
      </c>
      <c r="AZ1128">
        <v>1</v>
      </c>
      <c r="BA1128">
        <v>29.03</v>
      </c>
      <c r="BB1128">
        <v>13.58</v>
      </c>
      <c r="BC1128">
        <v>8.8699999999999992</v>
      </c>
      <c r="BD1128" t="s">
        <v>3</v>
      </c>
      <c r="BE1128" t="s">
        <v>3</v>
      </c>
      <c r="BF1128" t="s">
        <v>3</v>
      </c>
      <c r="BG1128" t="s">
        <v>3</v>
      </c>
      <c r="BH1128">
        <v>0</v>
      </c>
      <c r="BI1128">
        <v>1</v>
      </c>
      <c r="BJ1128" t="s">
        <v>912</v>
      </c>
      <c r="BM1128">
        <v>1623</v>
      </c>
      <c r="BN1128">
        <v>0</v>
      </c>
      <c r="BO1128" t="s">
        <v>910</v>
      </c>
      <c r="BP1128">
        <v>1</v>
      </c>
      <c r="BQ1128">
        <v>30</v>
      </c>
      <c r="BR1128">
        <v>0</v>
      </c>
      <c r="BS1128">
        <v>29.03</v>
      </c>
      <c r="BT1128">
        <v>1</v>
      </c>
      <c r="BU1128">
        <v>1</v>
      </c>
      <c r="BV1128">
        <v>1</v>
      </c>
      <c r="BW1128">
        <v>1</v>
      </c>
      <c r="BX1128">
        <v>1</v>
      </c>
      <c r="BY1128" t="s">
        <v>3</v>
      </c>
      <c r="BZ1128">
        <v>90</v>
      </c>
      <c r="CA1128">
        <v>41</v>
      </c>
      <c r="CB1128" t="s">
        <v>3</v>
      </c>
      <c r="CE1128">
        <v>30</v>
      </c>
      <c r="CF1128">
        <v>0</v>
      </c>
      <c r="CG1128">
        <v>0</v>
      </c>
      <c r="CM1128">
        <v>0</v>
      </c>
      <c r="CN1128" t="s">
        <v>1559</v>
      </c>
      <c r="CO1128">
        <v>0</v>
      </c>
      <c r="CP1128">
        <f t="shared" si="972"/>
        <v>803.41</v>
      </c>
      <c r="CQ1128">
        <f t="shared" si="973"/>
        <v>1678.29</v>
      </c>
      <c r="CR1128">
        <f>(ROUND((ROUND((((ET1128*1.25))*AV1128*1),2)*BB1128),2)+ROUND((ROUND(((AE1128-((EU1128*1.25)))*AV1128*1),2)*BS1128),2))</f>
        <v>143.81</v>
      </c>
      <c r="CS1128">
        <f t="shared" si="974"/>
        <v>74.900000000000006</v>
      </c>
      <c r="CT1128">
        <f t="shared" si="975"/>
        <v>24955.64</v>
      </c>
      <c r="CU1128">
        <f t="shared" si="976"/>
        <v>0</v>
      </c>
      <c r="CV1128">
        <f t="shared" si="977"/>
        <v>67.16</v>
      </c>
      <c r="CW1128">
        <f t="shared" si="978"/>
        <v>0</v>
      </c>
      <c r="CX1128">
        <f t="shared" si="979"/>
        <v>0</v>
      </c>
      <c r="CY1128">
        <f>S1128*(BZ1128/100)</f>
        <v>673.81200000000001</v>
      </c>
      <c r="CZ1128">
        <f>S1128*(CA1128/100)</f>
        <v>306.95879999999994</v>
      </c>
      <c r="DC1128" t="s">
        <v>3</v>
      </c>
      <c r="DD1128" t="s">
        <v>3</v>
      </c>
      <c r="DE1128" t="s">
        <v>86</v>
      </c>
      <c r="DF1128" t="s">
        <v>86</v>
      </c>
      <c r="DG1128" t="s">
        <v>87</v>
      </c>
      <c r="DH1128" t="s">
        <v>3</v>
      </c>
      <c r="DI1128" t="s">
        <v>87</v>
      </c>
      <c r="DJ1128" t="s">
        <v>86</v>
      </c>
      <c r="DK1128" t="s">
        <v>3</v>
      </c>
      <c r="DL1128" t="s">
        <v>3</v>
      </c>
      <c r="DM1128" t="s">
        <v>3</v>
      </c>
      <c r="DN1128">
        <v>110</v>
      </c>
      <c r="DO1128">
        <v>74</v>
      </c>
      <c r="DP1128">
        <v>1</v>
      </c>
      <c r="DQ1128">
        <v>1</v>
      </c>
      <c r="DU1128">
        <v>1003</v>
      </c>
      <c r="DV1128" t="s">
        <v>455</v>
      </c>
      <c r="DW1128" t="s">
        <v>455</v>
      </c>
      <c r="DX1128">
        <v>100</v>
      </c>
      <c r="DZ1128" t="s">
        <v>3</v>
      </c>
      <c r="EA1128" t="s">
        <v>3</v>
      </c>
      <c r="EB1128" t="s">
        <v>3</v>
      </c>
      <c r="EC1128" t="s">
        <v>3</v>
      </c>
      <c r="EE1128">
        <v>126053084</v>
      </c>
      <c r="EF1128">
        <v>30</v>
      </c>
      <c r="EG1128" t="s">
        <v>23</v>
      </c>
      <c r="EH1128">
        <v>0</v>
      </c>
      <c r="EI1128" t="s">
        <v>3</v>
      </c>
      <c r="EJ1128">
        <v>1</v>
      </c>
      <c r="EK1128">
        <v>1623</v>
      </c>
      <c r="EL1128" t="s">
        <v>824</v>
      </c>
      <c r="EM1128" t="s">
        <v>825</v>
      </c>
      <c r="EO1128" t="s">
        <v>90</v>
      </c>
      <c r="EQ1128">
        <v>131072</v>
      </c>
      <c r="ER1128">
        <v>945.2</v>
      </c>
      <c r="ES1128">
        <v>189.21</v>
      </c>
      <c r="ET1128">
        <v>8.4700000000000006</v>
      </c>
      <c r="EU1128">
        <v>2.06</v>
      </c>
      <c r="EV1128">
        <v>747.52</v>
      </c>
      <c r="EW1128">
        <v>58.4</v>
      </c>
      <c r="EX1128">
        <v>0</v>
      </c>
      <c r="EY1128">
        <v>0</v>
      </c>
      <c r="FQ1128">
        <v>0</v>
      </c>
      <c r="FR1128">
        <f t="shared" si="980"/>
        <v>0</v>
      </c>
      <c r="FS1128">
        <v>0</v>
      </c>
      <c r="FX1128">
        <v>110</v>
      </c>
      <c r="FY1128">
        <v>74</v>
      </c>
      <c r="GA1128" t="s">
        <v>3</v>
      </c>
      <c r="GD1128">
        <v>0</v>
      </c>
      <c r="GF1128">
        <v>-1297509681</v>
      </c>
      <c r="GG1128">
        <v>2</v>
      </c>
      <c r="GH1128">
        <v>1</v>
      </c>
      <c r="GI1128">
        <v>2</v>
      </c>
      <c r="GJ1128">
        <v>0</v>
      </c>
      <c r="GK1128">
        <f>ROUND(R1128*(S12)/100,2)</f>
        <v>3.71</v>
      </c>
      <c r="GL1128">
        <f t="shared" si="981"/>
        <v>0</v>
      </c>
      <c r="GM1128">
        <f t="shared" si="982"/>
        <v>1787.89</v>
      </c>
      <c r="GN1128">
        <f t="shared" si="983"/>
        <v>1787.89</v>
      </c>
      <c r="GO1128">
        <f t="shared" si="984"/>
        <v>0</v>
      </c>
      <c r="GP1128">
        <f t="shared" si="985"/>
        <v>0</v>
      </c>
      <c r="GR1128">
        <v>0</v>
      </c>
      <c r="GS1128">
        <v>3</v>
      </c>
      <c r="GT1128">
        <v>0</v>
      </c>
      <c r="GU1128" t="s">
        <v>3</v>
      </c>
      <c r="GV1128">
        <f t="shared" si="986"/>
        <v>0</v>
      </c>
      <c r="GW1128">
        <v>1</v>
      </c>
      <c r="GX1128">
        <f t="shared" si="987"/>
        <v>0</v>
      </c>
      <c r="HA1128">
        <v>0</v>
      </c>
      <c r="HB1128">
        <v>0</v>
      </c>
      <c r="HC1128">
        <f t="shared" si="988"/>
        <v>0</v>
      </c>
      <c r="HE1128" t="s">
        <v>3</v>
      </c>
      <c r="HF1128" t="s">
        <v>3</v>
      </c>
      <c r="HM1128" t="s">
        <v>3</v>
      </c>
      <c r="HN1128" t="s">
        <v>3</v>
      </c>
      <c r="HO1128" t="s">
        <v>3</v>
      </c>
      <c r="HP1128" t="s">
        <v>3</v>
      </c>
      <c r="HQ1128" t="s">
        <v>3</v>
      </c>
      <c r="IK1128">
        <v>0</v>
      </c>
    </row>
    <row r="1129" spans="1:255" x14ac:dyDescent="0.2">
      <c r="A1129" s="2">
        <v>18</v>
      </c>
      <c r="B1129" s="2">
        <v>1</v>
      </c>
      <c r="C1129" s="2">
        <v>961</v>
      </c>
      <c r="D1129" s="2"/>
      <c r="E1129" s="2" t="s">
        <v>209</v>
      </c>
      <c r="F1129" s="2" t="s">
        <v>913</v>
      </c>
      <c r="G1129" s="2" t="s">
        <v>914</v>
      </c>
      <c r="H1129" s="2" t="s">
        <v>270</v>
      </c>
      <c r="I1129" s="2">
        <f>I1127*J1129</f>
        <v>2.9940000000000002</v>
      </c>
      <c r="J1129" s="2">
        <v>99.800000000000011</v>
      </c>
      <c r="K1129" s="2">
        <v>99.8</v>
      </c>
      <c r="L1129" s="2"/>
      <c r="M1129" s="2"/>
      <c r="N1129" s="2"/>
      <c r="O1129" s="2">
        <f t="shared" si="958"/>
        <v>49.25</v>
      </c>
      <c r="P1129" s="2">
        <f t="shared" si="959"/>
        <v>49.25</v>
      </c>
      <c r="Q1129" s="2">
        <f t="shared" ref="Q1129:Q1136" si="989">(ROUND((ROUND(((ET1129)*AV1129*I1129),2)*BB1129),2)+ROUND((ROUND(((AE1129-(EU1129))*AV1129*I1129),2)*BS1129),2))</f>
        <v>0</v>
      </c>
      <c r="R1129" s="2">
        <f t="shared" si="960"/>
        <v>0</v>
      </c>
      <c r="S1129" s="2">
        <f t="shared" si="961"/>
        <v>0</v>
      </c>
      <c r="T1129" s="2">
        <f t="shared" si="962"/>
        <v>0</v>
      </c>
      <c r="U1129" s="2">
        <f t="shared" si="963"/>
        <v>0</v>
      </c>
      <c r="V1129" s="2">
        <f t="shared" si="964"/>
        <v>0</v>
      </c>
      <c r="W1129" s="2">
        <f t="shared" si="965"/>
        <v>0</v>
      </c>
      <c r="X1129" s="2">
        <f t="shared" si="966"/>
        <v>0</v>
      </c>
      <c r="Y1129" s="2">
        <f t="shared" si="967"/>
        <v>0</v>
      </c>
      <c r="Z1129" s="2"/>
      <c r="AA1129" s="2">
        <v>129761636</v>
      </c>
      <c r="AB1129" s="2">
        <f t="shared" si="968"/>
        <v>16.45</v>
      </c>
      <c r="AC1129" s="2">
        <f t="shared" si="969"/>
        <v>16.45</v>
      </c>
      <c r="AD1129" s="2">
        <f t="shared" ref="AD1129:AD1136" si="990">ROUND((((ET1129)-(EU1129))+AE1129),6)</f>
        <v>0</v>
      </c>
      <c r="AE1129" s="2">
        <f t="shared" ref="AE1129:AF1136" si="991">ROUND((EU1129),6)</f>
        <v>0</v>
      </c>
      <c r="AF1129" s="2">
        <f t="shared" si="991"/>
        <v>0</v>
      </c>
      <c r="AG1129" s="2">
        <f t="shared" si="970"/>
        <v>0</v>
      </c>
      <c r="AH1129" s="2">
        <f t="shared" ref="AH1129:AI1136" si="992">(EW1129)</f>
        <v>0</v>
      </c>
      <c r="AI1129" s="2">
        <f t="shared" si="992"/>
        <v>0</v>
      </c>
      <c r="AJ1129" s="2">
        <f t="shared" si="971"/>
        <v>0</v>
      </c>
      <c r="AK1129" s="2">
        <v>16.45</v>
      </c>
      <c r="AL1129" s="2">
        <v>16.45</v>
      </c>
      <c r="AM1129" s="2">
        <v>0</v>
      </c>
      <c r="AN1129" s="2">
        <v>0</v>
      </c>
      <c r="AO1129" s="2">
        <v>0</v>
      </c>
      <c r="AP1129" s="2">
        <v>0</v>
      </c>
      <c r="AQ1129" s="2">
        <v>0</v>
      </c>
      <c r="AR1129" s="2">
        <v>0</v>
      </c>
      <c r="AS1129" s="2">
        <v>0</v>
      </c>
      <c r="AT1129" s="2">
        <v>110</v>
      </c>
      <c r="AU1129" s="2">
        <v>74</v>
      </c>
      <c r="AV1129" s="2">
        <v>1</v>
      </c>
      <c r="AW1129" s="2">
        <v>1</v>
      </c>
      <c r="AX1129" s="2"/>
      <c r="AY1129" s="2"/>
      <c r="AZ1129" s="2">
        <v>1</v>
      </c>
      <c r="BA1129" s="2">
        <v>1</v>
      </c>
      <c r="BB1129" s="2">
        <v>1</v>
      </c>
      <c r="BC1129" s="2">
        <v>1</v>
      </c>
      <c r="BD1129" s="2" t="s">
        <v>3</v>
      </c>
      <c r="BE1129" s="2" t="s">
        <v>3</v>
      </c>
      <c r="BF1129" s="2" t="s">
        <v>3</v>
      </c>
      <c r="BG1129" s="2" t="s">
        <v>3</v>
      </c>
      <c r="BH1129" s="2">
        <v>3</v>
      </c>
      <c r="BI1129" s="2">
        <v>1</v>
      </c>
      <c r="BJ1129" s="2" t="s">
        <v>915</v>
      </c>
      <c r="BK1129" s="2"/>
      <c r="BL1129" s="2"/>
      <c r="BM1129" s="2">
        <v>1623</v>
      </c>
      <c r="BN1129" s="2">
        <v>0</v>
      </c>
      <c r="BO1129" s="2" t="s">
        <v>3</v>
      </c>
      <c r="BP1129" s="2">
        <v>0</v>
      </c>
      <c r="BQ1129" s="2">
        <v>30</v>
      </c>
      <c r="BR1129" s="2">
        <v>0</v>
      </c>
      <c r="BS1129" s="2">
        <v>1</v>
      </c>
      <c r="BT1129" s="2">
        <v>1</v>
      </c>
      <c r="BU1129" s="2">
        <v>1</v>
      </c>
      <c r="BV1129" s="2">
        <v>1</v>
      </c>
      <c r="BW1129" s="2">
        <v>1</v>
      </c>
      <c r="BX1129" s="2">
        <v>1</v>
      </c>
      <c r="BY1129" s="2" t="s">
        <v>3</v>
      </c>
      <c r="BZ1129" s="2">
        <v>110</v>
      </c>
      <c r="CA1129" s="2">
        <v>74</v>
      </c>
      <c r="CB1129" s="2" t="s">
        <v>3</v>
      </c>
      <c r="CC1129" s="2"/>
      <c r="CD1129" s="2"/>
      <c r="CE1129" s="2">
        <v>30</v>
      </c>
      <c r="CF1129" s="2">
        <v>0</v>
      </c>
      <c r="CG1129" s="2">
        <v>0</v>
      </c>
      <c r="CH1129" s="2"/>
      <c r="CI1129" s="2"/>
      <c r="CJ1129" s="2"/>
      <c r="CK1129" s="2"/>
      <c r="CL1129" s="2"/>
      <c r="CM1129" s="2">
        <v>0</v>
      </c>
      <c r="CN1129" s="2" t="s">
        <v>3</v>
      </c>
      <c r="CO1129" s="2">
        <v>0</v>
      </c>
      <c r="CP1129" s="2">
        <f t="shared" si="972"/>
        <v>49.25</v>
      </c>
      <c r="CQ1129" s="2">
        <f t="shared" si="973"/>
        <v>16.45</v>
      </c>
      <c r="CR1129" s="2">
        <f t="shared" ref="CR1129:CR1136" si="993">(ROUND((ROUND(((ET1129)*AV1129*1),2)*BB1129),2)+ROUND((ROUND(((AE1129-(EU1129))*AV1129*1),2)*BS1129),2))</f>
        <v>0</v>
      </c>
      <c r="CS1129" s="2">
        <f t="shared" si="974"/>
        <v>0</v>
      </c>
      <c r="CT1129" s="2">
        <f t="shared" si="975"/>
        <v>0</v>
      </c>
      <c r="CU1129" s="2">
        <f t="shared" si="976"/>
        <v>0</v>
      </c>
      <c r="CV1129" s="2">
        <f t="shared" si="977"/>
        <v>0</v>
      </c>
      <c r="CW1129" s="2">
        <f t="shared" si="978"/>
        <v>0</v>
      </c>
      <c r="CX1129" s="2">
        <f t="shared" si="979"/>
        <v>0</v>
      </c>
      <c r="CY1129" s="2">
        <f>((S1129*BZ1129)/100)</f>
        <v>0</v>
      </c>
      <c r="CZ1129" s="2">
        <f>((S1129*CA1129)/100)</f>
        <v>0</v>
      </c>
      <c r="DA1129" s="2"/>
      <c r="DB1129" s="2"/>
      <c r="DC1129" s="2" t="s">
        <v>3</v>
      </c>
      <c r="DD1129" s="2" t="s">
        <v>3</v>
      </c>
      <c r="DE1129" s="2" t="s">
        <v>3</v>
      </c>
      <c r="DF1129" s="2" t="s">
        <v>3</v>
      </c>
      <c r="DG1129" s="2" t="s">
        <v>3</v>
      </c>
      <c r="DH1129" s="2" t="s">
        <v>3</v>
      </c>
      <c r="DI1129" s="2" t="s">
        <v>3</v>
      </c>
      <c r="DJ1129" s="2" t="s">
        <v>3</v>
      </c>
      <c r="DK1129" s="2" t="s">
        <v>3</v>
      </c>
      <c r="DL1129" s="2" t="s">
        <v>3</v>
      </c>
      <c r="DM1129" s="2" t="s">
        <v>3</v>
      </c>
      <c r="DN1129" s="2">
        <v>0</v>
      </c>
      <c r="DO1129" s="2">
        <v>0</v>
      </c>
      <c r="DP1129" s="2">
        <v>1</v>
      </c>
      <c r="DQ1129" s="2">
        <v>1</v>
      </c>
      <c r="DR1129" s="2"/>
      <c r="DS1129" s="2"/>
      <c r="DT1129" s="2"/>
      <c r="DU1129" s="2">
        <v>1003</v>
      </c>
      <c r="DV1129" s="2" t="s">
        <v>270</v>
      </c>
      <c r="DW1129" s="2" t="s">
        <v>270</v>
      </c>
      <c r="DX1129" s="2">
        <v>1</v>
      </c>
      <c r="DY1129" s="2"/>
      <c r="DZ1129" s="2" t="s">
        <v>3</v>
      </c>
      <c r="EA1129" s="2" t="s">
        <v>3</v>
      </c>
      <c r="EB1129" s="2" t="s">
        <v>3</v>
      </c>
      <c r="EC1129" s="2" t="s">
        <v>3</v>
      </c>
      <c r="ED1129" s="2"/>
      <c r="EE1129" s="2">
        <v>126053084</v>
      </c>
      <c r="EF1129" s="2">
        <v>30</v>
      </c>
      <c r="EG1129" s="2" t="s">
        <v>23</v>
      </c>
      <c r="EH1129" s="2">
        <v>0</v>
      </c>
      <c r="EI1129" s="2" t="s">
        <v>3</v>
      </c>
      <c r="EJ1129" s="2">
        <v>1</v>
      </c>
      <c r="EK1129" s="2">
        <v>1623</v>
      </c>
      <c r="EL1129" s="2" t="s">
        <v>824</v>
      </c>
      <c r="EM1129" s="2" t="s">
        <v>825</v>
      </c>
      <c r="EN1129" s="2"/>
      <c r="EO1129" s="2" t="s">
        <v>3</v>
      </c>
      <c r="EP1129" s="2"/>
      <c r="EQ1129" s="2">
        <v>0</v>
      </c>
      <c r="ER1129" s="2">
        <v>16.45</v>
      </c>
      <c r="ES1129" s="2">
        <v>16.45</v>
      </c>
      <c r="ET1129" s="2">
        <v>0</v>
      </c>
      <c r="EU1129" s="2">
        <v>0</v>
      </c>
      <c r="EV1129" s="2">
        <v>0</v>
      </c>
      <c r="EW1129" s="2">
        <v>0</v>
      </c>
      <c r="EX1129" s="2">
        <v>0</v>
      </c>
      <c r="EY1129" s="2"/>
      <c r="EZ1129" s="2"/>
      <c r="FA1129" s="2"/>
      <c r="FB1129" s="2"/>
      <c r="FC1129" s="2"/>
      <c r="FD1129" s="2"/>
      <c r="FE1129" s="2"/>
      <c r="FF1129" s="2"/>
      <c r="FG1129" s="2"/>
      <c r="FH1129" s="2"/>
      <c r="FI1129" s="2"/>
      <c r="FJ1129" s="2"/>
      <c r="FK1129" s="2"/>
      <c r="FL1129" s="2"/>
      <c r="FM1129" s="2"/>
      <c r="FN1129" s="2"/>
      <c r="FO1129" s="2"/>
      <c r="FP1129" s="2"/>
      <c r="FQ1129" s="2">
        <v>0</v>
      </c>
      <c r="FR1129" s="2">
        <f t="shared" si="980"/>
        <v>0</v>
      </c>
      <c r="FS1129" s="2">
        <v>0</v>
      </c>
      <c r="FT1129" s="2"/>
      <c r="FU1129" s="2"/>
      <c r="FV1129" s="2"/>
      <c r="FW1129" s="2"/>
      <c r="FX1129" s="2">
        <v>110</v>
      </c>
      <c r="FY1129" s="2">
        <v>74</v>
      </c>
      <c r="FZ1129" s="2"/>
      <c r="GA1129" s="2" t="s">
        <v>3</v>
      </c>
      <c r="GB1129" s="2"/>
      <c r="GC1129" s="2"/>
      <c r="GD1129" s="2">
        <v>0</v>
      </c>
      <c r="GE1129" s="2"/>
      <c r="GF1129" s="2">
        <v>-2135944692</v>
      </c>
      <c r="GG1129" s="2">
        <v>2</v>
      </c>
      <c r="GH1129" s="2">
        <v>1</v>
      </c>
      <c r="GI1129" s="2">
        <v>-2</v>
      </c>
      <c r="GJ1129" s="2">
        <v>0</v>
      </c>
      <c r="GK1129" s="2">
        <f>ROUND(R1129*(R12)/100,2)</f>
        <v>0</v>
      </c>
      <c r="GL1129" s="2">
        <f t="shared" si="981"/>
        <v>0</v>
      </c>
      <c r="GM1129" s="2">
        <f t="shared" si="982"/>
        <v>49.25</v>
      </c>
      <c r="GN1129" s="2">
        <f t="shared" si="983"/>
        <v>49.25</v>
      </c>
      <c r="GO1129" s="2">
        <f t="shared" si="984"/>
        <v>0</v>
      </c>
      <c r="GP1129" s="2">
        <f t="shared" si="985"/>
        <v>0</v>
      </c>
      <c r="GQ1129" s="2"/>
      <c r="GR1129" s="2">
        <v>0</v>
      </c>
      <c r="GS1129" s="2">
        <v>0</v>
      </c>
      <c r="GT1129" s="2">
        <v>0</v>
      </c>
      <c r="GU1129" s="2" t="s">
        <v>3</v>
      </c>
      <c r="GV1129" s="2">
        <f t="shared" si="986"/>
        <v>0</v>
      </c>
      <c r="GW1129" s="2">
        <v>1</v>
      </c>
      <c r="GX1129" s="2">
        <f t="shared" si="987"/>
        <v>0</v>
      </c>
      <c r="GY1129" s="2"/>
      <c r="GZ1129" s="2"/>
      <c r="HA1129" s="2">
        <v>0</v>
      </c>
      <c r="HB1129" s="2">
        <v>0</v>
      </c>
      <c r="HC1129" s="2">
        <f t="shared" si="988"/>
        <v>0</v>
      </c>
      <c r="HD1129" s="2"/>
      <c r="HE1129" s="2" t="s">
        <v>3</v>
      </c>
      <c r="HF1129" s="2" t="s">
        <v>3</v>
      </c>
      <c r="HG1129" s="2"/>
      <c r="HH1129" s="2"/>
      <c r="HI1129" s="2"/>
      <c r="HJ1129" s="2"/>
      <c r="HK1129" s="2"/>
      <c r="HL1129" s="2"/>
      <c r="HM1129" s="2" t="s">
        <v>3</v>
      </c>
      <c r="HN1129" s="2" t="s">
        <v>3</v>
      </c>
      <c r="HO1129" s="2" t="s">
        <v>3</v>
      </c>
      <c r="HP1129" s="2" t="s">
        <v>3</v>
      </c>
      <c r="HQ1129" s="2" t="s">
        <v>3</v>
      </c>
      <c r="HR1129" s="2"/>
      <c r="HS1129" s="2"/>
      <c r="HT1129" s="2"/>
      <c r="HU1129" s="2"/>
      <c r="HV1129" s="2"/>
      <c r="HW1129" s="2"/>
      <c r="HX1129" s="2"/>
      <c r="HY1129" s="2"/>
      <c r="HZ1129" s="2"/>
      <c r="IA1129" s="2"/>
      <c r="IB1129" s="2"/>
      <c r="IC1129" s="2"/>
      <c r="ID1129" s="2"/>
      <c r="IE1129" s="2"/>
      <c r="IF1129" s="2"/>
      <c r="IG1129" s="2"/>
      <c r="IH1129" s="2"/>
      <c r="II1129" s="2"/>
      <c r="IJ1129" s="2"/>
      <c r="IK1129" s="2">
        <v>0</v>
      </c>
      <c r="IL1129" s="2"/>
      <c r="IM1129" s="2"/>
      <c r="IN1129" s="2"/>
      <c r="IO1129" s="2"/>
      <c r="IP1129" s="2"/>
      <c r="IQ1129" s="2"/>
      <c r="IR1129" s="2"/>
      <c r="IS1129" s="2"/>
      <c r="IT1129" s="2"/>
      <c r="IU1129" s="2"/>
    </row>
    <row r="1130" spans="1:255" x14ac:dyDescent="0.2">
      <c r="A1130">
        <v>18</v>
      </c>
      <c r="B1130">
        <v>1</v>
      </c>
      <c r="C1130">
        <v>968</v>
      </c>
      <c r="E1130" t="s">
        <v>209</v>
      </c>
      <c r="F1130" t="s">
        <v>913</v>
      </c>
      <c r="G1130" t="s">
        <v>914</v>
      </c>
      <c r="H1130" t="s">
        <v>270</v>
      </c>
      <c r="I1130">
        <f>I1128*J1130</f>
        <v>2.9940000000000002</v>
      </c>
      <c r="J1130">
        <v>99.800000000000011</v>
      </c>
      <c r="K1130">
        <v>99.8</v>
      </c>
      <c r="O1130">
        <f t="shared" si="958"/>
        <v>390.55</v>
      </c>
      <c r="P1130">
        <f t="shared" si="959"/>
        <v>390.55</v>
      </c>
      <c r="Q1130">
        <f t="shared" si="989"/>
        <v>0</v>
      </c>
      <c r="R1130">
        <f t="shared" si="960"/>
        <v>0</v>
      </c>
      <c r="S1130">
        <f t="shared" si="961"/>
        <v>0</v>
      </c>
      <c r="T1130">
        <f t="shared" si="962"/>
        <v>0</v>
      </c>
      <c r="U1130">
        <f t="shared" si="963"/>
        <v>0</v>
      </c>
      <c r="V1130">
        <f t="shared" si="964"/>
        <v>0</v>
      </c>
      <c r="W1130">
        <f t="shared" si="965"/>
        <v>0</v>
      </c>
      <c r="X1130">
        <f t="shared" si="966"/>
        <v>0</v>
      </c>
      <c r="Y1130">
        <f t="shared" si="967"/>
        <v>0</v>
      </c>
      <c r="AA1130">
        <v>129761633</v>
      </c>
      <c r="AB1130">
        <f t="shared" si="968"/>
        <v>16.45</v>
      </c>
      <c r="AC1130">
        <f t="shared" si="969"/>
        <v>16.45</v>
      </c>
      <c r="AD1130">
        <f t="shared" si="990"/>
        <v>0</v>
      </c>
      <c r="AE1130">
        <f t="shared" si="991"/>
        <v>0</v>
      </c>
      <c r="AF1130">
        <f t="shared" si="991"/>
        <v>0</v>
      </c>
      <c r="AG1130">
        <f t="shared" si="970"/>
        <v>0</v>
      </c>
      <c r="AH1130">
        <f t="shared" si="992"/>
        <v>0</v>
      </c>
      <c r="AI1130">
        <f t="shared" si="992"/>
        <v>0</v>
      </c>
      <c r="AJ1130">
        <f t="shared" si="971"/>
        <v>0</v>
      </c>
      <c r="AK1130">
        <v>16.45</v>
      </c>
      <c r="AL1130">
        <v>16.45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1</v>
      </c>
      <c r="AW1130">
        <v>1</v>
      </c>
      <c r="AZ1130">
        <v>1</v>
      </c>
      <c r="BA1130">
        <v>1</v>
      </c>
      <c r="BB1130">
        <v>1</v>
      </c>
      <c r="BC1130">
        <v>7.93</v>
      </c>
      <c r="BD1130" t="s">
        <v>3</v>
      </c>
      <c r="BE1130" t="s">
        <v>3</v>
      </c>
      <c r="BF1130" t="s">
        <v>3</v>
      </c>
      <c r="BG1130" t="s">
        <v>3</v>
      </c>
      <c r="BH1130">
        <v>3</v>
      </c>
      <c r="BI1130">
        <v>1</v>
      </c>
      <c r="BJ1130" t="s">
        <v>915</v>
      </c>
      <c r="BM1130">
        <v>1623</v>
      </c>
      <c r="BN1130">
        <v>0</v>
      </c>
      <c r="BO1130" t="s">
        <v>913</v>
      </c>
      <c r="BP1130">
        <v>1</v>
      </c>
      <c r="BQ1130">
        <v>30</v>
      </c>
      <c r="BR1130">
        <v>0</v>
      </c>
      <c r="BS1130">
        <v>1</v>
      </c>
      <c r="BT1130">
        <v>1</v>
      </c>
      <c r="BU1130">
        <v>1</v>
      </c>
      <c r="BV1130">
        <v>1</v>
      </c>
      <c r="BW1130">
        <v>1</v>
      </c>
      <c r="BX1130">
        <v>1</v>
      </c>
      <c r="BY1130" t="s">
        <v>3</v>
      </c>
      <c r="BZ1130">
        <v>0</v>
      </c>
      <c r="CA1130">
        <v>0</v>
      </c>
      <c r="CB1130" t="s">
        <v>3</v>
      </c>
      <c r="CE1130">
        <v>30</v>
      </c>
      <c r="CF1130">
        <v>0</v>
      </c>
      <c r="CG1130">
        <v>0</v>
      </c>
      <c r="CM1130">
        <v>0</v>
      </c>
      <c r="CN1130" t="s">
        <v>3</v>
      </c>
      <c r="CO1130">
        <v>0</v>
      </c>
      <c r="CP1130">
        <f t="shared" si="972"/>
        <v>390.55</v>
      </c>
      <c r="CQ1130">
        <f t="shared" si="973"/>
        <v>130.44999999999999</v>
      </c>
      <c r="CR1130">
        <f t="shared" si="993"/>
        <v>0</v>
      </c>
      <c r="CS1130">
        <f t="shared" si="974"/>
        <v>0</v>
      </c>
      <c r="CT1130">
        <f t="shared" si="975"/>
        <v>0</v>
      </c>
      <c r="CU1130">
        <f t="shared" si="976"/>
        <v>0</v>
      </c>
      <c r="CV1130">
        <f t="shared" si="977"/>
        <v>0</v>
      </c>
      <c r="CW1130">
        <f t="shared" si="978"/>
        <v>0</v>
      </c>
      <c r="CX1130">
        <f t="shared" si="979"/>
        <v>0</v>
      </c>
      <c r="CY1130">
        <f>S1130*(BZ1130/100)</f>
        <v>0</v>
      </c>
      <c r="CZ1130">
        <f>S1130*(CA1130/100)</f>
        <v>0</v>
      </c>
      <c r="DC1130" t="s">
        <v>3</v>
      </c>
      <c r="DD1130" t="s">
        <v>3</v>
      </c>
      <c r="DE1130" t="s">
        <v>3</v>
      </c>
      <c r="DF1130" t="s">
        <v>3</v>
      </c>
      <c r="DG1130" t="s">
        <v>3</v>
      </c>
      <c r="DH1130" t="s">
        <v>3</v>
      </c>
      <c r="DI1130" t="s">
        <v>3</v>
      </c>
      <c r="DJ1130" t="s">
        <v>3</v>
      </c>
      <c r="DK1130" t="s">
        <v>3</v>
      </c>
      <c r="DL1130" t="s">
        <v>3</v>
      </c>
      <c r="DM1130" t="s">
        <v>3</v>
      </c>
      <c r="DN1130">
        <v>110</v>
      </c>
      <c r="DO1130">
        <v>74</v>
      </c>
      <c r="DP1130">
        <v>1</v>
      </c>
      <c r="DQ1130">
        <v>1</v>
      </c>
      <c r="DU1130">
        <v>1003</v>
      </c>
      <c r="DV1130" t="s">
        <v>270</v>
      </c>
      <c r="DW1130" t="s">
        <v>270</v>
      </c>
      <c r="DX1130">
        <v>1</v>
      </c>
      <c r="DZ1130" t="s">
        <v>3</v>
      </c>
      <c r="EA1130" t="s">
        <v>3</v>
      </c>
      <c r="EB1130" t="s">
        <v>3</v>
      </c>
      <c r="EC1130" t="s">
        <v>3</v>
      </c>
      <c r="EE1130">
        <v>126053084</v>
      </c>
      <c r="EF1130">
        <v>30</v>
      </c>
      <c r="EG1130" t="s">
        <v>23</v>
      </c>
      <c r="EH1130">
        <v>0</v>
      </c>
      <c r="EI1130" t="s">
        <v>3</v>
      </c>
      <c r="EJ1130">
        <v>1</v>
      </c>
      <c r="EK1130">
        <v>1623</v>
      </c>
      <c r="EL1130" t="s">
        <v>824</v>
      </c>
      <c r="EM1130" t="s">
        <v>825</v>
      </c>
      <c r="EO1130" t="s">
        <v>3</v>
      </c>
      <c r="EQ1130">
        <v>0</v>
      </c>
      <c r="ER1130">
        <v>16.45</v>
      </c>
      <c r="ES1130">
        <v>16.45</v>
      </c>
      <c r="ET1130">
        <v>0</v>
      </c>
      <c r="EU1130">
        <v>0</v>
      </c>
      <c r="EV1130">
        <v>0</v>
      </c>
      <c r="EW1130">
        <v>0</v>
      </c>
      <c r="EX1130">
        <v>0</v>
      </c>
      <c r="FQ1130">
        <v>0</v>
      </c>
      <c r="FR1130">
        <f t="shared" si="980"/>
        <v>0</v>
      </c>
      <c r="FS1130">
        <v>0</v>
      </c>
      <c r="FX1130">
        <v>110</v>
      </c>
      <c r="FY1130">
        <v>74</v>
      </c>
      <c r="GA1130" t="s">
        <v>3</v>
      </c>
      <c r="GD1130">
        <v>0</v>
      </c>
      <c r="GF1130">
        <v>-2135944692</v>
      </c>
      <c r="GG1130">
        <v>2</v>
      </c>
      <c r="GH1130">
        <v>1</v>
      </c>
      <c r="GI1130">
        <v>2</v>
      </c>
      <c r="GJ1130">
        <v>0</v>
      </c>
      <c r="GK1130">
        <f>ROUND(R1130*(S12)/100,2)</f>
        <v>0</v>
      </c>
      <c r="GL1130">
        <f t="shared" si="981"/>
        <v>0</v>
      </c>
      <c r="GM1130">
        <f t="shared" si="982"/>
        <v>390.55</v>
      </c>
      <c r="GN1130">
        <f t="shared" si="983"/>
        <v>390.55</v>
      </c>
      <c r="GO1130">
        <f t="shared" si="984"/>
        <v>0</v>
      </c>
      <c r="GP1130">
        <f t="shared" si="985"/>
        <v>0</v>
      </c>
      <c r="GR1130">
        <v>0</v>
      </c>
      <c r="GS1130">
        <v>3</v>
      </c>
      <c r="GT1130">
        <v>0</v>
      </c>
      <c r="GU1130" t="s">
        <v>3</v>
      </c>
      <c r="GV1130">
        <f t="shared" si="986"/>
        <v>0</v>
      </c>
      <c r="GW1130">
        <v>1</v>
      </c>
      <c r="GX1130">
        <f t="shared" si="987"/>
        <v>0</v>
      </c>
      <c r="HA1130">
        <v>0</v>
      </c>
      <c r="HB1130">
        <v>0</v>
      </c>
      <c r="HC1130">
        <f t="shared" si="988"/>
        <v>0</v>
      </c>
      <c r="HE1130" t="s">
        <v>3</v>
      </c>
      <c r="HF1130" t="s">
        <v>3</v>
      </c>
      <c r="HM1130" t="s">
        <v>3</v>
      </c>
      <c r="HN1130" t="s">
        <v>3</v>
      </c>
      <c r="HO1130" t="s">
        <v>3</v>
      </c>
      <c r="HP1130" t="s">
        <v>3</v>
      </c>
      <c r="HQ1130" t="s">
        <v>3</v>
      </c>
      <c r="IK1130">
        <v>0</v>
      </c>
    </row>
    <row r="1131" spans="1:255" x14ac:dyDescent="0.2">
      <c r="A1131" s="2">
        <v>18</v>
      </c>
      <c r="B1131" s="2">
        <v>1</v>
      </c>
      <c r="C1131" s="2">
        <v>962</v>
      </c>
      <c r="D1131" s="2"/>
      <c r="E1131" s="2" t="s">
        <v>781</v>
      </c>
      <c r="F1131" s="2" t="s">
        <v>916</v>
      </c>
      <c r="G1131" s="2" t="s">
        <v>917</v>
      </c>
      <c r="H1131" s="2" t="s">
        <v>250</v>
      </c>
      <c r="I1131" s="2">
        <f>I1127*J1131</f>
        <v>3</v>
      </c>
      <c r="J1131" s="2">
        <v>100</v>
      </c>
      <c r="K1131" s="2">
        <v>100</v>
      </c>
      <c r="L1131" s="2"/>
      <c r="M1131" s="2"/>
      <c r="N1131" s="2"/>
      <c r="O1131" s="2">
        <f t="shared" si="958"/>
        <v>0</v>
      </c>
      <c r="P1131" s="2">
        <f t="shared" si="959"/>
        <v>0</v>
      </c>
      <c r="Q1131" s="2">
        <f t="shared" si="989"/>
        <v>0</v>
      </c>
      <c r="R1131" s="2">
        <f t="shared" si="960"/>
        <v>0</v>
      </c>
      <c r="S1131" s="2">
        <f t="shared" si="961"/>
        <v>0</v>
      </c>
      <c r="T1131" s="2">
        <f t="shared" si="962"/>
        <v>0</v>
      </c>
      <c r="U1131" s="2">
        <f t="shared" si="963"/>
        <v>0</v>
      </c>
      <c r="V1131" s="2">
        <f t="shared" si="964"/>
        <v>0</v>
      </c>
      <c r="W1131" s="2">
        <f t="shared" si="965"/>
        <v>0</v>
      </c>
      <c r="X1131" s="2">
        <f t="shared" si="966"/>
        <v>0</v>
      </c>
      <c r="Y1131" s="2">
        <f t="shared" si="967"/>
        <v>0</v>
      </c>
      <c r="Z1131" s="2"/>
      <c r="AA1131" s="2">
        <v>129761636</v>
      </c>
      <c r="AB1131" s="2">
        <f t="shared" si="968"/>
        <v>0</v>
      </c>
      <c r="AC1131" s="2">
        <f t="shared" si="969"/>
        <v>0</v>
      </c>
      <c r="AD1131" s="2">
        <f t="shared" si="990"/>
        <v>0</v>
      </c>
      <c r="AE1131" s="2">
        <f t="shared" si="991"/>
        <v>0</v>
      </c>
      <c r="AF1131" s="2">
        <f t="shared" si="991"/>
        <v>0</v>
      </c>
      <c r="AG1131" s="2">
        <f t="shared" si="970"/>
        <v>0</v>
      </c>
      <c r="AH1131" s="2">
        <f t="shared" si="992"/>
        <v>0</v>
      </c>
      <c r="AI1131" s="2">
        <f t="shared" si="992"/>
        <v>0</v>
      </c>
      <c r="AJ1131" s="2">
        <f t="shared" si="971"/>
        <v>0</v>
      </c>
      <c r="AK1131" s="2">
        <v>0</v>
      </c>
      <c r="AL1131" s="2">
        <v>0</v>
      </c>
      <c r="AM1131" s="2">
        <v>0</v>
      </c>
      <c r="AN1131" s="2">
        <v>0</v>
      </c>
      <c r="AO1131" s="2">
        <v>0</v>
      </c>
      <c r="AP1131" s="2">
        <v>0</v>
      </c>
      <c r="AQ1131" s="2">
        <v>0</v>
      </c>
      <c r="AR1131" s="2">
        <v>0</v>
      </c>
      <c r="AS1131" s="2">
        <v>0</v>
      </c>
      <c r="AT1131" s="2">
        <v>110</v>
      </c>
      <c r="AU1131" s="2">
        <v>74</v>
      </c>
      <c r="AV1131" s="2">
        <v>1</v>
      </c>
      <c r="AW1131" s="2">
        <v>1</v>
      </c>
      <c r="AX1131" s="2"/>
      <c r="AY1131" s="2"/>
      <c r="AZ1131" s="2">
        <v>1</v>
      </c>
      <c r="BA1131" s="2">
        <v>1</v>
      </c>
      <c r="BB1131" s="2">
        <v>1</v>
      </c>
      <c r="BC1131" s="2">
        <v>1</v>
      </c>
      <c r="BD1131" s="2" t="s">
        <v>3</v>
      </c>
      <c r="BE1131" s="2" t="s">
        <v>3</v>
      </c>
      <c r="BF1131" s="2" t="s">
        <v>3</v>
      </c>
      <c r="BG1131" s="2" t="s">
        <v>3</v>
      </c>
      <c r="BH1131" s="2">
        <v>3</v>
      </c>
      <c r="BI1131" s="2">
        <v>1</v>
      </c>
      <c r="BJ1131" s="2" t="s">
        <v>3</v>
      </c>
      <c r="BK1131" s="2"/>
      <c r="BL1131" s="2"/>
      <c r="BM1131" s="2">
        <v>1623</v>
      </c>
      <c r="BN1131" s="2">
        <v>0</v>
      </c>
      <c r="BO1131" s="2" t="s">
        <v>3</v>
      </c>
      <c r="BP1131" s="2">
        <v>0</v>
      </c>
      <c r="BQ1131" s="2">
        <v>30</v>
      </c>
      <c r="BR1131" s="2">
        <v>0</v>
      </c>
      <c r="BS1131" s="2">
        <v>1</v>
      </c>
      <c r="BT1131" s="2">
        <v>1</v>
      </c>
      <c r="BU1131" s="2">
        <v>1</v>
      </c>
      <c r="BV1131" s="2">
        <v>1</v>
      </c>
      <c r="BW1131" s="2">
        <v>1</v>
      </c>
      <c r="BX1131" s="2">
        <v>1</v>
      </c>
      <c r="BY1131" s="2" t="s">
        <v>3</v>
      </c>
      <c r="BZ1131" s="2">
        <v>110</v>
      </c>
      <c r="CA1131" s="2">
        <v>74</v>
      </c>
      <c r="CB1131" s="2" t="s">
        <v>3</v>
      </c>
      <c r="CC1131" s="2"/>
      <c r="CD1131" s="2"/>
      <c r="CE1131" s="2">
        <v>30</v>
      </c>
      <c r="CF1131" s="2">
        <v>0</v>
      </c>
      <c r="CG1131" s="2">
        <v>0</v>
      </c>
      <c r="CH1131" s="2"/>
      <c r="CI1131" s="2"/>
      <c r="CJ1131" s="2"/>
      <c r="CK1131" s="2"/>
      <c r="CL1131" s="2"/>
      <c r="CM1131" s="2">
        <v>0</v>
      </c>
      <c r="CN1131" s="2" t="s">
        <v>3</v>
      </c>
      <c r="CO1131" s="2">
        <v>0</v>
      </c>
      <c r="CP1131" s="2">
        <f t="shared" si="972"/>
        <v>0</v>
      </c>
      <c r="CQ1131" s="2">
        <f t="shared" si="973"/>
        <v>0</v>
      </c>
      <c r="CR1131" s="2">
        <f t="shared" si="993"/>
        <v>0</v>
      </c>
      <c r="CS1131" s="2">
        <f t="shared" si="974"/>
        <v>0</v>
      </c>
      <c r="CT1131" s="2">
        <f t="shared" si="975"/>
        <v>0</v>
      </c>
      <c r="CU1131" s="2">
        <f t="shared" si="976"/>
        <v>0</v>
      </c>
      <c r="CV1131" s="2">
        <f t="shared" si="977"/>
        <v>0</v>
      </c>
      <c r="CW1131" s="2">
        <f t="shared" si="978"/>
        <v>0</v>
      </c>
      <c r="CX1131" s="2">
        <f t="shared" si="979"/>
        <v>0</v>
      </c>
      <c r="CY1131" s="2">
        <f>((S1131*BZ1131)/100)</f>
        <v>0</v>
      </c>
      <c r="CZ1131" s="2">
        <f>((S1131*CA1131)/100)</f>
        <v>0</v>
      </c>
      <c r="DA1131" s="2"/>
      <c r="DB1131" s="2"/>
      <c r="DC1131" s="2" t="s">
        <v>3</v>
      </c>
      <c r="DD1131" s="2" t="s">
        <v>3</v>
      </c>
      <c r="DE1131" s="2" t="s">
        <v>3</v>
      </c>
      <c r="DF1131" s="2" t="s">
        <v>3</v>
      </c>
      <c r="DG1131" s="2" t="s">
        <v>3</v>
      </c>
      <c r="DH1131" s="2" t="s">
        <v>3</v>
      </c>
      <c r="DI1131" s="2" t="s">
        <v>3</v>
      </c>
      <c r="DJ1131" s="2" t="s">
        <v>3</v>
      </c>
      <c r="DK1131" s="2" t="s">
        <v>3</v>
      </c>
      <c r="DL1131" s="2" t="s">
        <v>3</v>
      </c>
      <c r="DM1131" s="2" t="s">
        <v>3</v>
      </c>
      <c r="DN1131" s="2">
        <v>0</v>
      </c>
      <c r="DO1131" s="2">
        <v>0</v>
      </c>
      <c r="DP1131" s="2">
        <v>1</v>
      </c>
      <c r="DQ1131" s="2">
        <v>1</v>
      </c>
      <c r="DR1131" s="2"/>
      <c r="DS1131" s="2"/>
      <c r="DT1131" s="2"/>
      <c r="DU1131" s="2">
        <v>1010</v>
      </c>
      <c r="DV1131" s="2" t="s">
        <v>250</v>
      </c>
      <c r="DW1131" s="2" t="s">
        <v>250</v>
      </c>
      <c r="DX1131" s="2">
        <v>1</v>
      </c>
      <c r="DY1131" s="2"/>
      <c r="DZ1131" s="2" t="s">
        <v>3</v>
      </c>
      <c r="EA1131" s="2" t="s">
        <v>3</v>
      </c>
      <c r="EB1131" s="2" t="s">
        <v>3</v>
      </c>
      <c r="EC1131" s="2" t="s">
        <v>3</v>
      </c>
      <c r="ED1131" s="2"/>
      <c r="EE1131" s="2">
        <v>126053084</v>
      </c>
      <c r="EF1131" s="2">
        <v>30</v>
      </c>
      <c r="EG1131" s="2" t="s">
        <v>23</v>
      </c>
      <c r="EH1131" s="2">
        <v>0</v>
      </c>
      <c r="EI1131" s="2" t="s">
        <v>3</v>
      </c>
      <c r="EJ1131" s="2">
        <v>1</v>
      </c>
      <c r="EK1131" s="2">
        <v>1623</v>
      </c>
      <c r="EL1131" s="2" t="s">
        <v>824</v>
      </c>
      <c r="EM1131" s="2" t="s">
        <v>825</v>
      </c>
      <c r="EN1131" s="2"/>
      <c r="EO1131" s="2" t="s">
        <v>3</v>
      </c>
      <c r="EP1131" s="2"/>
      <c r="EQ1131" s="2">
        <v>0</v>
      </c>
      <c r="ER1131" s="2">
        <v>0</v>
      </c>
      <c r="ES1131" s="2">
        <v>0</v>
      </c>
      <c r="ET1131" s="2">
        <v>0</v>
      </c>
      <c r="EU1131" s="2">
        <v>0</v>
      </c>
      <c r="EV1131" s="2">
        <v>0</v>
      </c>
      <c r="EW1131" s="2">
        <v>0</v>
      </c>
      <c r="EX1131" s="2">
        <v>0</v>
      </c>
      <c r="EY1131" s="2"/>
      <c r="EZ1131" s="2"/>
      <c r="FA1131" s="2"/>
      <c r="FB1131" s="2"/>
      <c r="FC1131" s="2"/>
      <c r="FD1131" s="2"/>
      <c r="FE1131" s="2"/>
      <c r="FF1131" s="2"/>
      <c r="FG1131" s="2"/>
      <c r="FH1131" s="2"/>
      <c r="FI1131" s="2"/>
      <c r="FJ1131" s="2"/>
      <c r="FK1131" s="2"/>
      <c r="FL1131" s="2"/>
      <c r="FM1131" s="2"/>
      <c r="FN1131" s="2"/>
      <c r="FO1131" s="2"/>
      <c r="FP1131" s="2"/>
      <c r="FQ1131" s="2">
        <v>0</v>
      </c>
      <c r="FR1131" s="2">
        <f t="shared" si="980"/>
        <v>0</v>
      </c>
      <c r="FS1131" s="2">
        <v>0</v>
      </c>
      <c r="FT1131" s="2"/>
      <c r="FU1131" s="2"/>
      <c r="FV1131" s="2"/>
      <c r="FW1131" s="2"/>
      <c r="FX1131" s="2">
        <v>110</v>
      </c>
      <c r="FY1131" s="2">
        <v>74</v>
      </c>
      <c r="FZ1131" s="2"/>
      <c r="GA1131" s="2" t="s">
        <v>3</v>
      </c>
      <c r="GB1131" s="2"/>
      <c r="GC1131" s="2"/>
      <c r="GD1131" s="2">
        <v>0</v>
      </c>
      <c r="GE1131" s="2"/>
      <c r="GF1131" s="2">
        <v>1044711563</v>
      </c>
      <c r="GG1131" s="2">
        <v>2</v>
      </c>
      <c r="GH1131" s="2">
        <v>0</v>
      </c>
      <c r="GI1131" s="2">
        <v>-2</v>
      </c>
      <c r="GJ1131" s="2">
        <v>0</v>
      </c>
      <c r="GK1131" s="2">
        <f>ROUND(R1131*(R12)/100,2)</f>
        <v>0</v>
      </c>
      <c r="GL1131" s="2">
        <f t="shared" si="981"/>
        <v>0</v>
      </c>
      <c r="GM1131" s="2">
        <f t="shared" si="982"/>
        <v>0</v>
      </c>
      <c r="GN1131" s="2">
        <f t="shared" si="983"/>
        <v>0</v>
      </c>
      <c r="GO1131" s="2">
        <f t="shared" si="984"/>
        <v>0</v>
      </c>
      <c r="GP1131" s="2">
        <f t="shared" si="985"/>
        <v>0</v>
      </c>
      <c r="GQ1131" s="2"/>
      <c r="GR1131" s="2">
        <v>0</v>
      </c>
      <c r="GS1131" s="2">
        <v>0</v>
      </c>
      <c r="GT1131" s="2">
        <v>0</v>
      </c>
      <c r="GU1131" s="2" t="s">
        <v>3</v>
      </c>
      <c r="GV1131" s="2">
        <f t="shared" si="986"/>
        <v>0</v>
      </c>
      <c r="GW1131" s="2">
        <v>1</v>
      </c>
      <c r="GX1131" s="2">
        <f t="shared" si="987"/>
        <v>0</v>
      </c>
      <c r="GY1131" s="2"/>
      <c r="GZ1131" s="2"/>
      <c r="HA1131" s="2">
        <v>0</v>
      </c>
      <c r="HB1131" s="2">
        <v>0</v>
      </c>
      <c r="HC1131" s="2">
        <f t="shared" si="988"/>
        <v>0</v>
      </c>
      <c r="HD1131" s="2"/>
      <c r="HE1131" s="2" t="s">
        <v>3</v>
      </c>
      <c r="HF1131" s="2" t="s">
        <v>3</v>
      </c>
      <c r="HG1131" s="2"/>
      <c r="HH1131" s="2"/>
      <c r="HI1131" s="2"/>
      <c r="HJ1131" s="2"/>
      <c r="HK1131" s="2"/>
      <c r="HL1131" s="2"/>
      <c r="HM1131" s="2" t="s">
        <v>3</v>
      </c>
      <c r="HN1131" s="2" t="s">
        <v>3</v>
      </c>
      <c r="HO1131" s="2" t="s">
        <v>3</v>
      </c>
      <c r="HP1131" s="2" t="s">
        <v>3</v>
      </c>
      <c r="HQ1131" s="2" t="s">
        <v>3</v>
      </c>
      <c r="HR1131" s="2"/>
      <c r="HS1131" s="2"/>
      <c r="HT1131" s="2"/>
      <c r="HU1131" s="2"/>
      <c r="HV1131" s="2"/>
      <c r="HW1131" s="2"/>
      <c r="HX1131" s="2"/>
      <c r="HY1131" s="2"/>
      <c r="HZ1131" s="2"/>
      <c r="IA1131" s="2"/>
      <c r="IB1131" s="2"/>
      <c r="IC1131" s="2"/>
      <c r="ID1131" s="2"/>
      <c r="IE1131" s="2"/>
      <c r="IF1131" s="2"/>
      <c r="IG1131" s="2"/>
      <c r="IH1131" s="2"/>
      <c r="II1131" s="2"/>
      <c r="IJ1131" s="2"/>
      <c r="IK1131" s="2">
        <v>0</v>
      </c>
      <c r="IL1131" s="2"/>
      <c r="IM1131" s="2"/>
      <c r="IN1131" s="2"/>
      <c r="IO1131" s="2"/>
      <c r="IP1131" s="2"/>
      <c r="IQ1131" s="2"/>
      <c r="IR1131" s="2"/>
      <c r="IS1131" s="2"/>
      <c r="IT1131" s="2"/>
      <c r="IU1131" s="2"/>
    </row>
    <row r="1132" spans="1:255" x14ac:dyDescent="0.2">
      <c r="A1132">
        <v>18</v>
      </c>
      <c r="B1132">
        <v>1</v>
      </c>
      <c r="C1132">
        <v>969</v>
      </c>
      <c r="E1132" t="s">
        <v>781</v>
      </c>
      <c r="F1132" t="s">
        <v>916</v>
      </c>
      <c r="G1132" t="s">
        <v>917</v>
      </c>
      <c r="H1132" t="s">
        <v>250</v>
      </c>
      <c r="I1132">
        <f>I1128*J1132</f>
        <v>3</v>
      </c>
      <c r="J1132">
        <v>100</v>
      </c>
      <c r="K1132">
        <v>100</v>
      </c>
      <c r="O1132">
        <f t="shared" si="958"/>
        <v>0</v>
      </c>
      <c r="P1132">
        <f t="shared" si="959"/>
        <v>0</v>
      </c>
      <c r="Q1132">
        <f t="shared" si="989"/>
        <v>0</v>
      </c>
      <c r="R1132">
        <f t="shared" si="960"/>
        <v>0</v>
      </c>
      <c r="S1132">
        <f t="shared" si="961"/>
        <v>0</v>
      </c>
      <c r="T1132">
        <f t="shared" si="962"/>
        <v>0</v>
      </c>
      <c r="U1132">
        <f t="shared" si="963"/>
        <v>0</v>
      </c>
      <c r="V1132">
        <f t="shared" si="964"/>
        <v>0</v>
      </c>
      <c r="W1132">
        <f t="shared" si="965"/>
        <v>0</v>
      </c>
      <c r="X1132">
        <f t="shared" si="966"/>
        <v>0</v>
      </c>
      <c r="Y1132">
        <f t="shared" si="967"/>
        <v>0</v>
      </c>
      <c r="AA1132">
        <v>129761633</v>
      </c>
      <c r="AB1132">
        <f t="shared" si="968"/>
        <v>0</v>
      </c>
      <c r="AC1132">
        <f t="shared" si="969"/>
        <v>0</v>
      </c>
      <c r="AD1132">
        <f t="shared" si="990"/>
        <v>0</v>
      </c>
      <c r="AE1132">
        <f t="shared" si="991"/>
        <v>0</v>
      </c>
      <c r="AF1132">
        <f t="shared" si="991"/>
        <v>0</v>
      </c>
      <c r="AG1132">
        <f t="shared" si="970"/>
        <v>0</v>
      </c>
      <c r="AH1132">
        <f t="shared" si="992"/>
        <v>0</v>
      </c>
      <c r="AI1132">
        <f t="shared" si="992"/>
        <v>0</v>
      </c>
      <c r="AJ1132">
        <f t="shared" si="971"/>
        <v>0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0</v>
      </c>
      <c r="AU1132">
        <v>0</v>
      </c>
      <c r="AV1132">
        <v>1</v>
      </c>
      <c r="AW1132">
        <v>1</v>
      </c>
      <c r="AZ1132">
        <v>1</v>
      </c>
      <c r="BA1132">
        <v>1</v>
      </c>
      <c r="BB1132">
        <v>1</v>
      </c>
      <c r="BC1132">
        <v>3.64</v>
      </c>
      <c r="BD1132" t="s">
        <v>3</v>
      </c>
      <c r="BE1132" t="s">
        <v>3</v>
      </c>
      <c r="BF1132" t="s">
        <v>3</v>
      </c>
      <c r="BG1132" t="s">
        <v>3</v>
      </c>
      <c r="BH1132">
        <v>3</v>
      </c>
      <c r="BI1132">
        <v>1</v>
      </c>
      <c r="BJ1132" t="s">
        <v>3</v>
      </c>
      <c r="BM1132">
        <v>1623</v>
      </c>
      <c r="BN1132">
        <v>0</v>
      </c>
      <c r="BO1132" t="s">
        <v>916</v>
      </c>
      <c r="BP1132">
        <v>1</v>
      </c>
      <c r="BQ1132">
        <v>30</v>
      </c>
      <c r="BR1132">
        <v>0</v>
      </c>
      <c r="BS1132">
        <v>1</v>
      </c>
      <c r="BT1132">
        <v>1</v>
      </c>
      <c r="BU1132">
        <v>1</v>
      </c>
      <c r="BV1132">
        <v>1</v>
      </c>
      <c r="BW1132">
        <v>1</v>
      </c>
      <c r="BX1132">
        <v>1</v>
      </c>
      <c r="BY1132" t="s">
        <v>3</v>
      </c>
      <c r="BZ1132">
        <v>0</v>
      </c>
      <c r="CA1132">
        <v>0</v>
      </c>
      <c r="CB1132" t="s">
        <v>3</v>
      </c>
      <c r="CE1132">
        <v>30</v>
      </c>
      <c r="CF1132">
        <v>0</v>
      </c>
      <c r="CG1132">
        <v>0</v>
      </c>
      <c r="CM1132">
        <v>0</v>
      </c>
      <c r="CN1132" t="s">
        <v>3</v>
      </c>
      <c r="CO1132">
        <v>0</v>
      </c>
      <c r="CP1132">
        <f t="shared" si="972"/>
        <v>0</v>
      </c>
      <c r="CQ1132">
        <f t="shared" si="973"/>
        <v>0</v>
      </c>
      <c r="CR1132">
        <f t="shared" si="993"/>
        <v>0</v>
      </c>
      <c r="CS1132">
        <f t="shared" si="974"/>
        <v>0</v>
      </c>
      <c r="CT1132">
        <f t="shared" si="975"/>
        <v>0</v>
      </c>
      <c r="CU1132">
        <f t="shared" si="976"/>
        <v>0</v>
      </c>
      <c r="CV1132">
        <f t="shared" si="977"/>
        <v>0</v>
      </c>
      <c r="CW1132">
        <f t="shared" si="978"/>
        <v>0</v>
      </c>
      <c r="CX1132">
        <f t="shared" si="979"/>
        <v>0</v>
      </c>
      <c r="CY1132">
        <f>S1132*(BZ1132/100)</f>
        <v>0</v>
      </c>
      <c r="CZ1132">
        <f>S1132*(CA1132/100)</f>
        <v>0</v>
      </c>
      <c r="DC1132" t="s">
        <v>3</v>
      </c>
      <c r="DD1132" t="s">
        <v>3</v>
      </c>
      <c r="DE1132" t="s">
        <v>3</v>
      </c>
      <c r="DF1132" t="s">
        <v>3</v>
      </c>
      <c r="DG1132" t="s">
        <v>3</v>
      </c>
      <c r="DH1132" t="s">
        <v>3</v>
      </c>
      <c r="DI1132" t="s">
        <v>3</v>
      </c>
      <c r="DJ1132" t="s">
        <v>3</v>
      </c>
      <c r="DK1132" t="s">
        <v>3</v>
      </c>
      <c r="DL1132" t="s">
        <v>3</v>
      </c>
      <c r="DM1132" t="s">
        <v>3</v>
      </c>
      <c r="DN1132">
        <v>110</v>
      </c>
      <c r="DO1132">
        <v>74</v>
      </c>
      <c r="DP1132">
        <v>1</v>
      </c>
      <c r="DQ1132">
        <v>1</v>
      </c>
      <c r="DU1132">
        <v>1010</v>
      </c>
      <c r="DV1132" t="s">
        <v>250</v>
      </c>
      <c r="DW1132" t="s">
        <v>250</v>
      </c>
      <c r="DX1132">
        <v>1</v>
      </c>
      <c r="DZ1132" t="s">
        <v>3</v>
      </c>
      <c r="EA1132" t="s">
        <v>3</v>
      </c>
      <c r="EB1132" t="s">
        <v>3</v>
      </c>
      <c r="EC1132" t="s">
        <v>3</v>
      </c>
      <c r="EE1132">
        <v>126053084</v>
      </c>
      <c r="EF1132">
        <v>30</v>
      </c>
      <c r="EG1132" t="s">
        <v>23</v>
      </c>
      <c r="EH1132">
        <v>0</v>
      </c>
      <c r="EI1132" t="s">
        <v>3</v>
      </c>
      <c r="EJ1132">
        <v>1</v>
      </c>
      <c r="EK1132">
        <v>1623</v>
      </c>
      <c r="EL1132" t="s">
        <v>824</v>
      </c>
      <c r="EM1132" t="s">
        <v>825</v>
      </c>
      <c r="EO1132" t="s">
        <v>3</v>
      </c>
      <c r="EQ1132">
        <v>0</v>
      </c>
      <c r="ER1132">
        <v>0</v>
      </c>
      <c r="ES1132">
        <v>0</v>
      </c>
      <c r="ET1132">
        <v>0</v>
      </c>
      <c r="EU1132">
        <v>0</v>
      </c>
      <c r="EV1132">
        <v>0</v>
      </c>
      <c r="EW1132">
        <v>0</v>
      </c>
      <c r="EX1132">
        <v>0</v>
      </c>
      <c r="FQ1132">
        <v>0</v>
      </c>
      <c r="FR1132">
        <f t="shared" si="980"/>
        <v>0</v>
      </c>
      <c r="FS1132">
        <v>0</v>
      </c>
      <c r="FX1132">
        <v>110</v>
      </c>
      <c r="FY1132">
        <v>74</v>
      </c>
      <c r="GA1132" t="s">
        <v>259</v>
      </c>
      <c r="GD1132">
        <v>0</v>
      </c>
      <c r="GF1132">
        <v>1044711563</v>
      </c>
      <c r="GG1132">
        <v>2</v>
      </c>
      <c r="GH1132">
        <v>2</v>
      </c>
      <c r="GI1132">
        <v>2</v>
      </c>
      <c r="GJ1132">
        <v>0</v>
      </c>
      <c r="GK1132">
        <f>ROUND(R1132*(S12)/100,2)</f>
        <v>0</v>
      </c>
      <c r="GL1132">
        <f t="shared" si="981"/>
        <v>0</v>
      </c>
      <c r="GM1132">
        <f t="shared" si="982"/>
        <v>0</v>
      </c>
      <c r="GN1132">
        <f t="shared" si="983"/>
        <v>0</v>
      </c>
      <c r="GO1132">
        <f t="shared" si="984"/>
        <v>0</v>
      </c>
      <c r="GP1132">
        <f t="shared" si="985"/>
        <v>0</v>
      </c>
      <c r="GR1132">
        <v>0</v>
      </c>
      <c r="GS1132">
        <v>4</v>
      </c>
      <c r="GT1132">
        <v>0</v>
      </c>
      <c r="GU1132" t="s">
        <v>3</v>
      </c>
      <c r="GV1132">
        <f t="shared" si="986"/>
        <v>0</v>
      </c>
      <c r="GW1132">
        <v>1</v>
      </c>
      <c r="GX1132">
        <f t="shared" si="987"/>
        <v>0</v>
      </c>
      <c r="HA1132">
        <v>0</v>
      </c>
      <c r="HB1132">
        <v>0</v>
      </c>
      <c r="HC1132">
        <f t="shared" si="988"/>
        <v>0</v>
      </c>
      <c r="HE1132" t="s">
        <v>3</v>
      </c>
      <c r="HF1132" t="s">
        <v>3</v>
      </c>
      <c r="HM1132" t="s">
        <v>3</v>
      </c>
      <c r="HN1132" t="s">
        <v>3</v>
      </c>
      <c r="HO1132" t="s">
        <v>3</v>
      </c>
      <c r="HP1132" t="s">
        <v>3</v>
      </c>
      <c r="HQ1132" t="s">
        <v>3</v>
      </c>
      <c r="IK1132">
        <v>0</v>
      </c>
    </row>
    <row r="1133" spans="1:255" x14ac:dyDescent="0.2">
      <c r="A1133" s="2">
        <v>18</v>
      </c>
      <c r="B1133" s="2">
        <v>1</v>
      </c>
      <c r="C1133" s="2">
        <v>963</v>
      </c>
      <c r="D1133" s="2"/>
      <c r="E1133" s="2" t="s">
        <v>784</v>
      </c>
      <c r="F1133" s="2" t="s">
        <v>918</v>
      </c>
      <c r="G1133" s="2" t="s">
        <v>919</v>
      </c>
      <c r="H1133" s="2" t="s">
        <v>250</v>
      </c>
      <c r="I1133" s="2">
        <f>I1127*J1133</f>
        <v>1</v>
      </c>
      <c r="J1133" s="2">
        <v>33.333333333333336</v>
      </c>
      <c r="K1133" s="2">
        <v>33.333333000000003</v>
      </c>
      <c r="L1133" s="2"/>
      <c r="M1133" s="2"/>
      <c r="N1133" s="2"/>
      <c r="O1133" s="2">
        <f t="shared" si="958"/>
        <v>0</v>
      </c>
      <c r="P1133" s="2">
        <f t="shared" si="959"/>
        <v>0</v>
      </c>
      <c r="Q1133" s="2">
        <f t="shared" si="989"/>
        <v>0</v>
      </c>
      <c r="R1133" s="2">
        <f t="shared" si="960"/>
        <v>0</v>
      </c>
      <c r="S1133" s="2">
        <f t="shared" si="961"/>
        <v>0</v>
      </c>
      <c r="T1133" s="2">
        <f t="shared" si="962"/>
        <v>0</v>
      </c>
      <c r="U1133" s="2">
        <f t="shared" si="963"/>
        <v>0</v>
      </c>
      <c r="V1133" s="2">
        <f t="shared" si="964"/>
        <v>0</v>
      </c>
      <c r="W1133" s="2">
        <f t="shared" si="965"/>
        <v>0</v>
      </c>
      <c r="X1133" s="2">
        <f t="shared" si="966"/>
        <v>0</v>
      </c>
      <c r="Y1133" s="2">
        <f t="shared" si="967"/>
        <v>0</v>
      </c>
      <c r="Z1133" s="2"/>
      <c r="AA1133" s="2">
        <v>129761636</v>
      </c>
      <c r="AB1133" s="2">
        <f t="shared" si="968"/>
        <v>0</v>
      </c>
      <c r="AC1133" s="2">
        <f t="shared" si="969"/>
        <v>0</v>
      </c>
      <c r="AD1133" s="2">
        <f t="shared" si="990"/>
        <v>0</v>
      </c>
      <c r="AE1133" s="2">
        <f t="shared" si="991"/>
        <v>0</v>
      </c>
      <c r="AF1133" s="2">
        <f t="shared" si="991"/>
        <v>0</v>
      </c>
      <c r="AG1133" s="2">
        <f t="shared" si="970"/>
        <v>0</v>
      </c>
      <c r="AH1133" s="2">
        <f t="shared" si="992"/>
        <v>0</v>
      </c>
      <c r="AI1133" s="2">
        <f t="shared" si="992"/>
        <v>0</v>
      </c>
      <c r="AJ1133" s="2">
        <f t="shared" si="971"/>
        <v>0</v>
      </c>
      <c r="AK1133" s="2">
        <v>0</v>
      </c>
      <c r="AL1133" s="2">
        <v>0</v>
      </c>
      <c r="AM1133" s="2">
        <v>0</v>
      </c>
      <c r="AN1133" s="2">
        <v>0</v>
      </c>
      <c r="AO1133" s="2">
        <v>0</v>
      </c>
      <c r="AP1133" s="2">
        <v>0</v>
      </c>
      <c r="AQ1133" s="2">
        <v>0</v>
      </c>
      <c r="AR1133" s="2">
        <v>0</v>
      </c>
      <c r="AS1133" s="2">
        <v>0</v>
      </c>
      <c r="AT1133" s="2">
        <v>110</v>
      </c>
      <c r="AU1133" s="2">
        <v>74</v>
      </c>
      <c r="AV1133" s="2">
        <v>1</v>
      </c>
      <c r="AW1133" s="2">
        <v>1</v>
      </c>
      <c r="AX1133" s="2"/>
      <c r="AY1133" s="2"/>
      <c r="AZ1133" s="2">
        <v>1</v>
      </c>
      <c r="BA1133" s="2">
        <v>1</v>
      </c>
      <c r="BB1133" s="2">
        <v>1</v>
      </c>
      <c r="BC1133" s="2">
        <v>1</v>
      </c>
      <c r="BD1133" s="2" t="s">
        <v>3</v>
      </c>
      <c r="BE1133" s="2" t="s">
        <v>3</v>
      </c>
      <c r="BF1133" s="2" t="s">
        <v>3</v>
      </c>
      <c r="BG1133" s="2" t="s">
        <v>3</v>
      </c>
      <c r="BH1133" s="2">
        <v>3</v>
      </c>
      <c r="BI1133" s="2">
        <v>1</v>
      </c>
      <c r="BJ1133" s="2" t="s">
        <v>3</v>
      </c>
      <c r="BK1133" s="2"/>
      <c r="BL1133" s="2"/>
      <c r="BM1133" s="2">
        <v>1623</v>
      </c>
      <c r="BN1133" s="2">
        <v>0</v>
      </c>
      <c r="BO1133" s="2" t="s">
        <v>3</v>
      </c>
      <c r="BP1133" s="2">
        <v>0</v>
      </c>
      <c r="BQ1133" s="2">
        <v>30</v>
      </c>
      <c r="BR1133" s="2">
        <v>0</v>
      </c>
      <c r="BS1133" s="2">
        <v>1</v>
      </c>
      <c r="BT1133" s="2">
        <v>1</v>
      </c>
      <c r="BU1133" s="2">
        <v>1</v>
      </c>
      <c r="BV1133" s="2">
        <v>1</v>
      </c>
      <c r="BW1133" s="2">
        <v>1</v>
      </c>
      <c r="BX1133" s="2">
        <v>1</v>
      </c>
      <c r="BY1133" s="2" t="s">
        <v>3</v>
      </c>
      <c r="BZ1133" s="2">
        <v>110</v>
      </c>
      <c r="CA1133" s="2">
        <v>74</v>
      </c>
      <c r="CB1133" s="2" t="s">
        <v>3</v>
      </c>
      <c r="CC1133" s="2"/>
      <c r="CD1133" s="2"/>
      <c r="CE1133" s="2">
        <v>30</v>
      </c>
      <c r="CF1133" s="2">
        <v>0</v>
      </c>
      <c r="CG1133" s="2">
        <v>0</v>
      </c>
      <c r="CH1133" s="2"/>
      <c r="CI1133" s="2"/>
      <c r="CJ1133" s="2"/>
      <c r="CK1133" s="2"/>
      <c r="CL1133" s="2"/>
      <c r="CM1133" s="2">
        <v>0</v>
      </c>
      <c r="CN1133" s="2" t="s">
        <v>3</v>
      </c>
      <c r="CO1133" s="2">
        <v>0</v>
      </c>
      <c r="CP1133" s="2">
        <f t="shared" si="972"/>
        <v>0</v>
      </c>
      <c r="CQ1133" s="2">
        <f t="shared" si="973"/>
        <v>0</v>
      </c>
      <c r="CR1133" s="2">
        <f t="shared" si="993"/>
        <v>0</v>
      </c>
      <c r="CS1133" s="2">
        <f t="shared" si="974"/>
        <v>0</v>
      </c>
      <c r="CT1133" s="2">
        <f t="shared" si="975"/>
        <v>0</v>
      </c>
      <c r="CU1133" s="2">
        <f t="shared" si="976"/>
        <v>0</v>
      </c>
      <c r="CV1133" s="2">
        <f t="shared" si="977"/>
        <v>0</v>
      </c>
      <c r="CW1133" s="2">
        <f t="shared" si="978"/>
        <v>0</v>
      </c>
      <c r="CX1133" s="2">
        <f t="shared" si="979"/>
        <v>0</v>
      </c>
      <c r="CY1133" s="2">
        <f>((S1133*BZ1133)/100)</f>
        <v>0</v>
      </c>
      <c r="CZ1133" s="2">
        <f>((S1133*CA1133)/100)</f>
        <v>0</v>
      </c>
      <c r="DA1133" s="2"/>
      <c r="DB1133" s="2"/>
      <c r="DC1133" s="2" t="s">
        <v>3</v>
      </c>
      <c r="DD1133" s="2" t="s">
        <v>3</v>
      </c>
      <c r="DE1133" s="2" t="s">
        <v>3</v>
      </c>
      <c r="DF1133" s="2" t="s">
        <v>3</v>
      </c>
      <c r="DG1133" s="2" t="s">
        <v>3</v>
      </c>
      <c r="DH1133" s="2" t="s">
        <v>3</v>
      </c>
      <c r="DI1133" s="2" t="s">
        <v>3</v>
      </c>
      <c r="DJ1133" s="2" t="s">
        <v>3</v>
      </c>
      <c r="DK1133" s="2" t="s">
        <v>3</v>
      </c>
      <c r="DL1133" s="2" t="s">
        <v>3</v>
      </c>
      <c r="DM1133" s="2" t="s">
        <v>3</v>
      </c>
      <c r="DN1133" s="2">
        <v>0</v>
      </c>
      <c r="DO1133" s="2">
        <v>0</v>
      </c>
      <c r="DP1133" s="2">
        <v>1</v>
      </c>
      <c r="DQ1133" s="2">
        <v>1</v>
      </c>
      <c r="DR1133" s="2"/>
      <c r="DS1133" s="2"/>
      <c r="DT1133" s="2"/>
      <c r="DU1133" s="2">
        <v>1010</v>
      </c>
      <c r="DV1133" s="2" t="s">
        <v>250</v>
      </c>
      <c r="DW1133" s="2" t="s">
        <v>250</v>
      </c>
      <c r="DX1133" s="2">
        <v>1</v>
      </c>
      <c r="DY1133" s="2"/>
      <c r="DZ1133" s="2" t="s">
        <v>3</v>
      </c>
      <c r="EA1133" s="2" t="s">
        <v>3</v>
      </c>
      <c r="EB1133" s="2" t="s">
        <v>3</v>
      </c>
      <c r="EC1133" s="2" t="s">
        <v>3</v>
      </c>
      <c r="ED1133" s="2"/>
      <c r="EE1133" s="2">
        <v>126053084</v>
      </c>
      <c r="EF1133" s="2">
        <v>30</v>
      </c>
      <c r="EG1133" s="2" t="s">
        <v>23</v>
      </c>
      <c r="EH1133" s="2">
        <v>0</v>
      </c>
      <c r="EI1133" s="2" t="s">
        <v>3</v>
      </c>
      <c r="EJ1133" s="2">
        <v>1</v>
      </c>
      <c r="EK1133" s="2">
        <v>1623</v>
      </c>
      <c r="EL1133" s="2" t="s">
        <v>824</v>
      </c>
      <c r="EM1133" s="2" t="s">
        <v>825</v>
      </c>
      <c r="EN1133" s="2"/>
      <c r="EO1133" s="2" t="s">
        <v>3</v>
      </c>
      <c r="EP1133" s="2"/>
      <c r="EQ1133" s="2">
        <v>0</v>
      </c>
      <c r="ER1133" s="2">
        <v>0</v>
      </c>
      <c r="ES1133" s="2">
        <v>0</v>
      </c>
      <c r="ET1133" s="2">
        <v>0</v>
      </c>
      <c r="EU1133" s="2">
        <v>0</v>
      </c>
      <c r="EV1133" s="2">
        <v>0</v>
      </c>
      <c r="EW1133" s="2">
        <v>0</v>
      </c>
      <c r="EX1133" s="2">
        <v>0</v>
      </c>
      <c r="EY1133" s="2"/>
      <c r="EZ1133" s="2"/>
      <c r="FA1133" s="2"/>
      <c r="FB1133" s="2"/>
      <c r="FC1133" s="2"/>
      <c r="FD1133" s="2"/>
      <c r="FE1133" s="2"/>
      <c r="FF1133" s="2"/>
      <c r="FG1133" s="2"/>
      <c r="FH1133" s="2"/>
      <c r="FI1133" s="2"/>
      <c r="FJ1133" s="2"/>
      <c r="FK1133" s="2"/>
      <c r="FL1133" s="2"/>
      <c r="FM1133" s="2"/>
      <c r="FN1133" s="2"/>
      <c r="FO1133" s="2"/>
      <c r="FP1133" s="2"/>
      <c r="FQ1133" s="2">
        <v>0</v>
      </c>
      <c r="FR1133" s="2">
        <f t="shared" si="980"/>
        <v>0</v>
      </c>
      <c r="FS1133" s="2">
        <v>0</v>
      </c>
      <c r="FT1133" s="2"/>
      <c r="FU1133" s="2"/>
      <c r="FV1133" s="2"/>
      <c r="FW1133" s="2"/>
      <c r="FX1133" s="2">
        <v>110</v>
      </c>
      <c r="FY1133" s="2">
        <v>74</v>
      </c>
      <c r="FZ1133" s="2"/>
      <c r="GA1133" s="2" t="s">
        <v>3</v>
      </c>
      <c r="GB1133" s="2"/>
      <c r="GC1133" s="2"/>
      <c r="GD1133" s="2">
        <v>0</v>
      </c>
      <c r="GE1133" s="2"/>
      <c r="GF1133" s="2">
        <v>1633249833</v>
      </c>
      <c r="GG1133" s="2">
        <v>2</v>
      </c>
      <c r="GH1133" s="2">
        <v>0</v>
      </c>
      <c r="GI1133" s="2">
        <v>-2</v>
      </c>
      <c r="GJ1133" s="2">
        <v>0</v>
      </c>
      <c r="GK1133" s="2">
        <f>ROUND(R1133*(R12)/100,2)</f>
        <v>0</v>
      </c>
      <c r="GL1133" s="2">
        <f t="shared" si="981"/>
        <v>0</v>
      </c>
      <c r="GM1133" s="2">
        <f t="shared" si="982"/>
        <v>0</v>
      </c>
      <c r="GN1133" s="2">
        <f t="shared" si="983"/>
        <v>0</v>
      </c>
      <c r="GO1133" s="2">
        <f t="shared" si="984"/>
        <v>0</v>
      </c>
      <c r="GP1133" s="2">
        <f t="shared" si="985"/>
        <v>0</v>
      </c>
      <c r="GQ1133" s="2"/>
      <c r="GR1133" s="2">
        <v>0</v>
      </c>
      <c r="GS1133" s="2">
        <v>0</v>
      </c>
      <c r="GT1133" s="2">
        <v>0</v>
      </c>
      <c r="GU1133" s="2" t="s">
        <v>3</v>
      </c>
      <c r="GV1133" s="2">
        <f t="shared" si="986"/>
        <v>0</v>
      </c>
      <c r="GW1133" s="2">
        <v>1</v>
      </c>
      <c r="GX1133" s="2">
        <f t="shared" si="987"/>
        <v>0</v>
      </c>
      <c r="GY1133" s="2"/>
      <c r="GZ1133" s="2"/>
      <c r="HA1133" s="2">
        <v>0</v>
      </c>
      <c r="HB1133" s="2">
        <v>0</v>
      </c>
      <c r="HC1133" s="2">
        <f t="shared" si="988"/>
        <v>0</v>
      </c>
      <c r="HD1133" s="2"/>
      <c r="HE1133" s="2" t="s">
        <v>3</v>
      </c>
      <c r="HF1133" s="2" t="s">
        <v>3</v>
      </c>
      <c r="HG1133" s="2"/>
      <c r="HH1133" s="2"/>
      <c r="HI1133" s="2"/>
      <c r="HJ1133" s="2"/>
      <c r="HK1133" s="2"/>
      <c r="HL1133" s="2"/>
      <c r="HM1133" s="2" t="s">
        <v>3</v>
      </c>
      <c r="HN1133" s="2" t="s">
        <v>3</v>
      </c>
      <c r="HO1133" s="2" t="s">
        <v>3</v>
      </c>
      <c r="HP1133" s="2" t="s">
        <v>3</v>
      </c>
      <c r="HQ1133" s="2" t="s">
        <v>3</v>
      </c>
      <c r="HR1133" s="2"/>
      <c r="HS1133" s="2"/>
      <c r="HT1133" s="2"/>
      <c r="HU1133" s="2"/>
      <c r="HV1133" s="2"/>
      <c r="HW1133" s="2"/>
      <c r="HX1133" s="2"/>
      <c r="HY1133" s="2"/>
      <c r="HZ1133" s="2"/>
      <c r="IA1133" s="2"/>
      <c r="IB1133" s="2"/>
      <c r="IC1133" s="2"/>
      <c r="ID1133" s="2"/>
      <c r="IE1133" s="2"/>
      <c r="IF1133" s="2"/>
      <c r="IG1133" s="2"/>
      <c r="IH1133" s="2"/>
      <c r="II1133" s="2"/>
      <c r="IJ1133" s="2"/>
      <c r="IK1133" s="2">
        <v>0</v>
      </c>
      <c r="IL1133" s="2"/>
      <c r="IM1133" s="2"/>
      <c r="IN1133" s="2"/>
      <c r="IO1133" s="2"/>
      <c r="IP1133" s="2"/>
      <c r="IQ1133" s="2"/>
      <c r="IR1133" s="2"/>
      <c r="IS1133" s="2"/>
      <c r="IT1133" s="2"/>
      <c r="IU1133" s="2"/>
    </row>
    <row r="1134" spans="1:255" x14ac:dyDescent="0.2">
      <c r="A1134">
        <v>18</v>
      </c>
      <c r="B1134">
        <v>1</v>
      </c>
      <c r="C1134">
        <v>970</v>
      </c>
      <c r="E1134" t="s">
        <v>784</v>
      </c>
      <c r="F1134" t="s">
        <v>918</v>
      </c>
      <c r="G1134" t="s">
        <v>919</v>
      </c>
      <c r="H1134" t="s">
        <v>250</v>
      </c>
      <c r="I1134">
        <f>I1128*J1134</f>
        <v>1</v>
      </c>
      <c r="J1134">
        <v>33.333333333333336</v>
      </c>
      <c r="K1134">
        <v>33.333333000000003</v>
      </c>
      <c r="O1134">
        <f t="shared" si="958"/>
        <v>0</v>
      </c>
      <c r="P1134">
        <f t="shared" si="959"/>
        <v>0</v>
      </c>
      <c r="Q1134">
        <f t="shared" si="989"/>
        <v>0</v>
      </c>
      <c r="R1134">
        <f t="shared" si="960"/>
        <v>0</v>
      </c>
      <c r="S1134">
        <f t="shared" si="961"/>
        <v>0</v>
      </c>
      <c r="T1134">
        <f t="shared" si="962"/>
        <v>0</v>
      </c>
      <c r="U1134">
        <f t="shared" si="963"/>
        <v>0</v>
      </c>
      <c r="V1134">
        <f t="shared" si="964"/>
        <v>0</v>
      </c>
      <c r="W1134">
        <f t="shared" si="965"/>
        <v>0</v>
      </c>
      <c r="X1134">
        <f t="shared" si="966"/>
        <v>0</v>
      </c>
      <c r="Y1134">
        <f t="shared" si="967"/>
        <v>0</v>
      </c>
      <c r="AA1134">
        <v>129761633</v>
      </c>
      <c r="AB1134">
        <f t="shared" si="968"/>
        <v>0</v>
      </c>
      <c r="AC1134">
        <f t="shared" si="969"/>
        <v>0</v>
      </c>
      <c r="AD1134">
        <f t="shared" si="990"/>
        <v>0</v>
      </c>
      <c r="AE1134">
        <f t="shared" si="991"/>
        <v>0</v>
      </c>
      <c r="AF1134">
        <f t="shared" si="991"/>
        <v>0</v>
      </c>
      <c r="AG1134">
        <f t="shared" si="970"/>
        <v>0</v>
      </c>
      <c r="AH1134">
        <f t="shared" si="992"/>
        <v>0</v>
      </c>
      <c r="AI1134">
        <f t="shared" si="992"/>
        <v>0</v>
      </c>
      <c r="AJ1134">
        <f t="shared" si="971"/>
        <v>0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0</v>
      </c>
      <c r="AS1134">
        <v>0</v>
      </c>
      <c r="AT1134">
        <v>0</v>
      </c>
      <c r="AU1134">
        <v>0</v>
      </c>
      <c r="AV1134">
        <v>1</v>
      </c>
      <c r="AW1134">
        <v>1</v>
      </c>
      <c r="AZ1134">
        <v>1</v>
      </c>
      <c r="BA1134">
        <v>1</v>
      </c>
      <c r="BB1134">
        <v>1</v>
      </c>
      <c r="BC1134">
        <v>4.09</v>
      </c>
      <c r="BD1134" t="s">
        <v>3</v>
      </c>
      <c r="BE1134" t="s">
        <v>3</v>
      </c>
      <c r="BF1134" t="s">
        <v>3</v>
      </c>
      <c r="BG1134" t="s">
        <v>3</v>
      </c>
      <c r="BH1134">
        <v>3</v>
      </c>
      <c r="BI1134">
        <v>1</v>
      </c>
      <c r="BJ1134" t="s">
        <v>3</v>
      </c>
      <c r="BM1134">
        <v>1623</v>
      </c>
      <c r="BN1134">
        <v>0</v>
      </c>
      <c r="BO1134" t="s">
        <v>918</v>
      </c>
      <c r="BP1134">
        <v>1</v>
      </c>
      <c r="BQ1134">
        <v>30</v>
      </c>
      <c r="BR1134">
        <v>0</v>
      </c>
      <c r="BS1134">
        <v>1</v>
      </c>
      <c r="BT1134">
        <v>1</v>
      </c>
      <c r="BU1134">
        <v>1</v>
      </c>
      <c r="BV1134">
        <v>1</v>
      </c>
      <c r="BW1134">
        <v>1</v>
      </c>
      <c r="BX1134">
        <v>1</v>
      </c>
      <c r="BY1134" t="s">
        <v>3</v>
      </c>
      <c r="BZ1134">
        <v>0</v>
      </c>
      <c r="CA1134">
        <v>0</v>
      </c>
      <c r="CB1134" t="s">
        <v>3</v>
      </c>
      <c r="CE1134">
        <v>30</v>
      </c>
      <c r="CF1134">
        <v>0</v>
      </c>
      <c r="CG1134">
        <v>0</v>
      </c>
      <c r="CM1134">
        <v>0</v>
      </c>
      <c r="CN1134" t="s">
        <v>3</v>
      </c>
      <c r="CO1134">
        <v>0</v>
      </c>
      <c r="CP1134">
        <f t="shared" si="972"/>
        <v>0</v>
      </c>
      <c r="CQ1134">
        <f t="shared" si="973"/>
        <v>0</v>
      </c>
      <c r="CR1134">
        <f t="shared" si="993"/>
        <v>0</v>
      </c>
      <c r="CS1134">
        <f t="shared" si="974"/>
        <v>0</v>
      </c>
      <c r="CT1134">
        <f t="shared" si="975"/>
        <v>0</v>
      </c>
      <c r="CU1134">
        <f t="shared" si="976"/>
        <v>0</v>
      </c>
      <c r="CV1134">
        <f t="shared" si="977"/>
        <v>0</v>
      </c>
      <c r="CW1134">
        <f t="shared" si="978"/>
        <v>0</v>
      </c>
      <c r="CX1134">
        <f t="shared" si="979"/>
        <v>0</v>
      </c>
      <c r="CY1134">
        <f>S1134*(BZ1134/100)</f>
        <v>0</v>
      </c>
      <c r="CZ1134">
        <f>S1134*(CA1134/100)</f>
        <v>0</v>
      </c>
      <c r="DC1134" t="s">
        <v>3</v>
      </c>
      <c r="DD1134" t="s">
        <v>3</v>
      </c>
      <c r="DE1134" t="s">
        <v>3</v>
      </c>
      <c r="DF1134" t="s">
        <v>3</v>
      </c>
      <c r="DG1134" t="s">
        <v>3</v>
      </c>
      <c r="DH1134" t="s">
        <v>3</v>
      </c>
      <c r="DI1134" t="s">
        <v>3</v>
      </c>
      <c r="DJ1134" t="s">
        <v>3</v>
      </c>
      <c r="DK1134" t="s">
        <v>3</v>
      </c>
      <c r="DL1134" t="s">
        <v>3</v>
      </c>
      <c r="DM1134" t="s">
        <v>3</v>
      </c>
      <c r="DN1134">
        <v>110</v>
      </c>
      <c r="DO1134">
        <v>74</v>
      </c>
      <c r="DP1134">
        <v>1</v>
      </c>
      <c r="DQ1134">
        <v>1</v>
      </c>
      <c r="DU1134">
        <v>1010</v>
      </c>
      <c r="DV1134" t="s">
        <v>250</v>
      </c>
      <c r="DW1134" t="s">
        <v>250</v>
      </c>
      <c r="DX1134">
        <v>1</v>
      </c>
      <c r="DZ1134" t="s">
        <v>3</v>
      </c>
      <c r="EA1134" t="s">
        <v>3</v>
      </c>
      <c r="EB1134" t="s">
        <v>3</v>
      </c>
      <c r="EC1134" t="s">
        <v>3</v>
      </c>
      <c r="EE1134">
        <v>126053084</v>
      </c>
      <c r="EF1134">
        <v>30</v>
      </c>
      <c r="EG1134" t="s">
        <v>23</v>
      </c>
      <c r="EH1134">
        <v>0</v>
      </c>
      <c r="EI1134" t="s">
        <v>3</v>
      </c>
      <c r="EJ1134">
        <v>1</v>
      </c>
      <c r="EK1134">
        <v>1623</v>
      </c>
      <c r="EL1134" t="s">
        <v>824</v>
      </c>
      <c r="EM1134" t="s">
        <v>825</v>
      </c>
      <c r="EO1134" t="s">
        <v>3</v>
      </c>
      <c r="EQ1134">
        <v>0</v>
      </c>
      <c r="ER1134">
        <v>0</v>
      </c>
      <c r="ES1134">
        <v>0</v>
      </c>
      <c r="ET1134">
        <v>0</v>
      </c>
      <c r="EU1134">
        <v>0</v>
      </c>
      <c r="EV1134">
        <v>0</v>
      </c>
      <c r="EW1134">
        <v>0</v>
      </c>
      <c r="EX1134">
        <v>0</v>
      </c>
      <c r="FQ1134">
        <v>0</v>
      </c>
      <c r="FR1134">
        <f t="shared" si="980"/>
        <v>0</v>
      </c>
      <c r="FS1134">
        <v>0</v>
      </c>
      <c r="FX1134">
        <v>110</v>
      </c>
      <c r="FY1134">
        <v>74</v>
      </c>
      <c r="GA1134" t="s">
        <v>259</v>
      </c>
      <c r="GD1134">
        <v>0</v>
      </c>
      <c r="GF1134">
        <v>1633249833</v>
      </c>
      <c r="GG1134">
        <v>2</v>
      </c>
      <c r="GH1134">
        <v>2</v>
      </c>
      <c r="GI1134">
        <v>2</v>
      </c>
      <c r="GJ1134">
        <v>0</v>
      </c>
      <c r="GK1134">
        <f>ROUND(R1134*(S12)/100,2)</f>
        <v>0</v>
      </c>
      <c r="GL1134">
        <f t="shared" si="981"/>
        <v>0</v>
      </c>
      <c r="GM1134">
        <f t="shared" si="982"/>
        <v>0</v>
      </c>
      <c r="GN1134">
        <f t="shared" si="983"/>
        <v>0</v>
      </c>
      <c r="GO1134">
        <f t="shared" si="984"/>
        <v>0</v>
      </c>
      <c r="GP1134">
        <f t="shared" si="985"/>
        <v>0</v>
      </c>
      <c r="GR1134">
        <v>0</v>
      </c>
      <c r="GS1134">
        <v>4</v>
      </c>
      <c r="GT1134">
        <v>0</v>
      </c>
      <c r="GU1134" t="s">
        <v>3</v>
      </c>
      <c r="GV1134">
        <f t="shared" si="986"/>
        <v>0</v>
      </c>
      <c r="GW1134">
        <v>1</v>
      </c>
      <c r="GX1134">
        <f t="shared" si="987"/>
        <v>0</v>
      </c>
      <c r="HA1134">
        <v>0</v>
      </c>
      <c r="HB1134">
        <v>0</v>
      </c>
      <c r="HC1134">
        <f t="shared" si="988"/>
        <v>0</v>
      </c>
      <c r="HE1134" t="s">
        <v>3</v>
      </c>
      <c r="HF1134" t="s">
        <v>3</v>
      </c>
      <c r="HM1134" t="s">
        <v>3</v>
      </c>
      <c r="HN1134" t="s">
        <v>3</v>
      </c>
      <c r="HO1134" t="s">
        <v>3</v>
      </c>
      <c r="HP1134" t="s">
        <v>3</v>
      </c>
      <c r="HQ1134" t="s">
        <v>3</v>
      </c>
      <c r="IK1134">
        <v>0</v>
      </c>
    </row>
    <row r="1135" spans="1:255" x14ac:dyDescent="0.2">
      <c r="A1135" s="2">
        <v>18</v>
      </c>
      <c r="B1135" s="2">
        <v>1</v>
      </c>
      <c r="C1135" s="2">
        <v>965</v>
      </c>
      <c r="D1135" s="2"/>
      <c r="E1135" s="2" t="s">
        <v>787</v>
      </c>
      <c r="F1135" s="2" t="s">
        <v>248</v>
      </c>
      <c r="G1135" s="2" t="s">
        <v>920</v>
      </c>
      <c r="H1135" s="2" t="s">
        <v>250</v>
      </c>
      <c r="I1135" s="2">
        <f>I1127*J1135</f>
        <v>6</v>
      </c>
      <c r="J1135" s="2">
        <v>200</v>
      </c>
      <c r="K1135" s="2">
        <v>200</v>
      </c>
      <c r="L1135" s="2"/>
      <c r="M1135" s="2"/>
      <c r="N1135" s="2"/>
      <c r="O1135" s="2">
        <f t="shared" si="958"/>
        <v>28.32</v>
      </c>
      <c r="P1135" s="2">
        <f t="shared" si="959"/>
        <v>28.32</v>
      </c>
      <c r="Q1135" s="2">
        <f t="shared" si="989"/>
        <v>0</v>
      </c>
      <c r="R1135" s="2">
        <f t="shared" si="960"/>
        <v>0</v>
      </c>
      <c r="S1135" s="2">
        <f t="shared" si="961"/>
        <v>0</v>
      </c>
      <c r="T1135" s="2">
        <f t="shared" si="962"/>
        <v>0</v>
      </c>
      <c r="U1135" s="2">
        <f t="shared" si="963"/>
        <v>0</v>
      </c>
      <c r="V1135" s="2">
        <f t="shared" si="964"/>
        <v>0</v>
      </c>
      <c r="W1135" s="2">
        <f t="shared" si="965"/>
        <v>0</v>
      </c>
      <c r="X1135" s="2">
        <f t="shared" si="966"/>
        <v>0</v>
      </c>
      <c r="Y1135" s="2">
        <f t="shared" si="967"/>
        <v>0</v>
      </c>
      <c r="Z1135" s="2"/>
      <c r="AA1135" s="2">
        <v>129761636</v>
      </c>
      <c r="AB1135" s="2">
        <f t="shared" si="968"/>
        <v>4.72</v>
      </c>
      <c r="AC1135" s="2">
        <f t="shared" si="969"/>
        <v>4.72</v>
      </c>
      <c r="AD1135" s="2">
        <f t="shared" si="990"/>
        <v>0</v>
      </c>
      <c r="AE1135" s="2">
        <f t="shared" si="991"/>
        <v>0</v>
      </c>
      <c r="AF1135" s="2">
        <f t="shared" si="991"/>
        <v>0</v>
      </c>
      <c r="AG1135" s="2">
        <f t="shared" si="970"/>
        <v>0</v>
      </c>
      <c r="AH1135" s="2">
        <f t="shared" si="992"/>
        <v>0</v>
      </c>
      <c r="AI1135" s="2">
        <f t="shared" si="992"/>
        <v>0</v>
      </c>
      <c r="AJ1135" s="2">
        <f t="shared" si="971"/>
        <v>0</v>
      </c>
      <c r="AK1135" s="2">
        <v>4.72</v>
      </c>
      <c r="AL1135" s="2">
        <v>4.72</v>
      </c>
      <c r="AM1135" s="2">
        <v>0</v>
      </c>
      <c r="AN1135" s="2">
        <v>0</v>
      </c>
      <c r="AO1135" s="2">
        <v>0</v>
      </c>
      <c r="AP1135" s="2">
        <v>0</v>
      </c>
      <c r="AQ1135" s="2">
        <v>0</v>
      </c>
      <c r="AR1135" s="2">
        <v>0</v>
      </c>
      <c r="AS1135" s="2">
        <v>0</v>
      </c>
      <c r="AT1135" s="2">
        <v>110</v>
      </c>
      <c r="AU1135" s="2">
        <v>74</v>
      </c>
      <c r="AV1135" s="2">
        <v>1</v>
      </c>
      <c r="AW1135" s="2">
        <v>1</v>
      </c>
      <c r="AX1135" s="2"/>
      <c r="AY1135" s="2"/>
      <c r="AZ1135" s="2">
        <v>1</v>
      </c>
      <c r="BA1135" s="2">
        <v>1</v>
      </c>
      <c r="BB1135" s="2">
        <v>1</v>
      </c>
      <c r="BC1135" s="2">
        <v>1</v>
      </c>
      <c r="BD1135" s="2" t="s">
        <v>3</v>
      </c>
      <c r="BE1135" s="2" t="s">
        <v>3</v>
      </c>
      <c r="BF1135" s="2" t="s">
        <v>3</v>
      </c>
      <c r="BG1135" s="2" t="s">
        <v>3</v>
      </c>
      <c r="BH1135" s="2">
        <v>3</v>
      </c>
      <c r="BI1135" s="2">
        <v>1</v>
      </c>
      <c r="BJ1135" s="2" t="s">
        <v>3</v>
      </c>
      <c r="BK1135" s="2"/>
      <c r="BL1135" s="2"/>
      <c r="BM1135" s="2">
        <v>1623</v>
      </c>
      <c r="BN1135" s="2">
        <v>0</v>
      </c>
      <c r="BO1135" s="2" t="s">
        <v>3</v>
      </c>
      <c r="BP1135" s="2">
        <v>0</v>
      </c>
      <c r="BQ1135" s="2">
        <v>30</v>
      </c>
      <c r="BR1135" s="2">
        <v>0</v>
      </c>
      <c r="BS1135" s="2">
        <v>1</v>
      </c>
      <c r="BT1135" s="2">
        <v>1</v>
      </c>
      <c r="BU1135" s="2">
        <v>1</v>
      </c>
      <c r="BV1135" s="2">
        <v>1</v>
      </c>
      <c r="BW1135" s="2">
        <v>1</v>
      </c>
      <c r="BX1135" s="2">
        <v>1</v>
      </c>
      <c r="BY1135" s="2" t="s">
        <v>3</v>
      </c>
      <c r="BZ1135" s="2">
        <v>110</v>
      </c>
      <c r="CA1135" s="2">
        <v>74</v>
      </c>
      <c r="CB1135" s="2" t="s">
        <v>3</v>
      </c>
      <c r="CC1135" s="2"/>
      <c r="CD1135" s="2"/>
      <c r="CE1135" s="2">
        <v>30</v>
      </c>
      <c r="CF1135" s="2">
        <v>0</v>
      </c>
      <c r="CG1135" s="2">
        <v>0</v>
      </c>
      <c r="CH1135" s="2"/>
      <c r="CI1135" s="2"/>
      <c r="CJ1135" s="2"/>
      <c r="CK1135" s="2"/>
      <c r="CL1135" s="2"/>
      <c r="CM1135" s="2">
        <v>0</v>
      </c>
      <c r="CN1135" s="2" t="s">
        <v>3</v>
      </c>
      <c r="CO1135" s="2">
        <v>0</v>
      </c>
      <c r="CP1135" s="2">
        <f t="shared" si="972"/>
        <v>28.32</v>
      </c>
      <c r="CQ1135" s="2">
        <f t="shared" si="973"/>
        <v>4.72</v>
      </c>
      <c r="CR1135" s="2">
        <f t="shared" si="993"/>
        <v>0</v>
      </c>
      <c r="CS1135" s="2">
        <f t="shared" si="974"/>
        <v>0</v>
      </c>
      <c r="CT1135" s="2">
        <f t="shared" si="975"/>
        <v>0</v>
      </c>
      <c r="CU1135" s="2">
        <f t="shared" si="976"/>
        <v>0</v>
      </c>
      <c r="CV1135" s="2">
        <f t="shared" si="977"/>
        <v>0</v>
      </c>
      <c r="CW1135" s="2">
        <f t="shared" si="978"/>
        <v>0</v>
      </c>
      <c r="CX1135" s="2">
        <f t="shared" si="979"/>
        <v>0</v>
      </c>
      <c r="CY1135" s="2">
        <f>((S1135*BZ1135)/100)</f>
        <v>0</v>
      </c>
      <c r="CZ1135" s="2">
        <f>((S1135*CA1135)/100)</f>
        <v>0</v>
      </c>
      <c r="DA1135" s="2"/>
      <c r="DB1135" s="2"/>
      <c r="DC1135" s="2" t="s">
        <v>3</v>
      </c>
      <c r="DD1135" s="2" t="s">
        <v>3</v>
      </c>
      <c r="DE1135" s="2" t="s">
        <v>3</v>
      </c>
      <c r="DF1135" s="2" t="s">
        <v>3</v>
      </c>
      <c r="DG1135" s="2" t="s">
        <v>3</v>
      </c>
      <c r="DH1135" s="2" t="s">
        <v>3</v>
      </c>
      <c r="DI1135" s="2" t="s">
        <v>3</v>
      </c>
      <c r="DJ1135" s="2" t="s">
        <v>3</v>
      </c>
      <c r="DK1135" s="2" t="s">
        <v>3</v>
      </c>
      <c r="DL1135" s="2" t="s">
        <v>3</v>
      </c>
      <c r="DM1135" s="2" t="s">
        <v>3</v>
      </c>
      <c r="DN1135" s="2">
        <v>0</v>
      </c>
      <c r="DO1135" s="2">
        <v>0</v>
      </c>
      <c r="DP1135" s="2">
        <v>1</v>
      </c>
      <c r="DQ1135" s="2">
        <v>1</v>
      </c>
      <c r="DR1135" s="2"/>
      <c r="DS1135" s="2"/>
      <c r="DT1135" s="2"/>
      <c r="DU1135" s="2">
        <v>1010</v>
      </c>
      <c r="DV1135" s="2" t="s">
        <v>250</v>
      </c>
      <c r="DW1135" s="2" t="s">
        <v>250</v>
      </c>
      <c r="DX1135" s="2">
        <v>1</v>
      </c>
      <c r="DY1135" s="2"/>
      <c r="DZ1135" s="2" t="s">
        <v>3</v>
      </c>
      <c r="EA1135" s="2" t="s">
        <v>3</v>
      </c>
      <c r="EB1135" s="2" t="s">
        <v>3</v>
      </c>
      <c r="EC1135" s="2" t="s">
        <v>3</v>
      </c>
      <c r="ED1135" s="2"/>
      <c r="EE1135" s="2">
        <v>126053084</v>
      </c>
      <c r="EF1135" s="2">
        <v>30</v>
      </c>
      <c r="EG1135" s="2" t="s">
        <v>23</v>
      </c>
      <c r="EH1135" s="2">
        <v>0</v>
      </c>
      <c r="EI1135" s="2" t="s">
        <v>3</v>
      </c>
      <c r="EJ1135" s="2">
        <v>1</v>
      </c>
      <c r="EK1135" s="2">
        <v>1623</v>
      </c>
      <c r="EL1135" s="2" t="s">
        <v>824</v>
      </c>
      <c r="EM1135" s="2" t="s">
        <v>825</v>
      </c>
      <c r="EN1135" s="2"/>
      <c r="EO1135" s="2" t="s">
        <v>3</v>
      </c>
      <c r="EP1135" s="2"/>
      <c r="EQ1135" s="2">
        <v>0</v>
      </c>
      <c r="ER1135" s="2">
        <v>4.72</v>
      </c>
      <c r="ES1135" s="2">
        <v>4.72</v>
      </c>
      <c r="ET1135" s="2">
        <v>0</v>
      </c>
      <c r="EU1135" s="2">
        <v>0</v>
      </c>
      <c r="EV1135" s="2">
        <v>0</v>
      </c>
      <c r="EW1135" s="2">
        <v>0</v>
      </c>
      <c r="EX1135" s="2">
        <v>0</v>
      </c>
      <c r="EY1135" s="2"/>
      <c r="EZ1135" s="2"/>
      <c r="FA1135" s="2"/>
      <c r="FB1135" s="2"/>
      <c r="FC1135" s="2"/>
      <c r="FD1135" s="2"/>
      <c r="FE1135" s="2"/>
      <c r="FF1135" s="2"/>
      <c r="FG1135" s="2"/>
      <c r="FH1135" s="2"/>
      <c r="FI1135" s="2"/>
      <c r="FJ1135" s="2"/>
      <c r="FK1135" s="2"/>
      <c r="FL1135" s="2"/>
      <c r="FM1135" s="2"/>
      <c r="FN1135" s="2"/>
      <c r="FO1135" s="2"/>
      <c r="FP1135" s="2"/>
      <c r="FQ1135" s="2">
        <v>0</v>
      </c>
      <c r="FR1135" s="2">
        <f t="shared" si="980"/>
        <v>0</v>
      </c>
      <c r="FS1135" s="2">
        <v>0</v>
      </c>
      <c r="FT1135" s="2"/>
      <c r="FU1135" s="2"/>
      <c r="FV1135" s="2"/>
      <c r="FW1135" s="2"/>
      <c r="FX1135" s="2">
        <v>110</v>
      </c>
      <c r="FY1135" s="2">
        <v>74</v>
      </c>
      <c r="FZ1135" s="2"/>
      <c r="GA1135" s="2" t="s">
        <v>3</v>
      </c>
      <c r="GB1135" s="2"/>
      <c r="GC1135" s="2"/>
      <c r="GD1135" s="2">
        <v>0</v>
      </c>
      <c r="GE1135" s="2"/>
      <c r="GF1135" s="2">
        <v>-606886621</v>
      </c>
      <c r="GG1135" s="2">
        <v>2</v>
      </c>
      <c r="GH1135" s="2">
        <v>0</v>
      </c>
      <c r="GI1135" s="2">
        <v>-2</v>
      </c>
      <c r="GJ1135" s="2">
        <v>0</v>
      </c>
      <c r="GK1135" s="2">
        <f>ROUND(R1135*(R12)/100,2)</f>
        <v>0</v>
      </c>
      <c r="GL1135" s="2">
        <f t="shared" si="981"/>
        <v>0</v>
      </c>
      <c r="GM1135" s="2">
        <f t="shared" si="982"/>
        <v>28.32</v>
      </c>
      <c r="GN1135" s="2">
        <f t="shared" si="983"/>
        <v>28.32</v>
      </c>
      <c r="GO1135" s="2">
        <f t="shared" si="984"/>
        <v>0</v>
      </c>
      <c r="GP1135" s="2">
        <f t="shared" si="985"/>
        <v>0</v>
      </c>
      <c r="GQ1135" s="2"/>
      <c r="GR1135" s="2">
        <v>0</v>
      </c>
      <c r="GS1135" s="2">
        <v>0</v>
      </c>
      <c r="GT1135" s="2">
        <v>0</v>
      </c>
      <c r="GU1135" s="2" t="s">
        <v>3</v>
      </c>
      <c r="GV1135" s="2">
        <f t="shared" si="986"/>
        <v>0</v>
      </c>
      <c r="GW1135" s="2">
        <v>1</v>
      </c>
      <c r="GX1135" s="2">
        <f t="shared" si="987"/>
        <v>0</v>
      </c>
      <c r="GY1135" s="2"/>
      <c r="GZ1135" s="2"/>
      <c r="HA1135" s="2">
        <v>0</v>
      </c>
      <c r="HB1135" s="2">
        <v>0</v>
      </c>
      <c r="HC1135" s="2">
        <f t="shared" si="988"/>
        <v>0</v>
      </c>
      <c r="HD1135" s="2"/>
      <c r="HE1135" s="2" t="s">
        <v>3</v>
      </c>
      <c r="HF1135" s="2" t="s">
        <v>3</v>
      </c>
      <c r="HG1135" s="2"/>
      <c r="HH1135" s="2"/>
      <c r="HI1135" s="2"/>
      <c r="HJ1135" s="2"/>
      <c r="HK1135" s="2"/>
      <c r="HL1135" s="2"/>
      <c r="HM1135" s="2" t="s">
        <v>3</v>
      </c>
      <c r="HN1135" s="2" t="s">
        <v>3</v>
      </c>
      <c r="HO1135" s="2" t="s">
        <v>3</v>
      </c>
      <c r="HP1135" s="2" t="s">
        <v>3</v>
      </c>
      <c r="HQ1135" s="2" t="s">
        <v>3</v>
      </c>
      <c r="HR1135" s="2"/>
      <c r="HS1135" s="2"/>
      <c r="HT1135" s="2"/>
      <c r="HU1135" s="2"/>
      <c r="HV1135" s="2"/>
      <c r="HW1135" s="2"/>
      <c r="HX1135" s="2"/>
      <c r="HY1135" s="2"/>
      <c r="HZ1135" s="2"/>
      <c r="IA1135" s="2"/>
      <c r="IB1135" s="2"/>
      <c r="IC1135" s="2"/>
      <c r="ID1135" s="2"/>
      <c r="IE1135" s="2"/>
      <c r="IF1135" s="2"/>
      <c r="IG1135" s="2"/>
      <c r="IH1135" s="2"/>
      <c r="II1135" s="2"/>
      <c r="IJ1135" s="2"/>
      <c r="IK1135" s="2">
        <v>0</v>
      </c>
      <c r="IL1135" s="2"/>
      <c r="IM1135" s="2"/>
      <c r="IN1135" s="2"/>
      <c r="IO1135" s="2"/>
      <c r="IP1135" s="2"/>
      <c r="IQ1135" s="2"/>
      <c r="IR1135" s="2"/>
      <c r="IS1135" s="2"/>
      <c r="IT1135" s="2"/>
      <c r="IU1135" s="2"/>
    </row>
    <row r="1136" spans="1:255" x14ac:dyDescent="0.2">
      <c r="A1136">
        <v>18</v>
      </c>
      <c r="B1136">
        <v>1</v>
      </c>
      <c r="C1136">
        <v>972</v>
      </c>
      <c r="E1136" t="s">
        <v>787</v>
      </c>
      <c r="F1136" t="s">
        <v>248</v>
      </c>
      <c r="G1136" t="s">
        <v>920</v>
      </c>
      <c r="H1136" t="s">
        <v>250</v>
      </c>
      <c r="I1136">
        <f>I1128*J1136</f>
        <v>6</v>
      </c>
      <c r="J1136">
        <v>200</v>
      </c>
      <c r="K1136">
        <v>200</v>
      </c>
      <c r="O1136">
        <f t="shared" si="958"/>
        <v>187.88</v>
      </c>
      <c r="P1136">
        <f t="shared" si="959"/>
        <v>187.88</v>
      </c>
      <c r="Q1136">
        <f t="shared" si="989"/>
        <v>0</v>
      </c>
      <c r="R1136">
        <f t="shared" si="960"/>
        <v>0</v>
      </c>
      <c r="S1136">
        <f t="shared" si="961"/>
        <v>0</v>
      </c>
      <c r="T1136">
        <f t="shared" si="962"/>
        <v>0</v>
      </c>
      <c r="U1136">
        <f t="shared" si="963"/>
        <v>0</v>
      </c>
      <c r="V1136">
        <f t="shared" si="964"/>
        <v>0</v>
      </c>
      <c r="W1136">
        <f t="shared" si="965"/>
        <v>0</v>
      </c>
      <c r="X1136">
        <f t="shared" si="966"/>
        <v>0</v>
      </c>
      <c r="Y1136">
        <f t="shared" si="967"/>
        <v>0</v>
      </c>
      <c r="AA1136">
        <v>129761633</v>
      </c>
      <c r="AB1136">
        <f t="shared" si="968"/>
        <v>3.62</v>
      </c>
      <c r="AC1136">
        <f t="shared" si="969"/>
        <v>3.62</v>
      </c>
      <c r="AD1136">
        <f t="shared" si="990"/>
        <v>0</v>
      </c>
      <c r="AE1136">
        <f t="shared" si="991"/>
        <v>0</v>
      </c>
      <c r="AF1136">
        <f t="shared" si="991"/>
        <v>0</v>
      </c>
      <c r="AG1136">
        <f t="shared" si="970"/>
        <v>0</v>
      </c>
      <c r="AH1136">
        <f t="shared" si="992"/>
        <v>0</v>
      </c>
      <c r="AI1136">
        <f t="shared" si="992"/>
        <v>0</v>
      </c>
      <c r="AJ1136">
        <f t="shared" si="971"/>
        <v>0</v>
      </c>
      <c r="AK1136">
        <v>3.6199999999999997</v>
      </c>
      <c r="AL1136">
        <v>3.6199999999999997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1</v>
      </c>
      <c r="AW1136">
        <v>1</v>
      </c>
      <c r="AZ1136">
        <v>1</v>
      </c>
      <c r="BA1136">
        <v>1</v>
      </c>
      <c r="BB1136">
        <v>1</v>
      </c>
      <c r="BC1136">
        <v>8.65</v>
      </c>
      <c r="BD1136" t="s">
        <v>3</v>
      </c>
      <c r="BE1136" t="s">
        <v>3</v>
      </c>
      <c r="BF1136" t="s">
        <v>3</v>
      </c>
      <c r="BG1136" t="s">
        <v>3</v>
      </c>
      <c r="BH1136">
        <v>3</v>
      </c>
      <c r="BI1136">
        <v>1</v>
      </c>
      <c r="BJ1136" t="s">
        <v>3</v>
      </c>
      <c r="BM1136">
        <v>1623</v>
      </c>
      <c r="BN1136">
        <v>0</v>
      </c>
      <c r="BO1136" t="s">
        <v>3</v>
      </c>
      <c r="BP1136">
        <v>0</v>
      </c>
      <c r="BQ1136">
        <v>30</v>
      </c>
      <c r="BR1136">
        <v>0</v>
      </c>
      <c r="BS1136">
        <v>1</v>
      </c>
      <c r="BT1136">
        <v>1</v>
      </c>
      <c r="BU1136">
        <v>1</v>
      </c>
      <c r="BV1136">
        <v>1</v>
      </c>
      <c r="BW1136">
        <v>1</v>
      </c>
      <c r="BX1136">
        <v>1</v>
      </c>
      <c r="BY1136" t="s">
        <v>3</v>
      </c>
      <c r="BZ1136">
        <v>0</v>
      </c>
      <c r="CA1136">
        <v>0</v>
      </c>
      <c r="CB1136" t="s">
        <v>3</v>
      </c>
      <c r="CE1136">
        <v>30</v>
      </c>
      <c r="CF1136">
        <v>0</v>
      </c>
      <c r="CG1136">
        <v>0</v>
      </c>
      <c r="CM1136">
        <v>0</v>
      </c>
      <c r="CN1136" t="s">
        <v>3</v>
      </c>
      <c r="CO1136">
        <v>0</v>
      </c>
      <c r="CP1136">
        <f t="shared" si="972"/>
        <v>187.88</v>
      </c>
      <c r="CQ1136">
        <f t="shared" si="973"/>
        <v>31.31</v>
      </c>
      <c r="CR1136">
        <f t="shared" si="993"/>
        <v>0</v>
      </c>
      <c r="CS1136">
        <f t="shared" si="974"/>
        <v>0</v>
      </c>
      <c r="CT1136">
        <f t="shared" si="975"/>
        <v>0</v>
      </c>
      <c r="CU1136">
        <f t="shared" si="976"/>
        <v>0</v>
      </c>
      <c r="CV1136">
        <f t="shared" si="977"/>
        <v>0</v>
      </c>
      <c r="CW1136">
        <f t="shared" si="978"/>
        <v>0</v>
      </c>
      <c r="CX1136">
        <f t="shared" si="979"/>
        <v>0</v>
      </c>
      <c r="CY1136">
        <f>S1136*(BZ1136/100)</f>
        <v>0</v>
      </c>
      <c r="CZ1136">
        <f>S1136*(CA1136/100)</f>
        <v>0</v>
      </c>
      <c r="DC1136" t="s">
        <v>3</v>
      </c>
      <c r="DD1136" t="s">
        <v>3</v>
      </c>
      <c r="DE1136" t="s">
        <v>3</v>
      </c>
      <c r="DF1136" t="s">
        <v>3</v>
      </c>
      <c r="DG1136" t="s">
        <v>3</v>
      </c>
      <c r="DH1136" t="s">
        <v>3</v>
      </c>
      <c r="DI1136" t="s">
        <v>3</v>
      </c>
      <c r="DJ1136" t="s">
        <v>3</v>
      </c>
      <c r="DK1136" t="s">
        <v>3</v>
      </c>
      <c r="DL1136" t="s">
        <v>3</v>
      </c>
      <c r="DM1136" t="s">
        <v>3</v>
      </c>
      <c r="DN1136">
        <v>110</v>
      </c>
      <c r="DO1136">
        <v>74</v>
      </c>
      <c r="DP1136">
        <v>1</v>
      </c>
      <c r="DQ1136">
        <v>1</v>
      </c>
      <c r="DU1136">
        <v>1010</v>
      </c>
      <c r="DV1136" t="s">
        <v>250</v>
      </c>
      <c r="DW1136" t="s">
        <v>250</v>
      </c>
      <c r="DX1136">
        <v>1</v>
      </c>
      <c r="DZ1136" t="s">
        <v>3</v>
      </c>
      <c r="EA1136" t="s">
        <v>3</v>
      </c>
      <c r="EB1136" t="s">
        <v>3</v>
      </c>
      <c r="EC1136" t="s">
        <v>3</v>
      </c>
      <c r="EE1136">
        <v>126053084</v>
      </c>
      <c r="EF1136">
        <v>30</v>
      </c>
      <c r="EG1136" t="s">
        <v>23</v>
      </c>
      <c r="EH1136">
        <v>0</v>
      </c>
      <c r="EI1136" t="s">
        <v>3</v>
      </c>
      <c r="EJ1136">
        <v>1</v>
      </c>
      <c r="EK1136">
        <v>1623</v>
      </c>
      <c r="EL1136" t="s">
        <v>824</v>
      </c>
      <c r="EM1136" t="s">
        <v>825</v>
      </c>
      <c r="EO1136" t="s">
        <v>3</v>
      </c>
      <c r="EQ1136">
        <v>0</v>
      </c>
      <c r="ER1136">
        <v>4.72</v>
      </c>
      <c r="ES1136">
        <v>3.6199999999999997</v>
      </c>
      <c r="ET1136">
        <v>0</v>
      </c>
      <c r="EU1136">
        <v>0</v>
      </c>
      <c r="EV1136">
        <v>0</v>
      </c>
      <c r="EW1136">
        <v>0</v>
      </c>
      <c r="EX1136">
        <v>0</v>
      </c>
      <c r="EZ1136">
        <v>5</v>
      </c>
      <c r="FC1136">
        <v>1</v>
      </c>
      <c r="FD1136">
        <v>18</v>
      </c>
      <c r="FF1136">
        <v>36.82</v>
      </c>
      <c r="FQ1136">
        <v>0</v>
      </c>
      <c r="FR1136">
        <f t="shared" si="980"/>
        <v>0</v>
      </c>
      <c r="FS1136">
        <v>0</v>
      </c>
      <c r="FX1136">
        <v>110</v>
      </c>
      <c r="FY1136">
        <v>74</v>
      </c>
      <c r="GA1136" t="s">
        <v>921</v>
      </c>
      <c r="GD1136">
        <v>0</v>
      </c>
      <c r="GF1136">
        <v>-606886621</v>
      </c>
      <c r="GG1136">
        <v>2</v>
      </c>
      <c r="GH1136">
        <v>3</v>
      </c>
      <c r="GI1136">
        <v>5</v>
      </c>
      <c r="GJ1136">
        <v>0</v>
      </c>
      <c r="GK1136">
        <f>ROUND(R1136*(S12)/100,2)</f>
        <v>0</v>
      </c>
      <c r="GL1136">
        <f t="shared" si="981"/>
        <v>0</v>
      </c>
      <c r="GM1136">
        <f t="shared" si="982"/>
        <v>187.88</v>
      </c>
      <c r="GN1136">
        <f t="shared" si="983"/>
        <v>187.88</v>
      </c>
      <c r="GO1136">
        <f t="shared" si="984"/>
        <v>0</v>
      </c>
      <c r="GP1136">
        <f t="shared" si="985"/>
        <v>0</v>
      </c>
      <c r="GR1136">
        <v>1</v>
      </c>
      <c r="GS1136">
        <v>1</v>
      </c>
      <c r="GT1136">
        <v>0</v>
      </c>
      <c r="GU1136" t="s">
        <v>3</v>
      </c>
      <c r="GV1136">
        <f t="shared" si="986"/>
        <v>0</v>
      </c>
      <c r="GW1136">
        <v>1</v>
      </c>
      <c r="GX1136">
        <f t="shared" si="987"/>
        <v>0</v>
      </c>
      <c r="HA1136">
        <v>0</v>
      </c>
      <c r="HB1136">
        <v>0</v>
      </c>
      <c r="HC1136">
        <f t="shared" si="988"/>
        <v>0</v>
      </c>
      <c r="HE1136" t="s">
        <v>81</v>
      </c>
      <c r="HF1136" t="s">
        <v>252</v>
      </c>
      <c r="HM1136" t="s">
        <v>3</v>
      </c>
      <c r="HN1136" t="s">
        <v>3</v>
      </c>
      <c r="HO1136" t="s">
        <v>3</v>
      </c>
      <c r="HP1136" t="s">
        <v>3</v>
      </c>
      <c r="HQ1136" t="s">
        <v>3</v>
      </c>
      <c r="IK1136">
        <v>0</v>
      </c>
    </row>
    <row r="1137" spans="1:255" x14ac:dyDescent="0.2">
      <c r="A1137" s="2">
        <v>17</v>
      </c>
      <c r="B1137" s="2">
        <v>1</v>
      </c>
      <c r="C1137" s="2">
        <f>ROW(SmtRes!A983)</f>
        <v>983</v>
      </c>
      <c r="D1137" s="2">
        <f>ROW(EtalonRes!A950)</f>
        <v>950</v>
      </c>
      <c r="E1137" s="2" t="s">
        <v>212</v>
      </c>
      <c r="F1137" s="2" t="s">
        <v>827</v>
      </c>
      <c r="G1137" s="2" t="s">
        <v>828</v>
      </c>
      <c r="H1137" s="2" t="s">
        <v>455</v>
      </c>
      <c r="I1137" s="2">
        <v>2.5000000000000001E-2</v>
      </c>
      <c r="J1137" s="2">
        <v>0</v>
      </c>
      <c r="K1137" s="2">
        <v>2.5000000000000001E-2</v>
      </c>
      <c r="L1137" s="2"/>
      <c r="M1137" s="2"/>
      <c r="N1137" s="2"/>
      <c r="O1137" s="2">
        <f t="shared" si="958"/>
        <v>27.45</v>
      </c>
      <c r="P1137" s="2">
        <f t="shared" si="959"/>
        <v>6.31</v>
      </c>
      <c r="Q1137" s="2">
        <f>(ROUND((ROUND((((ET1137*1.25))*AV1137*I1137),2)*BB1137),2)+ROUND((ROUND(((AE1137-((EU1137*1.25)))*AV1137*I1137),2)*BS1137),2))</f>
        <v>0.53</v>
      </c>
      <c r="R1137" s="2">
        <f t="shared" si="960"/>
        <v>0.13</v>
      </c>
      <c r="S1137" s="2">
        <f t="shared" si="961"/>
        <v>20.61</v>
      </c>
      <c r="T1137" s="2">
        <f t="shared" si="962"/>
        <v>0</v>
      </c>
      <c r="U1137" s="2">
        <f t="shared" si="963"/>
        <v>1.6099999999999999</v>
      </c>
      <c r="V1137" s="2">
        <f t="shared" si="964"/>
        <v>0</v>
      </c>
      <c r="W1137" s="2">
        <f t="shared" si="965"/>
        <v>0</v>
      </c>
      <c r="X1137" s="2">
        <f t="shared" si="966"/>
        <v>22.67</v>
      </c>
      <c r="Y1137" s="2">
        <f t="shared" si="967"/>
        <v>15.25</v>
      </c>
      <c r="Z1137" s="2"/>
      <c r="AA1137" s="2">
        <v>129761636</v>
      </c>
      <c r="AB1137" s="2">
        <f t="shared" si="968"/>
        <v>1098.0425</v>
      </c>
      <c r="AC1137" s="2">
        <f t="shared" si="969"/>
        <v>252.56</v>
      </c>
      <c r="AD1137" s="2">
        <f>ROUND(((((ET1137*1.25))-((EU1137*1.25)))+AE1137),6)</f>
        <v>21.162500000000001</v>
      </c>
      <c r="AE1137" s="2">
        <f>ROUND(((EU1137*1.25)),6)</f>
        <v>5.15</v>
      </c>
      <c r="AF1137" s="2">
        <f>ROUND(((EV1137*1.15)),6)</f>
        <v>824.32</v>
      </c>
      <c r="AG1137" s="2">
        <f t="shared" si="970"/>
        <v>0</v>
      </c>
      <c r="AH1137" s="2">
        <f>((EW1137*1.15))</f>
        <v>64.399999999999991</v>
      </c>
      <c r="AI1137" s="2">
        <f>((EX1137*1.25))</f>
        <v>0</v>
      </c>
      <c r="AJ1137" s="2">
        <f t="shared" si="971"/>
        <v>0</v>
      </c>
      <c r="AK1137" s="2">
        <v>986.29</v>
      </c>
      <c r="AL1137" s="2">
        <v>252.56</v>
      </c>
      <c r="AM1137" s="2">
        <v>16.93</v>
      </c>
      <c r="AN1137" s="2">
        <v>4.12</v>
      </c>
      <c r="AO1137" s="2">
        <v>716.8</v>
      </c>
      <c r="AP1137" s="2">
        <v>0</v>
      </c>
      <c r="AQ1137" s="2">
        <v>56</v>
      </c>
      <c r="AR1137" s="2">
        <v>0</v>
      </c>
      <c r="AS1137" s="2">
        <v>0</v>
      </c>
      <c r="AT1137" s="2">
        <v>110</v>
      </c>
      <c r="AU1137" s="2">
        <v>74</v>
      </c>
      <c r="AV1137" s="2">
        <v>1</v>
      </c>
      <c r="AW1137" s="2">
        <v>1</v>
      </c>
      <c r="AX1137" s="2"/>
      <c r="AY1137" s="2"/>
      <c r="AZ1137" s="2">
        <v>1</v>
      </c>
      <c r="BA1137" s="2">
        <v>1</v>
      </c>
      <c r="BB1137" s="2">
        <v>1</v>
      </c>
      <c r="BC1137" s="2">
        <v>1</v>
      </c>
      <c r="BD1137" s="2" t="s">
        <v>3</v>
      </c>
      <c r="BE1137" s="2" t="s">
        <v>3</v>
      </c>
      <c r="BF1137" s="2" t="s">
        <v>3</v>
      </c>
      <c r="BG1137" s="2" t="s">
        <v>3</v>
      </c>
      <c r="BH1137" s="2">
        <v>0</v>
      </c>
      <c r="BI1137" s="2">
        <v>1</v>
      </c>
      <c r="BJ1137" s="2" t="s">
        <v>829</v>
      </c>
      <c r="BK1137" s="2"/>
      <c r="BL1137" s="2"/>
      <c r="BM1137" s="2">
        <v>1623</v>
      </c>
      <c r="BN1137" s="2">
        <v>0</v>
      </c>
      <c r="BO1137" s="2" t="s">
        <v>3</v>
      </c>
      <c r="BP1137" s="2">
        <v>0</v>
      </c>
      <c r="BQ1137" s="2">
        <v>30</v>
      </c>
      <c r="BR1137" s="2">
        <v>0</v>
      </c>
      <c r="BS1137" s="2">
        <v>1</v>
      </c>
      <c r="BT1137" s="2">
        <v>1</v>
      </c>
      <c r="BU1137" s="2">
        <v>1</v>
      </c>
      <c r="BV1137" s="2">
        <v>1</v>
      </c>
      <c r="BW1137" s="2">
        <v>1</v>
      </c>
      <c r="BX1137" s="2">
        <v>1</v>
      </c>
      <c r="BY1137" s="2" t="s">
        <v>3</v>
      </c>
      <c r="BZ1137" s="2">
        <v>110</v>
      </c>
      <c r="CA1137" s="2">
        <v>74</v>
      </c>
      <c r="CB1137" s="2" t="s">
        <v>3</v>
      </c>
      <c r="CC1137" s="2"/>
      <c r="CD1137" s="2"/>
      <c r="CE1137" s="2">
        <v>30</v>
      </c>
      <c r="CF1137" s="2">
        <v>0</v>
      </c>
      <c r="CG1137" s="2">
        <v>0</v>
      </c>
      <c r="CH1137" s="2"/>
      <c r="CI1137" s="2"/>
      <c r="CJ1137" s="2"/>
      <c r="CK1137" s="2"/>
      <c r="CL1137" s="2"/>
      <c r="CM1137" s="2">
        <v>0</v>
      </c>
      <c r="CN1137" s="2" t="s">
        <v>1559</v>
      </c>
      <c r="CO1137" s="2">
        <v>0</v>
      </c>
      <c r="CP1137" s="2">
        <f t="shared" si="972"/>
        <v>27.45</v>
      </c>
      <c r="CQ1137" s="2">
        <f t="shared" si="973"/>
        <v>252.56</v>
      </c>
      <c r="CR1137" s="2">
        <f>(ROUND((ROUND((((ET1137*1.25))*AV1137*1),2)*BB1137),2)+ROUND((ROUND(((AE1137-((EU1137*1.25)))*AV1137*1),2)*BS1137),2))</f>
        <v>21.16</v>
      </c>
      <c r="CS1137" s="2">
        <f t="shared" si="974"/>
        <v>5.15</v>
      </c>
      <c r="CT1137" s="2">
        <f t="shared" si="975"/>
        <v>824.32</v>
      </c>
      <c r="CU1137" s="2">
        <f t="shared" si="976"/>
        <v>0</v>
      </c>
      <c r="CV1137" s="2">
        <f t="shared" si="977"/>
        <v>64.399999999999991</v>
      </c>
      <c r="CW1137" s="2">
        <f t="shared" si="978"/>
        <v>0</v>
      </c>
      <c r="CX1137" s="2">
        <f t="shared" si="979"/>
        <v>0</v>
      </c>
      <c r="CY1137" s="2">
        <f>((S1137*BZ1137)/100)</f>
        <v>22.670999999999999</v>
      </c>
      <c r="CZ1137" s="2">
        <f>((S1137*CA1137)/100)</f>
        <v>15.251399999999999</v>
      </c>
      <c r="DA1137" s="2"/>
      <c r="DB1137" s="2"/>
      <c r="DC1137" s="2" t="s">
        <v>3</v>
      </c>
      <c r="DD1137" s="2" t="s">
        <v>3</v>
      </c>
      <c r="DE1137" s="2" t="s">
        <v>86</v>
      </c>
      <c r="DF1137" s="2" t="s">
        <v>86</v>
      </c>
      <c r="DG1137" s="2" t="s">
        <v>87</v>
      </c>
      <c r="DH1137" s="2" t="s">
        <v>3</v>
      </c>
      <c r="DI1137" s="2" t="s">
        <v>87</v>
      </c>
      <c r="DJ1137" s="2" t="s">
        <v>86</v>
      </c>
      <c r="DK1137" s="2" t="s">
        <v>3</v>
      </c>
      <c r="DL1137" s="2" t="s">
        <v>3</v>
      </c>
      <c r="DM1137" s="2" t="s">
        <v>3</v>
      </c>
      <c r="DN1137" s="2">
        <v>0</v>
      </c>
      <c r="DO1137" s="2">
        <v>0</v>
      </c>
      <c r="DP1137" s="2">
        <v>1</v>
      </c>
      <c r="DQ1137" s="2">
        <v>1</v>
      </c>
      <c r="DR1137" s="2"/>
      <c r="DS1137" s="2"/>
      <c r="DT1137" s="2"/>
      <c r="DU1137" s="2">
        <v>1003</v>
      </c>
      <c r="DV1137" s="2" t="s">
        <v>455</v>
      </c>
      <c r="DW1137" s="2" t="s">
        <v>455</v>
      </c>
      <c r="DX1137" s="2">
        <v>100</v>
      </c>
      <c r="DY1137" s="2"/>
      <c r="DZ1137" s="2" t="s">
        <v>3</v>
      </c>
      <c r="EA1137" s="2" t="s">
        <v>3</v>
      </c>
      <c r="EB1137" s="2" t="s">
        <v>3</v>
      </c>
      <c r="EC1137" s="2" t="s">
        <v>3</v>
      </c>
      <c r="ED1137" s="2"/>
      <c r="EE1137" s="2">
        <v>126053084</v>
      </c>
      <c r="EF1137" s="2">
        <v>30</v>
      </c>
      <c r="EG1137" s="2" t="s">
        <v>23</v>
      </c>
      <c r="EH1137" s="2">
        <v>0</v>
      </c>
      <c r="EI1137" s="2" t="s">
        <v>3</v>
      </c>
      <c r="EJ1137" s="2">
        <v>1</v>
      </c>
      <c r="EK1137" s="2">
        <v>1623</v>
      </c>
      <c r="EL1137" s="2" t="s">
        <v>824</v>
      </c>
      <c r="EM1137" s="2" t="s">
        <v>825</v>
      </c>
      <c r="EN1137" s="2"/>
      <c r="EO1137" s="2" t="s">
        <v>90</v>
      </c>
      <c r="EP1137" s="2"/>
      <c r="EQ1137" s="2">
        <v>131072</v>
      </c>
      <c r="ER1137" s="2">
        <v>986.29</v>
      </c>
      <c r="ES1137" s="2">
        <v>252.56</v>
      </c>
      <c r="ET1137" s="2">
        <v>16.93</v>
      </c>
      <c r="EU1137" s="2">
        <v>4.12</v>
      </c>
      <c r="EV1137" s="2">
        <v>716.8</v>
      </c>
      <c r="EW1137" s="2">
        <v>56</v>
      </c>
      <c r="EX1137" s="2">
        <v>0</v>
      </c>
      <c r="EY1137" s="2">
        <v>0</v>
      </c>
      <c r="EZ1137" s="2"/>
      <c r="FA1137" s="2"/>
      <c r="FB1137" s="2"/>
      <c r="FC1137" s="2"/>
      <c r="FD1137" s="2"/>
      <c r="FE1137" s="2"/>
      <c r="FF1137" s="2"/>
      <c r="FG1137" s="2"/>
      <c r="FH1137" s="2"/>
      <c r="FI1137" s="2"/>
      <c r="FJ1137" s="2"/>
      <c r="FK1137" s="2"/>
      <c r="FL1137" s="2"/>
      <c r="FM1137" s="2"/>
      <c r="FN1137" s="2"/>
      <c r="FO1137" s="2"/>
      <c r="FP1137" s="2"/>
      <c r="FQ1137" s="2">
        <v>0</v>
      </c>
      <c r="FR1137" s="2">
        <f t="shared" si="980"/>
        <v>0</v>
      </c>
      <c r="FS1137" s="2">
        <v>0</v>
      </c>
      <c r="FT1137" s="2"/>
      <c r="FU1137" s="2"/>
      <c r="FV1137" s="2"/>
      <c r="FW1137" s="2"/>
      <c r="FX1137" s="2">
        <v>110</v>
      </c>
      <c r="FY1137" s="2">
        <v>74</v>
      </c>
      <c r="FZ1137" s="2"/>
      <c r="GA1137" s="2" t="s">
        <v>3</v>
      </c>
      <c r="GB1137" s="2"/>
      <c r="GC1137" s="2"/>
      <c r="GD1137" s="2">
        <v>0</v>
      </c>
      <c r="GE1137" s="2"/>
      <c r="GF1137" s="2">
        <v>-454861239</v>
      </c>
      <c r="GG1137" s="2">
        <v>2</v>
      </c>
      <c r="GH1137" s="2">
        <v>1</v>
      </c>
      <c r="GI1137" s="2">
        <v>-2</v>
      </c>
      <c r="GJ1137" s="2">
        <v>0</v>
      </c>
      <c r="GK1137" s="2">
        <f>ROUND(R1137*(R12)/100,2)</f>
        <v>0.23</v>
      </c>
      <c r="GL1137" s="2">
        <f t="shared" si="981"/>
        <v>0</v>
      </c>
      <c r="GM1137" s="2">
        <f t="shared" si="982"/>
        <v>65.599999999999994</v>
      </c>
      <c r="GN1137" s="2">
        <f t="shared" si="983"/>
        <v>65.599999999999994</v>
      </c>
      <c r="GO1137" s="2">
        <f t="shared" si="984"/>
        <v>0</v>
      </c>
      <c r="GP1137" s="2">
        <f t="shared" si="985"/>
        <v>0</v>
      </c>
      <c r="GQ1137" s="2"/>
      <c r="GR1137" s="2">
        <v>0</v>
      </c>
      <c r="GS1137" s="2">
        <v>0</v>
      </c>
      <c r="GT1137" s="2">
        <v>0</v>
      </c>
      <c r="GU1137" s="2" t="s">
        <v>3</v>
      </c>
      <c r="GV1137" s="2">
        <f t="shared" si="986"/>
        <v>0</v>
      </c>
      <c r="GW1137" s="2">
        <v>1</v>
      </c>
      <c r="GX1137" s="2">
        <f t="shared" si="987"/>
        <v>0</v>
      </c>
      <c r="GY1137" s="2"/>
      <c r="GZ1137" s="2"/>
      <c r="HA1137" s="2">
        <v>0</v>
      </c>
      <c r="HB1137" s="2">
        <v>0</v>
      </c>
      <c r="HC1137" s="2">
        <f t="shared" si="988"/>
        <v>0</v>
      </c>
      <c r="HD1137" s="2"/>
      <c r="HE1137" s="2" t="s">
        <v>3</v>
      </c>
      <c r="HF1137" s="2" t="s">
        <v>3</v>
      </c>
      <c r="HG1137" s="2"/>
      <c r="HH1137" s="2"/>
      <c r="HI1137" s="2"/>
      <c r="HJ1137" s="2"/>
      <c r="HK1137" s="2"/>
      <c r="HL1137" s="2"/>
      <c r="HM1137" s="2" t="s">
        <v>3</v>
      </c>
      <c r="HN1137" s="2" t="s">
        <v>3</v>
      </c>
      <c r="HO1137" s="2" t="s">
        <v>3</v>
      </c>
      <c r="HP1137" s="2" t="s">
        <v>3</v>
      </c>
      <c r="HQ1137" s="2" t="s">
        <v>3</v>
      </c>
      <c r="HR1137" s="2"/>
      <c r="HS1137" s="2"/>
      <c r="HT1137" s="2"/>
      <c r="HU1137" s="2"/>
      <c r="HV1137" s="2"/>
      <c r="HW1137" s="2"/>
      <c r="HX1137" s="2"/>
      <c r="HY1137" s="2"/>
      <c r="HZ1137" s="2"/>
      <c r="IA1137" s="2"/>
      <c r="IB1137" s="2"/>
      <c r="IC1137" s="2"/>
      <c r="ID1137" s="2"/>
      <c r="IE1137" s="2"/>
      <c r="IF1137" s="2"/>
      <c r="IG1137" s="2"/>
      <c r="IH1137" s="2"/>
      <c r="II1137" s="2"/>
      <c r="IJ1137" s="2"/>
      <c r="IK1137" s="2">
        <v>0</v>
      </c>
      <c r="IL1137" s="2"/>
      <c r="IM1137" s="2"/>
      <c r="IN1137" s="2"/>
      <c r="IO1137" s="2"/>
      <c r="IP1137" s="2"/>
      <c r="IQ1137" s="2"/>
      <c r="IR1137" s="2"/>
      <c r="IS1137" s="2"/>
      <c r="IT1137" s="2"/>
      <c r="IU1137" s="2"/>
    </row>
    <row r="1138" spans="1:255" x14ac:dyDescent="0.2">
      <c r="A1138">
        <v>17</v>
      </c>
      <c r="B1138">
        <v>1</v>
      </c>
      <c r="C1138">
        <f>ROW(SmtRes!A994)</f>
        <v>994</v>
      </c>
      <c r="D1138">
        <f>ROW(EtalonRes!A956)</f>
        <v>956</v>
      </c>
      <c r="E1138" t="s">
        <v>212</v>
      </c>
      <c r="F1138" t="s">
        <v>827</v>
      </c>
      <c r="G1138" t="s">
        <v>828</v>
      </c>
      <c r="H1138" t="s">
        <v>455</v>
      </c>
      <c r="I1138">
        <v>2.5000000000000001E-2</v>
      </c>
      <c r="J1138">
        <v>0</v>
      </c>
      <c r="K1138">
        <v>2.5000000000000001E-2</v>
      </c>
      <c r="O1138">
        <f t="shared" si="958"/>
        <v>661.48</v>
      </c>
      <c r="P1138">
        <f t="shared" si="959"/>
        <v>55.97</v>
      </c>
      <c r="Q1138">
        <f>(ROUND((ROUND((((ET1138*1.25))*AV1138*I1138),2)*BB1138),2)+ROUND((ROUND(((AE1138-((EU1138*1.25)))*AV1138*I1138),2)*BS1138),2))</f>
        <v>7.2</v>
      </c>
      <c r="R1138">
        <f t="shared" si="960"/>
        <v>3.77</v>
      </c>
      <c r="S1138">
        <f t="shared" si="961"/>
        <v>598.30999999999995</v>
      </c>
      <c r="T1138">
        <f t="shared" si="962"/>
        <v>0</v>
      </c>
      <c r="U1138">
        <f t="shared" si="963"/>
        <v>1.6099999999999999</v>
      </c>
      <c r="V1138">
        <f t="shared" si="964"/>
        <v>0</v>
      </c>
      <c r="W1138">
        <f t="shared" si="965"/>
        <v>0</v>
      </c>
      <c r="X1138">
        <f t="shared" si="966"/>
        <v>538.48</v>
      </c>
      <c r="Y1138">
        <f t="shared" si="967"/>
        <v>245.31</v>
      </c>
      <c r="AA1138">
        <v>129761633</v>
      </c>
      <c r="AB1138">
        <f t="shared" si="968"/>
        <v>1098.0425</v>
      </c>
      <c r="AC1138">
        <f t="shared" si="969"/>
        <v>252.56</v>
      </c>
      <c r="AD1138">
        <f>ROUND(((((ET1138*1.25))-((EU1138*1.25)))+AE1138),6)</f>
        <v>21.162500000000001</v>
      </c>
      <c r="AE1138">
        <f>ROUND(((EU1138*1.25)),6)</f>
        <v>5.15</v>
      </c>
      <c r="AF1138">
        <f>ROUND(((EV1138*1.15)),6)</f>
        <v>824.32</v>
      </c>
      <c r="AG1138">
        <f t="shared" si="970"/>
        <v>0</v>
      </c>
      <c r="AH1138">
        <f>((EW1138*1.15))</f>
        <v>64.399999999999991</v>
      </c>
      <c r="AI1138">
        <f>((EX1138*1.25))</f>
        <v>0</v>
      </c>
      <c r="AJ1138">
        <f t="shared" si="971"/>
        <v>0</v>
      </c>
      <c r="AK1138">
        <v>986.29</v>
      </c>
      <c r="AL1138">
        <v>252.56</v>
      </c>
      <c r="AM1138">
        <v>16.93</v>
      </c>
      <c r="AN1138">
        <v>4.12</v>
      </c>
      <c r="AO1138">
        <v>716.8</v>
      </c>
      <c r="AP1138">
        <v>0</v>
      </c>
      <c r="AQ1138">
        <v>56</v>
      </c>
      <c r="AR1138">
        <v>0</v>
      </c>
      <c r="AS1138">
        <v>0</v>
      </c>
      <c r="AT1138">
        <v>90</v>
      </c>
      <c r="AU1138">
        <v>41</v>
      </c>
      <c r="AV1138">
        <v>1</v>
      </c>
      <c r="AW1138">
        <v>1</v>
      </c>
      <c r="AZ1138">
        <v>1</v>
      </c>
      <c r="BA1138">
        <v>29.03</v>
      </c>
      <c r="BB1138">
        <v>13.59</v>
      </c>
      <c r="BC1138">
        <v>8.8699999999999992</v>
      </c>
      <c r="BD1138" t="s">
        <v>3</v>
      </c>
      <c r="BE1138" t="s">
        <v>3</v>
      </c>
      <c r="BF1138" t="s">
        <v>3</v>
      </c>
      <c r="BG1138" t="s">
        <v>3</v>
      </c>
      <c r="BH1138">
        <v>0</v>
      </c>
      <c r="BI1138">
        <v>1</v>
      </c>
      <c r="BJ1138" t="s">
        <v>829</v>
      </c>
      <c r="BM1138">
        <v>1623</v>
      </c>
      <c r="BN1138">
        <v>0</v>
      </c>
      <c r="BO1138" t="s">
        <v>827</v>
      </c>
      <c r="BP1138">
        <v>1</v>
      </c>
      <c r="BQ1138">
        <v>30</v>
      </c>
      <c r="BR1138">
        <v>0</v>
      </c>
      <c r="BS1138">
        <v>29.03</v>
      </c>
      <c r="BT1138">
        <v>1</v>
      </c>
      <c r="BU1138">
        <v>1</v>
      </c>
      <c r="BV1138">
        <v>1</v>
      </c>
      <c r="BW1138">
        <v>1</v>
      </c>
      <c r="BX1138">
        <v>1</v>
      </c>
      <c r="BY1138" t="s">
        <v>3</v>
      </c>
      <c r="BZ1138">
        <v>90</v>
      </c>
      <c r="CA1138">
        <v>41</v>
      </c>
      <c r="CB1138" t="s">
        <v>3</v>
      </c>
      <c r="CE1138">
        <v>30</v>
      </c>
      <c r="CF1138">
        <v>0</v>
      </c>
      <c r="CG1138">
        <v>0</v>
      </c>
      <c r="CM1138">
        <v>0</v>
      </c>
      <c r="CN1138" t="s">
        <v>1559</v>
      </c>
      <c r="CO1138">
        <v>0</v>
      </c>
      <c r="CP1138">
        <f t="shared" si="972"/>
        <v>661.4799999999999</v>
      </c>
      <c r="CQ1138">
        <f t="shared" si="973"/>
        <v>2240.21</v>
      </c>
      <c r="CR1138">
        <f>(ROUND((ROUND((((ET1138*1.25))*AV1138*1),2)*BB1138),2)+ROUND((ROUND(((AE1138-((EU1138*1.25)))*AV1138*1),2)*BS1138),2))</f>
        <v>287.56</v>
      </c>
      <c r="CS1138">
        <f t="shared" si="974"/>
        <v>149.5</v>
      </c>
      <c r="CT1138">
        <f t="shared" si="975"/>
        <v>23930.01</v>
      </c>
      <c r="CU1138">
        <f t="shared" si="976"/>
        <v>0</v>
      </c>
      <c r="CV1138">
        <f t="shared" si="977"/>
        <v>64.399999999999991</v>
      </c>
      <c r="CW1138">
        <f t="shared" si="978"/>
        <v>0</v>
      </c>
      <c r="CX1138">
        <f t="shared" si="979"/>
        <v>0</v>
      </c>
      <c r="CY1138">
        <f>S1138*(BZ1138/100)</f>
        <v>538.47899999999993</v>
      </c>
      <c r="CZ1138">
        <f>S1138*(CA1138/100)</f>
        <v>245.30709999999996</v>
      </c>
      <c r="DC1138" t="s">
        <v>3</v>
      </c>
      <c r="DD1138" t="s">
        <v>3</v>
      </c>
      <c r="DE1138" t="s">
        <v>86</v>
      </c>
      <c r="DF1138" t="s">
        <v>86</v>
      </c>
      <c r="DG1138" t="s">
        <v>87</v>
      </c>
      <c r="DH1138" t="s">
        <v>3</v>
      </c>
      <c r="DI1138" t="s">
        <v>87</v>
      </c>
      <c r="DJ1138" t="s">
        <v>86</v>
      </c>
      <c r="DK1138" t="s">
        <v>3</v>
      </c>
      <c r="DL1138" t="s">
        <v>3</v>
      </c>
      <c r="DM1138" t="s">
        <v>3</v>
      </c>
      <c r="DN1138">
        <v>110</v>
      </c>
      <c r="DO1138">
        <v>74</v>
      </c>
      <c r="DP1138">
        <v>1</v>
      </c>
      <c r="DQ1138">
        <v>1</v>
      </c>
      <c r="DU1138">
        <v>1003</v>
      </c>
      <c r="DV1138" t="s">
        <v>455</v>
      </c>
      <c r="DW1138" t="s">
        <v>455</v>
      </c>
      <c r="DX1138">
        <v>100</v>
      </c>
      <c r="DZ1138" t="s">
        <v>3</v>
      </c>
      <c r="EA1138" t="s">
        <v>3</v>
      </c>
      <c r="EB1138" t="s">
        <v>3</v>
      </c>
      <c r="EC1138" t="s">
        <v>3</v>
      </c>
      <c r="EE1138">
        <v>126053084</v>
      </c>
      <c r="EF1138">
        <v>30</v>
      </c>
      <c r="EG1138" t="s">
        <v>23</v>
      </c>
      <c r="EH1138">
        <v>0</v>
      </c>
      <c r="EI1138" t="s">
        <v>3</v>
      </c>
      <c r="EJ1138">
        <v>1</v>
      </c>
      <c r="EK1138">
        <v>1623</v>
      </c>
      <c r="EL1138" t="s">
        <v>824</v>
      </c>
      <c r="EM1138" t="s">
        <v>825</v>
      </c>
      <c r="EO1138" t="s">
        <v>90</v>
      </c>
      <c r="EQ1138">
        <v>131072</v>
      </c>
      <c r="ER1138">
        <v>986.29</v>
      </c>
      <c r="ES1138">
        <v>252.56</v>
      </c>
      <c r="ET1138">
        <v>16.93</v>
      </c>
      <c r="EU1138">
        <v>4.12</v>
      </c>
      <c r="EV1138">
        <v>716.8</v>
      </c>
      <c r="EW1138">
        <v>56</v>
      </c>
      <c r="EX1138">
        <v>0</v>
      </c>
      <c r="EY1138">
        <v>0</v>
      </c>
      <c r="FQ1138">
        <v>0</v>
      </c>
      <c r="FR1138">
        <f t="shared" si="980"/>
        <v>0</v>
      </c>
      <c r="FS1138">
        <v>0</v>
      </c>
      <c r="FX1138">
        <v>110</v>
      </c>
      <c r="FY1138">
        <v>74</v>
      </c>
      <c r="GA1138" t="s">
        <v>3</v>
      </c>
      <c r="GD1138">
        <v>0</v>
      </c>
      <c r="GF1138">
        <v>-454861239</v>
      </c>
      <c r="GG1138">
        <v>2</v>
      </c>
      <c r="GH1138">
        <v>1</v>
      </c>
      <c r="GI1138">
        <v>2</v>
      </c>
      <c r="GJ1138">
        <v>0</v>
      </c>
      <c r="GK1138">
        <f>ROUND(R1138*(S12)/100,2)</f>
        <v>6.03</v>
      </c>
      <c r="GL1138">
        <f t="shared" si="981"/>
        <v>0</v>
      </c>
      <c r="GM1138">
        <f t="shared" si="982"/>
        <v>1451.3</v>
      </c>
      <c r="GN1138">
        <f t="shared" si="983"/>
        <v>1451.3</v>
      </c>
      <c r="GO1138">
        <f t="shared" si="984"/>
        <v>0</v>
      </c>
      <c r="GP1138">
        <f t="shared" si="985"/>
        <v>0</v>
      </c>
      <c r="GR1138">
        <v>0</v>
      </c>
      <c r="GS1138">
        <v>3</v>
      </c>
      <c r="GT1138">
        <v>0</v>
      </c>
      <c r="GU1138" t="s">
        <v>3</v>
      </c>
      <c r="GV1138">
        <f t="shared" si="986"/>
        <v>0</v>
      </c>
      <c r="GW1138">
        <v>1</v>
      </c>
      <c r="GX1138">
        <f t="shared" si="987"/>
        <v>0</v>
      </c>
      <c r="HA1138">
        <v>0</v>
      </c>
      <c r="HB1138">
        <v>0</v>
      </c>
      <c r="HC1138">
        <f t="shared" si="988"/>
        <v>0</v>
      </c>
      <c r="HE1138" t="s">
        <v>3</v>
      </c>
      <c r="HF1138" t="s">
        <v>3</v>
      </c>
      <c r="HM1138" t="s">
        <v>3</v>
      </c>
      <c r="HN1138" t="s">
        <v>3</v>
      </c>
      <c r="HO1138" t="s">
        <v>3</v>
      </c>
      <c r="HP1138" t="s">
        <v>3</v>
      </c>
      <c r="HQ1138" t="s">
        <v>3</v>
      </c>
      <c r="IK1138">
        <v>0</v>
      </c>
    </row>
    <row r="1139" spans="1:255" x14ac:dyDescent="0.2">
      <c r="A1139" s="2">
        <v>18</v>
      </c>
      <c r="B1139" s="2">
        <v>1</v>
      </c>
      <c r="C1139" s="2">
        <v>977</v>
      </c>
      <c r="D1139" s="2"/>
      <c r="E1139" s="2" t="s">
        <v>596</v>
      </c>
      <c r="F1139" s="2" t="s">
        <v>922</v>
      </c>
      <c r="G1139" s="2" t="s">
        <v>923</v>
      </c>
      <c r="H1139" s="2" t="s">
        <v>270</v>
      </c>
      <c r="I1139" s="2">
        <f>I1137*J1139</f>
        <v>2.4950000000000001</v>
      </c>
      <c r="J1139" s="2">
        <v>99.8</v>
      </c>
      <c r="K1139" s="2">
        <v>99.8</v>
      </c>
      <c r="L1139" s="2"/>
      <c r="M1139" s="2"/>
      <c r="N1139" s="2"/>
      <c r="O1139" s="2">
        <f t="shared" si="958"/>
        <v>160.43</v>
      </c>
      <c r="P1139" s="2">
        <f t="shared" si="959"/>
        <v>160.43</v>
      </c>
      <c r="Q1139" s="2">
        <f t="shared" ref="Q1139:Q1154" si="994">(ROUND((ROUND(((ET1139)*AV1139*I1139),2)*BB1139),2)+ROUND((ROUND(((AE1139-(EU1139))*AV1139*I1139),2)*BS1139),2))</f>
        <v>0</v>
      </c>
      <c r="R1139" s="2">
        <f t="shared" si="960"/>
        <v>0</v>
      </c>
      <c r="S1139" s="2">
        <f t="shared" si="961"/>
        <v>0</v>
      </c>
      <c r="T1139" s="2">
        <f t="shared" si="962"/>
        <v>0</v>
      </c>
      <c r="U1139" s="2">
        <f t="shared" si="963"/>
        <v>0</v>
      </c>
      <c r="V1139" s="2">
        <f t="shared" si="964"/>
        <v>0</v>
      </c>
      <c r="W1139" s="2">
        <f t="shared" si="965"/>
        <v>0</v>
      </c>
      <c r="X1139" s="2">
        <f t="shared" si="966"/>
        <v>0</v>
      </c>
      <c r="Y1139" s="2">
        <f t="shared" si="967"/>
        <v>0</v>
      </c>
      <c r="Z1139" s="2"/>
      <c r="AA1139" s="2">
        <v>129761636</v>
      </c>
      <c r="AB1139" s="2">
        <f t="shared" si="968"/>
        <v>64.3</v>
      </c>
      <c r="AC1139" s="2">
        <f t="shared" si="969"/>
        <v>64.3</v>
      </c>
      <c r="AD1139" s="2">
        <f t="shared" ref="AD1139:AD1154" si="995">ROUND((((ET1139)-(EU1139))+AE1139),6)</f>
        <v>0</v>
      </c>
      <c r="AE1139" s="2">
        <f t="shared" ref="AE1139:AE1154" si="996">ROUND((EU1139),6)</f>
        <v>0</v>
      </c>
      <c r="AF1139" s="2">
        <f t="shared" ref="AF1139:AF1154" si="997">ROUND((EV1139),6)</f>
        <v>0</v>
      </c>
      <c r="AG1139" s="2">
        <f t="shared" si="970"/>
        <v>0</v>
      </c>
      <c r="AH1139" s="2">
        <f t="shared" ref="AH1139:AH1154" si="998">(EW1139)</f>
        <v>0</v>
      </c>
      <c r="AI1139" s="2">
        <f t="shared" ref="AI1139:AI1154" si="999">(EX1139)</f>
        <v>0</v>
      </c>
      <c r="AJ1139" s="2">
        <f t="shared" si="971"/>
        <v>0</v>
      </c>
      <c r="AK1139" s="2">
        <v>64.3</v>
      </c>
      <c r="AL1139" s="2">
        <v>64.3</v>
      </c>
      <c r="AM1139" s="2">
        <v>0</v>
      </c>
      <c r="AN1139" s="2">
        <v>0</v>
      </c>
      <c r="AO1139" s="2">
        <v>0</v>
      </c>
      <c r="AP1139" s="2">
        <v>0</v>
      </c>
      <c r="AQ1139" s="2">
        <v>0</v>
      </c>
      <c r="AR1139" s="2">
        <v>0</v>
      </c>
      <c r="AS1139" s="2">
        <v>0</v>
      </c>
      <c r="AT1139" s="2">
        <v>110</v>
      </c>
      <c r="AU1139" s="2">
        <v>74</v>
      </c>
      <c r="AV1139" s="2">
        <v>1</v>
      </c>
      <c r="AW1139" s="2">
        <v>1</v>
      </c>
      <c r="AX1139" s="2"/>
      <c r="AY1139" s="2"/>
      <c r="AZ1139" s="2">
        <v>1</v>
      </c>
      <c r="BA1139" s="2">
        <v>1</v>
      </c>
      <c r="BB1139" s="2">
        <v>1</v>
      </c>
      <c r="BC1139" s="2">
        <v>1</v>
      </c>
      <c r="BD1139" s="2" t="s">
        <v>3</v>
      </c>
      <c r="BE1139" s="2" t="s">
        <v>3</v>
      </c>
      <c r="BF1139" s="2" t="s">
        <v>3</v>
      </c>
      <c r="BG1139" s="2" t="s">
        <v>3</v>
      </c>
      <c r="BH1139" s="2">
        <v>3</v>
      </c>
      <c r="BI1139" s="2">
        <v>1</v>
      </c>
      <c r="BJ1139" s="2" t="s">
        <v>924</v>
      </c>
      <c r="BK1139" s="2"/>
      <c r="BL1139" s="2"/>
      <c r="BM1139" s="2">
        <v>1623</v>
      </c>
      <c r="BN1139" s="2">
        <v>0</v>
      </c>
      <c r="BO1139" s="2" t="s">
        <v>3</v>
      </c>
      <c r="BP1139" s="2">
        <v>0</v>
      </c>
      <c r="BQ1139" s="2">
        <v>30</v>
      </c>
      <c r="BR1139" s="2">
        <v>0</v>
      </c>
      <c r="BS1139" s="2">
        <v>1</v>
      </c>
      <c r="BT1139" s="2">
        <v>1</v>
      </c>
      <c r="BU1139" s="2">
        <v>1</v>
      </c>
      <c r="BV1139" s="2">
        <v>1</v>
      </c>
      <c r="BW1139" s="2">
        <v>1</v>
      </c>
      <c r="BX1139" s="2">
        <v>1</v>
      </c>
      <c r="BY1139" s="2" t="s">
        <v>3</v>
      </c>
      <c r="BZ1139" s="2">
        <v>110</v>
      </c>
      <c r="CA1139" s="2">
        <v>74</v>
      </c>
      <c r="CB1139" s="2" t="s">
        <v>3</v>
      </c>
      <c r="CC1139" s="2"/>
      <c r="CD1139" s="2"/>
      <c r="CE1139" s="2">
        <v>30</v>
      </c>
      <c r="CF1139" s="2">
        <v>0</v>
      </c>
      <c r="CG1139" s="2">
        <v>0</v>
      </c>
      <c r="CH1139" s="2"/>
      <c r="CI1139" s="2"/>
      <c r="CJ1139" s="2"/>
      <c r="CK1139" s="2"/>
      <c r="CL1139" s="2"/>
      <c r="CM1139" s="2">
        <v>0</v>
      </c>
      <c r="CN1139" s="2" t="s">
        <v>3</v>
      </c>
      <c r="CO1139" s="2">
        <v>0</v>
      </c>
      <c r="CP1139" s="2">
        <f t="shared" si="972"/>
        <v>160.43</v>
      </c>
      <c r="CQ1139" s="2">
        <f t="shared" si="973"/>
        <v>64.3</v>
      </c>
      <c r="CR1139" s="2">
        <f t="shared" ref="CR1139:CR1154" si="1000">(ROUND((ROUND(((ET1139)*AV1139*1),2)*BB1139),2)+ROUND((ROUND(((AE1139-(EU1139))*AV1139*1),2)*BS1139),2))</f>
        <v>0</v>
      </c>
      <c r="CS1139" s="2">
        <f t="shared" si="974"/>
        <v>0</v>
      </c>
      <c r="CT1139" s="2">
        <f t="shared" si="975"/>
        <v>0</v>
      </c>
      <c r="CU1139" s="2">
        <f t="shared" si="976"/>
        <v>0</v>
      </c>
      <c r="CV1139" s="2">
        <f t="shared" si="977"/>
        <v>0</v>
      </c>
      <c r="CW1139" s="2">
        <f t="shared" si="978"/>
        <v>0</v>
      </c>
      <c r="CX1139" s="2">
        <f t="shared" si="979"/>
        <v>0</v>
      </c>
      <c r="CY1139" s="2">
        <f>((S1139*BZ1139)/100)</f>
        <v>0</v>
      </c>
      <c r="CZ1139" s="2">
        <f>((S1139*CA1139)/100)</f>
        <v>0</v>
      </c>
      <c r="DA1139" s="2"/>
      <c r="DB1139" s="2"/>
      <c r="DC1139" s="2" t="s">
        <v>3</v>
      </c>
      <c r="DD1139" s="2" t="s">
        <v>3</v>
      </c>
      <c r="DE1139" s="2" t="s">
        <v>3</v>
      </c>
      <c r="DF1139" s="2" t="s">
        <v>3</v>
      </c>
      <c r="DG1139" s="2" t="s">
        <v>3</v>
      </c>
      <c r="DH1139" s="2" t="s">
        <v>3</v>
      </c>
      <c r="DI1139" s="2" t="s">
        <v>3</v>
      </c>
      <c r="DJ1139" s="2" t="s">
        <v>3</v>
      </c>
      <c r="DK1139" s="2" t="s">
        <v>3</v>
      </c>
      <c r="DL1139" s="2" t="s">
        <v>3</v>
      </c>
      <c r="DM1139" s="2" t="s">
        <v>3</v>
      </c>
      <c r="DN1139" s="2">
        <v>0</v>
      </c>
      <c r="DO1139" s="2">
        <v>0</v>
      </c>
      <c r="DP1139" s="2">
        <v>1</v>
      </c>
      <c r="DQ1139" s="2">
        <v>1</v>
      </c>
      <c r="DR1139" s="2"/>
      <c r="DS1139" s="2"/>
      <c r="DT1139" s="2"/>
      <c r="DU1139" s="2">
        <v>1003</v>
      </c>
      <c r="DV1139" s="2" t="s">
        <v>270</v>
      </c>
      <c r="DW1139" s="2" t="s">
        <v>270</v>
      </c>
      <c r="DX1139" s="2">
        <v>1</v>
      </c>
      <c r="DY1139" s="2"/>
      <c r="DZ1139" s="2" t="s">
        <v>3</v>
      </c>
      <c r="EA1139" s="2" t="s">
        <v>3</v>
      </c>
      <c r="EB1139" s="2" t="s">
        <v>3</v>
      </c>
      <c r="EC1139" s="2" t="s">
        <v>3</v>
      </c>
      <c r="ED1139" s="2"/>
      <c r="EE1139" s="2">
        <v>126053084</v>
      </c>
      <c r="EF1139" s="2">
        <v>30</v>
      </c>
      <c r="EG1139" s="2" t="s">
        <v>23</v>
      </c>
      <c r="EH1139" s="2">
        <v>0</v>
      </c>
      <c r="EI1139" s="2" t="s">
        <v>3</v>
      </c>
      <c r="EJ1139" s="2">
        <v>1</v>
      </c>
      <c r="EK1139" s="2">
        <v>1623</v>
      </c>
      <c r="EL1139" s="2" t="s">
        <v>824</v>
      </c>
      <c r="EM1139" s="2" t="s">
        <v>825</v>
      </c>
      <c r="EN1139" s="2"/>
      <c r="EO1139" s="2" t="s">
        <v>3</v>
      </c>
      <c r="EP1139" s="2"/>
      <c r="EQ1139" s="2">
        <v>0</v>
      </c>
      <c r="ER1139" s="2">
        <v>64.3</v>
      </c>
      <c r="ES1139" s="2">
        <v>64.3</v>
      </c>
      <c r="ET1139" s="2">
        <v>0</v>
      </c>
      <c r="EU1139" s="2">
        <v>0</v>
      </c>
      <c r="EV1139" s="2">
        <v>0</v>
      </c>
      <c r="EW1139" s="2">
        <v>0</v>
      </c>
      <c r="EX1139" s="2">
        <v>0</v>
      </c>
      <c r="EY1139" s="2"/>
      <c r="EZ1139" s="2"/>
      <c r="FA1139" s="2"/>
      <c r="FB1139" s="2"/>
      <c r="FC1139" s="2"/>
      <c r="FD1139" s="2"/>
      <c r="FE1139" s="2"/>
      <c r="FF1139" s="2"/>
      <c r="FG1139" s="2"/>
      <c r="FH1139" s="2"/>
      <c r="FI1139" s="2"/>
      <c r="FJ1139" s="2"/>
      <c r="FK1139" s="2"/>
      <c r="FL1139" s="2"/>
      <c r="FM1139" s="2"/>
      <c r="FN1139" s="2"/>
      <c r="FO1139" s="2"/>
      <c r="FP1139" s="2"/>
      <c r="FQ1139" s="2">
        <v>0</v>
      </c>
      <c r="FR1139" s="2">
        <f t="shared" si="980"/>
        <v>0</v>
      </c>
      <c r="FS1139" s="2">
        <v>0</v>
      </c>
      <c r="FT1139" s="2"/>
      <c r="FU1139" s="2"/>
      <c r="FV1139" s="2"/>
      <c r="FW1139" s="2"/>
      <c r="FX1139" s="2">
        <v>110</v>
      </c>
      <c r="FY1139" s="2">
        <v>74</v>
      </c>
      <c r="FZ1139" s="2"/>
      <c r="GA1139" s="2" t="s">
        <v>3</v>
      </c>
      <c r="GB1139" s="2"/>
      <c r="GC1139" s="2"/>
      <c r="GD1139" s="2">
        <v>0</v>
      </c>
      <c r="GE1139" s="2"/>
      <c r="GF1139" s="2">
        <v>1389394290</v>
      </c>
      <c r="GG1139" s="2">
        <v>2</v>
      </c>
      <c r="GH1139" s="2">
        <v>1</v>
      </c>
      <c r="GI1139" s="2">
        <v>-2</v>
      </c>
      <c r="GJ1139" s="2">
        <v>0</v>
      </c>
      <c r="GK1139" s="2">
        <f>ROUND(R1139*(R12)/100,2)</f>
        <v>0</v>
      </c>
      <c r="GL1139" s="2">
        <f t="shared" si="981"/>
        <v>0</v>
      </c>
      <c r="GM1139" s="2">
        <f t="shared" si="982"/>
        <v>160.43</v>
      </c>
      <c r="GN1139" s="2">
        <f t="shared" si="983"/>
        <v>160.43</v>
      </c>
      <c r="GO1139" s="2">
        <f t="shared" si="984"/>
        <v>0</v>
      </c>
      <c r="GP1139" s="2">
        <f t="shared" si="985"/>
        <v>0</v>
      </c>
      <c r="GQ1139" s="2"/>
      <c r="GR1139" s="2">
        <v>0</v>
      </c>
      <c r="GS1139" s="2">
        <v>0</v>
      </c>
      <c r="GT1139" s="2">
        <v>0</v>
      </c>
      <c r="GU1139" s="2" t="s">
        <v>3</v>
      </c>
      <c r="GV1139" s="2">
        <f t="shared" si="986"/>
        <v>0</v>
      </c>
      <c r="GW1139" s="2">
        <v>1</v>
      </c>
      <c r="GX1139" s="2">
        <f t="shared" si="987"/>
        <v>0</v>
      </c>
      <c r="GY1139" s="2"/>
      <c r="GZ1139" s="2"/>
      <c r="HA1139" s="2">
        <v>0</v>
      </c>
      <c r="HB1139" s="2">
        <v>0</v>
      </c>
      <c r="HC1139" s="2">
        <f t="shared" si="988"/>
        <v>0</v>
      </c>
      <c r="HD1139" s="2"/>
      <c r="HE1139" s="2" t="s">
        <v>3</v>
      </c>
      <c r="HF1139" s="2" t="s">
        <v>3</v>
      </c>
      <c r="HG1139" s="2"/>
      <c r="HH1139" s="2"/>
      <c r="HI1139" s="2"/>
      <c r="HJ1139" s="2"/>
      <c r="HK1139" s="2"/>
      <c r="HL1139" s="2"/>
      <c r="HM1139" s="2" t="s">
        <v>3</v>
      </c>
      <c r="HN1139" s="2" t="s">
        <v>3</v>
      </c>
      <c r="HO1139" s="2" t="s">
        <v>3</v>
      </c>
      <c r="HP1139" s="2" t="s">
        <v>3</v>
      </c>
      <c r="HQ1139" s="2" t="s">
        <v>3</v>
      </c>
      <c r="HR1139" s="2"/>
      <c r="HS1139" s="2"/>
      <c r="HT1139" s="2"/>
      <c r="HU1139" s="2"/>
      <c r="HV1139" s="2"/>
      <c r="HW1139" s="2"/>
      <c r="HX1139" s="2"/>
      <c r="HY1139" s="2"/>
      <c r="HZ1139" s="2"/>
      <c r="IA1139" s="2"/>
      <c r="IB1139" s="2"/>
      <c r="IC1139" s="2"/>
      <c r="ID1139" s="2"/>
      <c r="IE1139" s="2"/>
      <c r="IF1139" s="2"/>
      <c r="IG1139" s="2"/>
      <c r="IH1139" s="2"/>
      <c r="II1139" s="2"/>
      <c r="IJ1139" s="2"/>
      <c r="IK1139" s="2">
        <v>0</v>
      </c>
      <c r="IL1139" s="2"/>
      <c r="IM1139" s="2"/>
      <c r="IN1139" s="2"/>
      <c r="IO1139" s="2"/>
      <c r="IP1139" s="2"/>
      <c r="IQ1139" s="2"/>
      <c r="IR1139" s="2"/>
      <c r="IS1139" s="2"/>
      <c r="IT1139" s="2"/>
      <c r="IU1139" s="2"/>
    </row>
    <row r="1140" spans="1:255" x14ac:dyDescent="0.2">
      <c r="A1140">
        <v>18</v>
      </c>
      <c r="B1140">
        <v>1</v>
      </c>
      <c r="C1140">
        <v>988</v>
      </c>
      <c r="E1140" t="s">
        <v>596</v>
      </c>
      <c r="F1140" t="s">
        <v>922</v>
      </c>
      <c r="G1140" t="s">
        <v>923</v>
      </c>
      <c r="H1140" t="s">
        <v>270</v>
      </c>
      <c r="I1140">
        <f>I1138*J1140</f>
        <v>2.4950000000000001</v>
      </c>
      <c r="J1140">
        <v>99.8</v>
      </c>
      <c r="K1140">
        <v>99.8</v>
      </c>
      <c r="O1140">
        <f t="shared" si="958"/>
        <v>681.83</v>
      </c>
      <c r="P1140">
        <f t="shared" si="959"/>
        <v>681.83</v>
      </c>
      <c r="Q1140">
        <f t="shared" si="994"/>
        <v>0</v>
      </c>
      <c r="R1140">
        <f t="shared" si="960"/>
        <v>0</v>
      </c>
      <c r="S1140">
        <f t="shared" si="961"/>
        <v>0</v>
      </c>
      <c r="T1140">
        <f t="shared" si="962"/>
        <v>0</v>
      </c>
      <c r="U1140">
        <f t="shared" si="963"/>
        <v>0</v>
      </c>
      <c r="V1140">
        <f t="shared" si="964"/>
        <v>0</v>
      </c>
      <c r="W1140">
        <f t="shared" si="965"/>
        <v>0</v>
      </c>
      <c r="X1140">
        <f t="shared" si="966"/>
        <v>0</v>
      </c>
      <c r="Y1140">
        <f t="shared" si="967"/>
        <v>0</v>
      </c>
      <c r="AA1140">
        <v>129761633</v>
      </c>
      <c r="AB1140">
        <f t="shared" si="968"/>
        <v>64.3</v>
      </c>
      <c r="AC1140">
        <f t="shared" si="969"/>
        <v>64.3</v>
      </c>
      <c r="AD1140">
        <f t="shared" si="995"/>
        <v>0</v>
      </c>
      <c r="AE1140">
        <f t="shared" si="996"/>
        <v>0</v>
      </c>
      <c r="AF1140">
        <f t="shared" si="997"/>
        <v>0</v>
      </c>
      <c r="AG1140">
        <f t="shared" si="970"/>
        <v>0</v>
      </c>
      <c r="AH1140">
        <f t="shared" si="998"/>
        <v>0</v>
      </c>
      <c r="AI1140">
        <f t="shared" si="999"/>
        <v>0</v>
      </c>
      <c r="AJ1140">
        <f t="shared" si="971"/>
        <v>0</v>
      </c>
      <c r="AK1140">
        <v>64.3</v>
      </c>
      <c r="AL1140">
        <v>64.3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0</v>
      </c>
      <c r="AU1140">
        <v>0</v>
      </c>
      <c r="AV1140">
        <v>1</v>
      </c>
      <c r="AW1140">
        <v>1</v>
      </c>
      <c r="AZ1140">
        <v>1</v>
      </c>
      <c r="BA1140">
        <v>1</v>
      </c>
      <c r="BB1140">
        <v>1</v>
      </c>
      <c r="BC1140">
        <v>4.25</v>
      </c>
      <c r="BD1140" t="s">
        <v>3</v>
      </c>
      <c r="BE1140" t="s">
        <v>3</v>
      </c>
      <c r="BF1140" t="s">
        <v>3</v>
      </c>
      <c r="BG1140" t="s">
        <v>3</v>
      </c>
      <c r="BH1140">
        <v>3</v>
      </c>
      <c r="BI1140">
        <v>1</v>
      </c>
      <c r="BJ1140" t="s">
        <v>924</v>
      </c>
      <c r="BM1140">
        <v>1623</v>
      </c>
      <c r="BN1140">
        <v>0</v>
      </c>
      <c r="BO1140" t="s">
        <v>922</v>
      </c>
      <c r="BP1140">
        <v>1</v>
      </c>
      <c r="BQ1140">
        <v>30</v>
      </c>
      <c r="BR1140">
        <v>0</v>
      </c>
      <c r="BS1140">
        <v>1</v>
      </c>
      <c r="BT1140">
        <v>1</v>
      </c>
      <c r="BU1140">
        <v>1</v>
      </c>
      <c r="BV1140">
        <v>1</v>
      </c>
      <c r="BW1140">
        <v>1</v>
      </c>
      <c r="BX1140">
        <v>1</v>
      </c>
      <c r="BY1140" t="s">
        <v>3</v>
      </c>
      <c r="BZ1140">
        <v>0</v>
      </c>
      <c r="CA1140">
        <v>0</v>
      </c>
      <c r="CB1140" t="s">
        <v>3</v>
      </c>
      <c r="CE1140">
        <v>30</v>
      </c>
      <c r="CF1140">
        <v>0</v>
      </c>
      <c r="CG1140">
        <v>0</v>
      </c>
      <c r="CM1140">
        <v>0</v>
      </c>
      <c r="CN1140" t="s">
        <v>3</v>
      </c>
      <c r="CO1140">
        <v>0</v>
      </c>
      <c r="CP1140">
        <f t="shared" si="972"/>
        <v>681.83</v>
      </c>
      <c r="CQ1140">
        <f t="shared" si="973"/>
        <v>273.27999999999997</v>
      </c>
      <c r="CR1140">
        <f t="shared" si="1000"/>
        <v>0</v>
      </c>
      <c r="CS1140">
        <f t="shared" si="974"/>
        <v>0</v>
      </c>
      <c r="CT1140">
        <f t="shared" si="975"/>
        <v>0</v>
      </c>
      <c r="CU1140">
        <f t="shared" si="976"/>
        <v>0</v>
      </c>
      <c r="CV1140">
        <f t="shared" si="977"/>
        <v>0</v>
      </c>
      <c r="CW1140">
        <f t="shared" si="978"/>
        <v>0</v>
      </c>
      <c r="CX1140">
        <f t="shared" si="979"/>
        <v>0</v>
      </c>
      <c r="CY1140">
        <f>S1140*(BZ1140/100)</f>
        <v>0</v>
      </c>
      <c r="CZ1140">
        <f>S1140*(CA1140/100)</f>
        <v>0</v>
      </c>
      <c r="DC1140" t="s">
        <v>3</v>
      </c>
      <c r="DD1140" t="s">
        <v>3</v>
      </c>
      <c r="DE1140" t="s">
        <v>3</v>
      </c>
      <c r="DF1140" t="s">
        <v>3</v>
      </c>
      <c r="DG1140" t="s">
        <v>3</v>
      </c>
      <c r="DH1140" t="s">
        <v>3</v>
      </c>
      <c r="DI1140" t="s">
        <v>3</v>
      </c>
      <c r="DJ1140" t="s">
        <v>3</v>
      </c>
      <c r="DK1140" t="s">
        <v>3</v>
      </c>
      <c r="DL1140" t="s">
        <v>3</v>
      </c>
      <c r="DM1140" t="s">
        <v>3</v>
      </c>
      <c r="DN1140">
        <v>110</v>
      </c>
      <c r="DO1140">
        <v>74</v>
      </c>
      <c r="DP1140">
        <v>1</v>
      </c>
      <c r="DQ1140">
        <v>1</v>
      </c>
      <c r="DU1140">
        <v>1003</v>
      </c>
      <c r="DV1140" t="s">
        <v>270</v>
      </c>
      <c r="DW1140" t="s">
        <v>270</v>
      </c>
      <c r="DX1140">
        <v>1</v>
      </c>
      <c r="DZ1140" t="s">
        <v>3</v>
      </c>
      <c r="EA1140" t="s">
        <v>3</v>
      </c>
      <c r="EB1140" t="s">
        <v>3</v>
      </c>
      <c r="EC1140" t="s">
        <v>3</v>
      </c>
      <c r="EE1140">
        <v>126053084</v>
      </c>
      <c r="EF1140">
        <v>30</v>
      </c>
      <c r="EG1140" t="s">
        <v>23</v>
      </c>
      <c r="EH1140">
        <v>0</v>
      </c>
      <c r="EI1140" t="s">
        <v>3</v>
      </c>
      <c r="EJ1140">
        <v>1</v>
      </c>
      <c r="EK1140">
        <v>1623</v>
      </c>
      <c r="EL1140" t="s">
        <v>824</v>
      </c>
      <c r="EM1140" t="s">
        <v>825</v>
      </c>
      <c r="EO1140" t="s">
        <v>3</v>
      </c>
      <c r="EQ1140">
        <v>0</v>
      </c>
      <c r="ER1140">
        <v>64.3</v>
      </c>
      <c r="ES1140">
        <v>64.3</v>
      </c>
      <c r="ET1140">
        <v>0</v>
      </c>
      <c r="EU1140">
        <v>0</v>
      </c>
      <c r="EV1140">
        <v>0</v>
      </c>
      <c r="EW1140">
        <v>0</v>
      </c>
      <c r="EX1140">
        <v>0</v>
      </c>
      <c r="FQ1140">
        <v>0</v>
      </c>
      <c r="FR1140">
        <f t="shared" si="980"/>
        <v>0</v>
      </c>
      <c r="FS1140">
        <v>0</v>
      </c>
      <c r="FX1140">
        <v>110</v>
      </c>
      <c r="FY1140">
        <v>74</v>
      </c>
      <c r="GA1140" t="s">
        <v>3</v>
      </c>
      <c r="GD1140">
        <v>0</v>
      </c>
      <c r="GF1140">
        <v>1389394290</v>
      </c>
      <c r="GG1140">
        <v>2</v>
      </c>
      <c r="GH1140">
        <v>1</v>
      </c>
      <c r="GI1140">
        <v>2</v>
      </c>
      <c r="GJ1140">
        <v>0</v>
      </c>
      <c r="GK1140">
        <f>ROUND(R1140*(S12)/100,2)</f>
        <v>0</v>
      </c>
      <c r="GL1140">
        <f t="shared" si="981"/>
        <v>0</v>
      </c>
      <c r="GM1140">
        <f t="shared" si="982"/>
        <v>681.83</v>
      </c>
      <c r="GN1140">
        <f t="shared" si="983"/>
        <v>681.83</v>
      </c>
      <c r="GO1140">
        <f t="shared" si="984"/>
        <v>0</v>
      </c>
      <c r="GP1140">
        <f t="shared" si="985"/>
        <v>0</v>
      </c>
      <c r="GR1140">
        <v>0</v>
      </c>
      <c r="GS1140">
        <v>3</v>
      </c>
      <c r="GT1140">
        <v>0</v>
      </c>
      <c r="GU1140" t="s">
        <v>3</v>
      </c>
      <c r="GV1140">
        <f t="shared" si="986"/>
        <v>0</v>
      </c>
      <c r="GW1140">
        <v>1</v>
      </c>
      <c r="GX1140">
        <f t="shared" si="987"/>
        <v>0</v>
      </c>
      <c r="HA1140">
        <v>0</v>
      </c>
      <c r="HB1140">
        <v>0</v>
      </c>
      <c r="HC1140">
        <f t="shared" si="988"/>
        <v>0</v>
      </c>
      <c r="HE1140" t="s">
        <v>3</v>
      </c>
      <c r="HF1140" t="s">
        <v>3</v>
      </c>
      <c r="HM1140" t="s">
        <v>3</v>
      </c>
      <c r="HN1140" t="s">
        <v>3</v>
      </c>
      <c r="HO1140" t="s">
        <v>3</v>
      </c>
      <c r="HP1140" t="s">
        <v>3</v>
      </c>
      <c r="HQ1140" t="s">
        <v>3</v>
      </c>
      <c r="IK1140">
        <v>0</v>
      </c>
    </row>
    <row r="1141" spans="1:255" x14ac:dyDescent="0.2">
      <c r="A1141" s="2">
        <v>18</v>
      </c>
      <c r="B1141" s="2">
        <v>1</v>
      </c>
      <c r="C1141" s="2">
        <v>978</v>
      </c>
      <c r="D1141" s="2"/>
      <c r="E1141" s="2" t="s">
        <v>600</v>
      </c>
      <c r="F1141" s="2" t="s">
        <v>925</v>
      </c>
      <c r="G1141" s="2" t="s">
        <v>926</v>
      </c>
      <c r="H1141" s="2" t="s">
        <v>250</v>
      </c>
      <c r="I1141" s="2">
        <f>I1137*J1141</f>
        <v>1</v>
      </c>
      <c r="J1141" s="2">
        <v>40</v>
      </c>
      <c r="K1141" s="2">
        <v>40</v>
      </c>
      <c r="L1141" s="2"/>
      <c r="M1141" s="2"/>
      <c r="N1141" s="2"/>
      <c r="O1141" s="2">
        <f t="shared" si="958"/>
        <v>28.21</v>
      </c>
      <c r="P1141" s="2">
        <f t="shared" si="959"/>
        <v>28.21</v>
      </c>
      <c r="Q1141" s="2">
        <f t="shared" si="994"/>
        <v>0</v>
      </c>
      <c r="R1141" s="2">
        <f t="shared" si="960"/>
        <v>0</v>
      </c>
      <c r="S1141" s="2">
        <f t="shared" si="961"/>
        <v>0</v>
      </c>
      <c r="T1141" s="2">
        <f t="shared" si="962"/>
        <v>0</v>
      </c>
      <c r="U1141" s="2">
        <f t="shared" si="963"/>
        <v>0</v>
      </c>
      <c r="V1141" s="2">
        <f t="shared" si="964"/>
        <v>0</v>
      </c>
      <c r="W1141" s="2">
        <f t="shared" si="965"/>
        <v>0</v>
      </c>
      <c r="X1141" s="2">
        <f t="shared" si="966"/>
        <v>0</v>
      </c>
      <c r="Y1141" s="2">
        <f t="shared" si="967"/>
        <v>0</v>
      </c>
      <c r="Z1141" s="2"/>
      <c r="AA1141" s="2">
        <v>129761636</v>
      </c>
      <c r="AB1141" s="2">
        <f t="shared" si="968"/>
        <v>28.21</v>
      </c>
      <c r="AC1141" s="2">
        <f t="shared" si="969"/>
        <v>28.21</v>
      </c>
      <c r="AD1141" s="2">
        <f t="shared" si="995"/>
        <v>0</v>
      </c>
      <c r="AE1141" s="2">
        <f t="shared" si="996"/>
        <v>0</v>
      </c>
      <c r="AF1141" s="2">
        <f t="shared" si="997"/>
        <v>0</v>
      </c>
      <c r="AG1141" s="2">
        <f t="shared" si="970"/>
        <v>0</v>
      </c>
      <c r="AH1141" s="2">
        <f t="shared" si="998"/>
        <v>0</v>
      </c>
      <c r="AI1141" s="2">
        <f t="shared" si="999"/>
        <v>0</v>
      </c>
      <c r="AJ1141" s="2">
        <f t="shared" si="971"/>
        <v>0</v>
      </c>
      <c r="AK1141" s="2">
        <v>28.21</v>
      </c>
      <c r="AL1141" s="2">
        <v>28.21</v>
      </c>
      <c r="AM1141" s="2">
        <v>0</v>
      </c>
      <c r="AN1141" s="2">
        <v>0</v>
      </c>
      <c r="AO1141" s="2">
        <v>0</v>
      </c>
      <c r="AP1141" s="2">
        <v>0</v>
      </c>
      <c r="AQ1141" s="2">
        <v>0</v>
      </c>
      <c r="AR1141" s="2">
        <v>0</v>
      </c>
      <c r="AS1141" s="2">
        <v>0</v>
      </c>
      <c r="AT1141" s="2">
        <v>110</v>
      </c>
      <c r="AU1141" s="2">
        <v>74</v>
      </c>
      <c r="AV1141" s="2">
        <v>1</v>
      </c>
      <c r="AW1141" s="2">
        <v>1</v>
      </c>
      <c r="AX1141" s="2"/>
      <c r="AY1141" s="2"/>
      <c r="AZ1141" s="2">
        <v>1</v>
      </c>
      <c r="BA1141" s="2">
        <v>1</v>
      </c>
      <c r="BB1141" s="2">
        <v>1</v>
      </c>
      <c r="BC1141" s="2">
        <v>1</v>
      </c>
      <c r="BD1141" s="2" t="s">
        <v>3</v>
      </c>
      <c r="BE1141" s="2" t="s">
        <v>3</v>
      </c>
      <c r="BF1141" s="2" t="s">
        <v>3</v>
      </c>
      <c r="BG1141" s="2" t="s">
        <v>3</v>
      </c>
      <c r="BH1141" s="2">
        <v>3</v>
      </c>
      <c r="BI1141" s="2">
        <v>1</v>
      </c>
      <c r="BJ1141" s="2" t="s">
        <v>927</v>
      </c>
      <c r="BK1141" s="2"/>
      <c r="BL1141" s="2"/>
      <c r="BM1141" s="2">
        <v>1623</v>
      </c>
      <c r="BN1141" s="2">
        <v>0</v>
      </c>
      <c r="BO1141" s="2" t="s">
        <v>3</v>
      </c>
      <c r="BP1141" s="2">
        <v>0</v>
      </c>
      <c r="BQ1141" s="2">
        <v>30</v>
      </c>
      <c r="BR1141" s="2">
        <v>0</v>
      </c>
      <c r="BS1141" s="2">
        <v>1</v>
      </c>
      <c r="BT1141" s="2">
        <v>1</v>
      </c>
      <c r="BU1141" s="2">
        <v>1</v>
      </c>
      <c r="BV1141" s="2">
        <v>1</v>
      </c>
      <c r="BW1141" s="2">
        <v>1</v>
      </c>
      <c r="BX1141" s="2">
        <v>1</v>
      </c>
      <c r="BY1141" s="2" t="s">
        <v>3</v>
      </c>
      <c r="BZ1141" s="2">
        <v>110</v>
      </c>
      <c r="CA1141" s="2">
        <v>74</v>
      </c>
      <c r="CB1141" s="2" t="s">
        <v>3</v>
      </c>
      <c r="CC1141" s="2"/>
      <c r="CD1141" s="2"/>
      <c r="CE1141" s="2">
        <v>30</v>
      </c>
      <c r="CF1141" s="2">
        <v>0</v>
      </c>
      <c r="CG1141" s="2">
        <v>0</v>
      </c>
      <c r="CH1141" s="2"/>
      <c r="CI1141" s="2"/>
      <c r="CJ1141" s="2"/>
      <c r="CK1141" s="2"/>
      <c r="CL1141" s="2"/>
      <c r="CM1141" s="2">
        <v>0</v>
      </c>
      <c r="CN1141" s="2" t="s">
        <v>3</v>
      </c>
      <c r="CO1141" s="2">
        <v>0</v>
      </c>
      <c r="CP1141" s="2">
        <f t="shared" si="972"/>
        <v>28.21</v>
      </c>
      <c r="CQ1141" s="2">
        <f t="shared" si="973"/>
        <v>28.21</v>
      </c>
      <c r="CR1141" s="2">
        <f t="shared" si="1000"/>
        <v>0</v>
      </c>
      <c r="CS1141" s="2">
        <f t="shared" si="974"/>
        <v>0</v>
      </c>
      <c r="CT1141" s="2">
        <f t="shared" si="975"/>
        <v>0</v>
      </c>
      <c r="CU1141" s="2">
        <f t="shared" si="976"/>
        <v>0</v>
      </c>
      <c r="CV1141" s="2">
        <f t="shared" si="977"/>
        <v>0</v>
      </c>
      <c r="CW1141" s="2">
        <f t="shared" si="978"/>
        <v>0</v>
      </c>
      <c r="CX1141" s="2">
        <f t="shared" si="979"/>
        <v>0</v>
      </c>
      <c r="CY1141" s="2">
        <f>((S1141*BZ1141)/100)</f>
        <v>0</v>
      </c>
      <c r="CZ1141" s="2">
        <f>((S1141*CA1141)/100)</f>
        <v>0</v>
      </c>
      <c r="DA1141" s="2"/>
      <c r="DB1141" s="2"/>
      <c r="DC1141" s="2" t="s">
        <v>3</v>
      </c>
      <c r="DD1141" s="2" t="s">
        <v>3</v>
      </c>
      <c r="DE1141" s="2" t="s">
        <v>3</v>
      </c>
      <c r="DF1141" s="2" t="s">
        <v>3</v>
      </c>
      <c r="DG1141" s="2" t="s">
        <v>3</v>
      </c>
      <c r="DH1141" s="2" t="s">
        <v>3</v>
      </c>
      <c r="DI1141" s="2" t="s">
        <v>3</v>
      </c>
      <c r="DJ1141" s="2" t="s">
        <v>3</v>
      </c>
      <c r="DK1141" s="2" t="s">
        <v>3</v>
      </c>
      <c r="DL1141" s="2" t="s">
        <v>3</v>
      </c>
      <c r="DM1141" s="2" t="s">
        <v>3</v>
      </c>
      <c r="DN1141" s="2">
        <v>0</v>
      </c>
      <c r="DO1141" s="2">
        <v>0</v>
      </c>
      <c r="DP1141" s="2">
        <v>1</v>
      </c>
      <c r="DQ1141" s="2">
        <v>1</v>
      </c>
      <c r="DR1141" s="2"/>
      <c r="DS1141" s="2"/>
      <c r="DT1141" s="2"/>
      <c r="DU1141" s="2">
        <v>1010</v>
      </c>
      <c r="DV1141" s="2" t="s">
        <v>250</v>
      </c>
      <c r="DW1141" s="2" t="s">
        <v>250</v>
      </c>
      <c r="DX1141" s="2">
        <v>1</v>
      </c>
      <c r="DY1141" s="2"/>
      <c r="DZ1141" s="2" t="s">
        <v>3</v>
      </c>
      <c r="EA1141" s="2" t="s">
        <v>3</v>
      </c>
      <c r="EB1141" s="2" t="s">
        <v>3</v>
      </c>
      <c r="EC1141" s="2" t="s">
        <v>3</v>
      </c>
      <c r="ED1141" s="2"/>
      <c r="EE1141" s="2">
        <v>126053084</v>
      </c>
      <c r="EF1141" s="2">
        <v>30</v>
      </c>
      <c r="EG1141" s="2" t="s">
        <v>23</v>
      </c>
      <c r="EH1141" s="2">
        <v>0</v>
      </c>
      <c r="EI1141" s="2" t="s">
        <v>3</v>
      </c>
      <c r="EJ1141" s="2">
        <v>1</v>
      </c>
      <c r="EK1141" s="2">
        <v>1623</v>
      </c>
      <c r="EL1141" s="2" t="s">
        <v>824</v>
      </c>
      <c r="EM1141" s="2" t="s">
        <v>825</v>
      </c>
      <c r="EN1141" s="2"/>
      <c r="EO1141" s="2" t="s">
        <v>3</v>
      </c>
      <c r="EP1141" s="2"/>
      <c r="EQ1141" s="2">
        <v>0</v>
      </c>
      <c r="ER1141" s="2">
        <v>28.21</v>
      </c>
      <c r="ES1141" s="2">
        <v>28.21</v>
      </c>
      <c r="ET1141" s="2">
        <v>0</v>
      </c>
      <c r="EU1141" s="2">
        <v>0</v>
      </c>
      <c r="EV1141" s="2">
        <v>0</v>
      </c>
      <c r="EW1141" s="2">
        <v>0</v>
      </c>
      <c r="EX1141" s="2">
        <v>0</v>
      </c>
      <c r="EY1141" s="2"/>
      <c r="EZ1141" s="2"/>
      <c r="FA1141" s="2"/>
      <c r="FB1141" s="2"/>
      <c r="FC1141" s="2"/>
      <c r="FD1141" s="2"/>
      <c r="FE1141" s="2"/>
      <c r="FF1141" s="2"/>
      <c r="FG1141" s="2"/>
      <c r="FH1141" s="2"/>
      <c r="FI1141" s="2"/>
      <c r="FJ1141" s="2"/>
      <c r="FK1141" s="2"/>
      <c r="FL1141" s="2"/>
      <c r="FM1141" s="2"/>
      <c r="FN1141" s="2"/>
      <c r="FO1141" s="2"/>
      <c r="FP1141" s="2"/>
      <c r="FQ1141" s="2">
        <v>0</v>
      </c>
      <c r="FR1141" s="2">
        <f t="shared" si="980"/>
        <v>0</v>
      </c>
      <c r="FS1141" s="2">
        <v>0</v>
      </c>
      <c r="FT1141" s="2"/>
      <c r="FU1141" s="2"/>
      <c r="FV1141" s="2"/>
      <c r="FW1141" s="2"/>
      <c r="FX1141" s="2">
        <v>110</v>
      </c>
      <c r="FY1141" s="2">
        <v>74</v>
      </c>
      <c r="FZ1141" s="2"/>
      <c r="GA1141" s="2" t="s">
        <v>3</v>
      </c>
      <c r="GB1141" s="2"/>
      <c r="GC1141" s="2"/>
      <c r="GD1141" s="2">
        <v>0</v>
      </c>
      <c r="GE1141" s="2"/>
      <c r="GF1141" s="2">
        <v>143574440</v>
      </c>
      <c r="GG1141" s="2">
        <v>2</v>
      </c>
      <c r="GH1141" s="2">
        <v>1</v>
      </c>
      <c r="GI1141" s="2">
        <v>-2</v>
      </c>
      <c r="GJ1141" s="2">
        <v>0</v>
      </c>
      <c r="GK1141" s="2">
        <f>ROUND(R1141*(R12)/100,2)</f>
        <v>0</v>
      </c>
      <c r="GL1141" s="2">
        <f t="shared" si="981"/>
        <v>0</v>
      </c>
      <c r="GM1141" s="2">
        <f t="shared" si="982"/>
        <v>28.21</v>
      </c>
      <c r="GN1141" s="2">
        <f t="shared" si="983"/>
        <v>28.21</v>
      </c>
      <c r="GO1141" s="2">
        <f t="shared" si="984"/>
        <v>0</v>
      </c>
      <c r="GP1141" s="2">
        <f t="shared" si="985"/>
        <v>0</v>
      </c>
      <c r="GQ1141" s="2"/>
      <c r="GR1141" s="2">
        <v>0</v>
      </c>
      <c r="GS1141" s="2">
        <v>0</v>
      </c>
      <c r="GT1141" s="2">
        <v>0</v>
      </c>
      <c r="GU1141" s="2" t="s">
        <v>3</v>
      </c>
      <c r="GV1141" s="2">
        <f t="shared" si="986"/>
        <v>0</v>
      </c>
      <c r="GW1141" s="2">
        <v>1</v>
      </c>
      <c r="GX1141" s="2">
        <f t="shared" si="987"/>
        <v>0</v>
      </c>
      <c r="GY1141" s="2"/>
      <c r="GZ1141" s="2"/>
      <c r="HA1141" s="2">
        <v>0</v>
      </c>
      <c r="HB1141" s="2">
        <v>0</v>
      </c>
      <c r="HC1141" s="2">
        <f t="shared" si="988"/>
        <v>0</v>
      </c>
      <c r="HD1141" s="2"/>
      <c r="HE1141" s="2" t="s">
        <v>3</v>
      </c>
      <c r="HF1141" s="2" t="s">
        <v>3</v>
      </c>
      <c r="HG1141" s="2"/>
      <c r="HH1141" s="2"/>
      <c r="HI1141" s="2"/>
      <c r="HJ1141" s="2"/>
      <c r="HK1141" s="2"/>
      <c r="HL1141" s="2"/>
      <c r="HM1141" s="2" t="s">
        <v>3</v>
      </c>
      <c r="HN1141" s="2" t="s">
        <v>3</v>
      </c>
      <c r="HO1141" s="2" t="s">
        <v>3</v>
      </c>
      <c r="HP1141" s="2" t="s">
        <v>3</v>
      </c>
      <c r="HQ1141" s="2" t="s">
        <v>3</v>
      </c>
      <c r="HR1141" s="2"/>
      <c r="HS1141" s="2"/>
      <c r="HT1141" s="2"/>
      <c r="HU1141" s="2"/>
      <c r="HV1141" s="2"/>
      <c r="HW1141" s="2"/>
      <c r="HX1141" s="2"/>
      <c r="HY1141" s="2"/>
      <c r="HZ1141" s="2"/>
      <c r="IA1141" s="2"/>
      <c r="IB1141" s="2"/>
      <c r="IC1141" s="2"/>
      <c r="ID1141" s="2"/>
      <c r="IE1141" s="2"/>
      <c r="IF1141" s="2"/>
      <c r="IG1141" s="2"/>
      <c r="IH1141" s="2"/>
      <c r="II1141" s="2"/>
      <c r="IJ1141" s="2"/>
      <c r="IK1141" s="2">
        <v>0</v>
      </c>
      <c r="IL1141" s="2"/>
      <c r="IM1141" s="2"/>
      <c r="IN1141" s="2"/>
      <c r="IO1141" s="2"/>
      <c r="IP1141" s="2"/>
      <c r="IQ1141" s="2"/>
      <c r="IR1141" s="2"/>
      <c r="IS1141" s="2"/>
      <c r="IT1141" s="2"/>
      <c r="IU1141" s="2"/>
    </row>
    <row r="1142" spans="1:255" x14ac:dyDescent="0.2">
      <c r="A1142">
        <v>18</v>
      </c>
      <c r="B1142">
        <v>1</v>
      </c>
      <c r="C1142">
        <v>989</v>
      </c>
      <c r="E1142" t="s">
        <v>600</v>
      </c>
      <c r="F1142" t="s">
        <v>925</v>
      </c>
      <c r="G1142" t="s">
        <v>926</v>
      </c>
      <c r="H1142" t="s">
        <v>250</v>
      </c>
      <c r="I1142">
        <f>I1138*J1142</f>
        <v>1</v>
      </c>
      <c r="J1142">
        <v>40</v>
      </c>
      <c r="K1142">
        <v>40</v>
      </c>
      <c r="O1142">
        <f t="shared" si="958"/>
        <v>181.39</v>
      </c>
      <c r="P1142">
        <f t="shared" si="959"/>
        <v>181.39</v>
      </c>
      <c r="Q1142">
        <f t="shared" si="994"/>
        <v>0</v>
      </c>
      <c r="R1142">
        <f t="shared" si="960"/>
        <v>0</v>
      </c>
      <c r="S1142">
        <f t="shared" si="961"/>
        <v>0</v>
      </c>
      <c r="T1142">
        <f t="shared" si="962"/>
        <v>0</v>
      </c>
      <c r="U1142">
        <f t="shared" si="963"/>
        <v>0</v>
      </c>
      <c r="V1142">
        <f t="shared" si="964"/>
        <v>0</v>
      </c>
      <c r="W1142">
        <f t="shared" si="965"/>
        <v>0</v>
      </c>
      <c r="X1142">
        <f t="shared" si="966"/>
        <v>0</v>
      </c>
      <c r="Y1142">
        <f t="shared" si="967"/>
        <v>0</v>
      </c>
      <c r="AA1142">
        <v>129761633</v>
      </c>
      <c r="AB1142">
        <f t="shared" si="968"/>
        <v>28.21</v>
      </c>
      <c r="AC1142">
        <f t="shared" si="969"/>
        <v>28.21</v>
      </c>
      <c r="AD1142">
        <f t="shared" si="995"/>
        <v>0</v>
      </c>
      <c r="AE1142">
        <f t="shared" si="996"/>
        <v>0</v>
      </c>
      <c r="AF1142">
        <f t="shared" si="997"/>
        <v>0</v>
      </c>
      <c r="AG1142">
        <f t="shared" si="970"/>
        <v>0</v>
      </c>
      <c r="AH1142">
        <f t="shared" si="998"/>
        <v>0</v>
      </c>
      <c r="AI1142">
        <f t="shared" si="999"/>
        <v>0</v>
      </c>
      <c r="AJ1142">
        <f t="shared" si="971"/>
        <v>0</v>
      </c>
      <c r="AK1142">
        <v>28.21</v>
      </c>
      <c r="AL1142">
        <v>28.21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0</v>
      </c>
      <c r="AU1142">
        <v>0</v>
      </c>
      <c r="AV1142">
        <v>1</v>
      </c>
      <c r="AW1142">
        <v>1</v>
      </c>
      <c r="AZ1142">
        <v>1</v>
      </c>
      <c r="BA1142">
        <v>1</v>
      </c>
      <c r="BB1142">
        <v>1</v>
      </c>
      <c r="BC1142">
        <v>6.43</v>
      </c>
      <c r="BD1142" t="s">
        <v>3</v>
      </c>
      <c r="BE1142" t="s">
        <v>3</v>
      </c>
      <c r="BF1142" t="s">
        <v>3</v>
      </c>
      <c r="BG1142" t="s">
        <v>3</v>
      </c>
      <c r="BH1142">
        <v>3</v>
      </c>
      <c r="BI1142">
        <v>1</v>
      </c>
      <c r="BJ1142" t="s">
        <v>927</v>
      </c>
      <c r="BM1142">
        <v>1623</v>
      </c>
      <c r="BN1142">
        <v>0</v>
      </c>
      <c r="BO1142" t="s">
        <v>925</v>
      </c>
      <c r="BP1142">
        <v>1</v>
      </c>
      <c r="BQ1142">
        <v>30</v>
      </c>
      <c r="BR1142">
        <v>0</v>
      </c>
      <c r="BS1142">
        <v>1</v>
      </c>
      <c r="BT1142">
        <v>1</v>
      </c>
      <c r="BU1142">
        <v>1</v>
      </c>
      <c r="BV1142">
        <v>1</v>
      </c>
      <c r="BW1142">
        <v>1</v>
      </c>
      <c r="BX1142">
        <v>1</v>
      </c>
      <c r="BY1142" t="s">
        <v>3</v>
      </c>
      <c r="BZ1142">
        <v>0</v>
      </c>
      <c r="CA1142">
        <v>0</v>
      </c>
      <c r="CB1142" t="s">
        <v>3</v>
      </c>
      <c r="CE1142">
        <v>30</v>
      </c>
      <c r="CF1142">
        <v>0</v>
      </c>
      <c r="CG1142">
        <v>0</v>
      </c>
      <c r="CM1142">
        <v>0</v>
      </c>
      <c r="CN1142" t="s">
        <v>3</v>
      </c>
      <c r="CO1142">
        <v>0</v>
      </c>
      <c r="CP1142">
        <f t="shared" si="972"/>
        <v>181.39</v>
      </c>
      <c r="CQ1142">
        <f t="shared" si="973"/>
        <v>181.39</v>
      </c>
      <c r="CR1142">
        <f t="shared" si="1000"/>
        <v>0</v>
      </c>
      <c r="CS1142">
        <f t="shared" si="974"/>
        <v>0</v>
      </c>
      <c r="CT1142">
        <f t="shared" si="975"/>
        <v>0</v>
      </c>
      <c r="CU1142">
        <f t="shared" si="976"/>
        <v>0</v>
      </c>
      <c r="CV1142">
        <f t="shared" si="977"/>
        <v>0</v>
      </c>
      <c r="CW1142">
        <f t="shared" si="978"/>
        <v>0</v>
      </c>
      <c r="CX1142">
        <f t="shared" si="979"/>
        <v>0</v>
      </c>
      <c r="CY1142">
        <f>S1142*(BZ1142/100)</f>
        <v>0</v>
      </c>
      <c r="CZ1142">
        <f>S1142*(CA1142/100)</f>
        <v>0</v>
      </c>
      <c r="DC1142" t="s">
        <v>3</v>
      </c>
      <c r="DD1142" t="s">
        <v>3</v>
      </c>
      <c r="DE1142" t="s">
        <v>3</v>
      </c>
      <c r="DF1142" t="s">
        <v>3</v>
      </c>
      <c r="DG1142" t="s">
        <v>3</v>
      </c>
      <c r="DH1142" t="s">
        <v>3</v>
      </c>
      <c r="DI1142" t="s">
        <v>3</v>
      </c>
      <c r="DJ1142" t="s">
        <v>3</v>
      </c>
      <c r="DK1142" t="s">
        <v>3</v>
      </c>
      <c r="DL1142" t="s">
        <v>3</v>
      </c>
      <c r="DM1142" t="s">
        <v>3</v>
      </c>
      <c r="DN1142">
        <v>110</v>
      </c>
      <c r="DO1142">
        <v>74</v>
      </c>
      <c r="DP1142">
        <v>1</v>
      </c>
      <c r="DQ1142">
        <v>1</v>
      </c>
      <c r="DU1142">
        <v>1010</v>
      </c>
      <c r="DV1142" t="s">
        <v>250</v>
      </c>
      <c r="DW1142" t="s">
        <v>250</v>
      </c>
      <c r="DX1142">
        <v>1</v>
      </c>
      <c r="DZ1142" t="s">
        <v>3</v>
      </c>
      <c r="EA1142" t="s">
        <v>3</v>
      </c>
      <c r="EB1142" t="s">
        <v>3</v>
      </c>
      <c r="EC1142" t="s">
        <v>3</v>
      </c>
      <c r="EE1142">
        <v>126053084</v>
      </c>
      <c r="EF1142">
        <v>30</v>
      </c>
      <c r="EG1142" t="s">
        <v>23</v>
      </c>
      <c r="EH1142">
        <v>0</v>
      </c>
      <c r="EI1142" t="s">
        <v>3</v>
      </c>
      <c r="EJ1142">
        <v>1</v>
      </c>
      <c r="EK1142">
        <v>1623</v>
      </c>
      <c r="EL1142" t="s">
        <v>824</v>
      </c>
      <c r="EM1142" t="s">
        <v>825</v>
      </c>
      <c r="EO1142" t="s">
        <v>3</v>
      </c>
      <c r="EQ1142">
        <v>0</v>
      </c>
      <c r="ER1142">
        <v>28.21</v>
      </c>
      <c r="ES1142">
        <v>28.21</v>
      </c>
      <c r="ET1142">
        <v>0</v>
      </c>
      <c r="EU1142">
        <v>0</v>
      </c>
      <c r="EV1142">
        <v>0</v>
      </c>
      <c r="EW1142">
        <v>0</v>
      </c>
      <c r="EX1142">
        <v>0</v>
      </c>
      <c r="FQ1142">
        <v>0</v>
      </c>
      <c r="FR1142">
        <f t="shared" si="980"/>
        <v>0</v>
      </c>
      <c r="FS1142">
        <v>0</v>
      </c>
      <c r="FX1142">
        <v>110</v>
      </c>
      <c r="FY1142">
        <v>74</v>
      </c>
      <c r="GA1142" t="s">
        <v>3</v>
      </c>
      <c r="GD1142">
        <v>0</v>
      </c>
      <c r="GF1142">
        <v>143574440</v>
      </c>
      <c r="GG1142">
        <v>2</v>
      </c>
      <c r="GH1142">
        <v>1</v>
      </c>
      <c r="GI1142">
        <v>2</v>
      </c>
      <c r="GJ1142">
        <v>0</v>
      </c>
      <c r="GK1142">
        <f>ROUND(R1142*(S12)/100,2)</f>
        <v>0</v>
      </c>
      <c r="GL1142">
        <f t="shared" si="981"/>
        <v>0</v>
      </c>
      <c r="GM1142">
        <f t="shared" si="982"/>
        <v>181.39</v>
      </c>
      <c r="GN1142">
        <f t="shared" si="983"/>
        <v>181.39</v>
      </c>
      <c r="GO1142">
        <f t="shared" si="984"/>
        <v>0</v>
      </c>
      <c r="GP1142">
        <f t="shared" si="985"/>
        <v>0</v>
      </c>
      <c r="GR1142">
        <v>0</v>
      </c>
      <c r="GS1142">
        <v>3</v>
      </c>
      <c r="GT1142">
        <v>0</v>
      </c>
      <c r="GU1142" t="s">
        <v>3</v>
      </c>
      <c r="GV1142">
        <f t="shared" si="986"/>
        <v>0</v>
      </c>
      <c r="GW1142">
        <v>1</v>
      </c>
      <c r="GX1142">
        <f t="shared" si="987"/>
        <v>0</v>
      </c>
      <c r="HA1142">
        <v>0</v>
      </c>
      <c r="HB1142">
        <v>0</v>
      </c>
      <c r="HC1142">
        <f t="shared" si="988"/>
        <v>0</v>
      </c>
      <c r="HE1142" t="s">
        <v>3</v>
      </c>
      <c r="HF1142" t="s">
        <v>3</v>
      </c>
      <c r="HM1142" t="s">
        <v>3</v>
      </c>
      <c r="HN1142" t="s">
        <v>3</v>
      </c>
      <c r="HO1142" t="s">
        <v>3</v>
      </c>
      <c r="HP1142" t="s">
        <v>3</v>
      </c>
      <c r="HQ1142" t="s">
        <v>3</v>
      </c>
      <c r="IK1142">
        <v>0</v>
      </c>
    </row>
    <row r="1143" spans="1:255" x14ac:dyDescent="0.2">
      <c r="A1143" s="2">
        <v>18</v>
      </c>
      <c r="B1143" s="2">
        <v>1</v>
      </c>
      <c r="C1143" s="2">
        <v>979</v>
      </c>
      <c r="D1143" s="2"/>
      <c r="E1143" s="2" t="s">
        <v>928</v>
      </c>
      <c r="F1143" s="2" t="s">
        <v>929</v>
      </c>
      <c r="G1143" s="2" t="s">
        <v>930</v>
      </c>
      <c r="H1143" s="2" t="s">
        <v>250</v>
      </c>
      <c r="I1143" s="2">
        <f>I1137*J1143</f>
        <v>2</v>
      </c>
      <c r="J1143" s="2">
        <v>80</v>
      </c>
      <c r="K1143" s="2">
        <v>80</v>
      </c>
      <c r="L1143" s="2"/>
      <c r="M1143" s="2"/>
      <c r="N1143" s="2"/>
      <c r="O1143" s="2">
        <f t="shared" si="958"/>
        <v>36.799999999999997</v>
      </c>
      <c r="P1143" s="2">
        <f t="shared" si="959"/>
        <v>36.799999999999997</v>
      </c>
      <c r="Q1143" s="2">
        <f t="shared" si="994"/>
        <v>0</v>
      </c>
      <c r="R1143" s="2">
        <f t="shared" si="960"/>
        <v>0</v>
      </c>
      <c r="S1143" s="2">
        <f t="shared" si="961"/>
        <v>0</v>
      </c>
      <c r="T1143" s="2">
        <f t="shared" si="962"/>
        <v>0</v>
      </c>
      <c r="U1143" s="2">
        <f t="shared" si="963"/>
        <v>0</v>
      </c>
      <c r="V1143" s="2">
        <f t="shared" si="964"/>
        <v>0</v>
      </c>
      <c r="W1143" s="2">
        <f t="shared" si="965"/>
        <v>0</v>
      </c>
      <c r="X1143" s="2">
        <f t="shared" si="966"/>
        <v>0</v>
      </c>
      <c r="Y1143" s="2">
        <f t="shared" si="967"/>
        <v>0</v>
      </c>
      <c r="Z1143" s="2"/>
      <c r="AA1143" s="2">
        <v>129761636</v>
      </c>
      <c r="AB1143" s="2">
        <f t="shared" si="968"/>
        <v>18.399999999999999</v>
      </c>
      <c r="AC1143" s="2">
        <f t="shared" si="969"/>
        <v>18.399999999999999</v>
      </c>
      <c r="AD1143" s="2">
        <f t="shared" si="995"/>
        <v>0</v>
      </c>
      <c r="AE1143" s="2">
        <f t="shared" si="996"/>
        <v>0</v>
      </c>
      <c r="AF1143" s="2">
        <f t="shared" si="997"/>
        <v>0</v>
      </c>
      <c r="AG1143" s="2">
        <f t="shared" si="970"/>
        <v>0</v>
      </c>
      <c r="AH1143" s="2">
        <f t="shared" si="998"/>
        <v>0</v>
      </c>
      <c r="AI1143" s="2">
        <f t="shared" si="999"/>
        <v>0</v>
      </c>
      <c r="AJ1143" s="2">
        <f t="shared" si="971"/>
        <v>0</v>
      </c>
      <c r="AK1143" s="2">
        <v>18.399999999999999</v>
      </c>
      <c r="AL1143" s="2">
        <v>18.399999999999999</v>
      </c>
      <c r="AM1143" s="2">
        <v>0</v>
      </c>
      <c r="AN1143" s="2">
        <v>0</v>
      </c>
      <c r="AO1143" s="2">
        <v>0</v>
      </c>
      <c r="AP1143" s="2">
        <v>0</v>
      </c>
      <c r="AQ1143" s="2">
        <v>0</v>
      </c>
      <c r="AR1143" s="2">
        <v>0</v>
      </c>
      <c r="AS1143" s="2">
        <v>0</v>
      </c>
      <c r="AT1143" s="2">
        <v>110</v>
      </c>
      <c r="AU1143" s="2">
        <v>74</v>
      </c>
      <c r="AV1143" s="2">
        <v>1</v>
      </c>
      <c r="AW1143" s="2">
        <v>1</v>
      </c>
      <c r="AX1143" s="2"/>
      <c r="AY1143" s="2"/>
      <c r="AZ1143" s="2">
        <v>1</v>
      </c>
      <c r="BA1143" s="2">
        <v>1</v>
      </c>
      <c r="BB1143" s="2">
        <v>1</v>
      </c>
      <c r="BC1143" s="2">
        <v>1</v>
      </c>
      <c r="BD1143" s="2" t="s">
        <v>3</v>
      </c>
      <c r="BE1143" s="2" t="s">
        <v>3</v>
      </c>
      <c r="BF1143" s="2" t="s">
        <v>3</v>
      </c>
      <c r="BG1143" s="2" t="s">
        <v>3</v>
      </c>
      <c r="BH1143" s="2">
        <v>3</v>
      </c>
      <c r="BI1143" s="2">
        <v>1</v>
      </c>
      <c r="BJ1143" s="2" t="s">
        <v>931</v>
      </c>
      <c r="BK1143" s="2"/>
      <c r="BL1143" s="2"/>
      <c r="BM1143" s="2">
        <v>1623</v>
      </c>
      <c r="BN1143" s="2">
        <v>0</v>
      </c>
      <c r="BO1143" s="2" t="s">
        <v>3</v>
      </c>
      <c r="BP1143" s="2">
        <v>0</v>
      </c>
      <c r="BQ1143" s="2">
        <v>30</v>
      </c>
      <c r="BR1143" s="2">
        <v>0</v>
      </c>
      <c r="BS1143" s="2">
        <v>1</v>
      </c>
      <c r="BT1143" s="2">
        <v>1</v>
      </c>
      <c r="BU1143" s="2">
        <v>1</v>
      </c>
      <c r="BV1143" s="2">
        <v>1</v>
      </c>
      <c r="BW1143" s="2">
        <v>1</v>
      </c>
      <c r="BX1143" s="2">
        <v>1</v>
      </c>
      <c r="BY1143" s="2" t="s">
        <v>3</v>
      </c>
      <c r="BZ1143" s="2">
        <v>110</v>
      </c>
      <c r="CA1143" s="2">
        <v>74</v>
      </c>
      <c r="CB1143" s="2" t="s">
        <v>3</v>
      </c>
      <c r="CC1143" s="2"/>
      <c r="CD1143" s="2"/>
      <c r="CE1143" s="2">
        <v>30</v>
      </c>
      <c r="CF1143" s="2">
        <v>0</v>
      </c>
      <c r="CG1143" s="2">
        <v>0</v>
      </c>
      <c r="CH1143" s="2"/>
      <c r="CI1143" s="2"/>
      <c r="CJ1143" s="2"/>
      <c r="CK1143" s="2"/>
      <c r="CL1143" s="2"/>
      <c r="CM1143" s="2">
        <v>0</v>
      </c>
      <c r="CN1143" s="2" t="s">
        <v>3</v>
      </c>
      <c r="CO1143" s="2">
        <v>0</v>
      </c>
      <c r="CP1143" s="2">
        <f t="shared" si="972"/>
        <v>36.799999999999997</v>
      </c>
      <c r="CQ1143" s="2">
        <f t="shared" si="973"/>
        <v>18.399999999999999</v>
      </c>
      <c r="CR1143" s="2">
        <f t="shared" si="1000"/>
        <v>0</v>
      </c>
      <c r="CS1143" s="2">
        <f t="shared" si="974"/>
        <v>0</v>
      </c>
      <c r="CT1143" s="2">
        <f t="shared" si="975"/>
        <v>0</v>
      </c>
      <c r="CU1143" s="2">
        <f t="shared" si="976"/>
        <v>0</v>
      </c>
      <c r="CV1143" s="2">
        <f t="shared" si="977"/>
        <v>0</v>
      </c>
      <c r="CW1143" s="2">
        <f t="shared" si="978"/>
        <v>0</v>
      </c>
      <c r="CX1143" s="2">
        <f t="shared" si="979"/>
        <v>0</v>
      </c>
      <c r="CY1143" s="2">
        <f>((S1143*BZ1143)/100)</f>
        <v>0</v>
      </c>
      <c r="CZ1143" s="2">
        <f>((S1143*CA1143)/100)</f>
        <v>0</v>
      </c>
      <c r="DA1143" s="2"/>
      <c r="DB1143" s="2"/>
      <c r="DC1143" s="2" t="s">
        <v>3</v>
      </c>
      <c r="DD1143" s="2" t="s">
        <v>3</v>
      </c>
      <c r="DE1143" s="2" t="s">
        <v>3</v>
      </c>
      <c r="DF1143" s="2" t="s">
        <v>3</v>
      </c>
      <c r="DG1143" s="2" t="s">
        <v>3</v>
      </c>
      <c r="DH1143" s="2" t="s">
        <v>3</v>
      </c>
      <c r="DI1143" s="2" t="s">
        <v>3</v>
      </c>
      <c r="DJ1143" s="2" t="s">
        <v>3</v>
      </c>
      <c r="DK1143" s="2" t="s">
        <v>3</v>
      </c>
      <c r="DL1143" s="2" t="s">
        <v>3</v>
      </c>
      <c r="DM1143" s="2" t="s">
        <v>3</v>
      </c>
      <c r="DN1143" s="2">
        <v>0</v>
      </c>
      <c r="DO1143" s="2">
        <v>0</v>
      </c>
      <c r="DP1143" s="2">
        <v>1</v>
      </c>
      <c r="DQ1143" s="2">
        <v>1</v>
      </c>
      <c r="DR1143" s="2"/>
      <c r="DS1143" s="2"/>
      <c r="DT1143" s="2"/>
      <c r="DU1143" s="2">
        <v>1010</v>
      </c>
      <c r="DV1143" s="2" t="s">
        <v>250</v>
      </c>
      <c r="DW1143" s="2" t="s">
        <v>250</v>
      </c>
      <c r="DX1143" s="2">
        <v>1</v>
      </c>
      <c r="DY1143" s="2"/>
      <c r="DZ1143" s="2" t="s">
        <v>3</v>
      </c>
      <c r="EA1143" s="2" t="s">
        <v>3</v>
      </c>
      <c r="EB1143" s="2" t="s">
        <v>3</v>
      </c>
      <c r="EC1143" s="2" t="s">
        <v>3</v>
      </c>
      <c r="ED1143" s="2"/>
      <c r="EE1143" s="2">
        <v>126053084</v>
      </c>
      <c r="EF1143" s="2">
        <v>30</v>
      </c>
      <c r="EG1143" s="2" t="s">
        <v>23</v>
      </c>
      <c r="EH1143" s="2">
        <v>0</v>
      </c>
      <c r="EI1143" s="2" t="s">
        <v>3</v>
      </c>
      <c r="EJ1143" s="2">
        <v>1</v>
      </c>
      <c r="EK1143" s="2">
        <v>1623</v>
      </c>
      <c r="EL1143" s="2" t="s">
        <v>824</v>
      </c>
      <c r="EM1143" s="2" t="s">
        <v>825</v>
      </c>
      <c r="EN1143" s="2"/>
      <c r="EO1143" s="2" t="s">
        <v>3</v>
      </c>
      <c r="EP1143" s="2"/>
      <c r="EQ1143" s="2">
        <v>0</v>
      </c>
      <c r="ER1143" s="2">
        <v>18.399999999999999</v>
      </c>
      <c r="ES1143" s="2">
        <v>18.399999999999999</v>
      </c>
      <c r="ET1143" s="2">
        <v>0</v>
      </c>
      <c r="EU1143" s="2">
        <v>0</v>
      </c>
      <c r="EV1143" s="2">
        <v>0</v>
      </c>
      <c r="EW1143" s="2">
        <v>0</v>
      </c>
      <c r="EX1143" s="2">
        <v>0</v>
      </c>
      <c r="EY1143" s="2"/>
      <c r="EZ1143" s="2"/>
      <c r="FA1143" s="2"/>
      <c r="FB1143" s="2"/>
      <c r="FC1143" s="2"/>
      <c r="FD1143" s="2"/>
      <c r="FE1143" s="2"/>
      <c r="FF1143" s="2"/>
      <c r="FG1143" s="2"/>
      <c r="FH1143" s="2"/>
      <c r="FI1143" s="2"/>
      <c r="FJ1143" s="2"/>
      <c r="FK1143" s="2"/>
      <c r="FL1143" s="2"/>
      <c r="FM1143" s="2"/>
      <c r="FN1143" s="2"/>
      <c r="FO1143" s="2"/>
      <c r="FP1143" s="2"/>
      <c r="FQ1143" s="2">
        <v>0</v>
      </c>
      <c r="FR1143" s="2">
        <f t="shared" si="980"/>
        <v>0</v>
      </c>
      <c r="FS1143" s="2">
        <v>0</v>
      </c>
      <c r="FT1143" s="2"/>
      <c r="FU1143" s="2"/>
      <c r="FV1143" s="2"/>
      <c r="FW1143" s="2"/>
      <c r="FX1143" s="2">
        <v>110</v>
      </c>
      <c r="FY1143" s="2">
        <v>74</v>
      </c>
      <c r="FZ1143" s="2"/>
      <c r="GA1143" s="2" t="s">
        <v>3</v>
      </c>
      <c r="GB1143" s="2"/>
      <c r="GC1143" s="2"/>
      <c r="GD1143" s="2">
        <v>0</v>
      </c>
      <c r="GE1143" s="2"/>
      <c r="GF1143" s="2">
        <v>-1706121595</v>
      </c>
      <c r="GG1143" s="2">
        <v>2</v>
      </c>
      <c r="GH1143" s="2">
        <v>1</v>
      </c>
      <c r="GI1143" s="2">
        <v>-2</v>
      </c>
      <c r="GJ1143" s="2">
        <v>0</v>
      </c>
      <c r="GK1143" s="2">
        <f>ROUND(R1143*(R12)/100,2)</f>
        <v>0</v>
      </c>
      <c r="GL1143" s="2">
        <f t="shared" si="981"/>
        <v>0</v>
      </c>
      <c r="GM1143" s="2">
        <f t="shared" si="982"/>
        <v>36.799999999999997</v>
      </c>
      <c r="GN1143" s="2">
        <f t="shared" si="983"/>
        <v>36.799999999999997</v>
      </c>
      <c r="GO1143" s="2">
        <f t="shared" si="984"/>
        <v>0</v>
      </c>
      <c r="GP1143" s="2">
        <f t="shared" si="985"/>
        <v>0</v>
      </c>
      <c r="GQ1143" s="2"/>
      <c r="GR1143" s="2">
        <v>0</v>
      </c>
      <c r="GS1143" s="2">
        <v>0</v>
      </c>
      <c r="GT1143" s="2">
        <v>0</v>
      </c>
      <c r="GU1143" s="2" t="s">
        <v>3</v>
      </c>
      <c r="GV1143" s="2">
        <f t="shared" si="986"/>
        <v>0</v>
      </c>
      <c r="GW1143" s="2">
        <v>1</v>
      </c>
      <c r="GX1143" s="2">
        <f t="shared" si="987"/>
        <v>0</v>
      </c>
      <c r="GY1143" s="2"/>
      <c r="GZ1143" s="2"/>
      <c r="HA1143" s="2">
        <v>0</v>
      </c>
      <c r="HB1143" s="2">
        <v>0</v>
      </c>
      <c r="HC1143" s="2">
        <f t="shared" si="988"/>
        <v>0</v>
      </c>
      <c r="HD1143" s="2"/>
      <c r="HE1143" s="2" t="s">
        <v>3</v>
      </c>
      <c r="HF1143" s="2" t="s">
        <v>3</v>
      </c>
      <c r="HG1143" s="2"/>
      <c r="HH1143" s="2"/>
      <c r="HI1143" s="2"/>
      <c r="HJ1143" s="2"/>
      <c r="HK1143" s="2"/>
      <c r="HL1143" s="2"/>
      <c r="HM1143" s="2" t="s">
        <v>3</v>
      </c>
      <c r="HN1143" s="2" t="s">
        <v>3</v>
      </c>
      <c r="HO1143" s="2" t="s">
        <v>3</v>
      </c>
      <c r="HP1143" s="2" t="s">
        <v>3</v>
      </c>
      <c r="HQ1143" s="2" t="s">
        <v>3</v>
      </c>
      <c r="HR1143" s="2"/>
      <c r="HS1143" s="2"/>
      <c r="HT1143" s="2"/>
      <c r="HU1143" s="2"/>
      <c r="HV1143" s="2"/>
      <c r="HW1143" s="2"/>
      <c r="HX1143" s="2"/>
      <c r="HY1143" s="2"/>
      <c r="HZ1143" s="2"/>
      <c r="IA1143" s="2"/>
      <c r="IB1143" s="2"/>
      <c r="IC1143" s="2"/>
      <c r="ID1143" s="2"/>
      <c r="IE1143" s="2"/>
      <c r="IF1143" s="2"/>
      <c r="IG1143" s="2"/>
      <c r="IH1143" s="2"/>
      <c r="II1143" s="2"/>
      <c r="IJ1143" s="2"/>
      <c r="IK1143" s="2">
        <v>0</v>
      </c>
      <c r="IL1143" s="2"/>
      <c r="IM1143" s="2"/>
      <c r="IN1143" s="2"/>
      <c r="IO1143" s="2"/>
      <c r="IP1143" s="2"/>
      <c r="IQ1143" s="2"/>
      <c r="IR1143" s="2"/>
      <c r="IS1143" s="2"/>
      <c r="IT1143" s="2"/>
      <c r="IU1143" s="2"/>
    </row>
    <row r="1144" spans="1:255" x14ac:dyDescent="0.2">
      <c r="A1144">
        <v>18</v>
      </c>
      <c r="B1144">
        <v>1</v>
      </c>
      <c r="C1144">
        <v>990</v>
      </c>
      <c r="E1144" t="s">
        <v>928</v>
      </c>
      <c r="F1144" t="s">
        <v>929</v>
      </c>
      <c r="G1144" t="s">
        <v>930</v>
      </c>
      <c r="H1144" t="s">
        <v>250</v>
      </c>
      <c r="I1144">
        <f>I1138*J1144</f>
        <v>2</v>
      </c>
      <c r="J1144">
        <v>80</v>
      </c>
      <c r="K1144">
        <v>80</v>
      </c>
      <c r="O1144">
        <f t="shared" si="958"/>
        <v>314.64</v>
      </c>
      <c r="P1144">
        <f t="shared" si="959"/>
        <v>314.64</v>
      </c>
      <c r="Q1144">
        <f t="shared" si="994"/>
        <v>0</v>
      </c>
      <c r="R1144">
        <f t="shared" si="960"/>
        <v>0</v>
      </c>
      <c r="S1144">
        <f t="shared" si="961"/>
        <v>0</v>
      </c>
      <c r="T1144">
        <f t="shared" si="962"/>
        <v>0</v>
      </c>
      <c r="U1144">
        <f t="shared" si="963"/>
        <v>0</v>
      </c>
      <c r="V1144">
        <f t="shared" si="964"/>
        <v>0</v>
      </c>
      <c r="W1144">
        <f t="shared" si="965"/>
        <v>0</v>
      </c>
      <c r="X1144">
        <f t="shared" si="966"/>
        <v>0</v>
      </c>
      <c r="Y1144">
        <f t="shared" si="967"/>
        <v>0</v>
      </c>
      <c r="AA1144">
        <v>129761633</v>
      </c>
      <c r="AB1144">
        <f t="shared" si="968"/>
        <v>18.399999999999999</v>
      </c>
      <c r="AC1144">
        <f t="shared" si="969"/>
        <v>18.399999999999999</v>
      </c>
      <c r="AD1144">
        <f t="shared" si="995"/>
        <v>0</v>
      </c>
      <c r="AE1144">
        <f t="shared" si="996"/>
        <v>0</v>
      </c>
      <c r="AF1144">
        <f t="shared" si="997"/>
        <v>0</v>
      </c>
      <c r="AG1144">
        <f t="shared" si="970"/>
        <v>0</v>
      </c>
      <c r="AH1144">
        <f t="shared" si="998"/>
        <v>0</v>
      </c>
      <c r="AI1144">
        <f t="shared" si="999"/>
        <v>0</v>
      </c>
      <c r="AJ1144">
        <f t="shared" si="971"/>
        <v>0</v>
      </c>
      <c r="AK1144">
        <v>18.399999999999999</v>
      </c>
      <c r="AL1144">
        <v>18.399999999999999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0</v>
      </c>
      <c r="AU1144">
        <v>0</v>
      </c>
      <c r="AV1144">
        <v>1</v>
      </c>
      <c r="AW1144">
        <v>1</v>
      </c>
      <c r="AZ1144">
        <v>1</v>
      </c>
      <c r="BA1144">
        <v>1</v>
      </c>
      <c r="BB1144">
        <v>1</v>
      </c>
      <c r="BC1144">
        <v>8.5500000000000007</v>
      </c>
      <c r="BD1144" t="s">
        <v>3</v>
      </c>
      <c r="BE1144" t="s">
        <v>3</v>
      </c>
      <c r="BF1144" t="s">
        <v>3</v>
      </c>
      <c r="BG1144" t="s">
        <v>3</v>
      </c>
      <c r="BH1144">
        <v>3</v>
      </c>
      <c r="BI1144">
        <v>1</v>
      </c>
      <c r="BJ1144" t="s">
        <v>931</v>
      </c>
      <c r="BM1144">
        <v>1623</v>
      </c>
      <c r="BN1144">
        <v>0</v>
      </c>
      <c r="BO1144" t="s">
        <v>929</v>
      </c>
      <c r="BP1144">
        <v>1</v>
      </c>
      <c r="BQ1144">
        <v>30</v>
      </c>
      <c r="BR1144">
        <v>0</v>
      </c>
      <c r="BS1144">
        <v>1</v>
      </c>
      <c r="BT1144">
        <v>1</v>
      </c>
      <c r="BU1144">
        <v>1</v>
      </c>
      <c r="BV1144">
        <v>1</v>
      </c>
      <c r="BW1144">
        <v>1</v>
      </c>
      <c r="BX1144">
        <v>1</v>
      </c>
      <c r="BY1144" t="s">
        <v>3</v>
      </c>
      <c r="BZ1144">
        <v>0</v>
      </c>
      <c r="CA1144">
        <v>0</v>
      </c>
      <c r="CB1144" t="s">
        <v>3</v>
      </c>
      <c r="CE1144">
        <v>30</v>
      </c>
      <c r="CF1144">
        <v>0</v>
      </c>
      <c r="CG1144">
        <v>0</v>
      </c>
      <c r="CM1144">
        <v>0</v>
      </c>
      <c r="CN1144" t="s">
        <v>3</v>
      </c>
      <c r="CO1144">
        <v>0</v>
      </c>
      <c r="CP1144">
        <f t="shared" si="972"/>
        <v>314.64</v>
      </c>
      <c r="CQ1144">
        <f t="shared" si="973"/>
        <v>157.32</v>
      </c>
      <c r="CR1144">
        <f t="shared" si="1000"/>
        <v>0</v>
      </c>
      <c r="CS1144">
        <f t="shared" si="974"/>
        <v>0</v>
      </c>
      <c r="CT1144">
        <f t="shared" si="975"/>
        <v>0</v>
      </c>
      <c r="CU1144">
        <f t="shared" si="976"/>
        <v>0</v>
      </c>
      <c r="CV1144">
        <f t="shared" si="977"/>
        <v>0</v>
      </c>
      <c r="CW1144">
        <f t="shared" si="978"/>
        <v>0</v>
      </c>
      <c r="CX1144">
        <f t="shared" si="979"/>
        <v>0</v>
      </c>
      <c r="CY1144">
        <f>S1144*(BZ1144/100)</f>
        <v>0</v>
      </c>
      <c r="CZ1144">
        <f>S1144*(CA1144/100)</f>
        <v>0</v>
      </c>
      <c r="DC1144" t="s">
        <v>3</v>
      </c>
      <c r="DD1144" t="s">
        <v>3</v>
      </c>
      <c r="DE1144" t="s">
        <v>3</v>
      </c>
      <c r="DF1144" t="s">
        <v>3</v>
      </c>
      <c r="DG1144" t="s">
        <v>3</v>
      </c>
      <c r="DH1144" t="s">
        <v>3</v>
      </c>
      <c r="DI1144" t="s">
        <v>3</v>
      </c>
      <c r="DJ1144" t="s">
        <v>3</v>
      </c>
      <c r="DK1144" t="s">
        <v>3</v>
      </c>
      <c r="DL1144" t="s">
        <v>3</v>
      </c>
      <c r="DM1144" t="s">
        <v>3</v>
      </c>
      <c r="DN1144">
        <v>110</v>
      </c>
      <c r="DO1144">
        <v>74</v>
      </c>
      <c r="DP1144">
        <v>1</v>
      </c>
      <c r="DQ1144">
        <v>1</v>
      </c>
      <c r="DU1144">
        <v>1010</v>
      </c>
      <c r="DV1144" t="s">
        <v>250</v>
      </c>
      <c r="DW1144" t="s">
        <v>250</v>
      </c>
      <c r="DX1144">
        <v>1</v>
      </c>
      <c r="DZ1144" t="s">
        <v>3</v>
      </c>
      <c r="EA1144" t="s">
        <v>3</v>
      </c>
      <c r="EB1144" t="s">
        <v>3</v>
      </c>
      <c r="EC1144" t="s">
        <v>3</v>
      </c>
      <c r="EE1144">
        <v>126053084</v>
      </c>
      <c r="EF1144">
        <v>30</v>
      </c>
      <c r="EG1144" t="s">
        <v>23</v>
      </c>
      <c r="EH1144">
        <v>0</v>
      </c>
      <c r="EI1144" t="s">
        <v>3</v>
      </c>
      <c r="EJ1144">
        <v>1</v>
      </c>
      <c r="EK1144">
        <v>1623</v>
      </c>
      <c r="EL1144" t="s">
        <v>824</v>
      </c>
      <c r="EM1144" t="s">
        <v>825</v>
      </c>
      <c r="EO1144" t="s">
        <v>3</v>
      </c>
      <c r="EQ1144">
        <v>0</v>
      </c>
      <c r="ER1144">
        <v>18.399999999999999</v>
      </c>
      <c r="ES1144">
        <v>18.399999999999999</v>
      </c>
      <c r="ET1144">
        <v>0</v>
      </c>
      <c r="EU1144">
        <v>0</v>
      </c>
      <c r="EV1144">
        <v>0</v>
      </c>
      <c r="EW1144">
        <v>0</v>
      </c>
      <c r="EX1144">
        <v>0</v>
      </c>
      <c r="FQ1144">
        <v>0</v>
      </c>
      <c r="FR1144">
        <f t="shared" si="980"/>
        <v>0</v>
      </c>
      <c r="FS1144">
        <v>0</v>
      </c>
      <c r="FX1144">
        <v>110</v>
      </c>
      <c r="FY1144">
        <v>74</v>
      </c>
      <c r="GA1144" t="s">
        <v>3</v>
      </c>
      <c r="GD1144">
        <v>0</v>
      </c>
      <c r="GF1144">
        <v>-1706121595</v>
      </c>
      <c r="GG1144">
        <v>2</v>
      </c>
      <c r="GH1144">
        <v>1</v>
      </c>
      <c r="GI1144">
        <v>2</v>
      </c>
      <c r="GJ1144">
        <v>0</v>
      </c>
      <c r="GK1144">
        <f>ROUND(R1144*(S12)/100,2)</f>
        <v>0</v>
      </c>
      <c r="GL1144">
        <f t="shared" si="981"/>
        <v>0</v>
      </c>
      <c r="GM1144">
        <f t="shared" si="982"/>
        <v>314.64</v>
      </c>
      <c r="GN1144">
        <f t="shared" si="983"/>
        <v>314.64</v>
      </c>
      <c r="GO1144">
        <f t="shared" si="984"/>
        <v>0</v>
      </c>
      <c r="GP1144">
        <f t="shared" si="985"/>
        <v>0</v>
      </c>
      <c r="GR1144">
        <v>0</v>
      </c>
      <c r="GS1144">
        <v>3</v>
      </c>
      <c r="GT1144">
        <v>0</v>
      </c>
      <c r="GU1144" t="s">
        <v>3</v>
      </c>
      <c r="GV1144">
        <f t="shared" si="986"/>
        <v>0</v>
      </c>
      <c r="GW1144">
        <v>1</v>
      </c>
      <c r="GX1144">
        <f t="shared" si="987"/>
        <v>0</v>
      </c>
      <c r="HA1144">
        <v>0</v>
      </c>
      <c r="HB1144">
        <v>0</v>
      </c>
      <c r="HC1144">
        <f t="shared" si="988"/>
        <v>0</v>
      </c>
      <c r="HE1144" t="s">
        <v>3</v>
      </c>
      <c r="HF1144" t="s">
        <v>3</v>
      </c>
      <c r="HM1144" t="s">
        <v>3</v>
      </c>
      <c r="HN1144" t="s">
        <v>3</v>
      </c>
      <c r="HO1144" t="s">
        <v>3</v>
      </c>
      <c r="HP1144" t="s">
        <v>3</v>
      </c>
      <c r="HQ1144" t="s">
        <v>3</v>
      </c>
      <c r="IK1144">
        <v>0</v>
      </c>
    </row>
    <row r="1145" spans="1:255" x14ac:dyDescent="0.2">
      <c r="A1145" s="2">
        <v>18</v>
      </c>
      <c r="B1145" s="2">
        <v>1</v>
      </c>
      <c r="C1145" s="2">
        <v>975</v>
      </c>
      <c r="D1145" s="2"/>
      <c r="E1145" s="2" t="s">
        <v>932</v>
      </c>
      <c r="F1145" s="2" t="s">
        <v>933</v>
      </c>
      <c r="G1145" s="2" t="s">
        <v>934</v>
      </c>
      <c r="H1145" s="2" t="s">
        <v>250</v>
      </c>
      <c r="I1145" s="2">
        <f>I1137*J1145</f>
        <v>1</v>
      </c>
      <c r="J1145" s="2">
        <v>40</v>
      </c>
      <c r="K1145" s="2">
        <v>40</v>
      </c>
      <c r="L1145" s="2"/>
      <c r="M1145" s="2"/>
      <c r="N1145" s="2"/>
      <c r="O1145" s="2">
        <f t="shared" si="958"/>
        <v>45.47</v>
      </c>
      <c r="P1145" s="2">
        <f t="shared" si="959"/>
        <v>45.47</v>
      </c>
      <c r="Q1145" s="2">
        <f t="shared" si="994"/>
        <v>0</v>
      </c>
      <c r="R1145" s="2">
        <f t="shared" si="960"/>
        <v>0</v>
      </c>
      <c r="S1145" s="2">
        <f t="shared" si="961"/>
        <v>0</v>
      </c>
      <c r="T1145" s="2">
        <f t="shared" si="962"/>
        <v>0</v>
      </c>
      <c r="U1145" s="2">
        <f t="shared" si="963"/>
        <v>0</v>
      </c>
      <c r="V1145" s="2">
        <f t="shared" si="964"/>
        <v>0</v>
      </c>
      <c r="W1145" s="2">
        <f t="shared" si="965"/>
        <v>0</v>
      </c>
      <c r="X1145" s="2">
        <f t="shared" si="966"/>
        <v>0</v>
      </c>
      <c r="Y1145" s="2">
        <f t="shared" si="967"/>
        <v>0</v>
      </c>
      <c r="Z1145" s="2"/>
      <c r="AA1145" s="2">
        <v>129761636</v>
      </c>
      <c r="AB1145" s="2">
        <f t="shared" si="968"/>
        <v>45.47</v>
      </c>
      <c r="AC1145" s="2">
        <f t="shared" si="969"/>
        <v>45.47</v>
      </c>
      <c r="AD1145" s="2">
        <f t="shared" si="995"/>
        <v>0</v>
      </c>
      <c r="AE1145" s="2">
        <f t="shared" si="996"/>
        <v>0</v>
      </c>
      <c r="AF1145" s="2">
        <f t="shared" si="997"/>
        <v>0</v>
      </c>
      <c r="AG1145" s="2">
        <f t="shared" si="970"/>
        <v>0</v>
      </c>
      <c r="AH1145" s="2">
        <f t="shared" si="998"/>
        <v>0</v>
      </c>
      <c r="AI1145" s="2">
        <f t="shared" si="999"/>
        <v>0</v>
      </c>
      <c r="AJ1145" s="2">
        <f t="shared" si="971"/>
        <v>0</v>
      </c>
      <c r="AK1145" s="2">
        <v>45.47</v>
      </c>
      <c r="AL1145" s="2">
        <v>45.47</v>
      </c>
      <c r="AM1145" s="2">
        <v>0</v>
      </c>
      <c r="AN1145" s="2">
        <v>0</v>
      </c>
      <c r="AO1145" s="2">
        <v>0</v>
      </c>
      <c r="AP1145" s="2">
        <v>0</v>
      </c>
      <c r="AQ1145" s="2">
        <v>0</v>
      </c>
      <c r="AR1145" s="2">
        <v>0</v>
      </c>
      <c r="AS1145" s="2">
        <v>0</v>
      </c>
      <c r="AT1145" s="2">
        <v>110</v>
      </c>
      <c r="AU1145" s="2">
        <v>74</v>
      </c>
      <c r="AV1145" s="2">
        <v>1</v>
      </c>
      <c r="AW1145" s="2">
        <v>1</v>
      </c>
      <c r="AX1145" s="2"/>
      <c r="AY1145" s="2"/>
      <c r="AZ1145" s="2">
        <v>1</v>
      </c>
      <c r="BA1145" s="2">
        <v>1</v>
      </c>
      <c r="BB1145" s="2">
        <v>1</v>
      </c>
      <c r="BC1145" s="2">
        <v>1</v>
      </c>
      <c r="BD1145" s="2" t="s">
        <v>3</v>
      </c>
      <c r="BE1145" s="2" t="s">
        <v>3</v>
      </c>
      <c r="BF1145" s="2" t="s">
        <v>3</v>
      </c>
      <c r="BG1145" s="2" t="s">
        <v>3</v>
      </c>
      <c r="BH1145" s="2">
        <v>3</v>
      </c>
      <c r="BI1145" s="2">
        <v>1</v>
      </c>
      <c r="BJ1145" s="2" t="s">
        <v>935</v>
      </c>
      <c r="BK1145" s="2"/>
      <c r="BL1145" s="2"/>
      <c r="BM1145" s="2">
        <v>1623</v>
      </c>
      <c r="BN1145" s="2">
        <v>0</v>
      </c>
      <c r="BO1145" s="2" t="s">
        <v>3</v>
      </c>
      <c r="BP1145" s="2">
        <v>0</v>
      </c>
      <c r="BQ1145" s="2">
        <v>30</v>
      </c>
      <c r="BR1145" s="2">
        <v>0</v>
      </c>
      <c r="BS1145" s="2">
        <v>1</v>
      </c>
      <c r="BT1145" s="2">
        <v>1</v>
      </c>
      <c r="BU1145" s="2">
        <v>1</v>
      </c>
      <c r="BV1145" s="2">
        <v>1</v>
      </c>
      <c r="BW1145" s="2">
        <v>1</v>
      </c>
      <c r="BX1145" s="2">
        <v>1</v>
      </c>
      <c r="BY1145" s="2" t="s">
        <v>3</v>
      </c>
      <c r="BZ1145" s="2">
        <v>110</v>
      </c>
      <c r="CA1145" s="2">
        <v>74</v>
      </c>
      <c r="CB1145" s="2" t="s">
        <v>3</v>
      </c>
      <c r="CC1145" s="2"/>
      <c r="CD1145" s="2"/>
      <c r="CE1145" s="2">
        <v>30</v>
      </c>
      <c r="CF1145" s="2">
        <v>0</v>
      </c>
      <c r="CG1145" s="2">
        <v>0</v>
      </c>
      <c r="CH1145" s="2"/>
      <c r="CI1145" s="2"/>
      <c r="CJ1145" s="2"/>
      <c r="CK1145" s="2"/>
      <c r="CL1145" s="2"/>
      <c r="CM1145" s="2">
        <v>0</v>
      </c>
      <c r="CN1145" s="2" t="s">
        <v>3</v>
      </c>
      <c r="CO1145" s="2">
        <v>0</v>
      </c>
      <c r="CP1145" s="2">
        <f t="shared" si="972"/>
        <v>45.47</v>
      </c>
      <c r="CQ1145" s="2">
        <f t="shared" si="973"/>
        <v>45.47</v>
      </c>
      <c r="CR1145" s="2">
        <f t="shared" si="1000"/>
        <v>0</v>
      </c>
      <c r="CS1145" s="2">
        <f t="shared" si="974"/>
        <v>0</v>
      </c>
      <c r="CT1145" s="2">
        <f t="shared" si="975"/>
        <v>0</v>
      </c>
      <c r="CU1145" s="2">
        <f t="shared" si="976"/>
        <v>0</v>
      </c>
      <c r="CV1145" s="2">
        <f t="shared" si="977"/>
        <v>0</v>
      </c>
      <c r="CW1145" s="2">
        <f t="shared" si="978"/>
        <v>0</v>
      </c>
      <c r="CX1145" s="2">
        <f t="shared" si="979"/>
        <v>0</v>
      </c>
      <c r="CY1145" s="2">
        <f>((S1145*BZ1145)/100)</f>
        <v>0</v>
      </c>
      <c r="CZ1145" s="2">
        <f>((S1145*CA1145)/100)</f>
        <v>0</v>
      </c>
      <c r="DA1145" s="2"/>
      <c r="DB1145" s="2"/>
      <c r="DC1145" s="2" t="s">
        <v>3</v>
      </c>
      <c r="DD1145" s="2" t="s">
        <v>3</v>
      </c>
      <c r="DE1145" s="2" t="s">
        <v>3</v>
      </c>
      <c r="DF1145" s="2" t="s">
        <v>3</v>
      </c>
      <c r="DG1145" s="2" t="s">
        <v>3</v>
      </c>
      <c r="DH1145" s="2" t="s">
        <v>3</v>
      </c>
      <c r="DI1145" s="2" t="s">
        <v>3</v>
      </c>
      <c r="DJ1145" s="2" t="s">
        <v>3</v>
      </c>
      <c r="DK1145" s="2" t="s">
        <v>3</v>
      </c>
      <c r="DL1145" s="2" t="s">
        <v>3</v>
      </c>
      <c r="DM1145" s="2" t="s">
        <v>3</v>
      </c>
      <c r="DN1145" s="2">
        <v>0</v>
      </c>
      <c r="DO1145" s="2">
        <v>0</v>
      </c>
      <c r="DP1145" s="2">
        <v>1</v>
      </c>
      <c r="DQ1145" s="2">
        <v>1</v>
      </c>
      <c r="DR1145" s="2"/>
      <c r="DS1145" s="2"/>
      <c r="DT1145" s="2"/>
      <c r="DU1145" s="2">
        <v>1010</v>
      </c>
      <c r="DV1145" s="2" t="s">
        <v>250</v>
      </c>
      <c r="DW1145" s="2" t="s">
        <v>250</v>
      </c>
      <c r="DX1145" s="2">
        <v>1</v>
      </c>
      <c r="DY1145" s="2"/>
      <c r="DZ1145" s="2" t="s">
        <v>3</v>
      </c>
      <c r="EA1145" s="2" t="s">
        <v>3</v>
      </c>
      <c r="EB1145" s="2" t="s">
        <v>3</v>
      </c>
      <c r="EC1145" s="2" t="s">
        <v>3</v>
      </c>
      <c r="ED1145" s="2"/>
      <c r="EE1145" s="2">
        <v>126053084</v>
      </c>
      <c r="EF1145" s="2">
        <v>30</v>
      </c>
      <c r="EG1145" s="2" t="s">
        <v>23</v>
      </c>
      <c r="EH1145" s="2">
        <v>0</v>
      </c>
      <c r="EI1145" s="2" t="s">
        <v>3</v>
      </c>
      <c r="EJ1145" s="2">
        <v>1</v>
      </c>
      <c r="EK1145" s="2">
        <v>1623</v>
      </c>
      <c r="EL1145" s="2" t="s">
        <v>824</v>
      </c>
      <c r="EM1145" s="2" t="s">
        <v>825</v>
      </c>
      <c r="EN1145" s="2"/>
      <c r="EO1145" s="2" t="s">
        <v>3</v>
      </c>
      <c r="EP1145" s="2"/>
      <c r="EQ1145" s="2">
        <v>0</v>
      </c>
      <c r="ER1145" s="2">
        <v>45.47</v>
      </c>
      <c r="ES1145" s="2">
        <v>45.47</v>
      </c>
      <c r="ET1145" s="2">
        <v>0</v>
      </c>
      <c r="EU1145" s="2">
        <v>0</v>
      </c>
      <c r="EV1145" s="2">
        <v>0</v>
      </c>
      <c r="EW1145" s="2">
        <v>0</v>
      </c>
      <c r="EX1145" s="2">
        <v>0</v>
      </c>
      <c r="EY1145" s="2"/>
      <c r="EZ1145" s="2"/>
      <c r="FA1145" s="2"/>
      <c r="FB1145" s="2"/>
      <c r="FC1145" s="2"/>
      <c r="FD1145" s="2"/>
      <c r="FE1145" s="2"/>
      <c r="FF1145" s="2"/>
      <c r="FG1145" s="2"/>
      <c r="FH1145" s="2"/>
      <c r="FI1145" s="2"/>
      <c r="FJ1145" s="2"/>
      <c r="FK1145" s="2"/>
      <c r="FL1145" s="2"/>
      <c r="FM1145" s="2"/>
      <c r="FN1145" s="2"/>
      <c r="FO1145" s="2"/>
      <c r="FP1145" s="2"/>
      <c r="FQ1145" s="2">
        <v>0</v>
      </c>
      <c r="FR1145" s="2">
        <f t="shared" si="980"/>
        <v>0</v>
      </c>
      <c r="FS1145" s="2">
        <v>0</v>
      </c>
      <c r="FT1145" s="2"/>
      <c r="FU1145" s="2"/>
      <c r="FV1145" s="2"/>
      <c r="FW1145" s="2"/>
      <c r="FX1145" s="2">
        <v>110</v>
      </c>
      <c r="FY1145" s="2">
        <v>74</v>
      </c>
      <c r="FZ1145" s="2"/>
      <c r="GA1145" s="2" t="s">
        <v>3</v>
      </c>
      <c r="GB1145" s="2"/>
      <c r="GC1145" s="2"/>
      <c r="GD1145" s="2">
        <v>0</v>
      </c>
      <c r="GE1145" s="2"/>
      <c r="GF1145" s="2">
        <v>-223219986</v>
      </c>
      <c r="GG1145" s="2">
        <v>2</v>
      </c>
      <c r="GH1145" s="2">
        <v>1</v>
      </c>
      <c r="GI1145" s="2">
        <v>-2</v>
      </c>
      <c r="GJ1145" s="2">
        <v>0</v>
      </c>
      <c r="GK1145" s="2">
        <f>ROUND(R1145*(R12)/100,2)</f>
        <v>0</v>
      </c>
      <c r="GL1145" s="2">
        <f t="shared" si="981"/>
        <v>0</v>
      </c>
      <c r="GM1145" s="2">
        <f t="shared" si="982"/>
        <v>45.47</v>
      </c>
      <c r="GN1145" s="2">
        <f t="shared" si="983"/>
        <v>45.47</v>
      </c>
      <c r="GO1145" s="2">
        <f t="shared" si="984"/>
        <v>0</v>
      </c>
      <c r="GP1145" s="2">
        <f t="shared" si="985"/>
        <v>0</v>
      </c>
      <c r="GQ1145" s="2"/>
      <c r="GR1145" s="2">
        <v>0</v>
      </c>
      <c r="GS1145" s="2">
        <v>0</v>
      </c>
      <c r="GT1145" s="2">
        <v>0</v>
      </c>
      <c r="GU1145" s="2" t="s">
        <v>3</v>
      </c>
      <c r="GV1145" s="2">
        <f t="shared" si="986"/>
        <v>0</v>
      </c>
      <c r="GW1145" s="2">
        <v>1</v>
      </c>
      <c r="GX1145" s="2">
        <f t="shared" si="987"/>
        <v>0</v>
      </c>
      <c r="GY1145" s="2"/>
      <c r="GZ1145" s="2"/>
      <c r="HA1145" s="2">
        <v>0</v>
      </c>
      <c r="HB1145" s="2">
        <v>0</v>
      </c>
      <c r="HC1145" s="2">
        <f t="shared" si="988"/>
        <v>0</v>
      </c>
      <c r="HD1145" s="2"/>
      <c r="HE1145" s="2" t="s">
        <v>3</v>
      </c>
      <c r="HF1145" s="2" t="s">
        <v>3</v>
      </c>
      <c r="HG1145" s="2"/>
      <c r="HH1145" s="2"/>
      <c r="HI1145" s="2"/>
      <c r="HJ1145" s="2"/>
      <c r="HK1145" s="2"/>
      <c r="HL1145" s="2"/>
      <c r="HM1145" s="2" t="s">
        <v>3</v>
      </c>
      <c r="HN1145" s="2" t="s">
        <v>3</v>
      </c>
      <c r="HO1145" s="2" t="s">
        <v>3</v>
      </c>
      <c r="HP1145" s="2" t="s">
        <v>3</v>
      </c>
      <c r="HQ1145" s="2" t="s">
        <v>3</v>
      </c>
      <c r="HR1145" s="2"/>
      <c r="HS1145" s="2"/>
      <c r="HT1145" s="2"/>
      <c r="HU1145" s="2"/>
      <c r="HV1145" s="2"/>
      <c r="HW1145" s="2"/>
      <c r="HX1145" s="2"/>
      <c r="HY1145" s="2"/>
      <c r="HZ1145" s="2"/>
      <c r="IA1145" s="2"/>
      <c r="IB1145" s="2"/>
      <c r="IC1145" s="2"/>
      <c r="ID1145" s="2"/>
      <c r="IE1145" s="2"/>
      <c r="IF1145" s="2"/>
      <c r="IG1145" s="2"/>
      <c r="IH1145" s="2"/>
      <c r="II1145" s="2"/>
      <c r="IJ1145" s="2"/>
      <c r="IK1145" s="2">
        <v>0</v>
      </c>
      <c r="IL1145" s="2"/>
      <c r="IM1145" s="2"/>
      <c r="IN1145" s="2"/>
      <c r="IO1145" s="2"/>
      <c r="IP1145" s="2"/>
      <c r="IQ1145" s="2"/>
      <c r="IR1145" s="2"/>
      <c r="IS1145" s="2"/>
      <c r="IT1145" s="2"/>
      <c r="IU1145" s="2"/>
    </row>
    <row r="1146" spans="1:255" x14ac:dyDescent="0.2">
      <c r="A1146">
        <v>18</v>
      </c>
      <c r="B1146">
        <v>1</v>
      </c>
      <c r="C1146">
        <v>986</v>
      </c>
      <c r="E1146" t="s">
        <v>932</v>
      </c>
      <c r="F1146" t="s">
        <v>933</v>
      </c>
      <c r="G1146" t="s">
        <v>934</v>
      </c>
      <c r="H1146" t="s">
        <v>250</v>
      </c>
      <c r="I1146">
        <f>I1138*J1146</f>
        <v>1</v>
      </c>
      <c r="J1146">
        <v>40</v>
      </c>
      <c r="K1146">
        <v>40</v>
      </c>
      <c r="O1146">
        <f t="shared" si="958"/>
        <v>135.05000000000001</v>
      </c>
      <c r="P1146">
        <f t="shared" si="959"/>
        <v>135.05000000000001</v>
      </c>
      <c r="Q1146">
        <f t="shared" si="994"/>
        <v>0</v>
      </c>
      <c r="R1146">
        <f t="shared" si="960"/>
        <v>0</v>
      </c>
      <c r="S1146">
        <f t="shared" si="961"/>
        <v>0</v>
      </c>
      <c r="T1146">
        <f t="shared" si="962"/>
        <v>0</v>
      </c>
      <c r="U1146">
        <f t="shared" si="963"/>
        <v>0</v>
      </c>
      <c r="V1146">
        <f t="shared" si="964"/>
        <v>0</v>
      </c>
      <c r="W1146">
        <f t="shared" si="965"/>
        <v>0</v>
      </c>
      <c r="X1146">
        <f t="shared" si="966"/>
        <v>0</v>
      </c>
      <c r="Y1146">
        <f t="shared" si="967"/>
        <v>0</v>
      </c>
      <c r="AA1146">
        <v>129761633</v>
      </c>
      <c r="AB1146">
        <f t="shared" si="968"/>
        <v>45.47</v>
      </c>
      <c r="AC1146">
        <f t="shared" si="969"/>
        <v>45.47</v>
      </c>
      <c r="AD1146">
        <f t="shared" si="995"/>
        <v>0</v>
      </c>
      <c r="AE1146">
        <f t="shared" si="996"/>
        <v>0</v>
      </c>
      <c r="AF1146">
        <f t="shared" si="997"/>
        <v>0</v>
      </c>
      <c r="AG1146">
        <f t="shared" si="970"/>
        <v>0</v>
      </c>
      <c r="AH1146">
        <f t="shared" si="998"/>
        <v>0</v>
      </c>
      <c r="AI1146">
        <f t="shared" si="999"/>
        <v>0</v>
      </c>
      <c r="AJ1146">
        <f t="shared" si="971"/>
        <v>0</v>
      </c>
      <c r="AK1146">
        <v>45.47</v>
      </c>
      <c r="AL1146">
        <v>45.47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0</v>
      </c>
      <c r="AU1146">
        <v>0</v>
      </c>
      <c r="AV1146">
        <v>1</v>
      </c>
      <c r="AW1146">
        <v>1</v>
      </c>
      <c r="AZ1146">
        <v>1</v>
      </c>
      <c r="BA1146">
        <v>1</v>
      </c>
      <c r="BB1146">
        <v>1</v>
      </c>
      <c r="BC1146">
        <v>2.97</v>
      </c>
      <c r="BD1146" t="s">
        <v>3</v>
      </c>
      <c r="BE1146" t="s">
        <v>3</v>
      </c>
      <c r="BF1146" t="s">
        <v>3</v>
      </c>
      <c r="BG1146" t="s">
        <v>3</v>
      </c>
      <c r="BH1146">
        <v>3</v>
      </c>
      <c r="BI1146">
        <v>1</v>
      </c>
      <c r="BJ1146" t="s">
        <v>935</v>
      </c>
      <c r="BM1146">
        <v>1623</v>
      </c>
      <c r="BN1146">
        <v>0</v>
      </c>
      <c r="BO1146" t="s">
        <v>933</v>
      </c>
      <c r="BP1146">
        <v>1</v>
      </c>
      <c r="BQ1146">
        <v>30</v>
      </c>
      <c r="BR1146">
        <v>0</v>
      </c>
      <c r="BS1146">
        <v>1</v>
      </c>
      <c r="BT1146">
        <v>1</v>
      </c>
      <c r="BU1146">
        <v>1</v>
      </c>
      <c r="BV1146">
        <v>1</v>
      </c>
      <c r="BW1146">
        <v>1</v>
      </c>
      <c r="BX1146">
        <v>1</v>
      </c>
      <c r="BY1146" t="s">
        <v>3</v>
      </c>
      <c r="BZ1146">
        <v>0</v>
      </c>
      <c r="CA1146">
        <v>0</v>
      </c>
      <c r="CB1146" t="s">
        <v>3</v>
      </c>
      <c r="CE1146">
        <v>30</v>
      </c>
      <c r="CF1146">
        <v>0</v>
      </c>
      <c r="CG1146">
        <v>0</v>
      </c>
      <c r="CM1146">
        <v>0</v>
      </c>
      <c r="CN1146" t="s">
        <v>3</v>
      </c>
      <c r="CO1146">
        <v>0</v>
      </c>
      <c r="CP1146">
        <f t="shared" si="972"/>
        <v>135.05000000000001</v>
      </c>
      <c r="CQ1146">
        <f t="shared" si="973"/>
        <v>135.05000000000001</v>
      </c>
      <c r="CR1146">
        <f t="shared" si="1000"/>
        <v>0</v>
      </c>
      <c r="CS1146">
        <f t="shared" si="974"/>
        <v>0</v>
      </c>
      <c r="CT1146">
        <f t="shared" si="975"/>
        <v>0</v>
      </c>
      <c r="CU1146">
        <f t="shared" si="976"/>
        <v>0</v>
      </c>
      <c r="CV1146">
        <f t="shared" si="977"/>
        <v>0</v>
      </c>
      <c r="CW1146">
        <f t="shared" si="978"/>
        <v>0</v>
      </c>
      <c r="CX1146">
        <f t="shared" si="979"/>
        <v>0</v>
      </c>
      <c r="CY1146">
        <f>S1146*(BZ1146/100)</f>
        <v>0</v>
      </c>
      <c r="CZ1146">
        <f>S1146*(CA1146/100)</f>
        <v>0</v>
      </c>
      <c r="DC1146" t="s">
        <v>3</v>
      </c>
      <c r="DD1146" t="s">
        <v>3</v>
      </c>
      <c r="DE1146" t="s">
        <v>3</v>
      </c>
      <c r="DF1146" t="s">
        <v>3</v>
      </c>
      <c r="DG1146" t="s">
        <v>3</v>
      </c>
      <c r="DH1146" t="s">
        <v>3</v>
      </c>
      <c r="DI1146" t="s">
        <v>3</v>
      </c>
      <c r="DJ1146" t="s">
        <v>3</v>
      </c>
      <c r="DK1146" t="s">
        <v>3</v>
      </c>
      <c r="DL1146" t="s">
        <v>3</v>
      </c>
      <c r="DM1146" t="s">
        <v>3</v>
      </c>
      <c r="DN1146">
        <v>110</v>
      </c>
      <c r="DO1146">
        <v>74</v>
      </c>
      <c r="DP1146">
        <v>1</v>
      </c>
      <c r="DQ1146">
        <v>1</v>
      </c>
      <c r="DU1146">
        <v>1010</v>
      </c>
      <c r="DV1146" t="s">
        <v>250</v>
      </c>
      <c r="DW1146" t="s">
        <v>250</v>
      </c>
      <c r="DX1146">
        <v>1</v>
      </c>
      <c r="DZ1146" t="s">
        <v>3</v>
      </c>
      <c r="EA1146" t="s">
        <v>3</v>
      </c>
      <c r="EB1146" t="s">
        <v>3</v>
      </c>
      <c r="EC1146" t="s">
        <v>3</v>
      </c>
      <c r="EE1146">
        <v>126053084</v>
      </c>
      <c r="EF1146">
        <v>30</v>
      </c>
      <c r="EG1146" t="s">
        <v>23</v>
      </c>
      <c r="EH1146">
        <v>0</v>
      </c>
      <c r="EI1146" t="s">
        <v>3</v>
      </c>
      <c r="EJ1146">
        <v>1</v>
      </c>
      <c r="EK1146">
        <v>1623</v>
      </c>
      <c r="EL1146" t="s">
        <v>824</v>
      </c>
      <c r="EM1146" t="s">
        <v>825</v>
      </c>
      <c r="EO1146" t="s">
        <v>3</v>
      </c>
      <c r="EQ1146">
        <v>0</v>
      </c>
      <c r="ER1146">
        <v>45.47</v>
      </c>
      <c r="ES1146">
        <v>45.47</v>
      </c>
      <c r="ET1146">
        <v>0</v>
      </c>
      <c r="EU1146">
        <v>0</v>
      </c>
      <c r="EV1146">
        <v>0</v>
      </c>
      <c r="EW1146">
        <v>0</v>
      </c>
      <c r="EX1146">
        <v>0</v>
      </c>
      <c r="FQ1146">
        <v>0</v>
      </c>
      <c r="FR1146">
        <f t="shared" si="980"/>
        <v>0</v>
      </c>
      <c r="FS1146">
        <v>0</v>
      </c>
      <c r="FX1146">
        <v>110</v>
      </c>
      <c r="FY1146">
        <v>74</v>
      </c>
      <c r="GA1146" t="s">
        <v>3</v>
      </c>
      <c r="GD1146">
        <v>0</v>
      </c>
      <c r="GF1146">
        <v>-223219986</v>
      </c>
      <c r="GG1146">
        <v>2</v>
      </c>
      <c r="GH1146">
        <v>1</v>
      </c>
      <c r="GI1146">
        <v>2</v>
      </c>
      <c r="GJ1146">
        <v>0</v>
      </c>
      <c r="GK1146">
        <f>ROUND(R1146*(S12)/100,2)</f>
        <v>0</v>
      </c>
      <c r="GL1146">
        <f t="shared" si="981"/>
        <v>0</v>
      </c>
      <c r="GM1146">
        <f t="shared" si="982"/>
        <v>135.05000000000001</v>
      </c>
      <c r="GN1146">
        <f t="shared" si="983"/>
        <v>135.05000000000001</v>
      </c>
      <c r="GO1146">
        <f t="shared" si="984"/>
        <v>0</v>
      </c>
      <c r="GP1146">
        <f t="shared" si="985"/>
        <v>0</v>
      </c>
      <c r="GR1146">
        <v>0</v>
      </c>
      <c r="GS1146">
        <v>3</v>
      </c>
      <c r="GT1146">
        <v>0</v>
      </c>
      <c r="GU1146" t="s">
        <v>3</v>
      </c>
      <c r="GV1146">
        <f t="shared" si="986"/>
        <v>0</v>
      </c>
      <c r="GW1146">
        <v>1</v>
      </c>
      <c r="GX1146">
        <f t="shared" si="987"/>
        <v>0</v>
      </c>
      <c r="HA1146">
        <v>0</v>
      </c>
      <c r="HB1146">
        <v>0</v>
      </c>
      <c r="HC1146">
        <f t="shared" si="988"/>
        <v>0</v>
      </c>
      <c r="HE1146" t="s">
        <v>3</v>
      </c>
      <c r="HF1146" t="s">
        <v>3</v>
      </c>
      <c r="HM1146" t="s">
        <v>3</v>
      </c>
      <c r="HN1146" t="s">
        <v>3</v>
      </c>
      <c r="HO1146" t="s">
        <v>3</v>
      </c>
      <c r="HP1146" t="s">
        <v>3</v>
      </c>
      <c r="HQ1146" t="s">
        <v>3</v>
      </c>
      <c r="IK1146">
        <v>0</v>
      </c>
    </row>
    <row r="1147" spans="1:255" x14ac:dyDescent="0.2">
      <c r="A1147" s="2">
        <v>18</v>
      </c>
      <c r="B1147" s="2">
        <v>1</v>
      </c>
      <c r="C1147" s="2">
        <v>976</v>
      </c>
      <c r="D1147" s="2"/>
      <c r="E1147" s="2" t="s">
        <v>936</v>
      </c>
      <c r="F1147" s="2" t="s">
        <v>937</v>
      </c>
      <c r="G1147" s="2" t="s">
        <v>938</v>
      </c>
      <c r="H1147" s="2" t="s">
        <v>250</v>
      </c>
      <c r="I1147" s="2">
        <f>I1137*J1147</f>
        <v>1</v>
      </c>
      <c r="J1147" s="2">
        <v>40</v>
      </c>
      <c r="K1147" s="2">
        <v>40</v>
      </c>
      <c r="L1147" s="2"/>
      <c r="M1147" s="2"/>
      <c r="N1147" s="2"/>
      <c r="O1147" s="2">
        <f t="shared" si="958"/>
        <v>26.59</v>
      </c>
      <c r="P1147" s="2">
        <f t="shared" si="959"/>
        <v>26.59</v>
      </c>
      <c r="Q1147" s="2">
        <f t="shared" si="994"/>
        <v>0</v>
      </c>
      <c r="R1147" s="2">
        <f t="shared" si="960"/>
        <v>0</v>
      </c>
      <c r="S1147" s="2">
        <f t="shared" si="961"/>
        <v>0</v>
      </c>
      <c r="T1147" s="2">
        <f t="shared" si="962"/>
        <v>0</v>
      </c>
      <c r="U1147" s="2">
        <f t="shared" si="963"/>
        <v>0</v>
      </c>
      <c r="V1147" s="2">
        <f t="shared" si="964"/>
        <v>0</v>
      </c>
      <c r="W1147" s="2">
        <f t="shared" si="965"/>
        <v>0</v>
      </c>
      <c r="X1147" s="2">
        <f t="shared" si="966"/>
        <v>0</v>
      </c>
      <c r="Y1147" s="2">
        <f t="shared" si="967"/>
        <v>0</v>
      </c>
      <c r="Z1147" s="2"/>
      <c r="AA1147" s="2">
        <v>129761636</v>
      </c>
      <c r="AB1147" s="2">
        <f t="shared" si="968"/>
        <v>26.59</v>
      </c>
      <c r="AC1147" s="2">
        <f t="shared" si="969"/>
        <v>26.59</v>
      </c>
      <c r="AD1147" s="2">
        <f t="shared" si="995"/>
        <v>0</v>
      </c>
      <c r="AE1147" s="2">
        <f t="shared" si="996"/>
        <v>0</v>
      </c>
      <c r="AF1147" s="2">
        <f t="shared" si="997"/>
        <v>0</v>
      </c>
      <c r="AG1147" s="2">
        <f t="shared" si="970"/>
        <v>0</v>
      </c>
      <c r="AH1147" s="2">
        <f t="shared" si="998"/>
        <v>0</v>
      </c>
      <c r="AI1147" s="2">
        <f t="shared" si="999"/>
        <v>0</v>
      </c>
      <c r="AJ1147" s="2">
        <f t="shared" si="971"/>
        <v>0</v>
      </c>
      <c r="AK1147" s="2">
        <v>26.59</v>
      </c>
      <c r="AL1147" s="2">
        <v>26.59</v>
      </c>
      <c r="AM1147" s="2">
        <v>0</v>
      </c>
      <c r="AN1147" s="2">
        <v>0</v>
      </c>
      <c r="AO1147" s="2">
        <v>0</v>
      </c>
      <c r="AP1147" s="2">
        <v>0</v>
      </c>
      <c r="AQ1147" s="2">
        <v>0</v>
      </c>
      <c r="AR1147" s="2">
        <v>0</v>
      </c>
      <c r="AS1147" s="2">
        <v>0</v>
      </c>
      <c r="AT1147" s="2">
        <v>110</v>
      </c>
      <c r="AU1147" s="2">
        <v>74</v>
      </c>
      <c r="AV1147" s="2">
        <v>1</v>
      </c>
      <c r="AW1147" s="2">
        <v>1</v>
      </c>
      <c r="AX1147" s="2"/>
      <c r="AY1147" s="2"/>
      <c r="AZ1147" s="2">
        <v>1</v>
      </c>
      <c r="BA1147" s="2">
        <v>1</v>
      </c>
      <c r="BB1147" s="2">
        <v>1</v>
      </c>
      <c r="BC1147" s="2">
        <v>1</v>
      </c>
      <c r="BD1147" s="2" t="s">
        <v>3</v>
      </c>
      <c r="BE1147" s="2" t="s">
        <v>3</v>
      </c>
      <c r="BF1147" s="2" t="s">
        <v>3</v>
      </c>
      <c r="BG1147" s="2" t="s">
        <v>3</v>
      </c>
      <c r="BH1147" s="2">
        <v>3</v>
      </c>
      <c r="BI1147" s="2">
        <v>1</v>
      </c>
      <c r="BJ1147" s="2" t="s">
        <v>939</v>
      </c>
      <c r="BK1147" s="2"/>
      <c r="BL1147" s="2"/>
      <c r="BM1147" s="2">
        <v>1623</v>
      </c>
      <c r="BN1147" s="2">
        <v>0</v>
      </c>
      <c r="BO1147" s="2" t="s">
        <v>3</v>
      </c>
      <c r="BP1147" s="2">
        <v>0</v>
      </c>
      <c r="BQ1147" s="2">
        <v>30</v>
      </c>
      <c r="BR1147" s="2">
        <v>0</v>
      </c>
      <c r="BS1147" s="2">
        <v>1</v>
      </c>
      <c r="BT1147" s="2">
        <v>1</v>
      </c>
      <c r="BU1147" s="2">
        <v>1</v>
      </c>
      <c r="BV1147" s="2">
        <v>1</v>
      </c>
      <c r="BW1147" s="2">
        <v>1</v>
      </c>
      <c r="BX1147" s="2">
        <v>1</v>
      </c>
      <c r="BY1147" s="2" t="s">
        <v>3</v>
      </c>
      <c r="BZ1147" s="2">
        <v>110</v>
      </c>
      <c r="CA1147" s="2">
        <v>74</v>
      </c>
      <c r="CB1147" s="2" t="s">
        <v>3</v>
      </c>
      <c r="CC1147" s="2"/>
      <c r="CD1147" s="2"/>
      <c r="CE1147" s="2">
        <v>30</v>
      </c>
      <c r="CF1147" s="2">
        <v>0</v>
      </c>
      <c r="CG1147" s="2">
        <v>0</v>
      </c>
      <c r="CH1147" s="2"/>
      <c r="CI1147" s="2"/>
      <c r="CJ1147" s="2"/>
      <c r="CK1147" s="2"/>
      <c r="CL1147" s="2"/>
      <c r="CM1147" s="2">
        <v>0</v>
      </c>
      <c r="CN1147" s="2" t="s">
        <v>3</v>
      </c>
      <c r="CO1147" s="2">
        <v>0</v>
      </c>
      <c r="CP1147" s="2">
        <f t="shared" si="972"/>
        <v>26.59</v>
      </c>
      <c r="CQ1147" s="2">
        <f t="shared" si="973"/>
        <v>26.59</v>
      </c>
      <c r="CR1147" s="2">
        <f t="shared" si="1000"/>
        <v>0</v>
      </c>
      <c r="CS1147" s="2">
        <f t="shared" si="974"/>
        <v>0</v>
      </c>
      <c r="CT1147" s="2">
        <f t="shared" si="975"/>
        <v>0</v>
      </c>
      <c r="CU1147" s="2">
        <f t="shared" si="976"/>
        <v>0</v>
      </c>
      <c r="CV1147" s="2">
        <f t="shared" si="977"/>
        <v>0</v>
      </c>
      <c r="CW1147" s="2">
        <f t="shared" si="978"/>
        <v>0</v>
      </c>
      <c r="CX1147" s="2">
        <f t="shared" si="979"/>
        <v>0</v>
      </c>
      <c r="CY1147" s="2">
        <f>((S1147*BZ1147)/100)</f>
        <v>0</v>
      </c>
      <c r="CZ1147" s="2">
        <f>((S1147*CA1147)/100)</f>
        <v>0</v>
      </c>
      <c r="DA1147" s="2"/>
      <c r="DB1147" s="2"/>
      <c r="DC1147" s="2" t="s">
        <v>3</v>
      </c>
      <c r="DD1147" s="2" t="s">
        <v>3</v>
      </c>
      <c r="DE1147" s="2" t="s">
        <v>3</v>
      </c>
      <c r="DF1147" s="2" t="s">
        <v>3</v>
      </c>
      <c r="DG1147" s="2" t="s">
        <v>3</v>
      </c>
      <c r="DH1147" s="2" t="s">
        <v>3</v>
      </c>
      <c r="DI1147" s="2" t="s">
        <v>3</v>
      </c>
      <c r="DJ1147" s="2" t="s">
        <v>3</v>
      </c>
      <c r="DK1147" s="2" t="s">
        <v>3</v>
      </c>
      <c r="DL1147" s="2" t="s">
        <v>3</v>
      </c>
      <c r="DM1147" s="2" t="s">
        <v>3</v>
      </c>
      <c r="DN1147" s="2">
        <v>0</v>
      </c>
      <c r="DO1147" s="2">
        <v>0</v>
      </c>
      <c r="DP1147" s="2">
        <v>1</v>
      </c>
      <c r="DQ1147" s="2">
        <v>1</v>
      </c>
      <c r="DR1147" s="2"/>
      <c r="DS1147" s="2"/>
      <c r="DT1147" s="2"/>
      <c r="DU1147" s="2">
        <v>1010</v>
      </c>
      <c r="DV1147" s="2" t="s">
        <v>250</v>
      </c>
      <c r="DW1147" s="2" t="s">
        <v>250</v>
      </c>
      <c r="DX1147" s="2">
        <v>1</v>
      </c>
      <c r="DY1147" s="2"/>
      <c r="DZ1147" s="2" t="s">
        <v>3</v>
      </c>
      <c r="EA1147" s="2" t="s">
        <v>3</v>
      </c>
      <c r="EB1147" s="2" t="s">
        <v>3</v>
      </c>
      <c r="EC1147" s="2" t="s">
        <v>3</v>
      </c>
      <c r="ED1147" s="2"/>
      <c r="EE1147" s="2">
        <v>126053084</v>
      </c>
      <c r="EF1147" s="2">
        <v>30</v>
      </c>
      <c r="EG1147" s="2" t="s">
        <v>23</v>
      </c>
      <c r="EH1147" s="2">
        <v>0</v>
      </c>
      <c r="EI1147" s="2" t="s">
        <v>3</v>
      </c>
      <c r="EJ1147" s="2">
        <v>1</v>
      </c>
      <c r="EK1147" s="2">
        <v>1623</v>
      </c>
      <c r="EL1147" s="2" t="s">
        <v>824</v>
      </c>
      <c r="EM1147" s="2" t="s">
        <v>825</v>
      </c>
      <c r="EN1147" s="2"/>
      <c r="EO1147" s="2" t="s">
        <v>3</v>
      </c>
      <c r="EP1147" s="2"/>
      <c r="EQ1147" s="2">
        <v>0</v>
      </c>
      <c r="ER1147" s="2">
        <v>26.59</v>
      </c>
      <c r="ES1147" s="2">
        <v>26.59</v>
      </c>
      <c r="ET1147" s="2">
        <v>0</v>
      </c>
      <c r="EU1147" s="2">
        <v>0</v>
      </c>
      <c r="EV1147" s="2">
        <v>0</v>
      </c>
      <c r="EW1147" s="2">
        <v>0</v>
      </c>
      <c r="EX1147" s="2">
        <v>0</v>
      </c>
      <c r="EY1147" s="2"/>
      <c r="EZ1147" s="2"/>
      <c r="FA1147" s="2"/>
      <c r="FB1147" s="2"/>
      <c r="FC1147" s="2"/>
      <c r="FD1147" s="2"/>
      <c r="FE1147" s="2"/>
      <c r="FF1147" s="2"/>
      <c r="FG1147" s="2"/>
      <c r="FH1147" s="2"/>
      <c r="FI1147" s="2"/>
      <c r="FJ1147" s="2"/>
      <c r="FK1147" s="2"/>
      <c r="FL1147" s="2"/>
      <c r="FM1147" s="2"/>
      <c r="FN1147" s="2"/>
      <c r="FO1147" s="2"/>
      <c r="FP1147" s="2"/>
      <c r="FQ1147" s="2">
        <v>0</v>
      </c>
      <c r="FR1147" s="2">
        <f t="shared" si="980"/>
        <v>0</v>
      </c>
      <c r="FS1147" s="2">
        <v>0</v>
      </c>
      <c r="FT1147" s="2"/>
      <c r="FU1147" s="2"/>
      <c r="FV1147" s="2"/>
      <c r="FW1147" s="2"/>
      <c r="FX1147" s="2">
        <v>110</v>
      </c>
      <c r="FY1147" s="2">
        <v>74</v>
      </c>
      <c r="FZ1147" s="2"/>
      <c r="GA1147" s="2" t="s">
        <v>3</v>
      </c>
      <c r="GB1147" s="2"/>
      <c r="GC1147" s="2"/>
      <c r="GD1147" s="2">
        <v>0</v>
      </c>
      <c r="GE1147" s="2"/>
      <c r="GF1147" s="2">
        <v>-1435451611</v>
      </c>
      <c r="GG1147" s="2">
        <v>2</v>
      </c>
      <c r="GH1147" s="2">
        <v>1</v>
      </c>
      <c r="GI1147" s="2">
        <v>-2</v>
      </c>
      <c r="GJ1147" s="2">
        <v>0</v>
      </c>
      <c r="GK1147" s="2">
        <f>ROUND(R1147*(R12)/100,2)</f>
        <v>0</v>
      </c>
      <c r="GL1147" s="2">
        <f t="shared" si="981"/>
        <v>0</v>
      </c>
      <c r="GM1147" s="2">
        <f t="shared" si="982"/>
        <v>26.59</v>
      </c>
      <c r="GN1147" s="2">
        <f t="shared" si="983"/>
        <v>26.59</v>
      </c>
      <c r="GO1147" s="2">
        <f t="shared" si="984"/>
        <v>0</v>
      </c>
      <c r="GP1147" s="2">
        <f t="shared" si="985"/>
        <v>0</v>
      </c>
      <c r="GQ1147" s="2"/>
      <c r="GR1147" s="2">
        <v>0</v>
      </c>
      <c r="GS1147" s="2">
        <v>0</v>
      </c>
      <c r="GT1147" s="2">
        <v>0</v>
      </c>
      <c r="GU1147" s="2" t="s">
        <v>3</v>
      </c>
      <c r="GV1147" s="2">
        <f t="shared" si="986"/>
        <v>0</v>
      </c>
      <c r="GW1147" s="2">
        <v>1</v>
      </c>
      <c r="GX1147" s="2">
        <f t="shared" si="987"/>
        <v>0</v>
      </c>
      <c r="GY1147" s="2"/>
      <c r="GZ1147" s="2"/>
      <c r="HA1147" s="2">
        <v>0</v>
      </c>
      <c r="HB1147" s="2">
        <v>0</v>
      </c>
      <c r="HC1147" s="2">
        <f t="shared" si="988"/>
        <v>0</v>
      </c>
      <c r="HD1147" s="2"/>
      <c r="HE1147" s="2" t="s">
        <v>3</v>
      </c>
      <c r="HF1147" s="2" t="s">
        <v>3</v>
      </c>
      <c r="HG1147" s="2"/>
      <c r="HH1147" s="2"/>
      <c r="HI1147" s="2"/>
      <c r="HJ1147" s="2"/>
      <c r="HK1147" s="2"/>
      <c r="HL1147" s="2"/>
      <c r="HM1147" s="2" t="s">
        <v>3</v>
      </c>
      <c r="HN1147" s="2" t="s">
        <v>3</v>
      </c>
      <c r="HO1147" s="2" t="s">
        <v>3</v>
      </c>
      <c r="HP1147" s="2" t="s">
        <v>3</v>
      </c>
      <c r="HQ1147" s="2" t="s">
        <v>3</v>
      </c>
      <c r="HR1147" s="2"/>
      <c r="HS1147" s="2"/>
      <c r="HT1147" s="2"/>
      <c r="HU1147" s="2"/>
      <c r="HV1147" s="2"/>
      <c r="HW1147" s="2"/>
      <c r="HX1147" s="2"/>
      <c r="HY1147" s="2"/>
      <c r="HZ1147" s="2"/>
      <c r="IA1147" s="2"/>
      <c r="IB1147" s="2"/>
      <c r="IC1147" s="2"/>
      <c r="ID1147" s="2"/>
      <c r="IE1147" s="2"/>
      <c r="IF1147" s="2"/>
      <c r="IG1147" s="2"/>
      <c r="IH1147" s="2"/>
      <c r="II1147" s="2"/>
      <c r="IJ1147" s="2"/>
      <c r="IK1147" s="2">
        <v>0</v>
      </c>
      <c r="IL1147" s="2"/>
      <c r="IM1147" s="2"/>
      <c r="IN1147" s="2"/>
      <c r="IO1147" s="2"/>
      <c r="IP1147" s="2"/>
      <c r="IQ1147" s="2"/>
      <c r="IR1147" s="2"/>
      <c r="IS1147" s="2"/>
      <c r="IT1147" s="2"/>
      <c r="IU1147" s="2"/>
    </row>
    <row r="1148" spans="1:255" x14ac:dyDescent="0.2">
      <c r="A1148">
        <v>18</v>
      </c>
      <c r="B1148">
        <v>1</v>
      </c>
      <c r="C1148">
        <v>987</v>
      </c>
      <c r="E1148" t="s">
        <v>936</v>
      </c>
      <c r="F1148" t="s">
        <v>937</v>
      </c>
      <c r="G1148" t="s">
        <v>938</v>
      </c>
      <c r="H1148" t="s">
        <v>250</v>
      </c>
      <c r="I1148">
        <f>I1138*J1148</f>
        <v>1</v>
      </c>
      <c r="J1148">
        <v>40</v>
      </c>
      <c r="K1148">
        <v>40</v>
      </c>
      <c r="O1148">
        <f t="shared" si="958"/>
        <v>78.44</v>
      </c>
      <c r="P1148">
        <f t="shared" si="959"/>
        <v>78.44</v>
      </c>
      <c r="Q1148">
        <f t="shared" si="994"/>
        <v>0</v>
      </c>
      <c r="R1148">
        <f t="shared" si="960"/>
        <v>0</v>
      </c>
      <c r="S1148">
        <f t="shared" si="961"/>
        <v>0</v>
      </c>
      <c r="T1148">
        <f t="shared" si="962"/>
        <v>0</v>
      </c>
      <c r="U1148">
        <f t="shared" si="963"/>
        <v>0</v>
      </c>
      <c r="V1148">
        <f t="shared" si="964"/>
        <v>0</v>
      </c>
      <c r="W1148">
        <f t="shared" si="965"/>
        <v>0</v>
      </c>
      <c r="X1148">
        <f t="shared" si="966"/>
        <v>0</v>
      </c>
      <c r="Y1148">
        <f t="shared" si="967"/>
        <v>0</v>
      </c>
      <c r="AA1148">
        <v>129761633</v>
      </c>
      <c r="AB1148">
        <f t="shared" si="968"/>
        <v>26.59</v>
      </c>
      <c r="AC1148">
        <f t="shared" si="969"/>
        <v>26.59</v>
      </c>
      <c r="AD1148">
        <f t="shared" si="995"/>
        <v>0</v>
      </c>
      <c r="AE1148">
        <f t="shared" si="996"/>
        <v>0</v>
      </c>
      <c r="AF1148">
        <f t="shared" si="997"/>
        <v>0</v>
      </c>
      <c r="AG1148">
        <f t="shared" si="970"/>
        <v>0</v>
      </c>
      <c r="AH1148">
        <f t="shared" si="998"/>
        <v>0</v>
      </c>
      <c r="AI1148">
        <f t="shared" si="999"/>
        <v>0</v>
      </c>
      <c r="AJ1148">
        <f t="shared" si="971"/>
        <v>0</v>
      </c>
      <c r="AK1148">
        <v>26.59</v>
      </c>
      <c r="AL1148">
        <v>26.59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  <c r="AS1148">
        <v>0</v>
      </c>
      <c r="AT1148">
        <v>0</v>
      </c>
      <c r="AU1148">
        <v>0</v>
      </c>
      <c r="AV1148">
        <v>1</v>
      </c>
      <c r="AW1148">
        <v>1</v>
      </c>
      <c r="AZ1148">
        <v>1</v>
      </c>
      <c r="BA1148">
        <v>1</v>
      </c>
      <c r="BB1148">
        <v>1</v>
      </c>
      <c r="BC1148">
        <v>2.95</v>
      </c>
      <c r="BD1148" t="s">
        <v>3</v>
      </c>
      <c r="BE1148" t="s">
        <v>3</v>
      </c>
      <c r="BF1148" t="s">
        <v>3</v>
      </c>
      <c r="BG1148" t="s">
        <v>3</v>
      </c>
      <c r="BH1148">
        <v>3</v>
      </c>
      <c r="BI1148">
        <v>1</v>
      </c>
      <c r="BJ1148" t="s">
        <v>939</v>
      </c>
      <c r="BM1148">
        <v>1623</v>
      </c>
      <c r="BN1148">
        <v>0</v>
      </c>
      <c r="BO1148" t="s">
        <v>937</v>
      </c>
      <c r="BP1148">
        <v>1</v>
      </c>
      <c r="BQ1148">
        <v>30</v>
      </c>
      <c r="BR1148">
        <v>0</v>
      </c>
      <c r="BS1148">
        <v>1</v>
      </c>
      <c r="BT1148">
        <v>1</v>
      </c>
      <c r="BU1148">
        <v>1</v>
      </c>
      <c r="BV1148">
        <v>1</v>
      </c>
      <c r="BW1148">
        <v>1</v>
      </c>
      <c r="BX1148">
        <v>1</v>
      </c>
      <c r="BY1148" t="s">
        <v>3</v>
      </c>
      <c r="BZ1148">
        <v>0</v>
      </c>
      <c r="CA1148">
        <v>0</v>
      </c>
      <c r="CB1148" t="s">
        <v>3</v>
      </c>
      <c r="CE1148">
        <v>30</v>
      </c>
      <c r="CF1148">
        <v>0</v>
      </c>
      <c r="CG1148">
        <v>0</v>
      </c>
      <c r="CM1148">
        <v>0</v>
      </c>
      <c r="CN1148" t="s">
        <v>3</v>
      </c>
      <c r="CO1148">
        <v>0</v>
      </c>
      <c r="CP1148">
        <f t="shared" si="972"/>
        <v>78.44</v>
      </c>
      <c r="CQ1148">
        <f t="shared" si="973"/>
        <v>78.44</v>
      </c>
      <c r="CR1148">
        <f t="shared" si="1000"/>
        <v>0</v>
      </c>
      <c r="CS1148">
        <f t="shared" si="974"/>
        <v>0</v>
      </c>
      <c r="CT1148">
        <f t="shared" si="975"/>
        <v>0</v>
      </c>
      <c r="CU1148">
        <f t="shared" si="976"/>
        <v>0</v>
      </c>
      <c r="CV1148">
        <f t="shared" si="977"/>
        <v>0</v>
      </c>
      <c r="CW1148">
        <f t="shared" si="978"/>
        <v>0</v>
      </c>
      <c r="CX1148">
        <f t="shared" si="979"/>
        <v>0</v>
      </c>
      <c r="CY1148">
        <f>S1148*(BZ1148/100)</f>
        <v>0</v>
      </c>
      <c r="CZ1148">
        <f>S1148*(CA1148/100)</f>
        <v>0</v>
      </c>
      <c r="DC1148" t="s">
        <v>3</v>
      </c>
      <c r="DD1148" t="s">
        <v>3</v>
      </c>
      <c r="DE1148" t="s">
        <v>3</v>
      </c>
      <c r="DF1148" t="s">
        <v>3</v>
      </c>
      <c r="DG1148" t="s">
        <v>3</v>
      </c>
      <c r="DH1148" t="s">
        <v>3</v>
      </c>
      <c r="DI1148" t="s">
        <v>3</v>
      </c>
      <c r="DJ1148" t="s">
        <v>3</v>
      </c>
      <c r="DK1148" t="s">
        <v>3</v>
      </c>
      <c r="DL1148" t="s">
        <v>3</v>
      </c>
      <c r="DM1148" t="s">
        <v>3</v>
      </c>
      <c r="DN1148">
        <v>110</v>
      </c>
      <c r="DO1148">
        <v>74</v>
      </c>
      <c r="DP1148">
        <v>1</v>
      </c>
      <c r="DQ1148">
        <v>1</v>
      </c>
      <c r="DU1148">
        <v>1010</v>
      </c>
      <c r="DV1148" t="s">
        <v>250</v>
      </c>
      <c r="DW1148" t="s">
        <v>250</v>
      </c>
      <c r="DX1148">
        <v>1</v>
      </c>
      <c r="DZ1148" t="s">
        <v>3</v>
      </c>
      <c r="EA1148" t="s">
        <v>3</v>
      </c>
      <c r="EB1148" t="s">
        <v>3</v>
      </c>
      <c r="EC1148" t="s">
        <v>3</v>
      </c>
      <c r="EE1148">
        <v>126053084</v>
      </c>
      <c r="EF1148">
        <v>30</v>
      </c>
      <c r="EG1148" t="s">
        <v>23</v>
      </c>
      <c r="EH1148">
        <v>0</v>
      </c>
      <c r="EI1148" t="s">
        <v>3</v>
      </c>
      <c r="EJ1148">
        <v>1</v>
      </c>
      <c r="EK1148">
        <v>1623</v>
      </c>
      <c r="EL1148" t="s">
        <v>824</v>
      </c>
      <c r="EM1148" t="s">
        <v>825</v>
      </c>
      <c r="EO1148" t="s">
        <v>3</v>
      </c>
      <c r="EQ1148">
        <v>0</v>
      </c>
      <c r="ER1148">
        <v>26.59</v>
      </c>
      <c r="ES1148">
        <v>26.59</v>
      </c>
      <c r="ET1148">
        <v>0</v>
      </c>
      <c r="EU1148">
        <v>0</v>
      </c>
      <c r="EV1148">
        <v>0</v>
      </c>
      <c r="EW1148">
        <v>0</v>
      </c>
      <c r="EX1148">
        <v>0</v>
      </c>
      <c r="FQ1148">
        <v>0</v>
      </c>
      <c r="FR1148">
        <f t="shared" si="980"/>
        <v>0</v>
      </c>
      <c r="FS1148">
        <v>0</v>
      </c>
      <c r="FX1148">
        <v>110</v>
      </c>
      <c r="FY1148">
        <v>74</v>
      </c>
      <c r="GA1148" t="s">
        <v>3</v>
      </c>
      <c r="GD1148">
        <v>0</v>
      </c>
      <c r="GF1148">
        <v>-1435451611</v>
      </c>
      <c r="GG1148">
        <v>2</v>
      </c>
      <c r="GH1148">
        <v>1</v>
      </c>
      <c r="GI1148">
        <v>2</v>
      </c>
      <c r="GJ1148">
        <v>0</v>
      </c>
      <c r="GK1148">
        <f>ROUND(R1148*(S12)/100,2)</f>
        <v>0</v>
      </c>
      <c r="GL1148">
        <f t="shared" si="981"/>
        <v>0</v>
      </c>
      <c r="GM1148">
        <f t="shared" si="982"/>
        <v>78.44</v>
      </c>
      <c r="GN1148">
        <f t="shared" si="983"/>
        <v>78.44</v>
      </c>
      <c r="GO1148">
        <f t="shared" si="984"/>
        <v>0</v>
      </c>
      <c r="GP1148">
        <f t="shared" si="985"/>
        <v>0</v>
      </c>
      <c r="GR1148">
        <v>0</v>
      </c>
      <c r="GS1148">
        <v>3</v>
      </c>
      <c r="GT1148">
        <v>0</v>
      </c>
      <c r="GU1148" t="s">
        <v>3</v>
      </c>
      <c r="GV1148">
        <f t="shared" si="986"/>
        <v>0</v>
      </c>
      <c r="GW1148">
        <v>1</v>
      </c>
      <c r="GX1148">
        <f t="shared" si="987"/>
        <v>0</v>
      </c>
      <c r="HA1148">
        <v>0</v>
      </c>
      <c r="HB1148">
        <v>0</v>
      </c>
      <c r="HC1148">
        <f t="shared" si="988"/>
        <v>0</v>
      </c>
      <c r="HE1148" t="s">
        <v>3</v>
      </c>
      <c r="HF1148" t="s">
        <v>3</v>
      </c>
      <c r="HM1148" t="s">
        <v>3</v>
      </c>
      <c r="HN1148" t="s">
        <v>3</v>
      </c>
      <c r="HO1148" t="s">
        <v>3</v>
      </c>
      <c r="HP1148" t="s">
        <v>3</v>
      </c>
      <c r="HQ1148" t="s">
        <v>3</v>
      </c>
      <c r="IK1148">
        <v>0</v>
      </c>
    </row>
    <row r="1149" spans="1:255" x14ac:dyDescent="0.2">
      <c r="A1149" s="2">
        <v>18</v>
      </c>
      <c r="B1149" s="2">
        <v>1</v>
      </c>
      <c r="C1149" s="2">
        <v>982</v>
      </c>
      <c r="D1149" s="2"/>
      <c r="E1149" s="2" t="s">
        <v>940</v>
      </c>
      <c r="F1149" s="2" t="s">
        <v>248</v>
      </c>
      <c r="G1149" s="2" t="s">
        <v>941</v>
      </c>
      <c r="H1149" s="2" t="s">
        <v>250</v>
      </c>
      <c r="I1149" s="2">
        <f>I1137*J1149</f>
        <v>1</v>
      </c>
      <c r="J1149" s="2">
        <v>40</v>
      </c>
      <c r="K1149" s="2">
        <v>40</v>
      </c>
      <c r="L1149" s="2"/>
      <c r="M1149" s="2"/>
      <c r="N1149" s="2"/>
      <c r="O1149" s="2">
        <f t="shared" si="958"/>
        <v>21.92</v>
      </c>
      <c r="P1149" s="2">
        <f t="shared" si="959"/>
        <v>21.92</v>
      </c>
      <c r="Q1149" s="2">
        <f t="shared" si="994"/>
        <v>0</v>
      </c>
      <c r="R1149" s="2">
        <f t="shared" si="960"/>
        <v>0</v>
      </c>
      <c r="S1149" s="2">
        <f t="shared" si="961"/>
        <v>0</v>
      </c>
      <c r="T1149" s="2">
        <f t="shared" si="962"/>
        <v>0</v>
      </c>
      <c r="U1149" s="2">
        <f t="shared" si="963"/>
        <v>0</v>
      </c>
      <c r="V1149" s="2">
        <f t="shared" si="964"/>
        <v>0</v>
      </c>
      <c r="W1149" s="2">
        <f t="shared" si="965"/>
        <v>0</v>
      </c>
      <c r="X1149" s="2">
        <f t="shared" si="966"/>
        <v>0</v>
      </c>
      <c r="Y1149" s="2">
        <f t="shared" si="967"/>
        <v>0</v>
      </c>
      <c r="Z1149" s="2"/>
      <c r="AA1149" s="2">
        <v>129761636</v>
      </c>
      <c r="AB1149" s="2">
        <f t="shared" si="968"/>
        <v>21.92</v>
      </c>
      <c r="AC1149" s="2">
        <f t="shared" si="969"/>
        <v>21.92</v>
      </c>
      <c r="AD1149" s="2">
        <f t="shared" si="995"/>
        <v>0</v>
      </c>
      <c r="AE1149" s="2">
        <f t="shared" si="996"/>
        <v>0</v>
      </c>
      <c r="AF1149" s="2">
        <f t="shared" si="997"/>
        <v>0</v>
      </c>
      <c r="AG1149" s="2">
        <f t="shared" si="970"/>
        <v>0</v>
      </c>
      <c r="AH1149" s="2">
        <f t="shared" si="998"/>
        <v>0</v>
      </c>
      <c r="AI1149" s="2">
        <f t="shared" si="999"/>
        <v>0</v>
      </c>
      <c r="AJ1149" s="2">
        <f t="shared" si="971"/>
        <v>0</v>
      </c>
      <c r="AK1149" s="2">
        <v>21.919999999999998</v>
      </c>
      <c r="AL1149" s="2">
        <v>21.919999999999998</v>
      </c>
      <c r="AM1149" s="2">
        <v>0</v>
      </c>
      <c r="AN1149" s="2">
        <v>0</v>
      </c>
      <c r="AO1149" s="2">
        <v>0</v>
      </c>
      <c r="AP1149" s="2">
        <v>0</v>
      </c>
      <c r="AQ1149" s="2">
        <v>0</v>
      </c>
      <c r="AR1149" s="2">
        <v>0</v>
      </c>
      <c r="AS1149" s="2">
        <v>0</v>
      </c>
      <c r="AT1149" s="2">
        <v>110</v>
      </c>
      <c r="AU1149" s="2">
        <v>74</v>
      </c>
      <c r="AV1149" s="2">
        <v>1</v>
      </c>
      <c r="AW1149" s="2">
        <v>1</v>
      </c>
      <c r="AX1149" s="2"/>
      <c r="AY1149" s="2"/>
      <c r="AZ1149" s="2">
        <v>1</v>
      </c>
      <c r="BA1149" s="2">
        <v>1</v>
      </c>
      <c r="BB1149" s="2">
        <v>1</v>
      </c>
      <c r="BC1149" s="2">
        <v>1</v>
      </c>
      <c r="BD1149" s="2" t="s">
        <v>3</v>
      </c>
      <c r="BE1149" s="2" t="s">
        <v>3</v>
      </c>
      <c r="BF1149" s="2" t="s">
        <v>3</v>
      </c>
      <c r="BG1149" s="2" t="s">
        <v>3</v>
      </c>
      <c r="BH1149" s="2">
        <v>3</v>
      </c>
      <c r="BI1149" s="2">
        <v>1</v>
      </c>
      <c r="BJ1149" s="2" t="s">
        <v>3</v>
      </c>
      <c r="BK1149" s="2"/>
      <c r="BL1149" s="2"/>
      <c r="BM1149" s="2">
        <v>1623</v>
      </c>
      <c r="BN1149" s="2">
        <v>0</v>
      </c>
      <c r="BO1149" s="2" t="s">
        <v>3</v>
      </c>
      <c r="BP1149" s="2">
        <v>0</v>
      </c>
      <c r="BQ1149" s="2">
        <v>30</v>
      </c>
      <c r="BR1149" s="2">
        <v>0</v>
      </c>
      <c r="BS1149" s="2">
        <v>1</v>
      </c>
      <c r="BT1149" s="2">
        <v>1</v>
      </c>
      <c r="BU1149" s="2">
        <v>1</v>
      </c>
      <c r="BV1149" s="2">
        <v>1</v>
      </c>
      <c r="BW1149" s="2">
        <v>1</v>
      </c>
      <c r="BX1149" s="2">
        <v>1</v>
      </c>
      <c r="BY1149" s="2" t="s">
        <v>3</v>
      </c>
      <c r="BZ1149" s="2">
        <v>110</v>
      </c>
      <c r="CA1149" s="2">
        <v>74</v>
      </c>
      <c r="CB1149" s="2" t="s">
        <v>3</v>
      </c>
      <c r="CC1149" s="2"/>
      <c r="CD1149" s="2"/>
      <c r="CE1149" s="2">
        <v>30</v>
      </c>
      <c r="CF1149" s="2">
        <v>0</v>
      </c>
      <c r="CG1149" s="2">
        <v>0</v>
      </c>
      <c r="CH1149" s="2"/>
      <c r="CI1149" s="2"/>
      <c r="CJ1149" s="2"/>
      <c r="CK1149" s="2"/>
      <c r="CL1149" s="2"/>
      <c r="CM1149" s="2">
        <v>0</v>
      </c>
      <c r="CN1149" s="2" t="s">
        <v>3</v>
      </c>
      <c r="CO1149" s="2">
        <v>0</v>
      </c>
      <c r="CP1149" s="2">
        <f t="shared" si="972"/>
        <v>21.92</v>
      </c>
      <c r="CQ1149" s="2">
        <f t="shared" si="973"/>
        <v>21.92</v>
      </c>
      <c r="CR1149" s="2">
        <f t="shared" si="1000"/>
        <v>0</v>
      </c>
      <c r="CS1149" s="2">
        <f t="shared" si="974"/>
        <v>0</v>
      </c>
      <c r="CT1149" s="2">
        <f t="shared" si="975"/>
        <v>0</v>
      </c>
      <c r="CU1149" s="2">
        <f t="shared" si="976"/>
        <v>0</v>
      </c>
      <c r="CV1149" s="2">
        <f t="shared" si="977"/>
        <v>0</v>
      </c>
      <c r="CW1149" s="2">
        <f t="shared" si="978"/>
        <v>0</v>
      </c>
      <c r="CX1149" s="2">
        <f t="shared" si="979"/>
        <v>0</v>
      </c>
      <c r="CY1149" s="2">
        <f>((S1149*BZ1149)/100)</f>
        <v>0</v>
      </c>
      <c r="CZ1149" s="2">
        <f>((S1149*CA1149)/100)</f>
        <v>0</v>
      </c>
      <c r="DA1149" s="2"/>
      <c r="DB1149" s="2"/>
      <c r="DC1149" s="2" t="s">
        <v>3</v>
      </c>
      <c r="DD1149" s="2" t="s">
        <v>3</v>
      </c>
      <c r="DE1149" s="2" t="s">
        <v>3</v>
      </c>
      <c r="DF1149" s="2" t="s">
        <v>3</v>
      </c>
      <c r="DG1149" s="2" t="s">
        <v>3</v>
      </c>
      <c r="DH1149" s="2" t="s">
        <v>3</v>
      </c>
      <c r="DI1149" s="2" t="s">
        <v>3</v>
      </c>
      <c r="DJ1149" s="2" t="s">
        <v>3</v>
      </c>
      <c r="DK1149" s="2" t="s">
        <v>3</v>
      </c>
      <c r="DL1149" s="2" t="s">
        <v>3</v>
      </c>
      <c r="DM1149" s="2" t="s">
        <v>3</v>
      </c>
      <c r="DN1149" s="2">
        <v>0</v>
      </c>
      <c r="DO1149" s="2">
        <v>0</v>
      </c>
      <c r="DP1149" s="2">
        <v>1</v>
      </c>
      <c r="DQ1149" s="2">
        <v>1</v>
      </c>
      <c r="DR1149" s="2"/>
      <c r="DS1149" s="2"/>
      <c r="DT1149" s="2"/>
      <c r="DU1149" s="2">
        <v>1010</v>
      </c>
      <c r="DV1149" s="2" t="s">
        <v>250</v>
      </c>
      <c r="DW1149" s="2" t="s">
        <v>250</v>
      </c>
      <c r="DX1149" s="2">
        <v>1</v>
      </c>
      <c r="DY1149" s="2"/>
      <c r="DZ1149" s="2" t="s">
        <v>3</v>
      </c>
      <c r="EA1149" s="2" t="s">
        <v>3</v>
      </c>
      <c r="EB1149" s="2" t="s">
        <v>3</v>
      </c>
      <c r="EC1149" s="2" t="s">
        <v>3</v>
      </c>
      <c r="ED1149" s="2"/>
      <c r="EE1149" s="2">
        <v>126053084</v>
      </c>
      <c r="EF1149" s="2">
        <v>30</v>
      </c>
      <c r="EG1149" s="2" t="s">
        <v>23</v>
      </c>
      <c r="EH1149" s="2">
        <v>0</v>
      </c>
      <c r="EI1149" s="2" t="s">
        <v>3</v>
      </c>
      <c r="EJ1149" s="2">
        <v>1</v>
      </c>
      <c r="EK1149" s="2">
        <v>1623</v>
      </c>
      <c r="EL1149" s="2" t="s">
        <v>824</v>
      </c>
      <c r="EM1149" s="2" t="s">
        <v>825</v>
      </c>
      <c r="EN1149" s="2"/>
      <c r="EO1149" s="2" t="s">
        <v>3</v>
      </c>
      <c r="EP1149" s="2"/>
      <c r="EQ1149" s="2">
        <v>0</v>
      </c>
      <c r="ER1149" s="2">
        <v>21.919999999999998</v>
      </c>
      <c r="ES1149" s="2">
        <v>21.919999999999998</v>
      </c>
      <c r="ET1149" s="2">
        <v>0</v>
      </c>
      <c r="EU1149" s="2">
        <v>0</v>
      </c>
      <c r="EV1149" s="2">
        <v>0</v>
      </c>
      <c r="EW1149" s="2">
        <v>0</v>
      </c>
      <c r="EX1149" s="2">
        <v>0</v>
      </c>
      <c r="EY1149" s="2"/>
      <c r="EZ1149" s="2"/>
      <c r="FA1149" s="2"/>
      <c r="FB1149" s="2"/>
      <c r="FC1149" s="2"/>
      <c r="FD1149" s="2"/>
      <c r="FE1149" s="2"/>
      <c r="FF1149" s="2"/>
      <c r="FG1149" s="2"/>
      <c r="FH1149" s="2"/>
      <c r="FI1149" s="2"/>
      <c r="FJ1149" s="2"/>
      <c r="FK1149" s="2"/>
      <c r="FL1149" s="2"/>
      <c r="FM1149" s="2"/>
      <c r="FN1149" s="2"/>
      <c r="FO1149" s="2"/>
      <c r="FP1149" s="2"/>
      <c r="FQ1149" s="2">
        <v>0</v>
      </c>
      <c r="FR1149" s="2">
        <f t="shared" si="980"/>
        <v>0</v>
      </c>
      <c r="FS1149" s="2">
        <v>0</v>
      </c>
      <c r="FT1149" s="2"/>
      <c r="FU1149" s="2"/>
      <c r="FV1149" s="2"/>
      <c r="FW1149" s="2"/>
      <c r="FX1149" s="2">
        <v>110</v>
      </c>
      <c r="FY1149" s="2">
        <v>74</v>
      </c>
      <c r="FZ1149" s="2"/>
      <c r="GA1149" s="2" t="s">
        <v>3</v>
      </c>
      <c r="GB1149" s="2"/>
      <c r="GC1149" s="2"/>
      <c r="GD1149" s="2">
        <v>0</v>
      </c>
      <c r="GE1149" s="2"/>
      <c r="GF1149" s="2">
        <v>1471293546</v>
      </c>
      <c r="GG1149" s="2">
        <v>2</v>
      </c>
      <c r="GH1149" s="2">
        <v>0</v>
      </c>
      <c r="GI1149" s="2">
        <v>-2</v>
      </c>
      <c r="GJ1149" s="2">
        <v>0</v>
      </c>
      <c r="GK1149" s="2">
        <f>ROUND(R1149*(R12)/100,2)</f>
        <v>0</v>
      </c>
      <c r="GL1149" s="2">
        <f t="shared" si="981"/>
        <v>0</v>
      </c>
      <c r="GM1149" s="2">
        <f t="shared" si="982"/>
        <v>21.92</v>
      </c>
      <c r="GN1149" s="2">
        <f t="shared" si="983"/>
        <v>21.92</v>
      </c>
      <c r="GO1149" s="2">
        <f t="shared" si="984"/>
        <v>0</v>
      </c>
      <c r="GP1149" s="2">
        <f t="shared" si="985"/>
        <v>0</v>
      </c>
      <c r="GQ1149" s="2"/>
      <c r="GR1149" s="2">
        <v>0</v>
      </c>
      <c r="GS1149" s="2">
        <v>0</v>
      </c>
      <c r="GT1149" s="2">
        <v>0</v>
      </c>
      <c r="GU1149" s="2" t="s">
        <v>3</v>
      </c>
      <c r="GV1149" s="2">
        <f t="shared" si="986"/>
        <v>0</v>
      </c>
      <c r="GW1149" s="2">
        <v>1</v>
      </c>
      <c r="GX1149" s="2">
        <f t="shared" si="987"/>
        <v>0</v>
      </c>
      <c r="GY1149" s="2"/>
      <c r="GZ1149" s="2"/>
      <c r="HA1149" s="2">
        <v>0</v>
      </c>
      <c r="HB1149" s="2">
        <v>0</v>
      </c>
      <c r="HC1149" s="2">
        <f t="shared" si="988"/>
        <v>0</v>
      </c>
      <c r="HD1149" s="2"/>
      <c r="HE1149" s="2" t="s">
        <v>3</v>
      </c>
      <c r="HF1149" s="2" t="s">
        <v>3</v>
      </c>
      <c r="HG1149" s="2"/>
      <c r="HH1149" s="2"/>
      <c r="HI1149" s="2"/>
      <c r="HJ1149" s="2"/>
      <c r="HK1149" s="2"/>
      <c r="HL1149" s="2"/>
      <c r="HM1149" s="2" t="s">
        <v>3</v>
      </c>
      <c r="HN1149" s="2" t="s">
        <v>3</v>
      </c>
      <c r="HO1149" s="2" t="s">
        <v>3</v>
      </c>
      <c r="HP1149" s="2" t="s">
        <v>3</v>
      </c>
      <c r="HQ1149" s="2" t="s">
        <v>3</v>
      </c>
      <c r="HR1149" s="2"/>
      <c r="HS1149" s="2"/>
      <c r="HT1149" s="2"/>
      <c r="HU1149" s="2"/>
      <c r="HV1149" s="2"/>
      <c r="HW1149" s="2"/>
      <c r="HX1149" s="2"/>
      <c r="HY1149" s="2"/>
      <c r="HZ1149" s="2"/>
      <c r="IA1149" s="2"/>
      <c r="IB1149" s="2"/>
      <c r="IC1149" s="2"/>
      <c r="ID1149" s="2"/>
      <c r="IE1149" s="2"/>
      <c r="IF1149" s="2"/>
      <c r="IG1149" s="2"/>
      <c r="IH1149" s="2"/>
      <c r="II1149" s="2"/>
      <c r="IJ1149" s="2"/>
      <c r="IK1149" s="2">
        <v>0</v>
      </c>
      <c r="IL1149" s="2"/>
      <c r="IM1149" s="2"/>
      <c r="IN1149" s="2"/>
      <c r="IO1149" s="2"/>
      <c r="IP1149" s="2"/>
      <c r="IQ1149" s="2"/>
      <c r="IR1149" s="2"/>
      <c r="IS1149" s="2"/>
      <c r="IT1149" s="2"/>
      <c r="IU1149" s="2"/>
    </row>
    <row r="1150" spans="1:255" x14ac:dyDescent="0.2">
      <c r="A1150">
        <v>18</v>
      </c>
      <c r="B1150">
        <v>1</v>
      </c>
      <c r="C1150">
        <v>993</v>
      </c>
      <c r="E1150" t="s">
        <v>940</v>
      </c>
      <c r="F1150" t="s">
        <v>248</v>
      </c>
      <c r="G1150" t="s">
        <v>941</v>
      </c>
      <c r="H1150" t="s">
        <v>250</v>
      </c>
      <c r="I1150">
        <f>I1138*J1150</f>
        <v>1</v>
      </c>
      <c r="J1150">
        <v>40</v>
      </c>
      <c r="K1150">
        <v>40</v>
      </c>
      <c r="O1150">
        <f t="shared" si="958"/>
        <v>145.32</v>
      </c>
      <c r="P1150">
        <f t="shared" si="959"/>
        <v>145.32</v>
      </c>
      <c r="Q1150">
        <f t="shared" si="994"/>
        <v>0</v>
      </c>
      <c r="R1150">
        <f t="shared" si="960"/>
        <v>0</v>
      </c>
      <c r="S1150">
        <f t="shared" si="961"/>
        <v>0</v>
      </c>
      <c r="T1150">
        <f t="shared" si="962"/>
        <v>0</v>
      </c>
      <c r="U1150">
        <f t="shared" si="963"/>
        <v>0</v>
      </c>
      <c r="V1150">
        <f t="shared" si="964"/>
        <v>0</v>
      </c>
      <c r="W1150">
        <f t="shared" si="965"/>
        <v>0</v>
      </c>
      <c r="X1150">
        <f t="shared" si="966"/>
        <v>0</v>
      </c>
      <c r="Y1150">
        <f t="shared" si="967"/>
        <v>0</v>
      </c>
      <c r="AA1150">
        <v>129761633</v>
      </c>
      <c r="AB1150">
        <f t="shared" si="968"/>
        <v>16.8</v>
      </c>
      <c r="AC1150">
        <f t="shared" si="969"/>
        <v>16.8</v>
      </c>
      <c r="AD1150">
        <f t="shared" si="995"/>
        <v>0</v>
      </c>
      <c r="AE1150">
        <f t="shared" si="996"/>
        <v>0</v>
      </c>
      <c r="AF1150">
        <f t="shared" si="997"/>
        <v>0</v>
      </c>
      <c r="AG1150">
        <f t="shared" si="970"/>
        <v>0</v>
      </c>
      <c r="AH1150">
        <f t="shared" si="998"/>
        <v>0</v>
      </c>
      <c r="AI1150">
        <f t="shared" si="999"/>
        <v>0</v>
      </c>
      <c r="AJ1150">
        <f t="shared" si="971"/>
        <v>0</v>
      </c>
      <c r="AK1150">
        <v>16.799999999999997</v>
      </c>
      <c r="AL1150">
        <v>16.799999999999997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1</v>
      </c>
      <c r="AW1150">
        <v>1</v>
      </c>
      <c r="AZ1150">
        <v>1</v>
      </c>
      <c r="BA1150">
        <v>1</v>
      </c>
      <c r="BB1150">
        <v>1</v>
      </c>
      <c r="BC1150">
        <v>8.65</v>
      </c>
      <c r="BD1150" t="s">
        <v>3</v>
      </c>
      <c r="BE1150" t="s">
        <v>3</v>
      </c>
      <c r="BF1150" t="s">
        <v>3</v>
      </c>
      <c r="BG1150" t="s">
        <v>3</v>
      </c>
      <c r="BH1150">
        <v>3</v>
      </c>
      <c r="BI1150">
        <v>1</v>
      </c>
      <c r="BJ1150" t="s">
        <v>3</v>
      </c>
      <c r="BM1150">
        <v>1623</v>
      </c>
      <c r="BN1150">
        <v>0</v>
      </c>
      <c r="BO1150" t="s">
        <v>3</v>
      </c>
      <c r="BP1150">
        <v>0</v>
      </c>
      <c r="BQ1150">
        <v>30</v>
      </c>
      <c r="BR1150">
        <v>0</v>
      </c>
      <c r="BS1150">
        <v>1</v>
      </c>
      <c r="BT1150">
        <v>1</v>
      </c>
      <c r="BU1150">
        <v>1</v>
      </c>
      <c r="BV1150">
        <v>1</v>
      </c>
      <c r="BW1150">
        <v>1</v>
      </c>
      <c r="BX1150">
        <v>1</v>
      </c>
      <c r="BY1150" t="s">
        <v>3</v>
      </c>
      <c r="BZ1150">
        <v>0</v>
      </c>
      <c r="CA1150">
        <v>0</v>
      </c>
      <c r="CB1150" t="s">
        <v>3</v>
      </c>
      <c r="CE1150">
        <v>30</v>
      </c>
      <c r="CF1150">
        <v>0</v>
      </c>
      <c r="CG1150">
        <v>0</v>
      </c>
      <c r="CM1150">
        <v>0</v>
      </c>
      <c r="CN1150" t="s">
        <v>3</v>
      </c>
      <c r="CO1150">
        <v>0</v>
      </c>
      <c r="CP1150">
        <f t="shared" si="972"/>
        <v>145.32</v>
      </c>
      <c r="CQ1150">
        <f t="shared" si="973"/>
        <v>145.32</v>
      </c>
      <c r="CR1150">
        <f t="shared" si="1000"/>
        <v>0</v>
      </c>
      <c r="CS1150">
        <f t="shared" si="974"/>
        <v>0</v>
      </c>
      <c r="CT1150">
        <f t="shared" si="975"/>
        <v>0</v>
      </c>
      <c r="CU1150">
        <f t="shared" si="976"/>
        <v>0</v>
      </c>
      <c r="CV1150">
        <f t="shared" si="977"/>
        <v>0</v>
      </c>
      <c r="CW1150">
        <f t="shared" si="978"/>
        <v>0</v>
      </c>
      <c r="CX1150">
        <f t="shared" si="979"/>
        <v>0</v>
      </c>
      <c r="CY1150">
        <f>S1150*(BZ1150/100)</f>
        <v>0</v>
      </c>
      <c r="CZ1150">
        <f>S1150*(CA1150/100)</f>
        <v>0</v>
      </c>
      <c r="DC1150" t="s">
        <v>3</v>
      </c>
      <c r="DD1150" t="s">
        <v>3</v>
      </c>
      <c r="DE1150" t="s">
        <v>3</v>
      </c>
      <c r="DF1150" t="s">
        <v>3</v>
      </c>
      <c r="DG1150" t="s">
        <v>3</v>
      </c>
      <c r="DH1150" t="s">
        <v>3</v>
      </c>
      <c r="DI1150" t="s">
        <v>3</v>
      </c>
      <c r="DJ1150" t="s">
        <v>3</v>
      </c>
      <c r="DK1150" t="s">
        <v>3</v>
      </c>
      <c r="DL1150" t="s">
        <v>3</v>
      </c>
      <c r="DM1150" t="s">
        <v>3</v>
      </c>
      <c r="DN1150">
        <v>110</v>
      </c>
      <c r="DO1150">
        <v>74</v>
      </c>
      <c r="DP1150">
        <v>1</v>
      </c>
      <c r="DQ1150">
        <v>1</v>
      </c>
      <c r="DU1150">
        <v>1010</v>
      </c>
      <c r="DV1150" t="s">
        <v>250</v>
      </c>
      <c r="DW1150" t="s">
        <v>250</v>
      </c>
      <c r="DX1150">
        <v>1</v>
      </c>
      <c r="DZ1150" t="s">
        <v>3</v>
      </c>
      <c r="EA1150" t="s">
        <v>3</v>
      </c>
      <c r="EB1150" t="s">
        <v>3</v>
      </c>
      <c r="EC1150" t="s">
        <v>3</v>
      </c>
      <c r="EE1150">
        <v>126053084</v>
      </c>
      <c r="EF1150">
        <v>30</v>
      </c>
      <c r="EG1150" t="s">
        <v>23</v>
      </c>
      <c r="EH1150">
        <v>0</v>
      </c>
      <c r="EI1150" t="s">
        <v>3</v>
      </c>
      <c r="EJ1150">
        <v>1</v>
      </c>
      <c r="EK1150">
        <v>1623</v>
      </c>
      <c r="EL1150" t="s">
        <v>824</v>
      </c>
      <c r="EM1150" t="s">
        <v>825</v>
      </c>
      <c r="EO1150" t="s">
        <v>3</v>
      </c>
      <c r="EQ1150">
        <v>0</v>
      </c>
      <c r="ER1150">
        <v>21.919999999999998</v>
      </c>
      <c r="ES1150">
        <v>16.799999999999997</v>
      </c>
      <c r="ET1150">
        <v>0</v>
      </c>
      <c r="EU1150">
        <v>0</v>
      </c>
      <c r="EV1150">
        <v>0</v>
      </c>
      <c r="EW1150">
        <v>0</v>
      </c>
      <c r="EX1150">
        <v>0</v>
      </c>
      <c r="EZ1150">
        <v>5</v>
      </c>
      <c r="FC1150">
        <v>1</v>
      </c>
      <c r="FD1150">
        <v>18</v>
      </c>
      <c r="FF1150">
        <v>171</v>
      </c>
      <c r="FQ1150">
        <v>0</v>
      </c>
      <c r="FR1150">
        <f t="shared" si="980"/>
        <v>0</v>
      </c>
      <c r="FS1150">
        <v>0</v>
      </c>
      <c r="FX1150">
        <v>110</v>
      </c>
      <c r="FY1150">
        <v>74</v>
      </c>
      <c r="GA1150" t="s">
        <v>942</v>
      </c>
      <c r="GD1150">
        <v>0</v>
      </c>
      <c r="GF1150">
        <v>1471293546</v>
      </c>
      <c r="GG1150">
        <v>2</v>
      </c>
      <c r="GH1150">
        <v>3</v>
      </c>
      <c r="GI1150">
        <v>5</v>
      </c>
      <c r="GJ1150">
        <v>0</v>
      </c>
      <c r="GK1150">
        <f>ROUND(R1150*(S12)/100,2)</f>
        <v>0</v>
      </c>
      <c r="GL1150">
        <f t="shared" si="981"/>
        <v>0</v>
      </c>
      <c r="GM1150">
        <f t="shared" si="982"/>
        <v>145.32</v>
      </c>
      <c r="GN1150">
        <f t="shared" si="983"/>
        <v>145.32</v>
      </c>
      <c r="GO1150">
        <f t="shared" si="984"/>
        <v>0</v>
      </c>
      <c r="GP1150">
        <f t="shared" si="985"/>
        <v>0</v>
      </c>
      <c r="GR1150">
        <v>1</v>
      </c>
      <c r="GS1150">
        <v>1</v>
      </c>
      <c r="GT1150">
        <v>0</v>
      </c>
      <c r="GU1150" t="s">
        <v>3</v>
      </c>
      <c r="GV1150">
        <f t="shared" si="986"/>
        <v>0</v>
      </c>
      <c r="GW1150">
        <v>1</v>
      </c>
      <c r="GX1150">
        <f t="shared" si="987"/>
        <v>0</v>
      </c>
      <c r="HA1150">
        <v>0</v>
      </c>
      <c r="HB1150">
        <v>0</v>
      </c>
      <c r="HC1150">
        <f t="shared" si="988"/>
        <v>0</v>
      </c>
      <c r="HE1150" t="s">
        <v>81</v>
      </c>
      <c r="HF1150" t="s">
        <v>252</v>
      </c>
      <c r="HM1150" t="s">
        <v>3</v>
      </c>
      <c r="HN1150" t="s">
        <v>3</v>
      </c>
      <c r="HO1150" t="s">
        <v>3</v>
      </c>
      <c r="HP1150" t="s">
        <v>3</v>
      </c>
      <c r="HQ1150" t="s">
        <v>3</v>
      </c>
      <c r="IK1150">
        <v>0</v>
      </c>
    </row>
    <row r="1151" spans="1:255" x14ac:dyDescent="0.2">
      <c r="A1151" s="2">
        <v>18</v>
      </c>
      <c r="B1151" s="2">
        <v>1</v>
      </c>
      <c r="C1151" s="2">
        <v>980</v>
      </c>
      <c r="D1151" s="2"/>
      <c r="E1151" s="2" t="s">
        <v>943</v>
      </c>
      <c r="F1151" s="2" t="s">
        <v>944</v>
      </c>
      <c r="G1151" s="2" t="s">
        <v>945</v>
      </c>
      <c r="H1151" s="2" t="s">
        <v>250</v>
      </c>
      <c r="I1151" s="2">
        <f>I1137*J1151</f>
        <v>1</v>
      </c>
      <c r="J1151" s="2">
        <v>40</v>
      </c>
      <c r="K1151" s="2">
        <v>40</v>
      </c>
      <c r="L1151" s="2"/>
      <c r="M1151" s="2"/>
      <c r="N1151" s="2"/>
      <c r="O1151" s="2">
        <f t="shared" si="958"/>
        <v>3.35</v>
      </c>
      <c r="P1151" s="2">
        <f t="shared" si="959"/>
        <v>3.35</v>
      </c>
      <c r="Q1151" s="2">
        <f t="shared" si="994"/>
        <v>0</v>
      </c>
      <c r="R1151" s="2">
        <f t="shared" si="960"/>
        <v>0</v>
      </c>
      <c r="S1151" s="2">
        <f t="shared" si="961"/>
        <v>0</v>
      </c>
      <c r="T1151" s="2">
        <f t="shared" si="962"/>
        <v>0</v>
      </c>
      <c r="U1151" s="2">
        <f t="shared" si="963"/>
        <v>0</v>
      </c>
      <c r="V1151" s="2">
        <f t="shared" si="964"/>
        <v>0</v>
      </c>
      <c r="W1151" s="2">
        <f t="shared" si="965"/>
        <v>0</v>
      </c>
      <c r="X1151" s="2">
        <f t="shared" si="966"/>
        <v>0</v>
      </c>
      <c r="Y1151" s="2">
        <f t="shared" si="967"/>
        <v>0</v>
      </c>
      <c r="Z1151" s="2"/>
      <c r="AA1151" s="2">
        <v>129761636</v>
      </c>
      <c r="AB1151" s="2">
        <f t="shared" si="968"/>
        <v>3.35</v>
      </c>
      <c r="AC1151" s="2">
        <f t="shared" si="969"/>
        <v>3.35</v>
      </c>
      <c r="AD1151" s="2">
        <f t="shared" si="995"/>
        <v>0</v>
      </c>
      <c r="AE1151" s="2">
        <f t="shared" si="996"/>
        <v>0</v>
      </c>
      <c r="AF1151" s="2">
        <f t="shared" si="997"/>
        <v>0</v>
      </c>
      <c r="AG1151" s="2">
        <f t="shared" si="970"/>
        <v>0</v>
      </c>
      <c r="AH1151" s="2">
        <f t="shared" si="998"/>
        <v>0</v>
      </c>
      <c r="AI1151" s="2">
        <f t="shared" si="999"/>
        <v>0</v>
      </c>
      <c r="AJ1151" s="2">
        <f t="shared" si="971"/>
        <v>0</v>
      </c>
      <c r="AK1151" s="2">
        <v>3.35</v>
      </c>
      <c r="AL1151" s="2">
        <v>3.35</v>
      </c>
      <c r="AM1151" s="2">
        <v>0</v>
      </c>
      <c r="AN1151" s="2">
        <v>0</v>
      </c>
      <c r="AO1151" s="2">
        <v>0</v>
      </c>
      <c r="AP1151" s="2">
        <v>0</v>
      </c>
      <c r="AQ1151" s="2">
        <v>0</v>
      </c>
      <c r="AR1151" s="2">
        <v>0</v>
      </c>
      <c r="AS1151" s="2">
        <v>0</v>
      </c>
      <c r="AT1151" s="2">
        <v>110</v>
      </c>
      <c r="AU1151" s="2">
        <v>74</v>
      </c>
      <c r="AV1151" s="2">
        <v>1</v>
      </c>
      <c r="AW1151" s="2">
        <v>1</v>
      </c>
      <c r="AX1151" s="2"/>
      <c r="AY1151" s="2"/>
      <c r="AZ1151" s="2">
        <v>1</v>
      </c>
      <c r="BA1151" s="2">
        <v>1</v>
      </c>
      <c r="BB1151" s="2">
        <v>1</v>
      </c>
      <c r="BC1151" s="2">
        <v>1</v>
      </c>
      <c r="BD1151" s="2" t="s">
        <v>3</v>
      </c>
      <c r="BE1151" s="2" t="s">
        <v>3</v>
      </c>
      <c r="BF1151" s="2" t="s">
        <v>3</v>
      </c>
      <c r="BG1151" s="2" t="s">
        <v>3</v>
      </c>
      <c r="BH1151" s="2">
        <v>3</v>
      </c>
      <c r="BI1151" s="2">
        <v>1</v>
      </c>
      <c r="BJ1151" s="2" t="s">
        <v>946</v>
      </c>
      <c r="BK1151" s="2"/>
      <c r="BL1151" s="2"/>
      <c r="BM1151" s="2">
        <v>1623</v>
      </c>
      <c r="BN1151" s="2">
        <v>0</v>
      </c>
      <c r="BO1151" s="2" t="s">
        <v>3</v>
      </c>
      <c r="BP1151" s="2">
        <v>0</v>
      </c>
      <c r="BQ1151" s="2">
        <v>30</v>
      </c>
      <c r="BR1151" s="2">
        <v>0</v>
      </c>
      <c r="BS1151" s="2">
        <v>1</v>
      </c>
      <c r="BT1151" s="2">
        <v>1</v>
      </c>
      <c r="BU1151" s="2">
        <v>1</v>
      </c>
      <c r="BV1151" s="2">
        <v>1</v>
      </c>
      <c r="BW1151" s="2">
        <v>1</v>
      </c>
      <c r="BX1151" s="2">
        <v>1</v>
      </c>
      <c r="BY1151" s="2" t="s">
        <v>3</v>
      </c>
      <c r="BZ1151" s="2">
        <v>110</v>
      </c>
      <c r="CA1151" s="2">
        <v>74</v>
      </c>
      <c r="CB1151" s="2" t="s">
        <v>3</v>
      </c>
      <c r="CC1151" s="2"/>
      <c r="CD1151" s="2"/>
      <c r="CE1151" s="2">
        <v>30</v>
      </c>
      <c r="CF1151" s="2">
        <v>0</v>
      </c>
      <c r="CG1151" s="2">
        <v>0</v>
      </c>
      <c r="CH1151" s="2"/>
      <c r="CI1151" s="2"/>
      <c r="CJ1151" s="2"/>
      <c r="CK1151" s="2"/>
      <c r="CL1151" s="2"/>
      <c r="CM1151" s="2">
        <v>0</v>
      </c>
      <c r="CN1151" s="2" t="s">
        <v>3</v>
      </c>
      <c r="CO1151" s="2">
        <v>0</v>
      </c>
      <c r="CP1151" s="2">
        <f t="shared" si="972"/>
        <v>3.35</v>
      </c>
      <c r="CQ1151" s="2">
        <f t="shared" si="973"/>
        <v>3.35</v>
      </c>
      <c r="CR1151" s="2">
        <f t="shared" si="1000"/>
        <v>0</v>
      </c>
      <c r="CS1151" s="2">
        <f t="shared" si="974"/>
        <v>0</v>
      </c>
      <c r="CT1151" s="2">
        <f t="shared" si="975"/>
        <v>0</v>
      </c>
      <c r="CU1151" s="2">
        <f t="shared" si="976"/>
        <v>0</v>
      </c>
      <c r="CV1151" s="2">
        <f t="shared" si="977"/>
        <v>0</v>
      </c>
      <c r="CW1151" s="2">
        <f t="shared" si="978"/>
        <v>0</v>
      </c>
      <c r="CX1151" s="2">
        <f t="shared" si="979"/>
        <v>0</v>
      </c>
      <c r="CY1151" s="2">
        <f>((S1151*BZ1151)/100)</f>
        <v>0</v>
      </c>
      <c r="CZ1151" s="2">
        <f>((S1151*CA1151)/100)</f>
        <v>0</v>
      </c>
      <c r="DA1151" s="2"/>
      <c r="DB1151" s="2"/>
      <c r="DC1151" s="2" t="s">
        <v>3</v>
      </c>
      <c r="DD1151" s="2" t="s">
        <v>3</v>
      </c>
      <c r="DE1151" s="2" t="s">
        <v>3</v>
      </c>
      <c r="DF1151" s="2" t="s">
        <v>3</v>
      </c>
      <c r="DG1151" s="2" t="s">
        <v>3</v>
      </c>
      <c r="DH1151" s="2" t="s">
        <v>3</v>
      </c>
      <c r="DI1151" s="2" t="s">
        <v>3</v>
      </c>
      <c r="DJ1151" s="2" t="s">
        <v>3</v>
      </c>
      <c r="DK1151" s="2" t="s">
        <v>3</v>
      </c>
      <c r="DL1151" s="2" t="s">
        <v>3</v>
      </c>
      <c r="DM1151" s="2" t="s">
        <v>3</v>
      </c>
      <c r="DN1151" s="2">
        <v>0</v>
      </c>
      <c r="DO1151" s="2">
        <v>0</v>
      </c>
      <c r="DP1151" s="2">
        <v>1</v>
      </c>
      <c r="DQ1151" s="2">
        <v>1</v>
      </c>
      <c r="DR1151" s="2"/>
      <c r="DS1151" s="2"/>
      <c r="DT1151" s="2"/>
      <c r="DU1151" s="2">
        <v>1010</v>
      </c>
      <c r="DV1151" s="2" t="s">
        <v>250</v>
      </c>
      <c r="DW1151" s="2" t="s">
        <v>250</v>
      </c>
      <c r="DX1151" s="2">
        <v>1</v>
      </c>
      <c r="DY1151" s="2"/>
      <c r="DZ1151" s="2" t="s">
        <v>3</v>
      </c>
      <c r="EA1151" s="2" t="s">
        <v>3</v>
      </c>
      <c r="EB1151" s="2" t="s">
        <v>3</v>
      </c>
      <c r="EC1151" s="2" t="s">
        <v>3</v>
      </c>
      <c r="ED1151" s="2"/>
      <c r="EE1151" s="2">
        <v>126053084</v>
      </c>
      <c r="EF1151" s="2">
        <v>30</v>
      </c>
      <c r="EG1151" s="2" t="s">
        <v>23</v>
      </c>
      <c r="EH1151" s="2">
        <v>0</v>
      </c>
      <c r="EI1151" s="2" t="s">
        <v>3</v>
      </c>
      <c r="EJ1151" s="2">
        <v>1</v>
      </c>
      <c r="EK1151" s="2">
        <v>1623</v>
      </c>
      <c r="EL1151" s="2" t="s">
        <v>824</v>
      </c>
      <c r="EM1151" s="2" t="s">
        <v>825</v>
      </c>
      <c r="EN1151" s="2"/>
      <c r="EO1151" s="2" t="s">
        <v>3</v>
      </c>
      <c r="EP1151" s="2"/>
      <c r="EQ1151" s="2">
        <v>0</v>
      </c>
      <c r="ER1151" s="2">
        <v>3.35</v>
      </c>
      <c r="ES1151" s="2">
        <v>3.35</v>
      </c>
      <c r="ET1151" s="2">
        <v>0</v>
      </c>
      <c r="EU1151" s="2">
        <v>0</v>
      </c>
      <c r="EV1151" s="2">
        <v>0</v>
      </c>
      <c r="EW1151" s="2">
        <v>0</v>
      </c>
      <c r="EX1151" s="2">
        <v>0</v>
      </c>
      <c r="EY1151" s="2"/>
      <c r="EZ1151" s="2"/>
      <c r="FA1151" s="2"/>
      <c r="FB1151" s="2"/>
      <c r="FC1151" s="2"/>
      <c r="FD1151" s="2"/>
      <c r="FE1151" s="2"/>
      <c r="FF1151" s="2"/>
      <c r="FG1151" s="2"/>
      <c r="FH1151" s="2"/>
      <c r="FI1151" s="2"/>
      <c r="FJ1151" s="2"/>
      <c r="FK1151" s="2"/>
      <c r="FL1151" s="2"/>
      <c r="FM1151" s="2"/>
      <c r="FN1151" s="2"/>
      <c r="FO1151" s="2"/>
      <c r="FP1151" s="2"/>
      <c r="FQ1151" s="2">
        <v>0</v>
      </c>
      <c r="FR1151" s="2">
        <f t="shared" si="980"/>
        <v>0</v>
      </c>
      <c r="FS1151" s="2">
        <v>0</v>
      </c>
      <c r="FT1151" s="2"/>
      <c r="FU1151" s="2"/>
      <c r="FV1151" s="2"/>
      <c r="FW1151" s="2"/>
      <c r="FX1151" s="2">
        <v>110</v>
      </c>
      <c r="FY1151" s="2">
        <v>74</v>
      </c>
      <c r="FZ1151" s="2"/>
      <c r="GA1151" s="2" t="s">
        <v>3</v>
      </c>
      <c r="GB1151" s="2"/>
      <c r="GC1151" s="2"/>
      <c r="GD1151" s="2">
        <v>0</v>
      </c>
      <c r="GE1151" s="2"/>
      <c r="GF1151" s="2">
        <v>-155671744</v>
      </c>
      <c r="GG1151" s="2">
        <v>2</v>
      </c>
      <c r="GH1151" s="2">
        <v>1</v>
      </c>
      <c r="GI1151" s="2">
        <v>-2</v>
      </c>
      <c r="GJ1151" s="2">
        <v>0</v>
      </c>
      <c r="GK1151" s="2">
        <f>ROUND(R1151*(R12)/100,2)</f>
        <v>0</v>
      </c>
      <c r="GL1151" s="2">
        <f t="shared" si="981"/>
        <v>0</v>
      </c>
      <c r="GM1151" s="2">
        <f t="shared" si="982"/>
        <v>3.35</v>
      </c>
      <c r="GN1151" s="2">
        <f t="shared" si="983"/>
        <v>3.35</v>
      </c>
      <c r="GO1151" s="2">
        <f t="shared" si="984"/>
        <v>0</v>
      </c>
      <c r="GP1151" s="2">
        <f t="shared" si="985"/>
        <v>0</v>
      </c>
      <c r="GQ1151" s="2"/>
      <c r="GR1151" s="2">
        <v>0</v>
      </c>
      <c r="GS1151" s="2">
        <v>0</v>
      </c>
      <c r="GT1151" s="2">
        <v>0</v>
      </c>
      <c r="GU1151" s="2" t="s">
        <v>3</v>
      </c>
      <c r="GV1151" s="2">
        <f t="shared" si="986"/>
        <v>0</v>
      </c>
      <c r="GW1151" s="2">
        <v>1</v>
      </c>
      <c r="GX1151" s="2">
        <f t="shared" si="987"/>
        <v>0</v>
      </c>
      <c r="GY1151" s="2"/>
      <c r="GZ1151" s="2"/>
      <c r="HA1151" s="2">
        <v>0</v>
      </c>
      <c r="HB1151" s="2">
        <v>0</v>
      </c>
      <c r="HC1151" s="2">
        <f t="shared" si="988"/>
        <v>0</v>
      </c>
      <c r="HD1151" s="2"/>
      <c r="HE1151" s="2" t="s">
        <v>3</v>
      </c>
      <c r="HF1151" s="2" t="s">
        <v>3</v>
      </c>
      <c r="HG1151" s="2"/>
      <c r="HH1151" s="2"/>
      <c r="HI1151" s="2"/>
      <c r="HJ1151" s="2"/>
      <c r="HK1151" s="2"/>
      <c r="HL1151" s="2"/>
      <c r="HM1151" s="2" t="s">
        <v>3</v>
      </c>
      <c r="HN1151" s="2" t="s">
        <v>3</v>
      </c>
      <c r="HO1151" s="2" t="s">
        <v>3</v>
      </c>
      <c r="HP1151" s="2" t="s">
        <v>3</v>
      </c>
      <c r="HQ1151" s="2" t="s">
        <v>3</v>
      </c>
      <c r="HR1151" s="2"/>
      <c r="HS1151" s="2"/>
      <c r="HT1151" s="2"/>
      <c r="HU1151" s="2"/>
      <c r="HV1151" s="2"/>
      <c r="HW1151" s="2"/>
      <c r="HX1151" s="2"/>
      <c r="HY1151" s="2"/>
      <c r="HZ1151" s="2"/>
      <c r="IA1151" s="2"/>
      <c r="IB1151" s="2"/>
      <c r="IC1151" s="2"/>
      <c r="ID1151" s="2"/>
      <c r="IE1151" s="2"/>
      <c r="IF1151" s="2"/>
      <c r="IG1151" s="2"/>
      <c r="IH1151" s="2"/>
      <c r="II1151" s="2"/>
      <c r="IJ1151" s="2"/>
      <c r="IK1151" s="2">
        <v>0</v>
      </c>
      <c r="IL1151" s="2"/>
      <c r="IM1151" s="2"/>
      <c r="IN1151" s="2"/>
      <c r="IO1151" s="2"/>
      <c r="IP1151" s="2"/>
      <c r="IQ1151" s="2"/>
      <c r="IR1151" s="2"/>
      <c r="IS1151" s="2"/>
      <c r="IT1151" s="2"/>
      <c r="IU1151" s="2"/>
    </row>
    <row r="1152" spans="1:255" x14ac:dyDescent="0.2">
      <c r="A1152">
        <v>18</v>
      </c>
      <c r="B1152">
        <v>1</v>
      </c>
      <c r="C1152">
        <v>991</v>
      </c>
      <c r="E1152" t="s">
        <v>943</v>
      </c>
      <c r="F1152" t="s">
        <v>944</v>
      </c>
      <c r="G1152" t="s">
        <v>945</v>
      </c>
      <c r="H1152" t="s">
        <v>250</v>
      </c>
      <c r="I1152">
        <f>I1138*J1152</f>
        <v>1</v>
      </c>
      <c r="J1152">
        <v>40</v>
      </c>
      <c r="K1152">
        <v>40</v>
      </c>
      <c r="O1152">
        <f t="shared" si="958"/>
        <v>14.17</v>
      </c>
      <c r="P1152">
        <f t="shared" si="959"/>
        <v>14.17</v>
      </c>
      <c r="Q1152">
        <f t="shared" si="994"/>
        <v>0</v>
      </c>
      <c r="R1152">
        <f t="shared" si="960"/>
        <v>0</v>
      </c>
      <c r="S1152">
        <f t="shared" si="961"/>
        <v>0</v>
      </c>
      <c r="T1152">
        <f t="shared" si="962"/>
        <v>0</v>
      </c>
      <c r="U1152">
        <f t="shared" si="963"/>
        <v>0</v>
      </c>
      <c r="V1152">
        <f t="shared" si="964"/>
        <v>0</v>
      </c>
      <c r="W1152">
        <f t="shared" si="965"/>
        <v>0</v>
      </c>
      <c r="X1152">
        <f t="shared" si="966"/>
        <v>0</v>
      </c>
      <c r="Y1152">
        <f t="shared" si="967"/>
        <v>0</v>
      </c>
      <c r="AA1152">
        <v>129761633</v>
      </c>
      <c r="AB1152">
        <f t="shared" si="968"/>
        <v>3.35</v>
      </c>
      <c r="AC1152">
        <f t="shared" si="969"/>
        <v>3.35</v>
      </c>
      <c r="AD1152">
        <f t="shared" si="995"/>
        <v>0</v>
      </c>
      <c r="AE1152">
        <f t="shared" si="996"/>
        <v>0</v>
      </c>
      <c r="AF1152">
        <f t="shared" si="997"/>
        <v>0</v>
      </c>
      <c r="AG1152">
        <f t="shared" si="970"/>
        <v>0</v>
      </c>
      <c r="AH1152">
        <f t="shared" si="998"/>
        <v>0</v>
      </c>
      <c r="AI1152">
        <f t="shared" si="999"/>
        <v>0</v>
      </c>
      <c r="AJ1152">
        <f t="shared" si="971"/>
        <v>0</v>
      </c>
      <c r="AK1152">
        <v>3.35</v>
      </c>
      <c r="AL1152">
        <v>3.35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0</v>
      </c>
      <c r="AV1152">
        <v>1</v>
      </c>
      <c r="AW1152">
        <v>1</v>
      </c>
      <c r="AZ1152">
        <v>1</v>
      </c>
      <c r="BA1152">
        <v>1</v>
      </c>
      <c r="BB1152">
        <v>1</v>
      </c>
      <c r="BC1152">
        <v>4.2300000000000004</v>
      </c>
      <c r="BD1152" t="s">
        <v>3</v>
      </c>
      <c r="BE1152" t="s">
        <v>3</v>
      </c>
      <c r="BF1152" t="s">
        <v>3</v>
      </c>
      <c r="BG1152" t="s">
        <v>3</v>
      </c>
      <c r="BH1152">
        <v>3</v>
      </c>
      <c r="BI1152">
        <v>1</v>
      </c>
      <c r="BJ1152" t="s">
        <v>946</v>
      </c>
      <c r="BM1152">
        <v>1623</v>
      </c>
      <c r="BN1152">
        <v>0</v>
      </c>
      <c r="BO1152" t="s">
        <v>944</v>
      </c>
      <c r="BP1152">
        <v>1</v>
      </c>
      <c r="BQ1152">
        <v>30</v>
      </c>
      <c r="BR1152">
        <v>0</v>
      </c>
      <c r="BS1152">
        <v>1</v>
      </c>
      <c r="BT1152">
        <v>1</v>
      </c>
      <c r="BU1152">
        <v>1</v>
      </c>
      <c r="BV1152">
        <v>1</v>
      </c>
      <c r="BW1152">
        <v>1</v>
      </c>
      <c r="BX1152">
        <v>1</v>
      </c>
      <c r="BY1152" t="s">
        <v>3</v>
      </c>
      <c r="BZ1152">
        <v>0</v>
      </c>
      <c r="CA1152">
        <v>0</v>
      </c>
      <c r="CB1152" t="s">
        <v>3</v>
      </c>
      <c r="CE1152">
        <v>30</v>
      </c>
      <c r="CF1152">
        <v>0</v>
      </c>
      <c r="CG1152">
        <v>0</v>
      </c>
      <c r="CM1152">
        <v>0</v>
      </c>
      <c r="CN1152" t="s">
        <v>3</v>
      </c>
      <c r="CO1152">
        <v>0</v>
      </c>
      <c r="CP1152">
        <f t="shared" si="972"/>
        <v>14.17</v>
      </c>
      <c r="CQ1152">
        <f t="shared" si="973"/>
        <v>14.17</v>
      </c>
      <c r="CR1152">
        <f t="shared" si="1000"/>
        <v>0</v>
      </c>
      <c r="CS1152">
        <f t="shared" si="974"/>
        <v>0</v>
      </c>
      <c r="CT1152">
        <f t="shared" si="975"/>
        <v>0</v>
      </c>
      <c r="CU1152">
        <f t="shared" si="976"/>
        <v>0</v>
      </c>
      <c r="CV1152">
        <f t="shared" si="977"/>
        <v>0</v>
      </c>
      <c r="CW1152">
        <f t="shared" si="978"/>
        <v>0</v>
      </c>
      <c r="CX1152">
        <f t="shared" si="979"/>
        <v>0</v>
      </c>
      <c r="CY1152">
        <f>S1152*(BZ1152/100)</f>
        <v>0</v>
      </c>
      <c r="CZ1152">
        <f>S1152*(CA1152/100)</f>
        <v>0</v>
      </c>
      <c r="DC1152" t="s">
        <v>3</v>
      </c>
      <c r="DD1152" t="s">
        <v>3</v>
      </c>
      <c r="DE1152" t="s">
        <v>3</v>
      </c>
      <c r="DF1152" t="s">
        <v>3</v>
      </c>
      <c r="DG1152" t="s">
        <v>3</v>
      </c>
      <c r="DH1152" t="s">
        <v>3</v>
      </c>
      <c r="DI1152" t="s">
        <v>3</v>
      </c>
      <c r="DJ1152" t="s">
        <v>3</v>
      </c>
      <c r="DK1152" t="s">
        <v>3</v>
      </c>
      <c r="DL1152" t="s">
        <v>3</v>
      </c>
      <c r="DM1152" t="s">
        <v>3</v>
      </c>
      <c r="DN1152">
        <v>110</v>
      </c>
      <c r="DO1152">
        <v>74</v>
      </c>
      <c r="DP1152">
        <v>1</v>
      </c>
      <c r="DQ1152">
        <v>1</v>
      </c>
      <c r="DU1152">
        <v>1010</v>
      </c>
      <c r="DV1152" t="s">
        <v>250</v>
      </c>
      <c r="DW1152" t="s">
        <v>250</v>
      </c>
      <c r="DX1152">
        <v>1</v>
      </c>
      <c r="DZ1152" t="s">
        <v>3</v>
      </c>
      <c r="EA1152" t="s">
        <v>3</v>
      </c>
      <c r="EB1152" t="s">
        <v>3</v>
      </c>
      <c r="EC1152" t="s">
        <v>3</v>
      </c>
      <c r="EE1152">
        <v>126053084</v>
      </c>
      <c r="EF1152">
        <v>30</v>
      </c>
      <c r="EG1152" t="s">
        <v>23</v>
      </c>
      <c r="EH1152">
        <v>0</v>
      </c>
      <c r="EI1152" t="s">
        <v>3</v>
      </c>
      <c r="EJ1152">
        <v>1</v>
      </c>
      <c r="EK1152">
        <v>1623</v>
      </c>
      <c r="EL1152" t="s">
        <v>824</v>
      </c>
      <c r="EM1152" t="s">
        <v>825</v>
      </c>
      <c r="EO1152" t="s">
        <v>3</v>
      </c>
      <c r="EQ1152">
        <v>0</v>
      </c>
      <c r="ER1152">
        <v>3.35</v>
      </c>
      <c r="ES1152">
        <v>3.35</v>
      </c>
      <c r="ET1152">
        <v>0</v>
      </c>
      <c r="EU1152">
        <v>0</v>
      </c>
      <c r="EV1152">
        <v>0</v>
      </c>
      <c r="EW1152">
        <v>0</v>
      </c>
      <c r="EX1152">
        <v>0</v>
      </c>
      <c r="FQ1152">
        <v>0</v>
      </c>
      <c r="FR1152">
        <f t="shared" si="980"/>
        <v>0</v>
      </c>
      <c r="FS1152">
        <v>0</v>
      </c>
      <c r="FX1152">
        <v>110</v>
      </c>
      <c r="FY1152">
        <v>74</v>
      </c>
      <c r="GA1152" t="s">
        <v>3</v>
      </c>
      <c r="GD1152">
        <v>0</v>
      </c>
      <c r="GF1152">
        <v>-155671744</v>
      </c>
      <c r="GG1152">
        <v>2</v>
      </c>
      <c r="GH1152">
        <v>1</v>
      </c>
      <c r="GI1152">
        <v>2</v>
      </c>
      <c r="GJ1152">
        <v>0</v>
      </c>
      <c r="GK1152">
        <f>ROUND(R1152*(S12)/100,2)</f>
        <v>0</v>
      </c>
      <c r="GL1152">
        <f t="shared" si="981"/>
        <v>0</v>
      </c>
      <c r="GM1152">
        <f t="shared" si="982"/>
        <v>14.17</v>
      </c>
      <c r="GN1152">
        <f t="shared" si="983"/>
        <v>14.17</v>
      </c>
      <c r="GO1152">
        <f t="shared" si="984"/>
        <v>0</v>
      </c>
      <c r="GP1152">
        <f t="shared" si="985"/>
        <v>0</v>
      </c>
      <c r="GR1152">
        <v>0</v>
      </c>
      <c r="GS1152">
        <v>3</v>
      </c>
      <c r="GT1152">
        <v>0</v>
      </c>
      <c r="GU1152" t="s">
        <v>3</v>
      </c>
      <c r="GV1152">
        <f t="shared" si="986"/>
        <v>0</v>
      </c>
      <c r="GW1152">
        <v>1</v>
      </c>
      <c r="GX1152">
        <f t="shared" si="987"/>
        <v>0</v>
      </c>
      <c r="HA1152">
        <v>0</v>
      </c>
      <c r="HB1152">
        <v>0</v>
      </c>
      <c r="HC1152">
        <f t="shared" si="988"/>
        <v>0</v>
      </c>
      <c r="HE1152" t="s">
        <v>3</v>
      </c>
      <c r="HF1152" t="s">
        <v>3</v>
      </c>
      <c r="HM1152" t="s">
        <v>3</v>
      </c>
      <c r="HN1152" t="s">
        <v>3</v>
      </c>
      <c r="HO1152" t="s">
        <v>3</v>
      </c>
      <c r="HP1152" t="s">
        <v>3</v>
      </c>
      <c r="HQ1152" t="s">
        <v>3</v>
      </c>
      <c r="IK1152">
        <v>0</v>
      </c>
    </row>
    <row r="1153" spans="1:255" x14ac:dyDescent="0.2">
      <c r="A1153" s="2">
        <v>18</v>
      </c>
      <c r="B1153" s="2">
        <v>1</v>
      </c>
      <c r="C1153" s="2">
        <v>983</v>
      </c>
      <c r="D1153" s="2"/>
      <c r="E1153" s="2" t="s">
        <v>947</v>
      </c>
      <c r="F1153" s="2" t="s">
        <v>248</v>
      </c>
      <c r="G1153" s="2" t="s">
        <v>948</v>
      </c>
      <c r="H1153" s="2" t="s">
        <v>250</v>
      </c>
      <c r="I1153" s="2">
        <f>I1137*J1153</f>
        <v>8</v>
      </c>
      <c r="J1153" s="2">
        <v>320</v>
      </c>
      <c r="K1153" s="2">
        <v>320</v>
      </c>
      <c r="L1153" s="2"/>
      <c r="M1153" s="2"/>
      <c r="N1153" s="2"/>
      <c r="O1153" s="2">
        <f t="shared" si="958"/>
        <v>112.88</v>
      </c>
      <c r="P1153" s="2">
        <f t="shared" si="959"/>
        <v>112.88</v>
      </c>
      <c r="Q1153" s="2">
        <f t="shared" si="994"/>
        <v>0</v>
      </c>
      <c r="R1153" s="2">
        <f t="shared" si="960"/>
        <v>0</v>
      </c>
      <c r="S1153" s="2">
        <f t="shared" si="961"/>
        <v>0</v>
      </c>
      <c r="T1153" s="2">
        <f t="shared" si="962"/>
        <v>0</v>
      </c>
      <c r="U1153" s="2">
        <f t="shared" si="963"/>
        <v>0</v>
      </c>
      <c r="V1153" s="2">
        <f t="shared" si="964"/>
        <v>0</v>
      </c>
      <c r="W1153" s="2">
        <f t="shared" si="965"/>
        <v>0</v>
      </c>
      <c r="X1153" s="2">
        <f t="shared" si="966"/>
        <v>0</v>
      </c>
      <c r="Y1153" s="2">
        <f t="shared" si="967"/>
        <v>0</v>
      </c>
      <c r="Z1153" s="2"/>
      <c r="AA1153" s="2">
        <v>129761636</v>
      </c>
      <c r="AB1153" s="2">
        <f t="shared" si="968"/>
        <v>14.11</v>
      </c>
      <c r="AC1153" s="2">
        <f t="shared" si="969"/>
        <v>14.11</v>
      </c>
      <c r="AD1153" s="2">
        <f t="shared" si="995"/>
        <v>0</v>
      </c>
      <c r="AE1153" s="2">
        <f t="shared" si="996"/>
        <v>0</v>
      </c>
      <c r="AF1153" s="2">
        <f t="shared" si="997"/>
        <v>0</v>
      </c>
      <c r="AG1153" s="2">
        <f t="shared" si="970"/>
        <v>0</v>
      </c>
      <c r="AH1153" s="2">
        <f t="shared" si="998"/>
        <v>0</v>
      </c>
      <c r="AI1153" s="2">
        <f t="shared" si="999"/>
        <v>0</v>
      </c>
      <c r="AJ1153" s="2">
        <f t="shared" si="971"/>
        <v>0</v>
      </c>
      <c r="AK1153" s="2">
        <v>14.11</v>
      </c>
      <c r="AL1153" s="2">
        <v>14.11</v>
      </c>
      <c r="AM1153" s="2">
        <v>0</v>
      </c>
      <c r="AN1153" s="2">
        <v>0</v>
      </c>
      <c r="AO1153" s="2">
        <v>0</v>
      </c>
      <c r="AP1153" s="2">
        <v>0</v>
      </c>
      <c r="AQ1153" s="2">
        <v>0</v>
      </c>
      <c r="AR1153" s="2">
        <v>0</v>
      </c>
      <c r="AS1153" s="2">
        <v>0</v>
      </c>
      <c r="AT1153" s="2">
        <v>110</v>
      </c>
      <c r="AU1153" s="2">
        <v>74</v>
      </c>
      <c r="AV1153" s="2">
        <v>1</v>
      </c>
      <c r="AW1153" s="2">
        <v>1</v>
      </c>
      <c r="AX1153" s="2"/>
      <c r="AY1153" s="2"/>
      <c r="AZ1153" s="2">
        <v>1</v>
      </c>
      <c r="BA1153" s="2">
        <v>1</v>
      </c>
      <c r="BB1153" s="2">
        <v>1</v>
      </c>
      <c r="BC1153" s="2">
        <v>1</v>
      </c>
      <c r="BD1153" s="2" t="s">
        <v>3</v>
      </c>
      <c r="BE1153" s="2" t="s">
        <v>3</v>
      </c>
      <c r="BF1153" s="2" t="s">
        <v>3</v>
      </c>
      <c r="BG1153" s="2" t="s">
        <v>3</v>
      </c>
      <c r="BH1153" s="2">
        <v>3</v>
      </c>
      <c r="BI1153" s="2">
        <v>1</v>
      </c>
      <c r="BJ1153" s="2" t="s">
        <v>3</v>
      </c>
      <c r="BK1153" s="2"/>
      <c r="BL1153" s="2"/>
      <c r="BM1153" s="2">
        <v>1623</v>
      </c>
      <c r="BN1153" s="2">
        <v>0</v>
      </c>
      <c r="BO1153" s="2" t="s">
        <v>3</v>
      </c>
      <c r="BP1153" s="2">
        <v>0</v>
      </c>
      <c r="BQ1153" s="2">
        <v>30</v>
      </c>
      <c r="BR1153" s="2">
        <v>0</v>
      </c>
      <c r="BS1153" s="2">
        <v>1</v>
      </c>
      <c r="BT1153" s="2">
        <v>1</v>
      </c>
      <c r="BU1153" s="2">
        <v>1</v>
      </c>
      <c r="BV1153" s="2">
        <v>1</v>
      </c>
      <c r="BW1153" s="2">
        <v>1</v>
      </c>
      <c r="BX1153" s="2">
        <v>1</v>
      </c>
      <c r="BY1153" s="2" t="s">
        <v>3</v>
      </c>
      <c r="BZ1153" s="2">
        <v>110</v>
      </c>
      <c r="CA1153" s="2">
        <v>74</v>
      </c>
      <c r="CB1153" s="2" t="s">
        <v>3</v>
      </c>
      <c r="CC1153" s="2"/>
      <c r="CD1153" s="2"/>
      <c r="CE1153" s="2">
        <v>30</v>
      </c>
      <c r="CF1153" s="2">
        <v>0</v>
      </c>
      <c r="CG1153" s="2">
        <v>0</v>
      </c>
      <c r="CH1153" s="2"/>
      <c r="CI1153" s="2"/>
      <c r="CJ1153" s="2"/>
      <c r="CK1153" s="2"/>
      <c r="CL1153" s="2"/>
      <c r="CM1153" s="2">
        <v>0</v>
      </c>
      <c r="CN1153" s="2" t="s">
        <v>3</v>
      </c>
      <c r="CO1153" s="2">
        <v>0</v>
      </c>
      <c r="CP1153" s="2">
        <f t="shared" si="972"/>
        <v>112.88</v>
      </c>
      <c r="CQ1153" s="2">
        <f t="shared" si="973"/>
        <v>14.11</v>
      </c>
      <c r="CR1153" s="2">
        <f t="shared" si="1000"/>
        <v>0</v>
      </c>
      <c r="CS1153" s="2">
        <f t="shared" si="974"/>
        <v>0</v>
      </c>
      <c r="CT1153" s="2">
        <f t="shared" si="975"/>
        <v>0</v>
      </c>
      <c r="CU1153" s="2">
        <f t="shared" si="976"/>
        <v>0</v>
      </c>
      <c r="CV1153" s="2">
        <f t="shared" si="977"/>
        <v>0</v>
      </c>
      <c r="CW1153" s="2">
        <f t="shared" si="978"/>
        <v>0</v>
      </c>
      <c r="CX1153" s="2">
        <f t="shared" si="979"/>
        <v>0</v>
      </c>
      <c r="CY1153" s="2">
        <f>((S1153*BZ1153)/100)</f>
        <v>0</v>
      </c>
      <c r="CZ1153" s="2">
        <f>((S1153*CA1153)/100)</f>
        <v>0</v>
      </c>
      <c r="DA1153" s="2"/>
      <c r="DB1153" s="2"/>
      <c r="DC1153" s="2" t="s">
        <v>3</v>
      </c>
      <c r="DD1153" s="2" t="s">
        <v>3</v>
      </c>
      <c r="DE1153" s="2" t="s">
        <v>3</v>
      </c>
      <c r="DF1153" s="2" t="s">
        <v>3</v>
      </c>
      <c r="DG1153" s="2" t="s">
        <v>3</v>
      </c>
      <c r="DH1153" s="2" t="s">
        <v>3</v>
      </c>
      <c r="DI1153" s="2" t="s">
        <v>3</v>
      </c>
      <c r="DJ1153" s="2" t="s">
        <v>3</v>
      </c>
      <c r="DK1153" s="2" t="s">
        <v>3</v>
      </c>
      <c r="DL1153" s="2" t="s">
        <v>3</v>
      </c>
      <c r="DM1153" s="2" t="s">
        <v>3</v>
      </c>
      <c r="DN1153" s="2">
        <v>0</v>
      </c>
      <c r="DO1153" s="2">
        <v>0</v>
      </c>
      <c r="DP1153" s="2">
        <v>1</v>
      </c>
      <c r="DQ1153" s="2">
        <v>1</v>
      </c>
      <c r="DR1153" s="2"/>
      <c r="DS1153" s="2"/>
      <c r="DT1153" s="2"/>
      <c r="DU1153" s="2">
        <v>1010</v>
      </c>
      <c r="DV1153" s="2" t="s">
        <v>250</v>
      </c>
      <c r="DW1153" s="2" t="s">
        <v>250</v>
      </c>
      <c r="DX1153" s="2">
        <v>1</v>
      </c>
      <c r="DY1153" s="2"/>
      <c r="DZ1153" s="2" t="s">
        <v>3</v>
      </c>
      <c r="EA1153" s="2" t="s">
        <v>3</v>
      </c>
      <c r="EB1153" s="2" t="s">
        <v>3</v>
      </c>
      <c r="EC1153" s="2" t="s">
        <v>3</v>
      </c>
      <c r="ED1153" s="2"/>
      <c r="EE1153" s="2">
        <v>126053084</v>
      </c>
      <c r="EF1153" s="2">
        <v>30</v>
      </c>
      <c r="EG1153" s="2" t="s">
        <v>23</v>
      </c>
      <c r="EH1153" s="2">
        <v>0</v>
      </c>
      <c r="EI1153" s="2" t="s">
        <v>3</v>
      </c>
      <c r="EJ1153" s="2">
        <v>1</v>
      </c>
      <c r="EK1153" s="2">
        <v>1623</v>
      </c>
      <c r="EL1153" s="2" t="s">
        <v>824</v>
      </c>
      <c r="EM1153" s="2" t="s">
        <v>825</v>
      </c>
      <c r="EN1153" s="2"/>
      <c r="EO1153" s="2" t="s">
        <v>3</v>
      </c>
      <c r="EP1153" s="2"/>
      <c r="EQ1153" s="2">
        <v>0</v>
      </c>
      <c r="ER1153" s="2">
        <v>14.11</v>
      </c>
      <c r="ES1153" s="2">
        <v>14.11</v>
      </c>
      <c r="ET1153" s="2">
        <v>0</v>
      </c>
      <c r="EU1153" s="2">
        <v>0</v>
      </c>
      <c r="EV1153" s="2">
        <v>0</v>
      </c>
      <c r="EW1153" s="2">
        <v>0</v>
      </c>
      <c r="EX1153" s="2">
        <v>0</v>
      </c>
      <c r="EY1153" s="2"/>
      <c r="EZ1153" s="2"/>
      <c r="FA1153" s="2"/>
      <c r="FB1153" s="2"/>
      <c r="FC1153" s="2"/>
      <c r="FD1153" s="2"/>
      <c r="FE1153" s="2"/>
      <c r="FF1153" s="2"/>
      <c r="FG1153" s="2"/>
      <c r="FH1153" s="2"/>
      <c r="FI1153" s="2"/>
      <c r="FJ1153" s="2"/>
      <c r="FK1153" s="2"/>
      <c r="FL1153" s="2"/>
      <c r="FM1153" s="2"/>
      <c r="FN1153" s="2"/>
      <c r="FO1153" s="2"/>
      <c r="FP1153" s="2"/>
      <c r="FQ1153" s="2">
        <v>0</v>
      </c>
      <c r="FR1153" s="2">
        <f t="shared" si="980"/>
        <v>0</v>
      </c>
      <c r="FS1153" s="2">
        <v>0</v>
      </c>
      <c r="FT1153" s="2"/>
      <c r="FU1153" s="2"/>
      <c r="FV1153" s="2"/>
      <c r="FW1153" s="2"/>
      <c r="FX1153" s="2">
        <v>110</v>
      </c>
      <c r="FY1153" s="2">
        <v>74</v>
      </c>
      <c r="FZ1153" s="2"/>
      <c r="GA1153" s="2" t="s">
        <v>3</v>
      </c>
      <c r="GB1153" s="2"/>
      <c r="GC1153" s="2"/>
      <c r="GD1153" s="2">
        <v>0</v>
      </c>
      <c r="GE1153" s="2"/>
      <c r="GF1153" s="2">
        <v>-507524884</v>
      </c>
      <c r="GG1153" s="2">
        <v>2</v>
      </c>
      <c r="GH1153" s="2">
        <v>0</v>
      </c>
      <c r="GI1153" s="2">
        <v>-2</v>
      </c>
      <c r="GJ1153" s="2">
        <v>0</v>
      </c>
      <c r="GK1153" s="2">
        <f>ROUND(R1153*(R12)/100,2)</f>
        <v>0</v>
      </c>
      <c r="GL1153" s="2">
        <f t="shared" si="981"/>
        <v>0</v>
      </c>
      <c r="GM1153" s="2">
        <f t="shared" si="982"/>
        <v>112.88</v>
      </c>
      <c r="GN1153" s="2">
        <f t="shared" si="983"/>
        <v>112.88</v>
      </c>
      <c r="GO1153" s="2">
        <f t="shared" si="984"/>
        <v>0</v>
      </c>
      <c r="GP1153" s="2">
        <f t="shared" si="985"/>
        <v>0</v>
      </c>
      <c r="GQ1153" s="2"/>
      <c r="GR1153" s="2">
        <v>0</v>
      </c>
      <c r="GS1153" s="2">
        <v>0</v>
      </c>
      <c r="GT1153" s="2">
        <v>0</v>
      </c>
      <c r="GU1153" s="2" t="s">
        <v>3</v>
      </c>
      <c r="GV1153" s="2">
        <f t="shared" si="986"/>
        <v>0</v>
      </c>
      <c r="GW1153" s="2">
        <v>1</v>
      </c>
      <c r="GX1153" s="2">
        <f t="shared" si="987"/>
        <v>0</v>
      </c>
      <c r="GY1153" s="2"/>
      <c r="GZ1153" s="2"/>
      <c r="HA1153" s="2">
        <v>0</v>
      </c>
      <c r="HB1153" s="2">
        <v>0</v>
      </c>
      <c r="HC1153" s="2">
        <f t="shared" si="988"/>
        <v>0</v>
      </c>
      <c r="HD1153" s="2"/>
      <c r="HE1153" s="2" t="s">
        <v>3</v>
      </c>
      <c r="HF1153" s="2" t="s">
        <v>3</v>
      </c>
      <c r="HG1153" s="2"/>
      <c r="HH1153" s="2"/>
      <c r="HI1153" s="2"/>
      <c r="HJ1153" s="2"/>
      <c r="HK1153" s="2"/>
      <c r="HL1153" s="2"/>
      <c r="HM1153" s="2" t="s">
        <v>3</v>
      </c>
      <c r="HN1153" s="2" t="s">
        <v>3</v>
      </c>
      <c r="HO1153" s="2" t="s">
        <v>3</v>
      </c>
      <c r="HP1153" s="2" t="s">
        <v>3</v>
      </c>
      <c r="HQ1153" s="2" t="s">
        <v>3</v>
      </c>
      <c r="HR1153" s="2"/>
      <c r="HS1153" s="2"/>
      <c r="HT1153" s="2"/>
      <c r="HU1153" s="2"/>
      <c r="HV1153" s="2"/>
      <c r="HW1153" s="2"/>
      <c r="HX1153" s="2"/>
      <c r="HY1153" s="2"/>
      <c r="HZ1153" s="2"/>
      <c r="IA1153" s="2"/>
      <c r="IB1153" s="2"/>
      <c r="IC1153" s="2"/>
      <c r="ID1153" s="2"/>
      <c r="IE1153" s="2"/>
      <c r="IF1153" s="2"/>
      <c r="IG1153" s="2"/>
      <c r="IH1153" s="2"/>
      <c r="II1153" s="2"/>
      <c r="IJ1153" s="2"/>
      <c r="IK1153" s="2">
        <v>0</v>
      </c>
      <c r="IL1153" s="2"/>
      <c r="IM1153" s="2"/>
      <c r="IN1153" s="2"/>
      <c r="IO1153" s="2"/>
      <c r="IP1153" s="2"/>
      <c r="IQ1153" s="2"/>
      <c r="IR1153" s="2"/>
      <c r="IS1153" s="2"/>
      <c r="IT1153" s="2"/>
      <c r="IU1153" s="2"/>
    </row>
    <row r="1154" spans="1:255" x14ac:dyDescent="0.2">
      <c r="A1154">
        <v>18</v>
      </c>
      <c r="B1154">
        <v>1</v>
      </c>
      <c r="C1154">
        <v>994</v>
      </c>
      <c r="E1154" t="s">
        <v>947</v>
      </c>
      <c r="F1154" t="s">
        <v>248</v>
      </c>
      <c r="G1154" t="s">
        <v>948</v>
      </c>
      <c r="H1154" t="s">
        <v>250</v>
      </c>
      <c r="I1154">
        <f>I1138*J1154</f>
        <v>8</v>
      </c>
      <c r="J1154">
        <v>320</v>
      </c>
      <c r="K1154">
        <v>320</v>
      </c>
      <c r="O1154">
        <f t="shared" si="958"/>
        <v>748.05</v>
      </c>
      <c r="P1154">
        <f t="shared" si="959"/>
        <v>748.05</v>
      </c>
      <c r="Q1154">
        <f t="shared" si="994"/>
        <v>0</v>
      </c>
      <c r="R1154">
        <f t="shared" si="960"/>
        <v>0</v>
      </c>
      <c r="S1154">
        <f t="shared" si="961"/>
        <v>0</v>
      </c>
      <c r="T1154">
        <f t="shared" si="962"/>
        <v>0</v>
      </c>
      <c r="U1154">
        <f t="shared" si="963"/>
        <v>0</v>
      </c>
      <c r="V1154">
        <f t="shared" si="964"/>
        <v>0</v>
      </c>
      <c r="W1154">
        <f t="shared" si="965"/>
        <v>0</v>
      </c>
      <c r="X1154">
        <f t="shared" si="966"/>
        <v>0</v>
      </c>
      <c r="Y1154">
        <f t="shared" si="967"/>
        <v>0</v>
      </c>
      <c r="AA1154">
        <v>129761633</v>
      </c>
      <c r="AB1154">
        <f t="shared" si="968"/>
        <v>10.81</v>
      </c>
      <c r="AC1154">
        <f t="shared" si="969"/>
        <v>10.81</v>
      </c>
      <c r="AD1154">
        <f t="shared" si="995"/>
        <v>0</v>
      </c>
      <c r="AE1154">
        <f t="shared" si="996"/>
        <v>0</v>
      </c>
      <c r="AF1154">
        <f t="shared" si="997"/>
        <v>0</v>
      </c>
      <c r="AG1154">
        <f t="shared" si="970"/>
        <v>0</v>
      </c>
      <c r="AH1154">
        <f t="shared" si="998"/>
        <v>0</v>
      </c>
      <c r="AI1154">
        <f t="shared" si="999"/>
        <v>0</v>
      </c>
      <c r="AJ1154">
        <f t="shared" si="971"/>
        <v>0</v>
      </c>
      <c r="AK1154">
        <v>10.81</v>
      </c>
      <c r="AL1154">
        <v>10.81</v>
      </c>
      <c r="AM1154">
        <v>0</v>
      </c>
      <c r="AN1154">
        <v>0</v>
      </c>
      <c r="AO1154">
        <v>0</v>
      </c>
      <c r="AP1154">
        <v>0</v>
      </c>
      <c r="AQ1154">
        <v>0</v>
      </c>
      <c r="AR1154">
        <v>0</v>
      </c>
      <c r="AS1154">
        <v>0</v>
      </c>
      <c r="AT1154">
        <v>0</v>
      </c>
      <c r="AU1154">
        <v>0</v>
      </c>
      <c r="AV1154">
        <v>1</v>
      </c>
      <c r="AW1154">
        <v>1</v>
      </c>
      <c r="AZ1154">
        <v>1</v>
      </c>
      <c r="BA1154">
        <v>1</v>
      </c>
      <c r="BB1154">
        <v>1</v>
      </c>
      <c r="BC1154">
        <v>8.65</v>
      </c>
      <c r="BD1154" t="s">
        <v>3</v>
      </c>
      <c r="BE1154" t="s">
        <v>3</v>
      </c>
      <c r="BF1154" t="s">
        <v>3</v>
      </c>
      <c r="BG1154" t="s">
        <v>3</v>
      </c>
      <c r="BH1154">
        <v>3</v>
      </c>
      <c r="BI1154">
        <v>1</v>
      </c>
      <c r="BJ1154" t="s">
        <v>3</v>
      </c>
      <c r="BM1154">
        <v>1623</v>
      </c>
      <c r="BN1154">
        <v>0</v>
      </c>
      <c r="BO1154" t="s">
        <v>3</v>
      </c>
      <c r="BP1154">
        <v>0</v>
      </c>
      <c r="BQ1154">
        <v>30</v>
      </c>
      <c r="BR1154">
        <v>0</v>
      </c>
      <c r="BS1154">
        <v>1</v>
      </c>
      <c r="BT1154">
        <v>1</v>
      </c>
      <c r="BU1154">
        <v>1</v>
      </c>
      <c r="BV1154">
        <v>1</v>
      </c>
      <c r="BW1154">
        <v>1</v>
      </c>
      <c r="BX1154">
        <v>1</v>
      </c>
      <c r="BY1154" t="s">
        <v>3</v>
      </c>
      <c r="BZ1154">
        <v>0</v>
      </c>
      <c r="CA1154">
        <v>0</v>
      </c>
      <c r="CB1154" t="s">
        <v>3</v>
      </c>
      <c r="CE1154">
        <v>30</v>
      </c>
      <c r="CF1154">
        <v>0</v>
      </c>
      <c r="CG1154">
        <v>0</v>
      </c>
      <c r="CM1154">
        <v>0</v>
      </c>
      <c r="CN1154" t="s">
        <v>3</v>
      </c>
      <c r="CO1154">
        <v>0</v>
      </c>
      <c r="CP1154">
        <f t="shared" si="972"/>
        <v>748.05</v>
      </c>
      <c r="CQ1154">
        <f t="shared" si="973"/>
        <v>93.51</v>
      </c>
      <c r="CR1154">
        <f t="shared" si="1000"/>
        <v>0</v>
      </c>
      <c r="CS1154">
        <f t="shared" si="974"/>
        <v>0</v>
      </c>
      <c r="CT1154">
        <f t="shared" si="975"/>
        <v>0</v>
      </c>
      <c r="CU1154">
        <f t="shared" si="976"/>
        <v>0</v>
      </c>
      <c r="CV1154">
        <f t="shared" si="977"/>
        <v>0</v>
      </c>
      <c r="CW1154">
        <f t="shared" si="978"/>
        <v>0</v>
      </c>
      <c r="CX1154">
        <f t="shared" si="979"/>
        <v>0</v>
      </c>
      <c r="CY1154">
        <f>S1154*(BZ1154/100)</f>
        <v>0</v>
      </c>
      <c r="CZ1154">
        <f>S1154*(CA1154/100)</f>
        <v>0</v>
      </c>
      <c r="DC1154" t="s">
        <v>3</v>
      </c>
      <c r="DD1154" t="s">
        <v>3</v>
      </c>
      <c r="DE1154" t="s">
        <v>3</v>
      </c>
      <c r="DF1154" t="s">
        <v>3</v>
      </c>
      <c r="DG1154" t="s">
        <v>3</v>
      </c>
      <c r="DH1154" t="s">
        <v>3</v>
      </c>
      <c r="DI1154" t="s">
        <v>3</v>
      </c>
      <c r="DJ1154" t="s">
        <v>3</v>
      </c>
      <c r="DK1154" t="s">
        <v>3</v>
      </c>
      <c r="DL1154" t="s">
        <v>3</v>
      </c>
      <c r="DM1154" t="s">
        <v>3</v>
      </c>
      <c r="DN1154">
        <v>110</v>
      </c>
      <c r="DO1154">
        <v>74</v>
      </c>
      <c r="DP1154">
        <v>1</v>
      </c>
      <c r="DQ1154">
        <v>1</v>
      </c>
      <c r="DU1154">
        <v>1010</v>
      </c>
      <c r="DV1154" t="s">
        <v>250</v>
      </c>
      <c r="DW1154" t="s">
        <v>250</v>
      </c>
      <c r="DX1154">
        <v>1</v>
      </c>
      <c r="DZ1154" t="s">
        <v>3</v>
      </c>
      <c r="EA1154" t="s">
        <v>3</v>
      </c>
      <c r="EB1154" t="s">
        <v>3</v>
      </c>
      <c r="EC1154" t="s">
        <v>3</v>
      </c>
      <c r="EE1154">
        <v>126053084</v>
      </c>
      <c r="EF1154">
        <v>30</v>
      </c>
      <c r="EG1154" t="s">
        <v>23</v>
      </c>
      <c r="EH1154">
        <v>0</v>
      </c>
      <c r="EI1154" t="s">
        <v>3</v>
      </c>
      <c r="EJ1154">
        <v>1</v>
      </c>
      <c r="EK1154">
        <v>1623</v>
      </c>
      <c r="EL1154" t="s">
        <v>824</v>
      </c>
      <c r="EM1154" t="s">
        <v>825</v>
      </c>
      <c r="EO1154" t="s">
        <v>3</v>
      </c>
      <c r="EQ1154">
        <v>0</v>
      </c>
      <c r="ER1154">
        <v>14.11</v>
      </c>
      <c r="ES1154">
        <v>10.81</v>
      </c>
      <c r="ET1154">
        <v>0</v>
      </c>
      <c r="EU1154">
        <v>0</v>
      </c>
      <c r="EV1154">
        <v>0</v>
      </c>
      <c r="EW1154">
        <v>0</v>
      </c>
      <c r="EX1154">
        <v>0</v>
      </c>
      <c r="EZ1154">
        <v>5</v>
      </c>
      <c r="FC1154">
        <v>1</v>
      </c>
      <c r="FD1154">
        <v>18</v>
      </c>
      <c r="FF1154">
        <v>110</v>
      </c>
      <c r="FQ1154">
        <v>0</v>
      </c>
      <c r="FR1154">
        <f t="shared" si="980"/>
        <v>0</v>
      </c>
      <c r="FS1154">
        <v>0</v>
      </c>
      <c r="FX1154">
        <v>110</v>
      </c>
      <c r="FY1154">
        <v>74</v>
      </c>
      <c r="GA1154" t="s">
        <v>949</v>
      </c>
      <c r="GD1154">
        <v>0</v>
      </c>
      <c r="GF1154">
        <v>-507524884</v>
      </c>
      <c r="GG1154">
        <v>2</v>
      </c>
      <c r="GH1154">
        <v>3</v>
      </c>
      <c r="GI1154">
        <v>5</v>
      </c>
      <c r="GJ1154">
        <v>0</v>
      </c>
      <c r="GK1154">
        <f>ROUND(R1154*(S12)/100,2)</f>
        <v>0</v>
      </c>
      <c r="GL1154">
        <f t="shared" si="981"/>
        <v>0</v>
      </c>
      <c r="GM1154">
        <f t="shared" si="982"/>
        <v>748.05</v>
      </c>
      <c r="GN1154">
        <f t="shared" si="983"/>
        <v>748.05</v>
      </c>
      <c r="GO1154">
        <f t="shared" si="984"/>
        <v>0</v>
      </c>
      <c r="GP1154">
        <f t="shared" si="985"/>
        <v>0</v>
      </c>
      <c r="GR1154">
        <v>1</v>
      </c>
      <c r="GS1154">
        <v>1</v>
      </c>
      <c r="GT1154">
        <v>0</v>
      </c>
      <c r="GU1154" t="s">
        <v>3</v>
      </c>
      <c r="GV1154">
        <f t="shared" si="986"/>
        <v>0</v>
      </c>
      <c r="GW1154">
        <v>1</v>
      </c>
      <c r="GX1154">
        <f t="shared" si="987"/>
        <v>0</v>
      </c>
      <c r="HA1154">
        <v>0</v>
      </c>
      <c r="HB1154">
        <v>0</v>
      </c>
      <c r="HC1154">
        <f t="shared" si="988"/>
        <v>0</v>
      </c>
      <c r="HE1154" t="s">
        <v>81</v>
      </c>
      <c r="HF1154" t="s">
        <v>252</v>
      </c>
      <c r="HM1154" t="s">
        <v>3</v>
      </c>
      <c r="HN1154" t="s">
        <v>3</v>
      </c>
      <c r="HO1154" t="s">
        <v>3</v>
      </c>
      <c r="HP1154" t="s">
        <v>3</v>
      </c>
      <c r="HQ1154" t="s">
        <v>3</v>
      </c>
      <c r="IK1154">
        <v>0</v>
      </c>
    </row>
    <row r="1156" spans="1:255" x14ac:dyDescent="0.2">
      <c r="A1156" s="3">
        <v>51</v>
      </c>
      <c r="B1156" s="3">
        <f>B1123</f>
        <v>1</v>
      </c>
      <c r="C1156" s="3">
        <f>A1123</f>
        <v>4</v>
      </c>
      <c r="D1156" s="3">
        <f>ROW(A1123)</f>
        <v>1123</v>
      </c>
      <c r="E1156" s="3"/>
      <c r="F1156" s="3" t="str">
        <f>IF(F1123&lt;&gt;"",F1123,"")</f>
        <v>Новый раздел</v>
      </c>
      <c r="G1156" s="3" t="str">
        <f>IF(G1123&lt;&gt;"",G1123,"")</f>
        <v>Внутренние сети  К1</v>
      </c>
      <c r="H1156" s="3">
        <v>0</v>
      </c>
      <c r="I1156" s="3"/>
      <c r="J1156" s="3"/>
      <c r="K1156" s="3"/>
      <c r="L1156" s="3"/>
      <c r="M1156" s="3"/>
      <c r="N1156" s="3"/>
      <c r="O1156" s="3">
        <f t="shared" ref="O1156:T1156" si="1001">ROUND(AB1156,2)</f>
        <v>572.46</v>
      </c>
      <c r="P1156" s="3">
        <f t="shared" si="1001"/>
        <v>525.21</v>
      </c>
      <c r="Q1156" s="3">
        <f t="shared" si="1001"/>
        <v>0.85</v>
      </c>
      <c r="R1156" s="3">
        <f t="shared" si="1001"/>
        <v>0.21</v>
      </c>
      <c r="S1156" s="3">
        <f t="shared" si="1001"/>
        <v>46.4</v>
      </c>
      <c r="T1156" s="3">
        <f t="shared" si="1001"/>
        <v>0</v>
      </c>
      <c r="U1156" s="3">
        <f>AH1156</f>
        <v>3.6247999999999996</v>
      </c>
      <c r="V1156" s="3">
        <f>AI1156</f>
        <v>0</v>
      </c>
      <c r="W1156" s="3">
        <f>ROUND(AJ1156,2)</f>
        <v>0</v>
      </c>
      <c r="X1156" s="3">
        <f>ROUND(AK1156,2)</f>
        <v>51.04</v>
      </c>
      <c r="Y1156" s="3">
        <f>ROUND(AL1156,2)</f>
        <v>34.33</v>
      </c>
      <c r="Z1156" s="3"/>
      <c r="AA1156" s="3"/>
      <c r="AB1156" s="3">
        <f>ROUND(SUMIF(AA1127:AA1154,"=129761636",O1127:O1154),2)</f>
        <v>572.46</v>
      </c>
      <c r="AC1156" s="3">
        <f>ROUND(SUMIF(AA1127:AA1154,"=129761636",P1127:P1154),2)</f>
        <v>525.21</v>
      </c>
      <c r="AD1156" s="3">
        <f>ROUND(SUMIF(AA1127:AA1154,"=129761636",Q1127:Q1154),2)</f>
        <v>0.85</v>
      </c>
      <c r="AE1156" s="3">
        <f>ROUND(SUMIF(AA1127:AA1154,"=129761636",R1127:R1154),2)</f>
        <v>0.21</v>
      </c>
      <c r="AF1156" s="3">
        <f>ROUND(SUMIF(AA1127:AA1154,"=129761636",S1127:S1154),2)</f>
        <v>46.4</v>
      </c>
      <c r="AG1156" s="3">
        <f>ROUND(SUMIF(AA1127:AA1154,"=129761636",T1127:T1154),2)</f>
        <v>0</v>
      </c>
      <c r="AH1156" s="3">
        <f>SUMIF(AA1127:AA1154,"=129761636",U1127:U1154)</f>
        <v>3.6247999999999996</v>
      </c>
      <c r="AI1156" s="3">
        <f>SUMIF(AA1127:AA1154,"=129761636",V1127:V1154)</f>
        <v>0</v>
      </c>
      <c r="AJ1156" s="3">
        <f>ROUND(SUMIF(AA1127:AA1154,"=129761636",W1127:W1154),2)</f>
        <v>0</v>
      </c>
      <c r="AK1156" s="3">
        <f>ROUND(SUMIF(AA1127:AA1154,"=129761636",X1127:X1154),2)</f>
        <v>51.04</v>
      </c>
      <c r="AL1156" s="3">
        <f>ROUND(SUMIF(AA1127:AA1154,"=129761636",Y1127:Y1154),2)</f>
        <v>34.33</v>
      </c>
      <c r="AM1156" s="3"/>
      <c r="AN1156" s="3"/>
      <c r="AO1156" s="3">
        <f t="shared" ref="AO1156:BD1156" si="1002">ROUND(BX1156,2)</f>
        <v>0</v>
      </c>
      <c r="AP1156" s="3">
        <f t="shared" si="1002"/>
        <v>0</v>
      </c>
      <c r="AQ1156" s="3">
        <f t="shared" si="1002"/>
        <v>0</v>
      </c>
      <c r="AR1156" s="3">
        <f t="shared" si="1002"/>
        <v>658.2</v>
      </c>
      <c r="AS1156" s="3">
        <f t="shared" si="1002"/>
        <v>658.2</v>
      </c>
      <c r="AT1156" s="3">
        <f t="shared" si="1002"/>
        <v>0</v>
      </c>
      <c r="AU1156" s="3">
        <f t="shared" si="1002"/>
        <v>0</v>
      </c>
      <c r="AV1156" s="3">
        <f t="shared" si="1002"/>
        <v>525.21</v>
      </c>
      <c r="AW1156" s="3">
        <f t="shared" si="1002"/>
        <v>525.21</v>
      </c>
      <c r="AX1156" s="3">
        <f t="shared" si="1002"/>
        <v>0</v>
      </c>
      <c r="AY1156" s="3">
        <f t="shared" si="1002"/>
        <v>525.21</v>
      </c>
      <c r="AZ1156" s="3">
        <f t="shared" si="1002"/>
        <v>0</v>
      </c>
      <c r="BA1156" s="3">
        <f t="shared" si="1002"/>
        <v>0</v>
      </c>
      <c r="BB1156" s="3">
        <f t="shared" si="1002"/>
        <v>0</v>
      </c>
      <c r="BC1156" s="3">
        <f t="shared" si="1002"/>
        <v>0</v>
      </c>
      <c r="BD1156" s="3">
        <f t="shared" si="1002"/>
        <v>0</v>
      </c>
      <c r="BE1156" s="3"/>
      <c r="BF1156" s="3"/>
      <c r="BG1156" s="3"/>
      <c r="BH1156" s="3"/>
      <c r="BI1156" s="3"/>
      <c r="BJ1156" s="3"/>
      <c r="BK1156" s="3"/>
      <c r="BL1156" s="3"/>
      <c r="BM1156" s="3"/>
      <c r="BN1156" s="3"/>
      <c r="BO1156" s="3"/>
      <c r="BP1156" s="3"/>
      <c r="BQ1156" s="3"/>
      <c r="BR1156" s="3"/>
      <c r="BS1156" s="3"/>
      <c r="BT1156" s="3"/>
      <c r="BU1156" s="3"/>
      <c r="BV1156" s="3"/>
      <c r="BW1156" s="3"/>
      <c r="BX1156" s="3">
        <f>ROUND(SUMIF(AA1127:AA1154,"=129761636",FQ1127:FQ1154),2)</f>
        <v>0</v>
      </c>
      <c r="BY1156" s="3">
        <f>ROUND(SUMIF(AA1127:AA1154,"=129761636",FR1127:FR1154),2)</f>
        <v>0</v>
      </c>
      <c r="BZ1156" s="3">
        <f>ROUND(SUMIF(AA1127:AA1154,"=129761636",GL1127:GL1154),2)</f>
        <v>0</v>
      </c>
      <c r="CA1156" s="3">
        <f>ROUND(SUMIF(AA1127:AA1154,"=129761636",GM1127:GM1154),2)</f>
        <v>658.2</v>
      </c>
      <c r="CB1156" s="3">
        <f>ROUND(SUMIF(AA1127:AA1154,"=129761636",GN1127:GN1154),2)</f>
        <v>658.2</v>
      </c>
      <c r="CC1156" s="3">
        <f>ROUND(SUMIF(AA1127:AA1154,"=129761636",GO1127:GO1154),2)</f>
        <v>0</v>
      </c>
      <c r="CD1156" s="3">
        <f>ROUND(SUMIF(AA1127:AA1154,"=129761636",GP1127:GP1154),2)</f>
        <v>0</v>
      </c>
      <c r="CE1156" s="3">
        <f>AC1156-BX1156</f>
        <v>525.21</v>
      </c>
      <c r="CF1156" s="3">
        <f>AC1156-BY1156</f>
        <v>525.21</v>
      </c>
      <c r="CG1156" s="3">
        <f>BX1156-BZ1156</f>
        <v>0</v>
      </c>
      <c r="CH1156" s="3">
        <f>AC1156-BX1156-BY1156+BZ1156</f>
        <v>525.21</v>
      </c>
      <c r="CI1156" s="3">
        <f>BY1156-BZ1156</f>
        <v>0</v>
      </c>
      <c r="CJ1156" s="3">
        <f>ROUND(SUMIF(AA1127:AA1154,"=129761636",GX1127:GX1154),2)</f>
        <v>0</v>
      </c>
      <c r="CK1156" s="3">
        <f>ROUND(SUMIF(AA1127:AA1154,"=129761636",GY1127:GY1154),2)</f>
        <v>0</v>
      </c>
      <c r="CL1156" s="3">
        <f>ROUND(SUMIF(AA1127:AA1154,"=129761636",GZ1127:GZ1154),2)</f>
        <v>0</v>
      </c>
      <c r="CM1156" s="3">
        <f>ROUND(SUMIF(AA1127:AA1154,"=129761636",HD1127:HD1154),2)</f>
        <v>0</v>
      </c>
      <c r="CN1156" s="3"/>
      <c r="CO1156" s="3"/>
      <c r="CP1156" s="3"/>
      <c r="CQ1156" s="3"/>
      <c r="CR1156" s="3"/>
      <c r="CS1156" s="3"/>
      <c r="CT1156" s="3"/>
      <c r="CU1156" s="3"/>
      <c r="CV1156" s="3"/>
      <c r="CW1156" s="3"/>
      <c r="CX1156" s="3"/>
      <c r="CY1156" s="3"/>
      <c r="CZ1156" s="3"/>
      <c r="DA1156" s="3"/>
      <c r="DB1156" s="3"/>
      <c r="DC1156" s="3"/>
      <c r="DD1156" s="3"/>
      <c r="DE1156" s="3"/>
      <c r="DF1156" s="3"/>
      <c r="DG1156" s="4">
        <f t="shared" ref="DG1156:DL1156" si="1003">ROUND(DT1156,2)</f>
        <v>4342.21</v>
      </c>
      <c r="DH1156" s="4">
        <f t="shared" si="1003"/>
        <v>2983.67</v>
      </c>
      <c r="DI1156" s="4">
        <f t="shared" si="1003"/>
        <v>11.55</v>
      </c>
      <c r="DJ1156" s="4">
        <f t="shared" si="1003"/>
        <v>6.09</v>
      </c>
      <c r="DK1156" s="4">
        <f t="shared" si="1003"/>
        <v>1346.99</v>
      </c>
      <c r="DL1156" s="4">
        <f t="shared" si="1003"/>
        <v>0</v>
      </c>
      <c r="DM1156" s="4">
        <f>DZ1156</f>
        <v>3.6247999999999996</v>
      </c>
      <c r="DN1156" s="4">
        <f>EA1156</f>
        <v>0</v>
      </c>
      <c r="DO1156" s="4">
        <f>ROUND(EB1156,2)</f>
        <v>0</v>
      </c>
      <c r="DP1156" s="4">
        <f>ROUND(EC1156,2)</f>
        <v>1212.29</v>
      </c>
      <c r="DQ1156" s="4">
        <f>ROUND(ED1156,2)</f>
        <v>552.27</v>
      </c>
      <c r="DR1156" s="4"/>
      <c r="DS1156" s="4"/>
      <c r="DT1156" s="4">
        <f>ROUND(SUMIF(AA1127:AA1154,"=129761633",O1127:O1154),2)</f>
        <v>4342.21</v>
      </c>
      <c r="DU1156" s="4">
        <f>ROUND(SUMIF(AA1127:AA1154,"=129761633",P1127:P1154),2)</f>
        <v>2983.67</v>
      </c>
      <c r="DV1156" s="4">
        <f>ROUND(SUMIF(AA1127:AA1154,"=129761633",Q1127:Q1154),2)</f>
        <v>11.55</v>
      </c>
      <c r="DW1156" s="4">
        <f>ROUND(SUMIF(AA1127:AA1154,"=129761633",R1127:R1154),2)</f>
        <v>6.09</v>
      </c>
      <c r="DX1156" s="4">
        <f>ROUND(SUMIF(AA1127:AA1154,"=129761633",S1127:S1154),2)</f>
        <v>1346.99</v>
      </c>
      <c r="DY1156" s="4">
        <f>ROUND(SUMIF(AA1127:AA1154,"=129761633",T1127:T1154),2)</f>
        <v>0</v>
      </c>
      <c r="DZ1156" s="4">
        <f>SUMIF(AA1127:AA1154,"=129761633",U1127:U1154)</f>
        <v>3.6247999999999996</v>
      </c>
      <c r="EA1156" s="4">
        <f>SUMIF(AA1127:AA1154,"=129761633",V1127:V1154)</f>
        <v>0</v>
      </c>
      <c r="EB1156" s="4">
        <f>ROUND(SUMIF(AA1127:AA1154,"=129761633",W1127:W1154),2)</f>
        <v>0</v>
      </c>
      <c r="EC1156" s="4">
        <f>ROUND(SUMIF(AA1127:AA1154,"=129761633",X1127:X1154),2)</f>
        <v>1212.29</v>
      </c>
      <c r="ED1156" s="4">
        <f>ROUND(SUMIF(AA1127:AA1154,"=129761633",Y1127:Y1154),2)</f>
        <v>552.27</v>
      </c>
      <c r="EE1156" s="4"/>
      <c r="EF1156" s="4"/>
      <c r="EG1156" s="4">
        <f t="shared" ref="EG1156:EV1156" si="1004">ROUND(FP1156,2)</f>
        <v>0</v>
      </c>
      <c r="EH1156" s="4">
        <f t="shared" si="1004"/>
        <v>0</v>
      </c>
      <c r="EI1156" s="4">
        <f t="shared" si="1004"/>
        <v>0</v>
      </c>
      <c r="EJ1156" s="4">
        <f t="shared" si="1004"/>
        <v>6116.51</v>
      </c>
      <c r="EK1156" s="4">
        <f t="shared" si="1004"/>
        <v>6116.51</v>
      </c>
      <c r="EL1156" s="4">
        <f t="shared" si="1004"/>
        <v>0</v>
      </c>
      <c r="EM1156" s="4">
        <f t="shared" si="1004"/>
        <v>0</v>
      </c>
      <c r="EN1156" s="4">
        <f t="shared" si="1004"/>
        <v>2983.67</v>
      </c>
      <c r="EO1156" s="4">
        <f t="shared" si="1004"/>
        <v>2983.67</v>
      </c>
      <c r="EP1156" s="4">
        <f t="shared" si="1004"/>
        <v>0</v>
      </c>
      <c r="EQ1156" s="4">
        <f t="shared" si="1004"/>
        <v>2983.67</v>
      </c>
      <c r="ER1156" s="4">
        <f t="shared" si="1004"/>
        <v>0</v>
      </c>
      <c r="ES1156" s="4">
        <f t="shared" si="1004"/>
        <v>0</v>
      </c>
      <c r="ET1156" s="4">
        <f t="shared" si="1004"/>
        <v>0</v>
      </c>
      <c r="EU1156" s="4">
        <f t="shared" si="1004"/>
        <v>0</v>
      </c>
      <c r="EV1156" s="4">
        <f t="shared" si="1004"/>
        <v>0</v>
      </c>
      <c r="EW1156" s="4"/>
      <c r="EX1156" s="4"/>
      <c r="EY1156" s="4"/>
      <c r="EZ1156" s="4"/>
      <c r="FA1156" s="4"/>
      <c r="FB1156" s="4"/>
      <c r="FC1156" s="4"/>
      <c r="FD1156" s="4"/>
      <c r="FE1156" s="4"/>
      <c r="FF1156" s="4"/>
      <c r="FG1156" s="4"/>
      <c r="FH1156" s="4"/>
      <c r="FI1156" s="4"/>
      <c r="FJ1156" s="4"/>
      <c r="FK1156" s="4"/>
      <c r="FL1156" s="4"/>
      <c r="FM1156" s="4"/>
      <c r="FN1156" s="4"/>
      <c r="FO1156" s="4"/>
      <c r="FP1156" s="4">
        <f>ROUND(SUMIF(AA1127:AA1154,"=129761633",FQ1127:FQ1154),2)</f>
        <v>0</v>
      </c>
      <c r="FQ1156" s="4">
        <f>ROUND(SUMIF(AA1127:AA1154,"=129761633",FR1127:FR1154),2)</f>
        <v>0</v>
      </c>
      <c r="FR1156" s="4">
        <f>ROUND(SUMIF(AA1127:AA1154,"=129761633",GL1127:GL1154),2)</f>
        <v>0</v>
      </c>
      <c r="FS1156" s="4">
        <f>ROUND(SUMIF(AA1127:AA1154,"=129761633",GM1127:GM1154),2)</f>
        <v>6116.51</v>
      </c>
      <c r="FT1156" s="4">
        <f>ROUND(SUMIF(AA1127:AA1154,"=129761633",GN1127:GN1154),2)</f>
        <v>6116.51</v>
      </c>
      <c r="FU1156" s="4">
        <f>ROUND(SUMIF(AA1127:AA1154,"=129761633",GO1127:GO1154),2)</f>
        <v>0</v>
      </c>
      <c r="FV1156" s="4">
        <f>ROUND(SUMIF(AA1127:AA1154,"=129761633",GP1127:GP1154),2)</f>
        <v>0</v>
      </c>
      <c r="FW1156" s="4">
        <f>DU1156-FP1156</f>
        <v>2983.67</v>
      </c>
      <c r="FX1156" s="4">
        <f>DU1156-FQ1156</f>
        <v>2983.67</v>
      </c>
      <c r="FY1156" s="4">
        <f>FP1156-FR1156</f>
        <v>0</v>
      </c>
      <c r="FZ1156" s="4">
        <f>DU1156-FP1156-FQ1156+FR1156</f>
        <v>2983.67</v>
      </c>
      <c r="GA1156" s="4">
        <f>FQ1156-FR1156</f>
        <v>0</v>
      </c>
      <c r="GB1156" s="4">
        <f>ROUND(SUMIF(AA1127:AA1154,"=129761633",GX1127:GX1154),2)</f>
        <v>0</v>
      </c>
      <c r="GC1156" s="4">
        <f>ROUND(SUMIF(AA1127:AA1154,"=129761633",GY1127:GY1154),2)</f>
        <v>0</v>
      </c>
      <c r="GD1156" s="4">
        <f>ROUND(SUMIF(AA1127:AA1154,"=129761633",GZ1127:GZ1154),2)</f>
        <v>0</v>
      </c>
      <c r="GE1156" s="4">
        <f>ROUND(SUMIF(AA1127:AA1154,"=129761633",HD1127:HD1154),2)</f>
        <v>0</v>
      </c>
      <c r="GF1156" s="4"/>
      <c r="GG1156" s="4"/>
      <c r="GH1156" s="4"/>
      <c r="GI1156" s="4"/>
      <c r="GJ1156" s="4"/>
      <c r="GK1156" s="4"/>
      <c r="GL1156" s="4"/>
      <c r="GM1156" s="4"/>
      <c r="GN1156" s="4"/>
      <c r="GO1156" s="4"/>
      <c r="GP1156" s="4"/>
      <c r="GQ1156" s="4"/>
      <c r="GR1156" s="4"/>
      <c r="GS1156" s="4"/>
      <c r="GT1156" s="4"/>
      <c r="GU1156" s="4"/>
      <c r="GV1156" s="4"/>
      <c r="GW1156" s="4"/>
      <c r="GX1156" s="4">
        <v>0</v>
      </c>
    </row>
    <row r="1158" spans="1:255" x14ac:dyDescent="0.2">
      <c r="A1158" s="5">
        <v>50</v>
      </c>
      <c r="B1158" s="5">
        <v>0</v>
      </c>
      <c r="C1158" s="5">
        <v>0</v>
      </c>
      <c r="D1158" s="5">
        <v>1</v>
      </c>
      <c r="E1158" s="5">
        <v>201</v>
      </c>
      <c r="F1158" s="5">
        <f>ROUND(Source!O1156,O1158)</f>
        <v>572.46</v>
      </c>
      <c r="G1158" s="5" t="s">
        <v>26</v>
      </c>
      <c r="H1158" s="5" t="s">
        <v>27</v>
      </c>
      <c r="I1158" s="5"/>
      <c r="J1158" s="5"/>
      <c r="K1158" s="5">
        <v>201</v>
      </c>
      <c r="L1158" s="5">
        <v>1</v>
      </c>
      <c r="M1158" s="5">
        <v>3</v>
      </c>
      <c r="N1158" s="5" t="s">
        <v>3</v>
      </c>
      <c r="O1158" s="5">
        <v>2</v>
      </c>
      <c r="P1158" s="5">
        <f>ROUND(Source!DG1156,O1158)</f>
        <v>4342.21</v>
      </c>
      <c r="Q1158" s="5"/>
      <c r="R1158" s="5"/>
      <c r="S1158" s="5"/>
      <c r="T1158" s="5"/>
      <c r="U1158" s="5"/>
      <c r="V1158" s="5"/>
      <c r="W1158" s="5">
        <v>572.46</v>
      </c>
      <c r="X1158" s="5">
        <v>1</v>
      </c>
      <c r="Y1158" s="5">
        <v>572.46</v>
      </c>
      <c r="Z1158" s="5">
        <v>4342.21</v>
      </c>
      <c r="AA1158" s="5">
        <v>1</v>
      </c>
      <c r="AB1158" s="5">
        <v>4342.21</v>
      </c>
    </row>
    <row r="1159" spans="1:255" x14ac:dyDescent="0.2">
      <c r="A1159" s="5">
        <v>50</v>
      </c>
      <c r="B1159" s="5">
        <v>0</v>
      </c>
      <c r="C1159" s="5">
        <v>0</v>
      </c>
      <c r="D1159" s="5">
        <v>1</v>
      </c>
      <c r="E1159" s="5">
        <v>202</v>
      </c>
      <c r="F1159" s="5">
        <f>ROUND(Source!P1156,O1159)</f>
        <v>525.21</v>
      </c>
      <c r="G1159" s="5" t="s">
        <v>28</v>
      </c>
      <c r="H1159" s="5" t="s">
        <v>29</v>
      </c>
      <c r="I1159" s="5"/>
      <c r="J1159" s="5"/>
      <c r="K1159" s="5">
        <v>202</v>
      </c>
      <c r="L1159" s="5">
        <v>2</v>
      </c>
      <c r="M1159" s="5">
        <v>3</v>
      </c>
      <c r="N1159" s="5" t="s">
        <v>3</v>
      </c>
      <c r="O1159" s="5">
        <v>2</v>
      </c>
      <c r="P1159" s="5">
        <f>ROUND(Source!DH1156,O1159)</f>
        <v>2983.67</v>
      </c>
      <c r="Q1159" s="5"/>
      <c r="R1159" s="5"/>
      <c r="S1159" s="5"/>
      <c r="T1159" s="5"/>
      <c r="U1159" s="5"/>
      <c r="V1159" s="5"/>
      <c r="W1159" s="5">
        <v>525.21</v>
      </c>
      <c r="X1159" s="5">
        <v>1</v>
      </c>
      <c r="Y1159" s="5">
        <v>525.21</v>
      </c>
      <c r="Z1159" s="5">
        <v>2983.67</v>
      </c>
      <c r="AA1159" s="5">
        <v>1</v>
      </c>
      <c r="AB1159" s="5">
        <v>2983.67</v>
      </c>
    </row>
    <row r="1160" spans="1:255" x14ac:dyDescent="0.2">
      <c r="A1160" s="5">
        <v>50</v>
      </c>
      <c r="B1160" s="5">
        <v>0</v>
      </c>
      <c r="C1160" s="5">
        <v>0</v>
      </c>
      <c r="D1160" s="5">
        <v>1</v>
      </c>
      <c r="E1160" s="5">
        <v>222</v>
      </c>
      <c r="F1160" s="5">
        <f>ROUND(Source!AO1156,O1160)</f>
        <v>0</v>
      </c>
      <c r="G1160" s="5" t="s">
        <v>30</v>
      </c>
      <c r="H1160" s="5" t="s">
        <v>31</v>
      </c>
      <c r="I1160" s="5"/>
      <c r="J1160" s="5"/>
      <c r="K1160" s="5">
        <v>222</v>
      </c>
      <c r="L1160" s="5">
        <v>3</v>
      </c>
      <c r="M1160" s="5">
        <v>3</v>
      </c>
      <c r="N1160" s="5" t="s">
        <v>3</v>
      </c>
      <c r="O1160" s="5">
        <v>2</v>
      </c>
      <c r="P1160" s="5">
        <f>ROUND(Source!EG1156,O1160)</f>
        <v>0</v>
      </c>
      <c r="Q1160" s="5"/>
      <c r="R1160" s="5"/>
      <c r="S1160" s="5"/>
      <c r="T1160" s="5"/>
      <c r="U1160" s="5"/>
      <c r="V1160" s="5"/>
      <c r="W1160" s="5">
        <v>0</v>
      </c>
      <c r="X1160" s="5">
        <v>1</v>
      </c>
      <c r="Y1160" s="5">
        <v>0</v>
      </c>
      <c r="Z1160" s="5">
        <v>0</v>
      </c>
      <c r="AA1160" s="5">
        <v>1</v>
      </c>
      <c r="AB1160" s="5">
        <v>0</v>
      </c>
    </row>
    <row r="1161" spans="1:255" x14ac:dyDescent="0.2">
      <c r="A1161" s="5">
        <v>50</v>
      </c>
      <c r="B1161" s="5">
        <v>0</v>
      </c>
      <c r="C1161" s="5">
        <v>0</v>
      </c>
      <c r="D1161" s="5">
        <v>1</v>
      </c>
      <c r="E1161" s="5">
        <v>225</v>
      </c>
      <c r="F1161" s="5">
        <f>ROUND(Source!AV1156,O1161)</f>
        <v>525.21</v>
      </c>
      <c r="G1161" s="5" t="s">
        <v>32</v>
      </c>
      <c r="H1161" s="5" t="s">
        <v>33</v>
      </c>
      <c r="I1161" s="5"/>
      <c r="J1161" s="5"/>
      <c r="K1161" s="5">
        <v>225</v>
      </c>
      <c r="L1161" s="5">
        <v>4</v>
      </c>
      <c r="M1161" s="5">
        <v>3</v>
      </c>
      <c r="N1161" s="5" t="s">
        <v>3</v>
      </c>
      <c r="O1161" s="5">
        <v>2</v>
      </c>
      <c r="P1161" s="5">
        <f>ROUND(Source!EN1156,O1161)</f>
        <v>2983.67</v>
      </c>
      <c r="Q1161" s="5"/>
      <c r="R1161" s="5"/>
      <c r="S1161" s="5"/>
      <c r="T1161" s="5"/>
      <c r="U1161" s="5"/>
      <c r="V1161" s="5"/>
      <c r="W1161" s="5">
        <v>525.21</v>
      </c>
      <c r="X1161" s="5">
        <v>1</v>
      </c>
      <c r="Y1161" s="5">
        <v>525.21</v>
      </c>
      <c r="Z1161" s="5">
        <v>2983.67</v>
      </c>
      <c r="AA1161" s="5">
        <v>1</v>
      </c>
      <c r="AB1161" s="5">
        <v>2983.67</v>
      </c>
    </row>
    <row r="1162" spans="1:255" x14ac:dyDescent="0.2">
      <c r="A1162" s="5">
        <v>50</v>
      </c>
      <c r="B1162" s="5">
        <v>0</v>
      </c>
      <c r="C1162" s="5">
        <v>0</v>
      </c>
      <c r="D1162" s="5">
        <v>1</v>
      </c>
      <c r="E1162" s="5">
        <v>226</v>
      </c>
      <c r="F1162" s="5">
        <f>ROUND(Source!AW1156,O1162)</f>
        <v>525.21</v>
      </c>
      <c r="G1162" s="5" t="s">
        <v>34</v>
      </c>
      <c r="H1162" s="5" t="s">
        <v>35</v>
      </c>
      <c r="I1162" s="5"/>
      <c r="J1162" s="5"/>
      <c r="K1162" s="5">
        <v>226</v>
      </c>
      <c r="L1162" s="5">
        <v>5</v>
      </c>
      <c r="M1162" s="5">
        <v>3</v>
      </c>
      <c r="N1162" s="5" t="s">
        <v>3</v>
      </c>
      <c r="O1162" s="5">
        <v>2</v>
      </c>
      <c r="P1162" s="5">
        <f>ROUND(Source!EO1156,O1162)</f>
        <v>2983.67</v>
      </c>
      <c r="Q1162" s="5"/>
      <c r="R1162" s="5"/>
      <c r="S1162" s="5"/>
      <c r="T1162" s="5"/>
      <c r="U1162" s="5"/>
      <c r="V1162" s="5"/>
      <c r="W1162" s="5">
        <v>525.21</v>
      </c>
      <c r="X1162" s="5">
        <v>1</v>
      </c>
      <c r="Y1162" s="5">
        <v>525.21</v>
      </c>
      <c r="Z1162" s="5">
        <v>2983.67</v>
      </c>
      <c r="AA1162" s="5">
        <v>1</v>
      </c>
      <c r="AB1162" s="5">
        <v>2983.67</v>
      </c>
    </row>
    <row r="1163" spans="1:255" x14ac:dyDescent="0.2">
      <c r="A1163" s="5">
        <v>50</v>
      </c>
      <c r="B1163" s="5">
        <v>0</v>
      </c>
      <c r="C1163" s="5">
        <v>0</v>
      </c>
      <c r="D1163" s="5">
        <v>1</v>
      </c>
      <c r="E1163" s="5">
        <v>227</v>
      </c>
      <c r="F1163" s="5">
        <f>ROUND(Source!AX1156,O1163)</f>
        <v>0</v>
      </c>
      <c r="G1163" s="5" t="s">
        <v>36</v>
      </c>
      <c r="H1163" s="5" t="s">
        <v>37</v>
      </c>
      <c r="I1163" s="5"/>
      <c r="J1163" s="5"/>
      <c r="K1163" s="5">
        <v>227</v>
      </c>
      <c r="L1163" s="5">
        <v>6</v>
      </c>
      <c r="M1163" s="5">
        <v>3</v>
      </c>
      <c r="N1163" s="5" t="s">
        <v>3</v>
      </c>
      <c r="O1163" s="5">
        <v>2</v>
      </c>
      <c r="P1163" s="5">
        <f>ROUND(Source!EP1156,O1163)</f>
        <v>0</v>
      </c>
      <c r="Q1163" s="5"/>
      <c r="R1163" s="5"/>
      <c r="S1163" s="5"/>
      <c r="T1163" s="5"/>
      <c r="U1163" s="5"/>
      <c r="V1163" s="5"/>
      <c r="W1163" s="5">
        <v>0</v>
      </c>
      <c r="X1163" s="5">
        <v>1</v>
      </c>
      <c r="Y1163" s="5">
        <v>0</v>
      </c>
      <c r="Z1163" s="5">
        <v>0</v>
      </c>
      <c r="AA1163" s="5">
        <v>1</v>
      </c>
      <c r="AB1163" s="5">
        <v>0</v>
      </c>
    </row>
    <row r="1164" spans="1:255" x14ac:dyDescent="0.2">
      <c r="A1164" s="5">
        <v>50</v>
      </c>
      <c r="B1164" s="5">
        <v>0</v>
      </c>
      <c r="C1164" s="5">
        <v>0</v>
      </c>
      <c r="D1164" s="5">
        <v>1</v>
      </c>
      <c r="E1164" s="5">
        <v>228</v>
      </c>
      <c r="F1164" s="5">
        <f>ROUND(Source!AY1156,O1164)</f>
        <v>525.21</v>
      </c>
      <c r="G1164" s="5" t="s">
        <v>38</v>
      </c>
      <c r="H1164" s="5" t="s">
        <v>39</v>
      </c>
      <c r="I1164" s="5"/>
      <c r="J1164" s="5"/>
      <c r="K1164" s="5">
        <v>228</v>
      </c>
      <c r="L1164" s="5">
        <v>7</v>
      </c>
      <c r="M1164" s="5">
        <v>3</v>
      </c>
      <c r="N1164" s="5" t="s">
        <v>3</v>
      </c>
      <c r="O1164" s="5">
        <v>2</v>
      </c>
      <c r="P1164" s="5">
        <f>ROUND(Source!EQ1156,O1164)</f>
        <v>2983.67</v>
      </c>
      <c r="Q1164" s="5"/>
      <c r="R1164" s="5"/>
      <c r="S1164" s="5"/>
      <c r="T1164" s="5"/>
      <c r="U1164" s="5"/>
      <c r="V1164" s="5"/>
      <c r="W1164" s="5">
        <v>525.21</v>
      </c>
      <c r="X1164" s="5">
        <v>1</v>
      </c>
      <c r="Y1164" s="5">
        <v>525.21</v>
      </c>
      <c r="Z1164" s="5">
        <v>2983.67</v>
      </c>
      <c r="AA1164" s="5">
        <v>1</v>
      </c>
      <c r="AB1164" s="5">
        <v>2983.67</v>
      </c>
    </row>
    <row r="1165" spans="1:255" x14ac:dyDescent="0.2">
      <c r="A1165" s="5">
        <v>50</v>
      </c>
      <c r="B1165" s="5">
        <v>0</v>
      </c>
      <c r="C1165" s="5">
        <v>0</v>
      </c>
      <c r="D1165" s="5">
        <v>1</v>
      </c>
      <c r="E1165" s="5">
        <v>216</v>
      </c>
      <c r="F1165" s="5">
        <f>ROUND(Source!AP1156,O1165)</f>
        <v>0</v>
      </c>
      <c r="G1165" s="5" t="s">
        <v>40</v>
      </c>
      <c r="H1165" s="5" t="s">
        <v>41</v>
      </c>
      <c r="I1165" s="5"/>
      <c r="J1165" s="5"/>
      <c r="K1165" s="5">
        <v>216</v>
      </c>
      <c r="L1165" s="5">
        <v>8</v>
      </c>
      <c r="M1165" s="5">
        <v>3</v>
      </c>
      <c r="N1165" s="5" t="s">
        <v>3</v>
      </c>
      <c r="O1165" s="5">
        <v>2</v>
      </c>
      <c r="P1165" s="5">
        <f>ROUND(Source!EH1156,O1165)</f>
        <v>0</v>
      </c>
      <c r="Q1165" s="5"/>
      <c r="R1165" s="5"/>
      <c r="S1165" s="5"/>
      <c r="T1165" s="5"/>
      <c r="U1165" s="5"/>
      <c r="V1165" s="5"/>
      <c r="W1165" s="5">
        <v>0</v>
      </c>
      <c r="X1165" s="5">
        <v>1</v>
      </c>
      <c r="Y1165" s="5">
        <v>0</v>
      </c>
      <c r="Z1165" s="5">
        <v>0</v>
      </c>
      <c r="AA1165" s="5">
        <v>1</v>
      </c>
      <c r="AB1165" s="5">
        <v>0</v>
      </c>
    </row>
    <row r="1166" spans="1:255" x14ac:dyDescent="0.2">
      <c r="A1166" s="5">
        <v>50</v>
      </c>
      <c r="B1166" s="5">
        <v>0</v>
      </c>
      <c r="C1166" s="5">
        <v>0</v>
      </c>
      <c r="D1166" s="5">
        <v>1</v>
      </c>
      <c r="E1166" s="5">
        <v>223</v>
      </c>
      <c r="F1166" s="5">
        <f>ROUND(Source!AQ1156,O1166)</f>
        <v>0</v>
      </c>
      <c r="G1166" s="5" t="s">
        <v>42</v>
      </c>
      <c r="H1166" s="5" t="s">
        <v>43</v>
      </c>
      <c r="I1166" s="5"/>
      <c r="J1166" s="5"/>
      <c r="K1166" s="5">
        <v>223</v>
      </c>
      <c r="L1166" s="5">
        <v>9</v>
      </c>
      <c r="M1166" s="5">
        <v>3</v>
      </c>
      <c r="N1166" s="5" t="s">
        <v>3</v>
      </c>
      <c r="O1166" s="5">
        <v>2</v>
      </c>
      <c r="P1166" s="5">
        <f>ROUND(Source!EI1156,O1166)</f>
        <v>0</v>
      </c>
      <c r="Q1166" s="5"/>
      <c r="R1166" s="5"/>
      <c r="S1166" s="5"/>
      <c r="T1166" s="5"/>
      <c r="U1166" s="5"/>
      <c r="V1166" s="5"/>
      <c r="W1166" s="5">
        <v>0</v>
      </c>
      <c r="X1166" s="5">
        <v>1</v>
      </c>
      <c r="Y1166" s="5">
        <v>0</v>
      </c>
      <c r="Z1166" s="5">
        <v>0</v>
      </c>
      <c r="AA1166" s="5">
        <v>1</v>
      </c>
      <c r="AB1166" s="5">
        <v>0</v>
      </c>
    </row>
    <row r="1167" spans="1:255" x14ac:dyDescent="0.2">
      <c r="A1167" s="5">
        <v>50</v>
      </c>
      <c r="B1167" s="5">
        <v>0</v>
      </c>
      <c r="C1167" s="5">
        <v>0</v>
      </c>
      <c r="D1167" s="5">
        <v>1</v>
      </c>
      <c r="E1167" s="5">
        <v>229</v>
      </c>
      <c r="F1167" s="5">
        <f>ROUND(Source!AZ1156,O1167)</f>
        <v>0</v>
      </c>
      <c r="G1167" s="5" t="s">
        <v>44</v>
      </c>
      <c r="H1167" s="5" t="s">
        <v>45</v>
      </c>
      <c r="I1167" s="5"/>
      <c r="J1167" s="5"/>
      <c r="K1167" s="5">
        <v>229</v>
      </c>
      <c r="L1167" s="5">
        <v>10</v>
      </c>
      <c r="M1167" s="5">
        <v>3</v>
      </c>
      <c r="N1167" s="5" t="s">
        <v>3</v>
      </c>
      <c r="O1167" s="5">
        <v>2</v>
      </c>
      <c r="P1167" s="5">
        <f>ROUND(Source!ER1156,O1167)</f>
        <v>0</v>
      </c>
      <c r="Q1167" s="5"/>
      <c r="R1167" s="5"/>
      <c r="S1167" s="5"/>
      <c r="T1167" s="5"/>
      <c r="U1167" s="5"/>
      <c r="V1167" s="5"/>
      <c r="W1167" s="5">
        <v>0</v>
      </c>
      <c r="X1167" s="5">
        <v>1</v>
      </c>
      <c r="Y1167" s="5">
        <v>0</v>
      </c>
      <c r="Z1167" s="5">
        <v>0</v>
      </c>
      <c r="AA1167" s="5">
        <v>1</v>
      </c>
      <c r="AB1167" s="5">
        <v>0</v>
      </c>
    </row>
    <row r="1168" spans="1:255" x14ac:dyDescent="0.2">
      <c r="A1168" s="5">
        <v>50</v>
      </c>
      <c r="B1168" s="5">
        <v>0</v>
      </c>
      <c r="C1168" s="5">
        <v>0</v>
      </c>
      <c r="D1168" s="5">
        <v>1</v>
      </c>
      <c r="E1168" s="5">
        <v>203</v>
      </c>
      <c r="F1168" s="5">
        <f>ROUND(Source!Q1156,O1168)</f>
        <v>0.85</v>
      </c>
      <c r="G1168" s="5" t="s">
        <v>46</v>
      </c>
      <c r="H1168" s="5" t="s">
        <v>47</v>
      </c>
      <c r="I1168" s="5"/>
      <c r="J1168" s="5"/>
      <c r="K1168" s="5">
        <v>203</v>
      </c>
      <c r="L1168" s="5">
        <v>11</v>
      </c>
      <c r="M1168" s="5">
        <v>3</v>
      </c>
      <c r="N1168" s="5" t="s">
        <v>3</v>
      </c>
      <c r="O1168" s="5">
        <v>2</v>
      </c>
      <c r="P1168" s="5">
        <f>ROUND(Source!DI1156,O1168)</f>
        <v>11.55</v>
      </c>
      <c r="Q1168" s="5"/>
      <c r="R1168" s="5"/>
      <c r="S1168" s="5"/>
      <c r="T1168" s="5"/>
      <c r="U1168" s="5"/>
      <c r="V1168" s="5"/>
      <c r="W1168" s="5">
        <v>0.85</v>
      </c>
      <c r="X1168" s="5">
        <v>1</v>
      </c>
      <c r="Y1168" s="5">
        <v>0.85</v>
      </c>
      <c r="Z1168" s="5">
        <v>11.55</v>
      </c>
      <c r="AA1168" s="5">
        <v>1</v>
      </c>
      <c r="AB1168" s="5">
        <v>11.55</v>
      </c>
    </row>
    <row r="1169" spans="1:28" x14ac:dyDescent="0.2">
      <c r="A1169" s="5">
        <v>50</v>
      </c>
      <c r="B1169" s="5">
        <v>0</v>
      </c>
      <c r="C1169" s="5">
        <v>0</v>
      </c>
      <c r="D1169" s="5">
        <v>1</v>
      </c>
      <c r="E1169" s="5">
        <v>231</v>
      </c>
      <c r="F1169" s="5">
        <f>ROUND(Source!BB1156,O1169)</f>
        <v>0</v>
      </c>
      <c r="G1169" s="5" t="s">
        <v>48</v>
      </c>
      <c r="H1169" s="5" t="s">
        <v>49</v>
      </c>
      <c r="I1169" s="5"/>
      <c r="J1169" s="5"/>
      <c r="K1169" s="5">
        <v>231</v>
      </c>
      <c r="L1169" s="5">
        <v>12</v>
      </c>
      <c r="M1169" s="5">
        <v>3</v>
      </c>
      <c r="N1169" s="5" t="s">
        <v>3</v>
      </c>
      <c r="O1169" s="5">
        <v>2</v>
      </c>
      <c r="P1169" s="5">
        <f>ROUND(Source!ET1156,O1169)</f>
        <v>0</v>
      </c>
      <c r="Q1169" s="5"/>
      <c r="R1169" s="5"/>
      <c r="S1169" s="5"/>
      <c r="T1169" s="5"/>
      <c r="U1169" s="5"/>
      <c r="V1169" s="5"/>
      <c r="W1169" s="5">
        <v>0</v>
      </c>
      <c r="X1169" s="5">
        <v>1</v>
      </c>
      <c r="Y1169" s="5">
        <v>0</v>
      </c>
      <c r="Z1169" s="5">
        <v>0</v>
      </c>
      <c r="AA1169" s="5">
        <v>1</v>
      </c>
      <c r="AB1169" s="5">
        <v>0</v>
      </c>
    </row>
    <row r="1170" spans="1:28" x14ac:dyDescent="0.2">
      <c r="A1170" s="5">
        <v>50</v>
      </c>
      <c r="B1170" s="5">
        <v>0</v>
      </c>
      <c r="C1170" s="5">
        <v>0</v>
      </c>
      <c r="D1170" s="5">
        <v>1</v>
      </c>
      <c r="E1170" s="5">
        <v>204</v>
      </c>
      <c r="F1170" s="5">
        <f>ROUND(Source!R1156,O1170)</f>
        <v>0.21</v>
      </c>
      <c r="G1170" s="5" t="s">
        <v>50</v>
      </c>
      <c r="H1170" s="5" t="s">
        <v>51</v>
      </c>
      <c r="I1170" s="5"/>
      <c r="J1170" s="5"/>
      <c r="K1170" s="5">
        <v>204</v>
      </c>
      <c r="L1170" s="5">
        <v>13</v>
      </c>
      <c r="M1170" s="5">
        <v>3</v>
      </c>
      <c r="N1170" s="5" t="s">
        <v>3</v>
      </c>
      <c r="O1170" s="5">
        <v>2</v>
      </c>
      <c r="P1170" s="5">
        <f>ROUND(Source!DJ1156,O1170)</f>
        <v>6.09</v>
      </c>
      <c r="Q1170" s="5"/>
      <c r="R1170" s="5"/>
      <c r="S1170" s="5"/>
      <c r="T1170" s="5"/>
      <c r="U1170" s="5"/>
      <c r="V1170" s="5"/>
      <c r="W1170" s="5">
        <v>0.21</v>
      </c>
      <c r="X1170" s="5">
        <v>1</v>
      </c>
      <c r="Y1170" s="5">
        <v>0.21</v>
      </c>
      <c r="Z1170" s="5">
        <v>6.09</v>
      </c>
      <c r="AA1170" s="5">
        <v>1</v>
      </c>
      <c r="AB1170" s="5">
        <v>6.09</v>
      </c>
    </row>
    <row r="1171" spans="1:28" x14ac:dyDescent="0.2">
      <c r="A1171" s="5">
        <v>50</v>
      </c>
      <c r="B1171" s="5">
        <v>0</v>
      </c>
      <c r="C1171" s="5">
        <v>0</v>
      </c>
      <c r="D1171" s="5">
        <v>1</v>
      </c>
      <c r="E1171" s="5">
        <v>205</v>
      </c>
      <c r="F1171" s="5">
        <f>ROUND(Source!S1156,O1171)</f>
        <v>46.4</v>
      </c>
      <c r="G1171" s="5" t="s">
        <v>52</v>
      </c>
      <c r="H1171" s="5" t="s">
        <v>53</v>
      </c>
      <c r="I1171" s="5"/>
      <c r="J1171" s="5"/>
      <c r="K1171" s="5">
        <v>205</v>
      </c>
      <c r="L1171" s="5">
        <v>14</v>
      </c>
      <c r="M1171" s="5">
        <v>3</v>
      </c>
      <c r="N1171" s="5" t="s">
        <v>3</v>
      </c>
      <c r="O1171" s="5">
        <v>2</v>
      </c>
      <c r="P1171" s="5">
        <f>ROUND(Source!DK1156,O1171)</f>
        <v>1346.99</v>
      </c>
      <c r="Q1171" s="5"/>
      <c r="R1171" s="5"/>
      <c r="S1171" s="5"/>
      <c r="T1171" s="5"/>
      <c r="U1171" s="5"/>
      <c r="V1171" s="5"/>
      <c r="W1171" s="5">
        <v>46.4</v>
      </c>
      <c r="X1171" s="5">
        <v>1</v>
      </c>
      <c r="Y1171" s="5">
        <v>46.4</v>
      </c>
      <c r="Z1171" s="5">
        <v>1346.99</v>
      </c>
      <c r="AA1171" s="5">
        <v>1</v>
      </c>
      <c r="AB1171" s="5">
        <v>1346.99</v>
      </c>
    </row>
    <row r="1172" spans="1:28" x14ac:dyDescent="0.2">
      <c r="A1172" s="5">
        <v>50</v>
      </c>
      <c r="B1172" s="5">
        <v>0</v>
      </c>
      <c r="C1172" s="5">
        <v>0</v>
      </c>
      <c r="D1172" s="5">
        <v>1</v>
      </c>
      <c r="E1172" s="5">
        <v>232</v>
      </c>
      <c r="F1172" s="5">
        <f>ROUND(Source!BC1156,O1172)</f>
        <v>0</v>
      </c>
      <c r="G1172" s="5" t="s">
        <v>54</v>
      </c>
      <c r="H1172" s="5" t="s">
        <v>55</v>
      </c>
      <c r="I1172" s="5"/>
      <c r="J1172" s="5"/>
      <c r="K1172" s="5">
        <v>232</v>
      </c>
      <c r="L1172" s="5">
        <v>15</v>
      </c>
      <c r="M1172" s="5">
        <v>3</v>
      </c>
      <c r="N1172" s="5" t="s">
        <v>3</v>
      </c>
      <c r="O1172" s="5">
        <v>2</v>
      </c>
      <c r="P1172" s="5">
        <f>ROUND(Source!EU1156,O1172)</f>
        <v>0</v>
      </c>
      <c r="Q1172" s="5"/>
      <c r="R1172" s="5"/>
      <c r="S1172" s="5"/>
      <c r="T1172" s="5"/>
      <c r="U1172" s="5"/>
      <c r="V1172" s="5"/>
      <c r="W1172" s="5">
        <v>0</v>
      </c>
      <c r="X1172" s="5">
        <v>1</v>
      </c>
      <c r="Y1172" s="5">
        <v>0</v>
      </c>
      <c r="Z1172" s="5">
        <v>0</v>
      </c>
      <c r="AA1172" s="5">
        <v>1</v>
      </c>
      <c r="AB1172" s="5">
        <v>0</v>
      </c>
    </row>
    <row r="1173" spans="1:28" x14ac:dyDescent="0.2">
      <c r="A1173" s="5">
        <v>50</v>
      </c>
      <c r="B1173" s="5">
        <v>0</v>
      </c>
      <c r="C1173" s="5">
        <v>0</v>
      </c>
      <c r="D1173" s="5">
        <v>1</v>
      </c>
      <c r="E1173" s="5">
        <v>214</v>
      </c>
      <c r="F1173" s="5">
        <f>ROUND(Source!AS1156,O1173)</f>
        <v>658.2</v>
      </c>
      <c r="G1173" s="5" t="s">
        <v>56</v>
      </c>
      <c r="H1173" s="5" t="s">
        <v>57</v>
      </c>
      <c r="I1173" s="5"/>
      <c r="J1173" s="5"/>
      <c r="K1173" s="5">
        <v>214</v>
      </c>
      <c r="L1173" s="5">
        <v>16</v>
      </c>
      <c r="M1173" s="5">
        <v>3</v>
      </c>
      <c r="N1173" s="5" t="s">
        <v>3</v>
      </c>
      <c r="O1173" s="5">
        <v>2</v>
      </c>
      <c r="P1173" s="5">
        <f>ROUND(Source!EK1156,O1173)</f>
        <v>6116.51</v>
      </c>
      <c r="Q1173" s="5"/>
      <c r="R1173" s="5"/>
      <c r="S1173" s="5"/>
      <c r="T1173" s="5"/>
      <c r="U1173" s="5"/>
      <c r="V1173" s="5"/>
      <c r="W1173" s="5">
        <v>658.2</v>
      </c>
      <c r="X1173" s="5">
        <v>1</v>
      </c>
      <c r="Y1173" s="5">
        <v>658.2</v>
      </c>
      <c r="Z1173" s="5">
        <v>6116.51</v>
      </c>
      <c r="AA1173" s="5">
        <v>1</v>
      </c>
      <c r="AB1173" s="5">
        <v>6116.51</v>
      </c>
    </row>
    <row r="1174" spans="1:28" x14ac:dyDescent="0.2">
      <c r="A1174" s="5">
        <v>50</v>
      </c>
      <c r="B1174" s="5">
        <v>0</v>
      </c>
      <c r="C1174" s="5">
        <v>0</v>
      </c>
      <c r="D1174" s="5">
        <v>1</v>
      </c>
      <c r="E1174" s="5">
        <v>215</v>
      </c>
      <c r="F1174" s="5">
        <f>ROUND(Source!AT1156,O1174)</f>
        <v>0</v>
      </c>
      <c r="G1174" s="5" t="s">
        <v>58</v>
      </c>
      <c r="H1174" s="5" t="s">
        <v>59</v>
      </c>
      <c r="I1174" s="5"/>
      <c r="J1174" s="5"/>
      <c r="K1174" s="5">
        <v>215</v>
      </c>
      <c r="L1174" s="5">
        <v>17</v>
      </c>
      <c r="M1174" s="5">
        <v>3</v>
      </c>
      <c r="N1174" s="5" t="s">
        <v>3</v>
      </c>
      <c r="O1174" s="5">
        <v>2</v>
      </c>
      <c r="P1174" s="5">
        <f>ROUND(Source!EL1156,O1174)</f>
        <v>0</v>
      </c>
      <c r="Q1174" s="5"/>
      <c r="R1174" s="5"/>
      <c r="S1174" s="5"/>
      <c r="T1174" s="5"/>
      <c r="U1174" s="5"/>
      <c r="V1174" s="5"/>
      <c r="W1174" s="5">
        <v>0</v>
      </c>
      <c r="X1174" s="5">
        <v>1</v>
      </c>
      <c r="Y1174" s="5">
        <v>0</v>
      </c>
      <c r="Z1174" s="5">
        <v>0</v>
      </c>
      <c r="AA1174" s="5">
        <v>1</v>
      </c>
      <c r="AB1174" s="5">
        <v>0</v>
      </c>
    </row>
    <row r="1175" spans="1:28" x14ac:dyDescent="0.2">
      <c r="A1175" s="5">
        <v>50</v>
      </c>
      <c r="B1175" s="5">
        <v>0</v>
      </c>
      <c r="C1175" s="5">
        <v>0</v>
      </c>
      <c r="D1175" s="5">
        <v>1</v>
      </c>
      <c r="E1175" s="5">
        <v>217</v>
      </c>
      <c r="F1175" s="5">
        <f>ROUND(Source!AU1156,O1175)</f>
        <v>0</v>
      </c>
      <c r="G1175" s="5" t="s">
        <v>60</v>
      </c>
      <c r="H1175" s="5" t="s">
        <v>61</v>
      </c>
      <c r="I1175" s="5"/>
      <c r="J1175" s="5"/>
      <c r="K1175" s="5">
        <v>217</v>
      </c>
      <c r="L1175" s="5">
        <v>18</v>
      </c>
      <c r="M1175" s="5">
        <v>3</v>
      </c>
      <c r="N1175" s="5" t="s">
        <v>3</v>
      </c>
      <c r="O1175" s="5">
        <v>2</v>
      </c>
      <c r="P1175" s="5">
        <f>ROUND(Source!EM1156,O1175)</f>
        <v>0</v>
      </c>
      <c r="Q1175" s="5"/>
      <c r="R1175" s="5"/>
      <c r="S1175" s="5"/>
      <c r="T1175" s="5"/>
      <c r="U1175" s="5"/>
      <c r="V1175" s="5"/>
      <c r="W1175" s="5">
        <v>0</v>
      </c>
      <c r="X1175" s="5">
        <v>1</v>
      </c>
      <c r="Y1175" s="5">
        <v>0</v>
      </c>
      <c r="Z1175" s="5">
        <v>0</v>
      </c>
      <c r="AA1175" s="5">
        <v>1</v>
      </c>
      <c r="AB1175" s="5">
        <v>0</v>
      </c>
    </row>
    <row r="1176" spans="1:28" x14ac:dyDescent="0.2">
      <c r="A1176" s="5">
        <v>50</v>
      </c>
      <c r="B1176" s="5">
        <v>0</v>
      </c>
      <c r="C1176" s="5">
        <v>0</v>
      </c>
      <c r="D1176" s="5">
        <v>1</v>
      </c>
      <c r="E1176" s="5">
        <v>230</v>
      </c>
      <c r="F1176" s="5">
        <f>ROUND(Source!BA1156,O1176)</f>
        <v>0</v>
      </c>
      <c r="G1176" s="5" t="s">
        <v>62</v>
      </c>
      <c r="H1176" s="5" t="s">
        <v>63</v>
      </c>
      <c r="I1176" s="5"/>
      <c r="J1176" s="5"/>
      <c r="K1176" s="5">
        <v>230</v>
      </c>
      <c r="L1176" s="5">
        <v>19</v>
      </c>
      <c r="M1176" s="5">
        <v>3</v>
      </c>
      <c r="N1176" s="5" t="s">
        <v>3</v>
      </c>
      <c r="O1176" s="5">
        <v>2</v>
      </c>
      <c r="P1176" s="5">
        <f>ROUND(Source!ES1156,O1176)</f>
        <v>0</v>
      </c>
      <c r="Q1176" s="5"/>
      <c r="R1176" s="5"/>
      <c r="S1176" s="5"/>
      <c r="T1176" s="5"/>
      <c r="U1176" s="5"/>
      <c r="V1176" s="5"/>
      <c r="W1176" s="5">
        <v>0</v>
      </c>
      <c r="X1176" s="5">
        <v>1</v>
      </c>
      <c r="Y1176" s="5">
        <v>0</v>
      </c>
      <c r="Z1176" s="5">
        <v>0</v>
      </c>
      <c r="AA1176" s="5">
        <v>1</v>
      </c>
      <c r="AB1176" s="5">
        <v>0</v>
      </c>
    </row>
    <row r="1177" spans="1:28" x14ac:dyDescent="0.2">
      <c r="A1177" s="5">
        <v>50</v>
      </c>
      <c r="B1177" s="5">
        <v>0</v>
      </c>
      <c r="C1177" s="5">
        <v>0</v>
      </c>
      <c r="D1177" s="5">
        <v>1</v>
      </c>
      <c r="E1177" s="5">
        <v>206</v>
      </c>
      <c r="F1177" s="5">
        <f>ROUND(Source!T1156,O1177)</f>
        <v>0</v>
      </c>
      <c r="G1177" s="5" t="s">
        <v>64</v>
      </c>
      <c r="H1177" s="5" t="s">
        <v>65</v>
      </c>
      <c r="I1177" s="5"/>
      <c r="J1177" s="5"/>
      <c r="K1177" s="5">
        <v>206</v>
      </c>
      <c r="L1177" s="5">
        <v>20</v>
      </c>
      <c r="M1177" s="5">
        <v>3</v>
      </c>
      <c r="N1177" s="5" t="s">
        <v>3</v>
      </c>
      <c r="O1177" s="5">
        <v>2</v>
      </c>
      <c r="P1177" s="5">
        <f>ROUND(Source!DL1156,O1177)</f>
        <v>0</v>
      </c>
      <c r="Q1177" s="5"/>
      <c r="R1177" s="5"/>
      <c r="S1177" s="5"/>
      <c r="T1177" s="5"/>
      <c r="U1177" s="5"/>
      <c r="V1177" s="5"/>
      <c r="W1177" s="5">
        <v>0</v>
      </c>
      <c r="X1177" s="5">
        <v>1</v>
      </c>
      <c r="Y1177" s="5">
        <v>0</v>
      </c>
      <c r="Z1177" s="5">
        <v>0</v>
      </c>
      <c r="AA1177" s="5">
        <v>1</v>
      </c>
      <c r="AB1177" s="5">
        <v>0</v>
      </c>
    </row>
    <row r="1178" spans="1:28" x14ac:dyDescent="0.2">
      <c r="A1178" s="5">
        <v>50</v>
      </c>
      <c r="B1178" s="5">
        <v>0</v>
      </c>
      <c r="C1178" s="5">
        <v>0</v>
      </c>
      <c r="D1178" s="5">
        <v>1</v>
      </c>
      <c r="E1178" s="5">
        <v>207</v>
      </c>
      <c r="F1178" s="5">
        <f>Source!U1156</f>
        <v>3.6247999999999996</v>
      </c>
      <c r="G1178" s="5" t="s">
        <v>66</v>
      </c>
      <c r="H1178" s="5" t="s">
        <v>67</v>
      </c>
      <c r="I1178" s="5"/>
      <c r="J1178" s="5"/>
      <c r="K1178" s="5">
        <v>207</v>
      </c>
      <c r="L1178" s="5">
        <v>21</v>
      </c>
      <c r="M1178" s="5">
        <v>3</v>
      </c>
      <c r="N1178" s="5" t="s">
        <v>3</v>
      </c>
      <c r="O1178" s="5">
        <v>-1</v>
      </c>
      <c r="P1178" s="5">
        <f>Source!DM1156</f>
        <v>3.6247999999999996</v>
      </c>
      <c r="Q1178" s="5"/>
      <c r="R1178" s="5"/>
      <c r="S1178" s="5"/>
      <c r="T1178" s="5"/>
      <c r="U1178" s="5"/>
      <c r="V1178" s="5"/>
      <c r="W1178" s="5">
        <v>3.6248000000000005</v>
      </c>
      <c r="X1178" s="5">
        <v>1</v>
      </c>
      <c r="Y1178" s="5">
        <v>3.6248000000000005</v>
      </c>
      <c r="Z1178" s="5">
        <v>3.6248000000000005</v>
      </c>
      <c r="AA1178" s="5">
        <v>1</v>
      </c>
      <c r="AB1178" s="5">
        <v>3.6248000000000005</v>
      </c>
    </row>
    <row r="1179" spans="1:28" x14ac:dyDescent="0.2">
      <c r="A1179" s="5">
        <v>50</v>
      </c>
      <c r="B1179" s="5">
        <v>0</v>
      </c>
      <c r="C1179" s="5">
        <v>0</v>
      </c>
      <c r="D1179" s="5">
        <v>1</v>
      </c>
      <c r="E1179" s="5">
        <v>208</v>
      </c>
      <c r="F1179" s="5">
        <f>Source!V1156</f>
        <v>0</v>
      </c>
      <c r="G1179" s="5" t="s">
        <v>68</v>
      </c>
      <c r="H1179" s="5" t="s">
        <v>69</v>
      </c>
      <c r="I1179" s="5"/>
      <c r="J1179" s="5"/>
      <c r="K1179" s="5">
        <v>208</v>
      </c>
      <c r="L1179" s="5">
        <v>22</v>
      </c>
      <c r="M1179" s="5">
        <v>3</v>
      </c>
      <c r="N1179" s="5" t="s">
        <v>3</v>
      </c>
      <c r="O1179" s="5">
        <v>-1</v>
      </c>
      <c r="P1179" s="5">
        <f>Source!DN1156</f>
        <v>0</v>
      </c>
      <c r="Q1179" s="5"/>
      <c r="R1179" s="5"/>
      <c r="S1179" s="5"/>
      <c r="T1179" s="5"/>
      <c r="U1179" s="5"/>
      <c r="V1179" s="5"/>
      <c r="W1179" s="5">
        <v>0</v>
      </c>
      <c r="X1179" s="5">
        <v>1</v>
      </c>
      <c r="Y1179" s="5">
        <v>0</v>
      </c>
      <c r="Z1179" s="5">
        <v>0</v>
      </c>
      <c r="AA1179" s="5">
        <v>1</v>
      </c>
      <c r="AB1179" s="5">
        <v>0</v>
      </c>
    </row>
    <row r="1180" spans="1:28" x14ac:dyDescent="0.2">
      <c r="A1180" s="5">
        <v>50</v>
      </c>
      <c r="B1180" s="5">
        <v>0</v>
      </c>
      <c r="C1180" s="5">
        <v>0</v>
      </c>
      <c r="D1180" s="5">
        <v>1</v>
      </c>
      <c r="E1180" s="5">
        <v>209</v>
      </c>
      <c r="F1180" s="5">
        <f>ROUND(Source!W1156,O1180)</f>
        <v>0</v>
      </c>
      <c r="G1180" s="5" t="s">
        <v>70</v>
      </c>
      <c r="H1180" s="5" t="s">
        <v>71</v>
      </c>
      <c r="I1180" s="5"/>
      <c r="J1180" s="5"/>
      <c r="K1180" s="5">
        <v>209</v>
      </c>
      <c r="L1180" s="5">
        <v>23</v>
      </c>
      <c r="M1180" s="5">
        <v>3</v>
      </c>
      <c r="N1180" s="5" t="s">
        <v>3</v>
      </c>
      <c r="O1180" s="5">
        <v>2</v>
      </c>
      <c r="P1180" s="5">
        <f>ROUND(Source!DO1156,O1180)</f>
        <v>0</v>
      </c>
      <c r="Q1180" s="5"/>
      <c r="R1180" s="5"/>
      <c r="S1180" s="5"/>
      <c r="T1180" s="5"/>
      <c r="U1180" s="5"/>
      <c r="V1180" s="5"/>
      <c r="W1180" s="5">
        <v>0</v>
      </c>
      <c r="X1180" s="5">
        <v>1</v>
      </c>
      <c r="Y1180" s="5">
        <v>0</v>
      </c>
      <c r="Z1180" s="5">
        <v>0</v>
      </c>
      <c r="AA1180" s="5">
        <v>1</v>
      </c>
      <c r="AB1180" s="5">
        <v>0</v>
      </c>
    </row>
    <row r="1181" spans="1:28" x14ac:dyDescent="0.2">
      <c r="A1181" s="5">
        <v>50</v>
      </c>
      <c r="B1181" s="5">
        <v>0</v>
      </c>
      <c r="C1181" s="5">
        <v>0</v>
      </c>
      <c r="D1181" s="5">
        <v>1</v>
      </c>
      <c r="E1181" s="5">
        <v>233</v>
      </c>
      <c r="F1181" s="5">
        <f>ROUND(Source!BD1156,O1181)</f>
        <v>0</v>
      </c>
      <c r="G1181" s="5" t="s">
        <v>72</v>
      </c>
      <c r="H1181" s="5" t="s">
        <v>73</v>
      </c>
      <c r="I1181" s="5"/>
      <c r="J1181" s="5"/>
      <c r="K1181" s="5">
        <v>233</v>
      </c>
      <c r="L1181" s="5">
        <v>24</v>
      </c>
      <c r="M1181" s="5">
        <v>3</v>
      </c>
      <c r="N1181" s="5" t="s">
        <v>3</v>
      </c>
      <c r="O1181" s="5">
        <v>2</v>
      </c>
      <c r="P1181" s="5">
        <f>ROUND(Source!EV1156,O1181)</f>
        <v>0</v>
      </c>
      <c r="Q1181" s="5"/>
      <c r="R1181" s="5"/>
      <c r="S1181" s="5"/>
      <c r="T1181" s="5"/>
      <c r="U1181" s="5"/>
      <c r="V1181" s="5"/>
      <c r="W1181" s="5">
        <v>0</v>
      </c>
      <c r="X1181" s="5">
        <v>1</v>
      </c>
      <c r="Y1181" s="5">
        <v>0</v>
      </c>
      <c r="Z1181" s="5">
        <v>0</v>
      </c>
      <c r="AA1181" s="5">
        <v>1</v>
      </c>
      <c r="AB1181" s="5">
        <v>0</v>
      </c>
    </row>
    <row r="1182" spans="1:28" x14ac:dyDescent="0.2">
      <c r="A1182" s="5">
        <v>50</v>
      </c>
      <c r="B1182" s="5">
        <v>0</v>
      </c>
      <c r="C1182" s="5">
        <v>0</v>
      </c>
      <c r="D1182" s="5">
        <v>1</v>
      </c>
      <c r="E1182" s="5">
        <v>210</v>
      </c>
      <c r="F1182" s="5">
        <f>ROUND(Source!X1156,O1182)</f>
        <v>51.04</v>
      </c>
      <c r="G1182" s="5" t="s">
        <v>74</v>
      </c>
      <c r="H1182" s="5" t="s">
        <v>75</v>
      </c>
      <c r="I1182" s="5"/>
      <c r="J1182" s="5"/>
      <c r="K1182" s="5">
        <v>210</v>
      </c>
      <c r="L1182" s="5">
        <v>25</v>
      </c>
      <c r="M1182" s="5">
        <v>3</v>
      </c>
      <c r="N1182" s="5" t="s">
        <v>3</v>
      </c>
      <c r="O1182" s="5">
        <v>2</v>
      </c>
      <c r="P1182" s="5">
        <f>ROUND(Source!DP1156,O1182)</f>
        <v>1212.29</v>
      </c>
      <c r="Q1182" s="5"/>
      <c r="R1182" s="5"/>
      <c r="S1182" s="5"/>
      <c r="T1182" s="5"/>
      <c r="U1182" s="5"/>
      <c r="V1182" s="5"/>
      <c r="W1182" s="5">
        <v>51.04</v>
      </c>
      <c r="X1182" s="5">
        <v>1</v>
      </c>
      <c r="Y1182" s="5">
        <v>51.04</v>
      </c>
      <c r="Z1182" s="5">
        <v>1212.29</v>
      </c>
      <c r="AA1182" s="5">
        <v>1</v>
      </c>
      <c r="AB1182" s="5">
        <v>1212.29</v>
      </c>
    </row>
    <row r="1183" spans="1:28" x14ac:dyDescent="0.2">
      <c r="A1183" s="5">
        <v>50</v>
      </c>
      <c r="B1183" s="5">
        <v>0</v>
      </c>
      <c r="C1183" s="5">
        <v>0</v>
      </c>
      <c r="D1183" s="5">
        <v>1</v>
      </c>
      <c r="E1183" s="5">
        <v>211</v>
      </c>
      <c r="F1183" s="5">
        <f>ROUND(Source!Y1156,O1183)</f>
        <v>34.33</v>
      </c>
      <c r="G1183" s="5" t="s">
        <v>76</v>
      </c>
      <c r="H1183" s="5" t="s">
        <v>77</v>
      </c>
      <c r="I1183" s="5"/>
      <c r="J1183" s="5"/>
      <c r="K1183" s="5">
        <v>211</v>
      </c>
      <c r="L1183" s="5">
        <v>26</v>
      </c>
      <c r="M1183" s="5">
        <v>3</v>
      </c>
      <c r="N1183" s="5" t="s">
        <v>3</v>
      </c>
      <c r="O1183" s="5">
        <v>2</v>
      </c>
      <c r="P1183" s="5">
        <f>ROUND(Source!DQ1156,O1183)</f>
        <v>552.27</v>
      </c>
      <c r="Q1183" s="5"/>
      <c r="R1183" s="5"/>
      <c r="S1183" s="5"/>
      <c r="T1183" s="5"/>
      <c r="U1183" s="5"/>
      <c r="V1183" s="5"/>
      <c r="W1183" s="5">
        <v>34.33</v>
      </c>
      <c r="X1183" s="5">
        <v>1</v>
      </c>
      <c r="Y1183" s="5">
        <v>34.33</v>
      </c>
      <c r="Z1183" s="5">
        <v>552.27</v>
      </c>
      <c r="AA1183" s="5">
        <v>1</v>
      </c>
      <c r="AB1183" s="5">
        <v>552.27</v>
      </c>
    </row>
    <row r="1184" spans="1:28" x14ac:dyDescent="0.2">
      <c r="A1184" s="5">
        <v>50</v>
      </c>
      <c r="B1184" s="5">
        <v>0</v>
      </c>
      <c r="C1184" s="5">
        <v>0</v>
      </c>
      <c r="D1184" s="5">
        <v>1</v>
      </c>
      <c r="E1184" s="5">
        <v>224</v>
      </c>
      <c r="F1184" s="5">
        <f>ROUND(Source!AR1156,O1184)</f>
        <v>658.2</v>
      </c>
      <c r="G1184" s="5" t="s">
        <v>78</v>
      </c>
      <c r="H1184" s="5" t="s">
        <v>79</v>
      </c>
      <c r="I1184" s="5"/>
      <c r="J1184" s="5"/>
      <c r="K1184" s="5">
        <v>224</v>
      </c>
      <c r="L1184" s="5">
        <v>27</v>
      </c>
      <c r="M1184" s="5">
        <v>3</v>
      </c>
      <c r="N1184" s="5" t="s">
        <v>3</v>
      </c>
      <c r="O1184" s="5">
        <v>2</v>
      </c>
      <c r="P1184" s="5">
        <f>ROUND(Source!EJ1156,O1184)</f>
        <v>6116.51</v>
      </c>
      <c r="Q1184" s="5"/>
      <c r="R1184" s="5"/>
      <c r="S1184" s="5"/>
      <c r="T1184" s="5"/>
      <c r="U1184" s="5"/>
      <c r="V1184" s="5"/>
      <c r="W1184" s="5">
        <v>658.2</v>
      </c>
      <c r="X1184" s="5">
        <v>1</v>
      </c>
      <c r="Y1184" s="5">
        <v>658.2</v>
      </c>
      <c r="Z1184" s="5">
        <v>6116.51</v>
      </c>
      <c r="AA1184" s="5">
        <v>1</v>
      </c>
      <c r="AB1184" s="5">
        <v>6116.51</v>
      </c>
    </row>
    <row r="1186" spans="1:255" x14ac:dyDescent="0.2">
      <c r="A1186" s="1">
        <v>4</v>
      </c>
      <c r="B1186" s="1">
        <v>1</v>
      </c>
      <c r="C1186" s="1"/>
      <c r="D1186" s="1">
        <f>ROW(A1223)</f>
        <v>1223</v>
      </c>
      <c r="E1186" s="1"/>
      <c r="F1186" s="1" t="s">
        <v>16</v>
      </c>
      <c r="G1186" s="1" t="s">
        <v>950</v>
      </c>
      <c r="H1186" s="1" t="s">
        <v>3</v>
      </c>
      <c r="I1186" s="1">
        <v>0</v>
      </c>
      <c r="J1186" s="1"/>
      <c r="K1186" s="1">
        <v>0</v>
      </c>
      <c r="L1186" s="1"/>
      <c r="M1186" s="1" t="s">
        <v>3</v>
      </c>
      <c r="N1186" s="1"/>
      <c r="O1186" s="1"/>
      <c r="P1186" s="1"/>
      <c r="Q1186" s="1"/>
      <c r="R1186" s="1"/>
      <c r="S1186" s="1">
        <v>0</v>
      </c>
      <c r="T1186" s="1">
        <v>0</v>
      </c>
      <c r="U1186" s="1" t="s">
        <v>3</v>
      </c>
      <c r="V1186" s="1">
        <v>0</v>
      </c>
      <c r="W1186" s="1"/>
      <c r="X1186" s="1"/>
      <c r="Y1186" s="1"/>
      <c r="Z1186" s="1"/>
      <c r="AA1186" s="1"/>
      <c r="AB1186" s="1" t="s">
        <v>3</v>
      </c>
      <c r="AC1186" s="1" t="s">
        <v>3</v>
      </c>
      <c r="AD1186" s="1" t="s">
        <v>3</v>
      </c>
      <c r="AE1186" s="1" t="s">
        <v>3</v>
      </c>
      <c r="AF1186" s="1" t="s">
        <v>3</v>
      </c>
      <c r="AG1186" s="1" t="s">
        <v>3</v>
      </c>
      <c r="AH1186" s="1"/>
      <c r="AI1186" s="1"/>
      <c r="AJ1186" s="1"/>
      <c r="AK1186" s="1"/>
      <c r="AL1186" s="1"/>
      <c r="AM1186" s="1"/>
      <c r="AN1186" s="1"/>
      <c r="AO1186" s="1"/>
      <c r="AP1186" s="1" t="s">
        <v>3</v>
      </c>
      <c r="AQ1186" s="1" t="s">
        <v>3</v>
      </c>
      <c r="AR1186" s="1" t="s">
        <v>3</v>
      </c>
      <c r="AS1186" s="1"/>
      <c r="AT1186" s="1"/>
      <c r="AU1186" s="1"/>
      <c r="AV1186" s="1"/>
      <c r="AW1186" s="1"/>
      <c r="AX1186" s="1"/>
      <c r="AY1186" s="1"/>
      <c r="AZ1186" s="1" t="s">
        <v>3</v>
      </c>
      <c r="BA1186" s="1"/>
      <c r="BB1186" s="1" t="s">
        <v>3</v>
      </c>
      <c r="BC1186" s="1" t="s">
        <v>3</v>
      </c>
      <c r="BD1186" s="1" t="s">
        <v>3</v>
      </c>
      <c r="BE1186" s="1" t="s">
        <v>3</v>
      </c>
      <c r="BF1186" s="1" t="s">
        <v>3</v>
      </c>
      <c r="BG1186" s="1" t="s">
        <v>3</v>
      </c>
      <c r="BH1186" s="1" t="s">
        <v>3</v>
      </c>
      <c r="BI1186" s="1" t="s">
        <v>3</v>
      </c>
      <c r="BJ1186" s="1" t="s">
        <v>3</v>
      </c>
      <c r="BK1186" s="1" t="s">
        <v>3</v>
      </c>
      <c r="BL1186" s="1" t="s">
        <v>3</v>
      </c>
      <c r="BM1186" s="1" t="s">
        <v>3</v>
      </c>
      <c r="BN1186" s="1" t="s">
        <v>3</v>
      </c>
      <c r="BO1186" s="1" t="s">
        <v>3</v>
      </c>
      <c r="BP1186" s="1" t="s">
        <v>3</v>
      </c>
      <c r="BQ1186" s="1"/>
      <c r="BR1186" s="1"/>
      <c r="BS1186" s="1"/>
      <c r="BT1186" s="1"/>
      <c r="BU1186" s="1"/>
      <c r="BV1186" s="1"/>
      <c r="BW1186" s="1"/>
      <c r="BX1186" s="1">
        <v>0</v>
      </c>
      <c r="BY1186" s="1"/>
      <c r="BZ1186" s="1"/>
      <c r="CA1186" s="1"/>
      <c r="CB1186" s="1"/>
      <c r="CC1186" s="1"/>
      <c r="CD1186" s="1"/>
      <c r="CE1186" s="1"/>
      <c r="CF1186" s="1"/>
      <c r="CG1186" s="1"/>
      <c r="CH1186" s="1"/>
      <c r="CI1186" s="1"/>
      <c r="CJ1186" s="1">
        <v>0</v>
      </c>
    </row>
    <row r="1188" spans="1:255" x14ac:dyDescent="0.2">
      <c r="A1188" s="3">
        <v>52</v>
      </c>
      <c r="B1188" s="3">
        <f t="shared" ref="B1188:G1188" si="1005">B1223</f>
        <v>1</v>
      </c>
      <c r="C1188" s="3">
        <f t="shared" si="1005"/>
        <v>4</v>
      </c>
      <c r="D1188" s="3">
        <f t="shared" si="1005"/>
        <v>1186</v>
      </c>
      <c r="E1188" s="3">
        <f t="shared" si="1005"/>
        <v>0</v>
      </c>
      <c r="F1188" s="3" t="str">
        <f t="shared" si="1005"/>
        <v>Новый раздел</v>
      </c>
      <c r="G1188" s="3" t="str">
        <f t="shared" si="1005"/>
        <v>Приборы и оборудование</v>
      </c>
      <c r="H1188" s="3"/>
      <c r="I1188" s="3"/>
      <c r="J1188" s="3"/>
      <c r="K1188" s="3"/>
      <c r="L1188" s="3"/>
      <c r="M1188" s="3"/>
      <c r="N1188" s="3"/>
      <c r="O1188" s="3">
        <f t="shared" ref="O1188:AT1188" si="1006">O1223</f>
        <v>1067.33</v>
      </c>
      <c r="P1188" s="3">
        <f t="shared" si="1006"/>
        <v>940.6</v>
      </c>
      <c r="Q1188" s="3">
        <f t="shared" si="1006"/>
        <v>14.39</v>
      </c>
      <c r="R1188" s="3">
        <f t="shared" si="1006"/>
        <v>2.91</v>
      </c>
      <c r="S1188" s="3">
        <f t="shared" si="1006"/>
        <v>112.34</v>
      </c>
      <c r="T1188" s="3">
        <f t="shared" si="1006"/>
        <v>0</v>
      </c>
      <c r="U1188" s="3">
        <f t="shared" si="1006"/>
        <v>8.9814999999999987</v>
      </c>
      <c r="V1188" s="3">
        <f t="shared" si="1006"/>
        <v>0</v>
      </c>
      <c r="W1188" s="3">
        <f t="shared" si="1006"/>
        <v>0</v>
      </c>
      <c r="X1188" s="3">
        <f t="shared" si="1006"/>
        <v>123.58</v>
      </c>
      <c r="Y1188" s="3">
        <f t="shared" si="1006"/>
        <v>83.13</v>
      </c>
      <c r="Z1188" s="3">
        <f t="shared" si="1006"/>
        <v>0</v>
      </c>
      <c r="AA1188" s="3">
        <f t="shared" si="1006"/>
        <v>0</v>
      </c>
      <c r="AB1188" s="3">
        <f t="shared" si="1006"/>
        <v>1067.33</v>
      </c>
      <c r="AC1188" s="3">
        <f t="shared" si="1006"/>
        <v>940.6</v>
      </c>
      <c r="AD1188" s="3">
        <f t="shared" si="1006"/>
        <v>14.39</v>
      </c>
      <c r="AE1188" s="3">
        <f t="shared" si="1006"/>
        <v>2.91</v>
      </c>
      <c r="AF1188" s="3">
        <f t="shared" si="1006"/>
        <v>112.34</v>
      </c>
      <c r="AG1188" s="3">
        <f t="shared" si="1006"/>
        <v>0</v>
      </c>
      <c r="AH1188" s="3">
        <f t="shared" si="1006"/>
        <v>8.9814999999999987</v>
      </c>
      <c r="AI1188" s="3">
        <f t="shared" si="1006"/>
        <v>0</v>
      </c>
      <c r="AJ1188" s="3">
        <f t="shared" si="1006"/>
        <v>0</v>
      </c>
      <c r="AK1188" s="3">
        <f t="shared" si="1006"/>
        <v>123.58</v>
      </c>
      <c r="AL1188" s="3">
        <f t="shared" si="1006"/>
        <v>83.13</v>
      </c>
      <c r="AM1188" s="3">
        <f t="shared" si="1006"/>
        <v>0</v>
      </c>
      <c r="AN1188" s="3">
        <f t="shared" si="1006"/>
        <v>0</v>
      </c>
      <c r="AO1188" s="3">
        <f t="shared" si="1006"/>
        <v>0</v>
      </c>
      <c r="AP1188" s="3">
        <f t="shared" si="1006"/>
        <v>0</v>
      </c>
      <c r="AQ1188" s="3">
        <f t="shared" si="1006"/>
        <v>0</v>
      </c>
      <c r="AR1188" s="3">
        <f t="shared" si="1006"/>
        <v>1279.1400000000001</v>
      </c>
      <c r="AS1188" s="3">
        <f t="shared" si="1006"/>
        <v>1279.1400000000001</v>
      </c>
      <c r="AT1188" s="3">
        <f t="shared" si="1006"/>
        <v>0</v>
      </c>
      <c r="AU1188" s="3">
        <f t="shared" ref="AU1188:BZ1188" si="1007">AU1223</f>
        <v>0</v>
      </c>
      <c r="AV1188" s="3">
        <f t="shared" si="1007"/>
        <v>940.6</v>
      </c>
      <c r="AW1188" s="3">
        <f t="shared" si="1007"/>
        <v>940.6</v>
      </c>
      <c r="AX1188" s="3">
        <f t="shared" si="1007"/>
        <v>0</v>
      </c>
      <c r="AY1188" s="3">
        <f t="shared" si="1007"/>
        <v>940.6</v>
      </c>
      <c r="AZ1188" s="3">
        <f t="shared" si="1007"/>
        <v>0</v>
      </c>
      <c r="BA1188" s="3">
        <f t="shared" si="1007"/>
        <v>0</v>
      </c>
      <c r="BB1188" s="3">
        <f t="shared" si="1007"/>
        <v>0</v>
      </c>
      <c r="BC1188" s="3">
        <f t="shared" si="1007"/>
        <v>0</v>
      </c>
      <c r="BD1188" s="3">
        <f t="shared" si="1007"/>
        <v>0</v>
      </c>
      <c r="BE1188" s="3">
        <f t="shared" si="1007"/>
        <v>0</v>
      </c>
      <c r="BF1188" s="3">
        <f t="shared" si="1007"/>
        <v>0</v>
      </c>
      <c r="BG1188" s="3">
        <f t="shared" si="1007"/>
        <v>0</v>
      </c>
      <c r="BH1188" s="3">
        <f t="shared" si="1007"/>
        <v>0</v>
      </c>
      <c r="BI1188" s="3">
        <f t="shared" si="1007"/>
        <v>0</v>
      </c>
      <c r="BJ1188" s="3">
        <f t="shared" si="1007"/>
        <v>0</v>
      </c>
      <c r="BK1188" s="3">
        <f t="shared" si="1007"/>
        <v>0</v>
      </c>
      <c r="BL1188" s="3">
        <f t="shared" si="1007"/>
        <v>0</v>
      </c>
      <c r="BM1188" s="3">
        <f t="shared" si="1007"/>
        <v>0</v>
      </c>
      <c r="BN1188" s="3">
        <f t="shared" si="1007"/>
        <v>0</v>
      </c>
      <c r="BO1188" s="3">
        <f t="shared" si="1007"/>
        <v>0</v>
      </c>
      <c r="BP1188" s="3">
        <f t="shared" si="1007"/>
        <v>0</v>
      </c>
      <c r="BQ1188" s="3">
        <f t="shared" si="1007"/>
        <v>0</v>
      </c>
      <c r="BR1188" s="3">
        <f t="shared" si="1007"/>
        <v>0</v>
      </c>
      <c r="BS1188" s="3">
        <f t="shared" si="1007"/>
        <v>0</v>
      </c>
      <c r="BT1188" s="3">
        <f t="shared" si="1007"/>
        <v>0</v>
      </c>
      <c r="BU1188" s="3">
        <f t="shared" si="1007"/>
        <v>0</v>
      </c>
      <c r="BV1188" s="3">
        <f t="shared" si="1007"/>
        <v>0</v>
      </c>
      <c r="BW1188" s="3">
        <f t="shared" si="1007"/>
        <v>0</v>
      </c>
      <c r="BX1188" s="3">
        <f t="shared" si="1007"/>
        <v>0</v>
      </c>
      <c r="BY1188" s="3">
        <f t="shared" si="1007"/>
        <v>0</v>
      </c>
      <c r="BZ1188" s="3">
        <f t="shared" si="1007"/>
        <v>0</v>
      </c>
      <c r="CA1188" s="3">
        <f t="shared" ref="CA1188:DF1188" si="1008">CA1223</f>
        <v>1279.1400000000001</v>
      </c>
      <c r="CB1188" s="3">
        <f t="shared" si="1008"/>
        <v>1279.1400000000001</v>
      </c>
      <c r="CC1188" s="3">
        <f t="shared" si="1008"/>
        <v>0</v>
      </c>
      <c r="CD1188" s="3">
        <f t="shared" si="1008"/>
        <v>0</v>
      </c>
      <c r="CE1188" s="3">
        <f t="shared" si="1008"/>
        <v>940.6</v>
      </c>
      <c r="CF1188" s="3">
        <f t="shared" si="1008"/>
        <v>940.6</v>
      </c>
      <c r="CG1188" s="3">
        <f t="shared" si="1008"/>
        <v>0</v>
      </c>
      <c r="CH1188" s="3">
        <f t="shared" si="1008"/>
        <v>940.6</v>
      </c>
      <c r="CI1188" s="3">
        <f t="shared" si="1008"/>
        <v>0</v>
      </c>
      <c r="CJ1188" s="3">
        <f t="shared" si="1008"/>
        <v>0</v>
      </c>
      <c r="CK1188" s="3">
        <f t="shared" si="1008"/>
        <v>0</v>
      </c>
      <c r="CL1188" s="3">
        <f t="shared" si="1008"/>
        <v>0</v>
      </c>
      <c r="CM1188" s="3">
        <f t="shared" si="1008"/>
        <v>0</v>
      </c>
      <c r="CN1188" s="3">
        <f t="shared" si="1008"/>
        <v>0</v>
      </c>
      <c r="CO1188" s="3">
        <f t="shared" si="1008"/>
        <v>0</v>
      </c>
      <c r="CP1188" s="3">
        <f t="shared" si="1008"/>
        <v>0</v>
      </c>
      <c r="CQ1188" s="3">
        <f t="shared" si="1008"/>
        <v>0</v>
      </c>
      <c r="CR1188" s="3">
        <f t="shared" si="1008"/>
        <v>0</v>
      </c>
      <c r="CS1188" s="3">
        <f t="shared" si="1008"/>
        <v>0</v>
      </c>
      <c r="CT1188" s="3">
        <f t="shared" si="1008"/>
        <v>0</v>
      </c>
      <c r="CU1188" s="3">
        <f t="shared" si="1008"/>
        <v>0</v>
      </c>
      <c r="CV1188" s="3">
        <f t="shared" si="1008"/>
        <v>0</v>
      </c>
      <c r="CW1188" s="3">
        <f t="shared" si="1008"/>
        <v>0</v>
      </c>
      <c r="CX1188" s="3">
        <f t="shared" si="1008"/>
        <v>0</v>
      </c>
      <c r="CY1188" s="3">
        <f t="shared" si="1008"/>
        <v>0</v>
      </c>
      <c r="CZ1188" s="3">
        <f t="shared" si="1008"/>
        <v>0</v>
      </c>
      <c r="DA1188" s="3">
        <f t="shared" si="1008"/>
        <v>0</v>
      </c>
      <c r="DB1188" s="3">
        <f t="shared" si="1008"/>
        <v>0</v>
      </c>
      <c r="DC1188" s="3">
        <f t="shared" si="1008"/>
        <v>0</v>
      </c>
      <c r="DD1188" s="3">
        <f t="shared" si="1008"/>
        <v>0</v>
      </c>
      <c r="DE1188" s="3">
        <f t="shared" si="1008"/>
        <v>0</v>
      </c>
      <c r="DF1188" s="3">
        <f t="shared" si="1008"/>
        <v>0</v>
      </c>
      <c r="DG1188" s="4">
        <f t="shared" ref="DG1188:EL1188" si="1009">DG1223</f>
        <v>93740.47</v>
      </c>
      <c r="DH1188" s="4">
        <f t="shared" si="1009"/>
        <v>90305.88</v>
      </c>
      <c r="DI1188" s="4">
        <f t="shared" si="1009"/>
        <v>173.35</v>
      </c>
      <c r="DJ1188" s="4">
        <f t="shared" si="1009"/>
        <v>84.47</v>
      </c>
      <c r="DK1188" s="4">
        <f t="shared" si="1009"/>
        <v>3261.24</v>
      </c>
      <c r="DL1188" s="4">
        <f t="shared" si="1009"/>
        <v>0</v>
      </c>
      <c r="DM1188" s="4">
        <f t="shared" si="1009"/>
        <v>8.9814999999999987</v>
      </c>
      <c r="DN1188" s="4">
        <f t="shared" si="1009"/>
        <v>0</v>
      </c>
      <c r="DO1188" s="4">
        <f t="shared" si="1009"/>
        <v>0</v>
      </c>
      <c r="DP1188" s="4">
        <f t="shared" si="1009"/>
        <v>2935.11</v>
      </c>
      <c r="DQ1188" s="4">
        <f t="shared" si="1009"/>
        <v>1337.11</v>
      </c>
      <c r="DR1188" s="4">
        <f t="shared" si="1009"/>
        <v>0</v>
      </c>
      <c r="DS1188" s="4">
        <f t="shared" si="1009"/>
        <v>0</v>
      </c>
      <c r="DT1188" s="4">
        <f t="shared" si="1009"/>
        <v>93740.47</v>
      </c>
      <c r="DU1188" s="4">
        <f t="shared" si="1009"/>
        <v>90305.88</v>
      </c>
      <c r="DV1188" s="4">
        <f t="shared" si="1009"/>
        <v>173.35</v>
      </c>
      <c r="DW1188" s="4">
        <f t="shared" si="1009"/>
        <v>84.47</v>
      </c>
      <c r="DX1188" s="4">
        <f t="shared" si="1009"/>
        <v>3261.24</v>
      </c>
      <c r="DY1188" s="4">
        <f t="shared" si="1009"/>
        <v>0</v>
      </c>
      <c r="DZ1188" s="4">
        <f t="shared" si="1009"/>
        <v>8.9814999999999987</v>
      </c>
      <c r="EA1188" s="4">
        <f t="shared" si="1009"/>
        <v>0</v>
      </c>
      <c r="EB1188" s="4">
        <f t="shared" si="1009"/>
        <v>0</v>
      </c>
      <c r="EC1188" s="4">
        <f t="shared" si="1009"/>
        <v>2935.11</v>
      </c>
      <c r="ED1188" s="4">
        <f t="shared" si="1009"/>
        <v>1337.11</v>
      </c>
      <c r="EE1188" s="4">
        <f t="shared" si="1009"/>
        <v>0</v>
      </c>
      <c r="EF1188" s="4">
        <f t="shared" si="1009"/>
        <v>0</v>
      </c>
      <c r="EG1188" s="4">
        <f t="shared" si="1009"/>
        <v>0</v>
      </c>
      <c r="EH1188" s="4">
        <f t="shared" si="1009"/>
        <v>0</v>
      </c>
      <c r="EI1188" s="4">
        <f t="shared" si="1009"/>
        <v>0</v>
      </c>
      <c r="EJ1188" s="4">
        <f t="shared" si="1009"/>
        <v>98147.839999999997</v>
      </c>
      <c r="EK1188" s="4">
        <f t="shared" si="1009"/>
        <v>98147.839999999997</v>
      </c>
      <c r="EL1188" s="4">
        <f t="shared" si="1009"/>
        <v>0</v>
      </c>
      <c r="EM1188" s="4">
        <f t="shared" ref="EM1188:FR1188" si="1010">EM1223</f>
        <v>0</v>
      </c>
      <c r="EN1188" s="4">
        <f t="shared" si="1010"/>
        <v>90305.88</v>
      </c>
      <c r="EO1188" s="4">
        <f t="shared" si="1010"/>
        <v>90305.88</v>
      </c>
      <c r="EP1188" s="4">
        <f t="shared" si="1010"/>
        <v>0</v>
      </c>
      <c r="EQ1188" s="4">
        <f t="shared" si="1010"/>
        <v>90305.88</v>
      </c>
      <c r="ER1188" s="4">
        <f t="shared" si="1010"/>
        <v>0</v>
      </c>
      <c r="ES1188" s="4">
        <f t="shared" si="1010"/>
        <v>0</v>
      </c>
      <c r="ET1188" s="4">
        <f t="shared" si="1010"/>
        <v>0</v>
      </c>
      <c r="EU1188" s="4">
        <f t="shared" si="1010"/>
        <v>0</v>
      </c>
      <c r="EV1188" s="4">
        <f t="shared" si="1010"/>
        <v>0</v>
      </c>
      <c r="EW1188" s="4">
        <f t="shared" si="1010"/>
        <v>0</v>
      </c>
      <c r="EX1188" s="4">
        <f t="shared" si="1010"/>
        <v>0</v>
      </c>
      <c r="EY1188" s="4">
        <f t="shared" si="1010"/>
        <v>0</v>
      </c>
      <c r="EZ1188" s="4">
        <f t="shared" si="1010"/>
        <v>0</v>
      </c>
      <c r="FA1188" s="4">
        <f t="shared" si="1010"/>
        <v>0</v>
      </c>
      <c r="FB1188" s="4">
        <f t="shared" si="1010"/>
        <v>0</v>
      </c>
      <c r="FC1188" s="4">
        <f t="shared" si="1010"/>
        <v>0</v>
      </c>
      <c r="FD1188" s="4">
        <f t="shared" si="1010"/>
        <v>0</v>
      </c>
      <c r="FE1188" s="4">
        <f t="shared" si="1010"/>
        <v>0</v>
      </c>
      <c r="FF1188" s="4">
        <f t="shared" si="1010"/>
        <v>0</v>
      </c>
      <c r="FG1188" s="4">
        <f t="shared" si="1010"/>
        <v>0</v>
      </c>
      <c r="FH1188" s="4">
        <f t="shared" si="1010"/>
        <v>0</v>
      </c>
      <c r="FI1188" s="4">
        <f t="shared" si="1010"/>
        <v>0</v>
      </c>
      <c r="FJ1188" s="4">
        <f t="shared" si="1010"/>
        <v>0</v>
      </c>
      <c r="FK1188" s="4">
        <f t="shared" si="1010"/>
        <v>0</v>
      </c>
      <c r="FL1188" s="4">
        <f t="shared" si="1010"/>
        <v>0</v>
      </c>
      <c r="FM1188" s="4">
        <f t="shared" si="1010"/>
        <v>0</v>
      </c>
      <c r="FN1188" s="4">
        <f t="shared" si="1010"/>
        <v>0</v>
      </c>
      <c r="FO1188" s="4">
        <f t="shared" si="1010"/>
        <v>0</v>
      </c>
      <c r="FP1188" s="4">
        <f t="shared" si="1010"/>
        <v>0</v>
      </c>
      <c r="FQ1188" s="4">
        <f t="shared" si="1010"/>
        <v>0</v>
      </c>
      <c r="FR1188" s="4">
        <f t="shared" si="1010"/>
        <v>0</v>
      </c>
      <c r="FS1188" s="4">
        <f t="shared" ref="FS1188:GX1188" si="1011">FS1223</f>
        <v>98147.839999999997</v>
      </c>
      <c r="FT1188" s="4">
        <f t="shared" si="1011"/>
        <v>98147.839999999997</v>
      </c>
      <c r="FU1188" s="4">
        <f t="shared" si="1011"/>
        <v>0</v>
      </c>
      <c r="FV1188" s="4">
        <f t="shared" si="1011"/>
        <v>0</v>
      </c>
      <c r="FW1188" s="4">
        <f t="shared" si="1011"/>
        <v>90305.88</v>
      </c>
      <c r="FX1188" s="4">
        <f t="shared" si="1011"/>
        <v>90305.88</v>
      </c>
      <c r="FY1188" s="4">
        <f t="shared" si="1011"/>
        <v>0</v>
      </c>
      <c r="FZ1188" s="4">
        <f t="shared" si="1011"/>
        <v>90305.88</v>
      </c>
      <c r="GA1188" s="4">
        <f t="shared" si="1011"/>
        <v>0</v>
      </c>
      <c r="GB1188" s="4">
        <f t="shared" si="1011"/>
        <v>0</v>
      </c>
      <c r="GC1188" s="4">
        <f t="shared" si="1011"/>
        <v>0</v>
      </c>
      <c r="GD1188" s="4">
        <f t="shared" si="1011"/>
        <v>0</v>
      </c>
      <c r="GE1188" s="4">
        <f t="shared" si="1011"/>
        <v>0</v>
      </c>
      <c r="GF1188" s="4">
        <f t="shared" si="1011"/>
        <v>0</v>
      </c>
      <c r="GG1188" s="4">
        <f t="shared" si="1011"/>
        <v>0</v>
      </c>
      <c r="GH1188" s="4">
        <f t="shared" si="1011"/>
        <v>0</v>
      </c>
      <c r="GI1188" s="4">
        <f t="shared" si="1011"/>
        <v>0</v>
      </c>
      <c r="GJ1188" s="4">
        <f t="shared" si="1011"/>
        <v>0</v>
      </c>
      <c r="GK1188" s="4">
        <f t="shared" si="1011"/>
        <v>0</v>
      </c>
      <c r="GL1188" s="4">
        <f t="shared" si="1011"/>
        <v>0</v>
      </c>
      <c r="GM1188" s="4">
        <f t="shared" si="1011"/>
        <v>0</v>
      </c>
      <c r="GN1188" s="4">
        <f t="shared" si="1011"/>
        <v>0</v>
      </c>
      <c r="GO1188" s="4">
        <f t="shared" si="1011"/>
        <v>0</v>
      </c>
      <c r="GP1188" s="4">
        <f t="shared" si="1011"/>
        <v>0</v>
      </c>
      <c r="GQ1188" s="4">
        <f t="shared" si="1011"/>
        <v>0</v>
      </c>
      <c r="GR1188" s="4">
        <f t="shared" si="1011"/>
        <v>0</v>
      </c>
      <c r="GS1188" s="4">
        <f t="shared" si="1011"/>
        <v>0</v>
      </c>
      <c r="GT1188" s="4">
        <f t="shared" si="1011"/>
        <v>0</v>
      </c>
      <c r="GU1188" s="4">
        <f t="shared" si="1011"/>
        <v>0</v>
      </c>
      <c r="GV1188" s="4">
        <f t="shared" si="1011"/>
        <v>0</v>
      </c>
      <c r="GW1188" s="4">
        <f t="shared" si="1011"/>
        <v>0</v>
      </c>
      <c r="GX1188" s="4">
        <f t="shared" si="1011"/>
        <v>0</v>
      </c>
    </row>
    <row r="1190" spans="1:255" x14ac:dyDescent="0.2">
      <c r="A1190" s="2">
        <v>17</v>
      </c>
      <c r="B1190" s="2">
        <v>1</v>
      </c>
      <c r="C1190" s="2">
        <f>ROW(SmtRes!A1008)</f>
        <v>1008</v>
      </c>
      <c r="D1190" s="2">
        <f>ROW(EtalonRes!A971)</f>
        <v>971</v>
      </c>
      <c r="E1190" s="2" t="s">
        <v>218</v>
      </c>
      <c r="F1190" s="2" t="s">
        <v>951</v>
      </c>
      <c r="G1190" s="2" t="s">
        <v>952</v>
      </c>
      <c r="H1190" s="2" t="s">
        <v>953</v>
      </c>
      <c r="I1190" s="2">
        <v>2</v>
      </c>
      <c r="J1190" s="2">
        <v>0</v>
      </c>
      <c r="K1190" s="2">
        <v>2</v>
      </c>
      <c r="L1190" s="2"/>
      <c r="M1190" s="2"/>
      <c r="N1190" s="2"/>
      <c r="O1190" s="2">
        <f t="shared" ref="O1190:O1221" si="1012">ROUND(CP1190,2)</f>
        <v>88.64</v>
      </c>
      <c r="P1190" s="2">
        <f t="shared" ref="P1190:P1221" si="1013">ROUND((ROUND((AC1190*AW1190*I1190),2)*BC1190),2)</f>
        <v>28.06</v>
      </c>
      <c r="Q1190" s="2">
        <f>(ROUND((ROUND((((ET1190*1.25))*AV1190*I1190),2)*BB1190),2)+ROUND((ROUND(((AE1190-((EU1190*1.25)))*AV1190*I1190),2)*BS1190),2))</f>
        <v>3.98</v>
      </c>
      <c r="R1190" s="2">
        <f t="shared" ref="R1190:R1221" si="1014">ROUND((ROUND((AE1190*AV1190*I1190),2)*BS1190),2)</f>
        <v>0.73</v>
      </c>
      <c r="S1190" s="2">
        <f t="shared" ref="S1190:S1221" si="1015">ROUND((ROUND((AF1190*AV1190*I1190),2)*BA1190),2)</f>
        <v>56.6</v>
      </c>
      <c r="T1190" s="2">
        <f t="shared" ref="T1190:T1221" si="1016">ROUND(CU1190*I1190,2)</f>
        <v>0</v>
      </c>
      <c r="U1190" s="2">
        <f t="shared" ref="U1190:U1221" si="1017">CV1190*I1190</f>
        <v>4.4849999999999994</v>
      </c>
      <c r="V1190" s="2">
        <f t="shared" ref="V1190:V1221" si="1018">CW1190*I1190</f>
        <v>0</v>
      </c>
      <c r="W1190" s="2">
        <f t="shared" ref="W1190:W1221" si="1019">ROUND(CX1190*I1190,2)</f>
        <v>0</v>
      </c>
      <c r="X1190" s="2">
        <f t="shared" ref="X1190:X1221" si="1020">ROUND(CY1190,2)</f>
        <v>62.26</v>
      </c>
      <c r="Y1190" s="2">
        <f t="shared" ref="Y1190:Y1221" si="1021">ROUND(CZ1190,2)</f>
        <v>41.88</v>
      </c>
      <c r="Z1190" s="2"/>
      <c r="AA1190" s="2">
        <v>129761636</v>
      </c>
      <c r="AB1190" s="2">
        <f t="shared" ref="AB1190:AB1221" si="1022">ROUND((AC1190+AD1190+AF1190),6)</f>
        <v>44.319000000000003</v>
      </c>
      <c r="AC1190" s="2">
        <f t="shared" ref="AC1190:AC1221" si="1023">ROUND((ES1190),6)</f>
        <v>14.03</v>
      </c>
      <c r="AD1190" s="2">
        <f>ROUND(((((ET1190*1.25))-((EU1190*1.25)))+AE1190),6)</f>
        <v>1.9875</v>
      </c>
      <c r="AE1190" s="2">
        <f>ROUND(((EU1190*1.25)),6)</f>
        <v>0.36249999999999999</v>
      </c>
      <c r="AF1190" s="2">
        <f>ROUND(((EV1190*1.15)),6)</f>
        <v>28.301500000000001</v>
      </c>
      <c r="AG1190" s="2">
        <f t="shared" ref="AG1190:AG1221" si="1024">ROUND((AP1190),6)</f>
        <v>0</v>
      </c>
      <c r="AH1190" s="2">
        <f>((EW1190*1.15))</f>
        <v>2.2424999999999997</v>
      </c>
      <c r="AI1190" s="2">
        <f>((EX1190*1.25))</f>
        <v>0</v>
      </c>
      <c r="AJ1190" s="2">
        <f t="shared" ref="AJ1190:AJ1221" si="1025">(AS1190)</f>
        <v>0</v>
      </c>
      <c r="AK1190" s="2">
        <v>40.229999999999997</v>
      </c>
      <c r="AL1190" s="2">
        <v>14.03</v>
      </c>
      <c r="AM1190" s="2">
        <v>1.59</v>
      </c>
      <c r="AN1190" s="2">
        <v>0.28999999999999998</v>
      </c>
      <c r="AO1190" s="2">
        <v>24.61</v>
      </c>
      <c r="AP1190" s="2">
        <v>0</v>
      </c>
      <c r="AQ1190" s="2">
        <v>1.95</v>
      </c>
      <c r="AR1190" s="2">
        <v>0</v>
      </c>
      <c r="AS1190" s="2">
        <v>0</v>
      </c>
      <c r="AT1190" s="2">
        <v>110</v>
      </c>
      <c r="AU1190" s="2">
        <v>74</v>
      </c>
      <c r="AV1190" s="2">
        <v>1</v>
      </c>
      <c r="AW1190" s="2">
        <v>1</v>
      </c>
      <c r="AX1190" s="2"/>
      <c r="AY1190" s="2"/>
      <c r="AZ1190" s="2">
        <v>1</v>
      </c>
      <c r="BA1190" s="2">
        <v>1</v>
      </c>
      <c r="BB1190" s="2">
        <v>1</v>
      </c>
      <c r="BC1190" s="2">
        <v>1</v>
      </c>
      <c r="BD1190" s="2" t="s">
        <v>3</v>
      </c>
      <c r="BE1190" s="2" t="s">
        <v>3</v>
      </c>
      <c r="BF1190" s="2" t="s">
        <v>3</v>
      </c>
      <c r="BG1190" s="2" t="s">
        <v>3</v>
      </c>
      <c r="BH1190" s="2">
        <v>0</v>
      </c>
      <c r="BI1190" s="2">
        <v>1</v>
      </c>
      <c r="BJ1190" s="2" t="s">
        <v>954</v>
      </c>
      <c r="BK1190" s="2"/>
      <c r="BL1190" s="2"/>
      <c r="BM1190" s="2">
        <v>136</v>
      </c>
      <c r="BN1190" s="2">
        <v>0</v>
      </c>
      <c r="BO1190" s="2" t="s">
        <v>3</v>
      </c>
      <c r="BP1190" s="2">
        <v>0</v>
      </c>
      <c r="BQ1190" s="2">
        <v>30</v>
      </c>
      <c r="BR1190" s="2">
        <v>0</v>
      </c>
      <c r="BS1190" s="2">
        <v>1</v>
      </c>
      <c r="BT1190" s="2">
        <v>1</v>
      </c>
      <c r="BU1190" s="2">
        <v>1</v>
      </c>
      <c r="BV1190" s="2">
        <v>1</v>
      </c>
      <c r="BW1190" s="2">
        <v>1</v>
      </c>
      <c r="BX1190" s="2">
        <v>1</v>
      </c>
      <c r="BY1190" s="2" t="s">
        <v>3</v>
      </c>
      <c r="BZ1190" s="2">
        <v>110</v>
      </c>
      <c r="CA1190" s="2">
        <v>74</v>
      </c>
      <c r="CB1190" s="2" t="s">
        <v>3</v>
      </c>
      <c r="CC1190" s="2"/>
      <c r="CD1190" s="2"/>
      <c r="CE1190" s="2">
        <v>30</v>
      </c>
      <c r="CF1190" s="2">
        <v>0</v>
      </c>
      <c r="CG1190" s="2">
        <v>0</v>
      </c>
      <c r="CH1190" s="2"/>
      <c r="CI1190" s="2"/>
      <c r="CJ1190" s="2"/>
      <c r="CK1190" s="2"/>
      <c r="CL1190" s="2"/>
      <c r="CM1190" s="2">
        <v>0</v>
      </c>
      <c r="CN1190" s="2" t="s">
        <v>1559</v>
      </c>
      <c r="CO1190" s="2">
        <v>0</v>
      </c>
      <c r="CP1190" s="2">
        <f t="shared" ref="CP1190:CP1221" si="1026">(P1190+Q1190+S1190)</f>
        <v>88.64</v>
      </c>
      <c r="CQ1190" s="2">
        <f t="shared" ref="CQ1190:CQ1221" si="1027">ROUND((ROUND((AC1190*AW1190*1),2)*BC1190),2)</f>
        <v>14.03</v>
      </c>
      <c r="CR1190" s="2">
        <f>(ROUND((ROUND((((ET1190*1.25))*AV1190*1),2)*BB1190),2)+ROUND((ROUND(((AE1190-((EU1190*1.25)))*AV1190*1),2)*BS1190),2))</f>
        <v>1.99</v>
      </c>
      <c r="CS1190" s="2">
        <f t="shared" ref="CS1190:CS1221" si="1028">ROUND((ROUND((AE1190*AV1190*1),2)*BS1190),2)</f>
        <v>0.36</v>
      </c>
      <c r="CT1190" s="2">
        <f t="shared" ref="CT1190:CT1221" si="1029">ROUND((ROUND((AF1190*AV1190*1),2)*BA1190),2)</f>
        <v>28.3</v>
      </c>
      <c r="CU1190" s="2">
        <f t="shared" ref="CU1190:CU1221" si="1030">AG1190</f>
        <v>0</v>
      </c>
      <c r="CV1190" s="2">
        <f t="shared" ref="CV1190:CV1221" si="1031">(AH1190*AV1190)</f>
        <v>2.2424999999999997</v>
      </c>
      <c r="CW1190" s="2">
        <f t="shared" ref="CW1190:CW1221" si="1032">AI1190</f>
        <v>0</v>
      </c>
      <c r="CX1190" s="2">
        <f t="shared" ref="CX1190:CX1221" si="1033">AJ1190</f>
        <v>0</v>
      </c>
      <c r="CY1190" s="2">
        <f>((S1190*BZ1190)/100)</f>
        <v>62.26</v>
      </c>
      <c r="CZ1190" s="2">
        <f>((S1190*CA1190)/100)</f>
        <v>41.884000000000007</v>
      </c>
      <c r="DA1190" s="2"/>
      <c r="DB1190" s="2"/>
      <c r="DC1190" s="2" t="s">
        <v>3</v>
      </c>
      <c r="DD1190" s="2" t="s">
        <v>3</v>
      </c>
      <c r="DE1190" s="2" t="s">
        <v>86</v>
      </c>
      <c r="DF1190" s="2" t="s">
        <v>86</v>
      </c>
      <c r="DG1190" s="2" t="s">
        <v>87</v>
      </c>
      <c r="DH1190" s="2" t="s">
        <v>3</v>
      </c>
      <c r="DI1190" s="2" t="s">
        <v>87</v>
      </c>
      <c r="DJ1190" s="2" t="s">
        <v>86</v>
      </c>
      <c r="DK1190" s="2" t="s">
        <v>3</v>
      </c>
      <c r="DL1190" s="2" t="s">
        <v>3</v>
      </c>
      <c r="DM1190" s="2" t="s">
        <v>3</v>
      </c>
      <c r="DN1190" s="2">
        <v>0</v>
      </c>
      <c r="DO1190" s="2">
        <v>0</v>
      </c>
      <c r="DP1190" s="2">
        <v>1</v>
      </c>
      <c r="DQ1190" s="2">
        <v>1</v>
      </c>
      <c r="DR1190" s="2"/>
      <c r="DS1190" s="2"/>
      <c r="DT1190" s="2"/>
      <c r="DU1190" s="2">
        <v>1013</v>
      </c>
      <c r="DV1190" s="2" t="s">
        <v>953</v>
      </c>
      <c r="DW1190" s="2" t="s">
        <v>953</v>
      </c>
      <c r="DX1190" s="2">
        <v>1</v>
      </c>
      <c r="DY1190" s="2"/>
      <c r="DZ1190" s="2" t="s">
        <v>3</v>
      </c>
      <c r="EA1190" s="2" t="s">
        <v>3</v>
      </c>
      <c r="EB1190" s="2" t="s">
        <v>3</v>
      </c>
      <c r="EC1190" s="2" t="s">
        <v>3</v>
      </c>
      <c r="ED1190" s="2"/>
      <c r="EE1190" s="2">
        <v>126051597</v>
      </c>
      <c r="EF1190" s="2">
        <v>30</v>
      </c>
      <c r="EG1190" s="2" t="s">
        <v>23</v>
      </c>
      <c r="EH1190" s="2">
        <v>0</v>
      </c>
      <c r="EI1190" s="2" t="s">
        <v>3</v>
      </c>
      <c r="EJ1190" s="2">
        <v>1</v>
      </c>
      <c r="EK1190" s="2">
        <v>136</v>
      </c>
      <c r="EL1190" s="2" t="s">
        <v>955</v>
      </c>
      <c r="EM1190" s="2" t="s">
        <v>956</v>
      </c>
      <c r="EN1190" s="2"/>
      <c r="EO1190" s="2" t="s">
        <v>90</v>
      </c>
      <c r="EP1190" s="2"/>
      <c r="EQ1190" s="2">
        <v>131072</v>
      </c>
      <c r="ER1190" s="2">
        <v>40.229999999999997</v>
      </c>
      <c r="ES1190" s="2">
        <v>14.03</v>
      </c>
      <c r="ET1190" s="2">
        <v>1.59</v>
      </c>
      <c r="EU1190" s="2">
        <v>0.28999999999999998</v>
      </c>
      <c r="EV1190" s="2">
        <v>24.61</v>
      </c>
      <c r="EW1190" s="2">
        <v>1.95</v>
      </c>
      <c r="EX1190" s="2">
        <v>0</v>
      </c>
      <c r="EY1190" s="2">
        <v>0</v>
      </c>
      <c r="EZ1190" s="2"/>
      <c r="FA1190" s="2"/>
      <c r="FB1190" s="2"/>
      <c r="FC1190" s="2"/>
      <c r="FD1190" s="2"/>
      <c r="FE1190" s="2"/>
      <c r="FF1190" s="2"/>
      <c r="FG1190" s="2"/>
      <c r="FH1190" s="2"/>
      <c r="FI1190" s="2"/>
      <c r="FJ1190" s="2"/>
      <c r="FK1190" s="2"/>
      <c r="FL1190" s="2"/>
      <c r="FM1190" s="2"/>
      <c r="FN1190" s="2"/>
      <c r="FO1190" s="2"/>
      <c r="FP1190" s="2"/>
      <c r="FQ1190" s="2">
        <v>0</v>
      </c>
      <c r="FR1190" s="2">
        <f t="shared" ref="FR1190:FR1221" si="1034">ROUND(IF(AND(BH1190=3,BI1190=3),P1190,0),2)</f>
        <v>0</v>
      </c>
      <c r="FS1190" s="2">
        <v>0</v>
      </c>
      <c r="FT1190" s="2"/>
      <c r="FU1190" s="2"/>
      <c r="FV1190" s="2"/>
      <c r="FW1190" s="2"/>
      <c r="FX1190" s="2">
        <v>110</v>
      </c>
      <c r="FY1190" s="2">
        <v>74</v>
      </c>
      <c r="FZ1190" s="2"/>
      <c r="GA1190" s="2" t="s">
        <v>3</v>
      </c>
      <c r="GB1190" s="2"/>
      <c r="GC1190" s="2"/>
      <c r="GD1190" s="2">
        <v>0</v>
      </c>
      <c r="GE1190" s="2"/>
      <c r="GF1190" s="2">
        <v>-1766870179</v>
      </c>
      <c r="GG1190" s="2">
        <v>2</v>
      </c>
      <c r="GH1190" s="2">
        <v>1</v>
      </c>
      <c r="GI1190" s="2">
        <v>-2</v>
      </c>
      <c r="GJ1190" s="2">
        <v>0</v>
      </c>
      <c r="GK1190" s="2">
        <f>ROUND(R1190*(R12)/100,2)</f>
        <v>1.28</v>
      </c>
      <c r="GL1190" s="2">
        <f t="shared" ref="GL1190:GL1221" si="1035">ROUND(IF(AND(BH1190=3,BI1190=3,FS1190&lt;&gt;0),P1190,0),2)</f>
        <v>0</v>
      </c>
      <c r="GM1190" s="2">
        <f t="shared" ref="GM1190:GM1221" si="1036">ROUND(O1190+X1190+Y1190+GK1190,2)+GX1190</f>
        <v>194.06</v>
      </c>
      <c r="GN1190" s="2">
        <f t="shared" ref="GN1190:GN1221" si="1037">IF(OR(BI1190=0,BI1190=1),ROUND(O1190+X1190+Y1190+GK1190,2),0)</f>
        <v>194.06</v>
      </c>
      <c r="GO1190" s="2">
        <f t="shared" ref="GO1190:GO1221" si="1038">IF(BI1190=2,ROUND(O1190+X1190+Y1190+GK1190,2),0)</f>
        <v>0</v>
      </c>
      <c r="GP1190" s="2">
        <f t="shared" ref="GP1190:GP1221" si="1039">IF(BI1190=4,ROUND(O1190+X1190+Y1190+GK1190,2)+GX1190,0)</f>
        <v>0</v>
      </c>
      <c r="GQ1190" s="2"/>
      <c r="GR1190" s="2">
        <v>0</v>
      </c>
      <c r="GS1190" s="2">
        <v>0</v>
      </c>
      <c r="GT1190" s="2">
        <v>0</v>
      </c>
      <c r="GU1190" s="2" t="s">
        <v>3</v>
      </c>
      <c r="GV1190" s="2">
        <f t="shared" ref="GV1190:GV1221" si="1040">ROUND((GT1190),6)</f>
        <v>0</v>
      </c>
      <c r="GW1190" s="2">
        <v>1</v>
      </c>
      <c r="GX1190" s="2">
        <f t="shared" ref="GX1190:GX1221" si="1041">ROUND(HC1190*I1190,2)</f>
        <v>0</v>
      </c>
      <c r="GY1190" s="2"/>
      <c r="GZ1190" s="2"/>
      <c r="HA1190" s="2">
        <v>0</v>
      </c>
      <c r="HB1190" s="2">
        <v>0</v>
      </c>
      <c r="HC1190" s="2">
        <f t="shared" ref="HC1190:HC1221" si="1042">GV1190*GW1190</f>
        <v>0</v>
      </c>
      <c r="HD1190" s="2"/>
      <c r="HE1190" s="2" t="s">
        <v>3</v>
      </c>
      <c r="HF1190" s="2" t="s">
        <v>3</v>
      </c>
      <c r="HG1190" s="2"/>
      <c r="HH1190" s="2"/>
      <c r="HI1190" s="2"/>
      <c r="HJ1190" s="2"/>
      <c r="HK1190" s="2"/>
      <c r="HL1190" s="2"/>
      <c r="HM1190" s="2" t="s">
        <v>3</v>
      </c>
      <c r="HN1190" s="2" t="s">
        <v>3</v>
      </c>
      <c r="HO1190" s="2" t="s">
        <v>3</v>
      </c>
      <c r="HP1190" s="2" t="s">
        <v>3</v>
      </c>
      <c r="HQ1190" s="2" t="s">
        <v>3</v>
      </c>
      <c r="HR1190" s="2"/>
      <c r="HS1190" s="2"/>
      <c r="HT1190" s="2"/>
      <c r="HU1190" s="2"/>
      <c r="HV1190" s="2"/>
      <c r="HW1190" s="2"/>
      <c r="HX1190" s="2"/>
      <c r="HY1190" s="2"/>
      <c r="HZ1190" s="2"/>
      <c r="IA1190" s="2"/>
      <c r="IB1190" s="2"/>
      <c r="IC1190" s="2"/>
      <c r="ID1190" s="2"/>
      <c r="IE1190" s="2"/>
      <c r="IF1190" s="2"/>
      <c r="IG1190" s="2"/>
      <c r="IH1190" s="2"/>
      <c r="II1190" s="2"/>
      <c r="IJ1190" s="2"/>
      <c r="IK1190" s="2">
        <v>0</v>
      </c>
      <c r="IL1190" s="2"/>
      <c r="IM1190" s="2"/>
      <c r="IN1190" s="2"/>
      <c r="IO1190" s="2"/>
      <c r="IP1190" s="2"/>
      <c r="IQ1190" s="2"/>
      <c r="IR1190" s="2"/>
      <c r="IS1190" s="2"/>
      <c r="IT1190" s="2"/>
      <c r="IU1190" s="2"/>
    </row>
    <row r="1191" spans="1:255" x14ac:dyDescent="0.2">
      <c r="A1191">
        <v>17</v>
      </c>
      <c r="B1191">
        <v>1</v>
      </c>
      <c r="C1191">
        <f>ROW(SmtRes!A1022)</f>
        <v>1022</v>
      </c>
      <c r="D1191">
        <f>ROW(EtalonRes!A986)</f>
        <v>986</v>
      </c>
      <c r="E1191" t="s">
        <v>218</v>
      </c>
      <c r="F1191" t="s">
        <v>951</v>
      </c>
      <c r="G1191" t="s">
        <v>952</v>
      </c>
      <c r="H1191" t="s">
        <v>953</v>
      </c>
      <c r="I1191">
        <v>2</v>
      </c>
      <c r="J1191">
        <v>0</v>
      </c>
      <c r="K1191">
        <v>2</v>
      </c>
      <c r="O1191">
        <f t="shared" si="1012"/>
        <v>1883.49</v>
      </c>
      <c r="P1191">
        <f t="shared" si="1013"/>
        <v>195.3</v>
      </c>
      <c r="Q1191">
        <f>(ROUND((ROUND((((ET1191*1.25))*AV1191*I1191),2)*BB1191),2)+ROUND((ROUND(((AE1191-((EU1191*1.25)))*AV1191*I1191),2)*BS1191),2))</f>
        <v>45.09</v>
      </c>
      <c r="R1191">
        <f t="shared" si="1014"/>
        <v>21.19</v>
      </c>
      <c r="S1191">
        <f t="shared" si="1015"/>
        <v>1643.1</v>
      </c>
      <c r="T1191">
        <f t="shared" si="1016"/>
        <v>0</v>
      </c>
      <c r="U1191">
        <f t="shared" si="1017"/>
        <v>4.4849999999999994</v>
      </c>
      <c r="V1191">
        <f t="shared" si="1018"/>
        <v>0</v>
      </c>
      <c r="W1191">
        <f t="shared" si="1019"/>
        <v>0</v>
      </c>
      <c r="X1191">
        <f t="shared" si="1020"/>
        <v>1478.79</v>
      </c>
      <c r="Y1191">
        <f t="shared" si="1021"/>
        <v>673.67</v>
      </c>
      <c r="AA1191">
        <v>129761633</v>
      </c>
      <c r="AB1191">
        <f t="shared" si="1022"/>
        <v>44.319000000000003</v>
      </c>
      <c r="AC1191">
        <f t="shared" si="1023"/>
        <v>14.03</v>
      </c>
      <c r="AD1191">
        <f>ROUND(((((ET1191*1.25))-((EU1191*1.25)))+AE1191),6)</f>
        <v>1.9875</v>
      </c>
      <c r="AE1191">
        <f>ROUND(((EU1191*1.25)),6)</f>
        <v>0.36249999999999999</v>
      </c>
      <c r="AF1191">
        <f>ROUND(((EV1191*1.15)),6)</f>
        <v>28.301500000000001</v>
      </c>
      <c r="AG1191">
        <f t="shared" si="1024"/>
        <v>0</v>
      </c>
      <c r="AH1191">
        <f>((EW1191*1.15))</f>
        <v>2.2424999999999997</v>
      </c>
      <c r="AI1191">
        <f>((EX1191*1.25))</f>
        <v>0</v>
      </c>
      <c r="AJ1191">
        <f t="shared" si="1025"/>
        <v>0</v>
      </c>
      <c r="AK1191">
        <v>40.229999999999997</v>
      </c>
      <c r="AL1191">
        <v>14.03</v>
      </c>
      <c r="AM1191">
        <v>1.59</v>
      </c>
      <c r="AN1191">
        <v>0.28999999999999998</v>
      </c>
      <c r="AO1191">
        <v>24.61</v>
      </c>
      <c r="AP1191">
        <v>0</v>
      </c>
      <c r="AQ1191">
        <v>1.95</v>
      </c>
      <c r="AR1191">
        <v>0</v>
      </c>
      <c r="AS1191">
        <v>0</v>
      </c>
      <c r="AT1191">
        <v>90</v>
      </c>
      <c r="AU1191">
        <v>41</v>
      </c>
      <c r="AV1191">
        <v>1</v>
      </c>
      <c r="AW1191">
        <v>1</v>
      </c>
      <c r="AZ1191">
        <v>1</v>
      </c>
      <c r="BA1191">
        <v>29.03</v>
      </c>
      <c r="BB1191">
        <v>11.33</v>
      </c>
      <c r="BC1191">
        <v>6.96</v>
      </c>
      <c r="BD1191" t="s">
        <v>3</v>
      </c>
      <c r="BE1191" t="s">
        <v>3</v>
      </c>
      <c r="BF1191" t="s">
        <v>3</v>
      </c>
      <c r="BG1191" t="s">
        <v>3</v>
      </c>
      <c r="BH1191">
        <v>0</v>
      </c>
      <c r="BI1191">
        <v>1</v>
      </c>
      <c r="BJ1191" t="s">
        <v>954</v>
      </c>
      <c r="BM1191">
        <v>136</v>
      </c>
      <c r="BN1191">
        <v>0</v>
      </c>
      <c r="BO1191" t="s">
        <v>951</v>
      </c>
      <c r="BP1191">
        <v>1</v>
      </c>
      <c r="BQ1191">
        <v>30</v>
      </c>
      <c r="BR1191">
        <v>0</v>
      </c>
      <c r="BS1191">
        <v>29.03</v>
      </c>
      <c r="BT1191">
        <v>1</v>
      </c>
      <c r="BU1191">
        <v>1</v>
      </c>
      <c r="BV1191">
        <v>1</v>
      </c>
      <c r="BW1191">
        <v>1</v>
      </c>
      <c r="BX1191">
        <v>1</v>
      </c>
      <c r="BY1191" t="s">
        <v>3</v>
      </c>
      <c r="BZ1191">
        <v>90</v>
      </c>
      <c r="CA1191">
        <v>41</v>
      </c>
      <c r="CB1191" t="s">
        <v>3</v>
      </c>
      <c r="CE1191">
        <v>30</v>
      </c>
      <c r="CF1191">
        <v>0</v>
      </c>
      <c r="CG1191">
        <v>0</v>
      </c>
      <c r="CM1191">
        <v>0</v>
      </c>
      <c r="CN1191" t="s">
        <v>1559</v>
      </c>
      <c r="CO1191">
        <v>0</v>
      </c>
      <c r="CP1191">
        <f t="shared" si="1026"/>
        <v>1883.49</v>
      </c>
      <c r="CQ1191">
        <f t="shared" si="1027"/>
        <v>97.65</v>
      </c>
      <c r="CR1191">
        <f>(ROUND((ROUND((((ET1191*1.25))*AV1191*1),2)*BB1191),2)+ROUND((ROUND(((AE1191-((EU1191*1.25)))*AV1191*1),2)*BS1191),2))</f>
        <v>22.55</v>
      </c>
      <c r="CS1191">
        <f t="shared" si="1028"/>
        <v>10.45</v>
      </c>
      <c r="CT1191">
        <f t="shared" si="1029"/>
        <v>821.55</v>
      </c>
      <c r="CU1191">
        <f t="shared" si="1030"/>
        <v>0</v>
      </c>
      <c r="CV1191">
        <f t="shared" si="1031"/>
        <v>2.2424999999999997</v>
      </c>
      <c r="CW1191">
        <f t="shared" si="1032"/>
        <v>0</v>
      </c>
      <c r="CX1191">
        <f t="shared" si="1033"/>
        <v>0</v>
      </c>
      <c r="CY1191">
        <f>S1191*(BZ1191/100)</f>
        <v>1478.79</v>
      </c>
      <c r="CZ1191">
        <f>S1191*(CA1191/100)</f>
        <v>673.67099999999994</v>
      </c>
      <c r="DC1191" t="s">
        <v>3</v>
      </c>
      <c r="DD1191" t="s">
        <v>3</v>
      </c>
      <c r="DE1191" t="s">
        <v>86</v>
      </c>
      <c r="DF1191" t="s">
        <v>86</v>
      </c>
      <c r="DG1191" t="s">
        <v>87</v>
      </c>
      <c r="DH1191" t="s">
        <v>3</v>
      </c>
      <c r="DI1191" t="s">
        <v>87</v>
      </c>
      <c r="DJ1191" t="s">
        <v>86</v>
      </c>
      <c r="DK1191" t="s">
        <v>3</v>
      </c>
      <c r="DL1191" t="s">
        <v>3</v>
      </c>
      <c r="DM1191" t="s">
        <v>3</v>
      </c>
      <c r="DN1191">
        <v>110</v>
      </c>
      <c r="DO1191">
        <v>74</v>
      </c>
      <c r="DP1191">
        <v>1</v>
      </c>
      <c r="DQ1191">
        <v>1</v>
      </c>
      <c r="DU1191">
        <v>1013</v>
      </c>
      <c r="DV1191" t="s">
        <v>953</v>
      </c>
      <c r="DW1191" t="s">
        <v>953</v>
      </c>
      <c r="DX1191">
        <v>1</v>
      </c>
      <c r="DZ1191" t="s">
        <v>3</v>
      </c>
      <c r="EA1191" t="s">
        <v>3</v>
      </c>
      <c r="EB1191" t="s">
        <v>3</v>
      </c>
      <c r="EC1191" t="s">
        <v>3</v>
      </c>
      <c r="EE1191">
        <v>126051597</v>
      </c>
      <c r="EF1191">
        <v>30</v>
      </c>
      <c r="EG1191" t="s">
        <v>23</v>
      </c>
      <c r="EH1191">
        <v>0</v>
      </c>
      <c r="EI1191" t="s">
        <v>3</v>
      </c>
      <c r="EJ1191">
        <v>1</v>
      </c>
      <c r="EK1191">
        <v>136</v>
      </c>
      <c r="EL1191" t="s">
        <v>955</v>
      </c>
      <c r="EM1191" t="s">
        <v>956</v>
      </c>
      <c r="EO1191" t="s">
        <v>90</v>
      </c>
      <c r="EQ1191">
        <v>131072</v>
      </c>
      <c r="ER1191">
        <v>40.229999999999997</v>
      </c>
      <c r="ES1191">
        <v>14.03</v>
      </c>
      <c r="ET1191">
        <v>1.59</v>
      </c>
      <c r="EU1191">
        <v>0.28999999999999998</v>
      </c>
      <c r="EV1191">
        <v>24.61</v>
      </c>
      <c r="EW1191">
        <v>1.95</v>
      </c>
      <c r="EX1191">
        <v>0</v>
      </c>
      <c r="EY1191">
        <v>0</v>
      </c>
      <c r="FQ1191">
        <v>0</v>
      </c>
      <c r="FR1191">
        <f t="shared" si="1034"/>
        <v>0</v>
      </c>
      <c r="FS1191">
        <v>0</v>
      </c>
      <c r="FX1191">
        <v>110</v>
      </c>
      <c r="FY1191">
        <v>74</v>
      </c>
      <c r="GA1191" t="s">
        <v>3</v>
      </c>
      <c r="GD1191">
        <v>0</v>
      </c>
      <c r="GF1191">
        <v>-1766870179</v>
      </c>
      <c r="GG1191">
        <v>2</v>
      </c>
      <c r="GH1191">
        <v>1</v>
      </c>
      <c r="GI1191">
        <v>2</v>
      </c>
      <c r="GJ1191">
        <v>0</v>
      </c>
      <c r="GK1191">
        <f>ROUND(R1191*(S12)/100,2)</f>
        <v>33.9</v>
      </c>
      <c r="GL1191">
        <f t="shared" si="1035"/>
        <v>0</v>
      </c>
      <c r="GM1191">
        <f t="shared" si="1036"/>
        <v>4069.85</v>
      </c>
      <c r="GN1191">
        <f t="shared" si="1037"/>
        <v>4069.85</v>
      </c>
      <c r="GO1191">
        <f t="shared" si="1038"/>
        <v>0</v>
      </c>
      <c r="GP1191">
        <f t="shared" si="1039"/>
        <v>0</v>
      </c>
      <c r="GR1191">
        <v>0</v>
      </c>
      <c r="GS1191">
        <v>3</v>
      </c>
      <c r="GT1191">
        <v>0</v>
      </c>
      <c r="GU1191" t="s">
        <v>3</v>
      </c>
      <c r="GV1191">
        <f t="shared" si="1040"/>
        <v>0</v>
      </c>
      <c r="GW1191">
        <v>1</v>
      </c>
      <c r="GX1191">
        <f t="shared" si="1041"/>
        <v>0</v>
      </c>
      <c r="HA1191">
        <v>0</v>
      </c>
      <c r="HB1191">
        <v>0</v>
      </c>
      <c r="HC1191">
        <f t="shared" si="1042"/>
        <v>0</v>
      </c>
      <c r="HE1191" t="s">
        <v>3</v>
      </c>
      <c r="HF1191" t="s">
        <v>3</v>
      </c>
      <c r="HM1191" t="s">
        <v>3</v>
      </c>
      <c r="HN1191" t="s">
        <v>3</v>
      </c>
      <c r="HO1191" t="s">
        <v>3</v>
      </c>
      <c r="HP1191" t="s">
        <v>3</v>
      </c>
      <c r="HQ1191" t="s">
        <v>3</v>
      </c>
      <c r="IK1191">
        <v>0</v>
      </c>
    </row>
    <row r="1192" spans="1:255" x14ac:dyDescent="0.2">
      <c r="A1192" s="2">
        <v>18</v>
      </c>
      <c r="B1192" s="2">
        <v>1</v>
      </c>
      <c r="C1192" s="2">
        <v>1007</v>
      </c>
      <c r="D1192" s="2"/>
      <c r="E1192" s="2" t="s">
        <v>225</v>
      </c>
      <c r="F1192" s="2" t="s">
        <v>248</v>
      </c>
      <c r="G1192" s="2" t="s">
        <v>957</v>
      </c>
      <c r="H1192" s="2" t="s">
        <v>250</v>
      </c>
      <c r="I1192" s="2">
        <f>I1190*J1192</f>
        <v>2</v>
      </c>
      <c r="J1192" s="2">
        <v>1</v>
      </c>
      <c r="K1192" s="2">
        <v>1</v>
      </c>
      <c r="L1192" s="2"/>
      <c r="M1192" s="2"/>
      <c r="N1192" s="2"/>
      <c r="O1192" s="2">
        <f t="shared" si="1012"/>
        <v>0</v>
      </c>
      <c r="P1192" s="2">
        <f t="shared" si="1013"/>
        <v>0</v>
      </c>
      <c r="Q1192" s="2">
        <f t="shared" ref="Q1192:Q1197" si="1043">(ROUND((ROUND(((ET1192)*AV1192*I1192),2)*BB1192),2)+ROUND((ROUND(((AE1192-(EU1192))*AV1192*I1192),2)*BS1192),2))</f>
        <v>0</v>
      </c>
      <c r="R1192" s="2">
        <f t="shared" si="1014"/>
        <v>0</v>
      </c>
      <c r="S1192" s="2">
        <f t="shared" si="1015"/>
        <v>0</v>
      </c>
      <c r="T1192" s="2">
        <f t="shared" si="1016"/>
        <v>0</v>
      </c>
      <c r="U1192" s="2">
        <f t="shared" si="1017"/>
        <v>0</v>
      </c>
      <c r="V1192" s="2">
        <f t="shared" si="1018"/>
        <v>0</v>
      </c>
      <c r="W1192" s="2">
        <f t="shared" si="1019"/>
        <v>0</v>
      </c>
      <c r="X1192" s="2">
        <f t="shared" si="1020"/>
        <v>0</v>
      </c>
      <c r="Y1192" s="2">
        <f t="shared" si="1021"/>
        <v>0</v>
      </c>
      <c r="Z1192" s="2"/>
      <c r="AA1192" s="2">
        <v>129761636</v>
      </c>
      <c r="AB1192" s="2">
        <f t="shared" si="1022"/>
        <v>0</v>
      </c>
      <c r="AC1192" s="2">
        <f t="shared" si="1023"/>
        <v>0</v>
      </c>
      <c r="AD1192" s="2">
        <f t="shared" ref="AD1192:AD1197" si="1044">ROUND((((ET1192)-(EU1192))+AE1192),6)</f>
        <v>0</v>
      </c>
      <c r="AE1192" s="2">
        <f t="shared" ref="AE1192:AF1197" si="1045">ROUND((EU1192),6)</f>
        <v>0</v>
      </c>
      <c r="AF1192" s="2">
        <f t="shared" si="1045"/>
        <v>0</v>
      </c>
      <c r="AG1192" s="2">
        <f t="shared" si="1024"/>
        <v>0</v>
      </c>
      <c r="AH1192" s="2">
        <f t="shared" ref="AH1192:AI1197" si="1046">(EW1192)</f>
        <v>0</v>
      </c>
      <c r="AI1192" s="2">
        <f t="shared" si="1046"/>
        <v>0</v>
      </c>
      <c r="AJ1192" s="2">
        <f t="shared" si="1025"/>
        <v>0</v>
      </c>
      <c r="AK1192" s="2">
        <v>0</v>
      </c>
      <c r="AL1192" s="2">
        <v>0</v>
      </c>
      <c r="AM1192" s="2">
        <v>0</v>
      </c>
      <c r="AN1192" s="2">
        <v>0</v>
      </c>
      <c r="AO1192" s="2">
        <v>0</v>
      </c>
      <c r="AP1192" s="2">
        <v>0</v>
      </c>
      <c r="AQ1192" s="2">
        <v>0</v>
      </c>
      <c r="AR1192" s="2">
        <v>0</v>
      </c>
      <c r="AS1192" s="2">
        <v>0</v>
      </c>
      <c r="AT1192" s="2">
        <v>110</v>
      </c>
      <c r="AU1192" s="2">
        <v>74</v>
      </c>
      <c r="AV1192" s="2">
        <v>1</v>
      </c>
      <c r="AW1192" s="2">
        <v>1</v>
      </c>
      <c r="AX1192" s="2"/>
      <c r="AY1192" s="2"/>
      <c r="AZ1192" s="2">
        <v>1</v>
      </c>
      <c r="BA1192" s="2">
        <v>1</v>
      </c>
      <c r="BB1192" s="2">
        <v>1</v>
      </c>
      <c r="BC1192" s="2">
        <v>1</v>
      </c>
      <c r="BD1192" s="2" t="s">
        <v>3</v>
      </c>
      <c r="BE1192" s="2" t="s">
        <v>3</v>
      </c>
      <c r="BF1192" s="2" t="s">
        <v>3</v>
      </c>
      <c r="BG1192" s="2" t="s">
        <v>3</v>
      </c>
      <c r="BH1192" s="2">
        <v>3</v>
      </c>
      <c r="BI1192" s="2">
        <v>1</v>
      </c>
      <c r="BJ1192" s="2" t="s">
        <v>3</v>
      </c>
      <c r="BK1192" s="2"/>
      <c r="BL1192" s="2"/>
      <c r="BM1192" s="2">
        <v>136</v>
      </c>
      <c r="BN1192" s="2">
        <v>0</v>
      </c>
      <c r="BO1192" s="2" t="s">
        <v>3</v>
      </c>
      <c r="BP1192" s="2">
        <v>0</v>
      </c>
      <c r="BQ1192" s="2">
        <v>30</v>
      </c>
      <c r="BR1192" s="2">
        <v>0</v>
      </c>
      <c r="BS1192" s="2">
        <v>1</v>
      </c>
      <c r="BT1192" s="2">
        <v>1</v>
      </c>
      <c r="BU1192" s="2">
        <v>1</v>
      </c>
      <c r="BV1192" s="2">
        <v>1</v>
      </c>
      <c r="BW1192" s="2">
        <v>1</v>
      </c>
      <c r="BX1192" s="2">
        <v>1</v>
      </c>
      <c r="BY1192" s="2" t="s">
        <v>3</v>
      </c>
      <c r="BZ1192" s="2">
        <v>110</v>
      </c>
      <c r="CA1192" s="2">
        <v>74</v>
      </c>
      <c r="CB1192" s="2" t="s">
        <v>3</v>
      </c>
      <c r="CC1192" s="2"/>
      <c r="CD1192" s="2"/>
      <c r="CE1192" s="2">
        <v>30</v>
      </c>
      <c r="CF1192" s="2">
        <v>0</v>
      </c>
      <c r="CG1192" s="2">
        <v>0</v>
      </c>
      <c r="CH1192" s="2"/>
      <c r="CI1192" s="2"/>
      <c r="CJ1192" s="2"/>
      <c r="CK1192" s="2"/>
      <c r="CL1192" s="2"/>
      <c r="CM1192" s="2">
        <v>0</v>
      </c>
      <c r="CN1192" s="2" t="s">
        <v>3</v>
      </c>
      <c r="CO1192" s="2">
        <v>0</v>
      </c>
      <c r="CP1192" s="2">
        <f t="shared" si="1026"/>
        <v>0</v>
      </c>
      <c r="CQ1192" s="2">
        <f t="shared" si="1027"/>
        <v>0</v>
      </c>
      <c r="CR1192" s="2">
        <f t="shared" ref="CR1192:CR1197" si="1047">(ROUND((ROUND(((ET1192)*AV1192*1),2)*BB1192),2)+ROUND((ROUND(((AE1192-(EU1192))*AV1192*1),2)*BS1192),2))</f>
        <v>0</v>
      </c>
      <c r="CS1192" s="2">
        <f t="shared" si="1028"/>
        <v>0</v>
      </c>
      <c r="CT1192" s="2">
        <f t="shared" si="1029"/>
        <v>0</v>
      </c>
      <c r="CU1192" s="2">
        <f t="shared" si="1030"/>
        <v>0</v>
      </c>
      <c r="CV1192" s="2">
        <f t="shared" si="1031"/>
        <v>0</v>
      </c>
      <c r="CW1192" s="2">
        <f t="shared" si="1032"/>
        <v>0</v>
      </c>
      <c r="CX1192" s="2">
        <f t="shared" si="1033"/>
        <v>0</v>
      </c>
      <c r="CY1192" s="2">
        <f>((S1192*BZ1192)/100)</f>
        <v>0</v>
      </c>
      <c r="CZ1192" s="2">
        <f>((S1192*CA1192)/100)</f>
        <v>0</v>
      </c>
      <c r="DA1192" s="2"/>
      <c r="DB1192" s="2"/>
      <c r="DC1192" s="2" t="s">
        <v>3</v>
      </c>
      <c r="DD1192" s="2" t="s">
        <v>3</v>
      </c>
      <c r="DE1192" s="2" t="s">
        <v>3</v>
      </c>
      <c r="DF1192" s="2" t="s">
        <v>3</v>
      </c>
      <c r="DG1192" s="2" t="s">
        <v>3</v>
      </c>
      <c r="DH1192" s="2" t="s">
        <v>3</v>
      </c>
      <c r="DI1192" s="2" t="s">
        <v>3</v>
      </c>
      <c r="DJ1192" s="2" t="s">
        <v>3</v>
      </c>
      <c r="DK1192" s="2" t="s">
        <v>3</v>
      </c>
      <c r="DL1192" s="2" t="s">
        <v>3</v>
      </c>
      <c r="DM1192" s="2" t="s">
        <v>3</v>
      </c>
      <c r="DN1192" s="2">
        <v>0</v>
      </c>
      <c r="DO1192" s="2">
        <v>0</v>
      </c>
      <c r="DP1192" s="2">
        <v>1</v>
      </c>
      <c r="DQ1192" s="2">
        <v>1</v>
      </c>
      <c r="DR1192" s="2"/>
      <c r="DS1192" s="2"/>
      <c r="DT1192" s="2"/>
      <c r="DU1192" s="2">
        <v>1010</v>
      </c>
      <c r="DV1192" s="2" t="s">
        <v>250</v>
      </c>
      <c r="DW1192" s="2" t="s">
        <v>250</v>
      </c>
      <c r="DX1192" s="2">
        <v>1</v>
      </c>
      <c r="DY1192" s="2"/>
      <c r="DZ1192" s="2" t="s">
        <v>3</v>
      </c>
      <c r="EA1192" s="2" t="s">
        <v>3</v>
      </c>
      <c r="EB1192" s="2" t="s">
        <v>3</v>
      </c>
      <c r="EC1192" s="2" t="s">
        <v>3</v>
      </c>
      <c r="ED1192" s="2"/>
      <c r="EE1192" s="2">
        <v>126051597</v>
      </c>
      <c r="EF1192" s="2">
        <v>30</v>
      </c>
      <c r="EG1192" s="2" t="s">
        <v>23</v>
      </c>
      <c r="EH1192" s="2">
        <v>0</v>
      </c>
      <c r="EI1192" s="2" t="s">
        <v>3</v>
      </c>
      <c r="EJ1192" s="2">
        <v>1</v>
      </c>
      <c r="EK1192" s="2">
        <v>136</v>
      </c>
      <c r="EL1192" s="2" t="s">
        <v>955</v>
      </c>
      <c r="EM1192" s="2" t="s">
        <v>956</v>
      </c>
      <c r="EN1192" s="2"/>
      <c r="EO1192" s="2" t="s">
        <v>3</v>
      </c>
      <c r="EP1192" s="2"/>
      <c r="EQ1192" s="2">
        <v>0</v>
      </c>
      <c r="ER1192" s="2">
        <v>0</v>
      </c>
      <c r="ES1192" s="2">
        <v>0</v>
      </c>
      <c r="ET1192" s="2">
        <v>0</v>
      </c>
      <c r="EU1192" s="2">
        <v>0</v>
      </c>
      <c r="EV1192" s="2">
        <v>0</v>
      </c>
      <c r="EW1192" s="2">
        <v>0</v>
      </c>
      <c r="EX1192" s="2">
        <v>0</v>
      </c>
      <c r="EY1192" s="2"/>
      <c r="EZ1192" s="2"/>
      <c r="FA1192" s="2"/>
      <c r="FB1192" s="2"/>
      <c r="FC1192" s="2"/>
      <c r="FD1192" s="2"/>
      <c r="FE1192" s="2"/>
      <c r="FF1192" s="2"/>
      <c r="FG1192" s="2"/>
      <c r="FH1192" s="2"/>
      <c r="FI1192" s="2"/>
      <c r="FJ1192" s="2"/>
      <c r="FK1192" s="2"/>
      <c r="FL1192" s="2"/>
      <c r="FM1192" s="2"/>
      <c r="FN1192" s="2"/>
      <c r="FO1192" s="2"/>
      <c r="FP1192" s="2"/>
      <c r="FQ1192" s="2">
        <v>0</v>
      </c>
      <c r="FR1192" s="2">
        <f t="shared" si="1034"/>
        <v>0</v>
      </c>
      <c r="FS1192" s="2">
        <v>0</v>
      </c>
      <c r="FT1192" s="2"/>
      <c r="FU1192" s="2"/>
      <c r="FV1192" s="2"/>
      <c r="FW1192" s="2"/>
      <c r="FX1192" s="2">
        <v>110</v>
      </c>
      <c r="FY1192" s="2">
        <v>74</v>
      </c>
      <c r="FZ1192" s="2"/>
      <c r="GA1192" s="2" t="s">
        <v>3</v>
      </c>
      <c r="GB1192" s="2"/>
      <c r="GC1192" s="2"/>
      <c r="GD1192" s="2">
        <v>0</v>
      </c>
      <c r="GE1192" s="2"/>
      <c r="GF1192" s="2">
        <v>333791719</v>
      </c>
      <c r="GG1192" s="2">
        <v>2</v>
      </c>
      <c r="GH1192" s="2">
        <v>0</v>
      </c>
      <c r="GI1192" s="2">
        <v>-2</v>
      </c>
      <c r="GJ1192" s="2">
        <v>0</v>
      </c>
      <c r="GK1192" s="2">
        <f>ROUND(R1192*(R12)/100,2)</f>
        <v>0</v>
      </c>
      <c r="GL1192" s="2">
        <f t="shared" si="1035"/>
        <v>0</v>
      </c>
      <c r="GM1192" s="2">
        <f t="shared" si="1036"/>
        <v>0</v>
      </c>
      <c r="GN1192" s="2">
        <f t="shared" si="1037"/>
        <v>0</v>
      </c>
      <c r="GO1192" s="2">
        <f t="shared" si="1038"/>
        <v>0</v>
      </c>
      <c r="GP1192" s="2">
        <f t="shared" si="1039"/>
        <v>0</v>
      </c>
      <c r="GQ1192" s="2"/>
      <c r="GR1192" s="2">
        <v>0</v>
      </c>
      <c r="GS1192" s="2">
        <v>3</v>
      </c>
      <c r="GT1192" s="2">
        <v>0</v>
      </c>
      <c r="GU1192" s="2" t="s">
        <v>3</v>
      </c>
      <c r="GV1192" s="2">
        <f t="shared" si="1040"/>
        <v>0</v>
      </c>
      <c r="GW1192" s="2">
        <v>1</v>
      </c>
      <c r="GX1192" s="2">
        <f t="shared" si="1041"/>
        <v>0</v>
      </c>
      <c r="GY1192" s="2"/>
      <c r="GZ1192" s="2"/>
      <c r="HA1192" s="2">
        <v>0</v>
      </c>
      <c r="HB1192" s="2">
        <v>0</v>
      </c>
      <c r="HC1192" s="2">
        <f t="shared" si="1042"/>
        <v>0</v>
      </c>
      <c r="HD1192" s="2"/>
      <c r="HE1192" s="2" t="s">
        <v>3</v>
      </c>
      <c r="HF1192" s="2" t="s">
        <v>3</v>
      </c>
      <c r="HG1192" s="2"/>
      <c r="HH1192" s="2"/>
      <c r="HI1192" s="2"/>
      <c r="HJ1192" s="2"/>
      <c r="HK1192" s="2"/>
      <c r="HL1192" s="2"/>
      <c r="HM1192" s="2" t="s">
        <v>3</v>
      </c>
      <c r="HN1192" s="2" t="s">
        <v>3</v>
      </c>
      <c r="HO1192" s="2" t="s">
        <v>3</v>
      </c>
      <c r="HP1192" s="2" t="s">
        <v>3</v>
      </c>
      <c r="HQ1192" s="2" t="s">
        <v>3</v>
      </c>
      <c r="HR1192" s="2"/>
      <c r="HS1192" s="2"/>
      <c r="HT1192" s="2"/>
      <c r="HU1192" s="2"/>
      <c r="HV1192" s="2"/>
      <c r="HW1192" s="2"/>
      <c r="HX1192" s="2"/>
      <c r="HY1192" s="2"/>
      <c r="HZ1192" s="2"/>
      <c r="IA1192" s="2"/>
      <c r="IB1192" s="2"/>
      <c r="IC1192" s="2"/>
      <c r="ID1192" s="2"/>
      <c r="IE1192" s="2"/>
      <c r="IF1192" s="2"/>
      <c r="IG1192" s="2"/>
      <c r="IH1192" s="2"/>
      <c r="II1192" s="2"/>
      <c r="IJ1192" s="2"/>
      <c r="IK1192" s="2">
        <v>0</v>
      </c>
      <c r="IL1192" s="2"/>
      <c r="IM1192" s="2"/>
      <c r="IN1192" s="2"/>
      <c r="IO1192" s="2"/>
      <c r="IP1192" s="2"/>
      <c r="IQ1192" s="2"/>
      <c r="IR1192" s="2"/>
      <c r="IS1192" s="2"/>
      <c r="IT1192" s="2"/>
      <c r="IU1192" s="2"/>
    </row>
    <row r="1193" spans="1:255" x14ac:dyDescent="0.2">
      <c r="A1193">
        <v>18</v>
      </c>
      <c r="B1193">
        <v>1</v>
      </c>
      <c r="C1193">
        <v>1021</v>
      </c>
      <c r="E1193" t="s">
        <v>225</v>
      </c>
      <c r="F1193" t="s">
        <v>248</v>
      </c>
      <c r="G1193" t="s">
        <v>957</v>
      </c>
      <c r="H1193" t="s">
        <v>250</v>
      </c>
      <c r="I1193">
        <f>I1191*J1193</f>
        <v>2</v>
      </c>
      <c r="J1193">
        <v>1</v>
      </c>
      <c r="K1193">
        <v>1</v>
      </c>
      <c r="O1193">
        <f t="shared" si="1012"/>
        <v>14812.09</v>
      </c>
      <c r="P1193">
        <f t="shared" si="1013"/>
        <v>14812.09</v>
      </c>
      <c r="Q1193">
        <f t="shared" si="1043"/>
        <v>0</v>
      </c>
      <c r="R1193">
        <f t="shared" si="1014"/>
        <v>0</v>
      </c>
      <c r="S1193">
        <f t="shared" si="1015"/>
        <v>0</v>
      </c>
      <c r="T1193">
        <f t="shared" si="1016"/>
        <v>0</v>
      </c>
      <c r="U1193">
        <f t="shared" si="1017"/>
        <v>0</v>
      </c>
      <c r="V1193">
        <f t="shared" si="1018"/>
        <v>0</v>
      </c>
      <c r="W1193">
        <f t="shared" si="1019"/>
        <v>0</v>
      </c>
      <c r="X1193">
        <f t="shared" si="1020"/>
        <v>0</v>
      </c>
      <c r="Y1193">
        <f t="shared" si="1021"/>
        <v>0</v>
      </c>
      <c r="AA1193">
        <v>129761633</v>
      </c>
      <c r="AB1193">
        <f t="shared" si="1022"/>
        <v>856.19</v>
      </c>
      <c r="AC1193">
        <f t="shared" si="1023"/>
        <v>856.19</v>
      </c>
      <c r="AD1193">
        <f t="shared" si="1044"/>
        <v>0</v>
      </c>
      <c r="AE1193">
        <f t="shared" si="1045"/>
        <v>0</v>
      </c>
      <c r="AF1193">
        <f t="shared" si="1045"/>
        <v>0</v>
      </c>
      <c r="AG1193">
        <f t="shared" si="1024"/>
        <v>0</v>
      </c>
      <c r="AH1193">
        <f t="shared" si="1046"/>
        <v>0</v>
      </c>
      <c r="AI1193">
        <f t="shared" si="1046"/>
        <v>0</v>
      </c>
      <c r="AJ1193">
        <f t="shared" si="1025"/>
        <v>0</v>
      </c>
      <c r="AK1193">
        <v>856.18999999999994</v>
      </c>
      <c r="AL1193">
        <v>856.18999999999994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1</v>
      </c>
      <c r="AW1193">
        <v>1</v>
      </c>
      <c r="AZ1193">
        <v>1</v>
      </c>
      <c r="BA1193">
        <v>1</v>
      </c>
      <c r="BB1193">
        <v>1</v>
      </c>
      <c r="BC1193">
        <v>8.65</v>
      </c>
      <c r="BD1193" t="s">
        <v>3</v>
      </c>
      <c r="BE1193" t="s">
        <v>3</v>
      </c>
      <c r="BF1193" t="s">
        <v>3</v>
      </c>
      <c r="BG1193" t="s">
        <v>3</v>
      </c>
      <c r="BH1193">
        <v>3</v>
      </c>
      <c r="BI1193">
        <v>1</v>
      </c>
      <c r="BJ1193" t="s">
        <v>3</v>
      </c>
      <c r="BM1193">
        <v>136</v>
      </c>
      <c r="BN1193">
        <v>0</v>
      </c>
      <c r="BO1193" t="s">
        <v>3</v>
      </c>
      <c r="BP1193">
        <v>0</v>
      </c>
      <c r="BQ1193">
        <v>30</v>
      </c>
      <c r="BR1193">
        <v>0</v>
      </c>
      <c r="BS1193">
        <v>1</v>
      </c>
      <c r="BT1193">
        <v>1</v>
      </c>
      <c r="BU1193">
        <v>1</v>
      </c>
      <c r="BV1193">
        <v>1</v>
      </c>
      <c r="BW1193">
        <v>1</v>
      </c>
      <c r="BX1193">
        <v>1</v>
      </c>
      <c r="BY1193" t="s">
        <v>3</v>
      </c>
      <c r="BZ1193">
        <v>0</v>
      </c>
      <c r="CA1193">
        <v>0</v>
      </c>
      <c r="CB1193" t="s">
        <v>3</v>
      </c>
      <c r="CE1193">
        <v>30</v>
      </c>
      <c r="CF1193">
        <v>0</v>
      </c>
      <c r="CG1193">
        <v>0</v>
      </c>
      <c r="CM1193">
        <v>0</v>
      </c>
      <c r="CN1193" t="s">
        <v>3</v>
      </c>
      <c r="CO1193">
        <v>0</v>
      </c>
      <c r="CP1193">
        <f t="shared" si="1026"/>
        <v>14812.09</v>
      </c>
      <c r="CQ1193">
        <f t="shared" si="1027"/>
        <v>7406.04</v>
      </c>
      <c r="CR1193">
        <f t="shared" si="1047"/>
        <v>0</v>
      </c>
      <c r="CS1193">
        <f t="shared" si="1028"/>
        <v>0</v>
      </c>
      <c r="CT1193">
        <f t="shared" si="1029"/>
        <v>0</v>
      </c>
      <c r="CU1193">
        <f t="shared" si="1030"/>
        <v>0</v>
      </c>
      <c r="CV1193">
        <f t="shared" si="1031"/>
        <v>0</v>
      </c>
      <c r="CW1193">
        <f t="shared" si="1032"/>
        <v>0</v>
      </c>
      <c r="CX1193">
        <f t="shared" si="1033"/>
        <v>0</v>
      </c>
      <c r="CY1193">
        <f>S1193*(BZ1193/100)</f>
        <v>0</v>
      </c>
      <c r="CZ1193">
        <f>S1193*(CA1193/100)</f>
        <v>0</v>
      </c>
      <c r="DC1193" t="s">
        <v>3</v>
      </c>
      <c r="DD1193" t="s">
        <v>3</v>
      </c>
      <c r="DE1193" t="s">
        <v>3</v>
      </c>
      <c r="DF1193" t="s">
        <v>3</v>
      </c>
      <c r="DG1193" t="s">
        <v>3</v>
      </c>
      <c r="DH1193" t="s">
        <v>3</v>
      </c>
      <c r="DI1193" t="s">
        <v>3</v>
      </c>
      <c r="DJ1193" t="s">
        <v>3</v>
      </c>
      <c r="DK1193" t="s">
        <v>3</v>
      </c>
      <c r="DL1193" t="s">
        <v>3</v>
      </c>
      <c r="DM1193" t="s">
        <v>3</v>
      </c>
      <c r="DN1193">
        <v>110</v>
      </c>
      <c r="DO1193">
        <v>74</v>
      </c>
      <c r="DP1193">
        <v>1</v>
      </c>
      <c r="DQ1193">
        <v>1</v>
      </c>
      <c r="DU1193">
        <v>1010</v>
      </c>
      <c r="DV1193" t="s">
        <v>250</v>
      </c>
      <c r="DW1193" t="s">
        <v>250</v>
      </c>
      <c r="DX1193">
        <v>1</v>
      </c>
      <c r="DZ1193" t="s">
        <v>3</v>
      </c>
      <c r="EA1193" t="s">
        <v>3</v>
      </c>
      <c r="EB1193" t="s">
        <v>3</v>
      </c>
      <c r="EC1193" t="s">
        <v>3</v>
      </c>
      <c r="EE1193">
        <v>126051597</v>
      </c>
      <c r="EF1193">
        <v>30</v>
      </c>
      <c r="EG1193" t="s">
        <v>23</v>
      </c>
      <c r="EH1193">
        <v>0</v>
      </c>
      <c r="EI1193" t="s">
        <v>3</v>
      </c>
      <c r="EJ1193">
        <v>1</v>
      </c>
      <c r="EK1193">
        <v>136</v>
      </c>
      <c r="EL1193" t="s">
        <v>955</v>
      </c>
      <c r="EM1193" t="s">
        <v>956</v>
      </c>
      <c r="EO1193" t="s">
        <v>3</v>
      </c>
      <c r="EQ1193">
        <v>0</v>
      </c>
      <c r="ER1193">
        <v>856.18999999999994</v>
      </c>
      <c r="ES1193">
        <v>856.18999999999994</v>
      </c>
      <c r="ET1193">
        <v>0</v>
      </c>
      <c r="EU1193">
        <v>0</v>
      </c>
      <c r="EV1193">
        <v>0</v>
      </c>
      <c r="EW1193">
        <v>0</v>
      </c>
      <c r="EX1193">
        <v>0</v>
      </c>
      <c r="EZ1193">
        <v>5</v>
      </c>
      <c r="FC1193">
        <v>1</v>
      </c>
      <c r="FD1193">
        <v>18</v>
      </c>
      <c r="FF1193">
        <v>8713</v>
      </c>
      <c r="FQ1193">
        <v>0</v>
      </c>
      <c r="FR1193">
        <f t="shared" si="1034"/>
        <v>0</v>
      </c>
      <c r="FS1193">
        <v>0</v>
      </c>
      <c r="FX1193">
        <v>110</v>
      </c>
      <c r="FY1193">
        <v>74</v>
      </c>
      <c r="GA1193" t="s">
        <v>958</v>
      </c>
      <c r="GD1193">
        <v>0</v>
      </c>
      <c r="GF1193">
        <v>333791719</v>
      </c>
      <c r="GG1193">
        <v>2</v>
      </c>
      <c r="GH1193">
        <v>3</v>
      </c>
      <c r="GI1193">
        <v>5</v>
      </c>
      <c r="GJ1193">
        <v>0</v>
      </c>
      <c r="GK1193">
        <f>ROUND(R1193*(S12)/100,2)</f>
        <v>0</v>
      </c>
      <c r="GL1193">
        <f t="shared" si="1035"/>
        <v>0</v>
      </c>
      <c r="GM1193">
        <f t="shared" si="1036"/>
        <v>14812.09</v>
      </c>
      <c r="GN1193">
        <f t="shared" si="1037"/>
        <v>14812.09</v>
      </c>
      <c r="GO1193">
        <f t="shared" si="1038"/>
        <v>0</v>
      </c>
      <c r="GP1193">
        <f t="shared" si="1039"/>
        <v>0</v>
      </c>
      <c r="GR1193">
        <v>1</v>
      </c>
      <c r="GS1193">
        <v>1</v>
      </c>
      <c r="GT1193">
        <v>0</v>
      </c>
      <c r="GU1193" t="s">
        <v>3</v>
      </c>
      <c r="GV1193">
        <f t="shared" si="1040"/>
        <v>0</v>
      </c>
      <c r="GW1193">
        <v>1</v>
      </c>
      <c r="GX1193">
        <f t="shared" si="1041"/>
        <v>0</v>
      </c>
      <c r="HA1193">
        <v>0</v>
      </c>
      <c r="HB1193">
        <v>0</v>
      </c>
      <c r="HC1193">
        <f t="shared" si="1042"/>
        <v>0</v>
      </c>
      <c r="HE1193" t="s">
        <v>81</v>
      </c>
      <c r="HF1193" t="s">
        <v>252</v>
      </c>
      <c r="HM1193" t="s">
        <v>3</v>
      </c>
      <c r="HN1193" t="s">
        <v>3</v>
      </c>
      <c r="HO1193" t="s">
        <v>3</v>
      </c>
      <c r="HP1193" t="s">
        <v>3</v>
      </c>
      <c r="HQ1193" t="s">
        <v>3</v>
      </c>
      <c r="IK1193">
        <v>0</v>
      </c>
    </row>
    <row r="1194" spans="1:255" x14ac:dyDescent="0.2">
      <c r="A1194" s="2">
        <v>18</v>
      </c>
      <c r="B1194" s="2">
        <v>1</v>
      </c>
      <c r="C1194" s="2">
        <v>1008</v>
      </c>
      <c r="D1194" s="2"/>
      <c r="E1194" s="2" t="s">
        <v>959</v>
      </c>
      <c r="F1194" s="2" t="s">
        <v>248</v>
      </c>
      <c r="G1194" s="2" t="s">
        <v>960</v>
      </c>
      <c r="H1194" s="2" t="s">
        <v>250</v>
      </c>
      <c r="I1194" s="2">
        <f>I1190*J1194</f>
        <v>2</v>
      </c>
      <c r="J1194" s="2">
        <v>1</v>
      </c>
      <c r="K1194" s="2">
        <v>1</v>
      </c>
      <c r="L1194" s="2"/>
      <c r="M1194" s="2"/>
      <c r="N1194" s="2"/>
      <c r="O1194" s="2">
        <f t="shared" si="1012"/>
        <v>0</v>
      </c>
      <c r="P1194" s="2">
        <f t="shared" si="1013"/>
        <v>0</v>
      </c>
      <c r="Q1194" s="2">
        <f t="shared" si="1043"/>
        <v>0</v>
      </c>
      <c r="R1194" s="2">
        <f t="shared" si="1014"/>
        <v>0</v>
      </c>
      <c r="S1194" s="2">
        <f t="shared" si="1015"/>
        <v>0</v>
      </c>
      <c r="T1194" s="2">
        <f t="shared" si="1016"/>
        <v>0</v>
      </c>
      <c r="U1194" s="2">
        <f t="shared" si="1017"/>
        <v>0</v>
      </c>
      <c r="V1194" s="2">
        <f t="shared" si="1018"/>
        <v>0</v>
      </c>
      <c r="W1194" s="2">
        <f t="shared" si="1019"/>
        <v>0</v>
      </c>
      <c r="X1194" s="2">
        <f t="shared" si="1020"/>
        <v>0</v>
      </c>
      <c r="Y1194" s="2">
        <f t="shared" si="1021"/>
        <v>0</v>
      </c>
      <c r="Z1194" s="2"/>
      <c r="AA1194" s="2">
        <v>129761636</v>
      </c>
      <c r="AB1194" s="2">
        <f t="shared" si="1022"/>
        <v>0</v>
      </c>
      <c r="AC1194" s="2">
        <f t="shared" si="1023"/>
        <v>0</v>
      </c>
      <c r="AD1194" s="2">
        <f t="shared" si="1044"/>
        <v>0</v>
      </c>
      <c r="AE1194" s="2">
        <f t="shared" si="1045"/>
        <v>0</v>
      </c>
      <c r="AF1194" s="2">
        <f t="shared" si="1045"/>
        <v>0</v>
      </c>
      <c r="AG1194" s="2">
        <f t="shared" si="1024"/>
        <v>0</v>
      </c>
      <c r="AH1194" s="2">
        <f t="shared" si="1046"/>
        <v>0</v>
      </c>
      <c r="AI1194" s="2">
        <f t="shared" si="1046"/>
        <v>0</v>
      </c>
      <c r="AJ1194" s="2">
        <f t="shared" si="1025"/>
        <v>0</v>
      </c>
      <c r="AK1194" s="2">
        <v>0</v>
      </c>
      <c r="AL1194" s="2">
        <v>0</v>
      </c>
      <c r="AM1194" s="2">
        <v>0</v>
      </c>
      <c r="AN1194" s="2">
        <v>0</v>
      </c>
      <c r="AO1194" s="2">
        <v>0</v>
      </c>
      <c r="AP1194" s="2">
        <v>0</v>
      </c>
      <c r="AQ1194" s="2">
        <v>0</v>
      </c>
      <c r="AR1194" s="2">
        <v>0</v>
      </c>
      <c r="AS1194" s="2">
        <v>0</v>
      </c>
      <c r="AT1194" s="2">
        <v>110</v>
      </c>
      <c r="AU1194" s="2">
        <v>74</v>
      </c>
      <c r="AV1194" s="2">
        <v>1</v>
      </c>
      <c r="AW1194" s="2">
        <v>1</v>
      </c>
      <c r="AX1194" s="2"/>
      <c r="AY1194" s="2"/>
      <c r="AZ1194" s="2">
        <v>1</v>
      </c>
      <c r="BA1194" s="2">
        <v>1</v>
      </c>
      <c r="BB1194" s="2">
        <v>1</v>
      </c>
      <c r="BC1194" s="2">
        <v>1</v>
      </c>
      <c r="BD1194" s="2" t="s">
        <v>3</v>
      </c>
      <c r="BE1194" s="2" t="s">
        <v>3</v>
      </c>
      <c r="BF1194" s="2" t="s">
        <v>3</v>
      </c>
      <c r="BG1194" s="2" t="s">
        <v>3</v>
      </c>
      <c r="BH1194" s="2">
        <v>3</v>
      </c>
      <c r="BI1194" s="2">
        <v>1</v>
      </c>
      <c r="BJ1194" s="2" t="s">
        <v>3</v>
      </c>
      <c r="BK1194" s="2"/>
      <c r="BL1194" s="2"/>
      <c r="BM1194" s="2">
        <v>136</v>
      </c>
      <c r="BN1194" s="2">
        <v>0</v>
      </c>
      <c r="BO1194" s="2" t="s">
        <v>3</v>
      </c>
      <c r="BP1194" s="2">
        <v>0</v>
      </c>
      <c r="BQ1194" s="2">
        <v>30</v>
      </c>
      <c r="BR1194" s="2">
        <v>0</v>
      </c>
      <c r="BS1194" s="2">
        <v>1</v>
      </c>
      <c r="BT1194" s="2">
        <v>1</v>
      </c>
      <c r="BU1194" s="2">
        <v>1</v>
      </c>
      <c r="BV1194" s="2">
        <v>1</v>
      </c>
      <c r="BW1194" s="2">
        <v>1</v>
      </c>
      <c r="BX1194" s="2">
        <v>1</v>
      </c>
      <c r="BY1194" s="2" t="s">
        <v>3</v>
      </c>
      <c r="BZ1194" s="2">
        <v>110</v>
      </c>
      <c r="CA1194" s="2">
        <v>74</v>
      </c>
      <c r="CB1194" s="2" t="s">
        <v>3</v>
      </c>
      <c r="CC1194" s="2"/>
      <c r="CD1194" s="2"/>
      <c r="CE1194" s="2">
        <v>30</v>
      </c>
      <c r="CF1194" s="2">
        <v>0</v>
      </c>
      <c r="CG1194" s="2">
        <v>0</v>
      </c>
      <c r="CH1194" s="2"/>
      <c r="CI1194" s="2"/>
      <c r="CJ1194" s="2"/>
      <c r="CK1194" s="2"/>
      <c r="CL1194" s="2"/>
      <c r="CM1194" s="2">
        <v>0</v>
      </c>
      <c r="CN1194" s="2" t="s">
        <v>3</v>
      </c>
      <c r="CO1194" s="2">
        <v>0</v>
      </c>
      <c r="CP1194" s="2">
        <f t="shared" si="1026"/>
        <v>0</v>
      </c>
      <c r="CQ1194" s="2">
        <f t="shared" si="1027"/>
        <v>0</v>
      </c>
      <c r="CR1194" s="2">
        <f t="shared" si="1047"/>
        <v>0</v>
      </c>
      <c r="CS1194" s="2">
        <f t="shared" si="1028"/>
        <v>0</v>
      </c>
      <c r="CT1194" s="2">
        <f t="shared" si="1029"/>
        <v>0</v>
      </c>
      <c r="CU1194" s="2">
        <f t="shared" si="1030"/>
        <v>0</v>
      </c>
      <c r="CV1194" s="2">
        <f t="shared" si="1031"/>
        <v>0</v>
      </c>
      <c r="CW1194" s="2">
        <f t="shared" si="1032"/>
        <v>0</v>
      </c>
      <c r="CX1194" s="2">
        <f t="shared" si="1033"/>
        <v>0</v>
      </c>
      <c r="CY1194" s="2">
        <f>((S1194*BZ1194)/100)</f>
        <v>0</v>
      </c>
      <c r="CZ1194" s="2">
        <f>((S1194*CA1194)/100)</f>
        <v>0</v>
      </c>
      <c r="DA1194" s="2"/>
      <c r="DB1194" s="2"/>
      <c r="DC1194" s="2" t="s">
        <v>3</v>
      </c>
      <c r="DD1194" s="2" t="s">
        <v>3</v>
      </c>
      <c r="DE1194" s="2" t="s">
        <v>3</v>
      </c>
      <c r="DF1194" s="2" t="s">
        <v>3</v>
      </c>
      <c r="DG1194" s="2" t="s">
        <v>3</v>
      </c>
      <c r="DH1194" s="2" t="s">
        <v>3</v>
      </c>
      <c r="DI1194" s="2" t="s">
        <v>3</v>
      </c>
      <c r="DJ1194" s="2" t="s">
        <v>3</v>
      </c>
      <c r="DK1194" s="2" t="s">
        <v>3</v>
      </c>
      <c r="DL1194" s="2" t="s">
        <v>3</v>
      </c>
      <c r="DM1194" s="2" t="s">
        <v>3</v>
      </c>
      <c r="DN1194" s="2">
        <v>0</v>
      </c>
      <c r="DO1194" s="2">
        <v>0</v>
      </c>
      <c r="DP1194" s="2">
        <v>1</v>
      </c>
      <c r="DQ1194" s="2">
        <v>1</v>
      </c>
      <c r="DR1194" s="2"/>
      <c r="DS1194" s="2"/>
      <c r="DT1194" s="2"/>
      <c r="DU1194" s="2">
        <v>1010</v>
      </c>
      <c r="DV1194" s="2" t="s">
        <v>250</v>
      </c>
      <c r="DW1194" s="2" t="s">
        <v>250</v>
      </c>
      <c r="DX1194" s="2">
        <v>1</v>
      </c>
      <c r="DY1194" s="2"/>
      <c r="DZ1194" s="2" t="s">
        <v>3</v>
      </c>
      <c r="EA1194" s="2" t="s">
        <v>3</v>
      </c>
      <c r="EB1194" s="2" t="s">
        <v>3</v>
      </c>
      <c r="EC1194" s="2" t="s">
        <v>3</v>
      </c>
      <c r="ED1194" s="2"/>
      <c r="EE1194" s="2">
        <v>126051597</v>
      </c>
      <c r="EF1194" s="2">
        <v>30</v>
      </c>
      <c r="EG1194" s="2" t="s">
        <v>23</v>
      </c>
      <c r="EH1194" s="2">
        <v>0</v>
      </c>
      <c r="EI1194" s="2" t="s">
        <v>3</v>
      </c>
      <c r="EJ1194" s="2">
        <v>1</v>
      </c>
      <c r="EK1194" s="2">
        <v>136</v>
      </c>
      <c r="EL1194" s="2" t="s">
        <v>955</v>
      </c>
      <c r="EM1194" s="2" t="s">
        <v>956</v>
      </c>
      <c r="EN1194" s="2"/>
      <c r="EO1194" s="2" t="s">
        <v>3</v>
      </c>
      <c r="EP1194" s="2"/>
      <c r="EQ1194" s="2">
        <v>0</v>
      </c>
      <c r="ER1194" s="2">
        <v>0</v>
      </c>
      <c r="ES1194" s="2">
        <v>0</v>
      </c>
      <c r="ET1194" s="2">
        <v>0</v>
      </c>
      <c r="EU1194" s="2">
        <v>0</v>
      </c>
      <c r="EV1194" s="2">
        <v>0</v>
      </c>
      <c r="EW1194" s="2">
        <v>0</v>
      </c>
      <c r="EX1194" s="2">
        <v>0</v>
      </c>
      <c r="EY1194" s="2"/>
      <c r="EZ1194" s="2"/>
      <c r="FA1194" s="2"/>
      <c r="FB1194" s="2"/>
      <c r="FC1194" s="2"/>
      <c r="FD1194" s="2"/>
      <c r="FE1194" s="2"/>
      <c r="FF1194" s="2"/>
      <c r="FG1194" s="2"/>
      <c r="FH1194" s="2"/>
      <c r="FI1194" s="2"/>
      <c r="FJ1194" s="2"/>
      <c r="FK1194" s="2"/>
      <c r="FL1194" s="2"/>
      <c r="FM1194" s="2"/>
      <c r="FN1194" s="2"/>
      <c r="FO1194" s="2"/>
      <c r="FP1194" s="2"/>
      <c r="FQ1194" s="2">
        <v>0</v>
      </c>
      <c r="FR1194" s="2">
        <f t="shared" si="1034"/>
        <v>0</v>
      </c>
      <c r="FS1194" s="2">
        <v>0</v>
      </c>
      <c r="FT1194" s="2"/>
      <c r="FU1194" s="2"/>
      <c r="FV1194" s="2"/>
      <c r="FW1194" s="2"/>
      <c r="FX1194" s="2">
        <v>110</v>
      </c>
      <c r="FY1194" s="2">
        <v>74</v>
      </c>
      <c r="FZ1194" s="2"/>
      <c r="GA1194" s="2" t="s">
        <v>3</v>
      </c>
      <c r="GB1194" s="2"/>
      <c r="GC1194" s="2"/>
      <c r="GD1194" s="2">
        <v>0</v>
      </c>
      <c r="GE1194" s="2"/>
      <c r="GF1194" s="2">
        <v>-178680846</v>
      </c>
      <c r="GG1194" s="2">
        <v>2</v>
      </c>
      <c r="GH1194" s="2">
        <v>0</v>
      </c>
      <c r="GI1194" s="2">
        <v>-2</v>
      </c>
      <c r="GJ1194" s="2">
        <v>0</v>
      </c>
      <c r="GK1194" s="2">
        <f>ROUND(R1194*(R12)/100,2)</f>
        <v>0</v>
      </c>
      <c r="GL1194" s="2">
        <f t="shared" si="1035"/>
        <v>0</v>
      </c>
      <c r="GM1194" s="2">
        <f t="shared" si="1036"/>
        <v>0</v>
      </c>
      <c r="GN1194" s="2">
        <f t="shared" si="1037"/>
        <v>0</v>
      </c>
      <c r="GO1194" s="2">
        <f t="shared" si="1038"/>
        <v>0</v>
      </c>
      <c r="GP1194" s="2">
        <f t="shared" si="1039"/>
        <v>0</v>
      </c>
      <c r="GQ1194" s="2"/>
      <c r="GR1194" s="2">
        <v>0</v>
      </c>
      <c r="GS1194" s="2">
        <v>3</v>
      </c>
      <c r="GT1194" s="2">
        <v>0</v>
      </c>
      <c r="GU1194" s="2" t="s">
        <v>3</v>
      </c>
      <c r="GV1194" s="2">
        <f t="shared" si="1040"/>
        <v>0</v>
      </c>
      <c r="GW1194" s="2">
        <v>1</v>
      </c>
      <c r="GX1194" s="2">
        <f t="shared" si="1041"/>
        <v>0</v>
      </c>
      <c r="GY1194" s="2"/>
      <c r="GZ1194" s="2"/>
      <c r="HA1194" s="2">
        <v>0</v>
      </c>
      <c r="HB1194" s="2">
        <v>0</v>
      </c>
      <c r="HC1194" s="2">
        <f t="shared" si="1042"/>
        <v>0</v>
      </c>
      <c r="HD1194" s="2"/>
      <c r="HE1194" s="2" t="s">
        <v>3</v>
      </c>
      <c r="HF1194" s="2" t="s">
        <v>3</v>
      </c>
      <c r="HG1194" s="2"/>
      <c r="HH1194" s="2"/>
      <c r="HI1194" s="2"/>
      <c r="HJ1194" s="2"/>
      <c r="HK1194" s="2"/>
      <c r="HL1194" s="2"/>
      <c r="HM1194" s="2" t="s">
        <v>3</v>
      </c>
      <c r="HN1194" s="2" t="s">
        <v>3</v>
      </c>
      <c r="HO1194" s="2" t="s">
        <v>3</v>
      </c>
      <c r="HP1194" s="2" t="s">
        <v>3</v>
      </c>
      <c r="HQ1194" s="2" t="s">
        <v>3</v>
      </c>
      <c r="HR1194" s="2"/>
      <c r="HS1194" s="2"/>
      <c r="HT1194" s="2"/>
      <c r="HU1194" s="2"/>
      <c r="HV1194" s="2"/>
      <c r="HW1194" s="2"/>
      <c r="HX1194" s="2"/>
      <c r="HY1194" s="2"/>
      <c r="HZ1194" s="2"/>
      <c r="IA1194" s="2"/>
      <c r="IB1194" s="2"/>
      <c r="IC1194" s="2"/>
      <c r="ID1194" s="2"/>
      <c r="IE1194" s="2"/>
      <c r="IF1194" s="2"/>
      <c r="IG1194" s="2"/>
      <c r="IH1194" s="2"/>
      <c r="II1194" s="2"/>
      <c r="IJ1194" s="2"/>
      <c r="IK1194" s="2">
        <v>0</v>
      </c>
      <c r="IL1194" s="2"/>
      <c r="IM1194" s="2"/>
      <c r="IN1194" s="2"/>
      <c r="IO1194" s="2"/>
      <c r="IP1194" s="2"/>
      <c r="IQ1194" s="2"/>
      <c r="IR1194" s="2"/>
      <c r="IS1194" s="2"/>
      <c r="IT1194" s="2"/>
      <c r="IU1194" s="2"/>
    </row>
    <row r="1195" spans="1:255" x14ac:dyDescent="0.2">
      <c r="A1195">
        <v>18</v>
      </c>
      <c r="B1195">
        <v>1</v>
      </c>
      <c r="C1195">
        <v>1022</v>
      </c>
      <c r="E1195" t="s">
        <v>959</v>
      </c>
      <c r="F1195" t="s">
        <v>248</v>
      </c>
      <c r="G1195" t="s">
        <v>960</v>
      </c>
      <c r="H1195" t="s">
        <v>250</v>
      </c>
      <c r="I1195">
        <f>I1191*J1195</f>
        <v>2</v>
      </c>
      <c r="J1195">
        <v>1</v>
      </c>
      <c r="K1195">
        <v>1</v>
      </c>
      <c r="O1195">
        <f t="shared" si="1012"/>
        <v>9358.61</v>
      </c>
      <c r="P1195">
        <f t="shared" si="1013"/>
        <v>9358.61</v>
      </c>
      <c r="Q1195">
        <f t="shared" si="1043"/>
        <v>0</v>
      </c>
      <c r="R1195">
        <f t="shared" si="1014"/>
        <v>0</v>
      </c>
      <c r="S1195">
        <f t="shared" si="1015"/>
        <v>0</v>
      </c>
      <c r="T1195">
        <f t="shared" si="1016"/>
        <v>0</v>
      </c>
      <c r="U1195">
        <f t="shared" si="1017"/>
        <v>0</v>
      </c>
      <c r="V1195">
        <f t="shared" si="1018"/>
        <v>0</v>
      </c>
      <c r="W1195">
        <f t="shared" si="1019"/>
        <v>0</v>
      </c>
      <c r="X1195">
        <f t="shared" si="1020"/>
        <v>0</v>
      </c>
      <c r="Y1195">
        <f t="shared" si="1021"/>
        <v>0</v>
      </c>
      <c r="AA1195">
        <v>129761633</v>
      </c>
      <c r="AB1195">
        <f t="shared" si="1022"/>
        <v>540.96</v>
      </c>
      <c r="AC1195">
        <f t="shared" si="1023"/>
        <v>540.96</v>
      </c>
      <c r="AD1195">
        <f t="shared" si="1044"/>
        <v>0</v>
      </c>
      <c r="AE1195">
        <f t="shared" si="1045"/>
        <v>0</v>
      </c>
      <c r="AF1195">
        <f t="shared" si="1045"/>
        <v>0</v>
      </c>
      <c r="AG1195">
        <f t="shared" si="1024"/>
        <v>0</v>
      </c>
      <c r="AH1195">
        <f t="shared" si="1046"/>
        <v>0</v>
      </c>
      <c r="AI1195">
        <f t="shared" si="1046"/>
        <v>0</v>
      </c>
      <c r="AJ1195">
        <f t="shared" si="1025"/>
        <v>0</v>
      </c>
      <c r="AK1195">
        <v>540.96</v>
      </c>
      <c r="AL1195">
        <v>540.96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1</v>
      </c>
      <c r="AW1195">
        <v>1</v>
      </c>
      <c r="AZ1195">
        <v>1</v>
      </c>
      <c r="BA1195">
        <v>1</v>
      </c>
      <c r="BB1195">
        <v>1</v>
      </c>
      <c r="BC1195">
        <v>8.65</v>
      </c>
      <c r="BD1195" t="s">
        <v>3</v>
      </c>
      <c r="BE1195" t="s">
        <v>3</v>
      </c>
      <c r="BF1195" t="s">
        <v>3</v>
      </c>
      <c r="BG1195" t="s">
        <v>3</v>
      </c>
      <c r="BH1195">
        <v>3</v>
      </c>
      <c r="BI1195">
        <v>1</v>
      </c>
      <c r="BJ1195" t="s">
        <v>3</v>
      </c>
      <c r="BM1195">
        <v>136</v>
      </c>
      <c r="BN1195">
        <v>0</v>
      </c>
      <c r="BO1195" t="s">
        <v>3</v>
      </c>
      <c r="BP1195">
        <v>0</v>
      </c>
      <c r="BQ1195">
        <v>30</v>
      </c>
      <c r="BR1195">
        <v>0</v>
      </c>
      <c r="BS1195">
        <v>1</v>
      </c>
      <c r="BT1195">
        <v>1</v>
      </c>
      <c r="BU1195">
        <v>1</v>
      </c>
      <c r="BV1195">
        <v>1</v>
      </c>
      <c r="BW1195">
        <v>1</v>
      </c>
      <c r="BX1195">
        <v>1</v>
      </c>
      <c r="BY1195" t="s">
        <v>3</v>
      </c>
      <c r="BZ1195">
        <v>0</v>
      </c>
      <c r="CA1195">
        <v>0</v>
      </c>
      <c r="CB1195" t="s">
        <v>3</v>
      </c>
      <c r="CE1195">
        <v>30</v>
      </c>
      <c r="CF1195">
        <v>0</v>
      </c>
      <c r="CG1195">
        <v>0</v>
      </c>
      <c r="CM1195">
        <v>0</v>
      </c>
      <c r="CN1195" t="s">
        <v>3</v>
      </c>
      <c r="CO1195">
        <v>0</v>
      </c>
      <c r="CP1195">
        <f t="shared" si="1026"/>
        <v>9358.61</v>
      </c>
      <c r="CQ1195">
        <f t="shared" si="1027"/>
        <v>4679.3</v>
      </c>
      <c r="CR1195">
        <f t="shared" si="1047"/>
        <v>0</v>
      </c>
      <c r="CS1195">
        <f t="shared" si="1028"/>
        <v>0</v>
      </c>
      <c r="CT1195">
        <f t="shared" si="1029"/>
        <v>0</v>
      </c>
      <c r="CU1195">
        <f t="shared" si="1030"/>
        <v>0</v>
      </c>
      <c r="CV1195">
        <f t="shared" si="1031"/>
        <v>0</v>
      </c>
      <c r="CW1195">
        <f t="shared" si="1032"/>
        <v>0</v>
      </c>
      <c r="CX1195">
        <f t="shared" si="1033"/>
        <v>0</v>
      </c>
      <c r="CY1195">
        <f>S1195*(BZ1195/100)</f>
        <v>0</v>
      </c>
      <c r="CZ1195">
        <f>S1195*(CA1195/100)</f>
        <v>0</v>
      </c>
      <c r="DC1195" t="s">
        <v>3</v>
      </c>
      <c r="DD1195" t="s">
        <v>3</v>
      </c>
      <c r="DE1195" t="s">
        <v>3</v>
      </c>
      <c r="DF1195" t="s">
        <v>3</v>
      </c>
      <c r="DG1195" t="s">
        <v>3</v>
      </c>
      <c r="DH1195" t="s">
        <v>3</v>
      </c>
      <c r="DI1195" t="s">
        <v>3</v>
      </c>
      <c r="DJ1195" t="s">
        <v>3</v>
      </c>
      <c r="DK1195" t="s">
        <v>3</v>
      </c>
      <c r="DL1195" t="s">
        <v>3</v>
      </c>
      <c r="DM1195" t="s">
        <v>3</v>
      </c>
      <c r="DN1195">
        <v>110</v>
      </c>
      <c r="DO1195">
        <v>74</v>
      </c>
      <c r="DP1195">
        <v>1</v>
      </c>
      <c r="DQ1195">
        <v>1</v>
      </c>
      <c r="DU1195">
        <v>1010</v>
      </c>
      <c r="DV1195" t="s">
        <v>250</v>
      </c>
      <c r="DW1195" t="s">
        <v>250</v>
      </c>
      <c r="DX1195">
        <v>1</v>
      </c>
      <c r="DZ1195" t="s">
        <v>3</v>
      </c>
      <c r="EA1195" t="s">
        <v>3</v>
      </c>
      <c r="EB1195" t="s">
        <v>3</v>
      </c>
      <c r="EC1195" t="s">
        <v>3</v>
      </c>
      <c r="EE1195">
        <v>126051597</v>
      </c>
      <c r="EF1195">
        <v>30</v>
      </c>
      <c r="EG1195" t="s">
        <v>23</v>
      </c>
      <c r="EH1195">
        <v>0</v>
      </c>
      <c r="EI1195" t="s">
        <v>3</v>
      </c>
      <c r="EJ1195">
        <v>1</v>
      </c>
      <c r="EK1195">
        <v>136</v>
      </c>
      <c r="EL1195" t="s">
        <v>955</v>
      </c>
      <c r="EM1195" t="s">
        <v>956</v>
      </c>
      <c r="EO1195" t="s">
        <v>3</v>
      </c>
      <c r="EQ1195">
        <v>0</v>
      </c>
      <c r="ER1195">
        <v>540.96</v>
      </c>
      <c r="ES1195">
        <v>540.96</v>
      </c>
      <c r="ET1195">
        <v>0</v>
      </c>
      <c r="EU1195">
        <v>0</v>
      </c>
      <c r="EV1195">
        <v>0</v>
      </c>
      <c r="EW1195">
        <v>0</v>
      </c>
      <c r="EX1195">
        <v>0</v>
      </c>
      <c r="EZ1195">
        <v>5</v>
      </c>
      <c r="FC1195">
        <v>1</v>
      </c>
      <c r="FD1195">
        <v>18</v>
      </c>
      <c r="FF1195">
        <v>5505</v>
      </c>
      <c r="FQ1195">
        <v>0</v>
      </c>
      <c r="FR1195">
        <f t="shared" si="1034"/>
        <v>0</v>
      </c>
      <c r="FS1195">
        <v>0</v>
      </c>
      <c r="FX1195">
        <v>110</v>
      </c>
      <c r="FY1195">
        <v>74</v>
      </c>
      <c r="GA1195" t="s">
        <v>961</v>
      </c>
      <c r="GD1195">
        <v>0</v>
      </c>
      <c r="GF1195">
        <v>-178680846</v>
      </c>
      <c r="GG1195">
        <v>2</v>
      </c>
      <c r="GH1195">
        <v>3</v>
      </c>
      <c r="GI1195">
        <v>5</v>
      </c>
      <c r="GJ1195">
        <v>0</v>
      </c>
      <c r="GK1195">
        <f>ROUND(R1195*(S12)/100,2)</f>
        <v>0</v>
      </c>
      <c r="GL1195">
        <f t="shared" si="1035"/>
        <v>0</v>
      </c>
      <c r="GM1195">
        <f t="shared" si="1036"/>
        <v>9358.61</v>
      </c>
      <c r="GN1195">
        <f t="shared" si="1037"/>
        <v>9358.61</v>
      </c>
      <c r="GO1195">
        <f t="shared" si="1038"/>
        <v>0</v>
      </c>
      <c r="GP1195">
        <f t="shared" si="1039"/>
        <v>0</v>
      </c>
      <c r="GR1195">
        <v>1</v>
      </c>
      <c r="GS1195">
        <v>1</v>
      </c>
      <c r="GT1195">
        <v>0</v>
      </c>
      <c r="GU1195" t="s">
        <v>3</v>
      </c>
      <c r="GV1195">
        <f t="shared" si="1040"/>
        <v>0</v>
      </c>
      <c r="GW1195">
        <v>1</v>
      </c>
      <c r="GX1195">
        <f t="shared" si="1041"/>
        <v>0</v>
      </c>
      <c r="HA1195">
        <v>0</v>
      </c>
      <c r="HB1195">
        <v>0</v>
      </c>
      <c r="HC1195">
        <f t="shared" si="1042"/>
        <v>0</v>
      </c>
      <c r="HE1195" t="s">
        <v>81</v>
      </c>
      <c r="HF1195" t="s">
        <v>252</v>
      </c>
      <c r="HM1195" t="s">
        <v>3</v>
      </c>
      <c r="HN1195" t="s">
        <v>3</v>
      </c>
      <c r="HO1195" t="s">
        <v>3</v>
      </c>
      <c r="HP1195" t="s">
        <v>3</v>
      </c>
      <c r="HQ1195" t="s">
        <v>3</v>
      </c>
      <c r="IK1195">
        <v>0</v>
      </c>
    </row>
    <row r="1196" spans="1:255" x14ac:dyDescent="0.2">
      <c r="A1196" s="2">
        <v>18</v>
      </c>
      <c r="B1196" s="2">
        <v>1</v>
      </c>
      <c r="C1196" s="2">
        <v>1006</v>
      </c>
      <c r="D1196" s="2"/>
      <c r="E1196" s="2" t="s">
        <v>962</v>
      </c>
      <c r="F1196" s="2" t="s">
        <v>963</v>
      </c>
      <c r="G1196" s="2" t="s">
        <v>964</v>
      </c>
      <c r="H1196" s="2" t="s">
        <v>250</v>
      </c>
      <c r="I1196" s="2">
        <f>I1190*J1196</f>
        <v>0</v>
      </c>
      <c r="J1196" s="2">
        <v>0</v>
      </c>
      <c r="K1196" s="2">
        <v>0</v>
      </c>
      <c r="L1196" s="2"/>
      <c r="M1196" s="2"/>
      <c r="N1196" s="2"/>
      <c r="O1196" s="2">
        <f t="shared" si="1012"/>
        <v>0</v>
      </c>
      <c r="P1196" s="2">
        <f t="shared" si="1013"/>
        <v>0</v>
      </c>
      <c r="Q1196" s="2">
        <f t="shared" si="1043"/>
        <v>0</v>
      </c>
      <c r="R1196" s="2">
        <f t="shared" si="1014"/>
        <v>0</v>
      </c>
      <c r="S1196" s="2">
        <f t="shared" si="1015"/>
        <v>0</v>
      </c>
      <c r="T1196" s="2">
        <f t="shared" si="1016"/>
        <v>0</v>
      </c>
      <c r="U1196" s="2">
        <f t="shared" si="1017"/>
        <v>0</v>
      </c>
      <c r="V1196" s="2">
        <f t="shared" si="1018"/>
        <v>0</v>
      </c>
      <c r="W1196" s="2">
        <f t="shared" si="1019"/>
        <v>0</v>
      </c>
      <c r="X1196" s="2">
        <f t="shared" si="1020"/>
        <v>0</v>
      </c>
      <c r="Y1196" s="2">
        <f t="shared" si="1021"/>
        <v>0</v>
      </c>
      <c r="Z1196" s="2"/>
      <c r="AA1196" s="2">
        <v>129761636</v>
      </c>
      <c r="AB1196" s="2">
        <f t="shared" si="1022"/>
        <v>465.12</v>
      </c>
      <c r="AC1196" s="2">
        <f t="shared" si="1023"/>
        <v>465.12</v>
      </c>
      <c r="AD1196" s="2">
        <f t="shared" si="1044"/>
        <v>0</v>
      </c>
      <c r="AE1196" s="2">
        <f t="shared" si="1045"/>
        <v>0</v>
      </c>
      <c r="AF1196" s="2">
        <f t="shared" si="1045"/>
        <v>0</v>
      </c>
      <c r="AG1196" s="2">
        <f t="shared" si="1024"/>
        <v>0</v>
      </c>
      <c r="AH1196" s="2">
        <f t="shared" si="1046"/>
        <v>0</v>
      </c>
      <c r="AI1196" s="2">
        <f t="shared" si="1046"/>
        <v>0</v>
      </c>
      <c r="AJ1196" s="2">
        <f t="shared" si="1025"/>
        <v>0</v>
      </c>
      <c r="AK1196" s="2">
        <v>465.12</v>
      </c>
      <c r="AL1196" s="2">
        <v>465.12</v>
      </c>
      <c r="AM1196" s="2">
        <v>0</v>
      </c>
      <c r="AN1196" s="2">
        <v>0</v>
      </c>
      <c r="AO1196" s="2">
        <v>0</v>
      </c>
      <c r="AP1196" s="2">
        <v>0</v>
      </c>
      <c r="AQ1196" s="2">
        <v>0</v>
      </c>
      <c r="AR1196" s="2">
        <v>0</v>
      </c>
      <c r="AS1196" s="2">
        <v>0</v>
      </c>
      <c r="AT1196" s="2">
        <v>110</v>
      </c>
      <c r="AU1196" s="2">
        <v>74</v>
      </c>
      <c r="AV1196" s="2">
        <v>1</v>
      </c>
      <c r="AW1196" s="2">
        <v>1</v>
      </c>
      <c r="AX1196" s="2"/>
      <c r="AY1196" s="2"/>
      <c r="AZ1196" s="2">
        <v>1</v>
      </c>
      <c r="BA1196" s="2">
        <v>1</v>
      </c>
      <c r="BB1196" s="2">
        <v>1</v>
      </c>
      <c r="BC1196" s="2">
        <v>1</v>
      </c>
      <c r="BD1196" s="2" t="s">
        <v>3</v>
      </c>
      <c r="BE1196" s="2" t="s">
        <v>3</v>
      </c>
      <c r="BF1196" s="2" t="s">
        <v>3</v>
      </c>
      <c r="BG1196" s="2" t="s">
        <v>3</v>
      </c>
      <c r="BH1196" s="2">
        <v>3</v>
      </c>
      <c r="BI1196" s="2">
        <v>1</v>
      </c>
      <c r="BJ1196" s="2" t="s">
        <v>965</v>
      </c>
      <c r="BK1196" s="2"/>
      <c r="BL1196" s="2"/>
      <c r="BM1196" s="2">
        <v>136</v>
      </c>
      <c r="BN1196" s="2">
        <v>0</v>
      </c>
      <c r="BO1196" s="2" t="s">
        <v>3</v>
      </c>
      <c r="BP1196" s="2">
        <v>0</v>
      </c>
      <c r="BQ1196" s="2">
        <v>30</v>
      </c>
      <c r="BR1196" s="2">
        <v>0</v>
      </c>
      <c r="BS1196" s="2">
        <v>1</v>
      </c>
      <c r="BT1196" s="2">
        <v>1</v>
      </c>
      <c r="BU1196" s="2">
        <v>1</v>
      </c>
      <c r="BV1196" s="2">
        <v>1</v>
      </c>
      <c r="BW1196" s="2">
        <v>1</v>
      </c>
      <c r="BX1196" s="2">
        <v>1</v>
      </c>
      <c r="BY1196" s="2" t="s">
        <v>3</v>
      </c>
      <c r="BZ1196" s="2">
        <v>110</v>
      </c>
      <c r="CA1196" s="2">
        <v>74</v>
      </c>
      <c r="CB1196" s="2" t="s">
        <v>3</v>
      </c>
      <c r="CC1196" s="2"/>
      <c r="CD1196" s="2"/>
      <c r="CE1196" s="2">
        <v>30</v>
      </c>
      <c r="CF1196" s="2">
        <v>0</v>
      </c>
      <c r="CG1196" s="2">
        <v>0</v>
      </c>
      <c r="CH1196" s="2"/>
      <c r="CI1196" s="2"/>
      <c r="CJ1196" s="2"/>
      <c r="CK1196" s="2"/>
      <c r="CL1196" s="2"/>
      <c r="CM1196" s="2">
        <v>0</v>
      </c>
      <c r="CN1196" s="2" t="s">
        <v>3</v>
      </c>
      <c r="CO1196" s="2">
        <v>0</v>
      </c>
      <c r="CP1196" s="2">
        <f t="shared" si="1026"/>
        <v>0</v>
      </c>
      <c r="CQ1196" s="2">
        <f t="shared" si="1027"/>
        <v>465.12</v>
      </c>
      <c r="CR1196" s="2">
        <f t="shared" si="1047"/>
        <v>0</v>
      </c>
      <c r="CS1196" s="2">
        <f t="shared" si="1028"/>
        <v>0</v>
      </c>
      <c r="CT1196" s="2">
        <f t="shared" si="1029"/>
        <v>0</v>
      </c>
      <c r="CU1196" s="2">
        <f t="shared" si="1030"/>
        <v>0</v>
      </c>
      <c r="CV1196" s="2">
        <f t="shared" si="1031"/>
        <v>0</v>
      </c>
      <c r="CW1196" s="2">
        <f t="shared" si="1032"/>
        <v>0</v>
      </c>
      <c r="CX1196" s="2">
        <f t="shared" si="1033"/>
        <v>0</v>
      </c>
      <c r="CY1196" s="2">
        <f>((S1196*BZ1196)/100)</f>
        <v>0</v>
      </c>
      <c r="CZ1196" s="2">
        <f>((S1196*CA1196)/100)</f>
        <v>0</v>
      </c>
      <c r="DA1196" s="2"/>
      <c r="DB1196" s="2"/>
      <c r="DC1196" s="2" t="s">
        <v>3</v>
      </c>
      <c r="DD1196" s="2" t="s">
        <v>3</v>
      </c>
      <c r="DE1196" s="2" t="s">
        <v>3</v>
      </c>
      <c r="DF1196" s="2" t="s">
        <v>3</v>
      </c>
      <c r="DG1196" s="2" t="s">
        <v>3</v>
      </c>
      <c r="DH1196" s="2" t="s">
        <v>3</v>
      </c>
      <c r="DI1196" s="2" t="s">
        <v>3</v>
      </c>
      <c r="DJ1196" s="2" t="s">
        <v>3</v>
      </c>
      <c r="DK1196" s="2" t="s">
        <v>3</v>
      </c>
      <c r="DL1196" s="2" t="s">
        <v>3</v>
      </c>
      <c r="DM1196" s="2" t="s">
        <v>3</v>
      </c>
      <c r="DN1196" s="2">
        <v>0</v>
      </c>
      <c r="DO1196" s="2">
        <v>0</v>
      </c>
      <c r="DP1196" s="2">
        <v>1</v>
      </c>
      <c r="DQ1196" s="2">
        <v>1</v>
      </c>
      <c r="DR1196" s="2"/>
      <c r="DS1196" s="2"/>
      <c r="DT1196" s="2"/>
      <c r="DU1196" s="2">
        <v>1010</v>
      </c>
      <c r="DV1196" s="2" t="s">
        <v>250</v>
      </c>
      <c r="DW1196" s="2" t="s">
        <v>250</v>
      </c>
      <c r="DX1196" s="2">
        <v>1</v>
      </c>
      <c r="DY1196" s="2"/>
      <c r="DZ1196" s="2" t="s">
        <v>3</v>
      </c>
      <c r="EA1196" s="2" t="s">
        <v>3</v>
      </c>
      <c r="EB1196" s="2" t="s">
        <v>3</v>
      </c>
      <c r="EC1196" s="2" t="s">
        <v>3</v>
      </c>
      <c r="ED1196" s="2"/>
      <c r="EE1196" s="2">
        <v>126051597</v>
      </c>
      <c r="EF1196" s="2">
        <v>30</v>
      </c>
      <c r="EG1196" s="2" t="s">
        <v>23</v>
      </c>
      <c r="EH1196" s="2">
        <v>0</v>
      </c>
      <c r="EI1196" s="2" t="s">
        <v>3</v>
      </c>
      <c r="EJ1196" s="2">
        <v>1</v>
      </c>
      <c r="EK1196" s="2">
        <v>136</v>
      </c>
      <c r="EL1196" s="2" t="s">
        <v>955</v>
      </c>
      <c r="EM1196" s="2" t="s">
        <v>956</v>
      </c>
      <c r="EN1196" s="2"/>
      <c r="EO1196" s="2" t="s">
        <v>3</v>
      </c>
      <c r="EP1196" s="2"/>
      <c r="EQ1196" s="2">
        <v>0</v>
      </c>
      <c r="ER1196" s="2">
        <v>465.12</v>
      </c>
      <c r="ES1196" s="2">
        <v>465.12</v>
      </c>
      <c r="ET1196" s="2">
        <v>0</v>
      </c>
      <c r="EU1196" s="2">
        <v>0</v>
      </c>
      <c r="EV1196" s="2">
        <v>0</v>
      </c>
      <c r="EW1196" s="2">
        <v>0</v>
      </c>
      <c r="EX1196" s="2">
        <v>0</v>
      </c>
      <c r="EY1196" s="2"/>
      <c r="EZ1196" s="2"/>
      <c r="FA1196" s="2"/>
      <c r="FB1196" s="2"/>
      <c r="FC1196" s="2"/>
      <c r="FD1196" s="2"/>
      <c r="FE1196" s="2"/>
      <c r="FF1196" s="2"/>
      <c r="FG1196" s="2"/>
      <c r="FH1196" s="2"/>
      <c r="FI1196" s="2"/>
      <c r="FJ1196" s="2"/>
      <c r="FK1196" s="2"/>
      <c r="FL1196" s="2"/>
      <c r="FM1196" s="2"/>
      <c r="FN1196" s="2"/>
      <c r="FO1196" s="2"/>
      <c r="FP1196" s="2"/>
      <c r="FQ1196" s="2">
        <v>0</v>
      </c>
      <c r="FR1196" s="2">
        <f t="shared" si="1034"/>
        <v>0</v>
      </c>
      <c r="FS1196" s="2">
        <v>0</v>
      </c>
      <c r="FT1196" s="2"/>
      <c r="FU1196" s="2"/>
      <c r="FV1196" s="2"/>
      <c r="FW1196" s="2"/>
      <c r="FX1196" s="2">
        <v>110</v>
      </c>
      <c r="FY1196" s="2">
        <v>74</v>
      </c>
      <c r="FZ1196" s="2"/>
      <c r="GA1196" s="2" t="s">
        <v>3</v>
      </c>
      <c r="GB1196" s="2"/>
      <c r="GC1196" s="2"/>
      <c r="GD1196" s="2">
        <v>0</v>
      </c>
      <c r="GE1196" s="2"/>
      <c r="GF1196" s="2">
        <v>-1353685850</v>
      </c>
      <c r="GG1196" s="2">
        <v>2</v>
      </c>
      <c r="GH1196" s="2">
        <v>1</v>
      </c>
      <c r="GI1196" s="2">
        <v>-2</v>
      </c>
      <c r="GJ1196" s="2">
        <v>0</v>
      </c>
      <c r="GK1196" s="2">
        <f>ROUND(R1196*(R12)/100,2)</f>
        <v>0</v>
      </c>
      <c r="GL1196" s="2">
        <f t="shared" si="1035"/>
        <v>0</v>
      </c>
      <c r="GM1196" s="2">
        <f t="shared" si="1036"/>
        <v>0</v>
      </c>
      <c r="GN1196" s="2">
        <f t="shared" si="1037"/>
        <v>0</v>
      </c>
      <c r="GO1196" s="2">
        <f t="shared" si="1038"/>
        <v>0</v>
      </c>
      <c r="GP1196" s="2">
        <f t="shared" si="1039"/>
        <v>0</v>
      </c>
      <c r="GQ1196" s="2"/>
      <c r="GR1196" s="2">
        <v>0</v>
      </c>
      <c r="GS1196" s="2">
        <v>0</v>
      </c>
      <c r="GT1196" s="2">
        <v>0</v>
      </c>
      <c r="GU1196" s="2" t="s">
        <v>3</v>
      </c>
      <c r="GV1196" s="2">
        <f t="shared" si="1040"/>
        <v>0</v>
      </c>
      <c r="GW1196" s="2">
        <v>1</v>
      </c>
      <c r="GX1196" s="2">
        <f t="shared" si="1041"/>
        <v>0</v>
      </c>
      <c r="GY1196" s="2"/>
      <c r="GZ1196" s="2"/>
      <c r="HA1196" s="2">
        <v>0</v>
      </c>
      <c r="HB1196" s="2">
        <v>0</v>
      </c>
      <c r="HC1196" s="2">
        <f t="shared" si="1042"/>
        <v>0</v>
      </c>
      <c r="HD1196" s="2"/>
      <c r="HE1196" s="2" t="s">
        <v>3</v>
      </c>
      <c r="HF1196" s="2" t="s">
        <v>3</v>
      </c>
      <c r="HG1196" s="2"/>
      <c r="HH1196" s="2"/>
      <c r="HI1196" s="2"/>
      <c r="HJ1196" s="2"/>
      <c r="HK1196" s="2"/>
      <c r="HL1196" s="2"/>
      <c r="HM1196" s="2" t="s">
        <v>3</v>
      </c>
      <c r="HN1196" s="2" t="s">
        <v>3</v>
      </c>
      <c r="HO1196" s="2" t="s">
        <v>3</v>
      </c>
      <c r="HP1196" s="2" t="s">
        <v>3</v>
      </c>
      <c r="HQ1196" s="2" t="s">
        <v>3</v>
      </c>
      <c r="HR1196" s="2"/>
      <c r="HS1196" s="2"/>
      <c r="HT1196" s="2"/>
      <c r="HU1196" s="2"/>
      <c r="HV1196" s="2"/>
      <c r="HW1196" s="2"/>
      <c r="HX1196" s="2"/>
      <c r="HY1196" s="2"/>
      <c r="HZ1196" s="2"/>
      <c r="IA1196" s="2"/>
      <c r="IB1196" s="2"/>
      <c r="IC1196" s="2"/>
      <c r="ID1196" s="2"/>
      <c r="IE1196" s="2"/>
      <c r="IF1196" s="2"/>
      <c r="IG1196" s="2"/>
      <c r="IH1196" s="2"/>
      <c r="II1196" s="2"/>
      <c r="IJ1196" s="2"/>
      <c r="IK1196" s="2">
        <v>0</v>
      </c>
      <c r="IL1196" s="2"/>
      <c r="IM1196" s="2"/>
      <c r="IN1196" s="2"/>
      <c r="IO1196" s="2"/>
      <c r="IP1196" s="2"/>
      <c r="IQ1196" s="2"/>
      <c r="IR1196" s="2"/>
      <c r="IS1196" s="2"/>
      <c r="IT1196" s="2"/>
      <c r="IU1196" s="2"/>
    </row>
    <row r="1197" spans="1:255" x14ac:dyDescent="0.2">
      <c r="A1197">
        <v>18</v>
      </c>
      <c r="B1197">
        <v>1</v>
      </c>
      <c r="C1197">
        <v>1020</v>
      </c>
      <c r="E1197" t="s">
        <v>962</v>
      </c>
      <c r="F1197" t="s">
        <v>963</v>
      </c>
      <c r="G1197" t="s">
        <v>964</v>
      </c>
      <c r="H1197" t="s">
        <v>250</v>
      </c>
      <c r="I1197">
        <f>I1191*J1197</f>
        <v>0</v>
      </c>
      <c r="J1197">
        <v>0</v>
      </c>
      <c r="K1197">
        <v>0</v>
      </c>
      <c r="O1197">
        <f t="shared" si="1012"/>
        <v>0</v>
      </c>
      <c r="P1197">
        <f t="shared" si="1013"/>
        <v>0</v>
      </c>
      <c r="Q1197">
        <f t="shared" si="1043"/>
        <v>0</v>
      </c>
      <c r="R1197">
        <f t="shared" si="1014"/>
        <v>0</v>
      </c>
      <c r="S1197">
        <f t="shared" si="1015"/>
        <v>0</v>
      </c>
      <c r="T1197">
        <f t="shared" si="1016"/>
        <v>0</v>
      </c>
      <c r="U1197">
        <f t="shared" si="1017"/>
        <v>0</v>
      </c>
      <c r="V1197">
        <f t="shared" si="1018"/>
        <v>0</v>
      </c>
      <c r="W1197">
        <f t="shared" si="1019"/>
        <v>0</v>
      </c>
      <c r="X1197">
        <f t="shared" si="1020"/>
        <v>0</v>
      </c>
      <c r="Y1197">
        <f t="shared" si="1021"/>
        <v>0</v>
      </c>
      <c r="AA1197">
        <v>129761633</v>
      </c>
      <c r="AB1197">
        <f t="shared" si="1022"/>
        <v>465.12</v>
      </c>
      <c r="AC1197">
        <f t="shared" si="1023"/>
        <v>465.12</v>
      </c>
      <c r="AD1197">
        <f t="shared" si="1044"/>
        <v>0</v>
      </c>
      <c r="AE1197">
        <f t="shared" si="1045"/>
        <v>0</v>
      </c>
      <c r="AF1197">
        <f t="shared" si="1045"/>
        <v>0</v>
      </c>
      <c r="AG1197">
        <f t="shared" si="1024"/>
        <v>0</v>
      </c>
      <c r="AH1197">
        <f t="shared" si="1046"/>
        <v>0</v>
      </c>
      <c r="AI1197">
        <f t="shared" si="1046"/>
        <v>0</v>
      </c>
      <c r="AJ1197">
        <f t="shared" si="1025"/>
        <v>0</v>
      </c>
      <c r="AK1197">
        <v>465.12</v>
      </c>
      <c r="AL1197">
        <v>465.12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  <c r="AV1197">
        <v>1</v>
      </c>
      <c r="AW1197">
        <v>1</v>
      </c>
      <c r="AZ1197">
        <v>1</v>
      </c>
      <c r="BA1197">
        <v>1</v>
      </c>
      <c r="BB1197">
        <v>1</v>
      </c>
      <c r="BC1197">
        <v>10.62</v>
      </c>
      <c r="BD1197" t="s">
        <v>3</v>
      </c>
      <c r="BE1197" t="s">
        <v>3</v>
      </c>
      <c r="BF1197" t="s">
        <v>3</v>
      </c>
      <c r="BG1197" t="s">
        <v>3</v>
      </c>
      <c r="BH1197">
        <v>3</v>
      </c>
      <c r="BI1197">
        <v>1</v>
      </c>
      <c r="BJ1197" t="s">
        <v>965</v>
      </c>
      <c r="BM1197">
        <v>136</v>
      </c>
      <c r="BN1197">
        <v>0</v>
      </c>
      <c r="BO1197" t="s">
        <v>963</v>
      </c>
      <c r="BP1197">
        <v>1</v>
      </c>
      <c r="BQ1197">
        <v>30</v>
      </c>
      <c r="BR1197">
        <v>0</v>
      </c>
      <c r="BS1197">
        <v>1</v>
      </c>
      <c r="BT1197">
        <v>1</v>
      </c>
      <c r="BU1197">
        <v>1</v>
      </c>
      <c r="BV1197">
        <v>1</v>
      </c>
      <c r="BW1197">
        <v>1</v>
      </c>
      <c r="BX1197">
        <v>1</v>
      </c>
      <c r="BY1197" t="s">
        <v>3</v>
      </c>
      <c r="BZ1197">
        <v>0</v>
      </c>
      <c r="CA1197">
        <v>0</v>
      </c>
      <c r="CB1197" t="s">
        <v>3</v>
      </c>
      <c r="CE1197">
        <v>30</v>
      </c>
      <c r="CF1197">
        <v>0</v>
      </c>
      <c r="CG1197">
        <v>0</v>
      </c>
      <c r="CM1197">
        <v>0</v>
      </c>
      <c r="CN1197" t="s">
        <v>3</v>
      </c>
      <c r="CO1197">
        <v>0</v>
      </c>
      <c r="CP1197">
        <f t="shared" si="1026"/>
        <v>0</v>
      </c>
      <c r="CQ1197">
        <f t="shared" si="1027"/>
        <v>4939.57</v>
      </c>
      <c r="CR1197">
        <f t="shared" si="1047"/>
        <v>0</v>
      </c>
      <c r="CS1197">
        <f t="shared" si="1028"/>
        <v>0</v>
      </c>
      <c r="CT1197">
        <f t="shared" si="1029"/>
        <v>0</v>
      </c>
      <c r="CU1197">
        <f t="shared" si="1030"/>
        <v>0</v>
      </c>
      <c r="CV1197">
        <f t="shared" si="1031"/>
        <v>0</v>
      </c>
      <c r="CW1197">
        <f t="shared" si="1032"/>
        <v>0</v>
      </c>
      <c r="CX1197">
        <f t="shared" si="1033"/>
        <v>0</v>
      </c>
      <c r="CY1197">
        <f>S1197*(BZ1197/100)</f>
        <v>0</v>
      </c>
      <c r="CZ1197">
        <f>S1197*(CA1197/100)</f>
        <v>0</v>
      </c>
      <c r="DC1197" t="s">
        <v>3</v>
      </c>
      <c r="DD1197" t="s">
        <v>3</v>
      </c>
      <c r="DE1197" t="s">
        <v>3</v>
      </c>
      <c r="DF1197" t="s">
        <v>3</v>
      </c>
      <c r="DG1197" t="s">
        <v>3</v>
      </c>
      <c r="DH1197" t="s">
        <v>3</v>
      </c>
      <c r="DI1197" t="s">
        <v>3</v>
      </c>
      <c r="DJ1197" t="s">
        <v>3</v>
      </c>
      <c r="DK1197" t="s">
        <v>3</v>
      </c>
      <c r="DL1197" t="s">
        <v>3</v>
      </c>
      <c r="DM1197" t="s">
        <v>3</v>
      </c>
      <c r="DN1197">
        <v>110</v>
      </c>
      <c r="DO1197">
        <v>74</v>
      </c>
      <c r="DP1197">
        <v>1</v>
      </c>
      <c r="DQ1197">
        <v>1</v>
      </c>
      <c r="DU1197">
        <v>1010</v>
      </c>
      <c r="DV1197" t="s">
        <v>250</v>
      </c>
      <c r="DW1197" t="s">
        <v>250</v>
      </c>
      <c r="DX1197">
        <v>1</v>
      </c>
      <c r="DZ1197" t="s">
        <v>3</v>
      </c>
      <c r="EA1197" t="s">
        <v>3</v>
      </c>
      <c r="EB1197" t="s">
        <v>3</v>
      </c>
      <c r="EC1197" t="s">
        <v>3</v>
      </c>
      <c r="EE1197">
        <v>126051597</v>
      </c>
      <c r="EF1197">
        <v>30</v>
      </c>
      <c r="EG1197" t="s">
        <v>23</v>
      </c>
      <c r="EH1197">
        <v>0</v>
      </c>
      <c r="EI1197" t="s">
        <v>3</v>
      </c>
      <c r="EJ1197">
        <v>1</v>
      </c>
      <c r="EK1197">
        <v>136</v>
      </c>
      <c r="EL1197" t="s">
        <v>955</v>
      </c>
      <c r="EM1197" t="s">
        <v>956</v>
      </c>
      <c r="EO1197" t="s">
        <v>3</v>
      </c>
      <c r="EQ1197">
        <v>0</v>
      </c>
      <c r="ER1197">
        <v>465.12</v>
      </c>
      <c r="ES1197">
        <v>465.12</v>
      </c>
      <c r="ET1197">
        <v>0</v>
      </c>
      <c r="EU1197">
        <v>0</v>
      </c>
      <c r="EV1197">
        <v>0</v>
      </c>
      <c r="EW1197">
        <v>0</v>
      </c>
      <c r="EX1197">
        <v>0</v>
      </c>
      <c r="FQ1197">
        <v>0</v>
      </c>
      <c r="FR1197">
        <f t="shared" si="1034"/>
        <v>0</v>
      </c>
      <c r="FS1197">
        <v>0</v>
      </c>
      <c r="FX1197">
        <v>110</v>
      </c>
      <c r="FY1197">
        <v>74</v>
      </c>
      <c r="GA1197" t="s">
        <v>3</v>
      </c>
      <c r="GD1197">
        <v>0</v>
      </c>
      <c r="GF1197">
        <v>-1353685850</v>
      </c>
      <c r="GG1197">
        <v>2</v>
      </c>
      <c r="GH1197">
        <v>1</v>
      </c>
      <c r="GI1197">
        <v>2</v>
      </c>
      <c r="GJ1197">
        <v>0</v>
      </c>
      <c r="GK1197">
        <f>ROUND(R1197*(S12)/100,2)</f>
        <v>0</v>
      </c>
      <c r="GL1197">
        <f t="shared" si="1035"/>
        <v>0</v>
      </c>
      <c r="GM1197">
        <f t="shared" si="1036"/>
        <v>0</v>
      </c>
      <c r="GN1197">
        <f t="shared" si="1037"/>
        <v>0</v>
      </c>
      <c r="GO1197">
        <f t="shared" si="1038"/>
        <v>0</v>
      </c>
      <c r="GP1197">
        <f t="shared" si="1039"/>
        <v>0</v>
      </c>
      <c r="GR1197">
        <v>0</v>
      </c>
      <c r="GS1197">
        <v>3</v>
      </c>
      <c r="GT1197">
        <v>0</v>
      </c>
      <c r="GU1197" t="s">
        <v>3</v>
      </c>
      <c r="GV1197">
        <f t="shared" si="1040"/>
        <v>0</v>
      </c>
      <c r="GW1197">
        <v>1</v>
      </c>
      <c r="GX1197">
        <f t="shared" si="1041"/>
        <v>0</v>
      </c>
      <c r="HA1197">
        <v>0</v>
      </c>
      <c r="HB1197">
        <v>0</v>
      </c>
      <c r="HC1197">
        <f t="shared" si="1042"/>
        <v>0</v>
      </c>
      <c r="HE1197" t="s">
        <v>3</v>
      </c>
      <c r="HF1197" t="s">
        <v>3</v>
      </c>
      <c r="HM1197" t="s">
        <v>3</v>
      </c>
      <c r="HN1197" t="s">
        <v>3</v>
      </c>
      <c r="HO1197" t="s">
        <v>3</v>
      </c>
      <c r="HP1197" t="s">
        <v>3</v>
      </c>
      <c r="HQ1197" t="s">
        <v>3</v>
      </c>
      <c r="IK1197">
        <v>0</v>
      </c>
    </row>
    <row r="1198" spans="1:255" x14ac:dyDescent="0.2">
      <c r="A1198" s="2">
        <v>17</v>
      </c>
      <c r="B1198" s="2">
        <v>1</v>
      </c>
      <c r="C1198" s="2">
        <f>ROW(SmtRes!A1030)</f>
        <v>1030</v>
      </c>
      <c r="D1198" s="2">
        <f>ROW(EtalonRes!A991)</f>
        <v>991</v>
      </c>
      <c r="E1198" s="2" t="s">
        <v>228</v>
      </c>
      <c r="F1198" s="2" t="s">
        <v>966</v>
      </c>
      <c r="G1198" s="2" t="s">
        <v>967</v>
      </c>
      <c r="H1198" s="2" t="s">
        <v>953</v>
      </c>
      <c r="I1198" s="2">
        <v>1</v>
      </c>
      <c r="J1198" s="2">
        <v>0</v>
      </c>
      <c r="K1198" s="2">
        <v>1</v>
      </c>
      <c r="L1198" s="2"/>
      <c r="M1198" s="2"/>
      <c r="N1198" s="2"/>
      <c r="O1198" s="2">
        <f t="shared" si="1012"/>
        <v>48.02</v>
      </c>
      <c r="P1198" s="2">
        <f t="shared" si="1013"/>
        <v>11.48</v>
      </c>
      <c r="Q1198" s="2">
        <f>(ROUND((ROUND((((ET1198*1.25))*AV1198*I1198),2)*BB1198),2)+ROUND((ROUND(((AE1198-((EU1198*1.25)))*AV1198*I1198),2)*BS1198),2))</f>
        <v>4.6500000000000004</v>
      </c>
      <c r="R1198" s="2">
        <f t="shared" si="1014"/>
        <v>1.1000000000000001</v>
      </c>
      <c r="S1198" s="2">
        <f t="shared" si="1015"/>
        <v>31.89</v>
      </c>
      <c r="T1198" s="2">
        <f t="shared" si="1016"/>
        <v>0</v>
      </c>
      <c r="U1198" s="2">
        <f t="shared" si="1017"/>
        <v>2.5529999999999999</v>
      </c>
      <c r="V1198" s="2">
        <f t="shared" si="1018"/>
        <v>0</v>
      </c>
      <c r="W1198" s="2">
        <f t="shared" si="1019"/>
        <v>0</v>
      </c>
      <c r="X1198" s="2">
        <f t="shared" si="1020"/>
        <v>35.08</v>
      </c>
      <c r="Y1198" s="2">
        <f t="shared" si="1021"/>
        <v>23.6</v>
      </c>
      <c r="Z1198" s="2"/>
      <c r="AA1198" s="2">
        <v>129761636</v>
      </c>
      <c r="AB1198" s="2">
        <f t="shared" si="1022"/>
        <v>48.019500000000001</v>
      </c>
      <c r="AC1198" s="2">
        <f t="shared" si="1023"/>
        <v>11.48</v>
      </c>
      <c r="AD1198" s="2">
        <f>ROUND(((((ET1198*1.25))-((EU1198*1.25)))+AE1198),6)</f>
        <v>4.6500000000000004</v>
      </c>
      <c r="AE1198" s="2">
        <f>ROUND(((EU1198*1.25)),6)</f>
        <v>1.1000000000000001</v>
      </c>
      <c r="AF1198" s="2">
        <f>ROUND(((EV1198*1.15)),6)</f>
        <v>31.889500000000002</v>
      </c>
      <c r="AG1198" s="2">
        <f t="shared" si="1024"/>
        <v>0</v>
      </c>
      <c r="AH1198" s="2">
        <f>((EW1198*1.15))</f>
        <v>2.5529999999999999</v>
      </c>
      <c r="AI1198" s="2">
        <f>((EX1198*1.25))</f>
        <v>0</v>
      </c>
      <c r="AJ1198" s="2">
        <f t="shared" si="1025"/>
        <v>0</v>
      </c>
      <c r="AK1198" s="2">
        <v>42.93</v>
      </c>
      <c r="AL1198" s="2">
        <v>11.48</v>
      </c>
      <c r="AM1198" s="2">
        <v>3.72</v>
      </c>
      <c r="AN1198" s="2">
        <v>0.88</v>
      </c>
      <c r="AO1198" s="2">
        <v>27.73</v>
      </c>
      <c r="AP1198" s="2">
        <v>0</v>
      </c>
      <c r="AQ1198" s="2">
        <v>2.2200000000000002</v>
      </c>
      <c r="AR1198" s="2">
        <v>0</v>
      </c>
      <c r="AS1198" s="2">
        <v>0</v>
      </c>
      <c r="AT1198" s="2">
        <v>110</v>
      </c>
      <c r="AU1198" s="2">
        <v>74</v>
      </c>
      <c r="AV1198" s="2">
        <v>1</v>
      </c>
      <c r="AW1198" s="2">
        <v>1</v>
      </c>
      <c r="AX1198" s="2"/>
      <c r="AY1198" s="2"/>
      <c r="AZ1198" s="2">
        <v>1</v>
      </c>
      <c r="BA1198" s="2">
        <v>1</v>
      </c>
      <c r="BB1198" s="2">
        <v>1</v>
      </c>
      <c r="BC1198" s="2">
        <v>1</v>
      </c>
      <c r="BD1198" s="2" t="s">
        <v>3</v>
      </c>
      <c r="BE1198" s="2" t="s">
        <v>3</v>
      </c>
      <c r="BF1198" s="2" t="s">
        <v>3</v>
      </c>
      <c r="BG1198" s="2" t="s">
        <v>3</v>
      </c>
      <c r="BH1198" s="2">
        <v>0</v>
      </c>
      <c r="BI1198" s="2">
        <v>1</v>
      </c>
      <c r="BJ1198" s="2" t="s">
        <v>968</v>
      </c>
      <c r="BK1198" s="2"/>
      <c r="BL1198" s="2"/>
      <c r="BM1198" s="2">
        <v>136</v>
      </c>
      <c r="BN1198" s="2">
        <v>0</v>
      </c>
      <c r="BO1198" s="2" t="s">
        <v>3</v>
      </c>
      <c r="BP1198" s="2">
        <v>0</v>
      </c>
      <c r="BQ1198" s="2">
        <v>30</v>
      </c>
      <c r="BR1198" s="2">
        <v>0</v>
      </c>
      <c r="BS1198" s="2">
        <v>1</v>
      </c>
      <c r="BT1198" s="2">
        <v>1</v>
      </c>
      <c r="BU1198" s="2">
        <v>1</v>
      </c>
      <c r="BV1198" s="2">
        <v>1</v>
      </c>
      <c r="BW1198" s="2">
        <v>1</v>
      </c>
      <c r="BX1198" s="2">
        <v>1</v>
      </c>
      <c r="BY1198" s="2" t="s">
        <v>3</v>
      </c>
      <c r="BZ1198" s="2">
        <v>110</v>
      </c>
      <c r="CA1198" s="2">
        <v>74</v>
      </c>
      <c r="CB1198" s="2" t="s">
        <v>3</v>
      </c>
      <c r="CC1198" s="2"/>
      <c r="CD1198" s="2"/>
      <c r="CE1198" s="2">
        <v>30</v>
      </c>
      <c r="CF1198" s="2">
        <v>0</v>
      </c>
      <c r="CG1198" s="2">
        <v>0</v>
      </c>
      <c r="CH1198" s="2"/>
      <c r="CI1198" s="2"/>
      <c r="CJ1198" s="2"/>
      <c r="CK1198" s="2"/>
      <c r="CL1198" s="2"/>
      <c r="CM1198" s="2">
        <v>0</v>
      </c>
      <c r="CN1198" s="2" t="s">
        <v>1559</v>
      </c>
      <c r="CO1198" s="2">
        <v>0</v>
      </c>
      <c r="CP1198" s="2">
        <f t="shared" si="1026"/>
        <v>48.02</v>
      </c>
      <c r="CQ1198" s="2">
        <f t="shared" si="1027"/>
        <v>11.48</v>
      </c>
      <c r="CR1198" s="2">
        <f>(ROUND((ROUND((((ET1198*1.25))*AV1198*1),2)*BB1198),2)+ROUND((ROUND(((AE1198-((EU1198*1.25)))*AV1198*1),2)*BS1198),2))</f>
        <v>4.6500000000000004</v>
      </c>
      <c r="CS1198" s="2">
        <f t="shared" si="1028"/>
        <v>1.1000000000000001</v>
      </c>
      <c r="CT1198" s="2">
        <f t="shared" si="1029"/>
        <v>31.89</v>
      </c>
      <c r="CU1198" s="2">
        <f t="shared" si="1030"/>
        <v>0</v>
      </c>
      <c r="CV1198" s="2">
        <f t="shared" si="1031"/>
        <v>2.5529999999999999</v>
      </c>
      <c r="CW1198" s="2">
        <f t="shared" si="1032"/>
        <v>0</v>
      </c>
      <c r="CX1198" s="2">
        <f t="shared" si="1033"/>
        <v>0</v>
      </c>
      <c r="CY1198" s="2">
        <f>((S1198*BZ1198)/100)</f>
        <v>35.079000000000001</v>
      </c>
      <c r="CZ1198" s="2">
        <f>((S1198*CA1198)/100)</f>
        <v>23.598600000000001</v>
      </c>
      <c r="DA1198" s="2"/>
      <c r="DB1198" s="2"/>
      <c r="DC1198" s="2" t="s">
        <v>3</v>
      </c>
      <c r="DD1198" s="2" t="s">
        <v>3</v>
      </c>
      <c r="DE1198" s="2" t="s">
        <v>86</v>
      </c>
      <c r="DF1198" s="2" t="s">
        <v>86</v>
      </c>
      <c r="DG1198" s="2" t="s">
        <v>87</v>
      </c>
      <c r="DH1198" s="2" t="s">
        <v>3</v>
      </c>
      <c r="DI1198" s="2" t="s">
        <v>87</v>
      </c>
      <c r="DJ1198" s="2" t="s">
        <v>86</v>
      </c>
      <c r="DK1198" s="2" t="s">
        <v>3</v>
      </c>
      <c r="DL1198" s="2" t="s">
        <v>3</v>
      </c>
      <c r="DM1198" s="2" t="s">
        <v>3</v>
      </c>
      <c r="DN1198" s="2">
        <v>0</v>
      </c>
      <c r="DO1198" s="2">
        <v>0</v>
      </c>
      <c r="DP1198" s="2">
        <v>1</v>
      </c>
      <c r="DQ1198" s="2">
        <v>1</v>
      </c>
      <c r="DR1198" s="2"/>
      <c r="DS1198" s="2"/>
      <c r="DT1198" s="2"/>
      <c r="DU1198" s="2">
        <v>1013</v>
      </c>
      <c r="DV1198" s="2" t="s">
        <v>953</v>
      </c>
      <c r="DW1198" s="2" t="s">
        <v>953</v>
      </c>
      <c r="DX1198" s="2">
        <v>1</v>
      </c>
      <c r="DY1198" s="2"/>
      <c r="DZ1198" s="2" t="s">
        <v>3</v>
      </c>
      <c r="EA1198" s="2" t="s">
        <v>3</v>
      </c>
      <c r="EB1198" s="2" t="s">
        <v>3</v>
      </c>
      <c r="EC1198" s="2" t="s">
        <v>3</v>
      </c>
      <c r="ED1198" s="2"/>
      <c r="EE1198" s="2">
        <v>126051597</v>
      </c>
      <c r="EF1198" s="2">
        <v>30</v>
      </c>
      <c r="EG1198" s="2" t="s">
        <v>23</v>
      </c>
      <c r="EH1198" s="2">
        <v>0</v>
      </c>
      <c r="EI1198" s="2" t="s">
        <v>3</v>
      </c>
      <c r="EJ1198" s="2">
        <v>1</v>
      </c>
      <c r="EK1198" s="2">
        <v>136</v>
      </c>
      <c r="EL1198" s="2" t="s">
        <v>955</v>
      </c>
      <c r="EM1198" s="2" t="s">
        <v>956</v>
      </c>
      <c r="EN1198" s="2"/>
      <c r="EO1198" s="2" t="s">
        <v>90</v>
      </c>
      <c r="EP1198" s="2"/>
      <c r="EQ1198" s="2">
        <v>131072</v>
      </c>
      <c r="ER1198" s="2">
        <v>42.93</v>
      </c>
      <c r="ES1198" s="2">
        <v>11.48</v>
      </c>
      <c r="ET1198" s="2">
        <v>3.72</v>
      </c>
      <c r="EU1198" s="2">
        <v>0.88</v>
      </c>
      <c r="EV1198" s="2">
        <v>27.73</v>
      </c>
      <c r="EW1198" s="2">
        <v>2.2200000000000002</v>
      </c>
      <c r="EX1198" s="2">
        <v>0</v>
      </c>
      <c r="EY1198" s="2">
        <v>0</v>
      </c>
      <c r="EZ1198" s="2"/>
      <c r="FA1198" s="2"/>
      <c r="FB1198" s="2"/>
      <c r="FC1198" s="2"/>
      <c r="FD1198" s="2"/>
      <c r="FE1198" s="2"/>
      <c r="FF1198" s="2"/>
      <c r="FG1198" s="2"/>
      <c r="FH1198" s="2"/>
      <c r="FI1198" s="2"/>
      <c r="FJ1198" s="2"/>
      <c r="FK1198" s="2"/>
      <c r="FL1198" s="2"/>
      <c r="FM1198" s="2"/>
      <c r="FN1198" s="2"/>
      <c r="FO1198" s="2"/>
      <c r="FP1198" s="2"/>
      <c r="FQ1198" s="2">
        <v>0</v>
      </c>
      <c r="FR1198" s="2">
        <f t="shared" si="1034"/>
        <v>0</v>
      </c>
      <c r="FS1198" s="2">
        <v>0</v>
      </c>
      <c r="FT1198" s="2"/>
      <c r="FU1198" s="2"/>
      <c r="FV1198" s="2"/>
      <c r="FW1198" s="2"/>
      <c r="FX1198" s="2">
        <v>110</v>
      </c>
      <c r="FY1198" s="2">
        <v>74</v>
      </c>
      <c r="FZ1198" s="2"/>
      <c r="GA1198" s="2" t="s">
        <v>3</v>
      </c>
      <c r="GB1198" s="2"/>
      <c r="GC1198" s="2"/>
      <c r="GD1198" s="2">
        <v>0</v>
      </c>
      <c r="GE1198" s="2"/>
      <c r="GF1198" s="2">
        <v>-22379669</v>
      </c>
      <c r="GG1198" s="2">
        <v>2</v>
      </c>
      <c r="GH1198" s="2">
        <v>1</v>
      </c>
      <c r="GI1198" s="2">
        <v>-2</v>
      </c>
      <c r="GJ1198" s="2">
        <v>0</v>
      </c>
      <c r="GK1198" s="2">
        <f>ROUND(R1198*(R12)/100,2)</f>
        <v>1.93</v>
      </c>
      <c r="GL1198" s="2">
        <f t="shared" si="1035"/>
        <v>0</v>
      </c>
      <c r="GM1198" s="2">
        <f t="shared" si="1036"/>
        <v>108.63</v>
      </c>
      <c r="GN1198" s="2">
        <f t="shared" si="1037"/>
        <v>108.63</v>
      </c>
      <c r="GO1198" s="2">
        <f t="shared" si="1038"/>
        <v>0</v>
      </c>
      <c r="GP1198" s="2">
        <f t="shared" si="1039"/>
        <v>0</v>
      </c>
      <c r="GQ1198" s="2"/>
      <c r="GR1198" s="2">
        <v>0</v>
      </c>
      <c r="GS1198" s="2">
        <v>0</v>
      </c>
      <c r="GT1198" s="2">
        <v>0</v>
      </c>
      <c r="GU1198" s="2" t="s">
        <v>3</v>
      </c>
      <c r="GV1198" s="2">
        <f t="shared" si="1040"/>
        <v>0</v>
      </c>
      <c r="GW1198" s="2">
        <v>1</v>
      </c>
      <c r="GX1198" s="2">
        <f t="shared" si="1041"/>
        <v>0</v>
      </c>
      <c r="GY1198" s="2"/>
      <c r="GZ1198" s="2"/>
      <c r="HA1198" s="2">
        <v>0</v>
      </c>
      <c r="HB1198" s="2">
        <v>0</v>
      </c>
      <c r="HC1198" s="2">
        <f t="shared" si="1042"/>
        <v>0</v>
      </c>
      <c r="HD1198" s="2"/>
      <c r="HE1198" s="2" t="s">
        <v>3</v>
      </c>
      <c r="HF1198" s="2" t="s">
        <v>3</v>
      </c>
      <c r="HG1198" s="2"/>
      <c r="HH1198" s="2"/>
      <c r="HI1198" s="2"/>
      <c r="HJ1198" s="2"/>
      <c r="HK1198" s="2"/>
      <c r="HL1198" s="2"/>
      <c r="HM1198" s="2" t="s">
        <v>3</v>
      </c>
      <c r="HN1198" s="2" t="s">
        <v>3</v>
      </c>
      <c r="HO1198" s="2" t="s">
        <v>3</v>
      </c>
      <c r="HP1198" s="2" t="s">
        <v>3</v>
      </c>
      <c r="HQ1198" s="2" t="s">
        <v>3</v>
      </c>
      <c r="HR1198" s="2"/>
      <c r="HS1198" s="2"/>
      <c r="HT1198" s="2"/>
      <c r="HU1198" s="2"/>
      <c r="HV1198" s="2"/>
      <c r="HW1198" s="2"/>
      <c r="HX1198" s="2"/>
      <c r="HY1198" s="2"/>
      <c r="HZ1198" s="2"/>
      <c r="IA1198" s="2"/>
      <c r="IB1198" s="2"/>
      <c r="IC1198" s="2"/>
      <c r="ID1198" s="2"/>
      <c r="IE1198" s="2"/>
      <c r="IF1198" s="2"/>
      <c r="IG1198" s="2"/>
      <c r="IH1198" s="2"/>
      <c r="II1198" s="2"/>
      <c r="IJ1198" s="2"/>
      <c r="IK1198" s="2">
        <v>0</v>
      </c>
      <c r="IL1198" s="2"/>
      <c r="IM1198" s="2"/>
      <c r="IN1198" s="2"/>
      <c r="IO1198" s="2"/>
      <c r="IP1198" s="2"/>
      <c r="IQ1198" s="2"/>
      <c r="IR1198" s="2"/>
      <c r="IS1198" s="2"/>
      <c r="IT1198" s="2"/>
      <c r="IU1198" s="2"/>
    </row>
    <row r="1199" spans="1:255" x14ac:dyDescent="0.2">
      <c r="A1199">
        <v>17</v>
      </c>
      <c r="B1199">
        <v>1</v>
      </c>
      <c r="C1199">
        <f>ROW(SmtRes!A1038)</f>
        <v>1038</v>
      </c>
      <c r="D1199">
        <f>ROW(EtalonRes!A996)</f>
        <v>996</v>
      </c>
      <c r="E1199" t="s">
        <v>228</v>
      </c>
      <c r="F1199" t="s">
        <v>966</v>
      </c>
      <c r="G1199" t="s">
        <v>967</v>
      </c>
      <c r="H1199" t="s">
        <v>953</v>
      </c>
      <c r="I1199">
        <v>1</v>
      </c>
      <c r="J1199">
        <v>0</v>
      </c>
      <c r="K1199">
        <v>1</v>
      </c>
      <c r="O1199">
        <f t="shared" si="1012"/>
        <v>1090.1400000000001</v>
      </c>
      <c r="P1199">
        <f t="shared" si="1013"/>
        <v>101.83</v>
      </c>
      <c r="Q1199">
        <f>(ROUND((ROUND((((ET1199*1.25))*AV1199*I1199),2)*BB1199),2)+ROUND((ROUND(((AE1199-((EU1199*1.25)))*AV1199*I1199),2)*BS1199),2))</f>
        <v>62.54</v>
      </c>
      <c r="R1199">
        <f t="shared" si="1014"/>
        <v>31.93</v>
      </c>
      <c r="S1199">
        <f t="shared" si="1015"/>
        <v>925.77</v>
      </c>
      <c r="T1199">
        <f t="shared" si="1016"/>
        <v>0</v>
      </c>
      <c r="U1199">
        <f t="shared" si="1017"/>
        <v>2.5529999999999999</v>
      </c>
      <c r="V1199">
        <f t="shared" si="1018"/>
        <v>0</v>
      </c>
      <c r="W1199">
        <f t="shared" si="1019"/>
        <v>0</v>
      </c>
      <c r="X1199">
        <f t="shared" si="1020"/>
        <v>833.19</v>
      </c>
      <c r="Y1199">
        <f t="shared" si="1021"/>
        <v>379.57</v>
      </c>
      <c r="AA1199">
        <v>129761633</v>
      </c>
      <c r="AB1199">
        <f t="shared" si="1022"/>
        <v>48.019500000000001</v>
      </c>
      <c r="AC1199">
        <f t="shared" si="1023"/>
        <v>11.48</v>
      </c>
      <c r="AD1199">
        <f>ROUND(((((ET1199*1.25))-((EU1199*1.25)))+AE1199),6)</f>
        <v>4.6500000000000004</v>
      </c>
      <c r="AE1199">
        <f>ROUND(((EU1199*1.25)),6)</f>
        <v>1.1000000000000001</v>
      </c>
      <c r="AF1199">
        <f>ROUND(((EV1199*1.15)),6)</f>
        <v>31.889500000000002</v>
      </c>
      <c r="AG1199">
        <f t="shared" si="1024"/>
        <v>0</v>
      </c>
      <c r="AH1199">
        <f>((EW1199*1.15))</f>
        <v>2.5529999999999999</v>
      </c>
      <c r="AI1199">
        <f>((EX1199*1.25))</f>
        <v>0</v>
      </c>
      <c r="AJ1199">
        <f t="shared" si="1025"/>
        <v>0</v>
      </c>
      <c r="AK1199">
        <v>42.93</v>
      </c>
      <c r="AL1199">
        <v>11.48</v>
      </c>
      <c r="AM1199">
        <v>3.72</v>
      </c>
      <c r="AN1199">
        <v>0.88</v>
      </c>
      <c r="AO1199">
        <v>27.73</v>
      </c>
      <c r="AP1199">
        <v>0</v>
      </c>
      <c r="AQ1199">
        <v>2.2200000000000002</v>
      </c>
      <c r="AR1199">
        <v>0</v>
      </c>
      <c r="AS1199">
        <v>0</v>
      </c>
      <c r="AT1199">
        <v>90</v>
      </c>
      <c r="AU1199">
        <v>41</v>
      </c>
      <c r="AV1199">
        <v>1</v>
      </c>
      <c r="AW1199">
        <v>1</v>
      </c>
      <c r="AZ1199">
        <v>1</v>
      </c>
      <c r="BA1199">
        <v>29.03</v>
      </c>
      <c r="BB1199">
        <v>13.45</v>
      </c>
      <c r="BC1199">
        <v>8.8699999999999992</v>
      </c>
      <c r="BD1199" t="s">
        <v>3</v>
      </c>
      <c r="BE1199" t="s">
        <v>3</v>
      </c>
      <c r="BF1199" t="s">
        <v>3</v>
      </c>
      <c r="BG1199" t="s">
        <v>3</v>
      </c>
      <c r="BH1199">
        <v>0</v>
      </c>
      <c r="BI1199">
        <v>1</v>
      </c>
      <c r="BJ1199" t="s">
        <v>968</v>
      </c>
      <c r="BM1199">
        <v>136</v>
      </c>
      <c r="BN1199">
        <v>0</v>
      </c>
      <c r="BO1199" t="s">
        <v>966</v>
      </c>
      <c r="BP1199">
        <v>1</v>
      </c>
      <c r="BQ1199">
        <v>30</v>
      </c>
      <c r="BR1199">
        <v>0</v>
      </c>
      <c r="BS1199">
        <v>29.03</v>
      </c>
      <c r="BT1199">
        <v>1</v>
      </c>
      <c r="BU1199">
        <v>1</v>
      </c>
      <c r="BV1199">
        <v>1</v>
      </c>
      <c r="BW1199">
        <v>1</v>
      </c>
      <c r="BX1199">
        <v>1</v>
      </c>
      <c r="BY1199" t="s">
        <v>3</v>
      </c>
      <c r="BZ1199">
        <v>90</v>
      </c>
      <c r="CA1199">
        <v>41</v>
      </c>
      <c r="CB1199" t="s">
        <v>3</v>
      </c>
      <c r="CE1199">
        <v>30</v>
      </c>
      <c r="CF1199">
        <v>0</v>
      </c>
      <c r="CG1199">
        <v>0</v>
      </c>
      <c r="CM1199">
        <v>0</v>
      </c>
      <c r="CN1199" t="s">
        <v>1559</v>
      </c>
      <c r="CO1199">
        <v>0</v>
      </c>
      <c r="CP1199">
        <f t="shared" si="1026"/>
        <v>1090.1399999999999</v>
      </c>
      <c r="CQ1199">
        <f t="shared" si="1027"/>
        <v>101.83</v>
      </c>
      <c r="CR1199">
        <f>(ROUND((ROUND((((ET1199*1.25))*AV1199*1),2)*BB1199),2)+ROUND((ROUND(((AE1199-((EU1199*1.25)))*AV1199*1),2)*BS1199),2))</f>
        <v>62.54</v>
      </c>
      <c r="CS1199">
        <f t="shared" si="1028"/>
        <v>31.93</v>
      </c>
      <c r="CT1199">
        <f t="shared" si="1029"/>
        <v>925.77</v>
      </c>
      <c r="CU1199">
        <f t="shared" si="1030"/>
        <v>0</v>
      </c>
      <c r="CV1199">
        <f t="shared" si="1031"/>
        <v>2.5529999999999999</v>
      </c>
      <c r="CW1199">
        <f t="shared" si="1032"/>
        <v>0</v>
      </c>
      <c r="CX1199">
        <f t="shared" si="1033"/>
        <v>0</v>
      </c>
      <c r="CY1199">
        <f>S1199*(BZ1199/100)</f>
        <v>833.19299999999998</v>
      </c>
      <c r="CZ1199">
        <f>S1199*(CA1199/100)</f>
        <v>379.56569999999999</v>
      </c>
      <c r="DC1199" t="s">
        <v>3</v>
      </c>
      <c r="DD1199" t="s">
        <v>3</v>
      </c>
      <c r="DE1199" t="s">
        <v>86</v>
      </c>
      <c r="DF1199" t="s">
        <v>86</v>
      </c>
      <c r="DG1199" t="s">
        <v>87</v>
      </c>
      <c r="DH1199" t="s">
        <v>3</v>
      </c>
      <c r="DI1199" t="s">
        <v>87</v>
      </c>
      <c r="DJ1199" t="s">
        <v>86</v>
      </c>
      <c r="DK1199" t="s">
        <v>3</v>
      </c>
      <c r="DL1199" t="s">
        <v>3</v>
      </c>
      <c r="DM1199" t="s">
        <v>3</v>
      </c>
      <c r="DN1199">
        <v>110</v>
      </c>
      <c r="DO1199">
        <v>74</v>
      </c>
      <c r="DP1199">
        <v>1</v>
      </c>
      <c r="DQ1199">
        <v>1</v>
      </c>
      <c r="DU1199">
        <v>1013</v>
      </c>
      <c r="DV1199" t="s">
        <v>953</v>
      </c>
      <c r="DW1199" t="s">
        <v>953</v>
      </c>
      <c r="DX1199">
        <v>1</v>
      </c>
      <c r="DZ1199" t="s">
        <v>3</v>
      </c>
      <c r="EA1199" t="s">
        <v>3</v>
      </c>
      <c r="EB1199" t="s">
        <v>3</v>
      </c>
      <c r="EC1199" t="s">
        <v>3</v>
      </c>
      <c r="EE1199">
        <v>126051597</v>
      </c>
      <c r="EF1199">
        <v>30</v>
      </c>
      <c r="EG1199" t="s">
        <v>23</v>
      </c>
      <c r="EH1199">
        <v>0</v>
      </c>
      <c r="EI1199" t="s">
        <v>3</v>
      </c>
      <c r="EJ1199">
        <v>1</v>
      </c>
      <c r="EK1199">
        <v>136</v>
      </c>
      <c r="EL1199" t="s">
        <v>955</v>
      </c>
      <c r="EM1199" t="s">
        <v>956</v>
      </c>
      <c r="EO1199" t="s">
        <v>90</v>
      </c>
      <c r="EQ1199">
        <v>131072</v>
      </c>
      <c r="ER1199">
        <v>42.93</v>
      </c>
      <c r="ES1199">
        <v>11.48</v>
      </c>
      <c r="ET1199">
        <v>3.72</v>
      </c>
      <c r="EU1199">
        <v>0.88</v>
      </c>
      <c r="EV1199">
        <v>27.73</v>
      </c>
      <c r="EW1199">
        <v>2.2200000000000002</v>
      </c>
      <c r="EX1199">
        <v>0</v>
      </c>
      <c r="EY1199">
        <v>0</v>
      </c>
      <c r="FQ1199">
        <v>0</v>
      </c>
      <c r="FR1199">
        <f t="shared" si="1034"/>
        <v>0</v>
      </c>
      <c r="FS1199">
        <v>0</v>
      </c>
      <c r="FX1199">
        <v>110</v>
      </c>
      <c r="FY1199">
        <v>74</v>
      </c>
      <c r="GA1199" t="s">
        <v>3</v>
      </c>
      <c r="GD1199">
        <v>0</v>
      </c>
      <c r="GF1199">
        <v>-22379669</v>
      </c>
      <c r="GG1199">
        <v>2</v>
      </c>
      <c r="GH1199">
        <v>1</v>
      </c>
      <c r="GI1199">
        <v>2</v>
      </c>
      <c r="GJ1199">
        <v>0</v>
      </c>
      <c r="GK1199">
        <f>ROUND(R1199*(S12)/100,2)</f>
        <v>51.09</v>
      </c>
      <c r="GL1199">
        <f t="shared" si="1035"/>
        <v>0</v>
      </c>
      <c r="GM1199">
        <f t="shared" si="1036"/>
        <v>2353.9899999999998</v>
      </c>
      <c r="GN1199">
        <f t="shared" si="1037"/>
        <v>2353.9899999999998</v>
      </c>
      <c r="GO1199">
        <f t="shared" si="1038"/>
        <v>0</v>
      </c>
      <c r="GP1199">
        <f t="shared" si="1039"/>
        <v>0</v>
      </c>
      <c r="GR1199">
        <v>0</v>
      </c>
      <c r="GS1199">
        <v>3</v>
      </c>
      <c r="GT1199">
        <v>0</v>
      </c>
      <c r="GU1199" t="s">
        <v>3</v>
      </c>
      <c r="GV1199">
        <f t="shared" si="1040"/>
        <v>0</v>
      </c>
      <c r="GW1199">
        <v>1</v>
      </c>
      <c r="GX1199">
        <f t="shared" si="1041"/>
        <v>0</v>
      </c>
      <c r="HA1199">
        <v>0</v>
      </c>
      <c r="HB1199">
        <v>0</v>
      </c>
      <c r="HC1199">
        <f t="shared" si="1042"/>
        <v>0</v>
      </c>
      <c r="HE1199" t="s">
        <v>3</v>
      </c>
      <c r="HF1199" t="s">
        <v>3</v>
      </c>
      <c r="HM1199" t="s">
        <v>3</v>
      </c>
      <c r="HN1199" t="s">
        <v>3</v>
      </c>
      <c r="HO1199" t="s">
        <v>3</v>
      </c>
      <c r="HP1199" t="s">
        <v>3</v>
      </c>
      <c r="HQ1199" t="s">
        <v>3</v>
      </c>
      <c r="IK1199">
        <v>0</v>
      </c>
    </row>
    <row r="1200" spans="1:255" x14ac:dyDescent="0.2">
      <c r="A1200" s="2">
        <v>18</v>
      </c>
      <c r="B1200" s="2">
        <v>1</v>
      </c>
      <c r="C1200" s="2">
        <v>1030</v>
      </c>
      <c r="D1200" s="2"/>
      <c r="E1200" s="2" t="s">
        <v>235</v>
      </c>
      <c r="F1200" s="2" t="s">
        <v>248</v>
      </c>
      <c r="G1200" s="2" t="s">
        <v>969</v>
      </c>
      <c r="H1200" s="2" t="s">
        <v>970</v>
      </c>
      <c r="I1200" s="2">
        <f>I1198*J1200</f>
        <v>1</v>
      </c>
      <c r="J1200" s="2">
        <v>1</v>
      </c>
      <c r="K1200" s="2">
        <v>1</v>
      </c>
      <c r="L1200" s="2"/>
      <c r="M1200" s="2"/>
      <c r="N1200" s="2"/>
      <c r="O1200" s="2">
        <f t="shared" si="1012"/>
        <v>0</v>
      </c>
      <c r="P1200" s="2">
        <f t="shared" si="1013"/>
        <v>0</v>
      </c>
      <c r="Q1200" s="2">
        <f t="shared" ref="Q1200:Q1209" si="1048">(ROUND((ROUND(((ET1200)*AV1200*I1200),2)*BB1200),2)+ROUND((ROUND(((AE1200-(EU1200))*AV1200*I1200),2)*BS1200),2))</f>
        <v>0</v>
      </c>
      <c r="R1200" s="2">
        <f t="shared" si="1014"/>
        <v>0</v>
      </c>
      <c r="S1200" s="2">
        <f t="shared" si="1015"/>
        <v>0</v>
      </c>
      <c r="T1200" s="2">
        <f t="shared" si="1016"/>
        <v>0</v>
      </c>
      <c r="U1200" s="2">
        <f t="shared" si="1017"/>
        <v>0</v>
      </c>
      <c r="V1200" s="2">
        <f t="shared" si="1018"/>
        <v>0</v>
      </c>
      <c r="W1200" s="2">
        <f t="shared" si="1019"/>
        <v>0</v>
      </c>
      <c r="X1200" s="2">
        <f t="shared" si="1020"/>
        <v>0</v>
      </c>
      <c r="Y1200" s="2">
        <f t="shared" si="1021"/>
        <v>0</v>
      </c>
      <c r="Z1200" s="2"/>
      <c r="AA1200" s="2">
        <v>129761636</v>
      </c>
      <c r="AB1200" s="2">
        <f t="shared" si="1022"/>
        <v>0</v>
      </c>
      <c r="AC1200" s="2">
        <f t="shared" si="1023"/>
        <v>0</v>
      </c>
      <c r="AD1200" s="2">
        <f t="shared" ref="AD1200:AD1209" si="1049">ROUND((((ET1200)-(EU1200))+AE1200),6)</f>
        <v>0</v>
      </c>
      <c r="AE1200" s="2">
        <f t="shared" ref="AE1200:AE1209" si="1050">ROUND((EU1200),6)</f>
        <v>0</v>
      </c>
      <c r="AF1200" s="2">
        <f t="shared" ref="AF1200:AF1209" si="1051">ROUND((EV1200),6)</f>
        <v>0</v>
      </c>
      <c r="AG1200" s="2">
        <f t="shared" si="1024"/>
        <v>0</v>
      </c>
      <c r="AH1200" s="2">
        <f t="shared" ref="AH1200:AH1209" si="1052">(EW1200)</f>
        <v>0</v>
      </c>
      <c r="AI1200" s="2">
        <f t="shared" ref="AI1200:AI1209" si="1053">(EX1200)</f>
        <v>0</v>
      </c>
      <c r="AJ1200" s="2">
        <f t="shared" si="1025"/>
        <v>0</v>
      </c>
      <c r="AK1200" s="2">
        <v>0</v>
      </c>
      <c r="AL1200" s="2">
        <v>0</v>
      </c>
      <c r="AM1200" s="2">
        <v>0</v>
      </c>
      <c r="AN1200" s="2">
        <v>0</v>
      </c>
      <c r="AO1200" s="2">
        <v>0</v>
      </c>
      <c r="AP1200" s="2">
        <v>0</v>
      </c>
      <c r="AQ1200" s="2">
        <v>0</v>
      </c>
      <c r="AR1200" s="2">
        <v>0</v>
      </c>
      <c r="AS1200" s="2">
        <v>0</v>
      </c>
      <c r="AT1200" s="2">
        <v>110</v>
      </c>
      <c r="AU1200" s="2">
        <v>74</v>
      </c>
      <c r="AV1200" s="2">
        <v>1</v>
      </c>
      <c r="AW1200" s="2">
        <v>1</v>
      </c>
      <c r="AX1200" s="2"/>
      <c r="AY1200" s="2"/>
      <c r="AZ1200" s="2">
        <v>1</v>
      </c>
      <c r="BA1200" s="2">
        <v>1</v>
      </c>
      <c r="BB1200" s="2">
        <v>1</v>
      </c>
      <c r="BC1200" s="2">
        <v>1</v>
      </c>
      <c r="BD1200" s="2" t="s">
        <v>3</v>
      </c>
      <c r="BE1200" s="2" t="s">
        <v>3</v>
      </c>
      <c r="BF1200" s="2" t="s">
        <v>3</v>
      </c>
      <c r="BG1200" s="2" t="s">
        <v>3</v>
      </c>
      <c r="BH1200" s="2">
        <v>3</v>
      </c>
      <c r="BI1200" s="2">
        <v>1</v>
      </c>
      <c r="BJ1200" s="2" t="s">
        <v>3</v>
      </c>
      <c r="BK1200" s="2"/>
      <c r="BL1200" s="2"/>
      <c r="BM1200" s="2">
        <v>136</v>
      </c>
      <c r="BN1200" s="2">
        <v>0</v>
      </c>
      <c r="BO1200" s="2" t="s">
        <v>3</v>
      </c>
      <c r="BP1200" s="2">
        <v>0</v>
      </c>
      <c r="BQ1200" s="2">
        <v>30</v>
      </c>
      <c r="BR1200" s="2">
        <v>0</v>
      </c>
      <c r="BS1200" s="2">
        <v>1</v>
      </c>
      <c r="BT1200" s="2">
        <v>1</v>
      </c>
      <c r="BU1200" s="2">
        <v>1</v>
      </c>
      <c r="BV1200" s="2">
        <v>1</v>
      </c>
      <c r="BW1200" s="2">
        <v>1</v>
      </c>
      <c r="BX1200" s="2">
        <v>1</v>
      </c>
      <c r="BY1200" s="2" t="s">
        <v>3</v>
      </c>
      <c r="BZ1200" s="2">
        <v>110</v>
      </c>
      <c r="CA1200" s="2">
        <v>74</v>
      </c>
      <c r="CB1200" s="2" t="s">
        <v>3</v>
      </c>
      <c r="CC1200" s="2"/>
      <c r="CD1200" s="2"/>
      <c r="CE1200" s="2">
        <v>30</v>
      </c>
      <c r="CF1200" s="2">
        <v>0</v>
      </c>
      <c r="CG1200" s="2">
        <v>0</v>
      </c>
      <c r="CH1200" s="2"/>
      <c r="CI1200" s="2"/>
      <c r="CJ1200" s="2"/>
      <c r="CK1200" s="2"/>
      <c r="CL1200" s="2"/>
      <c r="CM1200" s="2">
        <v>0</v>
      </c>
      <c r="CN1200" s="2" t="s">
        <v>3</v>
      </c>
      <c r="CO1200" s="2">
        <v>0</v>
      </c>
      <c r="CP1200" s="2">
        <f t="shared" si="1026"/>
        <v>0</v>
      </c>
      <c r="CQ1200" s="2">
        <f t="shared" si="1027"/>
        <v>0</v>
      </c>
      <c r="CR1200" s="2">
        <f t="shared" ref="CR1200:CR1209" si="1054">(ROUND((ROUND(((ET1200)*AV1200*1),2)*BB1200),2)+ROUND((ROUND(((AE1200-(EU1200))*AV1200*1),2)*BS1200),2))</f>
        <v>0</v>
      </c>
      <c r="CS1200" s="2">
        <f t="shared" si="1028"/>
        <v>0</v>
      </c>
      <c r="CT1200" s="2">
        <f t="shared" si="1029"/>
        <v>0</v>
      </c>
      <c r="CU1200" s="2">
        <f t="shared" si="1030"/>
        <v>0</v>
      </c>
      <c r="CV1200" s="2">
        <f t="shared" si="1031"/>
        <v>0</v>
      </c>
      <c r="CW1200" s="2">
        <f t="shared" si="1032"/>
        <v>0</v>
      </c>
      <c r="CX1200" s="2">
        <f t="shared" si="1033"/>
        <v>0</v>
      </c>
      <c r="CY1200" s="2">
        <f>((S1200*BZ1200)/100)</f>
        <v>0</v>
      </c>
      <c r="CZ1200" s="2">
        <f>((S1200*CA1200)/100)</f>
        <v>0</v>
      </c>
      <c r="DA1200" s="2"/>
      <c r="DB1200" s="2"/>
      <c r="DC1200" s="2" t="s">
        <v>3</v>
      </c>
      <c r="DD1200" s="2" t="s">
        <v>3</v>
      </c>
      <c r="DE1200" s="2" t="s">
        <v>3</v>
      </c>
      <c r="DF1200" s="2" t="s">
        <v>3</v>
      </c>
      <c r="DG1200" s="2" t="s">
        <v>3</v>
      </c>
      <c r="DH1200" s="2" t="s">
        <v>3</v>
      </c>
      <c r="DI1200" s="2" t="s">
        <v>3</v>
      </c>
      <c r="DJ1200" s="2" t="s">
        <v>3</v>
      </c>
      <c r="DK1200" s="2" t="s">
        <v>3</v>
      </c>
      <c r="DL1200" s="2" t="s">
        <v>3</v>
      </c>
      <c r="DM1200" s="2" t="s">
        <v>3</v>
      </c>
      <c r="DN1200" s="2">
        <v>0</v>
      </c>
      <c r="DO1200" s="2">
        <v>0</v>
      </c>
      <c r="DP1200" s="2">
        <v>1</v>
      </c>
      <c r="DQ1200" s="2">
        <v>1</v>
      </c>
      <c r="DR1200" s="2"/>
      <c r="DS1200" s="2"/>
      <c r="DT1200" s="2"/>
      <c r="DU1200" s="2">
        <v>1013</v>
      </c>
      <c r="DV1200" s="2" t="s">
        <v>970</v>
      </c>
      <c r="DW1200" s="2" t="s">
        <v>970</v>
      </c>
      <c r="DX1200" s="2">
        <v>1</v>
      </c>
      <c r="DY1200" s="2"/>
      <c r="DZ1200" s="2" t="s">
        <v>3</v>
      </c>
      <c r="EA1200" s="2" t="s">
        <v>3</v>
      </c>
      <c r="EB1200" s="2" t="s">
        <v>3</v>
      </c>
      <c r="EC1200" s="2" t="s">
        <v>3</v>
      </c>
      <c r="ED1200" s="2"/>
      <c r="EE1200" s="2">
        <v>126051597</v>
      </c>
      <c r="EF1200" s="2">
        <v>30</v>
      </c>
      <c r="EG1200" s="2" t="s">
        <v>23</v>
      </c>
      <c r="EH1200" s="2">
        <v>0</v>
      </c>
      <c r="EI1200" s="2" t="s">
        <v>3</v>
      </c>
      <c r="EJ1200" s="2">
        <v>1</v>
      </c>
      <c r="EK1200" s="2">
        <v>136</v>
      </c>
      <c r="EL1200" s="2" t="s">
        <v>955</v>
      </c>
      <c r="EM1200" s="2" t="s">
        <v>956</v>
      </c>
      <c r="EN1200" s="2"/>
      <c r="EO1200" s="2" t="s">
        <v>3</v>
      </c>
      <c r="EP1200" s="2"/>
      <c r="EQ1200" s="2">
        <v>0</v>
      </c>
      <c r="ER1200" s="2">
        <v>0</v>
      </c>
      <c r="ES1200" s="2">
        <v>0</v>
      </c>
      <c r="ET1200" s="2">
        <v>0</v>
      </c>
      <c r="EU1200" s="2">
        <v>0</v>
      </c>
      <c r="EV1200" s="2">
        <v>0</v>
      </c>
      <c r="EW1200" s="2">
        <v>0</v>
      </c>
      <c r="EX1200" s="2">
        <v>0</v>
      </c>
      <c r="EY1200" s="2"/>
      <c r="EZ1200" s="2"/>
      <c r="FA1200" s="2"/>
      <c r="FB1200" s="2"/>
      <c r="FC1200" s="2"/>
      <c r="FD1200" s="2"/>
      <c r="FE1200" s="2"/>
      <c r="FF1200" s="2"/>
      <c r="FG1200" s="2"/>
      <c r="FH1200" s="2"/>
      <c r="FI1200" s="2"/>
      <c r="FJ1200" s="2"/>
      <c r="FK1200" s="2"/>
      <c r="FL1200" s="2"/>
      <c r="FM1200" s="2"/>
      <c r="FN1200" s="2"/>
      <c r="FO1200" s="2"/>
      <c r="FP1200" s="2"/>
      <c r="FQ1200" s="2">
        <v>0</v>
      </c>
      <c r="FR1200" s="2">
        <f t="shared" si="1034"/>
        <v>0</v>
      </c>
      <c r="FS1200" s="2">
        <v>0</v>
      </c>
      <c r="FT1200" s="2"/>
      <c r="FU1200" s="2"/>
      <c r="FV1200" s="2"/>
      <c r="FW1200" s="2"/>
      <c r="FX1200" s="2">
        <v>110</v>
      </c>
      <c r="FY1200" s="2">
        <v>74</v>
      </c>
      <c r="FZ1200" s="2"/>
      <c r="GA1200" s="2" t="s">
        <v>3</v>
      </c>
      <c r="GB1200" s="2"/>
      <c r="GC1200" s="2"/>
      <c r="GD1200" s="2">
        <v>0</v>
      </c>
      <c r="GE1200" s="2"/>
      <c r="GF1200" s="2">
        <v>-99313333</v>
      </c>
      <c r="GG1200" s="2">
        <v>2</v>
      </c>
      <c r="GH1200" s="2">
        <v>0</v>
      </c>
      <c r="GI1200" s="2">
        <v>-2</v>
      </c>
      <c r="GJ1200" s="2">
        <v>0</v>
      </c>
      <c r="GK1200" s="2">
        <f>ROUND(R1200*(R12)/100,2)</f>
        <v>0</v>
      </c>
      <c r="GL1200" s="2">
        <f t="shared" si="1035"/>
        <v>0</v>
      </c>
      <c r="GM1200" s="2">
        <f t="shared" si="1036"/>
        <v>0</v>
      </c>
      <c r="GN1200" s="2">
        <f t="shared" si="1037"/>
        <v>0</v>
      </c>
      <c r="GO1200" s="2">
        <f t="shared" si="1038"/>
        <v>0</v>
      </c>
      <c r="GP1200" s="2">
        <f t="shared" si="1039"/>
        <v>0</v>
      </c>
      <c r="GQ1200" s="2"/>
      <c r="GR1200" s="2">
        <v>0</v>
      </c>
      <c r="GS1200" s="2">
        <v>3</v>
      </c>
      <c r="GT1200" s="2">
        <v>0</v>
      </c>
      <c r="GU1200" s="2" t="s">
        <v>3</v>
      </c>
      <c r="GV1200" s="2">
        <f t="shared" si="1040"/>
        <v>0</v>
      </c>
      <c r="GW1200" s="2">
        <v>1</v>
      </c>
      <c r="GX1200" s="2">
        <f t="shared" si="1041"/>
        <v>0</v>
      </c>
      <c r="GY1200" s="2"/>
      <c r="GZ1200" s="2"/>
      <c r="HA1200" s="2">
        <v>0</v>
      </c>
      <c r="HB1200" s="2">
        <v>0</v>
      </c>
      <c r="HC1200" s="2">
        <f t="shared" si="1042"/>
        <v>0</v>
      </c>
      <c r="HD1200" s="2"/>
      <c r="HE1200" s="2" t="s">
        <v>3</v>
      </c>
      <c r="HF1200" s="2" t="s">
        <v>3</v>
      </c>
      <c r="HG1200" s="2"/>
      <c r="HH1200" s="2"/>
      <c r="HI1200" s="2"/>
      <c r="HJ1200" s="2"/>
      <c r="HK1200" s="2"/>
      <c r="HL1200" s="2"/>
      <c r="HM1200" s="2" t="s">
        <v>3</v>
      </c>
      <c r="HN1200" s="2" t="s">
        <v>3</v>
      </c>
      <c r="HO1200" s="2" t="s">
        <v>3</v>
      </c>
      <c r="HP1200" s="2" t="s">
        <v>3</v>
      </c>
      <c r="HQ1200" s="2" t="s">
        <v>3</v>
      </c>
      <c r="HR1200" s="2"/>
      <c r="HS1200" s="2"/>
      <c r="HT1200" s="2"/>
      <c r="HU1200" s="2"/>
      <c r="HV1200" s="2"/>
      <c r="HW1200" s="2"/>
      <c r="HX1200" s="2"/>
      <c r="HY1200" s="2"/>
      <c r="HZ1200" s="2"/>
      <c r="IA1200" s="2"/>
      <c r="IB1200" s="2"/>
      <c r="IC1200" s="2"/>
      <c r="ID1200" s="2"/>
      <c r="IE1200" s="2"/>
      <c r="IF1200" s="2"/>
      <c r="IG1200" s="2"/>
      <c r="IH1200" s="2"/>
      <c r="II1200" s="2"/>
      <c r="IJ1200" s="2"/>
      <c r="IK1200" s="2">
        <v>0</v>
      </c>
      <c r="IL1200" s="2"/>
      <c r="IM1200" s="2"/>
      <c r="IN1200" s="2"/>
      <c r="IO1200" s="2"/>
      <c r="IP1200" s="2"/>
      <c r="IQ1200" s="2"/>
      <c r="IR1200" s="2"/>
      <c r="IS1200" s="2"/>
      <c r="IT1200" s="2"/>
      <c r="IU1200" s="2"/>
    </row>
    <row r="1201" spans="1:255" x14ac:dyDescent="0.2">
      <c r="A1201">
        <v>18</v>
      </c>
      <c r="B1201">
        <v>1</v>
      </c>
      <c r="C1201">
        <v>1038</v>
      </c>
      <c r="E1201" t="s">
        <v>235</v>
      </c>
      <c r="F1201" t="s">
        <v>248</v>
      </c>
      <c r="G1201" t="s">
        <v>969</v>
      </c>
      <c r="H1201" t="s">
        <v>970</v>
      </c>
      <c r="I1201">
        <f>I1199*J1201</f>
        <v>1</v>
      </c>
      <c r="J1201">
        <v>1</v>
      </c>
      <c r="K1201">
        <v>1</v>
      </c>
      <c r="O1201">
        <f t="shared" si="1012"/>
        <v>41811.51</v>
      </c>
      <c r="P1201">
        <f t="shared" si="1013"/>
        <v>41811.51</v>
      </c>
      <c r="Q1201">
        <f t="shared" si="1048"/>
        <v>0</v>
      </c>
      <c r="R1201">
        <f t="shared" si="1014"/>
        <v>0</v>
      </c>
      <c r="S1201">
        <f t="shared" si="1015"/>
        <v>0</v>
      </c>
      <c r="T1201">
        <f t="shared" si="1016"/>
        <v>0</v>
      </c>
      <c r="U1201">
        <f t="shared" si="1017"/>
        <v>0</v>
      </c>
      <c r="V1201">
        <f t="shared" si="1018"/>
        <v>0</v>
      </c>
      <c r="W1201">
        <f t="shared" si="1019"/>
        <v>0</v>
      </c>
      <c r="X1201">
        <f t="shared" si="1020"/>
        <v>0</v>
      </c>
      <c r="Y1201">
        <f t="shared" si="1021"/>
        <v>0</v>
      </c>
      <c r="AA1201">
        <v>129761633</v>
      </c>
      <c r="AB1201">
        <f t="shared" si="1022"/>
        <v>4833.7</v>
      </c>
      <c r="AC1201">
        <f t="shared" si="1023"/>
        <v>4833.7</v>
      </c>
      <c r="AD1201">
        <f t="shared" si="1049"/>
        <v>0</v>
      </c>
      <c r="AE1201">
        <f t="shared" si="1050"/>
        <v>0</v>
      </c>
      <c r="AF1201">
        <f t="shared" si="1051"/>
        <v>0</v>
      </c>
      <c r="AG1201">
        <f t="shared" si="1024"/>
        <v>0</v>
      </c>
      <c r="AH1201">
        <f t="shared" si="1052"/>
        <v>0</v>
      </c>
      <c r="AI1201">
        <f t="shared" si="1053"/>
        <v>0</v>
      </c>
      <c r="AJ1201">
        <f t="shared" si="1025"/>
        <v>0</v>
      </c>
      <c r="AK1201">
        <v>4833.7</v>
      </c>
      <c r="AL1201">
        <v>4833.7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1</v>
      </c>
      <c r="AW1201">
        <v>1</v>
      </c>
      <c r="AZ1201">
        <v>1</v>
      </c>
      <c r="BA1201">
        <v>1</v>
      </c>
      <c r="BB1201">
        <v>1</v>
      </c>
      <c r="BC1201">
        <v>8.65</v>
      </c>
      <c r="BD1201" t="s">
        <v>3</v>
      </c>
      <c r="BE1201" t="s">
        <v>3</v>
      </c>
      <c r="BF1201" t="s">
        <v>3</v>
      </c>
      <c r="BG1201" t="s">
        <v>3</v>
      </c>
      <c r="BH1201">
        <v>3</v>
      </c>
      <c r="BI1201">
        <v>1</v>
      </c>
      <c r="BJ1201" t="s">
        <v>3</v>
      </c>
      <c r="BM1201">
        <v>136</v>
      </c>
      <c r="BN1201">
        <v>0</v>
      </c>
      <c r="BO1201" t="s">
        <v>3</v>
      </c>
      <c r="BP1201">
        <v>0</v>
      </c>
      <c r="BQ1201">
        <v>30</v>
      </c>
      <c r="BR1201">
        <v>0</v>
      </c>
      <c r="BS1201">
        <v>1</v>
      </c>
      <c r="BT1201">
        <v>1</v>
      </c>
      <c r="BU1201">
        <v>1</v>
      </c>
      <c r="BV1201">
        <v>1</v>
      </c>
      <c r="BW1201">
        <v>1</v>
      </c>
      <c r="BX1201">
        <v>1</v>
      </c>
      <c r="BY1201" t="s">
        <v>3</v>
      </c>
      <c r="BZ1201">
        <v>0</v>
      </c>
      <c r="CA1201">
        <v>0</v>
      </c>
      <c r="CB1201" t="s">
        <v>3</v>
      </c>
      <c r="CE1201">
        <v>30</v>
      </c>
      <c r="CF1201">
        <v>0</v>
      </c>
      <c r="CG1201">
        <v>0</v>
      </c>
      <c r="CM1201">
        <v>0</v>
      </c>
      <c r="CN1201" t="s">
        <v>3</v>
      </c>
      <c r="CO1201">
        <v>0</v>
      </c>
      <c r="CP1201">
        <f t="shared" si="1026"/>
        <v>41811.51</v>
      </c>
      <c r="CQ1201">
        <f t="shared" si="1027"/>
        <v>41811.51</v>
      </c>
      <c r="CR1201">
        <f t="shared" si="1054"/>
        <v>0</v>
      </c>
      <c r="CS1201">
        <f t="shared" si="1028"/>
        <v>0</v>
      </c>
      <c r="CT1201">
        <f t="shared" si="1029"/>
        <v>0</v>
      </c>
      <c r="CU1201">
        <f t="shared" si="1030"/>
        <v>0</v>
      </c>
      <c r="CV1201">
        <f t="shared" si="1031"/>
        <v>0</v>
      </c>
      <c r="CW1201">
        <f t="shared" si="1032"/>
        <v>0</v>
      </c>
      <c r="CX1201">
        <f t="shared" si="1033"/>
        <v>0</v>
      </c>
      <c r="CY1201">
        <f>S1201*(BZ1201/100)</f>
        <v>0</v>
      </c>
      <c r="CZ1201">
        <f>S1201*(CA1201/100)</f>
        <v>0</v>
      </c>
      <c r="DC1201" t="s">
        <v>3</v>
      </c>
      <c r="DD1201" t="s">
        <v>3</v>
      </c>
      <c r="DE1201" t="s">
        <v>3</v>
      </c>
      <c r="DF1201" t="s">
        <v>3</v>
      </c>
      <c r="DG1201" t="s">
        <v>3</v>
      </c>
      <c r="DH1201" t="s">
        <v>3</v>
      </c>
      <c r="DI1201" t="s">
        <v>3</v>
      </c>
      <c r="DJ1201" t="s">
        <v>3</v>
      </c>
      <c r="DK1201" t="s">
        <v>3</v>
      </c>
      <c r="DL1201" t="s">
        <v>3</v>
      </c>
      <c r="DM1201" t="s">
        <v>3</v>
      </c>
      <c r="DN1201">
        <v>110</v>
      </c>
      <c r="DO1201">
        <v>74</v>
      </c>
      <c r="DP1201">
        <v>1</v>
      </c>
      <c r="DQ1201">
        <v>1</v>
      </c>
      <c r="DU1201">
        <v>1013</v>
      </c>
      <c r="DV1201" t="s">
        <v>970</v>
      </c>
      <c r="DW1201" t="s">
        <v>970</v>
      </c>
      <c r="DX1201">
        <v>1</v>
      </c>
      <c r="DZ1201" t="s">
        <v>3</v>
      </c>
      <c r="EA1201" t="s">
        <v>3</v>
      </c>
      <c r="EB1201" t="s">
        <v>3</v>
      </c>
      <c r="EC1201" t="s">
        <v>3</v>
      </c>
      <c r="EE1201">
        <v>126051597</v>
      </c>
      <c r="EF1201">
        <v>30</v>
      </c>
      <c r="EG1201" t="s">
        <v>23</v>
      </c>
      <c r="EH1201">
        <v>0</v>
      </c>
      <c r="EI1201" t="s">
        <v>3</v>
      </c>
      <c r="EJ1201">
        <v>1</v>
      </c>
      <c r="EK1201">
        <v>136</v>
      </c>
      <c r="EL1201" t="s">
        <v>955</v>
      </c>
      <c r="EM1201" t="s">
        <v>956</v>
      </c>
      <c r="EO1201" t="s">
        <v>3</v>
      </c>
      <c r="EQ1201">
        <v>0</v>
      </c>
      <c r="ER1201">
        <v>4833.7</v>
      </c>
      <c r="ES1201">
        <v>4833.7</v>
      </c>
      <c r="ET1201">
        <v>0</v>
      </c>
      <c r="EU1201">
        <v>0</v>
      </c>
      <c r="EV1201">
        <v>0</v>
      </c>
      <c r="EW1201">
        <v>0</v>
      </c>
      <c r="EX1201">
        <v>0</v>
      </c>
      <c r="EZ1201">
        <v>5</v>
      </c>
      <c r="FC1201">
        <v>1</v>
      </c>
      <c r="FD1201">
        <v>18</v>
      </c>
      <c r="FF1201">
        <v>49190</v>
      </c>
      <c r="FQ1201">
        <v>0</v>
      </c>
      <c r="FR1201">
        <f t="shared" si="1034"/>
        <v>0</v>
      </c>
      <c r="FS1201">
        <v>0</v>
      </c>
      <c r="FX1201">
        <v>110</v>
      </c>
      <c r="FY1201">
        <v>74</v>
      </c>
      <c r="GA1201" t="s">
        <v>971</v>
      </c>
      <c r="GD1201">
        <v>0</v>
      </c>
      <c r="GF1201">
        <v>-99313333</v>
      </c>
      <c r="GG1201">
        <v>2</v>
      </c>
      <c r="GH1201">
        <v>3</v>
      </c>
      <c r="GI1201">
        <v>5</v>
      </c>
      <c r="GJ1201">
        <v>0</v>
      </c>
      <c r="GK1201">
        <f>ROUND(R1201*(S12)/100,2)</f>
        <v>0</v>
      </c>
      <c r="GL1201">
        <f t="shared" si="1035"/>
        <v>0</v>
      </c>
      <c r="GM1201">
        <f t="shared" si="1036"/>
        <v>41811.51</v>
      </c>
      <c r="GN1201">
        <f t="shared" si="1037"/>
        <v>41811.51</v>
      </c>
      <c r="GO1201">
        <f t="shared" si="1038"/>
        <v>0</v>
      </c>
      <c r="GP1201">
        <f t="shared" si="1039"/>
        <v>0</v>
      </c>
      <c r="GR1201">
        <v>1</v>
      </c>
      <c r="GS1201">
        <v>1</v>
      </c>
      <c r="GT1201">
        <v>0</v>
      </c>
      <c r="GU1201" t="s">
        <v>3</v>
      </c>
      <c r="GV1201">
        <f t="shared" si="1040"/>
        <v>0</v>
      </c>
      <c r="GW1201">
        <v>1</v>
      </c>
      <c r="GX1201">
        <f t="shared" si="1041"/>
        <v>0</v>
      </c>
      <c r="HA1201">
        <v>0</v>
      </c>
      <c r="HB1201">
        <v>0</v>
      </c>
      <c r="HC1201">
        <f t="shared" si="1042"/>
        <v>0</v>
      </c>
      <c r="HE1201" t="s">
        <v>81</v>
      </c>
      <c r="HF1201" t="s">
        <v>252</v>
      </c>
      <c r="HM1201" t="s">
        <v>3</v>
      </c>
      <c r="HN1201" t="s">
        <v>3</v>
      </c>
      <c r="HO1201" t="s">
        <v>3</v>
      </c>
      <c r="HP1201" t="s">
        <v>3</v>
      </c>
      <c r="HQ1201" t="s">
        <v>3</v>
      </c>
      <c r="IK1201">
        <v>0</v>
      </c>
    </row>
    <row r="1202" spans="1:255" x14ac:dyDescent="0.2">
      <c r="A1202" s="2">
        <v>18</v>
      </c>
      <c r="B1202" s="2">
        <v>1</v>
      </c>
      <c r="C1202" s="2">
        <v>1025</v>
      </c>
      <c r="D1202" s="2"/>
      <c r="E1202" s="2" t="s">
        <v>972</v>
      </c>
      <c r="F1202" s="2" t="s">
        <v>973</v>
      </c>
      <c r="G1202" s="2" t="s">
        <v>974</v>
      </c>
      <c r="H1202" s="2" t="s">
        <v>238</v>
      </c>
      <c r="I1202" s="2">
        <f>I1198*J1202</f>
        <v>0</v>
      </c>
      <c r="J1202" s="2">
        <v>0</v>
      </c>
      <c r="K1202" s="2">
        <v>0</v>
      </c>
      <c r="L1202" s="2"/>
      <c r="M1202" s="2"/>
      <c r="N1202" s="2"/>
      <c r="O1202" s="2">
        <f t="shared" si="1012"/>
        <v>0</v>
      </c>
      <c r="P1202" s="2">
        <f t="shared" si="1013"/>
        <v>0</v>
      </c>
      <c r="Q1202" s="2">
        <f t="shared" si="1048"/>
        <v>0</v>
      </c>
      <c r="R1202" s="2">
        <f t="shared" si="1014"/>
        <v>0</v>
      </c>
      <c r="S1202" s="2">
        <f t="shared" si="1015"/>
        <v>0</v>
      </c>
      <c r="T1202" s="2">
        <f t="shared" si="1016"/>
        <v>0</v>
      </c>
      <c r="U1202" s="2">
        <f t="shared" si="1017"/>
        <v>0</v>
      </c>
      <c r="V1202" s="2">
        <f t="shared" si="1018"/>
        <v>0</v>
      </c>
      <c r="W1202" s="2">
        <f t="shared" si="1019"/>
        <v>0</v>
      </c>
      <c r="X1202" s="2">
        <f t="shared" si="1020"/>
        <v>0</v>
      </c>
      <c r="Y1202" s="2">
        <f t="shared" si="1021"/>
        <v>0</v>
      </c>
      <c r="Z1202" s="2"/>
      <c r="AA1202" s="2">
        <v>129761636</v>
      </c>
      <c r="AB1202" s="2">
        <f t="shared" si="1022"/>
        <v>2019.68</v>
      </c>
      <c r="AC1202" s="2">
        <f t="shared" si="1023"/>
        <v>2019.68</v>
      </c>
      <c r="AD1202" s="2">
        <f t="shared" si="1049"/>
        <v>0</v>
      </c>
      <c r="AE1202" s="2">
        <f t="shared" si="1050"/>
        <v>0</v>
      </c>
      <c r="AF1202" s="2">
        <f t="shared" si="1051"/>
        <v>0</v>
      </c>
      <c r="AG1202" s="2">
        <f t="shared" si="1024"/>
        <v>0</v>
      </c>
      <c r="AH1202" s="2">
        <f t="shared" si="1052"/>
        <v>0</v>
      </c>
      <c r="AI1202" s="2">
        <f t="shared" si="1053"/>
        <v>0</v>
      </c>
      <c r="AJ1202" s="2">
        <f t="shared" si="1025"/>
        <v>0</v>
      </c>
      <c r="AK1202" s="2">
        <v>2019.68</v>
      </c>
      <c r="AL1202" s="2">
        <v>2019.68</v>
      </c>
      <c r="AM1202" s="2">
        <v>0</v>
      </c>
      <c r="AN1202" s="2">
        <v>0</v>
      </c>
      <c r="AO1202" s="2">
        <v>0</v>
      </c>
      <c r="AP1202" s="2">
        <v>0</v>
      </c>
      <c r="AQ1202" s="2">
        <v>0</v>
      </c>
      <c r="AR1202" s="2">
        <v>0</v>
      </c>
      <c r="AS1202" s="2">
        <v>0</v>
      </c>
      <c r="AT1202" s="2">
        <v>110</v>
      </c>
      <c r="AU1202" s="2">
        <v>74</v>
      </c>
      <c r="AV1202" s="2">
        <v>1</v>
      </c>
      <c r="AW1202" s="2">
        <v>1</v>
      </c>
      <c r="AX1202" s="2"/>
      <c r="AY1202" s="2"/>
      <c r="AZ1202" s="2">
        <v>1</v>
      </c>
      <c r="BA1202" s="2">
        <v>1</v>
      </c>
      <c r="BB1202" s="2">
        <v>1</v>
      </c>
      <c r="BC1202" s="2">
        <v>1</v>
      </c>
      <c r="BD1202" s="2" t="s">
        <v>3</v>
      </c>
      <c r="BE1202" s="2" t="s">
        <v>3</v>
      </c>
      <c r="BF1202" s="2" t="s">
        <v>3</v>
      </c>
      <c r="BG1202" s="2" t="s">
        <v>3</v>
      </c>
      <c r="BH1202" s="2">
        <v>3</v>
      </c>
      <c r="BI1202" s="2">
        <v>1</v>
      </c>
      <c r="BJ1202" s="2" t="s">
        <v>975</v>
      </c>
      <c r="BK1202" s="2"/>
      <c r="BL1202" s="2"/>
      <c r="BM1202" s="2">
        <v>136</v>
      </c>
      <c r="BN1202" s="2">
        <v>0</v>
      </c>
      <c r="BO1202" s="2" t="s">
        <v>3</v>
      </c>
      <c r="BP1202" s="2">
        <v>0</v>
      </c>
      <c r="BQ1202" s="2">
        <v>30</v>
      </c>
      <c r="BR1202" s="2">
        <v>0</v>
      </c>
      <c r="BS1202" s="2">
        <v>1</v>
      </c>
      <c r="BT1202" s="2">
        <v>1</v>
      </c>
      <c r="BU1202" s="2">
        <v>1</v>
      </c>
      <c r="BV1202" s="2">
        <v>1</v>
      </c>
      <c r="BW1202" s="2">
        <v>1</v>
      </c>
      <c r="BX1202" s="2">
        <v>1</v>
      </c>
      <c r="BY1202" s="2" t="s">
        <v>3</v>
      </c>
      <c r="BZ1202" s="2">
        <v>110</v>
      </c>
      <c r="CA1202" s="2">
        <v>74</v>
      </c>
      <c r="CB1202" s="2" t="s">
        <v>3</v>
      </c>
      <c r="CC1202" s="2"/>
      <c r="CD1202" s="2"/>
      <c r="CE1202" s="2">
        <v>30</v>
      </c>
      <c r="CF1202" s="2">
        <v>0</v>
      </c>
      <c r="CG1202" s="2">
        <v>0</v>
      </c>
      <c r="CH1202" s="2"/>
      <c r="CI1202" s="2"/>
      <c r="CJ1202" s="2"/>
      <c r="CK1202" s="2"/>
      <c r="CL1202" s="2"/>
      <c r="CM1202" s="2">
        <v>0</v>
      </c>
      <c r="CN1202" s="2" t="s">
        <v>3</v>
      </c>
      <c r="CO1202" s="2">
        <v>0</v>
      </c>
      <c r="CP1202" s="2">
        <f t="shared" si="1026"/>
        <v>0</v>
      </c>
      <c r="CQ1202" s="2">
        <f t="shared" si="1027"/>
        <v>2019.68</v>
      </c>
      <c r="CR1202" s="2">
        <f t="shared" si="1054"/>
        <v>0</v>
      </c>
      <c r="CS1202" s="2">
        <f t="shared" si="1028"/>
        <v>0</v>
      </c>
      <c r="CT1202" s="2">
        <f t="shared" si="1029"/>
        <v>0</v>
      </c>
      <c r="CU1202" s="2">
        <f t="shared" si="1030"/>
        <v>0</v>
      </c>
      <c r="CV1202" s="2">
        <f t="shared" si="1031"/>
        <v>0</v>
      </c>
      <c r="CW1202" s="2">
        <f t="shared" si="1032"/>
        <v>0</v>
      </c>
      <c r="CX1202" s="2">
        <f t="shared" si="1033"/>
        <v>0</v>
      </c>
      <c r="CY1202" s="2">
        <f>((S1202*BZ1202)/100)</f>
        <v>0</v>
      </c>
      <c r="CZ1202" s="2">
        <f>((S1202*CA1202)/100)</f>
        <v>0</v>
      </c>
      <c r="DA1202" s="2"/>
      <c r="DB1202" s="2"/>
      <c r="DC1202" s="2" t="s">
        <v>3</v>
      </c>
      <c r="DD1202" s="2" t="s">
        <v>3</v>
      </c>
      <c r="DE1202" s="2" t="s">
        <v>3</v>
      </c>
      <c r="DF1202" s="2" t="s">
        <v>3</v>
      </c>
      <c r="DG1202" s="2" t="s">
        <v>3</v>
      </c>
      <c r="DH1202" s="2" t="s">
        <v>3</v>
      </c>
      <c r="DI1202" s="2" t="s">
        <v>3</v>
      </c>
      <c r="DJ1202" s="2" t="s">
        <v>3</v>
      </c>
      <c r="DK1202" s="2" t="s">
        <v>3</v>
      </c>
      <c r="DL1202" s="2" t="s">
        <v>3</v>
      </c>
      <c r="DM1202" s="2" t="s">
        <v>3</v>
      </c>
      <c r="DN1202" s="2">
        <v>0</v>
      </c>
      <c r="DO1202" s="2">
        <v>0</v>
      </c>
      <c r="DP1202" s="2">
        <v>1</v>
      </c>
      <c r="DQ1202" s="2">
        <v>1</v>
      </c>
      <c r="DR1202" s="2"/>
      <c r="DS1202" s="2"/>
      <c r="DT1202" s="2"/>
      <c r="DU1202" s="2">
        <v>1013</v>
      </c>
      <c r="DV1202" s="2" t="s">
        <v>238</v>
      </c>
      <c r="DW1202" s="2" t="s">
        <v>238</v>
      </c>
      <c r="DX1202" s="2">
        <v>1</v>
      </c>
      <c r="DY1202" s="2"/>
      <c r="DZ1202" s="2" t="s">
        <v>3</v>
      </c>
      <c r="EA1202" s="2" t="s">
        <v>3</v>
      </c>
      <c r="EB1202" s="2" t="s">
        <v>3</v>
      </c>
      <c r="EC1202" s="2" t="s">
        <v>3</v>
      </c>
      <c r="ED1202" s="2"/>
      <c r="EE1202" s="2">
        <v>126051597</v>
      </c>
      <c r="EF1202" s="2">
        <v>30</v>
      </c>
      <c r="EG1202" s="2" t="s">
        <v>23</v>
      </c>
      <c r="EH1202" s="2">
        <v>0</v>
      </c>
      <c r="EI1202" s="2" t="s">
        <v>3</v>
      </c>
      <c r="EJ1202" s="2">
        <v>1</v>
      </c>
      <c r="EK1202" s="2">
        <v>136</v>
      </c>
      <c r="EL1202" s="2" t="s">
        <v>955</v>
      </c>
      <c r="EM1202" s="2" t="s">
        <v>956</v>
      </c>
      <c r="EN1202" s="2"/>
      <c r="EO1202" s="2" t="s">
        <v>3</v>
      </c>
      <c r="EP1202" s="2"/>
      <c r="EQ1202" s="2">
        <v>0</v>
      </c>
      <c r="ER1202" s="2">
        <v>2019.68</v>
      </c>
      <c r="ES1202" s="2">
        <v>2019.68</v>
      </c>
      <c r="ET1202" s="2">
        <v>0</v>
      </c>
      <c r="EU1202" s="2">
        <v>0</v>
      </c>
      <c r="EV1202" s="2">
        <v>0</v>
      </c>
      <c r="EW1202" s="2">
        <v>0</v>
      </c>
      <c r="EX1202" s="2">
        <v>0</v>
      </c>
      <c r="EY1202" s="2"/>
      <c r="EZ1202" s="2"/>
      <c r="FA1202" s="2"/>
      <c r="FB1202" s="2"/>
      <c r="FC1202" s="2"/>
      <c r="FD1202" s="2"/>
      <c r="FE1202" s="2"/>
      <c r="FF1202" s="2"/>
      <c r="FG1202" s="2"/>
      <c r="FH1202" s="2"/>
      <c r="FI1202" s="2"/>
      <c r="FJ1202" s="2"/>
      <c r="FK1202" s="2"/>
      <c r="FL1202" s="2"/>
      <c r="FM1202" s="2"/>
      <c r="FN1202" s="2"/>
      <c r="FO1202" s="2"/>
      <c r="FP1202" s="2"/>
      <c r="FQ1202" s="2">
        <v>0</v>
      </c>
      <c r="FR1202" s="2">
        <f t="shared" si="1034"/>
        <v>0</v>
      </c>
      <c r="FS1202" s="2">
        <v>0</v>
      </c>
      <c r="FT1202" s="2"/>
      <c r="FU1202" s="2"/>
      <c r="FV1202" s="2"/>
      <c r="FW1202" s="2"/>
      <c r="FX1202" s="2">
        <v>110</v>
      </c>
      <c r="FY1202" s="2">
        <v>74</v>
      </c>
      <c r="FZ1202" s="2"/>
      <c r="GA1202" s="2" t="s">
        <v>3</v>
      </c>
      <c r="GB1202" s="2"/>
      <c r="GC1202" s="2"/>
      <c r="GD1202" s="2">
        <v>0</v>
      </c>
      <c r="GE1202" s="2"/>
      <c r="GF1202" s="2">
        <v>-917542971</v>
      </c>
      <c r="GG1202" s="2">
        <v>2</v>
      </c>
      <c r="GH1202" s="2">
        <v>1</v>
      </c>
      <c r="GI1202" s="2">
        <v>-2</v>
      </c>
      <c r="GJ1202" s="2">
        <v>0</v>
      </c>
      <c r="GK1202" s="2">
        <f>ROUND(R1202*(R12)/100,2)</f>
        <v>0</v>
      </c>
      <c r="GL1202" s="2">
        <f t="shared" si="1035"/>
        <v>0</v>
      </c>
      <c r="GM1202" s="2">
        <f t="shared" si="1036"/>
        <v>0</v>
      </c>
      <c r="GN1202" s="2">
        <f t="shared" si="1037"/>
        <v>0</v>
      </c>
      <c r="GO1202" s="2">
        <f t="shared" si="1038"/>
        <v>0</v>
      </c>
      <c r="GP1202" s="2">
        <f t="shared" si="1039"/>
        <v>0</v>
      </c>
      <c r="GQ1202" s="2"/>
      <c r="GR1202" s="2">
        <v>0</v>
      </c>
      <c r="GS1202" s="2">
        <v>0</v>
      </c>
      <c r="GT1202" s="2">
        <v>0</v>
      </c>
      <c r="GU1202" s="2" t="s">
        <v>3</v>
      </c>
      <c r="GV1202" s="2">
        <f t="shared" si="1040"/>
        <v>0</v>
      </c>
      <c r="GW1202" s="2">
        <v>1</v>
      </c>
      <c r="GX1202" s="2">
        <f t="shared" si="1041"/>
        <v>0</v>
      </c>
      <c r="GY1202" s="2"/>
      <c r="GZ1202" s="2"/>
      <c r="HA1202" s="2">
        <v>0</v>
      </c>
      <c r="HB1202" s="2">
        <v>0</v>
      </c>
      <c r="HC1202" s="2">
        <f t="shared" si="1042"/>
        <v>0</v>
      </c>
      <c r="HD1202" s="2"/>
      <c r="HE1202" s="2" t="s">
        <v>3</v>
      </c>
      <c r="HF1202" s="2" t="s">
        <v>3</v>
      </c>
      <c r="HG1202" s="2"/>
      <c r="HH1202" s="2"/>
      <c r="HI1202" s="2"/>
      <c r="HJ1202" s="2"/>
      <c r="HK1202" s="2"/>
      <c r="HL1202" s="2"/>
      <c r="HM1202" s="2" t="s">
        <v>3</v>
      </c>
      <c r="HN1202" s="2" t="s">
        <v>3</v>
      </c>
      <c r="HO1202" s="2" t="s">
        <v>3</v>
      </c>
      <c r="HP1202" s="2" t="s">
        <v>3</v>
      </c>
      <c r="HQ1202" s="2" t="s">
        <v>3</v>
      </c>
      <c r="HR1202" s="2"/>
      <c r="HS1202" s="2"/>
      <c r="HT1202" s="2"/>
      <c r="HU1202" s="2"/>
      <c r="HV1202" s="2"/>
      <c r="HW1202" s="2"/>
      <c r="HX1202" s="2"/>
      <c r="HY1202" s="2"/>
      <c r="HZ1202" s="2"/>
      <c r="IA1202" s="2"/>
      <c r="IB1202" s="2"/>
      <c r="IC1202" s="2"/>
      <c r="ID1202" s="2"/>
      <c r="IE1202" s="2"/>
      <c r="IF1202" s="2"/>
      <c r="IG1202" s="2"/>
      <c r="IH1202" s="2"/>
      <c r="II1202" s="2"/>
      <c r="IJ1202" s="2"/>
      <c r="IK1202" s="2">
        <v>0</v>
      </c>
      <c r="IL1202" s="2"/>
      <c r="IM1202" s="2"/>
      <c r="IN1202" s="2"/>
      <c r="IO1202" s="2"/>
      <c r="IP1202" s="2"/>
      <c r="IQ1202" s="2"/>
      <c r="IR1202" s="2"/>
      <c r="IS1202" s="2"/>
      <c r="IT1202" s="2"/>
      <c r="IU1202" s="2"/>
    </row>
    <row r="1203" spans="1:255" x14ac:dyDescent="0.2">
      <c r="A1203">
        <v>18</v>
      </c>
      <c r="B1203">
        <v>1</v>
      </c>
      <c r="C1203">
        <v>1033</v>
      </c>
      <c r="E1203" t="s">
        <v>972</v>
      </c>
      <c r="F1203" t="s">
        <v>973</v>
      </c>
      <c r="G1203" t="s">
        <v>974</v>
      </c>
      <c r="H1203" t="s">
        <v>238</v>
      </c>
      <c r="I1203">
        <f>I1199*J1203</f>
        <v>0</v>
      </c>
      <c r="J1203">
        <v>0</v>
      </c>
      <c r="K1203">
        <v>0</v>
      </c>
      <c r="O1203">
        <f t="shared" si="1012"/>
        <v>0</v>
      </c>
      <c r="P1203">
        <f t="shared" si="1013"/>
        <v>0</v>
      </c>
      <c r="Q1203">
        <f t="shared" si="1048"/>
        <v>0</v>
      </c>
      <c r="R1203">
        <f t="shared" si="1014"/>
        <v>0</v>
      </c>
      <c r="S1203">
        <f t="shared" si="1015"/>
        <v>0</v>
      </c>
      <c r="T1203">
        <f t="shared" si="1016"/>
        <v>0</v>
      </c>
      <c r="U1203">
        <f t="shared" si="1017"/>
        <v>0</v>
      </c>
      <c r="V1203">
        <f t="shared" si="1018"/>
        <v>0</v>
      </c>
      <c r="W1203">
        <f t="shared" si="1019"/>
        <v>0</v>
      </c>
      <c r="X1203">
        <f t="shared" si="1020"/>
        <v>0</v>
      </c>
      <c r="Y1203">
        <f t="shared" si="1021"/>
        <v>0</v>
      </c>
      <c r="AA1203">
        <v>129761633</v>
      </c>
      <c r="AB1203">
        <f t="shared" si="1022"/>
        <v>2019.68</v>
      </c>
      <c r="AC1203">
        <f t="shared" si="1023"/>
        <v>2019.68</v>
      </c>
      <c r="AD1203">
        <f t="shared" si="1049"/>
        <v>0</v>
      </c>
      <c r="AE1203">
        <f t="shared" si="1050"/>
        <v>0</v>
      </c>
      <c r="AF1203">
        <f t="shared" si="1051"/>
        <v>0</v>
      </c>
      <c r="AG1203">
        <f t="shared" si="1024"/>
        <v>0</v>
      </c>
      <c r="AH1203">
        <f t="shared" si="1052"/>
        <v>0</v>
      </c>
      <c r="AI1203">
        <f t="shared" si="1053"/>
        <v>0</v>
      </c>
      <c r="AJ1203">
        <f t="shared" si="1025"/>
        <v>0</v>
      </c>
      <c r="AK1203">
        <v>2019.68</v>
      </c>
      <c r="AL1203">
        <v>2019.68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  <c r="AV1203">
        <v>1</v>
      </c>
      <c r="AW1203">
        <v>1</v>
      </c>
      <c r="AZ1203">
        <v>1</v>
      </c>
      <c r="BA1203">
        <v>1</v>
      </c>
      <c r="BB1203">
        <v>1</v>
      </c>
      <c r="BC1203">
        <v>6.02</v>
      </c>
      <c r="BD1203" t="s">
        <v>3</v>
      </c>
      <c r="BE1203" t="s">
        <v>3</v>
      </c>
      <c r="BF1203" t="s">
        <v>3</v>
      </c>
      <c r="BG1203" t="s">
        <v>3</v>
      </c>
      <c r="BH1203">
        <v>3</v>
      </c>
      <c r="BI1203">
        <v>1</v>
      </c>
      <c r="BJ1203" t="s">
        <v>975</v>
      </c>
      <c r="BM1203">
        <v>136</v>
      </c>
      <c r="BN1203">
        <v>0</v>
      </c>
      <c r="BO1203" t="s">
        <v>973</v>
      </c>
      <c r="BP1203">
        <v>1</v>
      </c>
      <c r="BQ1203">
        <v>30</v>
      </c>
      <c r="BR1203">
        <v>0</v>
      </c>
      <c r="BS1203">
        <v>1</v>
      </c>
      <c r="BT1203">
        <v>1</v>
      </c>
      <c r="BU1203">
        <v>1</v>
      </c>
      <c r="BV1203">
        <v>1</v>
      </c>
      <c r="BW1203">
        <v>1</v>
      </c>
      <c r="BX1203">
        <v>1</v>
      </c>
      <c r="BY1203" t="s">
        <v>3</v>
      </c>
      <c r="BZ1203">
        <v>0</v>
      </c>
      <c r="CA1203">
        <v>0</v>
      </c>
      <c r="CB1203" t="s">
        <v>3</v>
      </c>
      <c r="CE1203">
        <v>30</v>
      </c>
      <c r="CF1203">
        <v>0</v>
      </c>
      <c r="CG1203">
        <v>0</v>
      </c>
      <c r="CM1203">
        <v>0</v>
      </c>
      <c r="CN1203" t="s">
        <v>3</v>
      </c>
      <c r="CO1203">
        <v>0</v>
      </c>
      <c r="CP1203">
        <f t="shared" si="1026"/>
        <v>0</v>
      </c>
      <c r="CQ1203">
        <f t="shared" si="1027"/>
        <v>12158.47</v>
      </c>
      <c r="CR1203">
        <f t="shared" si="1054"/>
        <v>0</v>
      </c>
      <c r="CS1203">
        <f t="shared" si="1028"/>
        <v>0</v>
      </c>
      <c r="CT1203">
        <f t="shared" si="1029"/>
        <v>0</v>
      </c>
      <c r="CU1203">
        <f t="shared" si="1030"/>
        <v>0</v>
      </c>
      <c r="CV1203">
        <f t="shared" si="1031"/>
        <v>0</v>
      </c>
      <c r="CW1203">
        <f t="shared" si="1032"/>
        <v>0</v>
      </c>
      <c r="CX1203">
        <f t="shared" si="1033"/>
        <v>0</v>
      </c>
      <c r="CY1203">
        <f>S1203*(BZ1203/100)</f>
        <v>0</v>
      </c>
      <c r="CZ1203">
        <f>S1203*(CA1203/100)</f>
        <v>0</v>
      </c>
      <c r="DC1203" t="s">
        <v>3</v>
      </c>
      <c r="DD1203" t="s">
        <v>3</v>
      </c>
      <c r="DE1203" t="s">
        <v>3</v>
      </c>
      <c r="DF1203" t="s">
        <v>3</v>
      </c>
      <c r="DG1203" t="s">
        <v>3</v>
      </c>
      <c r="DH1203" t="s">
        <v>3</v>
      </c>
      <c r="DI1203" t="s">
        <v>3</v>
      </c>
      <c r="DJ1203" t="s">
        <v>3</v>
      </c>
      <c r="DK1203" t="s">
        <v>3</v>
      </c>
      <c r="DL1203" t="s">
        <v>3</v>
      </c>
      <c r="DM1203" t="s">
        <v>3</v>
      </c>
      <c r="DN1203">
        <v>110</v>
      </c>
      <c r="DO1203">
        <v>74</v>
      </c>
      <c r="DP1203">
        <v>1</v>
      </c>
      <c r="DQ1203">
        <v>1</v>
      </c>
      <c r="DU1203">
        <v>1013</v>
      </c>
      <c r="DV1203" t="s">
        <v>238</v>
      </c>
      <c r="DW1203" t="s">
        <v>238</v>
      </c>
      <c r="DX1203">
        <v>1</v>
      </c>
      <c r="DZ1203" t="s">
        <v>3</v>
      </c>
      <c r="EA1203" t="s">
        <v>3</v>
      </c>
      <c r="EB1203" t="s">
        <v>3</v>
      </c>
      <c r="EC1203" t="s">
        <v>3</v>
      </c>
      <c r="EE1203">
        <v>126051597</v>
      </c>
      <c r="EF1203">
        <v>30</v>
      </c>
      <c r="EG1203" t="s">
        <v>23</v>
      </c>
      <c r="EH1203">
        <v>0</v>
      </c>
      <c r="EI1203" t="s">
        <v>3</v>
      </c>
      <c r="EJ1203">
        <v>1</v>
      </c>
      <c r="EK1203">
        <v>136</v>
      </c>
      <c r="EL1203" t="s">
        <v>955</v>
      </c>
      <c r="EM1203" t="s">
        <v>956</v>
      </c>
      <c r="EO1203" t="s">
        <v>3</v>
      </c>
      <c r="EQ1203">
        <v>0</v>
      </c>
      <c r="ER1203">
        <v>2019.68</v>
      </c>
      <c r="ES1203">
        <v>2019.68</v>
      </c>
      <c r="ET1203">
        <v>0</v>
      </c>
      <c r="EU1203">
        <v>0</v>
      </c>
      <c r="EV1203">
        <v>0</v>
      </c>
      <c r="EW1203">
        <v>0</v>
      </c>
      <c r="EX1203">
        <v>0</v>
      </c>
      <c r="FQ1203">
        <v>0</v>
      </c>
      <c r="FR1203">
        <f t="shared" si="1034"/>
        <v>0</v>
      </c>
      <c r="FS1203">
        <v>0</v>
      </c>
      <c r="FX1203">
        <v>110</v>
      </c>
      <c r="FY1203">
        <v>74</v>
      </c>
      <c r="GA1203" t="s">
        <v>3</v>
      </c>
      <c r="GD1203">
        <v>0</v>
      </c>
      <c r="GF1203">
        <v>-917542971</v>
      </c>
      <c r="GG1203">
        <v>2</v>
      </c>
      <c r="GH1203">
        <v>1</v>
      </c>
      <c r="GI1203">
        <v>2</v>
      </c>
      <c r="GJ1203">
        <v>0</v>
      </c>
      <c r="GK1203">
        <f>ROUND(R1203*(S12)/100,2)</f>
        <v>0</v>
      </c>
      <c r="GL1203">
        <f t="shared" si="1035"/>
        <v>0</v>
      </c>
      <c r="GM1203">
        <f t="shared" si="1036"/>
        <v>0</v>
      </c>
      <c r="GN1203">
        <f t="shared" si="1037"/>
        <v>0</v>
      </c>
      <c r="GO1203">
        <f t="shared" si="1038"/>
        <v>0</v>
      </c>
      <c r="GP1203">
        <f t="shared" si="1039"/>
        <v>0</v>
      </c>
      <c r="GR1203">
        <v>0</v>
      </c>
      <c r="GS1203">
        <v>3</v>
      </c>
      <c r="GT1203">
        <v>0</v>
      </c>
      <c r="GU1203" t="s">
        <v>3</v>
      </c>
      <c r="GV1203">
        <f t="shared" si="1040"/>
        <v>0</v>
      </c>
      <c r="GW1203">
        <v>1</v>
      </c>
      <c r="GX1203">
        <f t="shared" si="1041"/>
        <v>0</v>
      </c>
      <c r="HA1203">
        <v>0</v>
      </c>
      <c r="HB1203">
        <v>0</v>
      </c>
      <c r="HC1203">
        <f t="shared" si="1042"/>
        <v>0</v>
      </c>
      <c r="HE1203" t="s">
        <v>3</v>
      </c>
      <c r="HF1203" t="s">
        <v>3</v>
      </c>
      <c r="HM1203" t="s">
        <v>3</v>
      </c>
      <c r="HN1203" t="s">
        <v>3</v>
      </c>
      <c r="HO1203" t="s">
        <v>3</v>
      </c>
      <c r="HP1203" t="s">
        <v>3</v>
      </c>
      <c r="HQ1203" t="s">
        <v>3</v>
      </c>
      <c r="IK1203">
        <v>0</v>
      </c>
    </row>
    <row r="1204" spans="1:255" x14ac:dyDescent="0.2">
      <c r="A1204" s="2">
        <v>18</v>
      </c>
      <c r="B1204" s="2">
        <v>1</v>
      </c>
      <c r="C1204" s="2">
        <v>1026</v>
      </c>
      <c r="D1204" s="2"/>
      <c r="E1204" s="2" t="s">
        <v>976</v>
      </c>
      <c r="F1204" s="2" t="s">
        <v>977</v>
      </c>
      <c r="G1204" s="2" t="s">
        <v>978</v>
      </c>
      <c r="H1204" s="2" t="s">
        <v>250</v>
      </c>
      <c r="I1204" s="2">
        <f>I1198*J1204</f>
        <v>0</v>
      </c>
      <c r="J1204" s="2">
        <v>0</v>
      </c>
      <c r="K1204" s="2">
        <v>0</v>
      </c>
      <c r="L1204" s="2"/>
      <c r="M1204" s="2"/>
      <c r="N1204" s="2"/>
      <c r="O1204" s="2">
        <f t="shared" si="1012"/>
        <v>0</v>
      </c>
      <c r="P1204" s="2">
        <f t="shared" si="1013"/>
        <v>0</v>
      </c>
      <c r="Q1204" s="2">
        <f t="shared" si="1048"/>
        <v>0</v>
      </c>
      <c r="R1204" s="2">
        <f t="shared" si="1014"/>
        <v>0</v>
      </c>
      <c r="S1204" s="2">
        <f t="shared" si="1015"/>
        <v>0</v>
      </c>
      <c r="T1204" s="2">
        <f t="shared" si="1016"/>
        <v>0</v>
      </c>
      <c r="U1204" s="2">
        <f t="shared" si="1017"/>
        <v>0</v>
      </c>
      <c r="V1204" s="2">
        <f t="shared" si="1018"/>
        <v>0</v>
      </c>
      <c r="W1204" s="2">
        <f t="shared" si="1019"/>
        <v>0</v>
      </c>
      <c r="X1204" s="2">
        <f t="shared" si="1020"/>
        <v>0</v>
      </c>
      <c r="Y1204" s="2">
        <f t="shared" si="1021"/>
        <v>0</v>
      </c>
      <c r="Z1204" s="2"/>
      <c r="AA1204" s="2">
        <v>129761636</v>
      </c>
      <c r="AB1204" s="2">
        <f t="shared" si="1022"/>
        <v>209.67</v>
      </c>
      <c r="AC1204" s="2">
        <f t="shared" si="1023"/>
        <v>209.67</v>
      </c>
      <c r="AD1204" s="2">
        <f t="shared" si="1049"/>
        <v>0</v>
      </c>
      <c r="AE1204" s="2">
        <f t="shared" si="1050"/>
        <v>0</v>
      </c>
      <c r="AF1204" s="2">
        <f t="shared" si="1051"/>
        <v>0</v>
      </c>
      <c r="AG1204" s="2">
        <f t="shared" si="1024"/>
        <v>0</v>
      </c>
      <c r="AH1204" s="2">
        <f t="shared" si="1052"/>
        <v>0</v>
      </c>
      <c r="AI1204" s="2">
        <f t="shared" si="1053"/>
        <v>0</v>
      </c>
      <c r="AJ1204" s="2">
        <f t="shared" si="1025"/>
        <v>0</v>
      </c>
      <c r="AK1204" s="2">
        <v>209.67</v>
      </c>
      <c r="AL1204" s="2">
        <v>209.67</v>
      </c>
      <c r="AM1204" s="2">
        <v>0</v>
      </c>
      <c r="AN1204" s="2">
        <v>0</v>
      </c>
      <c r="AO1204" s="2">
        <v>0</v>
      </c>
      <c r="AP1204" s="2">
        <v>0</v>
      </c>
      <c r="AQ1204" s="2">
        <v>0</v>
      </c>
      <c r="AR1204" s="2">
        <v>0</v>
      </c>
      <c r="AS1204" s="2">
        <v>0</v>
      </c>
      <c r="AT1204" s="2">
        <v>110</v>
      </c>
      <c r="AU1204" s="2">
        <v>74</v>
      </c>
      <c r="AV1204" s="2">
        <v>1</v>
      </c>
      <c r="AW1204" s="2">
        <v>1</v>
      </c>
      <c r="AX1204" s="2"/>
      <c r="AY1204" s="2"/>
      <c r="AZ1204" s="2">
        <v>1</v>
      </c>
      <c r="BA1204" s="2">
        <v>1</v>
      </c>
      <c r="BB1204" s="2">
        <v>1</v>
      </c>
      <c r="BC1204" s="2">
        <v>1</v>
      </c>
      <c r="BD1204" s="2" t="s">
        <v>3</v>
      </c>
      <c r="BE1204" s="2" t="s">
        <v>3</v>
      </c>
      <c r="BF1204" s="2" t="s">
        <v>3</v>
      </c>
      <c r="BG1204" s="2" t="s">
        <v>3</v>
      </c>
      <c r="BH1204" s="2">
        <v>3</v>
      </c>
      <c r="BI1204" s="2">
        <v>1</v>
      </c>
      <c r="BJ1204" s="2" t="s">
        <v>979</v>
      </c>
      <c r="BK1204" s="2"/>
      <c r="BL1204" s="2"/>
      <c r="BM1204" s="2">
        <v>136</v>
      </c>
      <c r="BN1204" s="2">
        <v>0</v>
      </c>
      <c r="BO1204" s="2" t="s">
        <v>3</v>
      </c>
      <c r="BP1204" s="2">
        <v>0</v>
      </c>
      <c r="BQ1204" s="2">
        <v>30</v>
      </c>
      <c r="BR1204" s="2">
        <v>0</v>
      </c>
      <c r="BS1204" s="2">
        <v>1</v>
      </c>
      <c r="BT1204" s="2">
        <v>1</v>
      </c>
      <c r="BU1204" s="2">
        <v>1</v>
      </c>
      <c r="BV1204" s="2">
        <v>1</v>
      </c>
      <c r="BW1204" s="2">
        <v>1</v>
      </c>
      <c r="BX1204" s="2">
        <v>1</v>
      </c>
      <c r="BY1204" s="2" t="s">
        <v>3</v>
      </c>
      <c r="BZ1204" s="2">
        <v>110</v>
      </c>
      <c r="CA1204" s="2">
        <v>74</v>
      </c>
      <c r="CB1204" s="2" t="s">
        <v>3</v>
      </c>
      <c r="CC1204" s="2"/>
      <c r="CD1204" s="2"/>
      <c r="CE1204" s="2">
        <v>30</v>
      </c>
      <c r="CF1204" s="2">
        <v>0</v>
      </c>
      <c r="CG1204" s="2">
        <v>0</v>
      </c>
      <c r="CH1204" s="2"/>
      <c r="CI1204" s="2"/>
      <c r="CJ1204" s="2"/>
      <c r="CK1204" s="2"/>
      <c r="CL1204" s="2"/>
      <c r="CM1204" s="2">
        <v>0</v>
      </c>
      <c r="CN1204" s="2" t="s">
        <v>3</v>
      </c>
      <c r="CO1204" s="2">
        <v>0</v>
      </c>
      <c r="CP1204" s="2">
        <f t="shared" si="1026"/>
        <v>0</v>
      </c>
      <c r="CQ1204" s="2">
        <f t="shared" si="1027"/>
        <v>209.67</v>
      </c>
      <c r="CR1204" s="2">
        <f t="shared" si="1054"/>
        <v>0</v>
      </c>
      <c r="CS1204" s="2">
        <f t="shared" si="1028"/>
        <v>0</v>
      </c>
      <c r="CT1204" s="2">
        <f t="shared" si="1029"/>
        <v>0</v>
      </c>
      <c r="CU1204" s="2">
        <f t="shared" si="1030"/>
        <v>0</v>
      </c>
      <c r="CV1204" s="2">
        <f t="shared" si="1031"/>
        <v>0</v>
      </c>
      <c r="CW1204" s="2">
        <f t="shared" si="1032"/>
        <v>0</v>
      </c>
      <c r="CX1204" s="2">
        <f t="shared" si="1033"/>
        <v>0</v>
      </c>
      <c r="CY1204" s="2">
        <f>((S1204*BZ1204)/100)</f>
        <v>0</v>
      </c>
      <c r="CZ1204" s="2">
        <f>((S1204*CA1204)/100)</f>
        <v>0</v>
      </c>
      <c r="DA1204" s="2"/>
      <c r="DB1204" s="2"/>
      <c r="DC1204" s="2" t="s">
        <v>3</v>
      </c>
      <c r="DD1204" s="2" t="s">
        <v>3</v>
      </c>
      <c r="DE1204" s="2" t="s">
        <v>3</v>
      </c>
      <c r="DF1204" s="2" t="s">
        <v>3</v>
      </c>
      <c r="DG1204" s="2" t="s">
        <v>3</v>
      </c>
      <c r="DH1204" s="2" t="s">
        <v>3</v>
      </c>
      <c r="DI1204" s="2" t="s">
        <v>3</v>
      </c>
      <c r="DJ1204" s="2" t="s">
        <v>3</v>
      </c>
      <c r="DK1204" s="2" t="s">
        <v>3</v>
      </c>
      <c r="DL1204" s="2" t="s">
        <v>3</v>
      </c>
      <c r="DM1204" s="2" t="s">
        <v>3</v>
      </c>
      <c r="DN1204" s="2">
        <v>0</v>
      </c>
      <c r="DO1204" s="2">
        <v>0</v>
      </c>
      <c r="DP1204" s="2">
        <v>1</v>
      </c>
      <c r="DQ1204" s="2">
        <v>1</v>
      </c>
      <c r="DR1204" s="2"/>
      <c r="DS1204" s="2"/>
      <c r="DT1204" s="2"/>
      <c r="DU1204" s="2">
        <v>1010</v>
      </c>
      <c r="DV1204" s="2" t="s">
        <v>250</v>
      </c>
      <c r="DW1204" s="2" t="s">
        <v>250</v>
      </c>
      <c r="DX1204" s="2">
        <v>1</v>
      </c>
      <c r="DY1204" s="2"/>
      <c r="DZ1204" s="2" t="s">
        <v>3</v>
      </c>
      <c r="EA1204" s="2" t="s">
        <v>3</v>
      </c>
      <c r="EB1204" s="2" t="s">
        <v>3</v>
      </c>
      <c r="EC1204" s="2" t="s">
        <v>3</v>
      </c>
      <c r="ED1204" s="2"/>
      <c r="EE1204" s="2">
        <v>126051597</v>
      </c>
      <c r="EF1204" s="2">
        <v>30</v>
      </c>
      <c r="EG1204" s="2" t="s">
        <v>23</v>
      </c>
      <c r="EH1204" s="2">
        <v>0</v>
      </c>
      <c r="EI1204" s="2" t="s">
        <v>3</v>
      </c>
      <c r="EJ1204" s="2">
        <v>1</v>
      </c>
      <c r="EK1204" s="2">
        <v>136</v>
      </c>
      <c r="EL1204" s="2" t="s">
        <v>955</v>
      </c>
      <c r="EM1204" s="2" t="s">
        <v>956</v>
      </c>
      <c r="EN1204" s="2"/>
      <c r="EO1204" s="2" t="s">
        <v>3</v>
      </c>
      <c r="EP1204" s="2"/>
      <c r="EQ1204" s="2">
        <v>0</v>
      </c>
      <c r="ER1204" s="2">
        <v>209.67</v>
      </c>
      <c r="ES1204" s="2">
        <v>209.67</v>
      </c>
      <c r="ET1204" s="2">
        <v>0</v>
      </c>
      <c r="EU1204" s="2">
        <v>0</v>
      </c>
      <c r="EV1204" s="2">
        <v>0</v>
      </c>
      <c r="EW1204" s="2">
        <v>0</v>
      </c>
      <c r="EX1204" s="2">
        <v>0</v>
      </c>
      <c r="EY1204" s="2"/>
      <c r="EZ1204" s="2"/>
      <c r="FA1204" s="2"/>
      <c r="FB1204" s="2"/>
      <c r="FC1204" s="2"/>
      <c r="FD1204" s="2"/>
      <c r="FE1204" s="2"/>
      <c r="FF1204" s="2"/>
      <c r="FG1204" s="2"/>
      <c r="FH1204" s="2"/>
      <c r="FI1204" s="2"/>
      <c r="FJ1204" s="2"/>
      <c r="FK1204" s="2"/>
      <c r="FL1204" s="2"/>
      <c r="FM1204" s="2"/>
      <c r="FN1204" s="2"/>
      <c r="FO1204" s="2"/>
      <c r="FP1204" s="2"/>
      <c r="FQ1204" s="2">
        <v>0</v>
      </c>
      <c r="FR1204" s="2">
        <f t="shared" si="1034"/>
        <v>0</v>
      </c>
      <c r="FS1204" s="2">
        <v>0</v>
      </c>
      <c r="FT1204" s="2"/>
      <c r="FU1204" s="2"/>
      <c r="FV1204" s="2"/>
      <c r="FW1204" s="2"/>
      <c r="FX1204" s="2">
        <v>110</v>
      </c>
      <c r="FY1204" s="2">
        <v>74</v>
      </c>
      <c r="FZ1204" s="2"/>
      <c r="GA1204" s="2" t="s">
        <v>3</v>
      </c>
      <c r="GB1204" s="2"/>
      <c r="GC1204" s="2"/>
      <c r="GD1204" s="2">
        <v>0</v>
      </c>
      <c r="GE1204" s="2"/>
      <c r="GF1204" s="2">
        <v>-1457686447</v>
      </c>
      <c r="GG1204" s="2">
        <v>2</v>
      </c>
      <c r="GH1204" s="2">
        <v>1</v>
      </c>
      <c r="GI1204" s="2">
        <v>-2</v>
      </c>
      <c r="GJ1204" s="2">
        <v>0</v>
      </c>
      <c r="GK1204" s="2">
        <f>ROUND(R1204*(R12)/100,2)</f>
        <v>0</v>
      </c>
      <c r="GL1204" s="2">
        <f t="shared" si="1035"/>
        <v>0</v>
      </c>
      <c r="GM1204" s="2">
        <f t="shared" si="1036"/>
        <v>0</v>
      </c>
      <c r="GN1204" s="2">
        <f t="shared" si="1037"/>
        <v>0</v>
      </c>
      <c r="GO1204" s="2">
        <f t="shared" si="1038"/>
        <v>0</v>
      </c>
      <c r="GP1204" s="2">
        <f t="shared" si="1039"/>
        <v>0</v>
      </c>
      <c r="GQ1204" s="2"/>
      <c r="GR1204" s="2">
        <v>0</v>
      </c>
      <c r="GS1204" s="2">
        <v>0</v>
      </c>
      <c r="GT1204" s="2">
        <v>0</v>
      </c>
      <c r="GU1204" s="2" t="s">
        <v>3</v>
      </c>
      <c r="GV1204" s="2">
        <f t="shared" si="1040"/>
        <v>0</v>
      </c>
      <c r="GW1204" s="2">
        <v>1</v>
      </c>
      <c r="GX1204" s="2">
        <f t="shared" si="1041"/>
        <v>0</v>
      </c>
      <c r="GY1204" s="2"/>
      <c r="GZ1204" s="2"/>
      <c r="HA1204" s="2">
        <v>0</v>
      </c>
      <c r="HB1204" s="2">
        <v>0</v>
      </c>
      <c r="HC1204" s="2">
        <f t="shared" si="1042"/>
        <v>0</v>
      </c>
      <c r="HD1204" s="2"/>
      <c r="HE1204" s="2" t="s">
        <v>3</v>
      </c>
      <c r="HF1204" s="2" t="s">
        <v>3</v>
      </c>
      <c r="HG1204" s="2"/>
      <c r="HH1204" s="2"/>
      <c r="HI1204" s="2"/>
      <c r="HJ1204" s="2"/>
      <c r="HK1204" s="2"/>
      <c r="HL1204" s="2"/>
      <c r="HM1204" s="2" t="s">
        <v>3</v>
      </c>
      <c r="HN1204" s="2" t="s">
        <v>3</v>
      </c>
      <c r="HO1204" s="2" t="s">
        <v>3</v>
      </c>
      <c r="HP1204" s="2" t="s">
        <v>3</v>
      </c>
      <c r="HQ1204" s="2" t="s">
        <v>3</v>
      </c>
      <c r="HR1204" s="2"/>
      <c r="HS1204" s="2"/>
      <c r="HT1204" s="2"/>
      <c r="HU1204" s="2"/>
      <c r="HV1204" s="2"/>
      <c r="HW1204" s="2"/>
      <c r="HX1204" s="2"/>
      <c r="HY1204" s="2"/>
      <c r="HZ1204" s="2"/>
      <c r="IA1204" s="2"/>
      <c r="IB1204" s="2"/>
      <c r="IC1204" s="2"/>
      <c r="ID1204" s="2"/>
      <c r="IE1204" s="2"/>
      <c r="IF1204" s="2"/>
      <c r="IG1204" s="2"/>
      <c r="IH1204" s="2"/>
      <c r="II1204" s="2"/>
      <c r="IJ1204" s="2"/>
      <c r="IK1204" s="2">
        <v>0</v>
      </c>
      <c r="IL1204" s="2"/>
      <c r="IM1204" s="2"/>
      <c r="IN1204" s="2"/>
      <c r="IO1204" s="2"/>
      <c r="IP1204" s="2"/>
      <c r="IQ1204" s="2"/>
      <c r="IR1204" s="2"/>
      <c r="IS1204" s="2"/>
      <c r="IT1204" s="2"/>
      <c r="IU1204" s="2"/>
    </row>
    <row r="1205" spans="1:255" x14ac:dyDescent="0.2">
      <c r="A1205">
        <v>18</v>
      </c>
      <c r="B1205">
        <v>1</v>
      </c>
      <c r="C1205">
        <v>1034</v>
      </c>
      <c r="E1205" t="s">
        <v>976</v>
      </c>
      <c r="F1205" t="s">
        <v>977</v>
      </c>
      <c r="G1205" t="s">
        <v>978</v>
      </c>
      <c r="H1205" t="s">
        <v>250</v>
      </c>
      <c r="I1205">
        <f>I1199*J1205</f>
        <v>0</v>
      </c>
      <c r="J1205">
        <v>0</v>
      </c>
      <c r="K1205">
        <v>0</v>
      </c>
      <c r="O1205">
        <f t="shared" si="1012"/>
        <v>0</v>
      </c>
      <c r="P1205">
        <f t="shared" si="1013"/>
        <v>0</v>
      </c>
      <c r="Q1205">
        <f t="shared" si="1048"/>
        <v>0</v>
      </c>
      <c r="R1205">
        <f t="shared" si="1014"/>
        <v>0</v>
      </c>
      <c r="S1205">
        <f t="shared" si="1015"/>
        <v>0</v>
      </c>
      <c r="T1205">
        <f t="shared" si="1016"/>
        <v>0</v>
      </c>
      <c r="U1205">
        <f t="shared" si="1017"/>
        <v>0</v>
      </c>
      <c r="V1205">
        <f t="shared" si="1018"/>
        <v>0</v>
      </c>
      <c r="W1205">
        <f t="shared" si="1019"/>
        <v>0</v>
      </c>
      <c r="X1205">
        <f t="shared" si="1020"/>
        <v>0</v>
      </c>
      <c r="Y1205">
        <f t="shared" si="1021"/>
        <v>0</v>
      </c>
      <c r="AA1205">
        <v>129761633</v>
      </c>
      <c r="AB1205">
        <f t="shared" si="1022"/>
        <v>209.67</v>
      </c>
      <c r="AC1205">
        <f t="shared" si="1023"/>
        <v>209.67</v>
      </c>
      <c r="AD1205">
        <f t="shared" si="1049"/>
        <v>0</v>
      </c>
      <c r="AE1205">
        <f t="shared" si="1050"/>
        <v>0</v>
      </c>
      <c r="AF1205">
        <f t="shared" si="1051"/>
        <v>0</v>
      </c>
      <c r="AG1205">
        <f t="shared" si="1024"/>
        <v>0</v>
      </c>
      <c r="AH1205">
        <f t="shared" si="1052"/>
        <v>0</v>
      </c>
      <c r="AI1205">
        <f t="shared" si="1053"/>
        <v>0</v>
      </c>
      <c r="AJ1205">
        <f t="shared" si="1025"/>
        <v>0</v>
      </c>
      <c r="AK1205">
        <v>209.67</v>
      </c>
      <c r="AL1205">
        <v>209.67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1</v>
      </c>
      <c r="AW1205">
        <v>1</v>
      </c>
      <c r="AZ1205">
        <v>1</v>
      </c>
      <c r="BA1205">
        <v>1</v>
      </c>
      <c r="BB1205">
        <v>1</v>
      </c>
      <c r="BC1205">
        <v>7.26</v>
      </c>
      <c r="BD1205" t="s">
        <v>3</v>
      </c>
      <c r="BE1205" t="s">
        <v>3</v>
      </c>
      <c r="BF1205" t="s">
        <v>3</v>
      </c>
      <c r="BG1205" t="s">
        <v>3</v>
      </c>
      <c r="BH1205">
        <v>3</v>
      </c>
      <c r="BI1205">
        <v>1</v>
      </c>
      <c r="BJ1205" t="s">
        <v>979</v>
      </c>
      <c r="BM1205">
        <v>136</v>
      </c>
      <c r="BN1205">
        <v>0</v>
      </c>
      <c r="BO1205" t="s">
        <v>977</v>
      </c>
      <c r="BP1205">
        <v>1</v>
      </c>
      <c r="BQ1205">
        <v>30</v>
      </c>
      <c r="BR1205">
        <v>0</v>
      </c>
      <c r="BS1205">
        <v>1</v>
      </c>
      <c r="BT1205">
        <v>1</v>
      </c>
      <c r="BU1205">
        <v>1</v>
      </c>
      <c r="BV1205">
        <v>1</v>
      </c>
      <c r="BW1205">
        <v>1</v>
      </c>
      <c r="BX1205">
        <v>1</v>
      </c>
      <c r="BY1205" t="s">
        <v>3</v>
      </c>
      <c r="BZ1205">
        <v>0</v>
      </c>
      <c r="CA1205">
        <v>0</v>
      </c>
      <c r="CB1205" t="s">
        <v>3</v>
      </c>
      <c r="CE1205">
        <v>30</v>
      </c>
      <c r="CF1205">
        <v>0</v>
      </c>
      <c r="CG1205">
        <v>0</v>
      </c>
      <c r="CM1205">
        <v>0</v>
      </c>
      <c r="CN1205" t="s">
        <v>3</v>
      </c>
      <c r="CO1205">
        <v>0</v>
      </c>
      <c r="CP1205">
        <f t="shared" si="1026"/>
        <v>0</v>
      </c>
      <c r="CQ1205">
        <f t="shared" si="1027"/>
        <v>1522.2</v>
      </c>
      <c r="CR1205">
        <f t="shared" si="1054"/>
        <v>0</v>
      </c>
      <c r="CS1205">
        <f t="shared" si="1028"/>
        <v>0</v>
      </c>
      <c r="CT1205">
        <f t="shared" si="1029"/>
        <v>0</v>
      </c>
      <c r="CU1205">
        <f t="shared" si="1030"/>
        <v>0</v>
      </c>
      <c r="CV1205">
        <f t="shared" si="1031"/>
        <v>0</v>
      </c>
      <c r="CW1205">
        <f t="shared" si="1032"/>
        <v>0</v>
      </c>
      <c r="CX1205">
        <f t="shared" si="1033"/>
        <v>0</v>
      </c>
      <c r="CY1205">
        <f>S1205*(BZ1205/100)</f>
        <v>0</v>
      </c>
      <c r="CZ1205">
        <f>S1205*(CA1205/100)</f>
        <v>0</v>
      </c>
      <c r="DC1205" t="s">
        <v>3</v>
      </c>
      <c r="DD1205" t="s">
        <v>3</v>
      </c>
      <c r="DE1205" t="s">
        <v>3</v>
      </c>
      <c r="DF1205" t="s">
        <v>3</v>
      </c>
      <c r="DG1205" t="s">
        <v>3</v>
      </c>
      <c r="DH1205" t="s">
        <v>3</v>
      </c>
      <c r="DI1205" t="s">
        <v>3</v>
      </c>
      <c r="DJ1205" t="s">
        <v>3</v>
      </c>
      <c r="DK1205" t="s">
        <v>3</v>
      </c>
      <c r="DL1205" t="s">
        <v>3</v>
      </c>
      <c r="DM1205" t="s">
        <v>3</v>
      </c>
      <c r="DN1205">
        <v>110</v>
      </c>
      <c r="DO1205">
        <v>74</v>
      </c>
      <c r="DP1205">
        <v>1</v>
      </c>
      <c r="DQ1205">
        <v>1</v>
      </c>
      <c r="DU1205">
        <v>1010</v>
      </c>
      <c r="DV1205" t="s">
        <v>250</v>
      </c>
      <c r="DW1205" t="s">
        <v>250</v>
      </c>
      <c r="DX1205">
        <v>1</v>
      </c>
      <c r="DZ1205" t="s">
        <v>3</v>
      </c>
      <c r="EA1205" t="s">
        <v>3</v>
      </c>
      <c r="EB1205" t="s">
        <v>3</v>
      </c>
      <c r="EC1205" t="s">
        <v>3</v>
      </c>
      <c r="EE1205">
        <v>126051597</v>
      </c>
      <c r="EF1205">
        <v>30</v>
      </c>
      <c r="EG1205" t="s">
        <v>23</v>
      </c>
      <c r="EH1205">
        <v>0</v>
      </c>
      <c r="EI1205" t="s">
        <v>3</v>
      </c>
      <c r="EJ1205">
        <v>1</v>
      </c>
      <c r="EK1205">
        <v>136</v>
      </c>
      <c r="EL1205" t="s">
        <v>955</v>
      </c>
      <c r="EM1205" t="s">
        <v>956</v>
      </c>
      <c r="EO1205" t="s">
        <v>3</v>
      </c>
      <c r="EQ1205">
        <v>0</v>
      </c>
      <c r="ER1205">
        <v>209.67</v>
      </c>
      <c r="ES1205">
        <v>209.67</v>
      </c>
      <c r="ET1205">
        <v>0</v>
      </c>
      <c r="EU1205">
        <v>0</v>
      </c>
      <c r="EV1205">
        <v>0</v>
      </c>
      <c r="EW1205">
        <v>0</v>
      </c>
      <c r="EX1205">
        <v>0</v>
      </c>
      <c r="FQ1205">
        <v>0</v>
      </c>
      <c r="FR1205">
        <f t="shared" si="1034"/>
        <v>0</v>
      </c>
      <c r="FS1205">
        <v>0</v>
      </c>
      <c r="FX1205">
        <v>110</v>
      </c>
      <c r="FY1205">
        <v>74</v>
      </c>
      <c r="GA1205" t="s">
        <v>3</v>
      </c>
      <c r="GD1205">
        <v>0</v>
      </c>
      <c r="GF1205">
        <v>-1457686447</v>
      </c>
      <c r="GG1205">
        <v>2</v>
      </c>
      <c r="GH1205">
        <v>1</v>
      </c>
      <c r="GI1205">
        <v>2</v>
      </c>
      <c r="GJ1205">
        <v>0</v>
      </c>
      <c r="GK1205">
        <f>ROUND(R1205*(S12)/100,2)</f>
        <v>0</v>
      </c>
      <c r="GL1205">
        <f t="shared" si="1035"/>
        <v>0</v>
      </c>
      <c r="GM1205">
        <f t="shared" si="1036"/>
        <v>0</v>
      </c>
      <c r="GN1205">
        <f t="shared" si="1037"/>
        <v>0</v>
      </c>
      <c r="GO1205">
        <f t="shared" si="1038"/>
        <v>0</v>
      </c>
      <c r="GP1205">
        <f t="shared" si="1039"/>
        <v>0</v>
      </c>
      <c r="GR1205">
        <v>0</v>
      </c>
      <c r="GS1205">
        <v>3</v>
      </c>
      <c r="GT1205">
        <v>0</v>
      </c>
      <c r="GU1205" t="s">
        <v>3</v>
      </c>
      <c r="GV1205">
        <f t="shared" si="1040"/>
        <v>0</v>
      </c>
      <c r="GW1205">
        <v>1</v>
      </c>
      <c r="GX1205">
        <f t="shared" si="1041"/>
        <v>0</v>
      </c>
      <c r="HA1205">
        <v>0</v>
      </c>
      <c r="HB1205">
        <v>0</v>
      </c>
      <c r="HC1205">
        <f t="shared" si="1042"/>
        <v>0</v>
      </c>
      <c r="HE1205" t="s">
        <v>3</v>
      </c>
      <c r="HF1205" t="s">
        <v>3</v>
      </c>
      <c r="HM1205" t="s">
        <v>3</v>
      </c>
      <c r="HN1205" t="s">
        <v>3</v>
      </c>
      <c r="HO1205" t="s">
        <v>3</v>
      </c>
      <c r="HP1205" t="s">
        <v>3</v>
      </c>
      <c r="HQ1205" t="s">
        <v>3</v>
      </c>
      <c r="IK1205">
        <v>0</v>
      </c>
    </row>
    <row r="1206" spans="1:255" x14ac:dyDescent="0.2">
      <c r="A1206" s="2">
        <v>18</v>
      </c>
      <c r="B1206" s="2">
        <v>1</v>
      </c>
      <c r="C1206" s="2">
        <v>1028</v>
      </c>
      <c r="D1206" s="2"/>
      <c r="E1206" s="2" t="s">
        <v>980</v>
      </c>
      <c r="F1206" s="2" t="s">
        <v>981</v>
      </c>
      <c r="G1206" s="2" t="s">
        <v>982</v>
      </c>
      <c r="H1206" s="2" t="s">
        <v>250</v>
      </c>
      <c r="I1206" s="2">
        <f>I1198*J1206</f>
        <v>0</v>
      </c>
      <c r="J1206" s="2">
        <v>0</v>
      </c>
      <c r="K1206" s="2">
        <v>0</v>
      </c>
      <c r="L1206" s="2"/>
      <c r="M1206" s="2"/>
      <c r="N1206" s="2"/>
      <c r="O1206" s="2">
        <f t="shared" si="1012"/>
        <v>0</v>
      </c>
      <c r="P1206" s="2">
        <f t="shared" si="1013"/>
        <v>0</v>
      </c>
      <c r="Q1206" s="2">
        <f t="shared" si="1048"/>
        <v>0</v>
      </c>
      <c r="R1206" s="2">
        <f t="shared" si="1014"/>
        <v>0</v>
      </c>
      <c r="S1206" s="2">
        <f t="shared" si="1015"/>
        <v>0</v>
      </c>
      <c r="T1206" s="2">
        <f t="shared" si="1016"/>
        <v>0</v>
      </c>
      <c r="U1206" s="2">
        <f t="shared" si="1017"/>
        <v>0</v>
      </c>
      <c r="V1206" s="2">
        <f t="shared" si="1018"/>
        <v>0</v>
      </c>
      <c r="W1206" s="2">
        <f t="shared" si="1019"/>
        <v>0</v>
      </c>
      <c r="X1206" s="2">
        <f t="shared" si="1020"/>
        <v>0</v>
      </c>
      <c r="Y1206" s="2">
        <f t="shared" si="1021"/>
        <v>0</v>
      </c>
      <c r="Z1206" s="2"/>
      <c r="AA1206" s="2">
        <v>129761636</v>
      </c>
      <c r="AB1206" s="2">
        <f t="shared" si="1022"/>
        <v>32.979999999999997</v>
      </c>
      <c r="AC1206" s="2">
        <f t="shared" si="1023"/>
        <v>32.979999999999997</v>
      </c>
      <c r="AD1206" s="2">
        <f t="shared" si="1049"/>
        <v>0</v>
      </c>
      <c r="AE1206" s="2">
        <f t="shared" si="1050"/>
        <v>0</v>
      </c>
      <c r="AF1206" s="2">
        <f t="shared" si="1051"/>
        <v>0</v>
      </c>
      <c r="AG1206" s="2">
        <f t="shared" si="1024"/>
        <v>0</v>
      </c>
      <c r="AH1206" s="2">
        <f t="shared" si="1052"/>
        <v>0</v>
      </c>
      <c r="AI1206" s="2">
        <f t="shared" si="1053"/>
        <v>0</v>
      </c>
      <c r="AJ1206" s="2">
        <f t="shared" si="1025"/>
        <v>0</v>
      </c>
      <c r="AK1206" s="2">
        <v>32.979999999999997</v>
      </c>
      <c r="AL1206" s="2">
        <v>32.979999999999997</v>
      </c>
      <c r="AM1206" s="2">
        <v>0</v>
      </c>
      <c r="AN1206" s="2">
        <v>0</v>
      </c>
      <c r="AO1206" s="2">
        <v>0</v>
      </c>
      <c r="AP1206" s="2">
        <v>0</v>
      </c>
      <c r="AQ1206" s="2">
        <v>0</v>
      </c>
      <c r="AR1206" s="2">
        <v>0</v>
      </c>
      <c r="AS1206" s="2">
        <v>0</v>
      </c>
      <c r="AT1206" s="2">
        <v>110</v>
      </c>
      <c r="AU1206" s="2">
        <v>74</v>
      </c>
      <c r="AV1206" s="2">
        <v>1</v>
      </c>
      <c r="AW1206" s="2">
        <v>1</v>
      </c>
      <c r="AX1206" s="2"/>
      <c r="AY1206" s="2"/>
      <c r="AZ1206" s="2">
        <v>1</v>
      </c>
      <c r="BA1206" s="2">
        <v>1</v>
      </c>
      <c r="BB1206" s="2">
        <v>1</v>
      </c>
      <c r="BC1206" s="2">
        <v>1</v>
      </c>
      <c r="BD1206" s="2" t="s">
        <v>3</v>
      </c>
      <c r="BE1206" s="2" t="s">
        <v>3</v>
      </c>
      <c r="BF1206" s="2" t="s">
        <v>3</v>
      </c>
      <c r="BG1206" s="2" t="s">
        <v>3</v>
      </c>
      <c r="BH1206" s="2">
        <v>3</v>
      </c>
      <c r="BI1206" s="2">
        <v>1</v>
      </c>
      <c r="BJ1206" s="2" t="s">
        <v>983</v>
      </c>
      <c r="BK1206" s="2"/>
      <c r="BL1206" s="2"/>
      <c r="BM1206" s="2">
        <v>136</v>
      </c>
      <c r="BN1206" s="2">
        <v>0</v>
      </c>
      <c r="BO1206" s="2" t="s">
        <v>3</v>
      </c>
      <c r="BP1206" s="2">
        <v>0</v>
      </c>
      <c r="BQ1206" s="2">
        <v>30</v>
      </c>
      <c r="BR1206" s="2">
        <v>0</v>
      </c>
      <c r="BS1206" s="2">
        <v>1</v>
      </c>
      <c r="BT1206" s="2">
        <v>1</v>
      </c>
      <c r="BU1206" s="2">
        <v>1</v>
      </c>
      <c r="BV1206" s="2">
        <v>1</v>
      </c>
      <c r="BW1206" s="2">
        <v>1</v>
      </c>
      <c r="BX1206" s="2">
        <v>1</v>
      </c>
      <c r="BY1206" s="2" t="s">
        <v>3</v>
      </c>
      <c r="BZ1206" s="2">
        <v>110</v>
      </c>
      <c r="CA1206" s="2">
        <v>74</v>
      </c>
      <c r="CB1206" s="2" t="s">
        <v>3</v>
      </c>
      <c r="CC1206" s="2"/>
      <c r="CD1206" s="2"/>
      <c r="CE1206" s="2">
        <v>30</v>
      </c>
      <c r="CF1206" s="2">
        <v>0</v>
      </c>
      <c r="CG1206" s="2">
        <v>0</v>
      </c>
      <c r="CH1206" s="2"/>
      <c r="CI1206" s="2"/>
      <c r="CJ1206" s="2"/>
      <c r="CK1206" s="2"/>
      <c r="CL1206" s="2"/>
      <c r="CM1206" s="2">
        <v>0</v>
      </c>
      <c r="CN1206" s="2" t="s">
        <v>3</v>
      </c>
      <c r="CO1206" s="2">
        <v>0</v>
      </c>
      <c r="CP1206" s="2">
        <f t="shared" si="1026"/>
        <v>0</v>
      </c>
      <c r="CQ1206" s="2">
        <f t="shared" si="1027"/>
        <v>32.979999999999997</v>
      </c>
      <c r="CR1206" s="2">
        <f t="shared" si="1054"/>
        <v>0</v>
      </c>
      <c r="CS1206" s="2">
        <f t="shared" si="1028"/>
        <v>0</v>
      </c>
      <c r="CT1206" s="2">
        <f t="shared" si="1029"/>
        <v>0</v>
      </c>
      <c r="CU1206" s="2">
        <f t="shared" si="1030"/>
        <v>0</v>
      </c>
      <c r="CV1206" s="2">
        <f t="shared" si="1031"/>
        <v>0</v>
      </c>
      <c r="CW1206" s="2">
        <f t="shared" si="1032"/>
        <v>0</v>
      </c>
      <c r="CX1206" s="2">
        <f t="shared" si="1033"/>
        <v>0</v>
      </c>
      <c r="CY1206" s="2">
        <f>((S1206*BZ1206)/100)</f>
        <v>0</v>
      </c>
      <c r="CZ1206" s="2">
        <f>((S1206*CA1206)/100)</f>
        <v>0</v>
      </c>
      <c r="DA1206" s="2"/>
      <c r="DB1206" s="2"/>
      <c r="DC1206" s="2" t="s">
        <v>3</v>
      </c>
      <c r="DD1206" s="2" t="s">
        <v>3</v>
      </c>
      <c r="DE1206" s="2" t="s">
        <v>3</v>
      </c>
      <c r="DF1206" s="2" t="s">
        <v>3</v>
      </c>
      <c r="DG1206" s="2" t="s">
        <v>3</v>
      </c>
      <c r="DH1206" s="2" t="s">
        <v>3</v>
      </c>
      <c r="DI1206" s="2" t="s">
        <v>3</v>
      </c>
      <c r="DJ1206" s="2" t="s">
        <v>3</v>
      </c>
      <c r="DK1206" s="2" t="s">
        <v>3</v>
      </c>
      <c r="DL1206" s="2" t="s">
        <v>3</v>
      </c>
      <c r="DM1206" s="2" t="s">
        <v>3</v>
      </c>
      <c r="DN1206" s="2">
        <v>0</v>
      </c>
      <c r="DO1206" s="2">
        <v>0</v>
      </c>
      <c r="DP1206" s="2">
        <v>1</v>
      </c>
      <c r="DQ1206" s="2">
        <v>1</v>
      </c>
      <c r="DR1206" s="2"/>
      <c r="DS1206" s="2"/>
      <c r="DT1206" s="2"/>
      <c r="DU1206" s="2">
        <v>1010</v>
      </c>
      <c r="DV1206" s="2" t="s">
        <v>250</v>
      </c>
      <c r="DW1206" s="2" t="s">
        <v>250</v>
      </c>
      <c r="DX1206" s="2">
        <v>1</v>
      </c>
      <c r="DY1206" s="2"/>
      <c r="DZ1206" s="2" t="s">
        <v>3</v>
      </c>
      <c r="EA1206" s="2" t="s">
        <v>3</v>
      </c>
      <c r="EB1206" s="2" t="s">
        <v>3</v>
      </c>
      <c r="EC1206" s="2" t="s">
        <v>3</v>
      </c>
      <c r="ED1206" s="2"/>
      <c r="EE1206" s="2">
        <v>126051597</v>
      </c>
      <c r="EF1206" s="2">
        <v>30</v>
      </c>
      <c r="EG1206" s="2" t="s">
        <v>23</v>
      </c>
      <c r="EH1206" s="2">
        <v>0</v>
      </c>
      <c r="EI1206" s="2" t="s">
        <v>3</v>
      </c>
      <c r="EJ1206" s="2">
        <v>1</v>
      </c>
      <c r="EK1206" s="2">
        <v>136</v>
      </c>
      <c r="EL1206" s="2" t="s">
        <v>955</v>
      </c>
      <c r="EM1206" s="2" t="s">
        <v>956</v>
      </c>
      <c r="EN1206" s="2"/>
      <c r="EO1206" s="2" t="s">
        <v>3</v>
      </c>
      <c r="EP1206" s="2"/>
      <c r="EQ1206" s="2">
        <v>0</v>
      </c>
      <c r="ER1206" s="2">
        <v>32.979999999999997</v>
      </c>
      <c r="ES1206" s="2">
        <v>32.979999999999997</v>
      </c>
      <c r="ET1206" s="2">
        <v>0</v>
      </c>
      <c r="EU1206" s="2">
        <v>0</v>
      </c>
      <c r="EV1206" s="2">
        <v>0</v>
      </c>
      <c r="EW1206" s="2">
        <v>0</v>
      </c>
      <c r="EX1206" s="2">
        <v>0</v>
      </c>
      <c r="EY1206" s="2"/>
      <c r="EZ1206" s="2"/>
      <c r="FA1206" s="2"/>
      <c r="FB1206" s="2"/>
      <c r="FC1206" s="2"/>
      <c r="FD1206" s="2"/>
      <c r="FE1206" s="2"/>
      <c r="FF1206" s="2"/>
      <c r="FG1206" s="2"/>
      <c r="FH1206" s="2"/>
      <c r="FI1206" s="2"/>
      <c r="FJ1206" s="2"/>
      <c r="FK1206" s="2"/>
      <c r="FL1206" s="2"/>
      <c r="FM1206" s="2"/>
      <c r="FN1206" s="2"/>
      <c r="FO1206" s="2"/>
      <c r="FP1206" s="2"/>
      <c r="FQ1206" s="2">
        <v>0</v>
      </c>
      <c r="FR1206" s="2">
        <f t="shared" si="1034"/>
        <v>0</v>
      </c>
      <c r="FS1206" s="2">
        <v>0</v>
      </c>
      <c r="FT1206" s="2"/>
      <c r="FU1206" s="2"/>
      <c r="FV1206" s="2"/>
      <c r="FW1206" s="2"/>
      <c r="FX1206" s="2">
        <v>110</v>
      </c>
      <c r="FY1206" s="2">
        <v>74</v>
      </c>
      <c r="FZ1206" s="2"/>
      <c r="GA1206" s="2" t="s">
        <v>3</v>
      </c>
      <c r="GB1206" s="2"/>
      <c r="GC1206" s="2"/>
      <c r="GD1206" s="2">
        <v>0</v>
      </c>
      <c r="GE1206" s="2"/>
      <c r="GF1206" s="2">
        <v>-681315971</v>
      </c>
      <c r="GG1206" s="2">
        <v>2</v>
      </c>
      <c r="GH1206" s="2">
        <v>1</v>
      </c>
      <c r="GI1206" s="2">
        <v>-2</v>
      </c>
      <c r="GJ1206" s="2">
        <v>0</v>
      </c>
      <c r="GK1206" s="2">
        <f>ROUND(R1206*(R12)/100,2)</f>
        <v>0</v>
      </c>
      <c r="GL1206" s="2">
        <f t="shared" si="1035"/>
        <v>0</v>
      </c>
      <c r="GM1206" s="2">
        <f t="shared" si="1036"/>
        <v>0</v>
      </c>
      <c r="GN1206" s="2">
        <f t="shared" si="1037"/>
        <v>0</v>
      </c>
      <c r="GO1206" s="2">
        <f t="shared" si="1038"/>
        <v>0</v>
      </c>
      <c r="GP1206" s="2">
        <f t="shared" si="1039"/>
        <v>0</v>
      </c>
      <c r="GQ1206" s="2"/>
      <c r="GR1206" s="2">
        <v>0</v>
      </c>
      <c r="GS1206" s="2">
        <v>3</v>
      </c>
      <c r="GT1206" s="2">
        <v>0</v>
      </c>
      <c r="GU1206" s="2" t="s">
        <v>3</v>
      </c>
      <c r="GV1206" s="2">
        <f t="shared" si="1040"/>
        <v>0</v>
      </c>
      <c r="GW1206" s="2">
        <v>1</v>
      </c>
      <c r="GX1206" s="2">
        <f t="shared" si="1041"/>
        <v>0</v>
      </c>
      <c r="GY1206" s="2"/>
      <c r="GZ1206" s="2"/>
      <c r="HA1206" s="2">
        <v>0</v>
      </c>
      <c r="HB1206" s="2">
        <v>0</v>
      </c>
      <c r="HC1206" s="2">
        <f t="shared" si="1042"/>
        <v>0</v>
      </c>
      <c r="HD1206" s="2"/>
      <c r="HE1206" s="2" t="s">
        <v>3</v>
      </c>
      <c r="HF1206" s="2" t="s">
        <v>3</v>
      </c>
      <c r="HG1206" s="2"/>
      <c r="HH1206" s="2"/>
      <c r="HI1206" s="2"/>
      <c r="HJ1206" s="2"/>
      <c r="HK1206" s="2"/>
      <c r="HL1206" s="2"/>
      <c r="HM1206" s="2" t="s">
        <v>3</v>
      </c>
      <c r="HN1206" s="2" t="s">
        <v>3</v>
      </c>
      <c r="HO1206" s="2" t="s">
        <v>3</v>
      </c>
      <c r="HP1206" s="2" t="s">
        <v>3</v>
      </c>
      <c r="HQ1206" s="2" t="s">
        <v>3</v>
      </c>
      <c r="HR1206" s="2"/>
      <c r="HS1206" s="2"/>
      <c r="HT1206" s="2"/>
      <c r="HU1206" s="2"/>
      <c r="HV1206" s="2"/>
      <c r="HW1206" s="2"/>
      <c r="HX1206" s="2"/>
      <c r="HY1206" s="2"/>
      <c r="HZ1206" s="2"/>
      <c r="IA1206" s="2"/>
      <c r="IB1206" s="2"/>
      <c r="IC1206" s="2"/>
      <c r="ID1206" s="2"/>
      <c r="IE1206" s="2"/>
      <c r="IF1206" s="2"/>
      <c r="IG1206" s="2"/>
      <c r="IH1206" s="2"/>
      <c r="II1206" s="2"/>
      <c r="IJ1206" s="2"/>
      <c r="IK1206" s="2">
        <v>0</v>
      </c>
      <c r="IL1206" s="2"/>
      <c r="IM1206" s="2"/>
      <c r="IN1206" s="2"/>
      <c r="IO1206" s="2"/>
      <c r="IP1206" s="2"/>
      <c r="IQ1206" s="2"/>
      <c r="IR1206" s="2"/>
      <c r="IS1206" s="2"/>
      <c r="IT1206" s="2"/>
      <c r="IU1206" s="2"/>
    </row>
    <row r="1207" spans="1:255" x14ac:dyDescent="0.2">
      <c r="A1207">
        <v>18</v>
      </c>
      <c r="B1207">
        <v>1</v>
      </c>
      <c r="C1207">
        <v>1036</v>
      </c>
      <c r="E1207" t="s">
        <v>980</v>
      </c>
      <c r="F1207" t="s">
        <v>981</v>
      </c>
      <c r="G1207" t="s">
        <v>982</v>
      </c>
      <c r="H1207" t="s">
        <v>250</v>
      </c>
      <c r="I1207">
        <f>I1199*J1207</f>
        <v>0</v>
      </c>
      <c r="J1207">
        <v>0</v>
      </c>
      <c r="K1207">
        <v>0</v>
      </c>
      <c r="O1207">
        <f t="shared" si="1012"/>
        <v>0</v>
      </c>
      <c r="P1207">
        <f t="shared" si="1013"/>
        <v>0</v>
      </c>
      <c r="Q1207">
        <f t="shared" si="1048"/>
        <v>0</v>
      </c>
      <c r="R1207">
        <f t="shared" si="1014"/>
        <v>0</v>
      </c>
      <c r="S1207">
        <f t="shared" si="1015"/>
        <v>0</v>
      </c>
      <c r="T1207">
        <f t="shared" si="1016"/>
        <v>0</v>
      </c>
      <c r="U1207">
        <f t="shared" si="1017"/>
        <v>0</v>
      </c>
      <c r="V1207">
        <f t="shared" si="1018"/>
        <v>0</v>
      </c>
      <c r="W1207">
        <f t="shared" si="1019"/>
        <v>0</v>
      </c>
      <c r="X1207">
        <f t="shared" si="1020"/>
        <v>0</v>
      </c>
      <c r="Y1207">
        <f t="shared" si="1021"/>
        <v>0</v>
      </c>
      <c r="AA1207">
        <v>129761633</v>
      </c>
      <c r="AB1207">
        <f t="shared" si="1022"/>
        <v>32.979999999999997</v>
      </c>
      <c r="AC1207">
        <f t="shared" si="1023"/>
        <v>32.979999999999997</v>
      </c>
      <c r="AD1207">
        <f t="shared" si="1049"/>
        <v>0</v>
      </c>
      <c r="AE1207">
        <f t="shared" si="1050"/>
        <v>0</v>
      </c>
      <c r="AF1207">
        <f t="shared" si="1051"/>
        <v>0</v>
      </c>
      <c r="AG1207">
        <f t="shared" si="1024"/>
        <v>0</v>
      </c>
      <c r="AH1207">
        <f t="shared" si="1052"/>
        <v>0</v>
      </c>
      <c r="AI1207">
        <f t="shared" si="1053"/>
        <v>0</v>
      </c>
      <c r="AJ1207">
        <f t="shared" si="1025"/>
        <v>0</v>
      </c>
      <c r="AK1207">
        <v>32.979999999999997</v>
      </c>
      <c r="AL1207">
        <v>32.979999999999997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  <c r="AV1207">
        <v>1</v>
      </c>
      <c r="AW1207">
        <v>1</v>
      </c>
      <c r="AZ1207">
        <v>1</v>
      </c>
      <c r="BA1207">
        <v>1</v>
      </c>
      <c r="BB1207">
        <v>1</v>
      </c>
      <c r="BC1207">
        <v>4.3499999999999996</v>
      </c>
      <c r="BD1207" t="s">
        <v>3</v>
      </c>
      <c r="BE1207" t="s">
        <v>3</v>
      </c>
      <c r="BF1207" t="s">
        <v>3</v>
      </c>
      <c r="BG1207" t="s">
        <v>3</v>
      </c>
      <c r="BH1207">
        <v>3</v>
      </c>
      <c r="BI1207">
        <v>1</v>
      </c>
      <c r="BJ1207" t="s">
        <v>983</v>
      </c>
      <c r="BM1207">
        <v>136</v>
      </c>
      <c r="BN1207">
        <v>0</v>
      </c>
      <c r="BO1207" t="s">
        <v>981</v>
      </c>
      <c r="BP1207">
        <v>1</v>
      </c>
      <c r="BQ1207">
        <v>30</v>
      </c>
      <c r="BR1207">
        <v>0</v>
      </c>
      <c r="BS1207">
        <v>1</v>
      </c>
      <c r="BT1207">
        <v>1</v>
      </c>
      <c r="BU1207">
        <v>1</v>
      </c>
      <c r="BV1207">
        <v>1</v>
      </c>
      <c r="BW1207">
        <v>1</v>
      </c>
      <c r="BX1207">
        <v>1</v>
      </c>
      <c r="BY1207" t="s">
        <v>3</v>
      </c>
      <c r="BZ1207">
        <v>0</v>
      </c>
      <c r="CA1207">
        <v>0</v>
      </c>
      <c r="CB1207" t="s">
        <v>3</v>
      </c>
      <c r="CE1207">
        <v>30</v>
      </c>
      <c r="CF1207">
        <v>0</v>
      </c>
      <c r="CG1207">
        <v>0</v>
      </c>
      <c r="CM1207">
        <v>0</v>
      </c>
      <c r="CN1207" t="s">
        <v>3</v>
      </c>
      <c r="CO1207">
        <v>0</v>
      </c>
      <c r="CP1207">
        <f t="shared" si="1026"/>
        <v>0</v>
      </c>
      <c r="CQ1207">
        <f t="shared" si="1027"/>
        <v>143.46</v>
      </c>
      <c r="CR1207">
        <f t="shared" si="1054"/>
        <v>0</v>
      </c>
      <c r="CS1207">
        <f t="shared" si="1028"/>
        <v>0</v>
      </c>
      <c r="CT1207">
        <f t="shared" si="1029"/>
        <v>0</v>
      </c>
      <c r="CU1207">
        <f t="shared" si="1030"/>
        <v>0</v>
      </c>
      <c r="CV1207">
        <f t="shared" si="1031"/>
        <v>0</v>
      </c>
      <c r="CW1207">
        <f t="shared" si="1032"/>
        <v>0</v>
      </c>
      <c r="CX1207">
        <f t="shared" si="1033"/>
        <v>0</v>
      </c>
      <c r="CY1207">
        <f>S1207*(BZ1207/100)</f>
        <v>0</v>
      </c>
      <c r="CZ1207">
        <f>S1207*(CA1207/100)</f>
        <v>0</v>
      </c>
      <c r="DC1207" t="s">
        <v>3</v>
      </c>
      <c r="DD1207" t="s">
        <v>3</v>
      </c>
      <c r="DE1207" t="s">
        <v>3</v>
      </c>
      <c r="DF1207" t="s">
        <v>3</v>
      </c>
      <c r="DG1207" t="s">
        <v>3</v>
      </c>
      <c r="DH1207" t="s">
        <v>3</v>
      </c>
      <c r="DI1207" t="s">
        <v>3</v>
      </c>
      <c r="DJ1207" t="s">
        <v>3</v>
      </c>
      <c r="DK1207" t="s">
        <v>3</v>
      </c>
      <c r="DL1207" t="s">
        <v>3</v>
      </c>
      <c r="DM1207" t="s">
        <v>3</v>
      </c>
      <c r="DN1207">
        <v>110</v>
      </c>
      <c r="DO1207">
        <v>74</v>
      </c>
      <c r="DP1207">
        <v>1</v>
      </c>
      <c r="DQ1207">
        <v>1</v>
      </c>
      <c r="DU1207">
        <v>1010</v>
      </c>
      <c r="DV1207" t="s">
        <v>250</v>
      </c>
      <c r="DW1207" t="s">
        <v>250</v>
      </c>
      <c r="DX1207">
        <v>1</v>
      </c>
      <c r="DZ1207" t="s">
        <v>3</v>
      </c>
      <c r="EA1207" t="s">
        <v>3</v>
      </c>
      <c r="EB1207" t="s">
        <v>3</v>
      </c>
      <c r="EC1207" t="s">
        <v>3</v>
      </c>
      <c r="EE1207">
        <v>126051597</v>
      </c>
      <c r="EF1207">
        <v>30</v>
      </c>
      <c r="EG1207" t="s">
        <v>23</v>
      </c>
      <c r="EH1207">
        <v>0</v>
      </c>
      <c r="EI1207" t="s">
        <v>3</v>
      </c>
      <c r="EJ1207">
        <v>1</v>
      </c>
      <c r="EK1207">
        <v>136</v>
      </c>
      <c r="EL1207" t="s">
        <v>955</v>
      </c>
      <c r="EM1207" t="s">
        <v>956</v>
      </c>
      <c r="EO1207" t="s">
        <v>3</v>
      </c>
      <c r="EQ1207">
        <v>0</v>
      </c>
      <c r="ER1207">
        <v>32.979999999999997</v>
      </c>
      <c r="ES1207">
        <v>32.979999999999997</v>
      </c>
      <c r="ET1207">
        <v>0</v>
      </c>
      <c r="EU1207">
        <v>0</v>
      </c>
      <c r="EV1207">
        <v>0</v>
      </c>
      <c r="EW1207">
        <v>0</v>
      </c>
      <c r="EX1207">
        <v>0</v>
      </c>
      <c r="FQ1207">
        <v>0</v>
      </c>
      <c r="FR1207">
        <f t="shared" si="1034"/>
        <v>0</v>
      </c>
      <c r="FS1207">
        <v>0</v>
      </c>
      <c r="FX1207">
        <v>110</v>
      </c>
      <c r="FY1207">
        <v>74</v>
      </c>
      <c r="GA1207" t="s">
        <v>3</v>
      </c>
      <c r="GD1207">
        <v>0</v>
      </c>
      <c r="GF1207">
        <v>-681315971</v>
      </c>
      <c r="GG1207">
        <v>2</v>
      </c>
      <c r="GH1207">
        <v>1</v>
      </c>
      <c r="GI1207">
        <v>2</v>
      </c>
      <c r="GJ1207">
        <v>0</v>
      </c>
      <c r="GK1207">
        <f>ROUND(R1207*(S12)/100,2)</f>
        <v>0</v>
      </c>
      <c r="GL1207">
        <f t="shared" si="1035"/>
        <v>0</v>
      </c>
      <c r="GM1207">
        <f t="shared" si="1036"/>
        <v>0</v>
      </c>
      <c r="GN1207">
        <f t="shared" si="1037"/>
        <v>0</v>
      </c>
      <c r="GO1207">
        <f t="shared" si="1038"/>
        <v>0</v>
      </c>
      <c r="GP1207">
        <f t="shared" si="1039"/>
        <v>0</v>
      </c>
      <c r="GR1207">
        <v>0</v>
      </c>
      <c r="GS1207">
        <v>3</v>
      </c>
      <c r="GT1207">
        <v>0</v>
      </c>
      <c r="GU1207" t="s">
        <v>3</v>
      </c>
      <c r="GV1207">
        <f t="shared" si="1040"/>
        <v>0</v>
      </c>
      <c r="GW1207">
        <v>1</v>
      </c>
      <c r="GX1207">
        <f t="shared" si="1041"/>
        <v>0</v>
      </c>
      <c r="HA1207">
        <v>0</v>
      </c>
      <c r="HB1207">
        <v>0</v>
      </c>
      <c r="HC1207">
        <f t="shared" si="1042"/>
        <v>0</v>
      </c>
      <c r="HE1207" t="s">
        <v>3</v>
      </c>
      <c r="HF1207" t="s">
        <v>3</v>
      </c>
      <c r="HM1207" t="s">
        <v>3</v>
      </c>
      <c r="HN1207" t="s">
        <v>3</v>
      </c>
      <c r="HO1207" t="s">
        <v>3</v>
      </c>
      <c r="HP1207" t="s">
        <v>3</v>
      </c>
      <c r="HQ1207" t="s">
        <v>3</v>
      </c>
      <c r="IK1207">
        <v>0</v>
      </c>
    </row>
    <row r="1208" spans="1:255" x14ac:dyDescent="0.2">
      <c r="A1208" s="2">
        <v>18</v>
      </c>
      <c r="B1208" s="2">
        <v>1</v>
      </c>
      <c r="C1208" s="2">
        <v>1027</v>
      </c>
      <c r="D1208" s="2"/>
      <c r="E1208" s="2" t="s">
        <v>984</v>
      </c>
      <c r="F1208" s="2" t="s">
        <v>985</v>
      </c>
      <c r="G1208" s="2" t="s">
        <v>986</v>
      </c>
      <c r="H1208" s="2" t="s">
        <v>250</v>
      </c>
      <c r="I1208" s="2">
        <f>I1198*J1208</f>
        <v>1</v>
      </c>
      <c r="J1208" s="2">
        <v>1</v>
      </c>
      <c r="K1208" s="2">
        <v>1</v>
      </c>
      <c r="L1208" s="2"/>
      <c r="M1208" s="2"/>
      <c r="N1208" s="2"/>
      <c r="O1208" s="2">
        <f t="shared" si="1012"/>
        <v>218.12</v>
      </c>
      <c r="P1208" s="2">
        <f t="shared" si="1013"/>
        <v>218.12</v>
      </c>
      <c r="Q1208" s="2">
        <f t="shared" si="1048"/>
        <v>0</v>
      </c>
      <c r="R1208" s="2">
        <f t="shared" si="1014"/>
        <v>0</v>
      </c>
      <c r="S1208" s="2">
        <f t="shared" si="1015"/>
        <v>0</v>
      </c>
      <c r="T1208" s="2">
        <f t="shared" si="1016"/>
        <v>0</v>
      </c>
      <c r="U1208" s="2">
        <f t="shared" si="1017"/>
        <v>0</v>
      </c>
      <c r="V1208" s="2">
        <f t="shared" si="1018"/>
        <v>0</v>
      </c>
      <c r="W1208" s="2">
        <f t="shared" si="1019"/>
        <v>0</v>
      </c>
      <c r="X1208" s="2">
        <f t="shared" si="1020"/>
        <v>0</v>
      </c>
      <c r="Y1208" s="2">
        <f t="shared" si="1021"/>
        <v>0</v>
      </c>
      <c r="Z1208" s="2"/>
      <c r="AA1208" s="2">
        <v>129761636</v>
      </c>
      <c r="AB1208" s="2">
        <f t="shared" si="1022"/>
        <v>218.12</v>
      </c>
      <c r="AC1208" s="2">
        <f t="shared" si="1023"/>
        <v>218.12</v>
      </c>
      <c r="AD1208" s="2">
        <f t="shared" si="1049"/>
        <v>0</v>
      </c>
      <c r="AE1208" s="2">
        <f t="shared" si="1050"/>
        <v>0</v>
      </c>
      <c r="AF1208" s="2">
        <f t="shared" si="1051"/>
        <v>0</v>
      </c>
      <c r="AG1208" s="2">
        <f t="shared" si="1024"/>
        <v>0</v>
      </c>
      <c r="AH1208" s="2">
        <f t="shared" si="1052"/>
        <v>0</v>
      </c>
      <c r="AI1208" s="2">
        <f t="shared" si="1053"/>
        <v>0</v>
      </c>
      <c r="AJ1208" s="2">
        <f t="shared" si="1025"/>
        <v>0</v>
      </c>
      <c r="AK1208" s="2">
        <v>218.12</v>
      </c>
      <c r="AL1208" s="2">
        <v>218.12</v>
      </c>
      <c r="AM1208" s="2">
        <v>0</v>
      </c>
      <c r="AN1208" s="2">
        <v>0</v>
      </c>
      <c r="AO1208" s="2">
        <v>0</v>
      </c>
      <c r="AP1208" s="2">
        <v>0</v>
      </c>
      <c r="AQ1208" s="2">
        <v>0</v>
      </c>
      <c r="AR1208" s="2">
        <v>0</v>
      </c>
      <c r="AS1208" s="2">
        <v>0</v>
      </c>
      <c r="AT1208" s="2">
        <v>110</v>
      </c>
      <c r="AU1208" s="2">
        <v>74</v>
      </c>
      <c r="AV1208" s="2">
        <v>1</v>
      </c>
      <c r="AW1208" s="2">
        <v>1</v>
      </c>
      <c r="AX1208" s="2"/>
      <c r="AY1208" s="2"/>
      <c r="AZ1208" s="2">
        <v>1</v>
      </c>
      <c r="BA1208" s="2">
        <v>1</v>
      </c>
      <c r="BB1208" s="2">
        <v>1</v>
      </c>
      <c r="BC1208" s="2">
        <v>1</v>
      </c>
      <c r="BD1208" s="2" t="s">
        <v>3</v>
      </c>
      <c r="BE1208" s="2" t="s">
        <v>3</v>
      </c>
      <c r="BF1208" s="2" t="s">
        <v>3</v>
      </c>
      <c r="BG1208" s="2" t="s">
        <v>3</v>
      </c>
      <c r="BH1208" s="2">
        <v>3</v>
      </c>
      <c r="BI1208" s="2">
        <v>1</v>
      </c>
      <c r="BJ1208" s="2" t="s">
        <v>987</v>
      </c>
      <c r="BK1208" s="2"/>
      <c r="BL1208" s="2"/>
      <c r="BM1208" s="2">
        <v>136</v>
      </c>
      <c r="BN1208" s="2">
        <v>0</v>
      </c>
      <c r="BO1208" s="2" t="s">
        <v>3</v>
      </c>
      <c r="BP1208" s="2">
        <v>0</v>
      </c>
      <c r="BQ1208" s="2">
        <v>30</v>
      </c>
      <c r="BR1208" s="2">
        <v>0</v>
      </c>
      <c r="BS1208" s="2">
        <v>1</v>
      </c>
      <c r="BT1208" s="2">
        <v>1</v>
      </c>
      <c r="BU1208" s="2">
        <v>1</v>
      </c>
      <c r="BV1208" s="2">
        <v>1</v>
      </c>
      <c r="BW1208" s="2">
        <v>1</v>
      </c>
      <c r="BX1208" s="2">
        <v>1</v>
      </c>
      <c r="BY1208" s="2" t="s">
        <v>3</v>
      </c>
      <c r="BZ1208" s="2">
        <v>110</v>
      </c>
      <c r="CA1208" s="2">
        <v>74</v>
      </c>
      <c r="CB1208" s="2" t="s">
        <v>3</v>
      </c>
      <c r="CC1208" s="2"/>
      <c r="CD1208" s="2"/>
      <c r="CE1208" s="2">
        <v>30</v>
      </c>
      <c r="CF1208" s="2">
        <v>0</v>
      </c>
      <c r="CG1208" s="2">
        <v>0</v>
      </c>
      <c r="CH1208" s="2"/>
      <c r="CI1208" s="2"/>
      <c r="CJ1208" s="2"/>
      <c r="CK1208" s="2"/>
      <c r="CL1208" s="2"/>
      <c r="CM1208" s="2">
        <v>0</v>
      </c>
      <c r="CN1208" s="2" t="s">
        <v>3</v>
      </c>
      <c r="CO1208" s="2">
        <v>0</v>
      </c>
      <c r="CP1208" s="2">
        <f t="shared" si="1026"/>
        <v>218.12</v>
      </c>
      <c r="CQ1208" s="2">
        <f t="shared" si="1027"/>
        <v>218.12</v>
      </c>
      <c r="CR1208" s="2">
        <f t="shared" si="1054"/>
        <v>0</v>
      </c>
      <c r="CS1208" s="2">
        <f t="shared" si="1028"/>
        <v>0</v>
      </c>
      <c r="CT1208" s="2">
        <f t="shared" si="1029"/>
        <v>0</v>
      </c>
      <c r="CU1208" s="2">
        <f t="shared" si="1030"/>
        <v>0</v>
      </c>
      <c r="CV1208" s="2">
        <f t="shared" si="1031"/>
        <v>0</v>
      </c>
      <c r="CW1208" s="2">
        <f t="shared" si="1032"/>
        <v>0</v>
      </c>
      <c r="CX1208" s="2">
        <f t="shared" si="1033"/>
        <v>0</v>
      </c>
      <c r="CY1208" s="2">
        <f>((S1208*BZ1208)/100)</f>
        <v>0</v>
      </c>
      <c r="CZ1208" s="2">
        <f>((S1208*CA1208)/100)</f>
        <v>0</v>
      </c>
      <c r="DA1208" s="2"/>
      <c r="DB1208" s="2"/>
      <c r="DC1208" s="2" t="s">
        <v>3</v>
      </c>
      <c r="DD1208" s="2" t="s">
        <v>3</v>
      </c>
      <c r="DE1208" s="2" t="s">
        <v>3</v>
      </c>
      <c r="DF1208" s="2" t="s">
        <v>3</v>
      </c>
      <c r="DG1208" s="2" t="s">
        <v>3</v>
      </c>
      <c r="DH1208" s="2" t="s">
        <v>3</v>
      </c>
      <c r="DI1208" s="2" t="s">
        <v>3</v>
      </c>
      <c r="DJ1208" s="2" t="s">
        <v>3</v>
      </c>
      <c r="DK1208" s="2" t="s">
        <v>3</v>
      </c>
      <c r="DL1208" s="2" t="s">
        <v>3</v>
      </c>
      <c r="DM1208" s="2" t="s">
        <v>3</v>
      </c>
      <c r="DN1208" s="2">
        <v>0</v>
      </c>
      <c r="DO1208" s="2">
        <v>0</v>
      </c>
      <c r="DP1208" s="2">
        <v>1</v>
      </c>
      <c r="DQ1208" s="2">
        <v>1</v>
      </c>
      <c r="DR1208" s="2"/>
      <c r="DS1208" s="2"/>
      <c r="DT1208" s="2"/>
      <c r="DU1208" s="2">
        <v>1010</v>
      </c>
      <c r="DV1208" s="2" t="s">
        <v>250</v>
      </c>
      <c r="DW1208" s="2" t="s">
        <v>250</v>
      </c>
      <c r="DX1208" s="2">
        <v>1</v>
      </c>
      <c r="DY1208" s="2"/>
      <c r="DZ1208" s="2" t="s">
        <v>3</v>
      </c>
      <c r="EA1208" s="2" t="s">
        <v>3</v>
      </c>
      <c r="EB1208" s="2" t="s">
        <v>3</v>
      </c>
      <c r="EC1208" s="2" t="s">
        <v>3</v>
      </c>
      <c r="ED1208" s="2"/>
      <c r="EE1208" s="2">
        <v>126051597</v>
      </c>
      <c r="EF1208" s="2">
        <v>30</v>
      </c>
      <c r="EG1208" s="2" t="s">
        <v>23</v>
      </c>
      <c r="EH1208" s="2">
        <v>0</v>
      </c>
      <c r="EI1208" s="2" t="s">
        <v>3</v>
      </c>
      <c r="EJ1208" s="2">
        <v>1</v>
      </c>
      <c r="EK1208" s="2">
        <v>136</v>
      </c>
      <c r="EL1208" s="2" t="s">
        <v>955</v>
      </c>
      <c r="EM1208" s="2" t="s">
        <v>956</v>
      </c>
      <c r="EN1208" s="2"/>
      <c r="EO1208" s="2" t="s">
        <v>3</v>
      </c>
      <c r="EP1208" s="2"/>
      <c r="EQ1208" s="2">
        <v>0</v>
      </c>
      <c r="ER1208" s="2">
        <v>218.12</v>
      </c>
      <c r="ES1208" s="2">
        <v>218.12</v>
      </c>
      <c r="ET1208" s="2">
        <v>0</v>
      </c>
      <c r="EU1208" s="2">
        <v>0</v>
      </c>
      <c r="EV1208" s="2">
        <v>0</v>
      </c>
      <c r="EW1208" s="2">
        <v>0</v>
      </c>
      <c r="EX1208" s="2">
        <v>0</v>
      </c>
      <c r="EY1208" s="2"/>
      <c r="EZ1208" s="2"/>
      <c r="FA1208" s="2"/>
      <c r="FB1208" s="2"/>
      <c r="FC1208" s="2"/>
      <c r="FD1208" s="2"/>
      <c r="FE1208" s="2"/>
      <c r="FF1208" s="2"/>
      <c r="FG1208" s="2"/>
      <c r="FH1208" s="2"/>
      <c r="FI1208" s="2"/>
      <c r="FJ1208" s="2"/>
      <c r="FK1208" s="2"/>
      <c r="FL1208" s="2"/>
      <c r="FM1208" s="2"/>
      <c r="FN1208" s="2"/>
      <c r="FO1208" s="2"/>
      <c r="FP1208" s="2"/>
      <c r="FQ1208" s="2">
        <v>0</v>
      </c>
      <c r="FR1208" s="2">
        <f t="shared" si="1034"/>
        <v>0</v>
      </c>
      <c r="FS1208" s="2">
        <v>0</v>
      </c>
      <c r="FT1208" s="2"/>
      <c r="FU1208" s="2"/>
      <c r="FV1208" s="2"/>
      <c r="FW1208" s="2"/>
      <c r="FX1208" s="2">
        <v>110</v>
      </c>
      <c r="FY1208" s="2">
        <v>74</v>
      </c>
      <c r="FZ1208" s="2"/>
      <c r="GA1208" s="2" t="s">
        <v>3</v>
      </c>
      <c r="GB1208" s="2"/>
      <c r="GC1208" s="2"/>
      <c r="GD1208" s="2">
        <v>0</v>
      </c>
      <c r="GE1208" s="2"/>
      <c r="GF1208" s="2">
        <v>-383638002</v>
      </c>
      <c r="GG1208" s="2">
        <v>2</v>
      </c>
      <c r="GH1208" s="2">
        <v>1</v>
      </c>
      <c r="GI1208" s="2">
        <v>-2</v>
      </c>
      <c r="GJ1208" s="2">
        <v>0</v>
      </c>
      <c r="GK1208" s="2">
        <f>ROUND(R1208*(R12)/100,2)</f>
        <v>0</v>
      </c>
      <c r="GL1208" s="2">
        <f t="shared" si="1035"/>
        <v>0</v>
      </c>
      <c r="GM1208" s="2">
        <f t="shared" si="1036"/>
        <v>218.12</v>
      </c>
      <c r="GN1208" s="2">
        <f t="shared" si="1037"/>
        <v>218.12</v>
      </c>
      <c r="GO1208" s="2">
        <f t="shared" si="1038"/>
        <v>0</v>
      </c>
      <c r="GP1208" s="2">
        <f t="shared" si="1039"/>
        <v>0</v>
      </c>
      <c r="GQ1208" s="2"/>
      <c r="GR1208" s="2">
        <v>0</v>
      </c>
      <c r="GS1208" s="2">
        <v>3</v>
      </c>
      <c r="GT1208" s="2">
        <v>0</v>
      </c>
      <c r="GU1208" s="2" t="s">
        <v>3</v>
      </c>
      <c r="GV1208" s="2">
        <f t="shared" si="1040"/>
        <v>0</v>
      </c>
      <c r="GW1208" s="2">
        <v>1</v>
      </c>
      <c r="GX1208" s="2">
        <f t="shared" si="1041"/>
        <v>0</v>
      </c>
      <c r="GY1208" s="2"/>
      <c r="GZ1208" s="2"/>
      <c r="HA1208" s="2">
        <v>0</v>
      </c>
      <c r="HB1208" s="2">
        <v>0</v>
      </c>
      <c r="HC1208" s="2">
        <f t="shared" si="1042"/>
        <v>0</v>
      </c>
      <c r="HD1208" s="2"/>
      <c r="HE1208" s="2" t="s">
        <v>3</v>
      </c>
      <c r="HF1208" s="2" t="s">
        <v>3</v>
      </c>
      <c r="HG1208" s="2"/>
      <c r="HH1208" s="2"/>
      <c r="HI1208" s="2"/>
      <c r="HJ1208" s="2"/>
      <c r="HK1208" s="2"/>
      <c r="HL1208" s="2"/>
      <c r="HM1208" s="2" t="s">
        <v>3</v>
      </c>
      <c r="HN1208" s="2" t="s">
        <v>3</v>
      </c>
      <c r="HO1208" s="2" t="s">
        <v>3</v>
      </c>
      <c r="HP1208" s="2" t="s">
        <v>3</v>
      </c>
      <c r="HQ1208" s="2" t="s">
        <v>3</v>
      </c>
      <c r="HR1208" s="2"/>
      <c r="HS1208" s="2"/>
      <c r="HT1208" s="2"/>
      <c r="HU1208" s="2"/>
      <c r="HV1208" s="2"/>
      <c r="HW1208" s="2"/>
      <c r="HX1208" s="2"/>
      <c r="HY1208" s="2"/>
      <c r="HZ1208" s="2"/>
      <c r="IA1208" s="2"/>
      <c r="IB1208" s="2"/>
      <c r="IC1208" s="2"/>
      <c r="ID1208" s="2"/>
      <c r="IE1208" s="2"/>
      <c r="IF1208" s="2"/>
      <c r="IG1208" s="2"/>
      <c r="IH1208" s="2"/>
      <c r="II1208" s="2"/>
      <c r="IJ1208" s="2"/>
      <c r="IK1208" s="2">
        <v>0</v>
      </c>
      <c r="IL1208" s="2"/>
      <c r="IM1208" s="2"/>
      <c r="IN1208" s="2"/>
      <c r="IO1208" s="2"/>
      <c r="IP1208" s="2"/>
      <c r="IQ1208" s="2"/>
      <c r="IR1208" s="2"/>
      <c r="IS1208" s="2"/>
      <c r="IT1208" s="2"/>
      <c r="IU1208" s="2"/>
    </row>
    <row r="1209" spans="1:255" x14ac:dyDescent="0.2">
      <c r="A1209">
        <v>18</v>
      </c>
      <c r="B1209">
        <v>1</v>
      </c>
      <c r="C1209">
        <v>1035</v>
      </c>
      <c r="E1209" t="s">
        <v>984</v>
      </c>
      <c r="F1209" t="s">
        <v>985</v>
      </c>
      <c r="G1209" t="s">
        <v>986</v>
      </c>
      <c r="H1209" t="s">
        <v>250</v>
      </c>
      <c r="I1209">
        <f>I1199*J1209</f>
        <v>1</v>
      </c>
      <c r="J1209">
        <v>1</v>
      </c>
      <c r="K1209">
        <v>1</v>
      </c>
      <c r="O1209">
        <f t="shared" si="1012"/>
        <v>1908.55</v>
      </c>
      <c r="P1209">
        <f t="shared" si="1013"/>
        <v>1908.55</v>
      </c>
      <c r="Q1209">
        <f t="shared" si="1048"/>
        <v>0</v>
      </c>
      <c r="R1209">
        <f t="shared" si="1014"/>
        <v>0</v>
      </c>
      <c r="S1209">
        <f t="shared" si="1015"/>
        <v>0</v>
      </c>
      <c r="T1209">
        <f t="shared" si="1016"/>
        <v>0</v>
      </c>
      <c r="U1209">
        <f t="shared" si="1017"/>
        <v>0</v>
      </c>
      <c r="V1209">
        <f t="shared" si="1018"/>
        <v>0</v>
      </c>
      <c r="W1209">
        <f t="shared" si="1019"/>
        <v>0</v>
      </c>
      <c r="X1209">
        <f t="shared" si="1020"/>
        <v>0</v>
      </c>
      <c r="Y1209">
        <f t="shared" si="1021"/>
        <v>0</v>
      </c>
      <c r="AA1209">
        <v>129761633</v>
      </c>
      <c r="AB1209">
        <f t="shared" si="1022"/>
        <v>218.12</v>
      </c>
      <c r="AC1209">
        <f t="shared" si="1023"/>
        <v>218.12</v>
      </c>
      <c r="AD1209">
        <f t="shared" si="1049"/>
        <v>0</v>
      </c>
      <c r="AE1209">
        <f t="shared" si="1050"/>
        <v>0</v>
      </c>
      <c r="AF1209">
        <f t="shared" si="1051"/>
        <v>0</v>
      </c>
      <c r="AG1209">
        <f t="shared" si="1024"/>
        <v>0</v>
      </c>
      <c r="AH1209">
        <f t="shared" si="1052"/>
        <v>0</v>
      </c>
      <c r="AI1209">
        <f t="shared" si="1053"/>
        <v>0</v>
      </c>
      <c r="AJ1209">
        <f t="shared" si="1025"/>
        <v>0</v>
      </c>
      <c r="AK1209">
        <v>218.12</v>
      </c>
      <c r="AL1209">
        <v>218.12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1</v>
      </c>
      <c r="AW1209">
        <v>1</v>
      </c>
      <c r="AZ1209">
        <v>1</v>
      </c>
      <c r="BA1209">
        <v>1</v>
      </c>
      <c r="BB1209">
        <v>1</v>
      </c>
      <c r="BC1209">
        <v>8.75</v>
      </c>
      <c r="BD1209" t="s">
        <v>3</v>
      </c>
      <c r="BE1209" t="s">
        <v>3</v>
      </c>
      <c r="BF1209" t="s">
        <v>3</v>
      </c>
      <c r="BG1209" t="s">
        <v>3</v>
      </c>
      <c r="BH1209">
        <v>3</v>
      </c>
      <c r="BI1209">
        <v>1</v>
      </c>
      <c r="BJ1209" t="s">
        <v>987</v>
      </c>
      <c r="BM1209">
        <v>136</v>
      </c>
      <c r="BN1209">
        <v>0</v>
      </c>
      <c r="BO1209" t="s">
        <v>985</v>
      </c>
      <c r="BP1209">
        <v>1</v>
      </c>
      <c r="BQ1209">
        <v>30</v>
      </c>
      <c r="BR1209">
        <v>0</v>
      </c>
      <c r="BS1209">
        <v>1</v>
      </c>
      <c r="BT1209">
        <v>1</v>
      </c>
      <c r="BU1209">
        <v>1</v>
      </c>
      <c r="BV1209">
        <v>1</v>
      </c>
      <c r="BW1209">
        <v>1</v>
      </c>
      <c r="BX1209">
        <v>1</v>
      </c>
      <c r="BY1209" t="s">
        <v>3</v>
      </c>
      <c r="BZ1209">
        <v>0</v>
      </c>
      <c r="CA1209">
        <v>0</v>
      </c>
      <c r="CB1209" t="s">
        <v>3</v>
      </c>
      <c r="CE1209">
        <v>30</v>
      </c>
      <c r="CF1209">
        <v>0</v>
      </c>
      <c r="CG1209">
        <v>0</v>
      </c>
      <c r="CM1209">
        <v>0</v>
      </c>
      <c r="CN1209" t="s">
        <v>3</v>
      </c>
      <c r="CO1209">
        <v>0</v>
      </c>
      <c r="CP1209">
        <f t="shared" si="1026"/>
        <v>1908.55</v>
      </c>
      <c r="CQ1209">
        <f t="shared" si="1027"/>
        <v>1908.55</v>
      </c>
      <c r="CR1209">
        <f t="shared" si="1054"/>
        <v>0</v>
      </c>
      <c r="CS1209">
        <f t="shared" si="1028"/>
        <v>0</v>
      </c>
      <c r="CT1209">
        <f t="shared" si="1029"/>
        <v>0</v>
      </c>
      <c r="CU1209">
        <f t="shared" si="1030"/>
        <v>0</v>
      </c>
      <c r="CV1209">
        <f t="shared" si="1031"/>
        <v>0</v>
      </c>
      <c r="CW1209">
        <f t="shared" si="1032"/>
        <v>0</v>
      </c>
      <c r="CX1209">
        <f t="shared" si="1033"/>
        <v>0</v>
      </c>
      <c r="CY1209">
        <f>S1209*(BZ1209/100)</f>
        <v>0</v>
      </c>
      <c r="CZ1209">
        <f>S1209*(CA1209/100)</f>
        <v>0</v>
      </c>
      <c r="DC1209" t="s">
        <v>3</v>
      </c>
      <c r="DD1209" t="s">
        <v>3</v>
      </c>
      <c r="DE1209" t="s">
        <v>3</v>
      </c>
      <c r="DF1209" t="s">
        <v>3</v>
      </c>
      <c r="DG1209" t="s">
        <v>3</v>
      </c>
      <c r="DH1209" t="s">
        <v>3</v>
      </c>
      <c r="DI1209" t="s">
        <v>3</v>
      </c>
      <c r="DJ1209" t="s">
        <v>3</v>
      </c>
      <c r="DK1209" t="s">
        <v>3</v>
      </c>
      <c r="DL1209" t="s">
        <v>3</v>
      </c>
      <c r="DM1209" t="s">
        <v>3</v>
      </c>
      <c r="DN1209">
        <v>110</v>
      </c>
      <c r="DO1209">
        <v>74</v>
      </c>
      <c r="DP1209">
        <v>1</v>
      </c>
      <c r="DQ1209">
        <v>1</v>
      </c>
      <c r="DU1209">
        <v>1010</v>
      </c>
      <c r="DV1209" t="s">
        <v>250</v>
      </c>
      <c r="DW1209" t="s">
        <v>250</v>
      </c>
      <c r="DX1209">
        <v>1</v>
      </c>
      <c r="DZ1209" t="s">
        <v>3</v>
      </c>
      <c r="EA1209" t="s">
        <v>3</v>
      </c>
      <c r="EB1209" t="s">
        <v>3</v>
      </c>
      <c r="EC1209" t="s">
        <v>3</v>
      </c>
      <c r="EE1209">
        <v>126051597</v>
      </c>
      <c r="EF1209">
        <v>30</v>
      </c>
      <c r="EG1209" t="s">
        <v>23</v>
      </c>
      <c r="EH1209">
        <v>0</v>
      </c>
      <c r="EI1209" t="s">
        <v>3</v>
      </c>
      <c r="EJ1209">
        <v>1</v>
      </c>
      <c r="EK1209">
        <v>136</v>
      </c>
      <c r="EL1209" t="s">
        <v>955</v>
      </c>
      <c r="EM1209" t="s">
        <v>956</v>
      </c>
      <c r="EO1209" t="s">
        <v>3</v>
      </c>
      <c r="EQ1209">
        <v>0</v>
      </c>
      <c r="ER1209">
        <v>218.12</v>
      </c>
      <c r="ES1209">
        <v>218.12</v>
      </c>
      <c r="ET1209">
        <v>0</v>
      </c>
      <c r="EU1209">
        <v>0</v>
      </c>
      <c r="EV1209">
        <v>0</v>
      </c>
      <c r="EW1209">
        <v>0</v>
      </c>
      <c r="EX1209">
        <v>0</v>
      </c>
      <c r="FQ1209">
        <v>0</v>
      </c>
      <c r="FR1209">
        <f t="shared" si="1034"/>
        <v>0</v>
      </c>
      <c r="FS1209">
        <v>0</v>
      </c>
      <c r="FX1209">
        <v>110</v>
      </c>
      <c r="FY1209">
        <v>74</v>
      </c>
      <c r="GA1209" t="s">
        <v>3</v>
      </c>
      <c r="GD1209">
        <v>0</v>
      </c>
      <c r="GF1209">
        <v>-383638002</v>
      </c>
      <c r="GG1209">
        <v>2</v>
      </c>
      <c r="GH1209">
        <v>1</v>
      </c>
      <c r="GI1209">
        <v>2</v>
      </c>
      <c r="GJ1209">
        <v>0</v>
      </c>
      <c r="GK1209">
        <f>ROUND(R1209*(S12)/100,2)</f>
        <v>0</v>
      </c>
      <c r="GL1209">
        <f t="shared" si="1035"/>
        <v>0</v>
      </c>
      <c r="GM1209">
        <f t="shared" si="1036"/>
        <v>1908.55</v>
      </c>
      <c r="GN1209">
        <f t="shared" si="1037"/>
        <v>1908.55</v>
      </c>
      <c r="GO1209">
        <f t="shared" si="1038"/>
        <v>0</v>
      </c>
      <c r="GP1209">
        <f t="shared" si="1039"/>
        <v>0</v>
      </c>
      <c r="GR1209">
        <v>0</v>
      </c>
      <c r="GS1209">
        <v>3</v>
      </c>
      <c r="GT1209">
        <v>0</v>
      </c>
      <c r="GU1209" t="s">
        <v>3</v>
      </c>
      <c r="GV1209">
        <f t="shared" si="1040"/>
        <v>0</v>
      </c>
      <c r="GW1209">
        <v>1</v>
      </c>
      <c r="GX1209">
        <f t="shared" si="1041"/>
        <v>0</v>
      </c>
      <c r="HA1209">
        <v>0</v>
      </c>
      <c r="HB1209">
        <v>0</v>
      </c>
      <c r="HC1209">
        <f t="shared" si="1042"/>
        <v>0</v>
      </c>
      <c r="HE1209" t="s">
        <v>3</v>
      </c>
      <c r="HF1209" t="s">
        <v>3</v>
      </c>
      <c r="HM1209" t="s">
        <v>3</v>
      </c>
      <c r="HN1209" t="s">
        <v>3</v>
      </c>
      <c r="HO1209" t="s">
        <v>3</v>
      </c>
      <c r="HP1209" t="s">
        <v>3</v>
      </c>
      <c r="HQ1209" t="s">
        <v>3</v>
      </c>
      <c r="IK1209">
        <v>0</v>
      </c>
    </row>
    <row r="1210" spans="1:255" x14ac:dyDescent="0.2">
      <c r="A1210" s="2">
        <v>17</v>
      </c>
      <c r="B1210" s="2">
        <v>1</v>
      </c>
      <c r="C1210" s="2">
        <f>ROW(SmtRes!A1049)</f>
        <v>1049</v>
      </c>
      <c r="D1210" s="2">
        <f>ROW(EtalonRes!A1006)</f>
        <v>1006</v>
      </c>
      <c r="E1210" s="2" t="s">
        <v>240</v>
      </c>
      <c r="F1210" s="2" t="s">
        <v>988</v>
      </c>
      <c r="G1210" s="2" t="s">
        <v>989</v>
      </c>
      <c r="H1210" s="2" t="s">
        <v>953</v>
      </c>
      <c r="I1210" s="2">
        <v>1</v>
      </c>
      <c r="J1210" s="2">
        <v>0</v>
      </c>
      <c r="K1210" s="2">
        <v>1</v>
      </c>
      <c r="L1210" s="2"/>
      <c r="M1210" s="2"/>
      <c r="N1210" s="2"/>
      <c r="O1210" s="2">
        <f t="shared" si="1012"/>
        <v>27.41</v>
      </c>
      <c r="P1210" s="2">
        <f t="shared" si="1013"/>
        <v>8.1</v>
      </c>
      <c r="Q1210" s="2">
        <f>(ROUND((ROUND((((ET1210*1.25))*AV1210*I1210),2)*BB1210),2)+ROUND((ROUND(((AE1210-((EU1210*1.25)))*AV1210*I1210),2)*BS1210),2))</f>
        <v>5.76</v>
      </c>
      <c r="R1210" s="2">
        <f t="shared" si="1014"/>
        <v>1.08</v>
      </c>
      <c r="S1210" s="2">
        <f t="shared" si="1015"/>
        <v>13.55</v>
      </c>
      <c r="T1210" s="2">
        <f t="shared" si="1016"/>
        <v>0</v>
      </c>
      <c r="U1210" s="2">
        <f t="shared" si="1017"/>
        <v>1.1384999999999998</v>
      </c>
      <c r="V1210" s="2">
        <f t="shared" si="1018"/>
        <v>0</v>
      </c>
      <c r="W1210" s="2">
        <f t="shared" si="1019"/>
        <v>0</v>
      </c>
      <c r="X1210" s="2">
        <f t="shared" si="1020"/>
        <v>14.91</v>
      </c>
      <c r="Y1210" s="2">
        <f t="shared" si="1021"/>
        <v>10.029999999999999</v>
      </c>
      <c r="Z1210" s="2"/>
      <c r="AA1210" s="2">
        <v>129761636</v>
      </c>
      <c r="AB1210" s="2">
        <f t="shared" si="1022"/>
        <v>27.409500000000001</v>
      </c>
      <c r="AC1210" s="2">
        <f t="shared" si="1023"/>
        <v>8.1</v>
      </c>
      <c r="AD1210" s="2">
        <f>ROUND(((((ET1210*1.25))-((EU1210*1.25)))+AE1210),6)</f>
        <v>5.7625000000000002</v>
      </c>
      <c r="AE1210" s="2">
        <f>ROUND(((EU1210*1.25)),6)</f>
        <v>1.075</v>
      </c>
      <c r="AF1210" s="2">
        <f>ROUND(((EV1210*1.15)),6)</f>
        <v>13.547000000000001</v>
      </c>
      <c r="AG1210" s="2">
        <f t="shared" si="1024"/>
        <v>0</v>
      </c>
      <c r="AH1210" s="2">
        <f>((EW1210*1.15))</f>
        <v>1.1384999999999998</v>
      </c>
      <c r="AI1210" s="2">
        <f>((EX1210*1.25))</f>
        <v>0</v>
      </c>
      <c r="AJ1210" s="2">
        <f t="shared" si="1025"/>
        <v>0</v>
      </c>
      <c r="AK1210" s="2">
        <v>24.49</v>
      </c>
      <c r="AL1210" s="2">
        <v>8.1</v>
      </c>
      <c r="AM1210" s="2">
        <v>4.6100000000000003</v>
      </c>
      <c r="AN1210" s="2">
        <v>0.86</v>
      </c>
      <c r="AO1210" s="2">
        <v>11.78</v>
      </c>
      <c r="AP1210" s="2">
        <v>0</v>
      </c>
      <c r="AQ1210" s="2">
        <v>0.99</v>
      </c>
      <c r="AR1210" s="2">
        <v>0</v>
      </c>
      <c r="AS1210" s="2">
        <v>0</v>
      </c>
      <c r="AT1210" s="2">
        <v>110</v>
      </c>
      <c r="AU1210" s="2">
        <v>74</v>
      </c>
      <c r="AV1210" s="2">
        <v>1</v>
      </c>
      <c r="AW1210" s="2">
        <v>1</v>
      </c>
      <c r="AX1210" s="2"/>
      <c r="AY1210" s="2"/>
      <c r="AZ1210" s="2">
        <v>1</v>
      </c>
      <c r="BA1210" s="2">
        <v>1</v>
      </c>
      <c r="BB1210" s="2">
        <v>1</v>
      </c>
      <c r="BC1210" s="2">
        <v>1</v>
      </c>
      <c r="BD1210" s="2" t="s">
        <v>3</v>
      </c>
      <c r="BE1210" s="2" t="s">
        <v>3</v>
      </c>
      <c r="BF1210" s="2" t="s">
        <v>3</v>
      </c>
      <c r="BG1210" s="2" t="s">
        <v>3</v>
      </c>
      <c r="BH1210" s="2">
        <v>0</v>
      </c>
      <c r="BI1210" s="2">
        <v>1</v>
      </c>
      <c r="BJ1210" s="2" t="s">
        <v>990</v>
      </c>
      <c r="BK1210" s="2"/>
      <c r="BL1210" s="2"/>
      <c r="BM1210" s="2">
        <v>136</v>
      </c>
      <c r="BN1210" s="2">
        <v>0</v>
      </c>
      <c r="BO1210" s="2" t="s">
        <v>3</v>
      </c>
      <c r="BP1210" s="2">
        <v>0</v>
      </c>
      <c r="BQ1210" s="2">
        <v>30</v>
      </c>
      <c r="BR1210" s="2">
        <v>0</v>
      </c>
      <c r="BS1210" s="2">
        <v>1</v>
      </c>
      <c r="BT1210" s="2">
        <v>1</v>
      </c>
      <c r="BU1210" s="2">
        <v>1</v>
      </c>
      <c r="BV1210" s="2">
        <v>1</v>
      </c>
      <c r="BW1210" s="2">
        <v>1</v>
      </c>
      <c r="BX1210" s="2">
        <v>1</v>
      </c>
      <c r="BY1210" s="2" t="s">
        <v>3</v>
      </c>
      <c r="BZ1210" s="2">
        <v>110</v>
      </c>
      <c r="CA1210" s="2">
        <v>74</v>
      </c>
      <c r="CB1210" s="2" t="s">
        <v>3</v>
      </c>
      <c r="CC1210" s="2"/>
      <c r="CD1210" s="2"/>
      <c r="CE1210" s="2">
        <v>30</v>
      </c>
      <c r="CF1210" s="2">
        <v>0</v>
      </c>
      <c r="CG1210" s="2">
        <v>0</v>
      </c>
      <c r="CH1210" s="2"/>
      <c r="CI1210" s="2"/>
      <c r="CJ1210" s="2"/>
      <c r="CK1210" s="2"/>
      <c r="CL1210" s="2"/>
      <c r="CM1210" s="2">
        <v>0</v>
      </c>
      <c r="CN1210" s="2" t="s">
        <v>1559</v>
      </c>
      <c r="CO1210" s="2">
        <v>0</v>
      </c>
      <c r="CP1210" s="2">
        <f t="shared" si="1026"/>
        <v>27.41</v>
      </c>
      <c r="CQ1210" s="2">
        <f t="shared" si="1027"/>
        <v>8.1</v>
      </c>
      <c r="CR1210" s="2">
        <f>(ROUND((ROUND((((ET1210*1.25))*AV1210*1),2)*BB1210),2)+ROUND((ROUND(((AE1210-((EU1210*1.25)))*AV1210*1),2)*BS1210),2))</f>
        <v>5.76</v>
      </c>
      <c r="CS1210" s="2">
        <f t="shared" si="1028"/>
        <v>1.08</v>
      </c>
      <c r="CT1210" s="2">
        <f t="shared" si="1029"/>
        <v>13.55</v>
      </c>
      <c r="CU1210" s="2">
        <f t="shared" si="1030"/>
        <v>0</v>
      </c>
      <c r="CV1210" s="2">
        <f t="shared" si="1031"/>
        <v>1.1384999999999998</v>
      </c>
      <c r="CW1210" s="2">
        <f t="shared" si="1032"/>
        <v>0</v>
      </c>
      <c r="CX1210" s="2">
        <f t="shared" si="1033"/>
        <v>0</v>
      </c>
      <c r="CY1210" s="2">
        <f>((S1210*BZ1210)/100)</f>
        <v>14.904999999999999</v>
      </c>
      <c r="CZ1210" s="2">
        <f>((S1210*CA1210)/100)</f>
        <v>10.027000000000001</v>
      </c>
      <c r="DA1210" s="2"/>
      <c r="DB1210" s="2"/>
      <c r="DC1210" s="2" t="s">
        <v>3</v>
      </c>
      <c r="DD1210" s="2" t="s">
        <v>3</v>
      </c>
      <c r="DE1210" s="2" t="s">
        <v>86</v>
      </c>
      <c r="DF1210" s="2" t="s">
        <v>86</v>
      </c>
      <c r="DG1210" s="2" t="s">
        <v>87</v>
      </c>
      <c r="DH1210" s="2" t="s">
        <v>3</v>
      </c>
      <c r="DI1210" s="2" t="s">
        <v>87</v>
      </c>
      <c r="DJ1210" s="2" t="s">
        <v>86</v>
      </c>
      <c r="DK1210" s="2" t="s">
        <v>3</v>
      </c>
      <c r="DL1210" s="2" t="s">
        <v>3</v>
      </c>
      <c r="DM1210" s="2" t="s">
        <v>3</v>
      </c>
      <c r="DN1210" s="2">
        <v>0</v>
      </c>
      <c r="DO1210" s="2">
        <v>0</v>
      </c>
      <c r="DP1210" s="2">
        <v>1</v>
      </c>
      <c r="DQ1210" s="2">
        <v>1</v>
      </c>
      <c r="DR1210" s="2"/>
      <c r="DS1210" s="2"/>
      <c r="DT1210" s="2"/>
      <c r="DU1210" s="2">
        <v>1013</v>
      </c>
      <c r="DV1210" s="2" t="s">
        <v>953</v>
      </c>
      <c r="DW1210" s="2" t="s">
        <v>953</v>
      </c>
      <c r="DX1210" s="2">
        <v>1</v>
      </c>
      <c r="DY1210" s="2"/>
      <c r="DZ1210" s="2" t="s">
        <v>3</v>
      </c>
      <c r="EA1210" s="2" t="s">
        <v>3</v>
      </c>
      <c r="EB1210" s="2" t="s">
        <v>3</v>
      </c>
      <c r="EC1210" s="2" t="s">
        <v>3</v>
      </c>
      <c r="ED1210" s="2"/>
      <c r="EE1210" s="2">
        <v>126051597</v>
      </c>
      <c r="EF1210" s="2">
        <v>30</v>
      </c>
      <c r="EG1210" s="2" t="s">
        <v>23</v>
      </c>
      <c r="EH1210" s="2">
        <v>0</v>
      </c>
      <c r="EI1210" s="2" t="s">
        <v>3</v>
      </c>
      <c r="EJ1210" s="2">
        <v>1</v>
      </c>
      <c r="EK1210" s="2">
        <v>136</v>
      </c>
      <c r="EL1210" s="2" t="s">
        <v>955</v>
      </c>
      <c r="EM1210" s="2" t="s">
        <v>956</v>
      </c>
      <c r="EN1210" s="2"/>
      <c r="EO1210" s="2" t="s">
        <v>90</v>
      </c>
      <c r="EP1210" s="2"/>
      <c r="EQ1210" s="2">
        <v>131072</v>
      </c>
      <c r="ER1210" s="2">
        <v>24.49</v>
      </c>
      <c r="ES1210" s="2">
        <v>8.1</v>
      </c>
      <c r="ET1210" s="2">
        <v>4.6100000000000003</v>
      </c>
      <c r="EU1210" s="2">
        <v>0.86</v>
      </c>
      <c r="EV1210" s="2">
        <v>11.78</v>
      </c>
      <c r="EW1210" s="2">
        <v>0.99</v>
      </c>
      <c r="EX1210" s="2">
        <v>0</v>
      </c>
      <c r="EY1210" s="2">
        <v>0</v>
      </c>
      <c r="EZ1210" s="2"/>
      <c r="FA1210" s="2"/>
      <c r="FB1210" s="2"/>
      <c r="FC1210" s="2"/>
      <c r="FD1210" s="2"/>
      <c r="FE1210" s="2"/>
      <c r="FF1210" s="2"/>
      <c r="FG1210" s="2"/>
      <c r="FH1210" s="2"/>
      <c r="FI1210" s="2"/>
      <c r="FJ1210" s="2"/>
      <c r="FK1210" s="2"/>
      <c r="FL1210" s="2"/>
      <c r="FM1210" s="2"/>
      <c r="FN1210" s="2"/>
      <c r="FO1210" s="2"/>
      <c r="FP1210" s="2"/>
      <c r="FQ1210" s="2">
        <v>0</v>
      </c>
      <c r="FR1210" s="2">
        <f t="shared" si="1034"/>
        <v>0</v>
      </c>
      <c r="FS1210" s="2">
        <v>0</v>
      </c>
      <c r="FT1210" s="2"/>
      <c r="FU1210" s="2"/>
      <c r="FV1210" s="2"/>
      <c r="FW1210" s="2"/>
      <c r="FX1210" s="2">
        <v>110</v>
      </c>
      <c r="FY1210" s="2">
        <v>74</v>
      </c>
      <c r="FZ1210" s="2"/>
      <c r="GA1210" s="2" t="s">
        <v>3</v>
      </c>
      <c r="GB1210" s="2"/>
      <c r="GC1210" s="2"/>
      <c r="GD1210" s="2">
        <v>0</v>
      </c>
      <c r="GE1210" s="2"/>
      <c r="GF1210" s="2">
        <v>75727797</v>
      </c>
      <c r="GG1210" s="2">
        <v>2</v>
      </c>
      <c r="GH1210" s="2">
        <v>1</v>
      </c>
      <c r="GI1210" s="2">
        <v>-2</v>
      </c>
      <c r="GJ1210" s="2">
        <v>0</v>
      </c>
      <c r="GK1210" s="2">
        <f>ROUND(R1210*(R12)/100,2)</f>
        <v>1.89</v>
      </c>
      <c r="GL1210" s="2">
        <f t="shared" si="1035"/>
        <v>0</v>
      </c>
      <c r="GM1210" s="2">
        <f t="shared" si="1036"/>
        <v>54.24</v>
      </c>
      <c r="GN1210" s="2">
        <f t="shared" si="1037"/>
        <v>54.24</v>
      </c>
      <c r="GO1210" s="2">
        <f t="shared" si="1038"/>
        <v>0</v>
      </c>
      <c r="GP1210" s="2">
        <f t="shared" si="1039"/>
        <v>0</v>
      </c>
      <c r="GQ1210" s="2"/>
      <c r="GR1210" s="2">
        <v>0</v>
      </c>
      <c r="GS1210" s="2">
        <v>0</v>
      </c>
      <c r="GT1210" s="2">
        <v>0</v>
      </c>
      <c r="GU1210" s="2" t="s">
        <v>3</v>
      </c>
      <c r="GV1210" s="2">
        <f t="shared" si="1040"/>
        <v>0</v>
      </c>
      <c r="GW1210" s="2">
        <v>1</v>
      </c>
      <c r="GX1210" s="2">
        <f t="shared" si="1041"/>
        <v>0</v>
      </c>
      <c r="GY1210" s="2"/>
      <c r="GZ1210" s="2"/>
      <c r="HA1210" s="2">
        <v>0</v>
      </c>
      <c r="HB1210" s="2">
        <v>0</v>
      </c>
      <c r="HC1210" s="2">
        <f t="shared" si="1042"/>
        <v>0</v>
      </c>
      <c r="HD1210" s="2"/>
      <c r="HE1210" s="2" t="s">
        <v>3</v>
      </c>
      <c r="HF1210" s="2" t="s">
        <v>3</v>
      </c>
      <c r="HG1210" s="2"/>
      <c r="HH1210" s="2"/>
      <c r="HI1210" s="2"/>
      <c r="HJ1210" s="2"/>
      <c r="HK1210" s="2"/>
      <c r="HL1210" s="2"/>
      <c r="HM1210" s="2" t="s">
        <v>3</v>
      </c>
      <c r="HN1210" s="2" t="s">
        <v>3</v>
      </c>
      <c r="HO1210" s="2" t="s">
        <v>3</v>
      </c>
      <c r="HP1210" s="2" t="s">
        <v>3</v>
      </c>
      <c r="HQ1210" s="2" t="s">
        <v>3</v>
      </c>
      <c r="HR1210" s="2"/>
      <c r="HS1210" s="2"/>
      <c r="HT1210" s="2"/>
      <c r="HU1210" s="2"/>
      <c r="HV1210" s="2"/>
      <c r="HW1210" s="2"/>
      <c r="HX1210" s="2"/>
      <c r="HY1210" s="2"/>
      <c r="HZ1210" s="2"/>
      <c r="IA1210" s="2"/>
      <c r="IB1210" s="2"/>
      <c r="IC1210" s="2"/>
      <c r="ID1210" s="2"/>
      <c r="IE1210" s="2"/>
      <c r="IF1210" s="2"/>
      <c r="IG1210" s="2"/>
      <c r="IH1210" s="2"/>
      <c r="II1210" s="2"/>
      <c r="IJ1210" s="2"/>
      <c r="IK1210" s="2">
        <v>0</v>
      </c>
      <c r="IL1210" s="2"/>
      <c r="IM1210" s="2"/>
      <c r="IN1210" s="2"/>
      <c r="IO1210" s="2"/>
      <c r="IP1210" s="2"/>
      <c r="IQ1210" s="2"/>
      <c r="IR1210" s="2"/>
      <c r="IS1210" s="2"/>
      <c r="IT1210" s="2"/>
      <c r="IU1210" s="2"/>
    </row>
    <row r="1211" spans="1:255" x14ac:dyDescent="0.2">
      <c r="A1211">
        <v>17</v>
      </c>
      <c r="B1211">
        <v>1</v>
      </c>
      <c r="C1211">
        <f>ROW(SmtRes!A1060)</f>
        <v>1060</v>
      </c>
      <c r="D1211">
        <f>ROW(EtalonRes!A1016)</f>
        <v>1016</v>
      </c>
      <c r="E1211" t="s">
        <v>240</v>
      </c>
      <c r="F1211" t="s">
        <v>988</v>
      </c>
      <c r="G1211" t="s">
        <v>989</v>
      </c>
      <c r="H1211" t="s">
        <v>953</v>
      </c>
      <c r="I1211">
        <v>1</v>
      </c>
      <c r="J1211">
        <v>0</v>
      </c>
      <c r="K1211">
        <v>1</v>
      </c>
      <c r="O1211">
        <f t="shared" si="1012"/>
        <v>507.68</v>
      </c>
      <c r="P1211">
        <f t="shared" si="1013"/>
        <v>48.6</v>
      </c>
      <c r="Q1211">
        <f>(ROUND((ROUND((((ET1211*1.25))*AV1211*I1211),2)*BB1211),2)+ROUND((ROUND(((AE1211-((EU1211*1.25)))*AV1211*I1211),2)*BS1211),2))</f>
        <v>65.72</v>
      </c>
      <c r="R1211">
        <f t="shared" si="1014"/>
        <v>31.35</v>
      </c>
      <c r="S1211">
        <f t="shared" si="1015"/>
        <v>393.36</v>
      </c>
      <c r="T1211">
        <f t="shared" si="1016"/>
        <v>0</v>
      </c>
      <c r="U1211">
        <f t="shared" si="1017"/>
        <v>1.1384999999999998</v>
      </c>
      <c r="V1211">
        <f t="shared" si="1018"/>
        <v>0</v>
      </c>
      <c r="W1211">
        <f t="shared" si="1019"/>
        <v>0</v>
      </c>
      <c r="X1211">
        <f t="shared" si="1020"/>
        <v>354.02</v>
      </c>
      <c r="Y1211">
        <f t="shared" si="1021"/>
        <v>161.28</v>
      </c>
      <c r="AA1211">
        <v>129761633</v>
      </c>
      <c r="AB1211">
        <f t="shared" si="1022"/>
        <v>27.409500000000001</v>
      </c>
      <c r="AC1211">
        <f t="shared" si="1023"/>
        <v>8.1</v>
      </c>
      <c r="AD1211">
        <f>ROUND(((((ET1211*1.25))-((EU1211*1.25)))+AE1211),6)</f>
        <v>5.7625000000000002</v>
      </c>
      <c r="AE1211">
        <f>ROUND(((EU1211*1.25)),6)</f>
        <v>1.075</v>
      </c>
      <c r="AF1211">
        <f>ROUND(((EV1211*1.15)),6)</f>
        <v>13.547000000000001</v>
      </c>
      <c r="AG1211">
        <f t="shared" si="1024"/>
        <v>0</v>
      </c>
      <c r="AH1211">
        <f>((EW1211*1.15))</f>
        <v>1.1384999999999998</v>
      </c>
      <c r="AI1211">
        <f>((EX1211*1.25))</f>
        <v>0</v>
      </c>
      <c r="AJ1211">
        <f t="shared" si="1025"/>
        <v>0</v>
      </c>
      <c r="AK1211">
        <v>24.49</v>
      </c>
      <c r="AL1211">
        <v>8.1</v>
      </c>
      <c r="AM1211">
        <v>4.6100000000000003</v>
      </c>
      <c r="AN1211">
        <v>0.86</v>
      </c>
      <c r="AO1211">
        <v>11.78</v>
      </c>
      <c r="AP1211">
        <v>0</v>
      </c>
      <c r="AQ1211">
        <v>0.99</v>
      </c>
      <c r="AR1211">
        <v>0</v>
      </c>
      <c r="AS1211">
        <v>0</v>
      </c>
      <c r="AT1211">
        <v>90</v>
      </c>
      <c r="AU1211">
        <v>41</v>
      </c>
      <c r="AV1211">
        <v>1</v>
      </c>
      <c r="AW1211">
        <v>1</v>
      </c>
      <c r="AZ1211">
        <v>1</v>
      </c>
      <c r="BA1211">
        <v>29.03</v>
      </c>
      <c r="BB1211">
        <v>11.41</v>
      </c>
      <c r="BC1211">
        <v>6</v>
      </c>
      <c r="BD1211" t="s">
        <v>3</v>
      </c>
      <c r="BE1211" t="s">
        <v>3</v>
      </c>
      <c r="BF1211" t="s">
        <v>3</v>
      </c>
      <c r="BG1211" t="s">
        <v>3</v>
      </c>
      <c r="BH1211">
        <v>0</v>
      </c>
      <c r="BI1211">
        <v>1</v>
      </c>
      <c r="BJ1211" t="s">
        <v>990</v>
      </c>
      <c r="BM1211">
        <v>136</v>
      </c>
      <c r="BN1211">
        <v>0</v>
      </c>
      <c r="BO1211" t="s">
        <v>988</v>
      </c>
      <c r="BP1211">
        <v>1</v>
      </c>
      <c r="BQ1211">
        <v>30</v>
      </c>
      <c r="BR1211">
        <v>0</v>
      </c>
      <c r="BS1211">
        <v>29.03</v>
      </c>
      <c r="BT1211">
        <v>1</v>
      </c>
      <c r="BU1211">
        <v>1</v>
      </c>
      <c r="BV1211">
        <v>1</v>
      </c>
      <c r="BW1211">
        <v>1</v>
      </c>
      <c r="BX1211">
        <v>1</v>
      </c>
      <c r="BY1211" t="s">
        <v>3</v>
      </c>
      <c r="BZ1211">
        <v>90</v>
      </c>
      <c r="CA1211">
        <v>41</v>
      </c>
      <c r="CB1211" t="s">
        <v>3</v>
      </c>
      <c r="CE1211">
        <v>30</v>
      </c>
      <c r="CF1211">
        <v>0</v>
      </c>
      <c r="CG1211">
        <v>0</v>
      </c>
      <c r="CM1211">
        <v>0</v>
      </c>
      <c r="CN1211" t="s">
        <v>1559</v>
      </c>
      <c r="CO1211">
        <v>0</v>
      </c>
      <c r="CP1211">
        <f t="shared" si="1026"/>
        <v>507.68</v>
      </c>
      <c r="CQ1211">
        <f t="shared" si="1027"/>
        <v>48.6</v>
      </c>
      <c r="CR1211">
        <f>(ROUND((ROUND((((ET1211*1.25))*AV1211*1),2)*BB1211),2)+ROUND((ROUND(((AE1211-((EU1211*1.25)))*AV1211*1),2)*BS1211),2))</f>
        <v>65.72</v>
      </c>
      <c r="CS1211">
        <f t="shared" si="1028"/>
        <v>31.35</v>
      </c>
      <c r="CT1211">
        <f t="shared" si="1029"/>
        <v>393.36</v>
      </c>
      <c r="CU1211">
        <f t="shared" si="1030"/>
        <v>0</v>
      </c>
      <c r="CV1211">
        <f t="shared" si="1031"/>
        <v>1.1384999999999998</v>
      </c>
      <c r="CW1211">
        <f t="shared" si="1032"/>
        <v>0</v>
      </c>
      <c r="CX1211">
        <f t="shared" si="1033"/>
        <v>0</v>
      </c>
      <c r="CY1211">
        <f>S1211*(BZ1211/100)</f>
        <v>354.024</v>
      </c>
      <c r="CZ1211">
        <f>S1211*(CA1211/100)</f>
        <v>161.27760000000001</v>
      </c>
      <c r="DC1211" t="s">
        <v>3</v>
      </c>
      <c r="DD1211" t="s">
        <v>3</v>
      </c>
      <c r="DE1211" t="s">
        <v>86</v>
      </c>
      <c r="DF1211" t="s">
        <v>86</v>
      </c>
      <c r="DG1211" t="s">
        <v>87</v>
      </c>
      <c r="DH1211" t="s">
        <v>3</v>
      </c>
      <c r="DI1211" t="s">
        <v>87</v>
      </c>
      <c r="DJ1211" t="s">
        <v>86</v>
      </c>
      <c r="DK1211" t="s">
        <v>3</v>
      </c>
      <c r="DL1211" t="s">
        <v>3</v>
      </c>
      <c r="DM1211" t="s">
        <v>3</v>
      </c>
      <c r="DN1211">
        <v>110</v>
      </c>
      <c r="DO1211">
        <v>74</v>
      </c>
      <c r="DP1211">
        <v>1</v>
      </c>
      <c r="DQ1211">
        <v>1</v>
      </c>
      <c r="DU1211">
        <v>1013</v>
      </c>
      <c r="DV1211" t="s">
        <v>953</v>
      </c>
      <c r="DW1211" t="s">
        <v>953</v>
      </c>
      <c r="DX1211">
        <v>1</v>
      </c>
      <c r="DZ1211" t="s">
        <v>3</v>
      </c>
      <c r="EA1211" t="s">
        <v>3</v>
      </c>
      <c r="EB1211" t="s">
        <v>3</v>
      </c>
      <c r="EC1211" t="s">
        <v>3</v>
      </c>
      <c r="EE1211">
        <v>126051597</v>
      </c>
      <c r="EF1211">
        <v>30</v>
      </c>
      <c r="EG1211" t="s">
        <v>23</v>
      </c>
      <c r="EH1211">
        <v>0</v>
      </c>
      <c r="EI1211" t="s">
        <v>3</v>
      </c>
      <c r="EJ1211">
        <v>1</v>
      </c>
      <c r="EK1211">
        <v>136</v>
      </c>
      <c r="EL1211" t="s">
        <v>955</v>
      </c>
      <c r="EM1211" t="s">
        <v>956</v>
      </c>
      <c r="EO1211" t="s">
        <v>90</v>
      </c>
      <c r="EQ1211">
        <v>131072</v>
      </c>
      <c r="ER1211">
        <v>24.49</v>
      </c>
      <c r="ES1211">
        <v>8.1</v>
      </c>
      <c r="ET1211">
        <v>4.6100000000000003</v>
      </c>
      <c r="EU1211">
        <v>0.86</v>
      </c>
      <c r="EV1211">
        <v>11.78</v>
      </c>
      <c r="EW1211">
        <v>0.99</v>
      </c>
      <c r="EX1211">
        <v>0</v>
      </c>
      <c r="EY1211">
        <v>0</v>
      </c>
      <c r="FQ1211">
        <v>0</v>
      </c>
      <c r="FR1211">
        <f t="shared" si="1034"/>
        <v>0</v>
      </c>
      <c r="FS1211">
        <v>0</v>
      </c>
      <c r="FX1211">
        <v>110</v>
      </c>
      <c r="FY1211">
        <v>74</v>
      </c>
      <c r="GA1211" t="s">
        <v>3</v>
      </c>
      <c r="GD1211">
        <v>0</v>
      </c>
      <c r="GF1211">
        <v>75727797</v>
      </c>
      <c r="GG1211">
        <v>2</v>
      </c>
      <c r="GH1211">
        <v>1</v>
      </c>
      <c r="GI1211">
        <v>2</v>
      </c>
      <c r="GJ1211">
        <v>0</v>
      </c>
      <c r="GK1211">
        <f>ROUND(R1211*(S12)/100,2)</f>
        <v>50.16</v>
      </c>
      <c r="GL1211">
        <f t="shared" si="1035"/>
        <v>0</v>
      </c>
      <c r="GM1211">
        <f t="shared" si="1036"/>
        <v>1073.1400000000001</v>
      </c>
      <c r="GN1211">
        <f t="shared" si="1037"/>
        <v>1073.1400000000001</v>
      </c>
      <c r="GO1211">
        <f t="shared" si="1038"/>
        <v>0</v>
      </c>
      <c r="GP1211">
        <f t="shared" si="1039"/>
        <v>0</v>
      </c>
      <c r="GR1211">
        <v>0</v>
      </c>
      <c r="GS1211">
        <v>3</v>
      </c>
      <c r="GT1211">
        <v>0</v>
      </c>
      <c r="GU1211" t="s">
        <v>3</v>
      </c>
      <c r="GV1211">
        <f t="shared" si="1040"/>
        <v>0</v>
      </c>
      <c r="GW1211">
        <v>1</v>
      </c>
      <c r="GX1211">
        <f t="shared" si="1041"/>
        <v>0</v>
      </c>
      <c r="HA1211">
        <v>0</v>
      </c>
      <c r="HB1211">
        <v>0</v>
      </c>
      <c r="HC1211">
        <f t="shared" si="1042"/>
        <v>0</v>
      </c>
      <c r="HE1211" t="s">
        <v>3</v>
      </c>
      <c r="HF1211" t="s">
        <v>3</v>
      </c>
      <c r="HM1211" t="s">
        <v>3</v>
      </c>
      <c r="HN1211" t="s">
        <v>3</v>
      </c>
      <c r="HO1211" t="s">
        <v>3</v>
      </c>
      <c r="HP1211" t="s">
        <v>3</v>
      </c>
      <c r="HQ1211" t="s">
        <v>3</v>
      </c>
      <c r="IK1211">
        <v>0</v>
      </c>
    </row>
    <row r="1212" spans="1:255" x14ac:dyDescent="0.2">
      <c r="A1212" s="2">
        <v>18</v>
      </c>
      <c r="B1212" s="2">
        <v>1</v>
      </c>
      <c r="C1212" s="2">
        <v>1049</v>
      </c>
      <c r="D1212" s="2"/>
      <c r="E1212" s="2" t="s">
        <v>247</v>
      </c>
      <c r="F1212" s="2" t="s">
        <v>248</v>
      </c>
      <c r="G1212" s="2" t="s">
        <v>991</v>
      </c>
      <c r="H1212" s="2" t="s">
        <v>970</v>
      </c>
      <c r="I1212" s="2">
        <f>I1210*J1212</f>
        <v>0</v>
      </c>
      <c r="J1212" s="2">
        <v>0</v>
      </c>
      <c r="K1212" s="2">
        <v>0</v>
      </c>
      <c r="L1212" s="2"/>
      <c r="M1212" s="2"/>
      <c r="N1212" s="2"/>
      <c r="O1212" s="2">
        <f t="shared" si="1012"/>
        <v>0</v>
      </c>
      <c r="P1212" s="2">
        <f t="shared" si="1013"/>
        <v>0</v>
      </c>
      <c r="Q1212" s="2">
        <f>(ROUND((ROUND(((ET1212)*AV1212*I1212),2)*BB1212),2)+ROUND((ROUND(((AE1212-(EU1212))*AV1212*I1212),2)*BS1212),2))</f>
        <v>0</v>
      </c>
      <c r="R1212" s="2">
        <f t="shared" si="1014"/>
        <v>0</v>
      </c>
      <c r="S1212" s="2">
        <f t="shared" si="1015"/>
        <v>0</v>
      </c>
      <c r="T1212" s="2">
        <f t="shared" si="1016"/>
        <v>0</v>
      </c>
      <c r="U1212" s="2">
        <f t="shared" si="1017"/>
        <v>0</v>
      </c>
      <c r="V1212" s="2">
        <f t="shared" si="1018"/>
        <v>0</v>
      </c>
      <c r="W1212" s="2">
        <f t="shared" si="1019"/>
        <v>0</v>
      </c>
      <c r="X1212" s="2">
        <f t="shared" si="1020"/>
        <v>0</v>
      </c>
      <c r="Y1212" s="2">
        <f t="shared" si="1021"/>
        <v>0</v>
      </c>
      <c r="Z1212" s="2"/>
      <c r="AA1212" s="2">
        <v>129761636</v>
      </c>
      <c r="AB1212" s="2">
        <f t="shared" si="1022"/>
        <v>0</v>
      </c>
      <c r="AC1212" s="2">
        <f t="shared" si="1023"/>
        <v>0</v>
      </c>
      <c r="AD1212" s="2">
        <f>ROUND((((ET1212)-(EU1212))+AE1212),6)</f>
        <v>0</v>
      </c>
      <c r="AE1212" s="2">
        <f t="shared" ref="AE1212:AF1215" si="1055">ROUND((EU1212),6)</f>
        <v>0</v>
      </c>
      <c r="AF1212" s="2">
        <f t="shared" si="1055"/>
        <v>0</v>
      </c>
      <c r="AG1212" s="2">
        <f t="shared" si="1024"/>
        <v>0</v>
      </c>
      <c r="AH1212" s="2">
        <f t="shared" ref="AH1212:AI1215" si="1056">(EW1212)</f>
        <v>0</v>
      </c>
      <c r="AI1212" s="2">
        <f t="shared" si="1056"/>
        <v>0</v>
      </c>
      <c r="AJ1212" s="2">
        <f t="shared" si="1025"/>
        <v>0</v>
      </c>
      <c r="AK1212" s="2">
        <v>0</v>
      </c>
      <c r="AL1212" s="2">
        <v>0</v>
      </c>
      <c r="AM1212" s="2">
        <v>0</v>
      </c>
      <c r="AN1212" s="2">
        <v>0</v>
      </c>
      <c r="AO1212" s="2">
        <v>0</v>
      </c>
      <c r="AP1212" s="2">
        <v>0</v>
      </c>
      <c r="AQ1212" s="2">
        <v>0</v>
      </c>
      <c r="AR1212" s="2">
        <v>0</v>
      </c>
      <c r="AS1212" s="2">
        <v>0</v>
      </c>
      <c r="AT1212" s="2">
        <v>110</v>
      </c>
      <c r="AU1212" s="2">
        <v>74</v>
      </c>
      <c r="AV1212" s="2">
        <v>1</v>
      </c>
      <c r="AW1212" s="2">
        <v>1</v>
      </c>
      <c r="AX1212" s="2"/>
      <c r="AY1212" s="2"/>
      <c r="AZ1212" s="2">
        <v>1</v>
      </c>
      <c r="BA1212" s="2">
        <v>1</v>
      </c>
      <c r="BB1212" s="2">
        <v>1</v>
      </c>
      <c r="BC1212" s="2">
        <v>1</v>
      </c>
      <c r="BD1212" s="2" t="s">
        <v>3</v>
      </c>
      <c r="BE1212" s="2" t="s">
        <v>3</v>
      </c>
      <c r="BF1212" s="2" t="s">
        <v>3</v>
      </c>
      <c r="BG1212" s="2" t="s">
        <v>3</v>
      </c>
      <c r="BH1212" s="2">
        <v>3</v>
      </c>
      <c r="BI1212" s="2">
        <v>1</v>
      </c>
      <c r="BJ1212" s="2" t="s">
        <v>3</v>
      </c>
      <c r="BK1212" s="2"/>
      <c r="BL1212" s="2"/>
      <c r="BM1212" s="2">
        <v>136</v>
      </c>
      <c r="BN1212" s="2">
        <v>0</v>
      </c>
      <c r="BO1212" s="2" t="s">
        <v>3</v>
      </c>
      <c r="BP1212" s="2">
        <v>0</v>
      </c>
      <c r="BQ1212" s="2">
        <v>30</v>
      </c>
      <c r="BR1212" s="2">
        <v>0</v>
      </c>
      <c r="BS1212" s="2">
        <v>1</v>
      </c>
      <c r="BT1212" s="2">
        <v>1</v>
      </c>
      <c r="BU1212" s="2">
        <v>1</v>
      </c>
      <c r="BV1212" s="2">
        <v>1</v>
      </c>
      <c r="BW1212" s="2">
        <v>1</v>
      </c>
      <c r="BX1212" s="2">
        <v>1</v>
      </c>
      <c r="BY1212" s="2" t="s">
        <v>3</v>
      </c>
      <c r="BZ1212" s="2">
        <v>110</v>
      </c>
      <c r="CA1212" s="2">
        <v>74</v>
      </c>
      <c r="CB1212" s="2" t="s">
        <v>3</v>
      </c>
      <c r="CC1212" s="2"/>
      <c r="CD1212" s="2"/>
      <c r="CE1212" s="2">
        <v>30</v>
      </c>
      <c r="CF1212" s="2">
        <v>0</v>
      </c>
      <c r="CG1212" s="2">
        <v>0</v>
      </c>
      <c r="CH1212" s="2"/>
      <c r="CI1212" s="2"/>
      <c r="CJ1212" s="2"/>
      <c r="CK1212" s="2"/>
      <c r="CL1212" s="2"/>
      <c r="CM1212" s="2">
        <v>0</v>
      </c>
      <c r="CN1212" s="2" t="s">
        <v>3</v>
      </c>
      <c r="CO1212" s="2">
        <v>0</v>
      </c>
      <c r="CP1212" s="2">
        <f t="shared" si="1026"/>
        <v>0</v>
      </c>
      <c r="CQ1212" s="2">
        <f t="shared" si="1027"/>
        <v>0</v>
      </c>
      <c r="CR1212" s="2">
        <f>(ROUND((ROUND(((ET1212)*AV1212*1),2)*BB1212),2)+ROUND((ROUND(((AE1212-(EU1212))*AV1212*1),2)*BS1212),2))</f>
        <v>0</v>
      </c>
      <c r="CS1212" s="2">
        <f t="shared" si="1028"/>
        <v>0</v>
      </c>
      <c r="CT1212" s="2">
        <f t="shared" si="1029"/>
        <v>0</v>
      </c>
      <c r="CU1212" s="2">
        <f t="shared" si="1030"/>
        <v>0</v>
      </c>
      <c r="CV1212" s="2">
        <f t="shared" si="1031"/>
        <v>0</v>
      </c>
      <c r="CW1212" s="2">
        <f t="shared" si="1032"/>
        <v>0</v>
      </c>
      <c r="CX1212" s="2">
        <f t="shared" si="1033"/>
        <v>0</v>
      </c>
      <c r="CY1212" s="2">
        <f>((S1212*BZ1212)/100)</f>
        <v>0</v>
      </c>
      <c r="CZ1212" s="2">
        <f>((S1212*CA1212)/100)</f>
        <v>0</v>
      </c>
      <c r="DA1212" s="2"/>
      <c r="DB1212" s="2"/>
      <c r="DC1212" s="2" t="s">
        <v>3</v>
      </c>
      <c r="DD1212" s="2" t="s">
        <v>3</v>
      </c>
      <c r="DE1212" s="2" t="s">
        <v>3</v>
      </c>
      <c r="DF1212" s="2" t="s">
        <v>3</v>
      </c>
      <c r="DG1212" s="2" t="s">
        <v>3</v>
      </c>
      <c r="DH1212" s="2" t="s">
        <v>3</v>
      </c>
      <c r="DI1212" s="2" t="s">
        <v>3</v>
      </c>
      <c r="DJ1212" s="2" t="s">
        <v>3</v>
      </c>
      <c r="DK1212" s="2" t="s">
        <v>3</v>
      </c>
      <c r="DL1212" s="2" t="s">
        <v>3</v>
      </c>
      <c r="DM1212" s="2" t="s">
        <v>3</v>
      </c>
      <c r="DN1212" s="2">
        <v>0</v>
      </c>
      <c r="DO1212" s="2">
        <v>0</v>
      </c>
      <c r="DP1212" s="2">
        <v>1</v>
      </c>
      <c r="DQ1212" s="2">
        <v>1</v>
      </c>
      <c r="DR1212" s="2"/>
      <c r="DS1212" s="2"/>
      <c r="DT1212" s="2"/>
      <c r="DU1212" s="2">
        <v>1013</v>
      </c>
      <c r="DV1212" s="2" t="s">
        <v>970</v>
      </c>
      <c r="DW1212" s="2" t="s">
        <v>970</v>
      </c>
      <c r="DX1212" s="2">
        <v>1</v>
      </c>
      <c r="DY1212" s="2"/>
      <c r="DZ1212" s="2" t="s">
        <v>3</v>
      </c>
      <c r="EA1212" s="2" t="s">
        <v>3</v>
      </c>
      <c r="EB1212" s="2" t="s">
        <v>3</v>
      </c>
      <c r="EC1212" s="2" t="s">
        <v>3</v>
      </c>
      <c r="ED1212" s="2"/>
      <c r="EE1212" s="2">
        <v>126051597</v>
      </c>
      <c r="EF1212" s="2">
        <v>30</v>
      </c>
      <c r="EG1212" s="2" t="s">
        <v>23</v>
      </c>
      <c r="EH1212" s="2">
        <v>0</v>
      </c>
      <c r="EI1212" s="2" t="s">
        <v>3</v>
      </c>
      <c r="EJ1212" s="2">
        <v>1</v>
      </c>
      <c r="EK1212" s="2">
        <v>136</v>
      </c>
      <c r="EL1212" s="2" t="s">
        <v>955</v>
      </c>
      <c r="EM1212" s="2" t="s">
        <v>956</v>
      </c>
      <c r="EN1212" s="2"/>
      <c r="EO1212" s="2" t="s">
        <v>3</v>
      </c>
      <c r="EP1212" s="2"/>
      <c r="EQ1212" s="2">
        <v>0</v>
      </c>
      <c r="ER1212" s="2">
        <v>0</v>
      </c>
      <c r="ES1212" s="2">
        <v>0</v>
      </c>
      <c r="ET1212" s="2">
        <v>0</v>
      </c>
      <c r="EU1212" s="2">
        <v>0</v>
      </c>
      <c r="EV1212" s="2">
        <v>0</v>
      </c>
      <c r="EW1212" s="2">
        <v>0</v>
      </c>
      <c r="EX1212" s="2">
        <v>0</v>
      </c>
      <c r="EY1212" s="2"/>
      <c r="EZ1212" s="2"/>
      <c r="FA1212" s="2"/>
      <c r="FB1212" s="2"/>
      <c r="FC1212" s="2"/>
      <c r="FD1212" s="2"/>
      <c r="FE1212" s="2"/>
      <c r="FF1212" s="2"/>
      <c r="FG1212" s="2"/>
      <c r="FH1212" s="2"/>
      <c r="FI1212" s="2"/>
      <c r="FJ1212" s="2"/>
      <c r="FK1212" s="2"/>
      <c r="FL1212" s="2"/>
      <c r="FM1212" s="2"/>
      <c r="FN1212" s="2"/>
      <c r="FO1212" s="2"/>
      <c r="FP1212" s="2"/>
      <c r="FQ1212" s="2">
        <v>0</v>
      </c>
      <c r="FR1212" s="2">
        <f t="shared" si="1034"/>
        <v>0</v>
      </c>
      <c r="FS1212" s="2">
        <v>0</v>
      </c>
      <c r="FT1212" s="2"/>
      <c r="FU1212" s="2"/>
      <c r="FV1212" s="2"/>
      <c r="FW1212" s="2"/>
      <c r="FX1212" s="2">
        <v>110</v>
      </c>
      <c r="FY1212" s="2">
        <v>74</v>
      </c>
      <c r="FZ1212" s="2"/>
      <c r="GA1212" s="2" t="s">
        <v>3</v>
      </c>
      <c r="GB1212" s="2"/>
      <c r="GC1212" s="2"/>
      <c r="GD1212" s="2">
        <v>0</v>
      </c>
      <c r="GE1212" s="2"/>
      <c r="GF1212" s="2">
        <v>1659530557</v>
      </c>
      <c r="GG1212" s="2">
        <v>2</v>
      </c>
      <c r="GH1212" s="2">
        <v>0</v>
      </c>
      <c r="GI1212" s="2">
        <v>-2</v>
      </c>
      <c r="GJ1212" s="2">
        <v>0</v>
      </c>
      <c r="GK1212" s="2">
        <f>ROUND(R1212*(R12)/100,2)</f>
        <v>0</v>
      </c>
      <c r="GL1212" s="2">
        <f t="shared" si="1035"/>
        <v>0</v>
      </c>
      <c r="GM1212" s="2">
        <f t="shared" si="1036"/>
        <v>0</v>
      </c>
      <c r="GN1212" s="2">
        <f t="shared" si="1037"/>
        <v>0</v>
      </c>
      <c r="GO1212" s="2">
        <f t="shared" si="1038"/>
        <v>0</v>
      </c>
      <c r="GP1212" s="2">
        <f t="shared" si="1039"/>
        <v>0</v>
      </c>
      <c r="GQ1212" s="2"/>
      <c r="GR1212" s="2">
        <v>0</v>
      </c>
      <c r="GS1212" s="2">
        <v>3</v>
      </c>
      <c r="GT1212" s="2">
        <v>0</v>
      </c>
      <c r="GU1212" s="2" t="s">
        <v>3</v>
      </c>
      <c r="GV1212" s="2">
        <f t="shared" si="1040"/>
        <v>0</v>
      </c>
      <c r="GW1212" s="2">
        <v>1</v>
      </c>
      <c r="GX1212" s="2">
        <f t="shared" si="1041"/>
        <v>0</v>
      </c>
      <c r="GY1212" s="2"/>
      <c r="GZ1212" s="2"/>
      <c r="HA1212" s="2">
        <v>0</v>
      </c>
      <c r="HB1212" s="2">
        <v>0</v>
      </c>
      <c r="HC1212" s="2">
        <f t="shared" si="1042"/>
        <v>0</v>
      </c>
      <c r="HD1212" s="2"/>
      <c r="HE1212" s="2" t="s">
        <v>3</v>
      </c>
      <c r="HF1212" s="2" t="s">
        <v>3</v>
      </c>
      <c r="HG1212" s="2"/>
      <c r="HH1212" s="2"/>
      <c r="HI1212" s="2"/>
      <c r="HJ1212" s="2"/>
      <c r="HK1212" s="2"/>
      <c r="HL1212" s="2"/>
      <c r="HM1212" s="2" t="s">
        <v>3</v>
      </c>
      <c r="HN1212" s="2" t="s">
        <v>3</v>
      </c>
      <c r="HO1212" s="2" t="s">
        <v>3</v>
      </c>
      <c r="HP1212" s="2" t="s">
        <v>3</v>
      </c>
      <c r="HQ1212" s="2" t="s">
        <v>3</v>
      </c>
      <c r="HR1212" s="2"/>
      <c r="HS1212" s="2"/>
      <c r="HT1212" s="2"/>
      <c r="HU1212" s="2"/>
      <c r="HV1212" s="2"/>
      <c r="HW1212" s="2"/>
      <c r="HX1212" s="2"/>
      <c r="HY1212" s="2"/>
      <c r="HZ1212" s="2"/>
      <c r="IA1212" s="2"/>
      <c r="IB1212" s="2"/>
      <c r="IC1212" s="2"/>
      <c r="ID1212" s="2"/>
      <c r="IE1212" s="2"/>
      <c r="IF1212" s="2"/>
      <c r="IG1212" s="2"/>
      <c r="IH1212" s="2"/>
      <c r="II1212" s="2"/>
      <c r="IJ1212" s="2"/>
      <c r="IK1212" s="2">
        <v>0</v>
      </c>
      <c r="IL1212" s="2"/>
      <c r="IM1212" s="2"/>
      <c r="IN1212" s="2"/>
      <c r="IO1212" s="2"/>
      <c r="IP1212" s="2"/>
      <c r="IQ1212" s="2"/>
      <c r="IR1212" s="2"/>
      <c r="IS1212" s="2"/>
      <c r="IT1212" s="2"/>
      <c r="IU1212" s="2"/>
    </row>
    <row r="1213" spans="1:255" x14ac:dyDescent="0.2">
      <c r="A1213">
        <v>18</v>
      </c>
      <c r="B1213">
        <v>1</v>
      </c>
      <c r="C1213">
        <v>1060</v>
      </c>
      <c r="E1213" t="s">
        <v>247</v>
      </c>
      <c r="F1213" t="s">
        <v>248</v>
      </c>
      <c r="G1213" t="s">
        <v>991</v>
      </c>
      <c r="H1213" t="s">
        <v>970</v>
      </c>
      <c r="I1213">
        <f>I1211*J1213</f>
        <v>0</v>
      </c>
      <c r="J1213">
        <v>0</v>
      </c>
      <c r="K1213">
        <v>0</v>
      </c>
      <c r="O1213">
        <f t="shared" si="1012"/>
        <v>0</v>
      </c>
      <c r="P1213">
        <f t="shared" si="1013"/>
        <v>0</v>
      </c>
      <c r="Q1213">
        <f>(ROUND((ROUND(((ET1213)*AV1213*I1213),2)*BB1213),2)+ROUND((ROUND(((AE1213-(EU1213))*AV1213*I1213),2)*BS1213),2))</f>
        <v>0</v>
      </c>
      <c r="R1213">
        <f t="shared" si="1014"/>
        <v>0</v>
      </c>
      <c r="S1213">
        <f t="shared" si="1015"/>
        <v>0</v>
      </c>
      <c r="T1213">
        <f t="shared" si="1016"/>
        <v>0</v>
      </c>
      <c r="U1213">
        <f t="shared" si="1017"/>
        <v>0</v>
      </c>
      <c r="V1213">
        <f t="shared" si="1018"/>
        <v>0</v>
      </c>
      <c r="W1213">
        <f t="shared" si="1019"/>
        <v>0</v>
      </c>
      <c r="X1213">
        <f t="shared" si="1020"/>
        <v>0</v>
      </c>
      <c r="Y1213">
        <f t="shared" si="1021"/>
        <v>0</v>
      </c>
      <c r="AA1213">
        <v>129761633</v>
      </c>
      <c r="AB1213">
        <f t="shared" si="1022"/>
        <v>1095.8599999999999</v>
      </c>
      <c r="AC1213">
        <f t="shared" si="1023"/>
        <v>1095.8599999999999</v>
      </c>
      <c r="AD1213">
        <f>ROUND((((ET1213)-(EU1213))+AE1213),6)</f>
        <v>0</v>
      </c>
      <c r="AE1213">
        <f t="shared" si="1055"/>
        <v>0</v>
      </c>
      <c r="AF1213">
        <f t="shared" si="1055"/>
        <v>0</v>
      </c>
      <c r="AG1213">
        <f t="shared" si="1024"/>
        <v>0</v>
      </c>
      <c r="AH1213">
        <f t="shared" si="1056"/>
        <v>0</v>
      </c>
      <c r="AI1213">
        <f t="shared" si="1056"/>
        <v>0</v>
      </c>
      <c r="AJ1213">
        <f t="shared" si="1025"/>
        <v>0</v>
      </c>
      <c r="AK1213">
        <v>1095.8599999999999</v>
      </c>
      <c r="AL1213">
        <v>1095.8599999999999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1</v>
      </c>
      <c r="AW1213">
        <v>1</v>
      </c>
      <c r="AZ1213">
        <v>1</v>
      </c>
      <c r="BA1213">
        <v>1</v>
      </c>
      <c r="BB1213">
        <v>1</v>
      </c>
      <c r="BC1213">
        <v>8.65</v>
      </c>
      <c r="BD1213" t="s">
        <v>3</v>
      </c>
      <c r="BE1213" t="s">
        <v>3</v>
      </c>
      <c r="BF1213" t="s">
        <v>3</v>
      </c>
      <c r="BG1213" t="s">
        <v>3</v>
      </c>
      <c r="BH1213">
        <v>3</v>
      </c>
      <c r="BI1213">
        <v>1</v>
      </c>
      <c r="BJ1213" t="s">
        <v>3</v>
      </c>
      <c r="BM1213">
        <v>136</v>
      </c>
      <c r="BN1213">
        <v>0</v>
      </c>
      <c r="BO1213" t="s">
        <v>3</v>
      </c>
      <c r="BP1213">
        <v>0</v>
      </c>
      <c r="BQ1213">
        <v>30</v>
      </c>
      <c r="BR1213">
        <v>0</v>
      </c>
      <c r="BS1213">
        <v>1</v>
      </c>
      <c r="BT1213">
        <v>1</v>
      </c>
      <c r="BU1213">
        <v>1</v>
      </c>
      <c r="BV1213">
        <v>1</v>
      </c>
      <c r="BW1213">
        <v>1</v>
      </c>
      <c r="BX1213">
        <v>1</v>
      </c>
      <c r="BY1213" t="s">
        <v>3</v>
      </c>
      <c r="BZ1213">
        <v>0</v>
      </c>
      <c r="CA1213">
        <v>0</v>
      </c>
      <c r="CB1213" t="s">
        <v>3</v>
      </c>
      <c r="CE1213">
        <v>30</v>
      </c>
      <c r="CF1213">
        <v>0</v>
      </c>
      <c r="CG1213">
        <v>0</v>
      </c>
      <c r="CM1213">
        <v>0</v>
      </c>
      <c r="CN1213" t="s">
        <v>3</v>
      </c>
      <c r="CO1213">
        <v>0</v>
      </c>
      <c r="CP1213">
        <f t="shared" si="1026"/>
        <v>0</v>
      </c>
      <c r="CQ1213">
        <f t="shared" si="1027"/>
        <v>9479.19</v>
      </c>
      <c r="CR1213">
        <f>(ROUND((ROUND(((ET1213)*AV1213*1),2)*BB1213),2)+ROUND((ROUND(((AE1213-(EU1213))*AV1213*1),2)*BS1213),2))</f>
        <v>0</v>
      </c>
      <c r="CS1213">
        <f t="shared" si="1028"/>
        <v>0</v>
      </c>
      <c r="CT1213">
        <f t="shared" si="1029"/>
        <v>0</v>
      </c>
      <c r="CU1213">
        <f t="shared" si="1030"/>
        <v>0</v>
      </c>
      <c r="CV1213">
        <f t="shared" si="1031"/>
        <v>0</v>
      </c>
      <c r="CW1213">
        <f t="shared" si="1032"/>
        <v>0</v>
      </c>
      <c r="CX1213">
        <f t="shared" si="1033"/>
        <v>0</v>
      </c>
      <c r="CY1213">
        <f>S1213*(BZ1213/100)</f>
        <v>0</v>
      </c>
      <c r="CZ1213">
        <f>S1213*(CA1213/100)</f>
        <v>0</v>
      </c>
      <c r="DC1213" t="s">
        <v>3</v>
      </c>
      <c r="DD1213" t="s">
        <v>3</v>
      </c>
      <c r="DE1213" t="s">
        <v>3</v>
      </c>
      <c r="DF1213" t="s">
        <v>3</v>
      </c>
      <c r="DG1213" t="s">
        <v>3</v>
      </c>
      <c r="DH1213" t="s">
        <v>3</v>
      </c>
      <c r="DI1213" t="s">
        <v>3</v>
      </c>
      <c r="DJ1213" t="s">
        <v>3</v>
      </c>
      <c r="DK1213" t="s">
        <v>3</v>
      </c>
      <c r="DL1213" t="s">
        <v>3</v>
      </c>
      <c r="DM1213" t="s">
        <v>3</v>
      </c>
      <c r="DN1213">
        <v>110</v>
      </c>
      <c r="DO1213">
        <v>74</v>
      </c>
      <c r="DP1213">
        <v>1</v>
      </c>
      <c r="DQ1213">
        <v>1</v>
      </c>
      <c r="DU1213">
        <v>1013</v>
      </c>
      <c r="DV1213" t="s">
        <v>970</v>
      </c>
      <c r="DW1213" t="s">
        <v>970</v>
      </c>
      <c r="DX1213">
        <v>1</v>
      </c>
      <c r="DZ1213" t="s">
        <v>3</v>
      </c>
      <c r="EA1213" t="s">
        <v>3</v>
      </c>
      <c r="EB1213" t="s">
        <v>3</v>
      </c>
      <c r="EC1213" t="s">
        <v>3</v>
      </c>
      <c r="EE1213">
        <v>126051597</v>
      </c>
      <c r="EF1213">
        <v>30</v>
      </c>
      <c r="EG1213" t="s">
        <v>23</v>
      </c>
      <c r="EH1213">
        <v>0</v>
      </c>
      <c r="EI1213" t="s">
        <v>3</v>
      </c>
      <c r="EJ1213">
        <v>1</v>
      </c>
      <c r="EK1213">
        <v>136</v>
      </c>
      <c r="EL1213" t="s">
        <v>955</v>
      </c>
      <c r="EM1213" t="s">
        <v>956</v>
      </c>
      <c r="EO1213" t="s">
        <v>3</v>
      </c>
      <c r="EQ1213">
        <v>0</v>
      </c>
      <c r="ER1213">
        <v>1095.8599999999999</v>
      </c>
      <c r="ES1213">
        <v>1095.8599999999999</v>
      </c>
      <c r="ET1213">
        <v>0</v>
      </c>
      <c r="EU1213">
        <v>0</v>
      </c>
      <c r="EV1213">
        <v>0</v>
      </c>
      <c r="EW1213">
        <v>0</v>
      </c>
      <c r="EX1213">
        <v>0</v>
      </c>
      <c r="EZ1213">
        <v>5</v>
      </c>
      <c r="FC1213">
        <v>1</v>
      </c>
      <c r="FD1213">
        <v>18</v>
      </c>
      <c r="FF1213">
        <v>11152</v>
      </c>
      <c r="FQ1213">
        <v>0</v>
      </c>
      <c r="FR1213">
        <f t="shared" si="1034"/>
        <v>0</v>
      </c>
      <c r="FS1213">
        <v>0</v>
      </c>
      <c r="FX1213">
        <v>110</v>
      </c>
      <c r="FY1213">
        <v>74</v>
      </c>
      <c r="GA1213" t="s">
        <v>992</v>
      </c>
      <c r="GD1213">
        <v>0</v>
      </c>
      <c r="GF1213">
        <v>1659530557</v>
      </c>
      <c r="GG1213">
        <v>2</v>
      </c>
      <c r="GH1213">
        <v>3</v>
      </c>
      <c r="GI1213">
        <v>5</v>
      </c>
      <c r="GJ1213">
        <v>0</v>
      </c>
      <c r="GK1213">
        <f>ROUND(R1213*(S12)/100,2)</f>
        <v>0</v>
      </c>
      <c r="GL1213">
        <f t="shared" si="1035"/>
        <v>0</v>
      </c>
      <c r="GM1213">
        <f t="shared" si="1036"/>
        <v>0</v>
      </c>
      <c r="GN1213">
        <f t="shared" si="1037"/>
        <v>0</v>
      </c>
      <c r="GO1213">
        <f t="shared" si="1038"/>
        <v>0</v>
      </c>
      <c r="GP1213">
        <f t="shared" si="1039"/>
        <v>0</v>
      </c>
      <c r="GR1213">
        <v>1</v>
      </c>
      <c r="GS1213">
        <v>1</v>
      </c>
      <c r="GT1213">
        <v>0</v>
      </c>
      <c r="GU1213" t="s">
        <v>3</v>
      </c>
      <c r="GV1213">
        <f t="shared" si="1040"/>
        <v>0</v>
      </c>
      <c r="GW1213">
        <v>1</v>
      </c>
      <c r="GX1213">
        <f t="shared" si="1041"/>
        <v>0</v>
      </c>
      <c r="HA1213">
        <v>0</v>
      </c>
      <c r="HB1213">
        <v>0</v>
      </c>
      <c r="HC1213">
        <f t="shared" si="1042"/>
        <v>0</v>
      </c>
      <c r="HE1213" t="s">
        <v>81</v>
      </c>
      <c r="HF1213" t="s">
        <v>252</v>
      </c>
      <c r="HM1213" t="s">
        <v>3</v>
      </c>
      <c r="HN1213" t="s">
        <v>3</v>
      </c>
      <c r="HO1213" t="s">
        <v>3</v>
      </c>
      <c r="HP1213" t="s">
        <v>3</v>
      </c>
      <c r="HQ1213" t="s">
        <v>3</v>
      </c>
      <c r="IK1213">
        <v>0</v>
      </c>
    </row>
    <row r="1214" spans="1:255" x14ac:dyDescent="0.2">
      <c r="A1214" s="2">
        <v>18</v>
      </c>
      <c r="B1214" s="2">
        <v>1</v>
      </c>
      <c r="C1214" s="2">
        <v>1048</v>
      </c>
      <c r="D1214" s="2"/>
      <c r="E1214" s="2" t="s">
        <v>253</v>
      </c>
      <c r="F1214" s="2" t="s">
        <v>993</v>
      </c>
      <c r="G1214" s="2" t="s">
        <v>994</v>
      </c>
      <c r="H1214" s="2" t="s">
        <v>238</v>
      </c>
      <c r="I1214" s="2">
        <f>I1210*J1214</f>
        <v>1</v>
      </c>
      <c r="J1214" s="2">
        <v>1</v>
      </c>
      <c r="K1214" s="2">
        <v>1</v>
      </c>
      <c r="L1214" s="2"/>
      <c r="M1214" s="2"/>
      <c r="N1214" s="2"/>
      <c r="O1214" s="2">
        <f t="shared" si="1012"/>
        <v>674</v>
      </c>
      <c r="P1214" s="2">
        <f t="shared" si="1013"/>
        <v>674</v>
      </c>
      <c r="Q1214" s="2">
        <f>(ROUND((ROUND(((ET1214)*AV1214*I1214),2)*BB1214),2)+ROUND((ROUND(((AE1214-(EU1214))*AV1214*I1214),2)*BS1214),2))</f>
        <v>0</v>
      </c>
      <c r="R1214" s="2">
        <f t="shared" si="1014"/>
        <v>0</v>
      </c>
      <c r="S1214" s="2">
        <f t="shared" si="1015"/>
        <v>0</v>
      </c>
      <c r="T1214" s="2">
        <f t="shared" si="1016"/>
        <v>0</v>
      </c>
      <c r="U1214" s="2">
        <f t="shared" si="1017"/>
        <v>0</v>
      </c>
      <c r="V1214" s="2">
        <f t="shared" si="1018"/>
        <v>0</v>
      </c>
      <c r="W1214" s="2">
        <f t="shared" si="1019"/>
        <v>0</v>
      </c>
      <c r="X1214" s="2">
        <f t="shared" si="1020"/>
        <v>0</v>
      </c>
      <c r="Y1214" s="2">
        <f t="shared" si="1021"/>
        <v>0</v>
      </c>
      <c r="Z1214" s="2"/>
      <c r="AA1214" s="2">
        <v>129761636</v>
      </c>
      <c r="AB1214" s="2">
        <f t="shared" si="1022"/>
        <v>674</v>
      </c>
      <c r="AC1214" s="2">
        <f t="shared" si="1023"/>
        <v>674</v>
      </c>
      <c r="AD1214" s="2">
        <f>ROUND((((ET1214)-(EU1214))+AE1214),6)</f>
        <v>0</v>
      </c>
      <c r="AE1214" s="2">
        <f t="shared" si="1055"/>
        <v>0</v>
      </c>
      <c r="AF1214" s="2">
        <f t="shared" si="1055"/>
        <v>0</v>
      </c>
      <c r="AG1214" s="2">
        <f t="shared" si="1024"/>
        <v>0</v>
      </c>
      <c r="AH1214" s="2">
        <f t="shared" si="1056"/>
        <v>0</v>
      </c>
      <c r="AI1214" s="2">
        <f t="shared" si="1056"/>
        <v>0</v>
      </c>
      <c r="AJ1214" s="2">
        <f t="shared" si="1025"/>
        <v>0</v>
      </c>
      <c r="AK1214" s="2">
        <v>674</v>
      </c>
      <c r="AL1214" s="2">
        <v>674</v>
      </c>
      <c r="AM1214" s="2">
        <v>0</v>
      </c>
      <c r="AN1214" s="2">
        <v>0</v>
      </c>
      <c r="AO1214" s="2">
        <v>0</v>
      </c>
      <c r="AP1214" s="2">
        <v>0</v>
      </c>
      <c r="AQ1214" s="2">
        <v>0</v>
      </c>
      <c r="AR1214" s="2">
        <v>0</v>
      </c>
      <c r="AS1214" s="2">
        <v>0</v>
      </c>
      <c r="AT1214" s="2">
        <v>110</v>
      </c>
      <c r="AU1214" s="2">
        <v>74</v>
      </c>
      <c r="AV1214" s="2">
        <v>1</v>
      </c>
      <c r="AW1214" s="2">
        <v>1</v>
      </c>
      <c r="AX1214" s="2"/>
      <c r="AY1214" s="2"/>
      <c r="AZ1214" s="2">
        <v>1</v>
      </c>
      <c r="BA1214" s="2">
        <v>1</v>
      </c>
      <c r="BB1214" s="2">
        <v>1</v>
      </c>
      <c r="BC1214" s="2">
        <v>1</v>
      </c>
      <c r="BD1214" s="2" t="s">
        <v>3</v>
      </c>
      <c r="BE1214" s="2" t="s">
        <v>3</v>
      </c>
      <c r="BF1214" s="2" t="s">
        <v>3</v>
      </c>
      <c r="BG1214" s="2" t="s">
        <v>3</v>
      </c>
      <c r="BH1214" s="2">
        <v>3</v>
      </c>
      <c r="BI1214" s="2">
        <v>1</v>
      </c>
      <c r="BJ1214" s="2" t="s">
        <v>995</v>
      </c>
      <c r="BK1214" s="2"/>
      <c r="BL1214" s="2"/>
      <c r="BM1214" s="2">
        <v>136</v>
      </c>
      <c r="BN1214" s="2">
        <v>0</v>
      </c>
      <c r="BO1214" s="2" t="s">
        <v>3</v>
      </c>
      <c r="BP1214" s="2">
        <v>0</v>
      </c>
      <c r="BQ1214" s="2">
        <v>30</v>
      </c>
      <c r="BR1214" s="2">
        <v>0</v>
      </c>
      <c r="BS1214" s="2">
        <v>1</v>
      </c>
      <c r="BT1214" s="2">
        <v>1</v>
      </c>
      <c r="BU1214" s="2">
        <v>1</v>
      </c>
      <c r="BV1214" s="2">
        <v>1</v>
      </c>
      <c r="BW1214" s="2">
        <v>1</v>
      </c>
      <c r="BX1214" s="2">
        <v>1</v>
      </c>
      <c r="BY1214" s="2" t="s">
        <v>3</v>
      </c>
      <c r="BZ1214" s="2">
        <v>110</v>
      </c>
      <c r="CA1214" s="2">
        <v>74</v>
      </c>
      <c r="CB1214" s="2" t="s">
        <v>3</v>
      </c>
      <c r="CC1214" s="2"/>
      <c r="CD1214" s="2"/>
      <c r="CE1214" s="2">
        <v>30</v>
      </c>
      <c r="CF1214" s="2">
        <v>0</v>
      </c>
      <c r="CG1214" s="2">
        <v>0</v>
      </c>
      <c r="CH1214" s="2"/>
      <c r="CI1214" s="2"/>
      <c r="CJ1214" s="2"/>
      <c r="CK1214" s="2"/>
      <c r="CL1214" s="2"/>
      <c r="CM1214" s="2">
        <v>0</v>
      </c>
      <c r="CN1214" s="2" t="s">
        <v>3</v>
      </c>
      <c r="CO1214" s="2">
        <v>0</v>
      </c>
      <c r="CP1214" s="2">
        <f t="shared" si="1026"/>
        <v>674</v>
      </c>
      <c r="CQ1214" s="2">
        <f t="shared" si="1027"/>
        <v>674</v>
      </c>
      <c r="CR1214" s="2">
        <f>(ROUND((ROUND(((ET1214)*AV1214*1),2)*BB1214),2)+ROUND((ROUND(((AE1214-(EU1214))*AV1214*1),2)*BS1214),2))</f>
        <v>0</v>
      </c>
      <c r="CS1214" s="2">
        <f t="shared" si="1028"/>
        <v>0</v>
      </c>
      <c r="CT1214" s="2">
        <f t="shared" si="1029"/>
        <v>0</v>
      </c>
      <c r="CU1214" s="2">
        <f t="shared" si="1030"/>
        <v>0</v>
      </c>
      <c r="CV1214" s="2">
        <f t="shared" si="1031"/>
        <v>0</v>
      </c>
      <c r="CW1214" s="2">
        <f t="shared" si="1032"/>
        <v>0</v>
      </c>
      <c r="CX1214" s="2">
        <f t="shared" si="1033"/>
        <v>0</v>
      </c>
      <c r="CY1214" s="2">
        <f>((S1214*BZ1214)/100)</f>
        <v>0</v>
      </c>
      <c r="CZ1214" s="2">
        <f>((S1214*CA1214)/100)</f>
        <v>0</v>
      </c>
      <c r="DA1214" s="2"/>
      <c r="DB1214" s="2"/>
      <c r="DC1214" s="2" t="s">
        <v>3</v>
      </c>
      <c r="DD1214" s="2" t="s">
        <v>3</v>
      </c>
      <c r="DE1214" s="2" t="s">
        <v>3</v>
      </c>
      <c r="DF1214" s="2" t="s">
        <v>3</v>
      </c>
      <c r="DG1214" s="2" t="s">
        <v>3</v>
      </c>
      <c r="DH1214" s="2" t="s">
        <v>3</v>
      </c>
      <c r="DI1214" s="2" t="s">
        <v>3</v>
      </c>
      <c r="DJ1214" s="2" t="s">
        <v>3</v>
      </c>
      <c r="DK1214" s="2" t="s">
        <v>3</v>
      </c>
      <c r="DL1214" s="2" t="s">
        <v>3</v>
      </c>
      <c r="DM1214" s="2" t="s">
        <v>3</v>
      </c>
      <c r="DN1214" s="2">
        <v>0</v>
      </c>
      <c r="DO1214" s="2">
        <v>0</v>
      </c>
      <c r="DP1214" s="2">
        <v>1</v>
      </c>
      <c r="DQ1214" s="2">
        <v>1</v>
      </c>
      <c r="DR1214" s="2"/>
      <c r="DS1214" s="2"/>
      <c r="DT1214" s="2"/>
      <c r="DU1214" s="2">
        <v>1013</v>
      </c>
      <c r="DV1214" s="2" t="s">
        <v>238</v>
      </c>
      <c r="DW1214" s="2" t="s">
        <v>238</v>
      </c>
      <c r="DX1214" s="2">
        <v>1</v>
      </c>
      <c r="DY1214" s="2"/>
      <c r="DZ1214" s="2" t="s">
        <v>3</v>
      </c>
      <c r="EA1214" s="2" t="s">
        <v>3</v>
      </c>
      <c r="EB1214" s="2" t="s">
        <v>3</v>
      </c>
      <c r="EC1214" s="2" t="s">
        <v>3</v>
      </c>
      <c r="ED1214" s="2"/>
      <c r="EE1214" s="2">
        <v>126051597</v>
      </c>
      <c r="EF1214" s="2">
        <v>30</v>
      </c>
      <c r="EG1214" s="2" t="s">
        <v>23</v>
      </c>
      <c r="EH1214" s="2">
        <v>0</v>
      </c>
      <c r="EI1214" s="2" t="s">
        <v>3</v>
      </c>
      <c r="EJ1214" s="2">
        <v>1</v>
      </c>
      <c r="EK1214" s="2">
        <v>136</v>
      </c>
      <c r="EL1214" s="2" t="s">
        <v>955</v>
      </c>
      <c r="EM1214" s="2" t="s">
        <v>956</v>
      </c>
      <c r="EN1214" s="2"/>
      <c r="EO1214" s="2" t="s">
        <v>3</v>
      </c>
      <c r="EP1214" s="2"/>
      <c r="EQ1214" s="2">
        <v>0</v>
      </c>
      <c r="ER1214" s="2">
        <v>674</v>
      </c>
      <c r="ES1214" s="2">
        <v>674</v>
      </c>
      <c r="ET1214" s="2">
        <v>0</v>
      </c>
      <c r="EU1214" s="2">
        <v>0</v>
      </c>
      <c r="EV1214" s="2">
        <v>0</v>
      </c>
      <c r="EW1214" s="2">
        <v>0</v>
      </c>
      <c r="EX1214" s="2">
        <v>0</v>
      </c>
      <c r="EY1214" s="2"/>
      <c r="EZ1214" s="2"/>
      <c r="FA1214" s="2"/>
      <c r="FB1214" s="2"/>
      <c r="FC1214" s="2"/>
      <c r="FD1214" s="2"/>
      <c r="FE1214" s="2"/>
      <c r="FF1214" s="2"/>
      <c r="FG1214" s="2"/>
      <c r="FH1214" s="2"/>
      <c r="FI1214" s="2"/>
      <c r="FJ1214" s="2"/>
      <c r="FK1214" s="2"/>
      <c r="FL1214" s="2"/>
      <c r="FM1214" s="2"/>
      <c r="FN1214" s="2"/>
      <c r="FO1214" s="2"/>
      <c r="FP1214" s="2"/>
      <c r="FQ1214" s="2">
        <v>0</v>
      </c>
      <c r="FR1214" s="2">
        <f t="shared" si="1034"/>
        <v>0</v>
      </c>
      <c r="FS1214" s="2">
        <v>0</v>
      </c>
      <c r="FT1214" s="2"/>
      <c r="FU1214" s="2"/>
      <c r="FV1214" s="2"/>
      <c r="FW1214" s="2"/>
      <c r="FX1214" s="2">
        <v>110</v>
      </c>
      <c r="FY1214" s="2">
        <v>74</v>
      </c>
      <c r="FZ1214" s="2"/>
      <c r="GA1214" s="2" t="s">
        <v>3</v>
      </c>
      <c r="GB1214" s="2"/>
      <c r="GC1214" s="2"/>
      <c r="GD1214" s="2">
        <v>0</v>
      </c>
      <c r="GE1214" s="2"/>
      <c r="GF1214" s="2">
        <v>-603467724</v>
      </c>
      <c r="GG1214" s="2">
        <v>2</v>
      </c>
      <c r="GH1214" s="2">
        <v>1</v>
      </c>
      <c r="GI1214" s="2">
        <v>-2</v>
      </c>
      <c r="GJ1214" s="2">
        <v>0</v>
      </c>
      <c r="GK1214" s="2">
        <f>ROUND(R1214*(R12)/100,2)</f>
        <v>0</v>
      </c>
      <c r="GL1214" s="2">
        <f t="shared" si="1035"/>
        <v>0</v>
      </c>
      <c r="GM1214" s="2">
        <f t="shared" si="1036"/>
        <v>674</v>
      </c>
      <c r="GN1214" s="2">
        <f t="shared" si="1037"/>
        <v>674</v>
      </c>
      <c r="GO1214" s="2">
        <f t="shared" si="1038"/>
        <v>0</v>
      </c>
      <c r="GP1214" s="2">
        <f t="shared" si="1039"/>
        <v>0</v>
      </c>
      <c r="GQ1214" s="2"/>
      <c r="GR1214" s="2">
        <v>0</v>
      </c>
      <c r="GS1214" s="2">
        <v>0</v>
      </c>
      <c r="GT1214" s="2">
        <v>0</v>
      </c>
      <c r="GU1214" s="2" t="s">
        <v>3</v>
      </c>
      <c r="GV1214" s="2">
        <f t="shared" si="1040"/>
        <v>0</v>
      </c>
      <c r="GW1214" s="2">
        <v>1</v>
      </c>
      <c r="GX1214" s="2">
        <f t="shared" si="1041"/>
        <v>0</v>
      </c>
      <c r="GY1214" s="2"/>
      <c r="GZ1214" s="2"/>
      <c r="HA1214" s="2">
        <v>0</v>
      </c>
      <c r="HB1214" s="2">
        <v>0</v>
      </c>
      <c r="HC1214" s="2">
        <f t="shared" si="1042"/>
        <v>0</v>
      </c>
      <c r="HD1214" s="2"/>
      <c r="HE1214" s="2" t="s">
        <v>3</v>
      </c>
      <c r="HF1214" s="2" t="s">
        <v>3</v>
      </c>
      <c r="HG1214" s="2"/>
      <c r="HH1214" s="2"/>
      <c r="HI1214" s="2"/>
      <c r="HJ1214" s="2"/>
      <c r="HK1214" s="2"/>
      <c r="HL1214" s="2"/>
      <c r="HM1214" s="2" t="s">
        <v>3</v>
      </c>
      <c r="HN1214" s="2" t="s">
        <v>3</v>
      </c>
      <c r="HO1214" s="2" t="s">
        <v>3</v>
      </c>
      <c r="HP1214" s="2" t="s">
        <v>3</v>
      </c>
      <c r="HQ1214" s="2" t="s">
        <v>3</v>
      </c>
      <c r="HR1214" s="2"/>
      <c r="HS1214" s="2"/>
      <c r="HT1214" s="2"/>
      <c r="HU1214" s="2"/>
      <c r="HV1214" s="2"/>
      <c r="HW1214" s="2"/>
      <c r="HX1214" s="2"/>
      <c r="HY1214" s="2"/>
      <c r="HZ1214" s="2"/>
      <c r="IA1214" s="2"/>
      <c r="IB1214" s="2"/>
      <c r="IC1214" s="2"/>
      <c r="ID1214" s="2"/>
      <c r="IE1214" s="2"/>
      <c r="IF1214" s="2"/>
      <c r="IG1214" s="2"/>
      <c r="IH1214" s="2"/>
      <c r="II1214" s="2"/>
      <c r="IJ1214" s="2"/>
      <c r="IK1214" s="2">
        <v>0</v>
      </c>
      <c r="IL1214" s="2"/>
      <c r="IM1214" s="2"/>
      <c r="IN1214" s="2"/>
      <c r="IO1214" s="2"/>
      <c r="IP1214" s="2"/>
      <c r="IQ1214" s="2"/>
      <c r="IR1214" s="2"/>
      <c r="IS1214" s="2"/>
      <c r="IT1214" s="2"/>
      <c r="IU1214" s="2"/>
    </row>
    <row r="1215" spans="1:255" x14ac:dyDescent="0.2">
      <c r="A1215">
        <v>18</v>
      </c>
      <c r="B1215">
        <v>1</v>
      </c>
      <c r="C1215">
        <v>1059</v>
      </c>
      <c r="E1215" t="s">
        <v>253</v>
      </c>
      <c r="F1215" t="s">
        <v>993</v>
      </c>
      <c r="G1215" t="s">
        <v>994</v>
      </c>
      <c r="H1215" t="s">
        <v>238</v>
      </c>
      <c r="I1215">
        <f>I1211*J1215</f>
        <v>1</v>
      </c>
      <c r="J1215">
        <v>1</v>
      </c>
      <c r="K1215">
        <v>1</v>
      </c>
      <c r="O1215">
        <f t="shared" si="1012"/>
        <v>11801.74</v>
      </c>
      <c r="P1215">
        <f t="shared" si="1013"/>
        <v>11801.74</v>
      </c>
      <c r="Q1215">
        <f>(ROUND((ROUND(((ET1215)*AV1215*I1215),2)*BB1215),2)+ROUND((ROUND(((AE1215-(EU1215))*AV1215*I1215),2)*BS1215),2))</f>
        <v>0</v>
      </c>
      <c r="R1215">
        <f t="shared" si="1014"/>
        <v>0</v>
      </c>
      <c r="S1215">
        <f t="shared" si="1015"/>
        <v>0</v>
      </c>
      <c r="T1215">
        <f t="shared" si="1016"/>
        <v>0</v>
      </c>
      <c r="U1215">
        <f t="shared" si="1017"/>
        <v>0</v>
      </c>
      <c r="V1215">
        <f t="shared" si="1018"/>
        <v>0</v>
      </c>
      <c r="W1215">
        <f t="shared" si="1019"/>
        <v>0</v>
      </c>
      <c r="X1215">
        <f t="shared" si="1020"/>
        <v>0</v>
      </c>
      <c r="Y1215">
        <f t="shared" si="1021"/>
        <v>0</v>
      </c>
      <c r="AA1215">
        <v>129761633</v>
      </c>
      <c r="AB1215">
        <f t="shared" si="1022"/>
        <v>674</v>
      </c>
      <c r="AC1215">
        <f t="shared" si="1023"/>
        <v>674</v>
      </c>
      <c r="AD1215">
        <f>ROUND((((ET1215)-(EU1215))+AE1215),6)</f>
        <v>0</v>
      </c>
      <c r="AE1215">
        <f t="shared" si="1055"/>
        <v>0</v>
      </c>
      <c r="AF1215">
        <f t="shared" si="1055"/>
        <v>0</v>
      </c>
      <c r="AG1215">
        <f t="shared" si="1024"/>
        <v>0</v>
      </c>
      <c r="AH1215">
        <f t="shared" si="1056"/>
        <v>0</v>
      </c>
      <c r="AI1215">
        <f t="shared" si="1056"/>
        <v>0</v>
      </c>
      <c r="AJ1215">
        <f t="shared" si="1025"/>
        <v>0</v>
      </c>
      <c r="AK1215">
        <v>674</v>
      </c>
      <c r="AL1215">
        <v>674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1</v>
      </c>
      <c r="AW1215">
        <v>1</v>
      </c>
      <c r="AZ1215">
        <v>1</v>
      </c>
      <c r="BA1215">
        <v>1</v>
      </c>
      <c r="BB1215">
        <v>1</v>
      </c>
      <c r="BC1215">
        <v>17.510000000000002</v>
      </c>
      <c r="BD1215" t="s">
        <v>3</v>
      </c>
      <c r="BE1215" t="s">
        <v>3</v>
      </c>
      <c r="BF1215" t="s">
        <v>3</v>
      </c>
      <c r="BG1215" t="s">
        <v>3</v>
      </c>
      <c r="BH1215">
        <v>3</v>
      </c>
      <c r="BI1215">
        <v>1</v>
      </c>
      <c r="BJ1215" t="s">
        <v>995</v>
      </c>
      <c r="BM1215">
        <v>136</v>
      </c>
      <c r="BN1215">
        <v>0</v>
      </c>
      <c r="BO1215" t="s">
        <v>993</v>
      </c>
      <c r="BP1215">
        <v>1</v>
      </c>
      <c r="BQ1215">
        <v>30</v>
      </c>
      <c r="BR1215">
        <v>0</v>
      </c>
      <c r="BS1215">
        <v>1</v>
      </c>
      <c r="BT1215">
        <v>1</v>
      </c>
      <c r="BU1215">
        <v>1</v>
      </c>
      <c r="BV1215">
        <v>1</v>
      </c>
      <c r="BW1215">
        <v>1</v>
      </c>
      <c r="BX1215">
        <v>1</v>
      </c>
      <c r="BY1215" t="s">
        <v>3</v>
      </c>
      <c r="BZ1215">
        <v>0</v>
      </c>
      <c r="CA1215">
        <v>0</v>
      </c>
      <c r="CB1215" t="s">
        <v>3</v>
      </c>
      <c r="CE1215">
        <v>30</v>
      </c>
      <c r="CF1215">
        <v>0</v>
      </c>
      <c r="CG1215">
        <v>0</v>
      </c>
      <c r="CM1215">
        <v>0</v>
      </c>
      <c r="CN1215" t="s">
        <v>3</v>
      </c>
      <c r="CO1215">
        <v>0</v>
      </c>
      <c r="CP1215">
        <f t="shared" si="1026"/>
        <v>11801.74</v>
      </c>
      <c r="CQ1215">
        <f t="shared" si="1027"/>
        <v>11801.74</v>
      </c>
      <c r="CR1215">
        <f>(ROUND((ROUND(((ET1215)*AV1215*1),2)*BB1215),2)+ROUND((ROUND(((AE1215-(EU1215))*AV1215*1),2)*BS1215),2))</f>
        <v>0</v>
      </c>
      <c r="CS1215">
        <f t="shared" si="1028"/>
        <v>0</v>
      </c>
      <c r="CT1215">
        <f t="shared" si="1029"/>
        <v>0</v>
      </c>
      <c r="CU1215">
        <f t="shared" si="1030"/>
        <v>0</v>
      </c>
      <c r="CV1215">
        <f t="shared" si="1031"/>
        <v>0</v>
      </c>
      <c r="CW1215">
        <f t="shared" si="1032"/>
        <v>0</v>
      </c>
      <c r="CX1215">
        <f t="shared" si="1033"/>
        <v>0</v>
      </c>
      <c r="CY1215">
        <f>S1215*(BZ1215/100)</f>
        <v>0</v>
      </c>
      <c r="CZ1215">
        <f>S1215*(CA1215/100)</f>
        <v>0</v>
      </c>
      <c r="DC1215" t="s">
        <v>3</v>
      </c>
      <c r="DD1215" t="s">
        <v>3</v>
      </c>
      <c r="DE1215" t="s">
        <v>3</v>
      </c>
      <c r="DF1215" t="s">
        <v>3</v>
      </c>
      <c r="DG1215" t="s">
        <v>3</v>
      </c>
      <c r="DH1215" t="s">
        <v>3</v>
      </c>
      <c r="DI1215" t="s">
        <v>3</v>
      </c>
      <c r="DJ1215" t="s">
        <v>3</v>
      </c>
      <c r="DK1215" t="s">
        <v>3</v>
      </c>
      <c r="DL1215" t="s">
        <v>3</v>
      </c>
      <c r="DM1215" t="s">
        <v>3</v>
      </c>
      <c r="DN1215">
        <v>110</v>
      </c>
      <c r="DO1215">
        <v>74</v>
      </c>
      <c r="DP1215">
        <v>1</v>
      </c>
      <c r="DQ1215">
        <v>1</v>
      </c>
      <c r="DU1215">
        <v>1013</v>
      </c>
      <c r="DV1215" t="s">
        <v>238</v>
      </c>
      <c r="DW1215" t="s">
        <v>238</v>
      </c>
      <c r="DX1215">
        <v>1</v>
      </c>
      <c r="DZ1215" t="s">
        <v>3</v>
      </c>
      <c r="EA1215" t="s">
        <v>3</v>
      </c>
      <c r="EB1215" t="s">
        <v>3</v>
      </c>
      <c r="EC1215" t="s">
        <v>3</v>
      </c>
      <c r="EE1215">
        <v>126051597</v>
      </c>
      <c r="EF1215">
        <v>30</v>
      </c>
      <c r="EG1215" t="s">
        <v>23</v>
      </c>
      <c r="EH1215">
        <v>0</v>
      </c>
      <c r="EI1215" t="s">
        <v>3</v>
      </c>
      <c r="EJ1215">
        <v>1</v>
      </c>
      <c r="EK1215">
        <v>136</v>
      </c>
      <c r="EL1215" t="s">
        <v>955</v>
      </c>
      <c r="EM1215" t="s">
        <v>956</v>
      </c>
      <c r="EO1215" t="s">
        <v>3</v>
      </c>
      <c r="EQ1215">
        <v>0</v>
      </c>
      <c r="ER1215">
        <v>674</v>
      </c>
      <c r="ES1215">
        <v>674</v>
      </c>
      <c r="ET1215">
        <v>0</v>
      </c>
      <c r="EU1215">
        <v>0</v>
      </c>
      <c r="EV1215">
        <v>0</v>
      </c>
      <c r="EW1215">
        <v>0</v>
      </c>
      <c r="EX1215">
        <v>0</v>
      </c>
      <c r="FQ1215">
        <v>0</v>
      </c>
      <c r="FR1215">
        <f t="shared" si="1034"/>
        <v>0</v>
      </c>
      <c r="FS1215">
        <v>0</v>
      </c>
      <c r="FX1215">
        <v>110</v>
      </c>
      <c r="FY1215">
        <v>74</v>
      </c>
      <c r="GA1215" t="s">
        <v>3</v>
      </c>
      <c r="GD1215">
        <v>0</v>
      </c>
      <c r="GF1215">
        <v>-603467724</v>
      </c>
      <c r="GG1215">
        <v>2</v>
      </c>
      <c r="GH1215">
        <v>1</v>
      </c>
      <c r="GI1215">
        <v>2</v>
      </c>
      <c r="GJ1215">
        <v>0</v>
      </c>
      <c r="GK1215">
        <f>ROUND(R1215*(S12)/100,2)</f>
        <v>0</v>
      </c>
      <c r="GL1215">
        <f t="shared" si="1035"/>
        <v>0</v>
      </c>
      <c r="GM1215">
        <f t="shared" si="1036"/>
        <v>11801.74</v>
      </c>
      <c r="GN1215">
        <f t="shared" si="1037"/>
        <v>11801.74</v>
      </c>
      <c r="GO1215">
        <f t="shared" si="1038"/>
        <v>0</v>
      </c>
      <c r="GP1215">
        <f t="shared" si="1039"/>
        <v>0</v>
      </c>
      <c r="GR1215">
        <v>0</v>
      </c>
      <c r="GS1215">
        <v>3</v>
      </c>
      <c r="GT1215">
        <v>0</v>
      </c>
      <c r="GU1215" t="s">
        <v>3</v>
      </c>
      <c r="GV1215">
        <f t="shared" si="1040"/>
        <v>0</v>
      </c>
      <c r="GW1215">
        <v>1</v>
      </c>
      <c r="GX1215">
        <f t="shared" si="1041"/>
        <v>0</v>
      </c>
      <c r="HA1215">
        <v>0</v>
      </c>
      <c r="HB1215">
        <v>0</v>
      </c>
      <c r="HC1215">
        <f t="shared" si="1042"/>
        <v>0</v>
      </c>
      <c r="HE1215" t="s">
        <v>3</v>
      </c>
      <c r="HF1215" t="s">
        <v>3</v>
      </c>
      <c r="HM1215" t="s">
        <v>3</v>
      </c>
      <c r="HN1215" t="s">
        <v>3</v>
      </c>
      <c r="HO1215" t="s">
        <v>3</v>
      </c>
      <c r="HP1215" t="s">
        <v>3</v>
      </c>
      <c r="HQ1215" t="s">
        <v>3</v>
      </c>
      <c r="IK1215">
        <v>0</v>
      </c>
    </row>
    <row r="1216" spans="1:255" x14ac:dyDescent="0.2">
      <c r="A1216" s="2">
        <v>17</v>
      </c>
      <c r="B1216" s="2">
        <v>1</v>
      </c>
      <c r="C1216" s="2">
        <f>ROW(SmtRes!A1064)</f>
        <v>1064</v>
      </c>
      <c r="D1216" s="2">
        <f>ROW(EtalonRes!A1019)</f>
        <v>1019</v>
      </c>
      <c r="E1216" s="2" t="s">
        <v>262</v>
      </c>
      <c r="F1216" s="2" t="s">
        <v>996</v>
      </c>
      <c r="G1216" s="2" t="s">
        <v>997</v>
      </c>
      <c r="H1216" s="2" t="s">
        <v>231</v>
      </c>
      <c r="I1216" s="2">
        <v>1</v>
      </c>
      <c r="J1216" s="2">
        <v>0</v>
      </c>
      <c r="K1216" s="2">
        <v>1</v>
      </c>
      <c r="L1216" s="2"/>
      <c r="M1216" s="2"/>
      <c r="N1216" s="2"/>
      <c r="O1216" s="2">
        <f t="shared" si="1012"/>
        <v>11.14</v>
      </c>
      <c r="P1216" s="2">
        <f t="shared" si="1013"/>
        <v>0.84</v>
      </c>
      <c r="Q1216" s="2">
        <f>(ROUND((ROUND((((ET1216*1.25))*AV1216*I1216),2)*BB1216),2)+ROUND((ROUND(((AE1216-((EU1216*1.25)))*AV1216*I1216),2)*BS1216),2))</f>
        <v>0</v>
      </c>
      <c r="R1216" s="2">
        <f t="shared" si="1014"/>
        <v>0</v>
      </c>
      <c r="S1216" s="2">
        <f t="shared" si="1015"/>
        <v>10.3</v>
      </c>
      <c r="T1216" s="2">
        <f t="shared" si="1016"/>
        <v>0</v>
      </c>
      <c r="U1216" s="2">
        <f t="shared" si="1017"/>
        <v>0.80499999999999994</v>
      </c>
      <c r="V1216" s="2">
        <f t="shared" si="1018"/>
        <v>0</v>
      </c>
      <c r="W1216" s="2">
        <f t="shared" si="1019"/>
        <v>0</v>
      </c>
      <c r="X1216" s="2">
        <f t="shared" si="1020"/>
        <v>11.33</v>
      </c>
      <c r="Y1216" s="2">
        <f t="shared" si="1021"/>
        <v>7.62</v>
      </c>
      <c r="Z1216" s="2"/>
      <c r="AA1216" s="2">
        <v>129761636</v>
      </c>
      <c r="AB1216" s="2">
        <f t="shared" si="1022"/>
        <v>11.144</v>
      </c>
      <c r="AC1216" s="2">
        <f t="shared" si="1023"/>
        <v>0.84</v>
      </c>
      <c r="AD1216" s="2">
        <f>ROUND(((((ET1216*1.25))-((EU1216*1.25)))+AE1216),6)</f>
        <v>0</v>
      </c>
      <c r="AE1216" s="2">
        <f>ROUND(((EU1216*1.25)),6)</f>
        <v>0</v>
      </c>
      <c r="AF1216" s="2">
        <f>ROUND(((EV1216*1.15)),6)</f>
        <v>10.304</v>
      </c>
      <c r="AG1216" s="2">
        <f t="shared" si="1024"/>
        <v>0</v>
      </c>
      <c r="AH1216" s="2">
        <f>((EW1216*1.15))</f>
        <v>0.80499999999999994</v>
      </c>
      <c r="AI1216" s="2">
        <f>((EX1216*1.25))</f>
        <v>0</v>
      </c>
      <c r="AJ1216" s="2">
        <f t="shared" si="1025"/>
        <v>0</v>
      </c>
      <c r="AK1216" s="2">
        <v>9.8000000000000007</v>
      </c>
      <c r="AL1216" s="2">
        <v>0.84</v>
      </c>
      <c r="AM1216" s="2">
        <v>0</v>
      </c>
      <c r="AN1216" s="2">
        <v>0</v>
      </c>
      <c r="AO1216" s="2">
        <v>8.9600000000000009</v>
      </c>
      <c r="AP1216" s="2">
        <v>0</v>
      </c>
      <c r="AQ1216" s="2">
        <v>0.7</v>
      </c>
      <c r="AR1216" s="2">
        <v>0</v>
      </c>
      <c r="AS1216" s="2">
        <v>0</v>
      </c>
      <c r="AT1216" s="2">
        <v>110</v>
      </c>
      <c r="AU1216" s="2">
        <v>74</v>
      </c>
      <c r="AV1216" s="2">
        <v>1</v>
      </c>
      <c r="AW1216" s="2">
        <v>1</v>
      </c>
      <c r="AX1216" s="2"/>
      <c r="AY1216" s="2"/>
      <c r="AZ1216" s="2">
        <v>1</v>
      </c>
      <c r="BA1216" s="2">
        <v>1</v>
      </c>
      <c r="BB1216" s="2">
        <v>1</v>
      </c>
      <c r="BC1216" s="2">
        <v>1</v>
      </c>
      <c r="BD1216" s="2" t="s">
        <v>3</v>
      </c>
      <c r="BE1216" s="2" t="s">
        <v>3</v>
      </c>
      <c r="BF1216" s="2" t="s">
        <v>3</v>
      </c>
      <c r="BG1216" s="2" t="s">
        <v>3</v>
      </c>
      <c r="BH1216" s="2">
        <v>0</v>
      </c>
      <c r="BI1216" s="2">
        <v>1</v>
      </c>
      <c r="BJ1216" s="2" t="s">
        <v>998</v>
      </c>
      <c r="BK1216" s="2"/>
      <c r="BL1216" s="2"/>
      <c r="BM1216" s="2">
        <v>136</v>
      </c>
      <c r="BN1216" s="2">
        <v>0</v>
      </c>
      <c r="BO1216" s="2" t="s">
        <v>3</v>
      </c>
      <c r="BP1216" s="2">
        <v>0</v>
      </c>
      <c r="BQ1216" s="2">
        <v>30</v>
      </c>
      <c r="BR1216" s="2">
        <v>0</v>
      </c>
      <c r="BS1216" s="2">
        <v>1</v>
      </c>
      <c r="BT1216" s="2">
        <v>1</v>
      </c>
      <c r="BU1216" s="2">
        <v>1</v>
      </c>
      <c r="BV1216" s="2">
        <v>1</v>
      </c>
      <c r="BW1216" s="2">
        <v>1</v>
      </c>
      <c r="BX1216" s="2">
        <v>1</v>
      </c>
      <c r="BY1216" s="2" t="s">
        <v>3</v>
      </c>
      <c r="BZ1216" s="2">
        <v>110</v>
      </c>
      <c r="CA1216" s="2">
        <v>74</v>
      </c>
      <c r="CB1216" s="2" t="s">
        <v>3</v>
      </c>
      <c r="CC1216" s="2"/>
      <c r="CD1216" s="2"/>
      <c r="CE1216" s="2">
        <v>30</v>
      </c>
      <c r="CF1216" s="2">
        <v>0</v>
      </c>
      <c r="CG1216" s="2">
        <v>0</v>
      </c>
      <c r="CH1216" s="2"/>
      <c r="CI1216" s="2"/>
      <c r="CJ1216" s="2"/>
      <c r="CK1216" s="2"/>
      <c r="CL1216" s="2"/>
      <c r="CM1216" s="2">
        <v>0</v>
      </c>
      <c r="CN1216" s="2" t="s">
        <v>1559</v>
      </c>
      <c r="CO1216" s="2">
        <v>0</v>
      </c>
      <c r="CP1216" s="2">
        <f t="shared" si="1026"/>
        <v>11.14</v>
      </c>
      <c r="CQ1216" s="2">
        <f t="shared" si="1027"/>
        <v>0.84</v>
      </c>
      <c r="CR1216" s="2">
        <f>(ROUND((ROUND((((ET1216*1.25))*AV1216*1),2)*BB1216),2)+ROUND((ROUND(((AE1216-((EU1216*1.25)))*AV1216*1),2)*BS1216),2))</f>
        <v>0</v>
      </c>
      <c r="CS1216" s="2">
        <f t="shared" si="1028"/>
        <v>0</v>
      </c>
      <c r="CT1216" s="2">
        <f t="shared" si="1029"/>
        <v>10.3</v>
      </c>
      <c r="CU1216" s="2">
        <f t="shared" si="1030"/>
        <v>0</v>
      </c>
      <c r="CV1216" s="2">
        <f t="shared" si="1031"/>
        <v>0.80499999999999994</v>
      </c>
      <c r="CW1216" s="2">
        <f t="shared" si="1032"/>
        <v>0</v>
      </c>
      <c r="CX1216" s="2">
        <f t="shared" si="1033"/>
        <v>0</v>
      </c>
      <c r="CY1216" s="2">
        <f>((S1216*BZ1216)/100)</f>
        <v>11.33</v>
      </c>
      <c r="CZ1216" s="2">
        <f>((S1216*CA1216)/100)</f>
        <v>7.6220000000000008</v>
      </c>
      <c r="DA1216" s="2"/>
      <c r="DB1216" s="2"/>
      <c r="DC1216" s="2" t="s">
        <v>3</v>
      </c>
      <c r="DD1216" s="2" t="s">
        <v>3</v>
      </c>
      <c r="DE1216" s="2" t="s">
        <v>86</v>
      </c>
      <c r="DF1216" s="2" t="s">
        <v>86</v>
      </c>
      <c r="DG1216" s="2" t="s">
        <v>87</v>
      </c>
      <c r="DH1216" s="2" t="s">
        <v>3</v>
      </c>
      <c r="DI1216" s="2" t="s">
        <v>87</v>
      </c>
      <c r="DJ1216" s="2" t="s">
        <v>86</v>
      </c>
      <c r="DK1216" s="2" t="s">
        <v>3</v>
      </c>
      <c r="DL1216" s="2" t="s">
        <v>3</v>
      </c>
      <c r="DM1216" s="2" t="s">
        <v>3</v>
      </c>
      <c r="DN1216" s="2">
        <v>0</v>
      </c>
      <c r="DO1216" s="2">
        <v>0</v>
      </c>
      <c r="DP1216" s="2">
        <v>1</v>
      </c>
      <c r="DQ1216" s="2">
        <v>1</v>
      </c>
      <c r="DR1216" s="2"/>
      <c r="DS1216" s="2"/>
      <c r="DT1216" s="2"/>
      <c r="DU1216" s="2">
        <v>1013</v>
      </c>
      <c r="DV1216" s="2" t="s">
        <v>231</v>
      </c>
      <c r="DW1216" s="2" t="s">
        <v>231</v>
      </c>
      <c r="DX1216" s="2">
        <v>1</v>
      </c>
      <c r="DY1216" s="2"/>
      <c r="DZ1216" s="2" t="s">
        <v>3</v>
      </c>
      <c r="EA1216" s="2" t="s">
        <v>3</v>
      </c>
      <c r="EB1216" s="2" t="s">
        <v>3</v>
      </c>
      <c r="EC1216" s="2" t="s">
        <v>3</v>
      </c>
      <c r="ED1216" s="2"/>
      <c r="EE1216" s="2">
        <v>126051597</v>
      </c>
      <c r="EF1216" s="2">
        <v>30</v>
      </c>
      <c r="EG1216" s="2" t="s">
        <v>23</v>
      </c>
      <c r="EH1216" s="2">
        <v>0</v>
      </c>
      <c r="EI1216" s="2" t="s">
        <v>3</v>
      </c>
      <c r="EJ1216" s="2">
        <v>1</v>
      </c>
      <c r="EK1216" s="2">
        <v>136</v>
      </c>
      <c r="EL1216" s="2" t="s">
        <v>955</v>
      </c>
      <c r="EM1216" s="2" t="s">
        <v>956</v>
      </c>
      <c r="EN1216" s="2"/>
      <c r="EO1216" s="2" t="s">
        <v>90</v>
      </c>
      <c r="EP1216" s="2"/>
      <c r="EQ1216" s="2">
        <v>131072</v>
      </c>
      <c r="ER1216" s="2">
        <v>9.8000000000000007</v>
      </c>
      <c r="ES1216" s="2">
        <v>0.84</v>
      </c>
      <c r="ET1216" s="2">
        <v>0</v>
      </c>
      <c r="EU1216" s="2">
        <v>0</v>
      </c>
      <c r="EV1216" s="2">
        <v>8.9600000000000009</v>
      </c>
      <c r="EW1216" s="2">
        <v>0.7</v>
      </c>
      <c r="EX1216" s="2">
        <v>0</v>
      </c>
      <c r="EY1216" s="2">
        <v>0</v>
      </c>
      <c r="EZ1216" s="2"/>
      <c r="FA1216" s="2"/>
      <c r="FB1216" s="2"/>
      <c r="FC1216" s="2"/>
      <c r="FD1216" s="2"/>
      <c r="FE1216" s="2"/>
      <c r="FF1216" s="2"/>
      <c r="FG1216" s="2"/>
      <c r="FH1216" s="2"/>
      <c r="FI1216" s="2"/>
      <c r="FJ1216" s="2"/>
      <c r="FK1216" s="2"/>
      <c r="FL1216" s="2"/>
      <c r="FM1216" s="2"/>
      <c r="FN1216" s="2"/>
      <c r="FO1216" s="2"/>
      <c r="FP1216" s="2"/>
      <c r="FQ1216" s="2">
        <v>0</v>
      </c>
      <c r="FR1216" s="2">
        <f t="shared" si="1034"/>
        <v>0</v>
      </c>
      <c r="FS1216" s="2">
        <v>0</v>
      </c>
      <c r="FT1216" s="2"/>
      <c r="FU1216" s="2"/>
      <c r="FV1216" s="2"/>
      <c r="FW1216" s="2"/>
      <c r="FX1216" s="2">
        <v>110</v>
      </c>
      <c r="FY1216" s="2">
        <v>74</v>
      </c>
      <c r="FZ1216" s="2"/>
      <c r="GA1216" s="2" t="s">
        <v>3</v>
      </c>
      <c r="GB1216" s="2"/>
      <c r="GC1216" s="2"/>
      <c r="GD1216" s="2">
        <v>0</v>
      </c>
      <c r="GE1216" s="2"/>
      <c r="GF1216" s="2">
        <v>-248160381</v>
      </c>
      <c r="GG1216" s="2">
        <v>2</v>
      </c>
      <c r="GH1216" s="2">
        <v>1</v>
      </c>
      <c r="GI1216" s="2">
        <v>-2</v>
      </c>
      <c r="GJ1216" s="2">
        <v>0</v>
      </c>
      <c r="GK1216" s="2">
        <f>ROUND(R1216*(R12)/100,2)</f>
        <v>0</v>
      </c>
      <c r="GL1216" s="2">
        <f t="shared" si="1035"/>
        <v>0</v>
      </c>
      <c r="GM1216" s="2">
        <f t="shared" si="1036"/>
        <v>30.09</v>
      </c>
      <c r="GN1216" s="2">
        <f t="shared" si="1037"/>
        <v>30.09</v>
      </c>
      <c r="GO1216" s="2">
        <f t="shared" si="1038"/>
        <v>0</v>
      </c>
      <c r="GP1216" s="2">
        <f t="shared" si="1039"/>
        <v>0</v>
      </c>
      <c r="GQ1216" s="2"/>
      <c r="GR1216" s="2">
        <v>0</v>
      </c>
      <c r="GS1216" s="2">
        <v>0</v>
      </c>
      <c r="GT1216" s="2">
        <v>0</v>
      </c>
      <c r="GU1216" s="2" t="s">
        <v>3</v>
      </c>
      <c r="GV1216" s="2">
        <f t="shared" si="1040"/>
        <v>0</v>
      </c>
      <c r="GW1216" s="2">
        <v>1</v>
      </c>
      <c r="GX1216" s="2">
        <f t="shared" si="1041"/>
        <v>0</v>
      </c>
      <c r="GY1216" s="2"/>
      <c r="GZ1216" s="2"/>
      <c r="HA1216" s="2">
        <v>0</v>
      </c>
      <c r="HB1216" s="2">
        <v>0</v>
      </c>
      <c r="HC1216" s="2">
        <f t="shared" si="1042"/>
        <v>0</v>
      </c>
      <c r="HD1216" s="2"/>
      <c r="HE1216" s="2" t="s">
        <v>3</v>
      </c>
      <c r="HF1216" s="2" t="s">
        <v>3</v>
      </c>
      <c r="HG1216" s="2"/>
      <c r="HH1216" s="2"/>
      <c r="HI1216" s="2"/>
      <c r="HJ1216" s="2"/>
      <c r="HK1216" s="2"/>
      <c r="HL1216" s="2"/>
      <c r="HM1216" s="2" t="s">
        <v>3</v>
      </c>
      <c r="HN1216" s="2" t="s">
        <v>3</v>
      </c>
      <c r="HO1216" s="2" t="s">
        <v>3</v>
      </c>
      <c r="HP1216" s="2" t="s">
        <v>3</v>
      </c>
      <c r="HQ1216" s="2" t="s">
        <v>3</v>
      </c>
      <c r="HR1216" s="2"/>
      <c r="HS1216" s="2"/>
      <c r="HT1216" s="2"/>
      <c r="HU1216" s="2"/>
      <c r="HV1216" s="2"/>
      <c r="HW1216" s="2"/>
      <c r="HX1216" s="2"/>
      <c r="HY1216" s="2"/>
      <c r="HZ1216" s="2"/>
      <c r="IA1216" s="2"/>
      <c r="IB1216" s="2"/>
      <c r="IC1216" s="2"/>
      <c r="ID1216" s="2"/>
      <c r="IE1216" s="2"/>
      <c r="IF1216" s="2"/>
      <c r="IG1216" s="2"/>
      <c r="IH1216" s="2"/>
      <c r="II1216" s="2"/>
      <c r="IJ1216" s="2"/>
      <c r="IK1216" s="2">
        <v>0</v>
      </c>
      <c r="IL1216" s="2"/>
      <c r="IM1216" s="2"/>
      <c r="IN1216" s="2"/>
      <c r="IO1216" s="2"/>
      <c r="IP1216" s="2"/>
      <c r="IQ1216" s="2"/>
      <c r="IR1216" s="2"/>
      <c r="IS1216" s="2"/>
      <c r="IT1216" s="2"/>
      <c r="IU1216" s="2"/>
    </row>
    <row r="1217" spans="1:255" x14ac:dyDescent="0.2">
      <c r="A1217">
        <v>17</v>
      </c>
      <c r="B1217">
        <v>1</v>
      </c>
      <c r="C1217">
        <f>ROW(SmtRes!A1068)</f>
        <v>1068</v>
      </c>
      <c r="D1217">
        <f>ROW(EtalonRes!A1022)</f>
        <v>1022</v>
      </c>
      <c r="E1217" t="s">
        <v>262</v>
      </c>
      <c r="F1217" t="s">
        <v>996</v>
      </c>
      <c r="G1217" t="s">
        <v>997</v>
      </c>
      <c r="H1217" t="s">
        <v>231</v>
      </c>
      <c r="I1217">
        <v>1</v>
      </c>
      <c r="J1217">
        <v>0</v>
      </c>
      <c r="K1217">
        <v>1</v>
      </c>
      <c r="O1217">
        <f t="shared" si="1012"/>
        <v>306.45999999999998</v>
      </c>
      <c r="P1217">
        <f t="shared" si="1013"/>
        <v>7.45</v>
      </c>
      <c r="Q1217">
        <f>(ROUND((ROUND((((ET1217*1.25))*AV1217*I1217),2)*BB1217),2)+ROUND((ROUND(((AE1217-((EU1217*1.25)))*AV1217*I1217),2)*BS1217),2))</f>
        <v>0</v>
      </c>
      <c r="R1217">
        <f t="shared" si="1014"/>
        <v>0</v>
      </c>
      <c r="S1217">
        <f t="shared" si="1015"/>
        <v>299.01</v>
      </c>
      <c r="T1217">
        <f t="shared" si="1016"/>
        <v>0</v>
      </c>
      <c r="U1217">
        <f t="shared" si="1017"/>
        <v>0.80499999999999994</v>
      </c>
      <c r="V1217">
        <f t="shared" si="1018"/>
        <v>0</v>
      </c>
      <c r="W1217">
        <f t="shared" si="1019"/>
        <v>0</v>
      </c>
      <c r="X1217">
        <f t="shared" si="1020"/>
        <v>269.11</v>
      </c>
      <c r="Y1217">
        <f t="shared" si="1021"/>
        <v>122.59</v>
      </c>
      <c r="AA1217">
        <v>129761633</v>
      </c>
      <c r="AB1217">
        <f t="shared" si="1022"/>
        <v>11.144</v>
      </c>
      <c r="AC1217">
        <f t="shared" si="1023"/>
        <v>0.84</v>
      </c>
      <c r="AD1217">
        <f>ROUND(((((ET1217*1.25))-((EU1217*1.25)))+AE1217),6)</f>
        <v>0</v>
      </c>
      <c r="AE1217">
        <f>ROUND(((EU1217*1.25)),6)</f>
        <v>0</v>
      </c>
      <c r="AF1217">
        <f>ROUND(((EV1217*1.15)),6)</f>
        <v>10.304</v>
      </c>
      <c r="AG1217">
        <f t="shared" si="1024"/>
        <v>0</v>
      </c>
      <c r="AH1217">
        <f>((EW1217*1.15))</f>
        <v>0.80499999999999994</v>
      </c>
      <c r="AI1217">
        <f>((EX1217*1.25))</f>
        <v>0</v>
      </c>
      <c r="AJ1217">
        <f t="shared" si="1025"/>
        <v>0</v>
      </c>
      <c r="AK1217">
        <v>9.8000000000000007</v>
      </c>
      <c r="AL1217">
        <v>0.84</v>
      </c>
      <c r="AM1217">
        <v>0</v>
      </c>
      <c r="AN1217">
        <v>0</v>
      </c>
      <c r="AO1217">
        <v>8.9600000000000009</v>
      </c>
      <c r="AP1217">
        <v>0</v>
      </c>
      <c r="AQ1217">
        <v>0.7</v>
      </c>
      <c r="AR1217">
        <v>0</v>
      </c>
      <c r="AS1217">
        <v>0</v>
      </c>
      <c r="AT1217">
        <v>90</v>
      </c>
      <c r="AU1217">
        <v>41</v>
      </c>
      <c r="AV1217">
        <v>1</v>
      </c>
      <c r="AW1217">
        <v>1</v>
      </c>
      <c r="AZ1217">
        <v>1</v>
      </c>
      <c r="BA1217">
        <v>29.03</v>
      </c>
      <c r="BB1217">
        <v>1</v>
      </c>
      <c r="BC1217">
        <v>8.8699999999999992</v>
      </c>
      <c r="BD1217" t="s">
        <v>3</v>
      </c>
      <c r="BE1217" t="s">
        <v>3</v>
      </c>
      <c r="BF1217" t="s">
        <v>3</v>
      </c>
      <c r="BG1217" t="s">
        <v>3</v>
      </c>
      <c r="BH1217">
        <v>0</v>
      </c>
      <c r="BI1217">
        <v>1</v>
      </c>
      <c r="BJ1217" t="s">
        <v>998</v>
      </c>
      <c r="BM1217">
        <v>136</v>
      </c>
      <c r="BN1217">
        <v>0</v>
      </c>
      <c r="BO1217" t="s">
        <v>996</v>
      </c>
      <c r="BP1217">
        <v>1</v>
      </c>
      <c r="BQ1217">
        <v>30</v>
      </c>
      <c r="BR1217">
        <v>0</v>
      </c>
      <c r="BS1217">
        <v>29.03</v>
      </c>
      <c r="BT1217">
        <v>1</v>
      </c>
      <c r="BU1217">
        <v>1</v>
      </c>
      <c r="BV1217">
        <v>1</v>
      </c>
      <c r="BW1217">
        <v>1</v>
      </c>
      <c r="BX1217">
        <v>1</v>
      </c>
      <c r="BY1217" t="s">
        <v>3</v>
      </c>
      <c r="BZ1217">
        <v>90</v>
      </c>
      <c r="CA1217">
        <v>41</v>
      </c>
      <c r="CB1217" t="s">
        <v>3</v>
      </c>
      <c r="CE1217">
        <v>30</v>
      </c>
      <c r="CF1217">
        <v>0</v>
      </c>
      <c r="CG1217">
        <v>0</v>
      </c>
      <c r="CM1217">
        <v>0</v>
      </c>
      <c r="CN1217" t="s">
        <v>1559</v>
      </c>
      <c r="CO1217">
        <v>0</v>
      </c>
      <c r="CP1217">
        <f t="shared" si="1026"/>
        <v>306.45999999999998</v>
      </c>
      <c r="CQ1217">
        <f t="shared" si="1027"/>
        <v>7.45</v>
      </c>
      <c r="CR1217">
        <f>(ROUND((ROUND((((ET1217*1.25))*AV1217*1),2)*BB1217),2)+ROUND((ROUND(((AE1217-((EU1217*1.25)))*AV1217*1),2)*BS1217),2))</f>
        <v>0</v>
      </c>
      <c r="CS1217">
        <f t="shared" si="1028"/>
        <v>0</v>
      </c>
      <c r="CT1217">
        <f t="shared" si="1029"/>
        <v>299.01</v>
      </c>
      <c r="CU1217">
        <f t="shared" si="1030"/>
        <v>0</v>
      </c>
      <c r="CV1217">
        <f t="shared" si="1031"/>
        <v>0.80499999999999994</v>
      </c>
      <c r="CW1217">
        <f t="shared" si="1032"/>
        <v>0</v>
      </c>
      <c r="CX1217">
        <f t="shared" si="1033"/>
        <v>0</v>
      </c>
      <c r="CY1217">
        <f>S1217*(BZ1217/100)</f>
        <v>269.10899999999998</v>
      </c>
      <c r="CZ1217">
        <f>S1217*(CA1217/100)</f>
        <v>122.59409999999998</v>
      </c>
      <c r="DC1217" t="s">
        <v>3</v>
      </c>
      <c r="DD1217" t="s">
        <v>3</v>
      </c>
      <c r="DE1217" t="s">
        <v>86</v>
      </c>
      <c r="DF1217" t="s">
        <v>86</v>
      </c>
      <c r="DG1217" t="s">
        <v>87</v>
      </c>
      <c r="DH1217" t="s">
        <v>3</v>
      </c>
      <c r="DI1217" t="s">
        <v>87</v>
      </c>
      <c r="DJ1217" t="s">
        <v>86</v>
      </c>
      <c r="DK1217" t="s">
        <v>3</v>
      </c>
      <c r="DL1217" t="s">
        <v>3</v>
      </c>
      <c r="DM1217" t="s">
        <v>3</v>
      </c>
      <c r="DN1217">
        <v>110</v>
      </c>
      <c r="DO1217">
        <v>74</v>
      </c>
      <c r="DP1217">
        <v>1</v>
      </c>
      <c r="DQ1217">
        <v>1</v>
      </c>
      <c r="DU1217">
        <v>1013</v>
      </c>
      <c r="DV1217" t="s">
        <v>231</v>
      </c>
      <c r="DW1217" t="s">
        <v>231</v>
      </c>
      <c r="DX1217">
        <v>1</v>
      </c>
      <c r="DZ1217" t="s">
        <v>3</v>
      </c>
      <c r="EA1217" t="s">
        <v>3</v>
      </c>
      <c r="EB1217" t="s">
        <v>3</v>
      </c>
      <c r="EC1217" t="s">
        <v>3</v>
      </c>
      <c r="EE1217">
        <v>126051597</v>
      </c>
      <c r="EF1217">
        <v>30</v>
      </c>
      <c r="EG1217" t="s">
        <v>23</v>
      </c>
      <c r="EH1217">
        <v>0</v>
      </c>
      <c r="EI1217" t="s">
        <v>3</v>
      </c>
      <c r="EJ1217">
        <v>1</v>
      </c>
      <c r="EK1217">
        <v>136</v>
      </c>
      <c r="EL1217" t="s">
        <v>955</v>
      </c>
      <c r="EM1217" t="s">
        <v>956</v>
      </c>
      <c r="EO1217" t="s">
        <v>90</v>
      </c>
      <c r="EQ1217">
        <v>131072</v>
      </c>
      <c r="ER1217">
        <v>9.8000000000000007</v>
      </c>
      <c r="ES1217">
        <v>0.84</v>
      </c>
      <c r="ET1217">
        <v>0</v>
      </c>
      <c r="EU1217">
        <v>0</v>
      </c>
      <c r="EV1217">
        <v>8.9600000000000009</v>
      </c>
      <c r="EW1217">
        <v>0.7</v>
      </c>
      <c r="EX1217">
        <v>0</v>
      </c>
      <c r="EY1217">
        <v>0</v>
      </c>
      <c r="FQ1217">
        <v>0</v>
      </c>
      <c r="FR1217">
        <f t="shared" si="1034"/>
        <v>0</v>
      </c>
      <c r="FS1217">
        <v>0</v>
      </c>
      <c r="FX1217">
        <v>110</v>
      </c>
      <c r="FY1217">
        <v>74</v>
      </c>
      <c r="GA1217" t="s">
        <v>3</v>
      </c>
      <c r="GD1217">
        <v>0</v>
      </c>
      <c r="GF1217">
        <v>-248160381</v>
      </c>
      <c r="GG1217">
        <v>2</v>
      </c>
      <c r="GH1217">
        <v>1</v>
      </c>
      <c r="GI1217">
        <v>2</v>
      </c>
      <c r="GJ1217">
        <v>0</v>
      </c>
      <c r="GK1217">
        <f>ROUND(R1217*(S12)/100,2)</f>
        <v>0</v>
      </c>
      <c r="GL1217">
        <f t="shared" si="1035"/>
        <v>0</v>
      </c>
      <c r="GM1217">
        <f t="shared" si="1036"/>
        <v>698.16</v>
      </c>
      <c r="GN1217">
        <f t="shared" si="1037"/>
        <v>698.16</v>
      </c>
      <c r="GO1217">
        <f t="shared" si="1038"/>
        <v>0</v>
      </c>
      <c r="GP1217">
        <f t="shared" si="1039"/>
        <v>0</v>
      </c>
      <c r="GR1217">
        <v>0</v>
      </c>
      <c r="GS1217">
        <v>3</v>
      </c>
      <c r="GT1217">
        <v>0</v>
      </c>
      <c r="GU1217" t="s">
        <v>3</v>
      </c>
      <c r="GV1217">
        <f t="shared" si="1040"/>
        <v>0</v>
      </c>
      <c r="GW1217">
        <v>1</v>
      </c>
      <c r="GX1217">
        <f t="shared" si="1041"/>
        <v>0</v>
      </c>
      <c r="HA1217">
        <v>0</v>
      </c>
      <c r="HB1217">
        <v>0</v>
      </c>
      <c r="HC1217">
        <f t="shared" si="1042"/>
        <v>0</v>
      </c>
      <c r="HE1217" t="s">
        <v>3</v>
      </c>
      <c r="HF1217" t="s">
        <v>3</v>
      </c>
      <c r="HM1217" t="s">
        <v>3</v>
      </c>
      <c r="HN1217" t="s">
        <v>3</v>
      </c>
      <c r="HO1217" t="s">
        <v>3</v>
      </c>
      <c r="HP1217" t="s">
        <v>3</v>
      </c>
      <c r="HQ1217" t="s">
        <v>3</v>
      </c>
      <c r="IK1217">
        <v>0</v>
      </c>
    </row>
    <row r="1218" spans="1:255" x14ac:dyDescent="0.2">
      <c r="A1218" s="2">
        <v>18</v>
      </c>
      <c r="B1218" s="2">
        <v>1</v>
      </c>
      <c r="C1218" s="2">
        <v>1064</v>
      </c>
      <c r="D1218" s="2"/>
      <c r="E1218" s="2" t="s">
        <v>268</v>
      </c>
      <c r="F1218" s="2" t="s">
        <v>248</v>
      </c>
      <c r="G1218" s="2" t="s">
        <v>999</v>
      </c>
      <c r="H1218" s="2" t="s">
        <v>250</v>
      </c>
      <c r="I1218" s="2">
        <f>I1216*J1218</f>
        <v>1</v>
      </c>
      <c r="J1218" s="2">
        <v>1</v>
      </c>
      <c r="K1218" s="2">
        <v>1</v>
      </c>
      <c r="L1218" s="2"/>
      <c r="M1218" s="2"/>
      <c r="N1218" s="2"/>
      <c r="O1218" s="2">
        <f t="shared" si="1012"/>
        <v>0</v>
      </c>
      <c r="P1218" s="2">
        <f t="shared" si="1013"/>
        <v>0</v>
      </c>
      <c r="Q1218" s="2">
        <f>(ROUND((ROUND(((ET1218)*AV1218*I1218),2)*BB1218),2)+ROUND((ROUND(((AE1218-(EU1218))*AV1218*I1218),2)*BS1218),2))</f>
        <v>0</v>
      </c>
      <c r="R1218" s="2">
        <f t="shared" si="1014"/>
        <v>0</v>
      </c>
      <c r="S1218" s="2">
        <f t="shared" si="1015"/>
        <v>0</v>
      </c>
      <c r="T1218" s="2">
        <f t="shared" si="1016"/>
        <v>0</v>
      </c>
      <c r="U1218" s="2">
        <f t="shared" si="1017"/>
        <v>0</v>
      </c>
      <c r="V1218" s="2">
        <f t="shared" si="1018"/>
        <v>0</v>
      </c>
      <c r="W1218" s="2">
        <f t="shared" si="1019"/>
        <v>0</v>
      </c>
      <c r="X1218" s="2">
        <f t="shared" si="1020"/>
        <v>0</v>
      </c>
      <c r="Y1218" s="2">
        <f t="shared" si="1021"/>
        <v>0</v>
      </c>
      <c r="Z1218" s="2"/>
      <c r="AA1218" s="2">
        <v>129761636</v>
      </c>
      <c r="AB1218" s="2">
        <f t="shared" si="1022"/>
        <v>0</v>
      </c>
      <c r="AC1218" s="2">
        <f t="shared" si="1023"/>
        <v>0</v>
      </c>
      <c r="AD1218" s="2">
        <f>ROUND((((ET1218)-(EU1218))+AE1218),6)</f>
        <v>0</v>
      </c>
      <c r="AE1218" s="2">
        <f t="shared" ref="AE1218:AF1221" si="1057">ROUND((EU1218),6)</f>
        <v>0</v>
      </c>
      <c r="AF1218" s="2">
        <f t="shared" si="1057"/>
        <v>0</v>
      </c>
      <c r="AG1218" s="2">
        <f t="shared" si="1024"/>
        <v>0</v>
      </c>
      <c r="AH1218" s="2">
        <f t="shared" ref="AH1218:AI1221" si="1058">(EW1218)</f>
        <v>0</v>
      </c>
      <c r="AI1218" s="2">
        <f t="shared" si="1058"/>
        <v>0</v>
      </c>
      <c r="AJ1218" s="2">
        <f t="shared" si="1025"/>
        <v>0</v>
      </c>
      <c r="AK1218" s="2">
        <v>0</v>
      </c>
      <c r="AL1218" s="2">
        <v>0</v>
      </c>
      <c r="AM1218" s="2">
        <v>0</v>
      </c>
      <c r="AN1218" s="2">
        <v>0</v>
      </c>
      <c r="AO1218" s="2">
        <v>0</v>
      </c>
      <c r="AP1218" s="2">
        <v>0</v>
      </c>
      <c r="AQ1218" s="2">
        <v>0</v>
      </c>
      <c r="AR1218" s="2">
        <v>0</v>
      </c>
      <c r="AS1218" s="2">
        <v>0</v>
      </c>
      <c r="AT1218" s="2">
        <v>110</v>
      </c>
      <c r="AU1218" s="2">
        <v>74</v>
      </c>
      <c r="AV1218" s="2">
        <v>1</v>
      </c>
      <c r="AW1218" s="2">
        <v>1</v>
      </c>
      <c r="AX1218" s="2"/>
      <c r="AY1218" s="2"/>
      <c r="AZ1218" s="2">
        <v>1</v>
      </c>
      <c r="BA1218" s="2">
        <v>1</v>
      </c>
      <c r="BB1218" s="2">
        <v>1</v>
      </c>
      <c r="BC1218" s="2">
        <v>1</v>
      </c>
      <c r="BD1218" s="2" t="s">
        <v>3</v>
      </c>
      <c r="BE1218" s="2" t="s">
        <v>3</v>
      </c>
      <c r="BF1218" s="2" t="s">
        <v>3</v>
      </c>
      <c r="BG1218" s="2" t="s">
        <v>3</v>
      </c>
      <c r="BH1218" s="2">
        <v>3</v>
      </c>
      <c r="BI1218" s="2">
        <v>1</v>
      </c>
      <c r="BJ1218" s="2" t="s">
        <v>3</v>
      </c>
      <c r="BK1218" s="2"/>
      <c r="BL1218" s="2"/>
      <c r="BM1218" s="2">
        <v>136</v>
      </c>
      <c r="BN1218" s="2">
        <v>0</v>
      </c>
      <c r="BO1218" s="2" t="s">
        <v>3</v>
      </c>
      <c r="BP1218" s="2">
        <v>0</v>
      </c>
      <c r="BQ1218" s="2">
        <v>30</v>
      </c>
      <c r="BR1218" s="2">
        <v>0</v>
      </c>
      <c r="BS1218" s="2">
        <v>1</v>
      </c>
      <c r="BT1218" s="2">
        <v>1</v>
      </c>
      <c r="BU1218" s="2">
        <v>1</v>
      </c>
      <c r="BV1218" s="2">
        <v>1</v>
      </c>
      <c r="BW1218" s="2">
        <v>1</v>
      </c>
      <c r="BX1218" s="2">
        <v>1</v>
      </c>
      <c r="BY1218" s="2" t="s">
        <v>3</v>
      </c>
      <c r="BZ1218" s="2">
        <v>110</v>
      </c>
      <c r="CA1218" s="2">
        <v>74</v>
      </c>
      <c r="CB1218" s="2" t="s">
        <v>3</v>
      </c>
      <c r="CC1218" s="2"/>
      <c r="CD1218" s="2"/>
      <c r="CE1218" s="2">
        <v>30</v>
      </c>
      <c r="CF1218" s="2">
        <v>0</v>
      </c>
      <c r="CG1218" s="2">
        <v>0</v>
      </c>
      <c r="CH1218" s="2"/>
      <c r="CI1218" s="2"/>
      <c r="CJ1218" s="2"/>
      <c r="CK1218" s="2"/>
      <c r="CL1218" s="2"/>
      <c r="CM1218" s="2">
        <v>0</v>
      </c>
      <c r="CN1218" s="2" t="s">
        <v>3</v>
      </c>
      <c r="CO1218" s="2">
        <v>0</v>
      </c>
      <c r="CP1218" s="2">
        <f t="shared" si="1026"/>
        <v>0</v>
      </c>
      <c r="CQ1218" s="2">
        <f t="shared" si="1027"/>
        <v>0</v>
      </c>
      <c r="CR1218" s="2">
        <f>(ROUND((ROUND(((ET1218)*AV1218*1),2)*BB1218),2)+ROUND((ROUND(((AE1218-(EU1218))*AV1218*1),2)*BS1218),2))</f>
        <v>0</v>
      </c>
      <c r="CS1218" s="2">
        <f t="shared" si="1028"/>
        <v>0</v>
      </c>
      <c r="CT1218" s="2">
        <f t="shared" si="1029"/>
        <v>0</v>
      </c>
      <c r="CU1218" s="2">
        <f t="shared" si="1030"/>
        <v>0</v>
      </c>
      <c r="CV1218" s="2">
        <f t="shared" si="1031"/>
        <v>0</v>
      </c>
      <c r="CW1218" s="2">
        <f t="shared" si="1032"/>
        <v>0</v>
      </c>
      <c r="CX1218" s="2">
        <f t="shared" si="1033"/>
        <v>0</v>
      </c>
      <c r="CY1218" s="2">
        <f>((S1218*BZ1218)/100)</f>
        <v>0</v>
      </c>
      <c r="CZ1218" s="2">
        <f>((S1218*CA1218)/100)</f>
        <v>0</v>
      </c>
      <c r="DA1218" s="2"/>
      <c r="DB1218" s="2"/>
      <c r="DC1218" s="2" t="s">
        <v>3</v>
      </c>
      <c r="DD1218" s="2" t="s">
        <v>3</v>
      </c>
      <c r="DE1218" s="2" t="s">
        <v>3</v>
      </c>
      <c r="DF1218" s="2" t="s">
        <v>3</v>
      </c>
      <c r="DG1218" s="2" t="s">
        <v>3</v>
      </c>
      <c r="DH1218" s="2" t="s">
        <v>3</v>
      </c>
      <c r="DI1218" s="2" t="s">
        <v>3</v>
      </c>
      <c r="DJ1218" s="2" t="s">
        <v>3</v>
      </c>
      <c r="DK1218" s="2" t="s">
        <v>3</v>
      </c>
      <c r="DL1218" s="2" t="s">
        <v>3</v>
      </c>
      <c r="DM1218" s="2" t="s">
        <v>3</v>
      </c>
      <c r="DN1218" s="2">
        <v>0</v>
      </c>
      <c r="DO1218" s="2">
        <v>0</v>
      </c>
      <c r="DP1218" s="2">
        <v>1</v>
      </c>
      <c r="DQ1218" s="2">
        <v>1</v>
      </c>
      <c r="DR1218" s="2"/>
      <c r="DS1218" s="2"/>
      <c r="DT1218" s="2"/>
      <c r="DU1218" s="2">
        <v>1010</v>
      </c>
      <c r="DV1218" s="2" t="s">
        <v>250</v>
      </c>
      <c r="DW1218" s="2" t="s">
        <v>250</v>
      </c>
      <c r="DX1218" s="2">
        <v>1</v>
      </c>
      <c r="DY1218" s="2"/>
      <c r="DZ1218" s="2" t="s">
        <v>3</v>
      </c>
      <c r="EA1218" s="2" t="s">
        <v>3</v>
      </c>
      <c r="EB1218" s="2" t="s">
        <v>3</v>
      </c>
      <c r="EC1218" s="2" t="s">
        <v>3</v>
      </c>
      <c r="ED1218" s="2"/>
      <c r="EE1218" s="2">
        <v>126051597</v>
      </c>
      <c r="EF1218" s="2">
        <v>30</v>
      </c>
      <c r="EG1218" s="2" t="s">
        <v>23</v>
      </c>
      <c r="EH1218" s="2">
        <v>0</v>
      </c>
      <c r="EI1218" s="2" t="s">
        <v>3</v>
      </c>
      <c r="EJ1218" s="2">
        <v>1</v>
      </c>
      <c r="EK1218" s="2">
        <v>136</v>
      </c>
      <c r="EL1218" s="2" t="s">
        <v>955</v>
      </c>
      <c r="EM1218" s="2" t="s">
        <v>956</v>
      </c>
      <c r="EN1218" s="2"/>
      <c r="EO1218" s="2" t="s">
        <v>3</v>
      </c>
      <c r="EP1218" s="2"/>
      <c r="EQ1218" s="2">
        <v>0</v>
      </c>
      <c r="ER1218" s="2">
        <v>0</v>
      </c>
      <c r="ES1218" s="2">
        <v>0</v>
      </c>
      <c r="ET1218" s="2">
        <v>0</v>
      </c>
      <c r="EU1218" s="2">
        <v>0</v>
      </c>
      <c r="EV1218" s="2">
        <v>0</v>
      </c>
      <c r="EW1218" s="2">
        <v>0</v>
      </c>
      <c r="EX1218" s="2">
        <v>0</v>
      </c>
      <c r="EY1218" s="2"/>
      <c r="EZ1218" s="2"/>
      <c r="FA1218" s="2"/>
      <c r="FB1218" s="2"/>
      <c r="FC1218" s="2"/>
      <c r="FD1218" s="2"/>
      <c r="FE1218" s="2"/>
      <c r="FF1218" s="2"/>
      <c r="FG1218" s="2"/>
      <c r="FH1218" s="2"/>
      <c r="FI1218" s="2"/>
      <c r="FJ1218" s="2"/>
      <c r="FK1218" s="2"/>
      <c r="FL1218" s="2"/>
      <c r="FM1218" s="2"/>
      <c r="FN1218" s="2"/>
      <c r="FO1218" s="2"/>
      <c r="FP1218" s="2"/>
      <c r="FQ1218" s="2">
        <v>0</v>
      </c>
      <c r="FR1218" s="2">
        <f t="shared" si="1034"/>
        <v>0</v>
      </c>
      <c r="FS1218" s="2">
        <v>0</v>
      </c>
      <c r="FT1218" s="2"/>
      <c r="FU1218" s="2"/>
      <c r="FV1218" s="2"/>
      <c r="FW1218" s="2"/>
      <c r="FX1218" s="2">
        <v>110</v>
      </c>
      <c r="FY1218" s="2">
        <v>74</v>
      </c>
      <c r="FZ1218" s="2"/>
      <c r="GA1218" s="2" t="s">
        <v>3</v>
      </c>
      <c r="GB1218" s="2"/>
      <c r="GC1218" s="2"/>
      <c r="GD1218" s="2">
        <v>0</v>
      </c>
      <c r="GE1218" s="2"/>
      <c r="GF1218" s="2">
        <v>-190557573</v>
      </c>
      <c r="GG1218" s="2">
        <v>2</v>
      </c>
      <c r="GH1218" s="2">
        <v>0</v>
      </c>
      <c r="GI1218" s="2">
        <v>-2</v>
      </c>
      <c r="GJ1218" s="2">
        <v>0</v>
      </c>
      <c r="GK1218" s="2">
        <f>ROUND(R1218*(R12)/100,2)</f>
        <v>0</v>
      </c>
      <c r="GL1218" s="2">
        <f t="shared" si="1035"/>
        <v>0</v>
      </c>
      <c r="GM1218" s="2">
        <f t="shared" si="1036"/>
        <v>0</v>
      </c>
      <c r="GN1218" s="2">
        <f t="shared" si="1037"/>
        <v>0</v>
      </c>
      <c r="GO1218" s="2">
        <f t="shared" si="1038"/>
        <v>0</v>
      </c>
      <c r="GP1218" s="2">
        <f t="shared" si="1039"/>
        <v>0</v>
      </c>
      <c r="GQ1218" s="2"/>
      <c r="GR1218" s="2">
        <v>0</v>
      </c>
      <c r="GS1218" s="2">
        <v>3</v>
      </c>
      <c r="GT1218" s="2">
        <v>0</v>
      </c>
      <c r="GU1218" s="2" t="s">
        <v>3</v>
      </c>
      <c r="GV1218" s="2">
        <f t="shared" si="1040"/>
        <v>0</v>
      </c>
      <c r="GW1218" s="2">
        <v>1</v>
      </c>
      <c r="GX1218" s="2">
        <f t="shared" si="1041"/>
        <v>0</v>
      </c>
      <c r="GY1218" s="2"/>
      <c r="GZ1218" s="2"/>
      <c r="HA1218" s="2">
        <v>0</v>
      </c>
      <c r="HB1218" s="2">
        <v>0</v>
      </c>
      <c r="HC1218" s="2">
        <f t="shared" si="1042"/>
        <v>0</v>
      </c>
      <c r="HD1218" s="2"/>
      <c r="HE1218" s="2" t="s">
        <v>3</v>
      </c>
      <c r="HF1218" s="2" t="s">
        <v>3</v>
      </c>
      <c r="HG1218" s="2"/>
      <c r="HH1218" s="2"/>
      <c r="HI1218" s="2"/>
      <c r="HJ1218" s="2"/>
      <c r="HK1218" s="2"/>
      <c r="HL1218" s="2"/>
      <c r="HM1218" s="2" t="s">
        <v>3</v>
      </c>
      <c r="HN1218" s="2" t="s">
        <v>3</v>
      </c>
      <c r="HO1218" s="2" t="s">
        <v>3</v>
      </c>
      <c r="HP1218" s="2" t="s">
        <v>3</v>
      </c>
      <c r="HQ1218" s="2" t="s">
        <v>3</v>
      </c>
      <c r="HR1218" s="2"/>
      <c r="HS1218" s="2"/>
      <c r="HT1218" s="2"/>
      <c r="HU1218" s="2"/>
      <c r="HV1218" s="2"/>
      <c r="HW1218" s="2"/>
      <c r="HX1218" s="2"/>
      <c r="HY1218" s="2"/>
      <c r="HZ1218" s="2"/>
      <c r="IA1218" s="2"/>
      <c r="IB1218" s="2"/>
      <c r="IC1218" s="2"/>
      <c r="ID1218" s="2"/>
      <c r="IE1218" s="2"/>
      <c r="IF1218" s="2"/>
      <c r="IG1218" s="2"/>
      <c r="IH1218" s="2"/>
      <c r="II1218" s="2"/>
      <c r="IJ1218" s="2"/>
      <c r="IK1218" s="2">
        <v>0</v>
      </c>
      <c r="IL1218" s="2"/>
      <c r="IM1218" s="2"/>
      <c r="IN1218" s="2"/>
      <c r="IO1218" s="2"/>
      <c r="IP1218" s="2"/>
      <c r="IQ1218" s="2"/>
      <c r="IR1218" s="2"/>
      <c r="IS1218" s="2"/>
      <c r="IT1218" s="2"/>
      <c r="IU1218" s="2"/>
    </row>
    <row r="1219" spans="1:255" x14ac:dyDescent="0.2">
      <c r="A1219">
        <v>18</v>
      </c>
      <c r="B1219">
        <v>1</v>
      </c>
      <c r="C1219">
        <v>1068</v>
      </c>
      <c r="E1219" t="s">
        <v>268</v>
      </c>
      <c r="F1219" t="s">
        <v>248</v>
      </c>
      <c r="G1219" t="s">
        <v>999</v>
      </c>
      <c r="H1219" t="s">
        <v>250</v>
      </c>
      <c r="I1219">
        <f>I1217*J1219</f>
        <v>1</v>
      </c>
      <c r="J1219">
        <v>1</v>
      </c>
      <c r="K1219">
        <v>1</v>
      </c>
      <c r="O1219">
        <f t="shared" si="1012"/>
        <v>10260.200000000001</v>
      </c>
      <c r="P1219">
        <f t="shared" si="1013"/>
        <v>10260.200000000001</v>
      </c>
      <c r="Q1219">
        <f>(ROUND((ROUND(((ET1219)*AV1219*I1219),2)*BB1219),2)+ROUND((ROUND(((AE1219-(EU1219))*AV1219*I1219),2)*BS1219),2))</f>
        <v>0</v>
      </c>
      <c r="R1219">
        <f t="shared" si="1014"/>
        <v>0</v>
      </c>
      <c r="S1219">
        <f t="shared" si="1015"/>
        <v>0</v>
      </c>
      <c r="T1219">
        <f t="shared" si="1016"/>
        <v>0</v>
      </c>
      <c r="U1219">
        <f t="shared" si="1017"/>
        <v>0</v>
      </c>
      <c r="V1219">
        <f t="shared" si="1018"/>
        <v>0</v>
      </c>
      <c r="W1219">
        <f t="shared" si="1019"/>
        <v>0</v>
      </c>
      <c r="X1219">
        <f t="shared" si="1020"/>
        <v>0</v>
      </c>
      <c r="Y1219">
        <f t="shared" si="1021"/>
        <v>0</v>
      </c>
      <c r="AA1219">
        <v>129761633</v>
      </c>
      <c r="AB1219">
        <f t="shared" si="1022"/>
        <v>1186.1500000000001</v>
      </c>
      <c r="AC1219">
        <f t="shared" si="1023"/>
        <v>1186.1500000000001</v>
      </c>
      <c r="AD1219">
        <f>ROUND((((ET1219)-(EU1219))+AE1219),6)</f>
        <v>0</v>
      </c>
      <c r="AE1219">
        <f t="shared" si="1057"/>
        <v>0</v>
      </c>
      <c r="AF1219">
        <f t="shared" si="1057"/>
        <v>0</v>
      </c>
      <c r="AG1219">
        <f t="shared" si="1024"/>
        <v>0</v>
      </c>
      <c r="AH1219">
        <f t="shared" si="1058"/>
        <v>0</v>
      </c>
      <c r="AI1219">
        <f t="shared" si="1058"/>
        <v>0</v>
      </c>
      <c r="AJ1219">
        <f t="shared" si="1025"/>
        <v>0</v>
      </c>
      <c r="AK1219">
        <v>1186.1500000000001</v>
      </c>
      <c r="AL1219">
        <v>1186.1500000000001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  <c r="AV1219">
        <v>1</v>
      </c>
      <c r="AW1219">
        <v>1</v>
      </c>
      <c r="AZ1219">
        <v>1</v>
      </c>
      <c r="BA1219">
        <v>1</v>
      </c>
      <c r="BB1219">
        <v>1</v>
      </c>
      <c r="BC1219">
        <v>8.65</v>
      </c>
      <c r="BD1219" t="s">
        <v>3</v>
      </c>
      <c r="BE1219" t="s">
        <v>3</v>
      </c>
      <c r="BF1219" t="s">
        <v>3</v>
      </c>
      <c r="BG1219" t="s">
        <v>3</v>
      </c>
      <c r="BH1219">
        <v>3</v>
      </c>
      <c r="BI1219">
        <v>1</v>
      </c>
      <c r="BJ1219" t="s">
        <v>3</v>
      </c>
      <c r="BM1219">
        <v>136</v>
      </c>
      <c r="BN1219">
        <v>0</v>
      </c>
      <c r="BO1219" t="s">
        <v>3</v>
      </c>
      <c r="BP1219">
        <v>0</v>
      </c>
      <c r="BQ1219">
        <v>30</v>
      </c>
      <c r="BR1219">
        <v>0</v>
      </c>
      <c r="BS1219">
        <v>1</v>
      </c>
      <c r="BT1219">
        <v>1</v>
      </c>
      <c r="BU1219">
        <v>1</v>
      </c>
      <c r="BV1219">
        <v>1</v>
      </c>
      <c r="BW1219">
        <v>1</v>
      </c>
      <c r="BX1219">
        <v>1</v>
      </c>
      <c r="BY1219" t="s">
        <v>3</v>
      </c>
      <c r="BZ1219">
        <v>0</v>
      </c>
      <c r="CA1219">
        <v>0</v>
      </c>
      <c r="CB1219" t="s">
        <v>3</v>
      </c>
      <c r="CE1219">
        <v>30</v>
      </c>
      <c r="CF1219">
        <v>0</v>
      </c>
      <c r="CG1219">
        <v>0</v>
      </c>
      <c r="CM1219">
        <v>0</v>
      </c>
      <c r="CN1219" t="s">
        <v>3</v>
      </c>
      <c r="CO1219">
        <v>0</v>
      </c>
      <c r="CP1219">
        <f t="shared" si="1026"/>
        <v>10260.200000000001</v>
      </c>
      <c r="CQ1219">
        <f t="shared" si="1027"/>
        <v>10260.200000000001</v>
      </c>
      <c r="CR1219">
        <f>(ROUND((ROUND(((ET1219)*AV1219*1),2)*BB1219),2)+ROUND((ROUND(((AE1219-(EU1219))*AV1219*1),2)*BS1219),2))</f>
        <v>0</v>
      </c>
      <c r="CS1219">
        <f t="shared" si="1028"/>
        <v>0</v>
      </c>
      <c r="CT1219">
        <f t="shared" si="1029"/>
        <v>0</v>
      </c>
      <c r="CU1219">
        <f t="shared" si="1030"/>
        <v>0</v>
      </c>
      <c r="CV1219">
        <f t="shared" si="1031"/>
        <v>0</v>
      </c>
      <c r="CW1219">
        <f t="shared" si="1032"/>
        <v>0</v>
      </c>
      <c r="CX1219">
        <f t="shared" si="1033"/>
        <v>0</v>
      </c>
      <c r="CY1219">
        <f>S1219*(BZ1219/100)</f>
        <v>0</v>
      </c>
      <c r="CZ1219">
        <f>S1219*(CA1219/100)</f>
        <v>0</v>
      </c>
      <c r="DC1219" t="s">
        <v>3</v>
      </c>
      <c r="DD1219" t="s">
        <v>3</v>
      </c>
      <c r="DE1219" t="s">
        <v>3</v>
      </c>
      <c r="DF1219" t="s">
        <v>3</v>
      </c>
      <c r="DG1219" t="s">
        <v>3</v>
      </c>
      <c r="DH1219" t="s">
        <v>3</v>
      </c>
      <c r="DI1219" t="s">
        <v>3</v>
      </c>
      <c r="DJ1219" t="s">
        <v>3</v>
      </c>
      <c r="DK1219" t="s">
        <v>3</v>
      </c>
      <c r="DL1219" t="s">
        <v>3</v>
      </c>
      <c r="DM1219" t="s">
        <v>3</v>
      </c>
      <c r="DN1219">
        <v>110</v>
      </c>
      <c r="DO1219">
        <v>74</v>
      </c>
      <c r="DP1219">
        <v>1</v>
      </c>
      <c r="DQ1219">
        <v>1</v>
      </c>
      <c r="DU1219">
        <v>1010</v>
      </c>
      <c r="DV1219" t="s">
        <v>250</v>
      </c>
      <c r="DW1219" t="s">
        <v>250</v>
      </c>
      <c r="DX1219">
        <v>1</v>
      </c>
      <c r="DZ1219" t="s">
        <v>3</v>
      </c>
      <c r="EA1219" t="s">
        <v>3</v>
      </c>
      <c r="EB1219" t="s">
        <v>3</v>
      </c>
      <c r="EC1219" t="s">
        <v>3</v>
      </c>
      <c r="EE1219">
        <v>126051597</v>
      </c>
      <c r="EF1219">
        <v>30</v>
      </c>
      <c r="EG1219" t="s">
        <v>23</v>
      </c>
      <c r="EH1219">
        <v>0</v>
      </c>
      <c r="EI1219" t="s">
        <v>3</v>
      </c>
      <c r="EJ1219">
        <v>1</v>
      </c>
      <c r="EK1219">
        <v>136</v>
      </c>
      <c r="EL1219" t="s">
        <v>955</v>
      </c>
      <c r="EM1219" t="s">
        <v>956</v>
      </c>
      <c r="EO1219" t="s">
        <v>3</v>
      </c>
      <c r="EQ1219">
        <v>0</v>
      </c>
      <c r="ER1219">
        <v>1186.1500000000001</v>
      </c>
      <c r="ES1219">
        <v>1186.1500000000001</v>
      </c>
      <c r="ET1219">
        <v>0</v>
      </c>
      <c r="EU1219">
        <v>0</v>
      </c>
      <c r="EV1219">
        <v>0</v>
      </c>
      <c r="EW1219">
        <v>0</v>
      </c>
      <c r="EX1219">
        <v>0</v>
      </c>
      <c r="EZ1219">
        <v>5</v>
      </c>
      <c r="FC1219">
        <v>0</v>
      </c>
      <c r="FD1219">
        <v>18</v>
      </c>
      <c r="FF1219">
        <v>10059</v>
      </c>
      <c r="FQ1219">
        <v>0</v>
      </c>
      <c r="FR1219">
        <f t="shared" si="1034"/>
        <v>0</v>
      </c>
      <c r="FS1219">
        <v>0</v>
      </c>
      <c r="FX1219">
        <v>110</v>
      </c>
      <c r="FY1219">
        <v>74</v>
      </c>
      <c r="GA1219" t="s">
        <v>1000</v>
      </c>
      <c r="GD1219">
        <v>0</v>
      </c>
      <c r="GF1219">
        <v>-190557573</v>
      </c>
      <c r="GG1219">
        <v>2</v>
      </c>
      <c r="GH1219">
        <v>3</v>
      </c>
      <c r="GI1219">
        <v>5</v>
      </c>
      <c r="GJ1219">
        <v>0</v>
      </c>
      <c r="GK1219">
        <f>ROUND(R1219*(S12)/100,2)</f>
        <v>0</v>
      </c>
      <c r="GL1219">
        <f t="shared" si="1035"/>
        <v>0</v>
      </c>
      <c r="GM1219">
        <f t="shared" si="1036"/>
        <v>10260.200000000001</v>
      </c>
      <c r="GN1219">
        <f t="shared" si="1037"/>
        <v>10260.200000000001</v>
      </c>
      <c r="GO1219">
        <f t="shared" si="1038"/>
        <v>0</v>
      </c>
      <c r="GP1219">
        <f t="shared" si="1039"/>
        <v>0</v>
      </c>
      <c r="GR1219">
        <v>1</v>
      </c>
      <c r="GS1219">
        <v>1</v>
      </c>
      <c r="GT1219">
        <v>0</v>
      </c>
      <c r="GU1219" t="s">
        <v>3</v>
      </c>
      <c r="GV1219">
        <f t="shared" si="1040"/>
        <v>0</v>
      </c>
      <c r="GW1219">
        <v>1</v>
      </c>
      <c r="GX1219">
        <f t="shared" si="1041"/>
        <v>0</v>
      </c>
      <c r="HA1219">
        <v>0</v>
      </c>
      <c r="HB1219">
        <v>0</v>
      </c>
      <c r="HC1219">
        <f t="shared" si="1042"/>
        <v>0</v>
      </c>
      <c r="HE1219" t="s">
        <v>81</v>
      </c>
      <c r="HF1219" t="s">
        <v>252</v>
      </c>
      <c r="HM1219" t="s">
        <v>3</v>
      </c>
      <c r="HN1219" t="s">
        <v>3</v>
      </c>
      <c r="HO1219" t="s">
        <v>3</v>
      </c>
      <c r="HP1219" t="s">
        <v>3</v>
      </c>
      <c r="HQ1219" t="s">
        <v>3</v>
      </c>
      <c r="IK1219">
        <v>0</v>
      </c>
    </row>
    <row r="1220" spans="1:255" x14ac:dyDescent="0.2">
      <c r="A1220" s="2">
        <v>18</v>
      </c>
      <c r="B1220" s="2">
        <v>1</v>
      </c>
      <c r="C1220" s="2">
        <v>1062</v>
      </c>
      <c r="D1220" s="2"/>
      <c r="E1220" s="2" t="s">
        <v>272</v>
      </c>
      <c r="F1220" s="2" t="s">
        <v>1001</v>
      </c>
      <c r="G1220" s="2" t="s">
        <v>1002</v>
      </c>
      <c r="H1220" s="2" t="s">
        <v>250</v>
      </c>
      <c r="I1220" s="2">
        <f>I1216*J1220</f>
        <v>0</v>
      </c>
      <c r="J1220" s="2">
        <v>0</v>
      </c>
      <c r="K1220" s="2">
        <v>0</v>
      </c>
      <c r="L1220" s="2"/>
      <c r="M1220" s="2"/>
      <c r="N1220" s="2"/>
      <c r="O1220" s="2">
        <f t="shared" si="1012"/>
        <v>0</v>
      </c>
      <c r="P1220" s="2">
        <f t="shared" si="1013"/>
        <v>0</v>
      </c>
      <c r="Q1220" s="2">
        <f>(ROUND((ROUND(((ET1220)*AV1220*I1220),2)*BB1220),2)+ROUND((ROUND(((AE1220-(EU1220))*AV1220*I1220),2)*BS1220),2))</f>
        <v>0</v>
      </c>
      <c r="R1220" s="2">
        <f t="shared" si="1014"/>
        <v>0</v>
      </c>
      <c r="S1220" s="2">
        <f t="shared" si="1015"/>
        <v>0</v>
      </c>
      <c r="T1220" s="2">
        <f t="shared" si="1016"/>
        <v>0</v>
      </c>
      <c r="U1220" s="2">
        <f t="shared" si="1017"/>
        <v>0</v>
      </c>
      <c r="V1220" s="2">
        <f t="shared" si="1018"/>
        <v>0</v>
      </c>
      <c r="W1220" s="2">
        <f t="shared" si="1019"/>
        <v>0</v>
      </c>
      <c r="X1220" s="2">
        <f t="shared" si="1020"/>
        <v>0</v>
      </c>
      <c r="Y1220" s="2">
        <f t="shared" si="1021"/>
        <v>0</v>
      </c>
      <c r="Z1220" s="2"/>
      <c r="AA1220" s="2">
        <v>129761636</v>
      </c>
      <c r="AB1220" s="2">
        <f t="shared" si="1022"/>
        <v>599.24</v>
      </c>
      <c r="AC1220" s="2">
        <f t="shared" si="1023"/>
        <v>599.24</v>
      </c>
      <c r="AD1220" s="2">
        <f>ROUND((((ET1220)-(EU1220))+AE1220),6)</f>
        <v>0</v>
      </c>
      <c r="AE1220" s="2">
        <f t="shared" si="1057"/>
        <v>0</v>
      </c>
      <c r="AF1220" s="2">
        <f t="shared" si="1057"/>
        <v>0</v>
      </c>
      <c r="AG1220" s="2">
        <f t="shared" si="1024"/>
        <v>0</v>
      </c>
      <c r="AH1220" s="2">
        <f t="shared" si="1058"/>
        <v>0</v>
      </c>
      <c r="AI1220" s="2">
        <f t="shared" si="1058"/>
        <v>0</v>
      </c>
      <c r="AJ1220" s="2">
        <f t="shared" si="1025"/>
        <v>0</v>
      </c>
      <c r="AK1220" s="2">
        <v>599.24</v>
      </c>
      <c r="AL1220" s="2">
        <v>599.24</v>
      </c>
      <c r="AM1220" s="2">
        <v>0</v>
      </c>
      <c r="AN1220" s="2">
        <v>0</v>
      </c>
      <c r="AO1220" s="2">
        <v>0</v>
      </c>
      <c r="AP1220" s="2">
        <v>0</v>
      </c>
      <c r="AQ1220" s="2">
        <v>0</v>
      </c>
      <c r="AR1220" s="2">
        <v>0</v>
      </c>
      <c r="AS1220" s="2">
        <v>0</v>
      </c>
      <c r="AT1220" s="2">
        <v>110</v>
      </c>
      <c r="AU1220" s="2">
        <v>74</v>
      </c>
      <c r="AV1220" s="2">
        <v>1</v>
      </c>
      <c r="AW1220" s="2">
        <v>1</v>
      </c>
      <c r="AX1220" s="2"/>
      <c r="AY1220" s="2"/>
      <c r="AZ1220" s="2">
        <v>1</v>
      </c>
      <c r="BA1220" s="2">
        <v>1</v>
      </c>
      <c r="BB1220" s="2">
        <v>1</v>
      </c>
      <c r="BC1220" s="2">
        <v>1</v>
      </c>
      <c r="BD1220" s="2" t="s">
        <v>3</v>
      </c>
      <c r="BE1220" s="2" t="s">
        <v>3</v>
      </c>
      <c r="BF1220" s="2" t="s">
        <v>3</v>
      </c>
      <c r="BG1220" s="2" t="s">
        <v>3</v>
      </c>
      <c r="BH1220" s="2">
        <v>3</v>
      </c>
      <c r="BI1220" s="2">
        <v>1</v>
      </c>
      <c r="BJ1220" s="2" t="s">
        <v>1003</v>
      </c>
      <c r="BK1220" s="2"/>
      <c r="BL1220" s="2"/>
      <c r="BM1220" s="2">
        <v>136</v>
      </c>
      <c r="BN1220" s="2">
        <v>0</v>
      </c>
      <c r="BO1220" s="2" t="s">
        <v>3</v>
      </c>
      <c r="BP1220" s="2">
        <v>0</v>
      </c>
      <c r="BQ1220" s="2">
        <v>30</v>
      </c>
      <c r="BR1220" s="2">
        <v>0</v>
      </c>
      <c r="BS1220" s="2">
        <v>1</v>
      </c>
      <c r="BT1220" s="2">
        <v>1</v>
      </c>
      <c r="BU1220" s="2">
        <v>1</v>
      </c>
      <c r="BV1220" s="2">
        <v>1</v>
      </c>
      <c r="BW1220" s="2">
        <v>1</v>
      </c>
      <c r="BX1220" s="2">
        <v>1</v>
      </c>
      <c r="BY1220" s="2" t="s">
        <v>3</v>
      </c>
      <c r="BZ1220" s="2">
        <v>110</v>
      </c>
      <c r="CA1220" s="2">
        <v>74</v>
      </c>
      <c r="CB1220" s="2" t="s">
        <v>3</v>
      </c>
      <c r="CC1220" s="2"/>
      <c r="CD1220" s="2"/>
      <c r="CE1220" s="2">
        <v>30</v>
      </c>
      <c r="CF1220" s="2">
        <v>0</v>
      </c>
      <c r="CG1220" s="2">
        <v>0</v>
      </c>
      <c r="CH1220" s="2"/>
      <c r="CI1220" s="2"/>
      <c r="CJ1220" s="2"/>
      <c r="CK1220" s="2"/>
      <c r="CL1220" s="2"/>
      <c r="CM1220" s="2">
        <v>0</v>
      </c>
      <c r="CN1220" s="2" t="s">
        <v>3</v>
      </c>
      <c r="CO1220" s="2">
        <v>0</v>
      </c>
      <c r="CP1220" s="2">
        <f t="shared" si="1026"/>
        <v>0</v>
      </c>
      <c r="CQ1220" s="2">
        <f t="shared" si="1027"/>
        <v>599.24</v>
      </c>
      <c r="CR1220" s="2">
        <f>(ROUND((ROUND(((ET1220)*AV1220*1),2)*BB1220),2)+ROUND((ROUND(((AE1220-(EU1220))*AV1220*1),2)*BS1220),2))</f>
        <v>0</v>
      </c>
      <c r="CS1220" s="2">
        <f t="shared" si="1028"/>
        <v>0</v>
      </c>
      <c r="CT1220" s="2">
        <f t="shared" si="1029"/>
        <v>0</v>
      </c>
      <c r="CU1220" s="2">
        <f t="shared" si="1030"/>
        <v>0</v>
      </c>
      <c r="CV1220" s="2">
        <f t="shared" si="1031"/>
        <v>0</v>
      </c>
      <c r="CW1220" s="2">
        <f t="shared" si="1032"/>
        <v>0</v>
      </c>
      <c r="CX1220" s="2">
        <f t="shared" si="1033"/>
        <v>0</v>
      </c>
      <c r="CY1220" s="2">
        <f>((S1220*BZ1220)/100)</f>
        <v>0</v>
      </c>
      <c r="CZ1220" s="2">
        <f>((S1220*CA1220)/100)</f>
        <v>0</v>
      </c>
      <c r="DA1220" s="2"/>
      <c r="DB1220" s="2"/>
      <c r="DC1220" s="2" t="s">
        <v>3</v>
      </c>
      <c r="DD1220" s="2" t="s">
        <v>3</v>
      </c>
      <c r="DE1220" s="2" t="s">
        <v>3</v>
      </c>
      <c r="DF1220" s="2" t="s">
        <v>3</v>
      </c>
      <c r="DG1220" s="2" t="s">
        <v>3</v>
      </c>
      <c r="DH1220" s="2" t="s">
        <v>3</v>
      </c>
      <c r="DI1220" s="2" t="s">
        <v>3</v>
      </c>
      <c r="DJ1220" s="2" t="s">
        <v>3</v>
      </c>
      <c r="DK1220" s="2" t="s">
        <v>3</v>
      </c>
      <c r="DL1220" s="2" t="s">
        <v>3</v>
      </c>
      <c r="DM1220" s="2" t="s">
        <v>3</v>
      </c>
      <c r="DN1220" s="2">
        <v>0</v>
      </c>
      <c r="DO1220" s="2">
        <v>0</v>
      </c>
      <c r="DP1220" s="2">
        <v>1</v>
      </c>
      <c r="DQ1220" s="2">
        <v>1</v>
      </c>
      <c r="DR1220" s="2"/>
      <c r="DS1220" s="2"/>
      <c r="DT1220" s="2"/>
      <c r="DU1220" s="2">
        <v>1010</v>
      </c>
      <c r="DV1220" s="2" t="s">
        <v>250</v>
      </c>
      <c r="DW1220" s="2" t="s">
        <v>250</v>
      </c>
      <c r="DX1220" s="2">
        <v>1</v>
      </c>
      <c r="DY1220" s="2"/>
      <c r="DZ1220" s="2" t="s">
        <v>3</v>
      </c>
      <c r="EA1220" s="2" t="s">
        <v>3</v>
      </c>
      <c r="EB1220" s="2" t="s">
        <v>3</v>
      </c>
      <c r="EC1220" s="2" t="s">
        <v>3</v>
      </c>
      <c r="ED1220" s="2"/>
      <c r="EE1220" s="2">
        <v>126051597</v>
      </c>
      <c r="EF1220" s="2">
        <v>30</v>
      </c>
      <c r="EG1220" s="2" t="s">
        <v>23</v>
      </c>
      <c r="EH1220" s="2">
        <v>0</v>
      </c>
      <c r="EI1220" s="2" t="s">
        <v>3</v>
      </c>
      <c r="EJ1220" s="2">
        <v>1</v>
      </c>
      <c r="EK1220" s="2">
        <v>136</v>
      </c>
      <c r="EL1220" s="2" t="s">
        <v>955</v>
      </c>
      <c r="EM1220" s="2" t="s">
        <v>956</v>
      </c>
      <c r="EN1220" s="2"/>
      <c r="EO1220" s="2" t="s">
        <v>3</v>
      </c>
      <c r="EP1220" s="2"/>
      <c r="EQ1220" s="2">
        <v>0</v>
      </c>
      <c r="ER1220" s="2">
        <v>599.24</v>
      </c>
      <c r="ES1220" s="2">
        <v>599.24</v>
      </c>
      <c r="ET1220" s="2">
        <v>0</v>
      </c>
      <c r="EU1220" s="2">
        <v>0</v>
      </c>
      <c r="EV1220" s="2">
        <v>0</v>
      </c>
      <c r="EW1220" s="2">
        <v>0</v>
      </c>
      <c r="EX1220" s="2">
        <v>0</v>
      </c>
      <c r="EY1220" s="2"/>
      <c r="EZ1220" s="2"/>
      <c r="FA1220" s="2"/>
      <c r="FB1220" s="2"/>
      <c r="FC1220" s="2"/>
      <c r="FD1220" s="2"/>
      <c r="FE1220" s="2"/>
      <c r="FF1220" s="2"/>
      <c r="FG1220" s="2"/>
      <c r="FH1220" s="2"/>
      <c r="FI1220" s="2"/>
      <c r="FJ1220" s="2"/>
      <c r="FK1220" s="2"/>
      <c r="FL1220" s="2"/>
      <c r="FM1220" s="2"/>
      <c r="FN1220" s="2"/>
      <c r="FO1220" s="2"/>
      <c r="FP1220" s="2"/>
      <c r="FQ1220" s="2">
        <v>0</v>
      </c>
      <c r="FR1220" s="2">
        <f t="shared" si="1034"/>
        <v>0</v>
      </c>
      <c r="FS1220" s="2">
        <v>0</v>
      </c>
      <c r="FT1220" s="2"/>
      <c r="FU1220" s="2"/>
      <c r="FV1220" s="2"/>
      <c r="FW1220" s="2"/>
      <c r="FX1220" s="2">
        <v>110</v>
      </c>
      <c r="FY1220" s="2">
        <v>74</v>
      </c>
      <c r="FZ1220" s="2"/>
      <c r="GA1220" s="2" t="s">
        <v>3</v>
      </c>
      <c r="GB1220" s="2"/>
      <c r="GC1220" s="2"/>
      <c r="GD1220" s="2">
        <v>0</v>
      </c>
      <c r="GE1220" s="2"/>
      <c r="GF1220" s="2">
        <v>-1220905460</v>
      </c>
      <c r="GG1220" s="2">
        <v>2</v>
      </c>
      <c r="GH1220" s="2">
        <v>1</v>
      </c>
      <c r="GI1220" s="2">
        <v>-2</v>
      </c>
      <c r="GJ1220" s="2">
        <v>0</v>
      </c>
      <c r="GK1220" s="2">
        <f>ROUND(R1220*(R12)/100,2)</f>
        <v>0</v>
      </c>
      <c r="GL1220" s="2">
        <f t="shared" si="1035"/>
        <v>0</v>
      </c>
      <c r="GM1220" s="2">
        <f t="shared" si="1036"/>
        <v>0</v>
      </c>
      <c r="GN1220" s="2">
        <f t="shared" si="1037"/>
        <v>0</v>
      </c>
      <c r="GO1220" s="2">
        <f t="shared" si="1038"/>
        <v>0</v>
      </c>
      <c r="GP1220" s="2">
        <f t="shared" si="1039"/>
        <v>0</v>
      </c>
      <c r="GQ1220" s="2"/>
      <c r="GR1220" s="2">
        <v>0</v>
      </c>
      <c r="GS1220" s="2">
        <v>0</v>
      </c>
      <c r="GT1220" s="2">
        <v>0</v>
      </c>
      <c r="GU1220" s="2" t="s">
        <v>3</v>
      </c>
      <c r="GV1220" s="2">
        <f t="shared" si="1040"/>
        <v>0</v>
      </c>
      <c r="GW1220" s="2">
        <v>1</v>
      </c>
      <c r="GX1220" s="2">
        <f t="shared" si="1041"/>
        <v>0</v>
      </c>
      <c r="GY1220" s="2"/>
      <c r="GZ1220" s="2"/>
      <c r="HA1220" s="2">
        <v>0</v>
      </c>
      <c r="HB1220" s="2">
        <v>0</v>
      </c>
      <c r="HC1220" s="2">
        <f t="shared" si="1042"/>
        <v>0</v>
      </c>
      <c r="HD1220" s="2"/>
      <c r="HE1220" s="2" t="s">
        <v>3</v>
      </c>
      <c r="HF1220" s="2" t="s">
        <v>3</v>
      </c>
      <c r="HG1220" s="2"/>
      <c r="HH1220" s="2"/>
      <c r="HI1220" s="2"/>
      <c r="HJ1220" s="2"/>
      <c r="HK1220" s="2"/>
      <c r="HL1220" s="2"/>
      <c r="HM1220" s="2" t="s">
        <v>3</v>
      </c>
      <c r="HN1220" s="2" t="s">
        <v>3</v>
      </c>
      <c r="HO1220" s="2" t="s">
        <v>3</v>
      </c>
      <c r="HP1220" s="2" t="s">
        <v>3</v>
      </c>
      <c r="HQ1220" s="2" t="s">
        <v>3</v>
      </c>
      <c r="HR1220" s="2"/>
      <c r="HS1220" s="2"/>
      <c r="HT1220" s="2"/>
      <c r="HU1220" s="2"/>
      <c r="HV1220" s="2"/>
      <c r="HW1220" s="2"/>
      <c r="HX1220" s="2"/>
      <c r="HY1220" s="2"/>
      <c r="HZ1220" s="2"/>
      <c r="IA1220" s="2"/>
      <c r="IB1220" s="2"/>
      <c r="IC1220" s="2"/>
      <c r="ID1220" s="2"/>
      <c r="IE1220" s="2"/>
      <c r="IF1220" s="2"/>
      <c r="IG1220" s="2"/>
      <c r="IH1220" s="2"/>
      <c r="II1220" s="2"/>
      <c r="IJ1220" s="2"/>
      <c r="IK1220" s="2">
        <v>0</v>
      </c>
      <c r="IL1220" s="2"/>
      <c r="IM1220" s="2"/>
      <c r="IN1220" s="2"/>
      <c r="IO1220" s="2"/>
      <c r="IP1220" s="2"/>
      <c r="IQ1220" s="2"/>
      <c r="IR1220" s="2"/>
      <c r="IS1220" s="2"/>
      <c r="IT1220" s="2"/>
      <c r="IU1220" s="2"/>
    </row>
    <row r="1221" spans="1:255" x14ac:dyDescent="0.2">
      <c r="A1221">
        <v>18</v>
      </c>
      <c r="B1221">
        <v>1</v>
      </c>
      <c r="C1221">
        <v>1066</v>
      </c>
      <c r="E1221" t="s">
        <v>272</v>
      </c>
      <c r="F1221" t="s">
        <v>1001</v>
      </c>
      <c r="G1221" t="s">
        <v>1002</v>
      </c>
      <c r="H1221" t="s">
        <v>250</v>
      </c>
      <c r="I1221">
        <f>I1217*J1221</f>
        <v>0</v>
      </c>
      <c r="J1221">
        <v>0</v>
      </c>
      <c r="K1221">
        <v>0</v>
      </c>
      <c r="O1221">
        <f t="shared" si="1012"/>
        <v>0</v>
      </c>
      <c r="P1221">
        <f t="shared" si="1013"/>
        <v>0</v>
      </c>
      <c r="Q1221">
        <f>(ROUND((ROUND(((ET1221)*AV1221*I1221),2)*BB1221),2)+ROUND((ROUND(((AE1221-(EU1221))*AV1221*I1221),2)*BS1221),2))</f>
        <v>0</v>
      </c>
      <c r="R1221">
        <f t="shared" si="1014"/>
        <v>0</v>
      </c>
      <c r="S1221">
        <f t="shared" si="1015"/>
        <v>0</v>
      </c>
      <c r="T1221">
        <f t="shared" si="1016"/>
        <v>0</v>
      </c>
      <c r="U1221">
        <f t="shared" si="1017"/>
        <v>0</v>
      </c>
      <c r="V1221">
        <f t="shared" si="1018"/>
        <v>0</v>
      </c>
      <c r="W1221">
        <f t="shared" si="1019"/>
        <v>0</v>
      </c>
      <c r="X1221">
        <f t="shared" si="1020"/>
        <v>0</v>
      </c>
      <c r="Y1221">
        <f t="shared" si="1021"/>
        <v>0</v>
      </c>
      <c r="AA1221">
        <v>129761633</v>
      </c>
      <c r="AB1221">
        <f t="shared" si="1022"/>
        <v>599.24</v>
      </c>
      <c r="AC1221">
        <f t="shared" si="1023"/>
        <v>599.24</v>
      </c>
      <c r="AD1221">
        <f>ROUND((((ET1221)-(EU1221))+AE1221),6)</f>
        <v>0</v>
      </c>
      <c r="AE1221">
        <f t="shared" si="1057"/>
        <v>0</v>
      </c>
      <c r="AF1221">
        <f t="shared" si="1057"/>
        <v>0</v>
      </c>
      <c r="AG1221">
        <f t="shared" si="1024"/>
        <v>0</v>
      </c>
      <c r="AH1221">
        <f t="shared" si="1058"/>
        <v>0</v>
      </c>
      <c r="AI1221">
        <f t="shared" si="1058"/>
        <v>0</v>
      </c>
      <c r="AJ1221">
        <f t="shared" si="1025"/>
        <v>0</v>
      </c>
      <c r="AK1221">
        <v>599.24</v>
      </c>
      <c r="AL1221">
        <v>599.24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1</v>
      </c>
      <c r="AW1221">
        <v>1</v>
      </c>
      <c r="AZ1221">
        <v>1</v>
      </c>
      <c r="BA1221">
        <v>1</v>
      </c>
      <c r="BB1221">
        <v>1</v>
      </c>
      <c r="BC1221">
        <v>4.95</v>
      </c>
      <c r="BD1221" t="s">
        <v>3</v>
      </c>
      <c r="BE1221" t="s">
        <v>3</v>
      </c>
      <c r="BF1221" t="s">
        <v>3</v>
      </c>
      <c r="BG1221" t="s">
        <v>3</v>
      </c>
      <c r="BH1221">
        <v>3</v>
      </c>
      <c r="BI1221">
        <v>1</v>
      </c>
      <c r="BJ1221" t="s">
        <v>1003</v>
      </c>
      <c r="BM1221">
        <v>136</v>
      </c>
      <c r="BN1221">
        <v>0</v>
      </c>
      <c r="BO1221" t="s">
        <v>1001</v>
      </c>
      <c r="BP1221">
        <v>1</v>
      </c>
      <c r="BQ1221">
        <v>30</v>
      </c>
      <c r="BR1221">
        <v>0</v>
      </c>
      <c r="BS1221">
        <v>1</v>
      </c>
      <c r="BT1221">
        <v>1</v>
      </c>
      <c r="BU1221">
        <v>1</v>
      </c>
      <c r="BV1221">
        <v>1</v>
      </c>
      <c r="BW1221">
        <v>1</v>
      </c>
      <c r="BX1221">
        <v>1</v>
      </c>
      <c r="BY1221" t="s">
        <v>3</v>
      </c>
      <c r="BZ1221">
        <v>0</v>
      </c>
      <c r="CA1221">
        <v>0</v>
      </c>
      <c r="CB1221" t="s">
        <v>3</v>
      </c>
      <c r="CE1221">
        <v>30</v>
      </c>
      <c r="CF1221">
        <v>0</v>
      </c>
      <c r="CG1221">
        <v>0</v>
      </c>
      <c r="CM1221">
        <v>0</v>
      </c>
      <c r="CN1221" t="s">
        <v>3</v>
      </c>
      <c r="CO1221">
        <v>0</v>
      </c>
      <c r="CP1221">
        <f t="shared" si="1026"/>
        <v>0</v>
      </c>
      <c r="CQ1221">
        <f t="shared" si="1027"/>
        <v>2966.24</v>
      </c>
      <c r="CR1221">
        <f>(ROUND((ROUND(((ET1221)*AV1221*1),2)*BB1221),2)+ROUND((ROUND(((AE1221-(EU1221))*AV1221*1),2)*BS1221),2))</f>
        <v>0</v>
      </c>
      <c r="CS1221">
        <f t="shared" si="1028"/>
        <v>0</v>
      </c>
      <c r="CT1221">
        <f t="shared" si="1029"/>
        <v>0</v>
      </c>
      <c r="CU1221">
        <f t="shared" si="1030"/>
        <v>0</v>
      </c>
      <c r="CV1221">
        <f t="shared" si="1031"/>
        <v>0</v>
      </c>
      <c r="CW1221">
        <f t="shared" si="1032"/>
        <v>0</v>
      </c>
      <c r="CX1221">
        <f t="shared" si="1033"/>
        <v>0</v>
      </c>
      <c r="CY1221">
        <f>S1221*(BZ1221/100)</f>
        <v>0</v>
      </c>
      <c r="CZ1221">
        <f>S1221*(CA1221/100)</f>
        <v>0</v>
      </c>
      <c r="DC1221" t="s">
        <v>3</v>
      </c>
      <c r="DD1221" t="s">
        <v>3</v>
      </c>
      <c r="DE1221" t="s">
        <v>3</v>
      </c>
      <c r="DF1221" t="s">
        <v>3</v>
      </c>
      <c r="DG1221" t="s">
        <v>3</v>
      </c>
      <c r="DH1221" t="s">
        <v>3</v>
      </c>
      <c r="DI1221" t="s">
        <v>3</v>
      </c>
      <c r="DJ1221" t="s">
        <v>3</v>
      </c>
      <c r="DK1221" t="s">
        <v>3</v>
      </c>
      <c r="DL1221" t="s">
        <v>3</v>
      </c>
      <c r="DM1221" t="s">
        <v>3</v>
      </c>
      <c r="DN1221">
        <v>110</v>
      </c>
      <c r="DO1221">
        <v>74</v>
      </c>
      <c r="DP1221">
        <v>1</v>
      </c>
      <c r="DQ1221">
        <v>1</v>
      </c>
      <c r="DU1221">
        <v>1010</v>
      </c>
      <c r="DV1221" t="s">
        <v>250</v>
      </c>
      <c r="DW1221" t="s">
        <v>250</v>
      </c>
      <c r="DX1221">
        <v>1</v>
      </c>
      <c r="DZ1221" t="s">
        <v>3</v>
      </c>
      <c r="EA1221" t="s">
        <v>3</v>
      </c>
      <c r="EB1221" t="s">
        <v>3</v>
      </c>
      <c r="EC1221" t="s">
        <v>3</v>
      </c>
      <c r="EE1221">
        <v>126051597</v>
      </c>
      <c r="EF1221">
        <v>30</v>
      </c>
      <c r="EG1221" t="s">
        <v>23</v>
      </c>
      <c r="EH1221">
        <v>0</v>
      </c>
      <c r="EI1221" t="s">
        <v>3</v>
      </c>
      <c r="EJ1221">
        <v>1</v>
      </c>
      <c r="EK1221">
        <v>136</v>
      </c>
      <c r="EL1221" t="s">
        <v>955</v>
      </c>
      <c r="EM1221" t="s">
        <v>956</v>
      </c>
      <c r="EO1221" t="s">
        <v>3</v>
      </c>
      <c r="EQ1221">
        <v>0</v>
      </c>
      <c r="ER1221">
        <v>599.24</v>
      </c>
      <c r="ES1221">
        <v>599.24</v>
      </c>
      <c r="ET1221">
        <v>0</v>
      </c>
      <c r="EU1221">
        <v>0</v>
      </c>
      <c r="EV1221">
        <v>0</v>
      </c>
      <c r="EW1221">
        <v>0</v>
      </c>
      <c r="EX1221">
        <v>0</v>
      </c>
      <c r="FQ1221">
        <v>0</v>
      </c>
      <c r="FR1221">
        <f t="shared" si="1034"/>
        <v>0</v>
      </c>
      <c r="FS1221">
        <v>0</v>
      </c>
      <c r="FX1221">
        <v>110</v>
      </c>
      <c r="FY1221">
        <v>74</v>
      </c>
      <c r="GA1221" t="s">
        <v>3</v>
      </c>
      <c r="GD1221">
        <v>0</v>
      </c>
      <c r="GF1221">
        <v>-1220905460</v>
      </c>
      <c r="GG1221">
        <v>2</v>
      </c>
      <c r="GH1221">
        <v>1</v>
      </c>
      <c r="GI1221">
        <v>2</v>
      </c>
      <c r="GJ1221">
        <v>0</v>
      </c>
      <c r="GK1221">
        <f>ROUND(R1221*(S12)/100,2)</f>
        <v>0</v>
      </c>
      <c r="GL1221">
        <f t="shared" si="1035"/>
        <v>0</v>
      </c>
      <c r="GM1221">
        <f t="shared" si="1036"/>
        <v>0</v>
      </c>
      <c r="GN1221">
        <f t="shared" si="1037"/>
        <v>0</v>
      </c>
      <c r="GO1221">
        <f t="shared" si="1038"/>
        <v>0</v>
      </c>
      <c r="GP1221">
        <f t="shared" si="1039"/>
        <v>0</v>
      </c>
      <c r="GR1221">
        <v>0</v>
      </c>
      <c r="GS1221">
        <v>3</v>
      </c>
      <c r="GT1221">
        <v>0</v>
      </c>
      <c r="GU1221" t="s">
        <v>3</v>
      </c>
      <c r="GV1221">
        <f t="shared" si="1040"/>
        <v>0</v>
      </c>
      <c r="GW1221">
        <v>1</v>
      </c>
      <c r="GX1221">
        <f t="shared" si="1041"/>
        <v>0</v>
      </c>
      <c r="HA1221">
        <v>0</v>
      </c>
      <c r="HB1221">
        <v>0</v>
      </c>
      <c r="HC1221">
        <f t="shared" si="1042"/>
        <v>0</v>
      </c>
      <c r="HE1221" t="s">
        <v>3</v>
      </c>
      <c r="HF1221" t="s">
        <v>3</v>
      </c>
      <c r="HM1221" t="s">
        <v>3</v>
      </c>
      <c r="HN1221" t="s">
        <v>3</v>
      </c>
      <c r="HO1221" t="s">
        <v>3</v>
      </c>
      <c r="HP1221" t="s">
        <v>3</v>
      </c>
      <c r="HQ1221" t="s">
        <v>3</v>
      </c>
      <c r="IK1221">
        <v>0</v>
      </c>
    </row>
    <row r="1223" spans="1:255" x14ac:dyDescent="0.2">
      <c r="A1223" s="3">
        <v>51</v>
      </c>
      <c r="B1223" s="3">
        <f>B1186</f>
        <v>1</v>
      </c>
      <c r="C1223" s="3">
        <f>A1186</f>
        <v>4</v>
      </c>
      <c r="D1223" s="3">
        <f>ROW(A1186)</f>
        <v>1186</v>
      </c>
      <c r="E1223" s="3"/>
      <c r="F1223" s="3" t="str">
        <f>IF(F1186&lt;&gt;"",F1186,"")</f>
        <v>Новый раздел</v>
      </c>
      <c r="G1223" s="3" t="str">
        <f>IF(G1186&lt;&gt;"",G1186,"")</f>
        <v>Приборы и оборудование</v>
      </c>
      <c r="H1223" s="3">
        <v>0</v>
      </c>
      <c r="I1223" s="3"/>
      <c r="J1223" s="3"/>
      <c r="K1223" s="3"/>
      <c r="L1223" s="3"/>
      <c r="M1223" s="3"/>
      <c r="N1223" s="3"/>
      <c r="O1223" s="3">
        <f t="shared" ref="O1223:T1223" si="1059">ROUND(AB1223,2)</f>
        <v>1067.33</v>
      </c>
      <c r="P1223" s="3">
        <f t="shared" si="1059"/>
        <v>940.6</v>
      </c>
      <c r="Q1223" s="3">
        <f t="shared" si="1059"/>
        <v>14.39</v>
      </c>
      <c r="R1223" s="3">
        <f t="shared" si="1059"/>
        <v>2.91</v>
      </c>
      <c r="S1223" s="3">
        <f t="shared" si="1059"/>
        <v>112.34</v>
      </c>
      <c r="T1223" s="3">
        <f t="shared" si="1059"/>
        <v>0</v>
      </c>
      <c r="U1223" s="3">
        <f>AH1223</f>
        <v>8.9814999999999987</v>
      </c>
      <c r="V1223" s="3">
        <f>AI1223</f>
        <v>0</v>
      </c>
      <c r="W1223" s="3">
        <f>ROUND(AJ1223,2)</f>
        <v>0</v>
      </c>
      <c r="X1223" s="3">
        <f>ROUND(AK1223,2)</f>
        <v>123.58</v>
      </c>
      <c r="Y1223" s="3">
        <f>ROUND(AL1223,2)</f>
        <v>83.13</v>
      </c>
      <c r="Z1223" s="3"/>
      <c r="AA1223" s="3"/>
      <c r="AB1223" s="3">
        <f>ROUND(SUMIF(AA1190:AA1221,"=129761636",O1190:O1221),2)</f>
        <v>1067.33</v>
      </c>
      <c r="AC1223" s="3">
        <f>ROUND(SUMIF(AA1190:AA1221,"=129761636",P1190:P1221),2)</f>
        <v>940.6</v>
      </c>
      <c r="AD1223" s="3">
        <f>ROUND(SUMIF(AA1190:AA1221,"=129761636",Q1190:Q1221),2)</f>
        <v>14.39</v>
      </c>
      <c r="AE1223" s="3">
        <f>ROUND(SUMIF(AA1190:AA1221,"=129761636",R1190:R1221),2)</f>
        <v>2.91</v>
      </c>
      <c r="AF1223" s="3">
        <f>ROUND(SUMIF(AA1190:AA1221,"=129761636",S1190:S1221),2)</f>
        <v>112.34</v>
      </c>
      <c r="AG1223" s="3">
        <f>ROUND(SUMIF(AA1190:AA1221,"=129761636",T1190:T1221),2)</f>
        <v>0</v>
      </c>
      <c r="AH1223" s="3">
        <f>SUMIF(AA1190:AA1221,"=129761636",U1190:U1221)</f>
        <v>8.9814999999999987</v>
      </c>
      <c r="AI1223" s="3">
        <f>SUMIF(AA1190:AA1221,"=129761636",V1190:V1221)</f>
        <v>0</v>
      </c>
      <c r="AJ1223" s="3">
        <f>ROUND(SUMIF(AA1190:AA1221,"=129761636",W1190:W1221),2)</f>
        <v>0</v>
      </c>
      <c r="AK1223" s="3">
        <f>ROUND(SUMIF(AA1190:AA1221,"=129761636",X1190:X1221),2)</f>
        <v>123.58</v>
      </c>
      <c r="AL1223" s="3">
        <f>ROUND(SUMIF(AA1190:AA1221,"=129761636",Y1190:Y1221),2)</f>
        <v>83.13</v>
      </c>
      <c r="AM1223" s="3"/>
      <c r="AN1223" s="3"/>
      <c r="AO1223" s="3">
        <f t="shared" ref="AO1223:BD1223" si="1060">ROUND(BX1223,2)</f>
        <v>0</v>
      </c>
      <c r="AP1223" s="3">
        <f t="shared" si="1060"/>
        <v>0</v>
      </c>
      <c r="AQ1223" s="3">
        <f t="shared" si="1060"/>
        <v>0</v>
      </c>
      <c r="AR1223" s="3">
        <f t="shared" si="1060"/>
        <v>1279.1400000000001</v>
      </c>
      <c r="AS1223" s="3">
        <f t="shared" si="1060"/>
        <v>1279.1400000000001</v>
      </c>
      <c r="AT1223" s="3">
        <f t="shared" si="1060"/>
        <v>0</v>
      </c>
      <c r="AU1223" s="3">
        <f t="shared" si="1060"/>
        <v>0</v>
      </c>
      <c r="AV1223" s="3">
        <f t="shared" si="1060"/>
        <v>940.6</v>
      </c>
      <c r="AW1223" s="3">
        <f t="shared" si="1060"/>
        <v>940.6</v>
      </c>
      <c r="AX1223" s="3">
        <f t="shared" si="1060"/>
        <v>0</v>
      </c>
      <c r="AY1223" s="3">
        <f t="shared" si="1060"/>
        <v>940.6</v>
      </c>
      <c r="AZ1223" s="3">
        <f t="shared" si="1060"/>
        <v>0</v>
      </c>
      <c r="BA1223" s="3">
        <f t="shared" si="1060"/>
        <v>0</v>
      </c>
      <c r="BB1223" s="3">
        <f t="shared" si="1060"/>
        <v>0</v>
      </c>
      <c r="BC1223" s="3">
        <f t="shared" si="1060"/>
        <v>0</v>
      </c>
      <c r="BD1223" s="3">
        <f t="shared" si="1060"/>
        <v>0</v>
      </c>
      <c r="BE1223" s="3"/>
      <c r="BF1223" s="3"/>
      <c r="BG1223" s="3"/>
      <c r="BH1223" s="3"/>
      <c r="BI1223" s="3"/>
      <c r="BJ1223" s="3"/>
      <c r="BK1223" s="3"/>
      <c r="BL1223" s="3"/>
      <c r="BM1223" s="3"/>
      <c r="BN1223" s="3"/>
      <c r="BO1223" s="3"/>
      <c r="BP1223" s="3"/>
      <c r="BQ1223" s="3"/>
      <c r="BR1223" s="3"/>
      <c r="BS1223" s="3"/>
      <c r="BT1223" s="3"/>
      <c r="BU1223" s="3"/>
      <c r="BV1223" s="3"/>
      <c r="BW1223" s="3"/>
      <c r="BX1223" s="3">
        <f>ROUND(SUMIF(AA1190:AA1221,"=129761636",FQ1190:FQ1221),2)</f>
        <v>0</v>
      </c>
      <c r="BY1223" s="3">
        <f>ROUND(SUMIF(AA1190:AA1221,"=129761636",FR1190:FR1221),2)</f>
        <v>0</v>
      </c>
      <c r="BZ1223" s="3">
        <f>ROUND(SUMIF(AA1190:AA1221,"=129761636",GL1190:GL1221),2)</f>
        <v>0</v>
      </c>
      <c r="CA1223" s="3">
        <f>ROUND(SUMIF(AA1190:AA1221,"=129761636",GM1190:GM1221),2)</f>
        <v>1279.1400000000001</v>
      </c>
      <c r="CB1223" s="3">
        <f>ROUND(SUMIF(AA1190:AA1221,"=129761636",GN1190:GN1221),2)</f>
        <v>1279.1400000000001</v>
      </c>
      <c r="CC1223" s="3">
        <f>ROUND(SUMIF(AA1190:AA1221,"=129761636",GO1190:GO1221),2)</f>
        <v>0</v>
      </c>
      <c r="CD1223" s="3">
        <f>ROUND(SUMIF(AA1190:AA1221,"=129761636",GP1190:GP1221),2)</f>
        <v>0</v>
      </c>
      <c r="CE1223" s="3">
        <f>AC1223-BX1223</f>
        <v>940.6</v>
      </c>
      <c r="CF1223" s="3">
        <f>AC1223-BY1223</f>
        <v>940.6</v>
      </c>
      <c r="CG1223" s="3">
        <f>BX1223-BZ1223</f>
        <v>0</v>
      </c>
      <c r="CH1223" s="3">
        <f>AC1223-BX1223-BY1223+BZ1223</f>
        <v>940.6</v>
      </c>
      <c r="CI1223" s="3">
        <f>BY1223-BZ1223</f>
        <v>0</v>
      </c>
      <c r="CJ1223" s="3">
        <f>ROUND(SUMIF(AA1190:AA1221,"=129761636",GX1190:GX1221),2)</f>
        <v>0</v>
      </c>
      <c r="CK1223" s="3">
        <f>ROUND(SUMIF(AA1190:AA1221,"=129761636",GY1190:GY1221),2)</f>
        <v>0</v>
      </c>
      <c r="CL1223" s="3">
        <f>ROUND(SUMIF(AA1190:AA1221,"=129761636",GZ1190:GZ1221),2)</f>
        <v>0</v>
      </c>
      <c r="CM1223" s="3">
        <f>ROUND(SUMIF(AA1190:AA1221,"=129761636",HD1190:HD1221),2)</f>
        <v>0</v>
      </c>
      <c r="CN1223" s="3"/>
      <c r="CO1223" s="3"/>
      <c r="CP1223" s="3"/>
      <c r="CQ1223" s="3"/>
      <c r="CR1223" s="3"/>
      <c r="CS1223" s="3"/>
      <c r="CT1223" s="3"/>
      <c r="CU1223" s="3"/>
      <c r="CV1223" s="3"/>
      <c r="CW1223" s="3"/>
      <c r="CX1223" s="3"/>
      <c r="CY1223" s="3"/>
      <c r="CZ1223" s="3"/>
      <c r="DA1223" s="3"/>
      <c r="DB1223" s="3"/>
      <c r="DC1223" s="3"/>
      <c r="DD1223" s="3"/>
      <c r="DE1223" s="3"/>
      <c r="DF1223" s="3"/>
      <c r="DG1223" s="4">
        <f t="shared" ref="DG1223:DL1223" si="1061">ROUND(DT1223,2)</f>
        <v>93740.47</v>
      </c>
      <c r="DH1223" s="4">
        <f t="shared" si="1061"/>
        <v>90305.88</v>
      </c>
      <c r="DI1223" s="4">
        <f t="shared" si="1061"/>
        <v>173.35</v>
      </c>
      <c r="DJ1223" s="4">
        <f t="shared" si="1061"/>
        <v>84.47</v>
      </c>
      <c r="DK1223" s="4">
        <f t="shared" si="1061"/>
        <v>3261.24</v>
      </c>
      <c r="DL1223" s="4">
        <f t="shared" si="1061"/>
        <v>0</v>
      </c>
      <c r="DM1223" s="4">
        <f>DZ1223</f>
        <v>8.9814999999999987</v>
      </c>
      <c r="DN1223" s="4">
        <f>EA1223</f>
        <v>0</v>
      </c>
      <c r="DO1223" s="4">
        <f>ROUND(EB1223,2)</f>
        <v>0</v>
      </c>
      <c r="DP1223" s="4">
        <f>ROUND(EC1223,2)</f>
        <v>2935.11</v>
      </c>
      <c r="DQ1223" s="4">
        <f>ROUND(ED1223,2)</f>
        <v>1337.11</v>
      </c>
      <c r="DR1223" s="4"/>
      <c r="DS1223" s="4"/>
      <c r="DT1223" s="4">
        <f>ROUND(SUMIF(AA1190:AA1221,"=129761633",O1190:O1221),2)</f>
        <v>93740.47</v>
      </c>
      <c r="DU1223" s="4">
        <f>ROUND(SUMIF(AA1190:AA1221,"=129761633",P1190:P1221),2)</f>
        <v>90305.88</v>
      </c>
      <c r="DV1223" s="4">
        <f>ROUND(SUMIF(AA1190:AA1221,"=129761633",Q1190:Q1221),2)</f>
        <v>173.35</v>
      </c>
      <c r="DW1223" s="4">
        <f>ROUND(SUMIF(AA1190:AA1221,"=129761633",R1190:R1221),2)</f>
        <v>84.47</v>
      </c>
      <c r="DX1223" s="4">
        <f>ROUND(SUMIF(AA1190:AA1221,"=129761633",S1190:S1221),2)</f>
        <v>3261.24</v>
      </c>
      <c r="DY1223" s="4">
        <f>ROUND(SUMIF(AA1190:AA1221,"=129761633",T1190:T1221),2)</f>
        <v>0</v>
      </c>
      <c r="DZ1223" s="4">
        <f>SUMIF(AA1190:AA1221,"=129761633",U1190:U1221)</f>
        <v>8.9814999999999987</v>
      </c>
      <c r="EA1223" s="4">
        <f>SUMIF(AA1190:AA1221,"=129761633",V1190:V1221)</f>
        <v>0</v>
      </c>
      <c r="EB1223" s="4">
        <f>ROUND(SUMIF(AA1190:AA1221,"=129761633",W1190:W1221),2)</f>
        <v>0</v>
      </c>
      <c r="EC1223" s="4">
        <f>ROUND(SUMIF(AA1190:AA1221,"=129761633",X1190:X1221),2)</f>
        <v>2935.11</v>
      </c>
      <c r="ED1223" s="4">
        <f>ROUND(SUMIF(AA1190:AA1221,"=129761633",Y1190:Y1221),2)</f>
        <v>1337.11</v>
      </c>
      <c r="EE1223" s="4"/>
      <c r="EF1223" s="4"/>
      <c r="EG1223" s="4">
        <f t="shared" ref="EG1223:EV1223" si="1062">ROUND(FP1223,2)</f>
        <v>0</v>
      </c>
      <c r="EH1223" s="4">
        <f t="shared" si="1062"/>
        <v>0</v>
      </c>
      <c r="EI1223" s="4">
        <f t="shared" si="1062"/>
        <v>0</v>
      </c>
      <c r="EJ1223" s="4">
        <f t="shared" si="1062"/>
        <v>98147.839999999997</v>
      </c>
      <c r="EK1223" s="4">
        <f t="shared" si="1062"/>
        <v>98147.839999999997</v>
      </c>
      <c r="EL1223" s="4">
        <f t="shared" si="1062"/>
        <v>0</v>
      </c>
      <c r="EM1223" s="4">
        <f t="shared" si="1062"/>
        <v>0</v>
      </c>
      <c r="EN1223" s="4">
        <f t="shared" si="1062"/>
        <v>90305.88</v>
      </c>
      <c r="EO1223" s="4">
        <f t="shared" si="1062"/>
        <v>90305.88</v>
      </c>
      <c r="EP1223" s="4">
        <f t="shared" si="1062"/>
        <v>0</v>
      </c>
      <c r="EQ1223" s="4">
        <f t="shared" si="1062"/>
        <v>90305.88</v>
      </c>
      <c r="ER1223" s="4">
        <f t="shared" si="1062"/>
        <v>0</v>
      </c>
      <c r="ES1223" s="4">
        <f t="shared" si="1062"/>
        <v>0</v>
      </c>
      <c r="ET1223" s="4">
        <f t="shared" si="1062"/>
        <v>0</v>
      </c>
      <c r="EU1223" s="4">
        <f t="shared" si="1062"/>
        <v>0</v>
      </c>
      <c r="EV1223" s="4">
        <f t="shared" si="1062"/>
        <v>0</v>
      </c>
      <c r="EW1223" s="4"/>
      <c r="EX1223" s="4"/>
      <c r="EY1223" s="4"/>
      <c r="EZ1223" s="4"/>
      <c r="FA1223" s="4"/>
      <c r="FB1223" s="4"/>
      <c r="FC1223" s="4"/>
      <c r="FD1223" s="4"/>
      <c r="FE1223" s="4"/>
      <c r="FF1223" s="4"/>
      <c r="FG1223" s="4"/>
      <c r="FH1223" s="4"/>
      <c r="FI1223" s="4"/>
      <c r="FJ1223" s="4"/>
      <c r="FK1223" s="4"/>
      <c r="FL1223" s="4"/>
      <c r="FM1223" s="4"/>
      <c r="FN1223" s="4"/>
      <c r="FO1223" s="4"/>
      <c r="FP1223" s="4">
        <f>ROUND(SUMIF(AA1190:AA1221,"=129761633",FQ1190:FQ1221),2)</f>
        <v>0</v>
      </c>
      <c r="FQ1223" s="4">
        <f>ROUND(SUMIF(AA1190:AA1221,"=129761633",FR1190:FR1221),2)</f>
        <v>0</v>
      </c>
      <c r="FR1223" s="4">
        <f>ROUND(SUMIF(AA1190:AA1221,"=129761633",GL1190:GL1221),2)</f>
        <v>0</v>
      </c>
      <c r="FS1223" s="4">
        <f>ROUND(SUMIF(AA1190:AA1221,"=129761633",GM1190:GM1221),2)</f>
        <v>98147.839999999997</v>
      </c>
      <c r="FT1223" s="4">
        <f>ROUND(SUMIF(AA1190:AA1221,"=129761633",GN1190:GN1221),2)</f>
        <v>98147.839999999997</v>
      </c>
      <c r="FU1223" s="4">
        <f>ROUND(SUMIF(AA1190:AA1221,"=129761633",GO1190:GO1221),2)</f>
        <v>0</v>
      </c>
      <c r="FV1223" s="4">
        <f>ROUND(SUMIF(AA1190:AA1221,"=129761633",GP1190:GP1221),2)</f>
        <v>0</v>
      </c>
      <c r="FW1223" s="4">
        <f>DU1223-FP1223</f>
        <v>90305.88</v>
      </c>
      <c r="FX1223" s="4">
        <f>DU1223-FQ1223</f>
        <v>90305.88</v>
      </c>
      <c r="FY1223" s="4">
        <f>FP1223-FR1223</f>
        <v>0</v>
      </c>
      <c r="FZ1223" s="4">
        <f>DU1223-FP1223-FQ1223+FR1223</f>
        <v>90305.88</v>
      </c>
      <c r="GA1223" s="4">
        <f>FQ1223-FR1223</f>
        <v>0</v>
      </c>
      <c r="GB1223" s="4">
        <f>ROUND(SUMIF(AA1190:AA1221,"=129761633",GX1190:GX1221),2)</f>
        <v>0</v>
      </c>
      <c r="GC1223" s="4">
        <f>ROUND(SUMIF(AA1190:AA1221,"=129761633",GY1190:GY1221),2)</f>
        <v>0</v>
      </c>
      <c r="GD1223" s="4">
        <f>ROUND(SUMIF(AA1190:AA1221,"=129761633",GZ1190:GZ1221),2)</f>
        <v>0</v>
      </c>
      <c r="GE1223" s="4">
        <f>ROUND(SUMIF(AA1190:AA1221,"=129761633",HD1190:HD1221),2)</f>
        <v>0</v>
      </c>
      <c r="GF1223" s="4"/>
      <c r="GG1223" s="4"/>
      <c r="GH1223" s="4"/>
      <c r="GI1223" s="4"/>
      <c r="GJ1223" s="4"/>
      <c r="GK1223" s="4"/>
      <c r="GL1223" s="4"/>
      <c r="GM1223" s="4"/>
      <c r="GN1223" s="4"/>
      <c r="GO1223" s="4"/>
      <c r="GP1223" s="4"/>
      <c r="GQ1223" s="4"/>
      <c r="GR1223" s="4"/>
      <c r="GS1223" s="4"/>
      <c r="GT1223" s="4"/>
      <c r="GU1223" s="4"/>
      <c r="GV1223" s="4"/>
      <c r="GW1223" s="4"/>
      <c r="GX1223" s="4">
        <v>0</v>
      </c>
    </row>
    <row r="1225" spans="1:255" x14ac:dyDescent="0.2">
      <c r="A1225" s="5">
        <v>50</v>
      </c>
      <c r="B1225" s="5">
        <v>0</v>
      </c>
      <c r="C1225" s="5">
        <v>0</v>
      </c>
      <c r="D1225" s="5">
        <v>1</v>
      </c>
      <c r="E1225" s="5">
        <v>201</v>
      </c>
      <c r="F1225" s="5">
        <f>ROUND(Source!O1223,O1225)</f>
        <v>1067.33</v>
      </c>
      <c r="G1225" s="5" t="s">
        <v>26</v>
      </c>
      <c r="H1225" s="5" t="s">
        <v>27</v>
      </c>
      <c r="I1225" s="5"/>
      <c r="J1225" s="5"/>
      <c r="K1225" s="5">
        <v>201</v>
      </c>
      <c r="L1225" s="5">
        <v>1</v>
      </c>
      <c r="M1225" s="5">
        <v>3</v>
      </c>
      <c r="N1225" s="5" t="s">
        <v>3</v>
      </c>
      <c r="O1225" s="5">
        <v>2</v>
      </c>
      <c r="P1225" s="5">
        <f>ROUND(Source!DG1223,O1225)</f>
        <v>93740.47</v>
      </c>
      <c r="Q1225" s="5"/>
      <c r="R1225" s="5"/>
      <c r="S1225" s="5"/>
      <c r="T1225" s="5"/>
      <c r="U1225" s="5"/>
      <c r="V1225" s="5"/>
      <c r="W1225" s="5">
        <v>1067.33</v>
      </c>
      <c r="X1225" s="5">
        <v>1</v>
      </c>
      <c r="Y1225" s="5">
        <v>1067.33</v>
      </c>
      <c r="Z1225" s="5">
        <v>93740.47</v>
      </c>
      <c r="AA1225" s="5">
        <v>1</v>
      </c>
      <c r="AB1225" s="5">
        <v>93740.47</v>
      </c>
    </row>
    <row r="1226" spans="1:255" x14ac:dyDescent="0.2">
      <c r="A1226" s="5">
        <v>50</v>
      </c>
      <c r="B1226" s="5">
        <v>0</v>
      </c>
      <c r="C1226" s="5">
        <v>0</v>
      </c>
      <c r="D1226" s="5">
        <v>1</v>
      </c>
      <c r="E1226" s="5">
        <v>202</v>
      </c>
      <c r="F1226" s="5">
        <f>ROUND(Source!P1223,O1226)</f>
        <v>940.6</v>
      </c>
      <c r="G1226" s="5" t="s">
        <v>28</v>
      </c>
      <c r="H1226" s="5" t="s">
        <v>29</v>
      </c>
      <c r="I1226" s="5"/>
      <c r="J1226" s="5"/>
      <c r="K1226" s="5">
        <v>202</v>
      </c>
      <c r="L1226" s="5">
        <v>2</v>
      </c>
      <c r="M1226" s="5">
        <v>3</v>
      </c>
      <c r="N1226" s="5" t="s">
        <v>3</v>
      </c>
      <c r="O1226" s="5">
        <v>2</v>
      </c>
      <c r="P1226" s="5">
        <f>ROUND(Source!DH1223,O1226)</f>
        <v>90305.88</v>
      </c>
      <c r="Q1226" s="5"/>
      <c r="R1226" s="5"/>
      <c r="S1226" s="5"/>
      <c r="T1226" s="5"/>
      <c r="U1226" s="5"/>
      <c r="V1226" s="5"/>
      <c r="W1226" s="5">
        <v>940.6</v>
      </c>
      <c r="X1226" s="5">
        <v>1</v>
      </c>
      <c r="Y1226" s="5">
        <v>940.6</v>
      </c>
      <c r="Z1226" s="5">
        <v>90305.88</v>
      </c>
      <c r="AA1226" s="5">
        <v>1</v>
      </c>
      <c r="AB1226" s="5">
        <v>90305.88</v>
      </c>
    </row>
    <row r="1227" spans="1:255" x14ac:dyDescent="0.2">
      <c r="A1227" s="5">
        <v>50</v>
      </c>
      <c r="B1227" s="5">
        <v>0</v>
      </c>
      <c r="C1227" s="5">
        <v>0</v>
      </c>
      <c r="D1227" s="5">
        <v>1</v>
      </c>
      <c r="E1227" s="5">
        <v>222</v>
      </c>
      <c r="F1227" s="5">
        <f>ROUND(Source!AO1223,O1227)</f>
        <v>0</v>
      </c>
      <c r="G1227" s="5" t="s">
        <v>30</v>
      </c>
      <c r="H1227" s="5" t="s">
        <v>31</v>
      </c>
      <c r="I1227" s="5"/>
      <c r="J1227" s="5"/>
      <c r="K1227" s="5">
        <v>222</v>
      </c>
      <c r="L1227" s="5">
        <v>3</v>
      </c>
      <c r="M1227" s="5">
        <v>3</v>
      </c>
      <c r="N1227" s="5" t="s">
        <v>3</v>
      </c>
      <c r="O1227" s="5">
        <v>2</v>
      </c>
      <c r="P1227" s="5">
        <f>ROUND(Source!EG1223,O1227)</f>
        <v>0</v>
      </c>
      <c r="Q1227" s="5"/>
      <c r="R1227" s="5"/>
      <c r="S1227" s="5"/>
      <c r="T1227" s="5"/>
      <c r="U1227" s="5"/>
      <c r="V1227" s="5"/>
      <c r="W1227" s="5">
        <v>0</v>
      </c>
      <c r="X1227" s="5">
        <v>1</v>
      </c>
      <c r="Y1227" s="5">
        <v>0</v>
      </c>
      <c r="Z1227" s="5">
        <v>0</v>
      </c>
      <c r="AA1227" s="5">
        <v>1</v>
      </c>
      <c r="AB1227" s="5">
        <v>0</v>
      </c>
    </row>
    <row r="1228" spans="1:255" x14ac:dyDescent="0.2">
      <c r="A1228" s="5">
        <v>50</v>
      </c>
      <c r="B1228" s="5">
        <v>0</v>
      </c>
      <c r="C1228" s="5">
        <v>0</v>
      </c>
      <c r="D1228" s="5">
        <v>1</v>
      </c>
      <c r="E1228" s="5">
        <v>225</v>
      </c>
      <c r="F1228" s="5">
        <f>ROUND(Source!AV1223,O1228)</f>
        <v>940.6</v>
      </c>
      <c r="G1228" s="5" t="s">
        <v>32</v>
      </c>
      <c r="H1228" s="5" t="s">
        <v>33</v>
      </c>
      <c r="I1228" s="5"/>
      <c r="J1228" s="5"/>
      <c r="K1228" s="5">
        <v>225</v>
      </c>
      <c r="L1228" s="5">
        <v>4</v>
      </c>
      <c r="M1228" s="5">
        <v>3</v>
      </c>
      <c r="N1228" s="5" t="s">
        <v>3</v>
      </c>
      <c r="O1228" s="5">
        <v>2</v>
      </c>
      <c r="P1228" s="5">
        <f>ROUND(Source!EN1223,O1228)</f>
        <v>90305.88</v>
      </c>
      <c r="Q1228" s="5"/>
      <c r="R1228" s="5"/>
      <c r="S1228" s="5"/>
      <c r="T1228" s="5"/>
      <c r="U1228" s="5"/>
      <c r="V1228" s="5"/>
      <c r="W1228" s="5">
        <v>940.6</v>
      </c>
      <c r="X1228" s="5">
        <v>1</v>
      </c>
      <c r="Y1228" s="5">
        <v>940.6</v>
      </c>
      <c r="Z1228" s="5">
        <v>90305.88</v>
      </c>
      <c r="AA1228" s="5">
        <v>1</v>
      </c>
      <c r="AB1228" s="5">
        <v>90305.88</v>
      </c>
    </row>
    <row r="1229" spans="1:255" x14ac:dyDescent="0.2">
      <c r="A1229" s="5">
        <v>50</v>
      </c>
      <c r="B1229" s="5">
        <v>0</v>
      </c>
      <c r="C1229" s="5">
        <v>0</v>
      </c>
      <c r="D1229" s="5">
        <v>1</v>
      </c>
      <c r="E1229" s="5">
        <v>226</v>
      </c>
      <c r="F1229" s="5">
        <f>ROUND(Source!AW1223,O1229)</f>
        <v>940.6</v>
      </c>
      <c r="G1229" s="5" t="s">
        <v>34</v>
      </c>
      <c r="H1229" s="5" t="s">
        <v>35</v>
      </c>
      <c r="I1229" s="5"/>
      <c r="J1229" s="5"/>
      <c r="K1229" s="5">
        <v>226</v>
      </c>
      <c r="L1229" s="5">
        <v>5</v>
      </c>
      <c r="M1229" s="5">
        <v>3</v>
      </c>
      <c r="N1229" s="5" t="s">
        <v>3</v>
      </c>
      <c r="O1229" s="5">
        <v>2</v>
      </c>
      <c r="P1229" s="5">
        <f>ROUND(Source!EO1223,O1229)</f>
        <v>90305.88</v>
      </c>
      <c r="Q1229" s="5"/>
      <c r="R1229" s="5"/>
      <c r="S1229" s="5"/>
      <c r="T1229" s="5"/>
      <c r="U1229" s="5"/>
      <c r="V1229" s="5"/>
      <c r="W1229" s="5">
        <v>940.6</v>
      </c>
      <c r="X1229" s="5">
        <v>1</v>
      </c>
      <c r="Y1229" s="5">
        <v>940.6</v>
      </c>
      <c r="Z1229" s="5">
        <v>90305.88</v>
      </c>
      <c r="AA1229" s="5">
        <v>1</v>
      </c>
      <c r="AB1229" s="5">
        <v>90305.88</v>
      </c>
    </row>
    <row r="1230" spans="1:255" x14ac:dyDescent="0.2">
      <c r="A1230" s="5">
        <v>50</v>
      </c>
      <c r="B1230" s="5">
        <v>0</v>
      </c>
      <c r="C1230" s="5">
        <v>0</v>
      </c>
      <c r="D1230" s="5">
        <v>1</v>
      </c>
      <c r="E1230" s="5">
        <v>227</v>
      </c>
      <c r="F1230" s="5">
        <f>ROUND(Source!AX1223,O1230)</f>
        <v>0</v>
      </c>
      <c r="G1230" s="5" t="s">
        <v>36</v>
      </c>
      <c r="H1230" s="5" t="s">
        <v>37</v>
      </c>
      <c r="I1230" s="5"/>
      <c r="J1230" s="5"/>
      <c r="K1230" s="5">
        <v>227</v>
      </c>
      <c r="L1230" s="5">
        <v>6</v>
      </c>
      <c r="M1230" s="5">
        <v>3</v>
      </c>
      <c r="N1230" s="5" t="s">
        <v>3</v>
      </c>
      <c r="O1230" s="5">
        <v>2</v>
      </c>
      <c r="P1230" s="5">
        <f>ROUND(Source!EP1223,O1230)</f>
        <v>0</v>
      </c>
      <c r="Q1230" s="5"/>
      <c r="R1230" s="5"/>
      <c r="S1230" s="5"/>
      <c r="T1230" s="5"/>
      <c r="U1230" s="5"/>
      <c r="V1230" s="5"/>
      <c r="W1230" s="5">
        <v>0</v>
      </c>
      <c r="X1230" s="5">
        <v>1</v>
      </c>
      <c r="Y1230" s="5">
        <v>0</v>
      </c>
      <c r="Z1230" s="5">
        <v>0</v>
      </c>
      <c r="AA1230" s="5">
        <v>1</v>
      </c>
      <c r="AB1230" s="5">
        <v>0</v>
      </c>
    </row>
    <row r="1231" spans="1:255" x14ac:dyDescent="0.2">
      <c r="A1231" s="5">
        <v>50</v>
      </c>
      <c r="B1231" s="5">
        <v>0</v>
      </c>
      <c r="C1231" s="5">
        <v>0</v>
      </c>
      <c r="D1231" s="5">
        <v>1</v>
      </c>
      <c r="E1231" s="5">
        <v>228</v>
      </c>
      <c r="F1231" s="5">
        <f>ROUND(Source!AY1223,O1231)</f>
        <v>940.6</v>
      </c>
      <c r="G1231" s="5" t="s">
        <v>38</v>
      </c>
      <c r="H1231" s="5" t="s">
        <v>39</v>
      </c>
      <c r="I1231" s="5"/>
      <c r="J1231" s="5"/>
      <c r="K1231" s="5">
        <v>228</v>
      </c>
      <c r="L1231" s="5">
        <v>7</v>
      </c>
      <c r="M1231" s="5">
        <v>3</v>
      </c>
      <c r="N1231" s="5" t="s">
        <v>3</v>
      </c>
      <c r="O1231" s="5">
        <v>2</v>
      </c>
      <c r="P1231" s="5">
        <f>ROUND(Source!EQ1223,O1231)</f>
        <v>90305.88</v>
      </c>
      <c r="Q1231" s="5"/>
      <c r="R1231" s="5"/>
      <c r="S1231" s="5"/>
      <c r="T1231" s="5"/>
      <c r="U1231" s="5"/>
      <c r="V1231" s="5"/>
      <c r="W1231" s="5">
        <v>940.6</v>
      </c>
      <c r="X1231" s="5">
        <v>1</v>
      </c>
      <c r="Y1231" s="5">
        <v>940.6</v>
      </c>
      <c r="Z1231" s="5">
        <v>90305.88</v>
      </c>
      <c r="AA1231" s="5">
        <v>1</v>
      </c>
      <c r="AB1231" s="5">
        <v>90305.88</v>
      </c>
    </row>
    <row r="1232" spans="1:255" x14ac:dyDescent="0.2">
      <c r="A1232" s="5">
        <v>50</v>
      </c>
      <c r="B1232" s="5">
        <v>0</v>
      </c>
      <c r="C1232" s="5">
        <v>0</v>
      </c>
      <c r="D1232" s="5">
        <v>1</v>
      </c>
      <c r="E1232" s="5">
        <v>216</v>
      </c>
      <c r="F1232" s="5">
        <f>ROUND(Source!AP1223,O1232)</f>
        <v>0</v>
      </c>
      <c r="G1232" s="5" t="s">
        <v>40</v>
      </c>
      <c r="H1232" s="5" t="s">
        <v>41</v>
      </c>
      <c r="I1232" s="5"/>
      <c r="J1232" s="5"/>
      <c r="K1232" s="5">
        <v>216</v>
      </c>
      <c r="L1232" s="5">
        <v>8</v>
      </c>
      <c r="M1232" s="5">
        <v>3</v>
      </c>
      <c r="N1232" s="5" t="s">
        <v>3</v>
      </c>
      <c r="O1232" s="5">
        <v>2</v>
      </c>
      <c r="P1232" s="5">
        <f>ROUND(Source!EH1223,O1232)</f>
        <v>0</v>
      </c>
      <c r="Q1232" s="5"/>
      <c r="R1232" s="5"/>
      <c r="S1232" s="5"/>
      <c r="T1232" s="5"/>
      <c r="U1232" s="5"/>
      <c r="V1232" s="5"/>
      <c r="W1232" s="5">
        <v>0</v>
      </c>
      <c r="X1232" s="5">
        <v>1</v>
      </c>
      <c r="Y1232" s="5">
        <v>0</v>
      </c>
      <c r="Z1232" s="5">
        <v>0</v>
      </c>
      <c r="AA1232" s="5">
        <v>1</v>
      </c>
      <c r="AB1232" s="5">
        <v>0</v>
      </c>
    </row>
    <row r="1233" spans="1:28" x14ac:dyDescent="0.2">
      <c r="A1233" s="5">
        <v>50</v>
      </c>
      <c r="B1233" s="5">
        <v>0</v>
      </c>
      <c r="C1233" s="5">
        <v>0</v>
      </c>
      <c r="D1233" s="5">
        <v>1</v>
      </c>
      <c r="E1233" s="5">
        <v>223</v>
      </c>
      <c r="F1233" s="5">
        <f>ROUND(Source!AQ1223,O1233)</f>
        <v>0</v>
      </c>
      <c r="G1233" s="5" t="s">
        <v>42</v>
      </c>
      <c r="H1233" s="5" t="s">
        <v>43</v>
      </c>
      <c r="I1233" s="5"/>
      <c r="J1233" s="5"/>
      <c r="K1233" s="5">
        <v>223</v>
      </c>
      <c r="L1233" s="5">
        <v>9</v>
      </c>
      <c r="M1233" s="5">
        <v>3</v>
      </c>
      <c r="N1233" s="5" t="s">
        <v>3</v>
      </c>
      <c r="O1233" s="5">
        <v>2</v>
      </c>
      <c r="P1233" s="5">
        <f>ROUND(Source!EI1223,O1233)</f>
        <v>0</v>
      </c>
      <c r="Q1233" s="5"/>
      <c r="R1233" s="5"/>
      <c r="S1233" s="5"/>
      <c r="T1233" s="5"/>
      <c r="U1233" s="5"/>
      <c r="V1233" s="5"/>
      <c r="W1233" s="5">
        <v>0</v>
      </c>
      <c r="X1233" s="5">
        <v>1</v>
      </c>
      <c r="Y1233" s="5">
        <v>0</v>
      </c>
      <c r="Z1233" s="5">
        <v>0</v>
      </c>
      <c r="AA1233" s="5">
        <v>1</v>
      </c>
      <c r="AB1233" s="5">
        <v>0</v>
      </c>
    </row>
    <row r="1234" spans="1:28" x14ac:dyDescent="0.2">
      <c r="A1234" s="5">
        <v>50</v>
      </c>
      <c r="B1234" s="5">
        <v>0</v>
      </c>
      <c r="C1234" s="5">
        <v>0</v>
      </c>
      <c r="D1234" s="5">
        <v>1</v>
      </c>
      <c r="E1234" s="5">
        <v>229</v>
      </c>
      <c r="F1234" s="5">
        <f>ROUND(Source!AZ1223,O1234)</f>
        <v>0</v>
      </c>
      <c r="G1234" s="5" t="s">
        <v>44</v>
      </c>
      <c r="H1234" s="5" t="s">
        <v>45</v>
      </c>
      <c r="I1234" s="5"/>
      <c r="J1234" s="5"/>
      <c r="K1234" s="5">
        <v>229</v>
      </c>
      <c r="L1234" s="5">
        <v>10</v>
      </c>
      <c r="M1234" s="5">
        <v>3</v>
      </c>
      <c r="N1234" s="5" t="s">
        <v>3</v>
      </c>
      <c r="O1234" s="5">
        <v>2</v>
      </c>
      <c r="P1234" s="5">
        <f>ROUND(Source!ER1223,O1234)</f>
        <v>0</v>
      </c>
      <c r="Q1234" s="5"/>
      <c r="R1234" s="5"/>
      <c r="S1234" s="5"/>
      <c r="T1234" s="5"/>
      <c r="U1234" s="5"/>
      <c r="V1234" s="5"/>
      <c r="W1234" s="5">
        <v>0</v>
      </c>
      <c r="X1234" s="5">
        <v>1</v>
      </c>
      <c r="Y1234" s="5">
        <v>0</v>
      </c>
      <c r="Z1234" s="5">
        <v>0</v>
      </c>
      <c r="AA1234" s="5">
        <v>1</v>
      </c>
      <c r="AB1234" s="5">
        <v>0</v>
      </c>
    </row>
    <row r="1235" spans="1:28" x14ac:dyDescent="0.2">
      <c r="A1235" s="5">
        <v>50</v>
      </c>
      <c r="B1235" s="5">
        <v>0</v>
      </c>
      <c r="C1235" s="5">
        <v>0</v>
      </c>
      <c r="D1235" s="5">
        <v>1</v>
      </c>
      <c r="E1235" s="5">
        <v>203</v>
      </c>
      <c r="F1235" s="5">
        <f>ROUND(Source!Q1223,O1235)</f>
        <v>14.39</v>
      </c>
      <c r="G1235" s="5" t="s">
        <v>46</v>
      </c>
      <c r="H1235" s="5" t="s">
        <v>47</v>
      </c>
      <c r="I1235" s="5"/>
      <c r="J1235" s="5"/>
      <c r="K1235" s="5">
        <v>203</v>
      </c>
      <c r="L1235" s="5">
        <v>11</v>
      </c>
      <c r="M1235" s="5">
        <v>3</v>
      </c>
      <c r="N1235" s="5" t="s">
        <v>3</v>
      </c>
      <c r="O1235" s="5">
        <v>2</v>
      </c>
      <c r="P1235" s="5">
        <f>ROUND(Source!DI1223,O1235)</f>
        <v>173.35</v>
      </c>
      <c r="Q1235" s="5"/>
      <c r="R1235" s="5"/>
      <c r="S1235" s="5"/>
      <c r="T1235" s="5"/>
      <c r="U1235" s="5"/>
      <c r="V1235" s="5"/>
      <c r="W1235" s="5">
        <v>14.39</v>
      </c>
      <c r="X1235" s="5">
        <v>1</v>
      </c>
      <c r="Y1235" s="5">
        <v>14.39</v>
      </c>
      <c r="Z1235" s="5">
        <v>173.35</v>
      </c>
      <c r="AA1235" s="5">
        <v>1</v>
      </c>
      <c r="AB1235" s="5">
        <v>173.35</v>
      </c>
    </row>
    <row r="1236" spans="1:28" x14ac:dyDescent="0.2">
      <c r="A1236" s="5">
        <v>50</v>
      </c>
      <c r="B1236" s="5">
        <v>0</v>
      </c>
      <c r="C1236" s="5">
        <v>0</v>
      </c>
      <c r="D1236" s="5">
        <v>1</v>
      </c>
      <c r="E1236" s="5">
        <v>231</v>
      </c>
      <c r="F1236" s="5">
        <f>ROUND(Source!BB1223,O1236)</f>
        <v>0</v>
      </c>
      <c r="G1236" s="5" t="s">
        <v>48</v>
      </c>
      <c r="H1236" s="5" t="s">
        <v>49</v>
      </c>
      <c r="I1236" s="5"/>
      <c r="J1236" s="5"/>
      <c r="K1236" s="5">
        <v>231</v>
      </c>
      <c r="L1236" s="5">
        <v>12</v>
      </c>
      <c r="M1236" s="5">
        <v>3</v>
      </c>
      <c r="N1236" s="5" t="s">
        <v>3</v>
      </c>
      <c r="O1236" s="5">
        <v>2</v>
      </c>
      <c r="P1236" s="5">
        <f>ROUND(Source!ET1223,O1236)</f>
        <v>0</v>
      </c>
      <c r="Q1236" s="5"/>
      <c r="R1236" s="5"/>
      <c r="S1236" s="5"/>
      <c r="T1236" s="5"/>
      <c r="U1236" s="5"/>
      <c r="V1236" s="5"/>
      <c r="W1236" s="5">
        <v>0</v>
      </c>
      <c r="X1236" s="5">
        <v>1</v>
      </c>
      <c r="Y1236" s="5">
        <v>0</v>
      </c>
      <c r="Z1236" s="5">
        <v>0</v>
      </c>
      <c r="AA1236" s="5">
        <v>1</v>
      </c>
      <c r="AB1236" s="5">
        <v>0</v>
      </c>
    </row>
    <row r="1237" spans="1:28" x14ac:dyDescent="0.2">
      <c r="A1237" s="5">
        <v>50</v>
      </c>
      <c r="B1237" s="5">
        <v>0</v>
      </c>
      <c r="C1237" s="5">
        <v>0</v>
      </c>
      <c r="D1237" s="5">
        <v>1</v>
      </c>
      <c r="E1237" s="5">
        <v>204</v>
      </c>
      <c r="F1237" s="5">
        <f>ROUND(Source!R1223,O1237)</f>
        <v>2.91</v>
      </c>
      <c r="G1237" s="5" t="s">
        <v>50</v>
      </c>
      <c r="H1237" s="5" t="s">
        <v>51</v>
      </c>
      <c r="I1237" s="5"/>
      <c r="J1237" s="5"/>
      <c r="K1237" s="5">
        <v>204</v>
      </c>
      <c r="L1237" s="5">
        <v>13</v>
      </c>
      <c r="M1237" s="5">
        <v>3</v>
      </c>
      <c r="N1237" s="5" t="s">
        <v>3</v>
      </c>
      <c r="O1237" s="5">
        <v>2</v>
      </c>
      <c r="P1237" s="5">
        <f>ROUND(Source!DJ1223,O1237)</f>
        <v>84.47</v>
      </c>
      <c r="Q1237" s="5"/>
      <c r="R1237" s="5"/>
      <c r="S1237" s="5"/>
      <c r="T1237" s="5"/>
      <c r="U1237" s="5"/>
      <c r="V1237" s="5"/>
      <c r="W1237" s="5">
        <v>2.91</v>
      </c>
      <c r="X1237" s="5">
        <v>1</v>
      </c>
      <c r="Y1237" s="5">
        <v>2.91</v>
      </c>
      <c r="Z1237" s="5">
        <v>84.47</v>
      </c>
      <c r="AA1237" s="5">
        <v>1</v>
      </c>
      <c r="AB1237" s="5">
        <v>84.47</v>
      </c>
    </row>
    <row r="1238" spans="1:28" x14ac:dyDescent="0.2">
      <c r="A1238" s="5">
        <v>50</v>
      </c>
      <c r="B1238" s="5">
        <v>0</v>
      </c>
      <c r="C1238" s="5">
        <v>0</v>
      </c>
      <c r="D1238" s="5">
        <v>1</v>
      </c>
      <c r="E1238" s="5">
        <v>205</v>
      </c>
      <c r="F1238" s="5">
        <f>ROUND(Source!S1223,O1238)</f>
        <v>112.34</v>
      </c>
      <c r="G1238" s="5" t="s">
        <v>52</v>
      </c>
      <c r="H1238" s="5" t="s">
        <v>53</v>
      </c>
      <c r="I1238" s="5"/>
      <c r="J1238" s="5"/>
      <c r="K1238" s="5">
        <v>205</v>
      </c>
      <c r="L1238" s="5">
        <v>14</v>
      </c>
      <c r="M1238" s="5">
        <v>3</v>
      </c>
      <c r="N1238" s="5" t="s">
        <v>3</v>
      </c>
      <c r="O1238" s="5">
        <v>2</v>
      </c>
      <c r="P1238" s="5">
        <f>ROUND(Source!DK1223,O1238)</f>
        <v>3261.24</v>
      </c>
      <c r="Q1238" s="5"/>
      <c r="R1238" s="5"/>
      <c r="S1238" s="5"/>
      <c r="T1238" s="5"/>
      <c r="U1238" s="5"/>
      <c r="V1238" s="5"/>
      <c r="W1238" s="5">
        <v>112.34</v>
      </c>
      <c r="X1238" s="5">
        <v>1</v>
      </c>
      <c r="Y1238" s="5">
        <v>112.34</v>
      </c>
      <c r="Z1238" s="5">
        <v>3261.24</v>
      </c>
      <c r="AA1238" s="5">
        <v>1</v>
      </c>
      <c r="AB1238" s="5">
        <v>3261.24</v>
      </c>
    </row>
    <row r="1239" spans="1:28" x14ac:dyDescent="0.2">
      <c r="A1239" s="5">
        <v>50</v>
      </c>
      <c r="B1239" s="5">
        <v>0</v>
      </c>
      <c r="C1239" s="5">
        <v>0</v>
      </c>
      <c r="D1239" s="5">
        <v>1</v>
      </c>
      <c r="E1239" s="5">
        <v>232</v>
      </c>
      <c r="F1239" s="5">
        <f>ROUND(Source!BC1223,O1239)</f>
        <v>0</v>
      </c>
      <c r="G1239" s="5" t="s">
        <v>54</v>
      </c>
      <c r="H1239" s="5" t="s">
        <v>55</v>
      </c>
      <c r="I1239" s="5"/>
      <c r="J1239" s="5"/>
      <c r="K1239" s="5">
        <v>232</v>
      </c>
      <c r="L1239" s="5">
        <v>15</v>
      </c>
      <c r="M1239" s="5">
        <v>3</v>
      </c>
      <c r="N1239" s="5" t="s">
        <v>3</v>
      </c>
      <c r="O1239" s="5">
        <v>2</v>
      </c>
      <c r="P1239" s="5">
        <f>ROUND(Source!EU1223,O1239)</f>
        <v>0</v>
      </c>
      <c r="Q1239" s="5"/>
      <c r="R1239" s="5"/>
      <c r="S1239" s="5"/>
      <c r="T1239" s="5"/>
      <c r="U1239" s="5"/>
      <c r="V1239" s="5"/>
      <c r="W1239" s="5">
        <v>0</v>
      </c>
      <c r="X1239" s="5">
        <v>1</v>
      </c>
      <c r="Y1239" s="5">
        <v>0</v>
      </c>
      <c r="Z1239" s="5">
        <v>0</v>
      </c>
      <c r="AA1239" s="5">
        <v>1</v>
      </c>
      <c r="AB1239" s="5">
        <v>0</v>
      </c>
    </row>
    <row r="1240" spans="1:28" x14ac:dyDescent="0.2">
      <c r="A1240" s="5">
        <v>50</v>
      </c>
      <c r="B1240" s="5">
        <v>0</v>
      </c>
      <c r="C1240" s="5">
        <v>0</v>
      </c>
      <c r="D1240" s="5">
        <v>1</v>
      </c>
      <c r="E1240" s="5">
        <v>214</v>
      </c>
      <c r="F1240" s="5">
        <f>ROUND(Source!AS1223,O1240)</f>
        <v>1279.1400000000001</v>
      </c>
      <c r="G1240" s="5" t="s">
        <v>56</v>
      </c>
      <c r="H1240" s="5" t="s">
        <v>57</v>
      </c>
      <c r="I1240" s="5"/>
      <c r="J1240" s="5"/>
      <c r="K1240" s="5">
        <v>214</v>
      </c>
      <c r="L1240" s="5">
        <v>16</v>
      </c>
      <c r="M1240" s="5">
        <v>3</v>
      </c>
      <c r="N1240" s="5" t="s">
        <v>3</v>
      </c>
      <c r="O1240" s="5">
        <v>2</v>
      </c>
      <c r="P1240" s="5">
        <f>ROUND(Source!EK1223,O1240)</f>
        <v>98147.839999999997</v>
      </c>
      <c r="Q1240" s="5"/>
      <c r="R1240" s="5"/>
      <c r="S1240" s="5"/>
      <c r="T1240" s="5"/>
      <c r="U1240" s="5"/>
      <c r="V1240" s="5"/>
      <c r="W1240" s="5">
        <v>1279.1400000000001</v>
      </c>
      <c r="X1240" s="5">
        <v>1</v>
      </c>
      <c r="Y1240" s="5">
        <v>1279.1400000000001</v>
      </c>
      <c r="Z1240" s="5">
        <v>98147.839999999997</v>
      </c>
      <c r="AA1240" s="5">
        <v>1</v>
      </c>
      <c r="AB1240" s="5">
        <v>98147.839999999997</v>
      </c>
    </row>
    <row r="1241" spans="1:28" x14ac:dyDescent="0.2">
      <c r="A1241" s="5">
        <v>50</v>
      </c>
      <c r="B1241" s="5">
        <v>0</v>
      </c>
      <c r="C1241" s="5">
        <v>0</v>
      </c>
      <c r="D1241" s="5">
        <v>1</v>
      </c>
      <c r="E1241" s="5">
        <v>215</v>
      </c>
      <c r="F1241" s="5">
        <f>ROUND(Source!AT1223,O1241)</f>
        <v>0</v>
      </c>
      <c r="G1241" s="5" t="s">
        <v>58</v>
      </c>
      <c r="H1241" s="5" t="s">
        <v>59</v>
      </c>
      <c r="I1241" s="5"/>
      <c r="J1241" s="5"/>
      <c r="K1241" s="5">
        <v>215</v>
      </c>
      <c r="L1241" s="5">
        <v>17</v>
      </c>
      <c r="M1241" s="5">
        <v>3</v>
      </c>
      <c r="N1241" s="5" t="s">
        <v>3</v>
      </c>
      <c r="O1241" s="5">
        <v>2</v>
      </c>
      <c r="P1241" s="5">
        <f>ROUND(Source!EL1223,O1241)</f>
        <v>0</v>
      </c>
      <c r="Q1241" s="5"/>
      <c r="R1241" s="5"/>
      <c r="S1241" s="5"/>
      <c r="T1241" s="5"/>
      <c r="U1241" s="5"/>
      <c r="V1241" s="5"/>
      <c r="W1241" s="5">
        <v>0</v>
      </c>
      <c r="X1241" s="5">
        <v>1</v>
      </c>
      <c r="Y1241" s="5">
        <v>0</v>
      </c>
      <c r="Z1241" s="5">
        <v>0</v>
      </c>
      <c r="AA1241" s="5">
        <v>1</v>
      </c>
      <c r="AB1241" s="5">
        <v>0</v>
      </c>
    </row>
    <row r="1242" spans="1:28" x14ac:dyDescent="0.2">
      <c r="A1242" s="5">
        <v>50</v>
      </c>
      <c r="B1242" s="5">
        <v>0</v>
      </c>
      <c r="C1242" s="5">
        <v>0</v>
      </c>
      <c r="D1242" s="5">
        <v>1</v>
      </c>
      <c r="E1242" s="5">
        <v>217</v>
      </c>
      <c r="F1242" s="5">
        <f>ROUND(Source!AU1223,O1242)</f>
        <v>0</v>
      </c>
      <c r="G1242" s="5" t="s">
        <v>60</v>
      </c>
      <c r="H1242" s="5" t="s">
        <v>61</v>
      </c>
      <c r="I1242" s="5"/>
      <c r="J1242" s="5"/>
      <c r="K1242" s="5">
        <v>217</v>
      </c>
      <c r="L1242" s="5">
        <v>18</v>
      </c>
      <c r="M1242" s="5">
        <v>3</v>
      </c>
      <c r="N1242" s="5" t="s">
        <v>3</v>
      </c>
      <c r="O1242" s="5">
        <v>2</v>
      </c>
      <c r="P1242" s="5">
        <f>ROUND(Source!EM1223,O1242)</f>
        <v>0</v>
      </c>
      <c r="Q1242" s="5"/>
      <c r="R1242" s="5"/>
      <c r="S1242" s="5"/>
      <c r="T1242" s="5"/>
      <c r="U1242" s="5"/>
      <c r="V1242" s="5"/>
      <c r="W1242" s="5">
        <v>0</v>
      </c>
      <c r="X1242" s="5">
        <v>1</v>
      </c>
      <c r="Y1242" s="5">
        <v>0</v>
      </c>
      <c r="Z1242" s="5">
        <v>0</v>
      </c>
      <c r="AA1242" s="5">
        <v>1</v>
      </c>
      <c r="AB1242" s="5">
        <v>0</v>
      </c>
    </row>
    <row r="1243" spans="1:28" x14ac:dyDescent="0.2">
      <c r="A1243" s="5">
        <v>50</v>
      </c>
      <c r="B1243" s="5">
        <v>0</v>
      </c>
      <c r="C1243" s="5">
        <v>0</v>
      </c>
      <c r="D1243" s="5">
        <v>1</v>
      </c>
      <c r="E1243" s="5">
        <v>230</v>
      </c>
      <c r="F1243" s="5">
        <f>ROUND(Source!BA1223,O1243)</f>
        <v>0</v>
      </c>
      <c r="G1243" s="5" t="s">
        <v>62</v>
      </c>
      <c r="H1243" s="5" t="s">
        <v>63</v>
      </c>
      <c r="I1243" s="5"/>
      <c r="J1243" s="5"/>
      <c r="K1243" s="5">
        <v>230</v>
      </c>
      <c r="L1243" s="5">
        <v>19</v>
      </c>
      <c r="M1243" s="5">
        <v>3</v>
      </c>
      <c r="N1243" s="5" t="s">
        <v>3</v>
      </c>
      <c r="O1243" s="5">
        <v>2</v>
      </c>
      <c r="P1243" s="5">
        <f>ROUND(Source!ES1223,O1243)</f>
        <v>0</v>
      </c>
      <c r="Q1243" s="5"/>
      <c r="R1243" s="5"/>
      <c r="S1243" s="5"/>
      <c r="T1243" s="5"/>
      <c r="U1243" s="5"/>
      <c r="V1243" s="5"/>
      <c r="W1243" s="5">
        <v>0</v>
      </c>
      <c r="X1243" s="5">
        <v>1</v>
      </c>
      <c r="Y1243" s="5">
        <v>0</v>
      </c>
      <c r="Z1243" s="5">
        <v>0</v>
      </c>
      <c r="AA1243" s="5">
        <v>1</v>
      </c>
      <c r="AB1243" s="5">
        <v>0</v>
      </c>
    </row>
    <row r="1244" spans="1:28" x14ac:dyDescent="0.2">
      <c r="A1244" s="5">
        <v>50</v>
      </c>
      <c r="B1244" s="5">
        <v>0</v>
      </c>
      <c r="C1244" s="5">
        <v>0</v>
      </c>
      <c r="D1244" s="5">
        <v>1</v>
      </c>
      <c r="E1244" s="5">
        <v>206</v>
      </c>
      <c r="F1244" s="5">
        <f>ROUND(Source!T1223,O1244)</f>
        <v>0</v>
      </c>
      <c r="G1244" s="5" t="s">
        <v>64</v>
      </c>
      <c r="H1244" s="5" t="s">
        <v>65</v>
      </c>
      <c r="I1244" s="5"/>
      <c r="J1244" s="5"/>
      <c r="K1244" s="5">
        <v>206</v>
      </c>
      <c r="L1244" s="5">
        <v>20</v>
      </c>
      <c r="M1244" s="5">
        <v>3</v>
      </c>
      <c r="N1244" s="5" t="s">
        <v>3</v>
      </c>
      <c r="O1244" s="5">
        <v>2</v>
      </c>
      <c r="P1244" s="5">
        <f>ROUND(Source!DL1223,O1244)</f>
        <v>0</v>
      </c>
      <c r="Q1244" s="5"/>
      <c r="R1244" s="5"/>
      <c r="S1244" s="5"/>
      <c r="T1244" s="5"/>
      <c r="U1244" s="5"/>
      <c r="V1244" s="5"/>
      <c r="W1244" s="5">
        <v>0</v>
      </c>
      <c r="X1244" s="5">
        <v>1</v>
      </c>
      <c r="Y1244" s="5">
        <v>0</v>
      </c>
      <c r="Z1244" s="5">
        <v>0</v>
      </c>
      <c r="AA1244" s="5">
        <v>1</v>
      </c>
      <c r="AB1244" s="5">
        <v>0</v>
      </c>
    </row>
    <row r="1245" spans="1:28" x14ac:dyDescent="0.2">
      <c r="A1245" s="5">
        <v>50</v>
      </c>
      <c r="B1245" s="5">
        <v>0</v>
      </c>
      <c r="C1245" s="5">
        <v>0</v>
      </c>
      <c r="D1245" s="5">
        <v>1</v>
      </c>
      <c r="E1245" s="5">
        <v>207</v>
      </c>
      <c r="F1245" s="5">
        <f>Source!U1223</f>
        <v>8.9814999999999987</v>
      </c>
      <c r="G1245" s="5" t="s">
        <v>66</v>
      </c>
      <c r="H1245" s="5" t="s">
        <v>67</v>
      </c>
      <c r="I1245" s="5"/>
      <c r="J1245" s="5"/>
      <c r="K1245" s="5">
        <v>207</v>
      </c>
      <c r="L1245" s="5">
        <v>21</v>
      </c>
      <c r="M1245" s="5">
        <v>3</v>
      </c>
      <c r="N1245" s="5" t="s">
        <v>3</v>
      </c>
      <c r="O1245" s="5">
        <v>-1</v>
      </c>
      <c r="P1245" s="5">
        <f>Source!DM1223</f>
        <v>8.9814999999999987</v>
      </c>
      <c r="Q1245" s="5"/>
      <c r="R1245" s="5"/>
      <c r="S1245" s="5"/>
      <c r="T1245" s="5"/>
      <c r="U1245" s="5"/>
      <c r="V1245" s="5"/>
      <c r="W1245" s="5">
        <v>8.9815000000000005</v>
      </c>
      <c r="X1245" s="5">
        <v>1</v>
      </c>
      <c r="Y1245" s="5">
        <v>8.9815000000000005</v>
      </c>
      <c r="Z1245" s="5">
        <v>8.9815000000000005</v>
      </c>
      <c r="AA1245" s="5">
        <v>1</v>
      </c>
      <c r="AB1245" s="5">
        <v>8.9815000000000005</v>
      </c>
    </row>
    <row r="1246" spans="1:28" x14ac:dyDescent="0.2">
      <c r="A1246" s="5">
        <v>50</v>
      </c>
      <c r="B1246" s="5">
        <v>0</v>
      </c>
      <c r="C1246" s="5">
        <v>0</v>
      </c>
      <c r="D1246" s="5">
        <v>1</v>
      </c>
      <c r="E1246" s="5">
        <v>208</v>
      </c>
      <c r="F1246" s="5">
        <f>Source!V1223</f>
        <v>0</v>
      </c>
      <c r="G1246" s="5" t="s">
        <v>68</v>
      </c>
      <c r="H1246" s="5" t="s">
        <v>69</v>
      </c>
      <c r="I1246" s="5"/>
      <c r="J1246" s="5"/>
      <c r="K1246" s="5">
        <v>208</v>
      </c>
      <c r="L1246" s="5">
        <v>22</v>
      </c>
      <c r="M1246" s="5">
        <v>3</v>
      </c>
      <c r="N1246" s="5" t="s">
        <v>3</v>
      </c>
      <c r="O1246" s="5">
        <v>-1</v>
      </c>
      <c r="P1246" s="5">
        <f>Source!DN1223</f>
        <v>0</v>
      </c>
      <c r="Q1246" s="5"/>
      <c r="R1246" s="5"/>
      <c r="S1246" s="5"/>
      <c r="T1246" s="5"/>
      <c r="U1246" s="5"/>
      <c r="V1246" s="5"/>
      <c r="W1246" s="5">
        <v>0</v>
      </c>
      <c r="X1246" s="5">
        <v>1</v>
      </c>
      <c r="Y1246" s="5">
        <v>0</v>
      </c>
      <c r="Z1246" s="5">
        <v>0</v>
      </c>
      <c r="AA1246" s="5">
        <v>1</v>
      </c>
      <c r="AB1246" s="5">
        <v>0</v>
      </c>
    </row>
    <row r="1247" spans="1:28" x14ac:dyDescent="0.2">
      <c r="A1247" s="5">
        <v>50</v>
      </c>
      <c r="B1247" s="5">
        <v>0</v>
      </c>
      <c r="C1247" s="5">
        <v>0</v>
      </c>
      <c r="D1247" s="5">
        <v>1</v>
      </c>
      <c r="E1247" s="5">
        <v>209</v>
      </c>
      <c r="F1247" s="5">
        <f>ROUND(Source!W1223,O1247)</f>
        <v>0</v>
      </c>
      <c r="G1247" s="5" t="s">
        <v>70</v>
      </c>
      <c r="H1247" s="5" t="s">
        <v>71</v>
      </c>
      <c r="I1247" s="5"/>
      <c r="J1247" s="5"/>
      <c r="K1247" s="5">
        <v>209</v>
      </c>
      <c r="L1247" s="5">
        <v>23</v>
      </c>
      <c r="M1247" s="5">
        <v>3</v>
      </c>
      <c r="N1247" s="5" t="s">
        <v>3</v>
      </c>
      <c r="O1247" s="5">
        <v>2</v>
      </c>
      <c r="P1247" s="5">
        <f>ROUND(Source!DO1223,O1247)</f>
        <v>0</v>
      </c>
      <c r="Q1247" s="5"/>
      <c r="R1247" s="5"/>
      <c r="S1247" s="5"/>
      <c r="T1247" s="5"/>
      <c r="U1247" s="5"/>
      <c r="V1247" s="5"/>
      <c r="W1247" s="5">
        <v>0</v>
      </c>
      <c r="X1247" s="5">
        <v>1</v>
      </c>
      <c r="Y1247" s="5">
        <v>0</v>
      </c>
      <c r="Z1247" s="5">
        <v>0</v>
      </c>
      <c r="AA1247" s="5">
        <v>1</v>
      </c>
      <c r="AB1247" s="5">
        <v>0</v>
      </c>
    </row>
    <row r="1248" spans="1:28" x14ac:dyDescent="0.2">
      <c r="A1248" s="5">
        <v>50</v>
      </c>
      <c r="B1248" s="5">
        <v>0</v>
      </c>
      <c r="C1248" s="5">
        <v>0</v>
      </c>
      <c r="D1248" s="5">
        <v>1</v>
      </c>
      <c r="E1248" s="5">
        <v>233</v>
      </c>
      <c r="F1248" s="5">
        <f>ROUND(Source!BD1223,O1248)</f>
        <v>0</v>
      </c>
      <c r="G1248" s="5" t="s">
        <v>72</v>
      </c>
      <c r="H1248" s="5" t="s">
        <v>73</v>
      </c>
      <c r="I1248" s="5"/>
      <c r="J1248" s="5"/>
      <c r="K1248" s="5">
        <v>233</v>
      </c>
      <c r="L1248" s="5">
        <v>24</v>
      </c>
      <c r="M1248" s="5">
        <v>3</v>
      </c>
      <c r="N1248" s="5" t="s">
        <v>3</v>
      </c>
      <c r="O1248" s="5">
        <v>2</v>
      </c>
      <c r="P1248" s="5">
        <f>ROUND(Source!EV1223,O1248)</f>
        <v>0</v>
      </c>
      <c r="Q1248" s="5"/>
      <c r="R1248" s="5"/>
      <c r="S1248" s="5"/>
      <c r="T1248" s="5"/>
      <c r="U1248" s="5"/>
      <c r="V1248" s="5"/>
      <c r="W1248" s="5">
        <v>0</v>
      </c>
      <c r="X1248" s="5">
        <v>1</v>
      </c>
      <c r="Y1248" s="5">
        <v>0</v>
      </c>
      <c r="Z1248" s="5">
        <v>0</v>
      </c>
      <c r="AA1248" s="5">
        <v>1</v>
      </c>
      <c r="AB1248" s="5">
        <v>0</v>
      </c>
    </row>
    <row r="1249" spans="1:255" x14ac:dyDescent="0.2">
      <c r="A1249" s="5">
        <v>50</v>
      </c>
      <c r="B1249" s="5">
        <v>0</v>
      </c>
      <c r="C1249" s="5">
        <v>0</v>
      </c>
      <c r="D1249" s="5">
        <v>1</v>
      </c>
      <c r="E1249" s="5">
        <v>210</v>
      </c>
      <c r="F1249" s="5">
        <f>ROUND(Source!X1223,O1249)</f>
        <v>123.58</v>
      </c>
      <c r="G1249" s="5" t="s">
        <v>74</v>
      </c>
      <c r="H1249" s="5" t="s">
        <v>75</v>
      </c>
      <c r="I1249" s="5"/>
      <c r="J1249" s="5"/>
      <c r="K1249" s="5">
        <v>210</v>
      </c>
      <c r="L1249" s="5">
        <v>25</v>
      </c>
      <c r="M1249" s="5">
        <v>3</v>
      </c>
      <c r="N1249" s="5" t="s">
        <v>3</v>
      </c>
      <c r="O1249" s="5">
        <v>2</v>
      </c>
      <c r="P1249" s="5">
        <f>ROUND(Source!DP1223,O1249)</f>
        <v>2935.11</v>
      </c>
      <c r="Q1249" s="5"/>
      <c r="R1249" s="5"/>
      <c r="S1249" s="5"/>
      <c r="T1249" s="5"/>
      <c r="U1249" s="5"/>
      <c r="V1249" s="5"/>
      <c r="W1249" s="5">
        <v>123.58</v>
      </c>
      <c r="X1249" s="5">
        <v>1</v>
      </c>
      <c r="Y1249" s="5">
        <v>123.58</v>
      </c>
      <c r="Z1249" s="5">
        <v>2935.11</v>
      </c>
      <c r="AA1249" s="5">
        <v>1</v>
      </c>
      <c r="AB1249" s="5">
        <v>2935.11</v>
      </c>
    </row>
    <row r="1250" spans="1:255" x14ac:dyDescent="0.2">
      <c r="A1250" s="5">
        <v>50</v>
      </c>
      <c r="B1250" s="5">
        <v>0</v>
      </c>
      <c r="C1250" s="5">
        <v>0</v>
      </c>
      <c r="D1250" s="5">
        <v>1</v>
      </c>
      <c r="E1250" s="5">
        <v>211</v>
      </c>
      <c r="F1250" s="5">
        <f>ROUND(Source!Y1223,O1250)</f>
        <v>83.13</v>
      </c>
      <c r="G1250" s="5" t="s">
        <v>76</v>
      </c>
      <c r="H1250" s="5" t="s">
        <v>77</v>
      </c>
      <c r="I1250" s="5"/>
      <c r="J1250" s="5"/>
      <c r="K1250" s="5">
        <v>211</v>
      </c>
      <c r="L1250" s="5">
        <v>26</v>
      </c>
      <c r="M1250" s="5">
        <v>3</v>
      </c>
      <c r="N1250" s="5" t="s">
        <v>3</v>
      </c>
      <c r="O1250" s="5">
        <v>2</v>
      </c>
      <c r="P1250" s="5">
        <f>ROUND(Source!DQ1223,O1250)</f>
        <v>1337.11</v>
      </c>
      <c r="Q1250" s="5"/>
      <c r="R1250" s="5"/>
      <c r="S1250" s="5"/>
      <c r="T1250" s="5"/>
      <c r="U1250" s="5"/>
      <c r="V1250" s="5"/>
      <c r="W1250" s="5">
        <v>83.13</v>
      </c>
      <c r="X1250" s="5">
        <v>1</v>
      </c>
      <c r="Y1250" s="5">
        <v>83.13</v>
      </c>
      <c r="Z1250" s="5">
        <v>1337.11</v>
      </c>
      <c r="AA1250" s="5">
        <v>1</v>
      </c>
      <c r="AB1250" s="5">
        <v>1337.11</v>
      </c>
    </row>
    <row r="1251" spans="1:255" x14ac:dyDescent="0.2">
      <c r="A1251" s="5">
        <v>50</v>
      </c>
      <c r="B1251" s="5">
        <v>0</v>
      </c>
      <c r="C1251" s="5">
        <v>0</v>
      </c>
      <c r="D1251" s="5">
        <v>1</v>
      </c>
      <c r="E1251" s="5">
        <v>224</v>
      </c>
      <c r="F1251" s="5">
        <f>ROUND(Source!AR1223,O1251)</f>
        <v>1279.1400000000001</v>
      </c>
      <c r="G1251" s="5" t="s">
        <v>78</v>
      </c>
      <c r="H1251" s="5" t="s">
        <v>79</v>
      </c>
      <c r="I1251" s="5"/>
      <c r="J1251" s="5"/>
      <c r="K1251" s="5">
        <v>224</v>
      </c>
      <c r="L1251" s="5">
        <v>27</v>
      </c>
      <c r="M1251" s="5">
        <v>3</v>
      </c>
      <c r="N1251" s="5" t="s">
        <v>3</v>
      </c>
      <c r="O1251" s="5">
        <v>2</v>
      </c>
      <c r="P1251" s="5">
        <f>ROUND(Source!EJ1223,O1251)</f>
        <v>98147.839999999997</v>
      </c>
      <c r="Q1251" s="5"/>
      <c r="R1251" s="5"/>
      <c r="S1251" s="5"/>
      <c r="T1251" s="5"/>
      <c r="U1251" s="5"/>
      <c r="V1251" s="5"/>
      <c r="W1251" s="5">
        <v>1279.1400000000001</v>
      </c>
      <c r="X1251" s="5">
        <v>1</v>
      </c>
      <c r="Y1251" s="5">
        <v>1279.1400000000001</v>
      </c>
      <c r="Z1251" s="5">
        <v>98147.839999999997</v>
      </c>
      <c r="AA1251" s="5">
        <v>1</v>
      </c>
      <c r="AB1251" s="5">
        <v>98147.839999999997</v>
      </c>
    </row>
    <row r="1253" spans="1:255" x14ac:dyDescent="0.2">
      <c r="A1253" s="1">
        <v>4</v>
      </c>
      <c r="B1253" s="1">
        <v>1</v>
      </c>
      <c r="C1253" s="1"/>
      <c r="D1253" s="1">
        <f>ROW(A1264)</f>
        <v>1264</v>
      </c>
      <c r="E1253" s="1"/>
      <c r="F1253" s="1" t="s">
        <v>16</v>
      </c>
      <c r="G1253" s="1" t="s">
        <v>476</v>
      </c>
      <c r="H1253" s="1" t="s">
        <v>3</v>
      </c>
      <c r="I1253" s="1">
        <v>0</v>
      </c>
      <c r="J1253" s="1"/>
      <c r="K1253" s="1">
        <v>0</v>
      </c>
      <c r="L1253" s="1"/>
      <c r="M1253" s="1" t="s">
        <v>3</v>
      </c>
      <c r="N1253" s="1"/>
      <c r="O1253" s="1"/>
      <c r="P1253" s="1"/>
      <c r="Q1253" s="1"/>
      <c r="R1253" s="1"/>
      <c r="S1253" s="1">
        <v>0</v>
      </c>
      <c r="T1253" s="1">
        <v>0</v>
      </c>
      <c r="U1253" s="1" t="s">
        <v>3</v>
      </c>
      <c r="V1253" s="1">
        <v>0</v>
      </c>
      <c r="W1253" s="1"/>
      <c r="X1253" s="1"/>
      <c r="Y1253" s="1"/>
      <c r="Z1253" s="1"/>
      <c r="AA1253" s="1"/>
      <c r="AB1253" s="1" t="s">
        <v>3</v>
      </c>
      <c r="AC1253" s="1" t="s">
        <v>3</v>
      </c>
      <c r="AD1253" s="1" t="s">
        <v>3</v>
      </c>
      <c r="AE1253" s="1" t="s">
        <v>3</v>
      </c>
      <c r="AF1253" s="1" t="s">
        <v>3</v>
      </c>
      <c r="AG1253" s="1" t="s">
        <v>3</v>
      </c>
      <c r="AH1253" s="1"/>
      <c r="AI1253" s="1"/>
      <c r="AJ1253" s="1"/>
      <c r="AK1253" s="1"/>
      <c r="AL1253" s="1"/>
      <c r="AM1253" s="1"/>
      <c r="AN1253" s="1"/>
      <c r="AO1253" s="1"/>
      <c r="AP1253" s="1" t="s">
        <v>3</v>
      </c>
      <c r="AQ1253" s="1" t="s">
        <v>3</v>
      </c>
      <c r="AR1253" s="1" t="s">
        <v>3</v>
      </c>
      <c r="AS1253" s="1"/>
      <c r="AT1253" s="1"/>
      <c r="AU1253" s="1"/>
      <c r="AV1253" s="1"/>
      <c r="AW1253" s="1"/>
      <c r="AX1253" s="1"/>
      <c r="AY1253" s="1"/>
      <c r="AZ1253" s="1" t="s">
        <v>3</v>
      </c>
      <c r="BA1253" s="1"/>
      <c r="BB1253" s="1" t="s">
        <v>3</v>
      </c>
      <c r="BC1253" s="1" t="s">
        <v>3</v>
      </c>
      <c r="BD1253" s="1" t="s">
        <v>3</v>
      </c>
      <c r="BE1253" s="1" t="s">
        <v>3</v>
      </c>
      <c r="BF1253" s="1" t="s">
        <v>3</v>
      </c>
      <c r="BG1253" s="1" t="s">
        <v>3</v>
      </c>
      <c r="BH1253" s="1" t="s">
        <v>3</v>
      </c>
      <c r="BI1253" s="1" t="s">
        <v>3</v>
      </c>
      <c r="BJ1253" s="1" t="s">
        <v>3</v>
      </c>
      <c r="BK1253" s="1" t="s">
        <v>3</v>
      </c>
      <c r="BL1253" s="1" t="s">
        <v>3</v>
      </c>
      <c r="BM1253" s="1" t="s">
        <v>3</v>
      </c>
      <c r="BN1253" s="1" t="s">
        <v>3</v>
      </c>
      <c r="BO1253" s="1" t="s">
        <v>3</v>
      </c>
      <c r="BP1253" s="1" t="s">
        <v>3</v>
      </c>
      <c r="BQ1253" s="1"/>
      <c r="BR1253" s="1"/>
      <c r="BS1253" s="1"/>
      <c r="BT1253" s="1"/>
      <c r="BU1253" s="1"/>
      <c r="BV1253" s="1"/>
      <c r="BW1253" s="1"/>
      <c r="BX1253" s="1">
        <v>0</v>
      </c>
      <c r="BY1253" s="1"/>
      <c r="BZ1253" s="1"/>
      <c r="CA1253" s="1"/>
      <c r="CB1253" s="1"/>
      <c r="CC1253" s="1"/>
      <c r="CD1253" s="1"/>
      <c r="CE1253" s="1"/>
      <c r="CF1253" s="1"/>
      <c r="CG1253" s="1"/>
      <c r="CH1253" s="1"/>
      <c r="CI1253" s="1"/>
      <c r="CJ1253" s="1">
        <v>0</v>
      </c>
    </row>
    <row r="1255" spans="1:255" x14ac:dyDescent="0.2">
      <c r="A1255" s="3">
        <v>52</v>
      </c>
      <c r="B1255" s="3">
        <f t="shared" ref="B1255:G1255" si="1063">B1264</f>
        <v>1</v>
      </c>
      <c r="C1255" s="3">
        <f t="shared" si="1063"/>
        <v>4</v>
      </c>
      <c r="D1255" s="3">
        <f t="shared" si="1063"/>
        <v>1253</v>
      </c>
      <c r="E1255" s="3">
        <f t="shared" si="1063"/>
        <v>0</v>
      </c>
      <c r="F1255" s="3" t="str">
        <f t="shared" si="1063"/>
        <v>Новый раздел</v>
      </c>
      <c r="G1255" s="3" t="str">
        <f t="shared" si="1063"/>
        <v>Прочие работы</v>
      </c>
      <c r="H1255" s="3"/>
      <c r="I1255" s="3"/>
      <c r="J1255" s="3"/>
      <c r="K1255" s="3"/>
      <c r="L1255" s="3"/>
      <c r="M1255" s="3"/>
      <c r="N1255" s="3"/>
      <c r="O1255" s="3">
        <f t="shared" ref="O1255:AT1255" si="1064">O1264</f>
        <v>3.85</v>
      </c>
      <c r="P1255" s="3">
        <f t="shared" si="1064"/>
        <v>0</v>
      </c>
      <c r="Q1255" s="3">
        <f t="shared" si="1064"/>
        <v>3.85</v>
      </c>
      <c r="R1255" s="3">
        <f t="shared" si="1064"/>
        <v>7.0000000000000007E-2</v>
      </c>
      <c r="S1255" s="3">
        <f t="shared" si="1064"/>
        <v>0</v>
      </c>
      <c r="T1255" s="3">
        <f t="shared" si="1064"/>
        <v>0</v>
      </c>
      <c r="U1255" s="3">
        <f t="shared" si="1064"/>
        <v>0</v>
      </c>
      <c r="V1255" s="3">
        <f t="shared" si="1064"/>
        <v>0</v>
      </c>
      <c r="W1255" s="3">
        <f t="shared" si="1064"/>
        <v>0</v>
      </c>
      <c r="X1255" s="3">
        <f t="shared" si="1064"/>
        <v>0</v>
      </c>
      <c r="Y1255" s="3">
        <f t="shared" si="1064"/>
        <v>0</v>
      </c>
      <c r="Z1255" s="3">
        <f t="shared" si="1064"/>
        <v>0</v>
      </c>
      <c r="AA1255" s="3">
        <f t="shared" si="1064"/>
        <v>0</v>
      </c>
      <c r="AB1255" s="3">
        <f t="shared" si="1064"/>
        <v>3.85</v>
      </c>
      <c r="AC1255" s="3">
        <f t="shared" si="1064"/>
        <v>0</v>
      </c>
      <c r="AD1255" s="3">
        <f t="shared" si="1064"/>
        <v>3.85</v>
      </c>
      <c r="AE1255" s="3">
        <f t="shared" si="1064"/>
        <v>7.0000000000000007E-2</v>
      </c>
      <c r="AF1255" s="3">
        <f t="shared" si="1064"/>
        <v>0</v>
      </c>
      <c r="AG1255" s="3">
        <f t="shared" si="1064"/>
        <v>0</v>
      </c>
      <c r="AH1255" s="3">
        <f t="shared" si="1064"/>
        <v>0</v>
      </c>
      <c r="AI1255" s="3">
        <f t="shared" si="1064"/>
        <v>0</v>
      </c>
      <c r="AJ1255" s="3">
        <f t="shared" si="1064"/>
        <v>0</v>
      </c>
      <c r="AK1255" s="3">
        <f t="shared" si="1064"/>
        <v>0</v>
      </c>
      <c r="AL1255" s="3">
        <f t="shared" si="1064"/>
        <v>0</v>
      </c>
      <c r="AM1255" s="3">
        <f t="shared" si="1064"/>
        <v>0</v>
      </c>
      <c r="AN1255" s="3">
        <f t="shared" si="1064"/>
        <v>0</v>
      </c>
      <c r="AO1255" s="3">
        <f t="shared" si="1064"/>
        <v>0</v>
      </c>
      <c r="AP1255" s="3">
        <f t="shared" si="1064"/>
        <v>0</v>
      </c>
      <c r="AQ1255" s="3">
        <f t="shared" si="1064"/>
        <v>0</v>
      </c>
      <c r="AR1255" s="3">
        <f t="shared" si="1064"/>
        <v>3.97</v>
      </c>
      <c r="AS1255" s="3">
        <f t="shared" si="1064"/>
        <v>0.55000000000000004</v>
      </c>
      <c r="AT1255" s="3">
        <f t="shared" si="1064"/>
        <v>0</v>
      </c>
      <c r="AU1255" s="3">
        <f t="shared" ref="AU1255:BZ1255" si="1065">AU1264</f>
        <v>3.42</v>
      </c>
      <c r="AV1255" s="3">
        <f t="shared" si="1065"/>
        <v>0</v>
      </c>
      <c r="AW1255" s="3">
        <f t="shared" si="1065"/>
        <v>0</v>
      </c>
      <c r="AX1255" s="3">
        <f t="shared" si="1065"/>
        <v>0</v>
      </c>
      <c r="AY1255" s="3">
        <f t="shared" si="1065"/>
        <v>0</v>
      </c>
      <c r="AZ1255" s="3">
        <f t="shared" si="1065"/>
        <v>0</v>
      </c>
      <c r="BA1255" s="3">
        <f t="shared" si="1065"/>
        <v>0</v>
      </c>
      <c r="BB1255" s="3">
        <f t="shared" si="1065"/>
        <v>0</v>
      </c>
      <c r="BC1255" s="3">
        <f t="shared" si="1065"/>
        <v>0</v>
      </c>
      <c r="BD1255" s="3">
        <f t="shared" si="1065"/>
        <v>0</v>
      </c>
      <c r="BE1255" s="3">
        <f t="shared" si="1065"/>
        <v>0</v>
      </c>
      <c r="BF1255" s="3">
        <f t="shared" si="1065"/>
        <v>0</v>
      </c>
      <c r="BG1255" s="3">
        <f t="shared" si="1065"/>
        <v>0</v>
      </c>
      <c r="BH1255" s="3">
        <f t="shared" si="1065"/>
        <v>0</v>
      </c>
      <c r="BI1255" s="3">
        <f t="shared" si="1065"/>
        <v>0</v>
      </c>
      <c r="BJ1255" s="3">
        <f t="shared" si="1065"/>
        <v>0</v>
      </c>
      <c r="BK1255" s="3">
        <f t="shared" si="1065"/>
        <v>0</v>
      </c>
      <c r="BL1255" s="3">
        <f t="shared" si="1065"/>
        <v>0</v>
      </c>
      <c r="BM1255" s="3">
        <f t="shared" si="1065"/>
        <v>0</v>
      </c>
      <c r="BN1255" s="3">
        <f t="shared" si="1065"/>
        <v>0</v>
      </c>
      <c r="BO1255" s="3">
        <f t="shared" si="1065"/>
        <v>0</v>
      </c>
      <c r="BP1255" s="3">
        <f t="shared" si="1065"/>
        <v>0</v>
      </c>
      <c r="BQ1255" s="3">
        <f t="shared" si="1065"/>
        <v>0</v>
      </c>
      <c r="BR1255" s="3">
        <f t="shared" si="1065"/>
        <v>0</v>
      </c>
      <c r="BS1255" s="3">
        <f t="shared" si="1065"/>
        <v>0</v>
      </c>
      <c r="BT1255" s="3">
        <f t="shared" si="1065"/>
        <v>0</v>
      </c>
      <c r="BU1255" s="3">
        <f t="shared" si="1065"/>
        <v>0</v>
      </c>
      <c r="BV1255" s="3">
        <f t="shared" si="1065"/>
        <v>0</v>
      </c>
      <c r="BW1255" s="3">
        <f t="shared" si="1065"/>
        <v>0</v>
      </c>
      <c r="BX1255" s="3">
        <f t="shared" si="1065"/>
        <v>0</v>
      </c>
      <c r="BY1255" s="3">
        <f t="shared" si="1065"/>
        <v>0</v>
      </c>
      <c r="BZ1255" s="3">
        <f t="shared" si="1065"/>
        <v>0</v>
      </c>
      <c r="CA1255" s="3">
        <f t="shared" ref="CA1255:DF1255" si="1066">CA1264</f>
        <v>3.97</v>
      </c>
      <c r="CB1255" s="3">
        <f t="shared" si="1066"/>
        <v>0.55000000000000004</v>
      </c>
      <c r="CC1255" s="3">
        <f t="shared" si="1066"/>
        <v>0</v>
      </c>
      <c r="CD1255" s="3">
        <f t="shared" si="1066"/>
        <v>3.42</v>
      </c>
      <c r="CE1255" s="3">
        <f t="shared" si="1066"/>
        <v>0</v>
      </c>
      <c r="CF1255" s="3">
        <f t="shared" si="1066"/>
        <v>0</v>
      </c>
      <c r="CG1255" s="3">
        <f t="shared" si="1066"/>
        <v>0</v>
      </c>
      <c r="CH1255" s="3">
        <f t="shared" si="1066"/>
        <v>0</v>
      </c>
      <c r="CI1255" s="3">
        <f t="shared" si="1066"/>
        <v>0</v>
      </c>
      <c r="CJ1255" s="3">
        <f t="shared" si="1066"/>
        <v>0</v>
      </c>
      <c r="CK1255" s="3">
        <f t="shared" si="1066"/>
        <v>0</v>
      </c>
      <c r="CL1255" s="3">
        <f t="shared" si="1066"/>
        <v>0</v>
      </c>
      <c r="CM1255" s="3">
        <f t="shared" si="1066"/>
        <v>0</v>
      </c>
      <c r="CN1255" s="3">
        <f t="shared" si="1066"/>
        <v>0</v>
      </c>
      <c r="CO1255" s="3">
        <f t="shared" si="1066"/>
        <v>0</v>
      </c>
      <c r="CP1255" s="3">
        <f t="shared" si="1066"/>
        <v>0</v>
      </c>
      <c r="CQ1255" s="3">
        <f t="shared" si="1066"/>
        <v>0</v>
      </c>
      <c r="CR1255" s="3">
        <f t="shared" si="1066"/>
        <v>0</v>
      </c>
      <c r="CS1255" s="3">
        <f t="shared" si="1066"/>
        <v>0</v>
      </c>
      <c r="CT1255" s="3">
        <f t="shared" si="1066"/>
        <v>0</v>
      </c>
      <c r="CU1255" s="3">
        <f t="shared" si="1066"/>
        <v>0</v>
      </c>
      <c r="CV1255" s="3">
        <f t="shared" si="1066"/>
        <v>0</v>
      </c>
      <c r="CW1255" s="3">
        <f t="shared" si="1066"/>
        <v>0</v>
      </c>
      <c r="CX1255" s="3">
        <f t="shared" si="1066"/>
        <v>0</v>
      </c>
      <c r="CY1255" s="3">
        <f t="shared" si="1066"/>
        <v>0</v>
      </c>
      <c r="CZ1255" s="3">
        <f t="shared" si="1066"/>
        <v>0</v>
      </c>
      <c r="DA1255" s="3">
        <f t="shared" si="1066"/>
        <v>0</v>
      </c>
      <c r="DB1255" s="3">
        <f t="shared" si="1066"/>
        <v>0</v>
      </c>
      <c r="DC1255" s="3">
        <f t="shared" si="1066"/>
        <v>0</v>
      </c>
      <c r="DD1255" s="3">
        <f t="shared" si="1066"/>
        <v>0</v>
      </c>
      <c r="DE1255" s="3">
        <f t="shared" si="1066"/>
        <v>0</v>
      </c>
      <c r="DF1255" s="3">
        <f t="shared" si="1066"/>
        <v>0</v>
      </c>
      <c r="DG1255" s="4">
        <f t="shared" ref="DG1255:EL1255" si="1067">DG1264</f>
        <v>98.12</v>
      </c>
      <c r="DH1255" s="4">
        <f t="shared" si="1067"/>
        <v>0</v>
      </c>
      <c r="DI1255" s="4">
        <f t="shared" si="1067"/>
        <v>98.12</v>
      </c>
      <c r="DJ1255" s="4">
        <f t="shared" si="1067"/>
        <v>2.0299999999999998</v>
      </c>
      <c r="DK1255" s="4">
        <f t="shared" si="1067"/>
        <v>0</v>
      </c>
      <c r="DL1255" s="4">
        <f t="shared" si="1067"/>
        <v>0</v>
      </c>
      <c r="DM1255" s="4">
        <f t="shared" si="1067"/>
        <v>0</v>
      </c>
      <c r="DN1255" s="4">
        <f t="shared" si="1067"/>
        <v>0</v>
      </c>
      <c r="DO1255" s="4">
        <f t="shared" si="1067"/>
        <v>0</v>
      </c>
      <c r="DP1255" s="4">
        <f t="shared" si="1067"/>
        <v>0</v>
      </c>
      <c r="DQ1255" s="4">
        <f t="shared" si="1067"/>
        <v>0</v>
      </c>
      <c r="DR1255" s="4">
        <f t="shared" si="1067"/>
        <v>0</v>
      </c>
      <c r="DS1255" s="4">
        <f t="shared" si="1067"/>
        <v>0</v>
      </c>
      <c r="DT1255" s="4">
        <f t="shared" si="1067"/>
        <v>98.12</v>
      </c>
      <c r="DU1255" s="4">
        <f t="shared" si="1067"/>
        <v>0</v>
      </c>
      <c r="DV1255" s="4">
        <f t="shared" si="1067"/>
        <v>98.12</v>
      </c>
      <c r="DW1255" s="4">
        <f t="shared" si="1067"/>
        <v>2.0299999999999998</v>
      </c>
      <c r="DX1255" s="4">
        <f t="shared" si="1067"/>
        <v>0</v>
      </c>
      <c r="DY1255" s="4">
        <f t="shared" si="1067"/>
        <v>0</v>
      </c>
      <c r="DZ1255" s="4">
        <f t="shared" si="1067"/>
        <v>0</v>
      </c>
      <c r="EA1255" s="4">
        <f t="shared" si="1067"/>
        <v>0</v>
      </c>
      <c r="EB1255" s="4">
        <f t="shared" si="1067"/>
        <v>0</v>
      </c>
      <c r="EC1255" s="4">
        <f t="shared" si="1067"/>
        <v>0</v>
      </c>
      <c r="ED1255" s="4">
        <f t="shared" si="1067"/>
        <v>0</v>
      </c>
      <c r="EE1255" s="4">
        <f t="shared" si="1067"/>
        <v>0</v>
      </c>
      <c r="EF1255" s="4">
        <f t="shared" si="1067"/>
        <v>0</v>
      </c>
      <c r="EG1255" s="4">
        <f t="shared" si="1067"/>
        <v>0</v>
      </c>
      <c r="EH1255" s="4">
        <f t="shared" si="1067"/>
        <v>0</v>
      </c>
      <c r="EI1255" s="4">
        <f t="shared" si="1067"/>
        <v>0</v>
      </c>
      <c r="EJ1255" s="4">
        <f t="shared" si="1067"/>
        <v>101.37</v>
      </c>
      <c r="EK1255" s="4">
        <f t="shared" si="1067"/>
        <v>8.42</v>
      </c>
      <c r="EL1255" s="4">
        <f t="shared" si="1067"/>
        <v>0</v>
      </c>
      <c r="EM1255" s="4">
        <f t="shared" ref="EM1255:FR1255" si="1068">EM1264</f>
        <v>92.95</v>
      </c>
      <c r="EN1255" s="4">
        <f t="shared" si="1068"/>
        <v>0</v>
      </c>
      <c r="EO1255" s="4">
        <f t="shared" si="1068"/>
        <v>0</v>
      </c>
      <c r="EP1255" s="4">
        <f t="shared" si="1068"/>
        <v>0</v>
      </c>
      <c r="EQ1255" s="4">
        <f t="shared" si="1068"/>
        <v>0</v>
      </c>
      <c r="ER1255" s="4">
        <f t="shared" si="1068"/>
        <v>0</v>
      </c>
      <c r="ES1255" s="4">
        <f t="shared" si="1068"/>
        <v>0</v>
      </c>
      <c r="ET1255" s="4">
        <f t="shared" si="1068"/>
        <v>0</v>
      </c>
      <c r="EU1255" s="4">
        <f t="shared" si="1068"/>
        <v>0</v>
      </c>
      <c r="EV1255" s="4">
        <f t="shared" si="1068"/>
        <v>0</v>
      </c>
      <c r="EW1255" s="4">
        <f t="shared" si="1068"/>
        <v>0</v>
      </c>
      <c r="EX1255" s="4">
        <f t="shared" si="1068"/>
        <v>0</v>
      </c>
      <c r="EY1255" s="4">
        <f t="shared" si="1068"/>
        <v>0</v>
      </c>
      <c r="EZ1255" s="4">
        <f t="shared" si="1068"/>
        <v>0</v>
      </c>
      <c r="FA1255" s="4">
        <f t="shared" si="1068"/>
        <v>0</v>
      </c>
      <c r="FB1255" s="4">
        <f t="shared" si="1068"/>
        <v>0</v>
      </c>
      <c r="FC1255" s="4">
        <f t="shared" si="1068"/>
        <v>0</v>
      </c>
      <c r="FD1255" s="4">
        <f t="shared" si="1068"/>
        <v>0</v>
      </c>
      <c r="FE1255" s="4">
        <f t="shared" si="1068"/>
        <v>0</v>
      </c>
      <c r="FF1255" s="4">
        <f t="shared" si="1068"/>
        <v>0</v>
      </c>
      <c r="FG1255" s="4">
        <f t="shared" si="1068"/>
        <v>0</v>
      </c>
      <c r="FH1255" s="4">
        <f t="shared" si="1068"/>
        <v>0</v>
      </c>
      <c r="FI1255" s="4">
        <f t="shared" si="1068"/>
        <v>0</v>
      </c>
      <c r="FJ1255" s="4">
        <f t="shared" si="1068"/>
        <v>0</v>
      </c>
      <c r="FK1255" s="4">
        <f t="shared" si="1068"/>
        <v>0</v>
      </c>
      <c r="FL1255" s="4">
        <f t="shared" si="1068"/>
        <v>0</v>
      </c>
      <c r="FM1255" s="4">
        <f t="shared" si="1068"/>
        <v>0</v>
      </c>
      <c r="FN1255" s="4">
        <f t="shared" si="1068"/>
        <v>0</v>
      </c>
      <c r="FO1255" s="4">
        <f t="shared" si="1068"/>
        <v>0</v>
      </c>
      <c r="FP1255" s="4">
        <f t="shared" si="1068"/>
        <v>0</v>
      </c>
      <c r="FQ1255" s="4">
        <f t="shared" si="1068"/>
        <v>0</v>
      </c>
      <c r="FR1255" s="4">
        <f t="shared" si="1068"/>
        <v>0</v>
      </c>
      <c r="FS1255" s="4">
        <f t="shared" ref="FS1255:GX1255" si="1069">FS1264</f>
        <v>101.37</v>
      </c>
      <c r="FT1255" s="4">
        <f t="shared" si="1069"/>
        <v>8.42</v>
      </c>
      <c r="FU1255" s="4">
        <f t="shared" si="1069"/>
        <v>0</v>
      </c>
      <c r="FV1255" s="4">
        <f t="shared" si="1069"/>
        <v>92.95</v>
      </c>
      <c r="FW1255" s="4">
        <f t="shared" si="1069"/>
        <v>0</v>
      </c>
      <c r="FX1255" s="4">
        <f t="shared" si="1069"/>
        <v>0</v>
      </c>
      <c r="FY1255" s="4">
        <f t="shared" si="1069"/>
        <v>0</v>
      </c>
      <c r="FZ1255" s="4">
        <f t="shared" si="1069"/>
        <v>0</v>
      </c>
      <c r="GA1255" s="4">
        <f t="shared" si="1069"/>
        <v>0</v>
      </c>
      <c r="GB1255" s="4">
        <f t="shared" si="1069"/>
        <v>0</v>
      </c>
      <c r="GC1255" s="4">
        <f t="shared" si="1069"/>
        <v>0</v>
      </c>
      <c r="GD1255" s="4">
        <f t="shared" si="1069"/>
        <v>0</v>
      </c>
      <c r="GE1255" s="4">
        <f t="shared" si="1069"/>
        <v>0</v>
      </c>
      <c r="GF1255" s="4">
        <f t="shared" si="1069"/>
        <v>0</v>
      </c>
      <c r="GG1255" s="4">
        <f t="shared" si="1069"/>
        <v>0</v>
      </c>
      <c r="GH1255" s="4">
        <f t="shared" si="1069"/>
        <v>0</v>
      </c>
      <c r="GI1255" s="4">
        <f t="shared" si="1069"/>
        <v>0</v>
      </c>
      <c r="GJ1255" s="4">
        <f t="shared" si="1069"/>
        <v>0</v>
      </c>
      <c r="GK1255" s="4">
        <f t="shared" si="1069"/>
        <v>0</v>
      </c>
      <c r="GL1255" s="4">
        <f t="shared" si="1069"/>
        <v>0</v>
      </c>
      <c r="GM1255" s="4">
        <f t="shared" si="1069"/>
        <v>0</v>
      </c>
      <c r="GN1255" s="4">
        <f t="shared" si="1069"/>
        <v>0</v>
      </c>
      <c r="GO1255" s="4">
        <f t="shared" si="1069"/>
        <v>0</v>
      </c>
      <c r="GP1255" s="4">
        <f t="shared" si="1069"/>
        <v>0</v>
      </c>
      <c r="GQ1255" s="4">
        <f t="shared" si="1069"/>
        <v>0</v>
      </c>
      <c r="GR1255" s="4">
        <f t="shared" si="1069"/>
        <v>0</v>
      </c>
      <c r="GS1255" s="4">
        <f t="shared" si="1069"/>
        <v>0</v>
      </c>
      <c r="GT1255" s="4">
        <f t="shared" si="1069"/>
        <v>0</v>
      </c>
      <c r="GU1255" s="4">
        <f t="shared" si="1069"/>
        <v>0</v>
      </c>
      <c r="GV1255" s="4">
        <f t="shared" si="1069"/>
        <v>0</v>
      </c>
      <c r="GW1255" s="4">
        <f t="shared" si="1069"/>
        <v>0</v>
      </c>
      <c r="GX1255" s="4">
        <f t="shared" si="1069"/>
        <v>0</v>
      </c>
    </row>
    <row r="1257" spans="1:255" x14ac:dyDescent="0.2">
      <c r="A1257" s="2">
        <v>17</v>
      </c>
      <c r="B1257" s="2">
        <v>1</v>
      </c>
      <c r="C1257" s="2">
        <f>ROW(SmtRes!A1069)</f>
        <v>1069</v>
      </c>
      <c r="D1257" s="2">
        <f>ROW(EtalonRes!A1023)</f>
        <v>1023</v>
      </c>
      <c r="E1257" s="2" t="s">
        <v>279</v>
      </c>
      <c r="F1257" s="2" t="s">
        <v>478</v>
      </c>
      <c r="G1257" s="2" t="s">
        <v>479</v>
      </c>
      <c r="H1257" s="2" t="s">
        <v>179</v>
      </c>
      <c r="I1257" s="2">
        <v>4.8899999999999999E-2</v>
      </c>
      <c r="J1257" s="2">
        <v>0</v>
      </c>
      <c r="K1257" s="2">
        <v>4.8899999999999999E-2</v>
      </c>
      <c r="L1257" s="2"/>
      <c r="M1257" s="2"/>
      <c r="N1257" s="2"/>
      <c r="O1257" s="2">
        <f t="shared" ref="O1257:O1262" si="1070">ROUND(CP1257,2)</f>
        <v>0.43</v>
      </c>
      <c r="P1257" s="2">
        <f t="shared" ref="P1257:P1262" si="1071">ROUND((ROUND((AC1257*AW1257*I1257),2)*BC1257),2)</f>
        <v>0</v>
      </c>
      <c r="Q1257" s="2">
        <f t="shared" ref="Q1257:Q1262" si="1072">(ROUND((ROUND(((ET1257)*AV1257*I1257),2)*BB1257),2)+ROUND((ROUND(((AE1257-(EU1257))*AV1257*I1257),2)*BS1257),2))</f>
        <v>0.43</v>
      </c>
      <c r="R1257" s="2">
        <f t="shared" ref="R1257:R1262" si="1073">ROUND((ROUND((AE1257*AV1257*I1257),2)*BS1257),2)</f>
        <v>7.0000000000000007E-2</v>
      </c>
      <c r="S1257" s="2">
        <f t="shared" ref="S1257:S1262" si="1074">ROUND((ROUND((AF1257*AV1257*I1257),2)*BA1257),2)</f>
        <v>0</v>
      </c>
      <c r="T1257" s="2">
        <f t="shared" ref="T1257:T1262" si="1075">ROUND(CU1257*I1257,2)</f>
        <v>0</v>
      </c>
      <c r="U1257" s="2">
        <f t="shared" ref="U1257:U1262" si="1076">CV1257*I1257</f>
        <v>0</v>
      </c>
      <c r="V1257" s="2">
        <f t="shared" ref="V1257:V1262" si="1077">CW1257*I1257</f>
        <v>0</v>
      </c>
      <c r="W1257" s="2">
        <f t="shared" ref="W1257:W1262" si="1078">ROUND(CX1257*I1257,2)</f>
        <v>0</v>
      </c>
      <c r="X1257" s="2">
        <f t="shared" ref="X1257:Y1262" si="1079">ROUND(CY1257,2)</f>
        <v>0</v>
      </c>
      <c r="Y1257" s="2">
        <f t="shared" si="1079"/>
        <v>0</v>
      </c>
      <c r="Z1257" s="2"/>
      <c r="AA1257" s="2">
        <v>129761636</v>
      </c>
      <c r="AB1257" s="2">
        <f t="shared" ref="AB1257:AB1262" si="1080">ROUND((AC1257+AD1257+AF1257),6)</f>
        <v>8.86</v>
      </c>
      <c r="AC1257" s="2">
        <f t="shared" ref="AC1257:AC1262" si="1081">ROUND((ES1257),6)</f>
        <v>0</v>
      </c>
      <c r="AD1257" s="2">
        <f t="shared" ref="AD1257:AD1262" si="1082">ROUND((((ET1257)-(EU1257))+AE1257),6)</f>
        <v>8.86</v>
      </c>
      <c r="AE1257" s="2">
        <f t="shared" ref="AE1257:AF1262" si="1083">ROUND((EU1257),6)</f>
        <v>1.48</v>
      </c>
      <c r="AF1257" s="2">
        <f t="shared" si="1083"/>
        <v>0</v>
      </c>
      <c r="AG1257" s="2">
        <f t="shared" ref="AG1257:AG1262" si="1084">ROUND((AP1257),6)</f>
        <v>0</v>
      </c>
      <c r="AH1257" s="2">
        <f t="shared" ref="AH1257:AI1262" si="1085">(EW1257)</f>
        <v>0</v>
      </c>
      <c r="AI1257" s="2">
        <f t="shared" si="1085"/>
        <v>0</v>
      </c>
      <c r="AJ1257" s="2">
        <f t="shared" ref="AJ1257:AJ1262" si="1086">(AS1257)</f>
        <v>0</v>
      </c>
      <c r="AK1257" s="2">
        <v>8.86</v>
      </c>
      <c r="AL1257" s="2">
        <v>0</v>
      </c>
      <c r="AM1257" s="2">
        <v>8.86</v>
      </c>
      <c r="AN1257" s="2">
        <v>1.48</v>
      </c>
      <c r="AO1257" s="2">
        <v>0</v>
      </c>
      <c r="AP1257" s="2">
        <v>0</v>
      </c>
      <c r="AQ1257" s="2">
        <v>0</v>
      </c>
      <c r="AR1257" s="2">
        <v>0</v>
      </c>
      <c r="AS1257" s="2">
        <v>0</v>
      </c>
      <c r="AT1257" s="2">
        <v>91</v>
      </c>
      <c r="AU1257" s="2">
        <v>70</v>
      </c>
      <c r="AV1257" s="2">
        <v>1</v>
      </c>
      <c r="AW1257" s="2">
        <v>1</v>
      </c>
      <c r="AX1257" s="2"/>
      <c r="AY1257" s="2"/>
      <c r="AZ1257" s="2">
        <v>1</v>
      </c>
      <c r="BA1257" s="2">
        <v>1</v>
      </c>
      <c r="BB1257" s="2">
        <v>1</v>
      </c>
      <c r="BC1257" s="2">
        <v>1</v>
      </c>
      <c r="BD1257" s="2" t="s">
        <v>3</v>
      </c>
      <c r="BE1257" s="2" t="s">
        <v>3</v>
      </c>
      <c r="BF1257" s="2" t="s">
        <v>3</v>
      </c>
      <c r="BG1257" s="2" t="s">
        <v>3</v>
      </c>
      <c r="BH1257" s="2">
        <v>0</v>
      </c>
      <c r="BI1257" s="2">
        <v>1</v>
      </c>
      <c r="BJ1257" s="2" t="s">
        <v>480</v>
      </c>
      <c r="BK1257" s="2"/>
      <c r="BL1257" s="2"/>
      <c r="BM1257" s="2">
        <v>658</v>
      </c>
      <c r="BN1257" s="2">
        <v>0</v>
      </c>
      <c r="BO1257" s="2" t="s">
        <v>3</v>
      </c>
      <c r="BP1257" s="2">
        <v>0</v>
      </c>
      <c r="BQ1257" s="2">
        <v>60</v>
      </c>
      <c r="BR1257" s="2">
        <v>0</v>
      </c>
      <c r="BS1257" s="2">
        <v>1</v>
      </c>
      <c r="BT1257" s="2">
        <v>1</v>
      </c>
      <c r="BU1257" s="2">
        <v>1</v>
      </c>
      <c r="BV1257" s="2">
        <v>1</v>
      </c>
      <c r="BW1257" s="2">
        <v>1</v>
      </c>
      <c r="BX1257" s="2">
        <v>1</v>
      </c>
      <c r="BY1257" s="2" t="s">
        <v>3</v>
      </c>
      <c r="BZ1257" s="2">
        <v>91</v>
      </c>
      <c r="CA1257" s="2">
        <v>70</v>
      </c>
      <c r="CB1257" s="2" t="s">
        <v>3</v>
      </c>
      <c r="CC1257" s="2"/>
      <c r="CD1257" s="2"/>
      <c r="CE1257" s="2">
        <v>30</v>
      </c>
      <c r="CF1257" s="2">
        <v>0</v>
      </c>
      <c r="CG1257" s="2">
        <v>0</v>
      </c>
      <c r="CH1257" s="2"/>
      <c r="CI1257" s="2"/>
      <c r="CJ1257" s="2"/>
      <c r="CK1257" s="2"/>
      <c r="CL1257" s="2"/>
      <c r="CM1257" s="2">
        <v>0</v>
      </c>
      <c r="CN1257" s="2" t="s">
        <v>3</v>
      </c>
      <c r="CO1257" s="2">
        <v>0</v>
      </c>
      <c r="CP1257" s="2">
        <f t="shared" ref="CP1257:CP1262" si="1087">(P1257+Q1257+S1257)</f>
        <v>0.43</v>
      </c>
      <c r="CQ1257" s="2">
        <f t="shared" ref="CQ1257:CQ1262" si="1088">ROUND((ROUND((AC1257*AW1257*1),2)*BC1257),2)</f>
        <v>0</v>
      </c>
      <c r="CR1257" s="2">
        <f t="shared" ref="CR1257:CR1262" si="1089">(ROUND((ROUND(((ET1257)*AV1257*1),2)*BB1257),2)+ROUND((ROUND(((AE1257-(EU1257))*AV1257*1),2)*BS1257),2))</f>
        <v>8.86</v>
      </c>
      <c r="CS1257" s="2">
        <f t="shared" ref="CS1257:CS1262" si="1090">ROUND((ROUND((AE1257*AV1257*1),2)*BS1257),2)</f>
        <v>1.48</v>
      </c>
      <c r="CT1257" s="2">
        <f t="shared" ref="CT1257:CT1262" si="1091">ROUND((ROUND((AF1257*AV1257*1),2)*BA1257),2)</f>
        <v>0</v>
      </c>
      <c r="CU1257" s="2">
        <f t="shared" ref="CU1257:CU1262" si="1092">AG1257</f>
        <v>0</v>
      </c>
      <c r="CV1257" s="2">
        <f t="shared" ref="CV1257:CV1262" si="1093">(AH1257*AV1257)</f>
        <v>0</v>
      </c>
      <c r="CW1257" s="2">
        <f t="shared" ref="CW1257:CX1262" si="1094">AI1257</f>
        <v>0</v>
      </c>
      <c r="CX1257" s="2">
        <f t="shared" si="1094"/>
        <v>0</v>
      </c>
      <c r="CY1257" s="2">
        <f>((S1257*BZ1257)/100)</f>
        <v>0</v>
      </c>
      <c r="CZ1257" s="2">
        <f>((S1257*CA1257)/100)</f>
        <v>0</v>
      </c>
      <c r="DA1257" s="2"/>
      <c r="DB1257" s="2"/>
      <c r="DC1257" s="2" t="s">
        <v>3</v>
      </c>
      <c r="DD1257" s="2" t="s">
        <v>3</v>
      </c>
      <c r="DE1257" s="2" t="s">
        <v>3</v>
      </c>
      <c r="DF1257" s="2" t="s">
        <v>3</v>
      </c>
      <c r="DG1257" s="2" t="s">
        <v>3</v>
      </c>
      <c r="DH1257" s="2" t="s">
        <v>3</v>
      </c>
      <c r="DI1257" s="2" t="s">
        <v>3</v>
      </c>
      <c r="DJ1257" s="2" t="s">
        <v>3</v>
      </c>
      <c r="DK1257" s="2" t="s">
        <v>3</v>
      </c>
      <c r="DL1257" s="2" t="s">
        <v>3</v>
      </c>
      <c r="DM1257" s="2" t="s">
        <v>3</v>
      </c>
      <c r="DN1257" s="2">
        <v>0</v>
      </c>
      <c r="DO1257" s="2">
        <v>0</v>
      </c>
      <c r="DP1257" s="2">
        <v>1</v>
      </c>
      <c r="DQ1257" s="2">
        <v>1</v>
      </c>
      <c r="DR1257" s="2"/>
      <c r="DS1257" s="2"/>
      <c r="DT1257" s="2"/>
      <c r="DU1257" s="2">
        <v>1013</v>
      </c>
      <c r="DV1257" s="2" t="s">
        <v>179</v>
      </c>
      <c r="DW1257" s="2" t="s">
        <v>179</v>
      </c>
      <c r="DX1257" s="2">
        <v>1</v>
      </c>
      <c r="DY1257" s="2"/>
      <c r="DZ1257" s="2" t="s">
        <v>3</v>
      </c>
      <c r="EA1257" s="2" t="s">
        <v>3</v>
      </c>
      <c r="EB1257" s="2" t="s">
        <v>3</v>
      </c>
      <c r="EC1257" s="2" t="s">
        <v>3</v>
      </c>
      <c r="ED1257" s="2"/>
      <c r="EE1257" s="2">
        <v>126052119</v>
      </c>
      <c r="EF1257" s="2">
        <v>60</v>
      </c>
      <c r="EG1257" s="2" t="s">
        <v>150</v>
      </c>
      <c r="EH1257" s="2">
        <v>0</v>
      </c>
      <c r="EI1257" s="2" t="s">
        <v>3</v>
      </c>
      <c r="EJ1257" s="2">
        <v>1</v>
      </c>
      <c r="EK1257" s="2">
        <v>658</v>
      </c>
      <c r="EL1257" s="2" t="s">
        <v>481</v>
      </c>
      <c r="EM1257" s="2" t="s">
        <v>482</v>
      </c>
      <c r="EN1257" s="2"/>
      <c r="EO1257" s="2" t="s">
        <v>3</v>
      </c>
      <c r="EP1257" s="2"/>
      <c r="EQ1257" s="2">
        <v>131072</v>
      </c>
      <c r="ER1257" s="2">
        <v>8.86</v>
      </c>
      <c r="ES1257" s="2">
        <v>0</v>
      </c>
      <c r="ET1257" s="2">
        <v>8.86</v>
      </c>
      <c r="EU1257" s="2">
        <v>1.48</v>
      </c>
      <c r="EV1257" s="2">
        <v>0</v>
      </c>
      <c r="EW1257" s="2">
        <v>0</v>
      </c>
      <c r="EX1257" s="2">
        <v>0</v>
      </c>
      <c r="EY1257" s="2">
        <v>0</v>
      </c>
      <c r="EZ1257" s="2"/>
      <c r="FA1257" s="2"/>
      <c r="FB1257" s="2"/>
      <c r="FC1257" s="2"/>
      <c r="FD1257" s="2"/>
      <c r="FE1257" s="2"/>
      <c r="FF1257" s="2"/>
      <c r="FG1257" s="2"/>
      <c r="FH1257" s="2"/>
      <c r="FI1257" s="2"/>
      <c r="FJ1257" s="2"/>
      <c r="FK1257" s="2"/>
      <c r="FL1257" s="2"/>
      <c r="FM1257" s="2"/>
      <c r="FN1257" s="2"/>
      <c r="FO1257" s="2"/>
      <c r="FP1257" s="2"/>
      <c r="FQ1257" s="2">
        <v>0</v>
      </c>
      <c r="FR1257" s="2">
        <f t="shared" ref="FR1257:FR1262" si="1095">ROUND(IF(AND(BH1257=3,BI1257=3),P1257,0),2)</f>
        <v>0</v>
      </c>
      <c r="FS1257" s="2">
        <v>0</v>
      </c>
      <c r="FT1257" s="2"/>
      <c r="FU1257" s="2"/>
      <c r="FV1257" s="2"/>
      <c r="FW1257" s="2"/>
      <c r="FX1257" s="2">
        <v>91</v>
      </c>
      <c r="FY1257" s="2">
        <v>70</v>
      </c>
      <c r="FZ1257" s="2"/>
      <c r="GA1257" s="2" t="s">
        <v>3</v>
      </c>
      <c r="GB1257" s="2"/>
      <c r="GC1257" s="2"/>
      <c r="GD1257" s="2">
        <v>0</v>
      </c>
      <c r="GE1257" s="2"/>
      <c r="GF1257" s="2">
        <v>-1983005167</v>
      </c>
      <c r="GG1257" s="2">
        <v>2</v>
      </c>
      <c r="GH1257" s="2">
        <v>1</v>
      </c>
      <c r="GI1257" s="2">
        <v>-2</v>
      </c>
      <c r="GJ1257" s="2">
        <v>0</v>
      </c>
      <c r="GK1257" s="2">
        <f>ROUND(R1257*(R12)/100,2)</f>
        <v>0.12</v>
      </c>
      <c r="GL1257" s="2">
        <f t="shared" ref="GL1257:GL1262" si="1096">ROUND(IF(AND(BH1257=3,BI1257=3,FS1257&lt;&gt;0),P1257,0),2)</f>
        <v>0</v>
      </c>
      <c r="GM1257" s="2">
        <f>ROUND(O1257+X1257+Y1257+GK1257,2)+GX1257</f>
        <v>0.55000000000000004</v>
      </c>
      <c r="GN1257" s="2">
        <f>IF(OR(BI1257=0,BI1257=1),ROUND(O1257+X1257+Y1257+GK1257,2),0)</f>
        <v>0.55000000000000004</v>
      </c>
      <c r="GO1257" s="2">
        <f>IF(BI1257=2,ROUND(O1257+X1257+Y1257+GK1257,2),0)</f>
        <v>0</v>
      </c>
      <c r="GP1257" s="2">
        <f>IF(BI1257=4,ROUND(O1257+X1257+Y1257+GK1257,2)+GX1257,0)</f>
        <v>0</v>
      </c>
      <c r="GQ1257" s="2"/>
      <c r="GR1257" s="2">
        <v>0</v>
      </c>
      <c r="GS1257" s="2">
        <v>0</v>
      </c>
      <c r="GT1257" s="2">
        <v>0</v>
      </c>
      <c r="GU1257" s="2" t="s">
        <v>3</v>
      </c>
      <c r="GV1257" s="2">
        <f t="shared" ref="GV1257:GV1262" si="1097">ROUND((GT1257),6)</f>
        <v>0</v>
      </c>
      <c r="GW1257" s="2">
        <v>1</v>
      </c>
      <c r="GX1257" s="2">
        <f t="shared" ref="GX1257:GX1262" si="1098">ROUND(HC1257*I1257,2)</f>
        <v>0</v>
      </c>
      <c r="GY1257" s="2"/>
      <c r="GZ1257" s="2"/>
      <c r="HA1257" s="2">
        <v>0</v>
      </c>
      <c r="HB1257" s="2">
        <v>0</v>
      </c>
      <c r="HC1257" s="2">
        <f t="shared" ref="HC1257:HC1262" si="1099">GV1257*GW1257</f>
        <v>0</v>
      </c>
      <c r="HD1257" s="2"/>
      <c r="HE1257" s="2" t="s">
        <v>3</v>
      </c>
      <c r="HF1257" s="2" t="s">
        <v>3</v>
      </c>
      <c r="HG1257" s="2"/>
      <c r="HH1257" s="2"/>
      <c r="HI1257" s="2"/>
      <c r="HJ1257" s="2"/>
      <c r="HK1257" s="2"/>
      <c r="HL1257" s="2"/>
      <c r="HM1257" s="2" t="s">
        <v>3</v>
      </c>
      <c r="HN1257" s="2" t="s">
        <v>3</v>
      </c>
      <c r="HO1257" s="2" t="s">
        <v>3</v>
      </c>
      <c r="HP1257" s="2" t="s">
        <v>3</v>
      </c>
      <c r="HQ1257" s="2" t="s">
        <v>3</v>
      </c>
      <c r="HR1257" s="2"/>
      <c r="HS1257" s="2"/>
      <c r="HT1257" s="2"/>
      <c r="HU1257" s="2"/>
      <c r="HV1257" s="2"/>
      <c r="HW1257" s="2"/>
      <c r="HX1257" s="2"/>
      <c r="HY1257" s="2"/>
      <c r="HZ1257" s="2"/>
      <c r="IA1257" s="2"/>
      <c r="IB1257" s="2"/>
      <c r="IC1257" s="2"/>
      <c r="ID1257" s="2"/>
      <c r="IE1257" s="2"/>
      <c r="IF1257" s="2"/>
      <c r="IG1257" s="2"/>
      <c r="IH1257" s="2"/>
      <c r="II1257" s="2"/>
      <c r="IJ1257" s="2"/>
      <c r="IK1257" s="2">
        <v>0</v>
      </c>
      <c r="IL1257" s="2"/>
      <c r="IM1257" s="2"/>
      <c r="IN1257" s="2"/>
      <c r="IO1257" s="2"/>
      <c r="IP1257" s="2"/>
      <c r="IQ1257" s="2"/>
      <c r="IR1257" s="2"/>
      <c r="IS1257" s="2"/>
      <c r="IT1257" s="2"/>
      <c r="IU1257" s="2"/>
    </row>
    <row r="1258" spans="1:255" x14ac:dyDescent="0.2">
      <c r="A1258">
        <v>17</v>
      </c>
      <c r="B1258">
        <v>1</v>
      </c>
      <c r="C1258">
        <f>ROW(SmtRes!A1070)</f>
        <v>1070</v>
      </c>
      <c r="D1258">
        <f>ROW(EtalonRes!A1024)</f>
        <v>1024</v>
      </c>
      <c r="E1258" t="s">
        <v>279</v>
      </c>
      <c r="F1258" t="s">
        <v>478</v>
      </c>
      <c r="G1258" t="s">
        <v>479</v>
      </c>
      <c r="H1258" t="s">
        <v>179</v>
      </c>
      <c r="I1258">
        <v>4.8899999999999999E-2</v>
      </c>
      <c r="J1258">
        <v>0</v>
      </c>
      <c r="K1258">
        <v>4.8899999999999999E-2</v>
      </c>
      <c r="O1258">
        <f t="shared" si="1070"/>
        <v>5.17</v>
      </c>
      <c r="P1258">
        <f t="shared" si="1071"/>
        <v>0</v>
      </c>
      <c r="Q1258">
        <f t="shared" si="1072"/>
        <v>5.17</v>
      </c>
      <c r="R1258">
        <f t="shared" si="1073"/>
        <v>2.0299999999999998</v>
      </c>
      <c r="S1258">
        <f t="shared" si="1074"/>
        <v>0</v>
      </c>
      <c r="T1258">
        <f t="shared" si="1075"/>
        <v>0</v>
      </c>
      <c r="U1258">
        <f t="shared" si="1076"/>
        <v>0</v>
      </c>
      <c r="V1258">
        <f t="shared" si="1077"/>
        <v>0</v>
      </c>
      <c r="W1258">
        <f t="shared" si="1078"/>
        <v>0</v>
      </c>
      <c r="X1258">
        <f t="shared" si="1079"/>
        <v>0</v>
      </c>
      <c r="Y1258">
        <f t="shared" si="1079"/>
        <v>0</v>
      </c>
      <c r="AA1258">
        <v>129761633</v>
      </c>
      <c r="AB1258">
        <f t="shared" si="1080"/>
        <v>8.86</v>
      </c>
      <c r="AC1258">
        <f t="shared" si="1081"/>
        <v>0</v>
      </c>
      <c r="AD1258">
        <f t="shared" si="1082"/>
        <v>8.86</v>
      </c>
      <c r="AE1258">
        <f t="shared" si="1083"/>
        <v>1.48</v>
      </c>
      <c r="AF1258">
        <f t="shared" si="1083"/>
        <v>0</v>
      </c>
      <c r="AG1258">
        <f t="shared" si="1084"/>
        <v>0</v>
      </c>
      <c r="AH1258">
        <f t="shared" si="1085"/>
        <v>0</v>
      </c>
      <c r="AI1258">
        <f t="shared" si="1085"/>
        <v>0</v>
      </c>
      <c r="AJ1258">
        <f t="shared" si="1086"/>
        <v>0</v>
      </c>
      <c r="AK1258">
        <v>8.86</v>
      </c>
      <c r="AL1258">
        <v>0</v>
      </c>
      <c r="AM1258">
        <v>8.86</v>
      </c>
      <c r="AN1258">
        <v>1.48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75</v>
      </c>
      <c r="AU1258">
        <v>41</v>
      </c>
      <c r="AV1258">
        <v>1</v>
      </c>
      <c r="AW1258">
        <v>1</v>
      </c>
      <c r="AZ1258">
        <v>1</v>
      </c>
      <c r="BA1258">
        <v>29.03</v>
      </c>
      <c r="BB1258">
        <v>12.03</v>
      </c>
      <c r="BC1258">
        <v>1</v>
      </c>
      <c r="BD1258" t="s">
        <v>3</v>
      </c>
      <c r="BE1258" t="s">
        <v>3</v>
      </c>
      <c r="BF1258" t="s">
        <v>3</v>
      </c>
      <c r="BG1258" t="s">
        <v>3</v>
      </c>
      <c r="BH1258">
        <v>0</v>
      </c>
      <c r="BI1258">
        <v>1</v>
      </c>
      <c r="BJ1258" t="s">
        <v>480</v>
      </c>
      <c r="BM1258">
        <v>658</v>
      </c>
      <c r="BN1258">
        <v>0</v>
      </c>
      <c r="BO1258" t="s">
        <v>478</v>
      </c>
      <c r="BP1258">
        <v>1</v>
      </c>
      <c r="BQ1258">
        <v>60</v>
      </c>
      <c r="BR1258">
        <v>0</v>
      </c>
      <c r="BS1258">
        <v>29.03</v>
      </c>
      <c r="BT1258">
        <v>1</v>
      </c>
      <c r="BU1258">
        <v>1</v>
      </c>
      <c r="BV1258">
        <v>1</v>
      </c>
      <c r="BW1258">
        <v>1</v>
      </c>
      <c r="BX1258">
        <v>1</v>
      </c>
      <c r="BY1258" t="s">
        <v>3</v>
      </c>
      <c r="BZ1258">
        <v>75</v>
      </c>
      <c r="CA1258">
        <v>41</v>
      </c>
      <c r="CB1258" t="s">
        <v>3</v>
      </c>
      <c r="CE1258">
        <v>30</v>
      </c>
      <c r="CF1258">
        <v>0</v>
      </c>
      <c r="CG1258">
        <v>0</v>
      </c>
      <c r="CM1258">
        <v>0</v>
      </c>
      <c r="CN1258" t="s">
        <v>3</v>
      </c>
      <c r="CO1258">
        <v>0</v>
      </c>
      <c r="CP1258">
        <f t="shared" si="1087"/>
        <v>5.17</v>
      </c>
      <c r="CQ1258">
        <f t="shared" si="1088"/>
        <v>0</v>
      </c>
      <c r="CR1258">
        <f t="shared" si="1089"/>
        <v>106.59</v>
      </c>
      <c r="CS1258">
        <f t="shared" si="1090"/>
        <v>42.96</v>
      </c>
      <c r="CT1258">
        <f t="shared" si="1091"/>
        <v>0</v>
      </c>
      <c r="CU1258">
        <f t="shared" si="1092"/>
        <v>0</v>
      </c>
      <c r="CV1258">
        <f t="shared" si="1093"/>
        <v>0</v>
      </c>
      <c r="CW1258">
        <f t="shared" si="1094"/>
        <v>0</v>
      </c>
      <c r="CX1258">
        <f t="shared" si="1094"/>
        <v>0</v>
      </c>
      <c r="CY1258">
        <f>S1258*(BZ1258/100)</f>
        <v>0</v>
      </c>
      <c r="CZ1258">
        <f>S1258*(CA1258/100)</f>
        <v>0</v>
      </c>
      <c r="DC1258" t="s">
        <v>3</v>
      </c>
      <c r="DD1258" t="s">
        <v>3</v>
      </c>
      <c r="DE1258" t="s">
        <v>3</v>
      </c>
      <c r="DF1258" t="s">
        <v>3</v>
      </c>
      <c r="DG1258" t="s">
        <v>3</v>
      </c>
      <c r="DH1258" t="s">
        <v>3</v>
      </c>
      <c r="DI1258" t="s">
        <v>3</v>
      </c>
      <c r="DJ1258" t="s">
        <v>3</v>
      </c>
      <c r="DK1258" t="s">
        <v>3</v>
      </c>
      <c r="DL1258" t="s">
        <v>3</v>
      </c>
      <c r="DM1258" t="s">
        <v>3</v>
      </c>
      <c r="DN1258">
        <v>91</v>
      </c>
      <c r="DO1258">
        <v>70</v>
      </c>
      <c r="DP1258">
        <v>1</v>
      </c>
      <c r="DQ1258">
        <v>1</v>
      </c>
      <c r="DU1258">
        <v>1013</v>
      </c>
      <c r="DV1258" t="s">
        <v>179</v>
      </c>
      <c r="DW1258" t="s">
        <v>179</v>
      </c>
      <c r="DX1258">
        <v>1</v>
      </c>
      <c r="DZ1258" t="s">
        <v>3</v>
      </c>
      <c r="EA1258" t="s">
        <v>3</v>
      </c>
      <c r="EB1258" t="s">
        <v>3</v>
      </c>
      <c r="EC1258" t="s">
        <v>3</v>
      </c>
      <c r="EE1258">
        <v>126052119</v>
      </c>
      <c r="EF1258">
        <v>60</v>
      </c>
      <c r="EG1258" t="s">
        <v>150</v>
      </c>
      <c r="EH1258">
        <v>0</v>
      </c>
      <c r="EI1258" t="s">
        <v>3</v>
      </c>
      <c r="EJ1258">
        <v>1</v>
      </c>
      <c r="EK1258">
        <v>658</v>
      </c>
      <c r="EL1258" t="s">
        <v>481</v>
      </c>
      <c r="EM1258" t="s">
        <v>482</v>
      </c>
      <c r="EO1258" t="s">
        <v>3</v>
      </c>
      <c r="EQ1258">
        <v>131072</v>
      </c>
      <c r="ER1258">
        <v>8.86</v>
      </c>
      <c r="ES1258">
        <v>0</v>
      </c>
      <c r="ET1258">
        <v>8.86</v>
      </c>
      <c r="EU1258">
        <v>1.48</v>
      </c>
      <c r="EV1258">
        <v>0</v>
      </c>
      <c r="EW1258">
        <v>0</v>
      </c>
      <c r="EX1258">
        <v>0</v>
      </c>
      <c r="EY1258">
        <v>0</v>
      </c>
      <c r="FQ1258">
        <v>0</v>
      </c>
      <c r="FR1258">
        <f t="shared" si="1095"/>
        <v>0</v>
      </c>
      <c r="FS1258">
        <v>0</v>
      </c>
      <c r="FX1258">
        <v>91</v>
      </c>
      <c r="FY1258">
        <v>70</v>
      </c>
      <c r="GA1258" t="s">
        <v>3</v>
      </c>
      <c r="GD1258">
        <v>0</v>
      </c>
      <c r="GF1258">
        <v>-1983005167</v>
      </c>
      <c r="GG1258">
        <v>2</v>
      </c>
      <c r="GH1258">
        <v>1</v>
      </c>
      <c r="GI1258">
        <v>2</v>
      </c>
      <c r="GJ1258">
        <v>0</v>
      </c>
      <c r="GK1258">
        <f>ROUND(R1258*(S12)/100,2)</f>
        <v>3.25</v>
      </c>
      <c r="GL1258">
        <f t="shared" si="1096"/>
        <v>0</v>
      </c>
      <c r="GM1258">
        <f>ROUND(O1258+X1258+Y1258+GK1258,2)+GX1258</f>
        <v>8.42</v>
      </c>
      <c r="GN1258">
        <f>IF(OR(BI1258=0,BI1258=1),ROUND(O1258+X1258+Y1258+GK1258,2),0)</f>
        <v>8.42</v>
      </c>
      <c r="GO1258">
        <f>IF(BI1258=2,ROUND(O1258+X1258+Y1258+GK1258,2),0)</f>
        <v>0</v>
      </c>
      <c r="GP1258">
        <f>IF(BI1258=4,ROUND(O1258+X1258+Y1258+GK1258,2)+GX1258,0)</f>
        <v>0</v>
      </c>
      <c r="GR1258">
        <v>0</v>
      </c>
      <c r="GS1258">
        <v>3</v>
      </c>
      <c r="GT1258">
        <v>0</v>
      </c>
      <c r="GU1258" t="s">
        <v>3</v>
      </c>
      <c r="GV1258">
        <f t="shared" si="1097"/>
        <v>0</v>
      </c>
      <c r="GW1258">
        <v>1</v>
      </c>
      <c r="GX1258">
        <f t="shared" si="1098"/>
        <v>0</v>
      </c>
      <c r="HA1258">
        <v>0</v>
      </c>
      <c r="HB1258">
        <v>0</v>
      </c>
      <c r="HC1258">
        <f t="shared" si="1099"/>
        <v>0</v>
      </c>
      <c r="HE1258" t="s">
        <v>3</v>
      </c>
      <c r="HF1258" t="s">
        <v>3</v>
      </c>
      <c r="HM1258" t="s">
        <v>3</v>
      </c>
      <c r="HN1258" t="s">
        <v>3</v>
      </c>
      <c r="HO1258" t="s">
        <v>3</v>
      </c>
      <c r="HP1258" t="s">
        <v>3</v>
      </c>
      <c r="HQ1258" t="s">
        <v>3</v>
      </c>
      <c r="IK1258">
        <v>0</v>
      </c>
    </row>
    <row r="1259" spans="1:255" x14ac:dyDescent="0.2">
      <c r="A1259" s="2">
        <v>17</v>
      </c>
      <c r="B1259" s="2">
        <v>1</v>
      </c>
      <c r="C1259" s="2">
        <f>ROW(SmtRes!A1071)</f>
        <v>1071</v>
      </c>
      <c r="D1259" s="2">
        <f>ROW(EtalonRes!A1025)</f>
        <v>1025</v>
      </c>
      <c r="E1259" s="2" t="s">
        <v>290</v>
      </c>
      <c r="F1259" s="2" t="s">
        <v>484</v>
      </c>
      <c r="G1259" s="2" t="s">
        <v>485</v>
      </c>
      <c r="H1259" s="2" t="s">
        <v>114</v>
      </c>
      <c r="I1259" s="2">
        <v>4.8899999999999999E-2</v>
      </c>
      <c r="J1259" s="2">
        <v>0</v>
      </c>
      <c r="K1259" s="2">
        <v>4.8899999999999999E-2</v>
      </c>
      <c r="L1259" s="2"/>
      <c r="M1259" s="2"/>
      <c r="N1259" s="2"/>
      <c r="O1259" s="2">
        <f t="shared" si="1070"/>
        <v>1.87</v>
      </c>
      <c r="P1259" s="2">
        <f t="shared" si="1071"/>
        <v>0</v>
      </c>
      <c r="Q1259" s="2">
        <f t="shared" si="1072"/>
        <v>1.87</v>
      </c>
      <c r="R1259" s="2">
        <f t="shared" si="1073"/>
        <v>0</v>
      </c>
      <c r="S1259" s="2">
        <f t="shared" si="1074"/>
        <v>0</v>
      </c>
      <c r="T1259" s="2">
        <f t="shared" si="1075"/>
        <v>0</v>
      </c>
      <c r="U1259" s="2">
        <f t="shared" si="1076"/>
        <v>0</v>
      </c>
      <c r="V1259" s="2">
        <f t="shared" si="1077"/>
        <v>0</v>
      </c>
      <c r="W1259" s="2">
        <f t="shared" si="1078"/>
        <v>0</v>
      </c>
      <c r="X1259" s="2">
        <f t="shared" si="1079"/>
        <v>0</v>
      </c>
      <c r="Y1259" s="2">
        <f t="shared" si="1079"/>
        <v>0</v>
      </c>
      <c r="Z1259" s="2"/>
      <c r="AA1259" s="2">
        <v>129761636</v>
      </c>
      <c r="AB1259" s="2">
        <f t="shared" si="1080"/>
        <v>38.17</v>
      </c>
      <c r="AC1259" s="2">
        <f t="shared" si="1081"/>
        <v>0</v>
      </c>
      <c r="AD1259" s="2">
        <f t="shared" si="1082"/>
        <v>38.17</v>
      </c>
      <c r="AE1259" s="2">
        <f t="shared" si="1083"/>
        <v>0</v>
      </c>
      <c r="AF1259" s="2">
        <f t="shared" si="1083"/>
        <v>0</v>
      </c>
      <c r="AG1259" s="2">
        <f t="shared" si="1084"/>
        <v>0</v>
      </c>
      <c r="AH1259" s="2">
        <f t="shared" si="1085"/>
        <v>0</v>
      </c>
      <c r="AI1259" s="2">
        <f t="shared" si="1085"/>
        <v>0</v>
      </c>
      <c r="AJ1259" s="2">
        <f t="shared" si="1086"/>
        <v>0</v>
      </c>
      <c r="AK1259" s="2">
        <v>38.17</v>
      </c>
      <c r="AL1259" s="2">
        <v>0</v>
      </c>
      <c r="AM1259" s="2">
        <v>38.17</v>
      </c>
      <c r="AN1259" s="2">
        <v>0</v>
      </c>
      <c r="AO1259" s="2">
        <v>0</v>
      </c>
      <c r="AP1259" s="2">
        <v>0</v>
      </c>
      <c r="AQ1259" s="2">
        <v>0</v>
      </c>
      <c r="AR1259" s="2">
        <v>0</v>
      </c>
      <c r="AS1259" s="2">
        <v>0</v>
      </c>
      <c r="AT1259" s="2">
        <v>0</v>
      </c>
      <c r="AU1259" s="2">
        <v>0</v>
      </c>
      <c r="AV1259" s="2">
        <v>1</v>
      </c>
      <c r="AW1259" s="2">
        <v>1</v>
      </c>
      <c r="AX1259" s="2"/>
      <c r="AY1259" s="2"/>
      <c r="AZ1259" s="2">
        <v>1</v>
      </c>
      <c r="BA1259" s="2">
        <v>1</v>
      </c>
      <c r="BB1259" s="2">
        <v>1</v>
      </c>
      <c r="BC1259" s="2">
        <v>1</v>
      </c>
      <c r="BD1259" s="2" t="s">
        <v>3</v>
      </c>
      <c r="BE1259" s="2" t="s">
        <v>3</v>
      </c>
      <c r="BF1259" s="2" t="s">
        <v>3</v>
      </c>
      <c r="BG1259" s="2" t="s">
        <v>3</v>
      </c>
      <c r="BH1259" s="2">
        <v>0</v>
      </c>
      <c r="BI1259" s="2">
        <v>4</v>
      </c>
      <c r="BJ1259" s="2" t="s">
        <v>486</v>
      </c>
      <c r="BK1259" s="2"/>
      <c r="BL1259" s="2"/>
      <c r="BM1259" s="2">
        <v>1113</v>
      </c>
      <c r="BN1259" s="2">
        <v>0</v>
      </c>
      <c r="BO1259" s="2" t="s">
        <v>3</v>
      </c>
      <c r="BP1259" s="2">
        <v>0</v>
      </c>
      <c r="BQ1259" s="2">
        <v>150</v>
      </c>
      <c r="BR1259" s="2">
        <v>0</v>
      </c>
      <c r="BS1259" s="2">
        <v>1</v>
      </c>
      <c r="BT1259" s="2">
        <v>1</v>
      </c>
      <c r="BU1259" s="2">
        <v>1</v>
      </c>
      <c r="BV1259" s="2">
        <v>1</v>
      </c>
      <c r="BW1259" s="2">
        <v>1</v>
      </c>
      <c r="BX1259" s="2">
        <v>1</v>
      </c>
      <c r="BY1259" s="2" t="s">
        <v>3</v>
      </c>
      <c r="BZ1259" s="2">
        <v>0</v>
      </c>
      <c r="CA1259" s="2">
        <v>0</v>
      </c>
      <c r="CB1259" s="2" t="s">
        <v>3</v>
      </c>
      <c r="CC1259" s="2"/>
      <c r="CD1259" s="2"/>
      <c r="CE1259" s="2">
        <v>30</v>
      </c>
      <c r="CF1259" s="2">
        <v>0</v>
      </c>
      <c r="CG1259" s="2">
        <v>0</v>
      </c>
      <c r="CH1259" s="2"/>
      <c r="CI1259" s="2"/>
      <c r="CJ1259" s="2"/>
      <c r="CK1259" s="2"/>
      <c r="CL1259" s="2"/>
      <c r="CM1259" s="2">
        <v>0</v>
      </c>
      <c r="CN1259" s="2" t="s">
        <v>3</v>
      </c>
      <c r="CO1259" s="2">
        <v>0</v>
      </c>
      <c r="CP1259" s="2">
        <f t="shared" si="1087"/>
        <v>1.87</v>
      </c>
      <c r="CQ1259" s="2">
        <f t="shared" si="1088"/>
        <v>0</v>
      </c>
      <c r="CR1259" s="2">
        <f t="shared" si="1089"/>
        <v>38.17</v>
      </c>
      <c r="CS1259" s="2">
        <f t="shared" si="1090"/>
        <v>0</v>
      </c>
      <c r="CT1259" s="2">
        <f t="shared" si="1091"/>
        <v>0</v>
      </c>
      <c r="CU1259" s="2">
        <f t="shared" si="1092"/>
        <v>0</v>
      </c>
      <c r="CV1259" s="2">
        <f t="shared" si="1093"/>
        <v>0</v>
      </c>
      <c r="CW1259" s="2">
        <f t="shared" si="1094"/>
        <v>0</v>
      </c>
      <c r="CX1259" s="2">
        <f t="shared" si="1094"/>
        <v>0</v>
      </c>
      <c r="CY1259" s="2">
        <f>((S1259*BZ1259)/100)</f>
        <v>0</v>
      </c>
      <c r="CZ1259" s="2">
        <f>((S1259*CA1259)/100)</f>
        <v>0</v>
      </c>
      <c r="DA1259" s="2"/>
      <c r="DB1259" s="2"/>
      <c r="DC1259" s="2" t="s">
        <v>3</v>
      </c>
      <c r="DD1259" s="2" t="s">
        <v>3</v>
      </c>
      <c r="DE1259" s="2" t="s">
        <v>3</v>
      </c>
      <c r="DF1259" s="2" t="s">
        <v>3</v>
      </c>
      <c r="DG1259" s="2" t="s">
        <v>3</v>
      </c>
      <c r="DH1259" s="2" t="s">
        <v>3</v>
      </c>
      <c r="DI1259" s="2" t="s">
        <v>3</v>
      </c>
      <c r="DJ1259" s="2" t="s">
        <v>3</v>
      </c>
      <c r="DK1259" s="2" t="s">
        <v>3</v>
      </c>
      <c r="DL1259" s="2" t="s">
        <v>3</v>
      </c>
      <c r="DM1259" s="2" t="s">
        <v>3</v>
      </c>
      <c r="DN1259" s="2">
        <v>0</v>
      </c>
      <c r="DO1259" s="2">
        <v>0</v>
      </c>
      <c r="DP1259" s="2">
        <v>1</v>
      </c>
      <c r="DQ1259" s="2">
        <v>1</v>
      </c>
      <c r="DR1259" s="2"/>
      <c r="DS1259" s="2"/>
      <c r="DT1259" s="2"/>
      <c r="DU1259" s="2">
        <v>1009</v>
      </c>
      <c r="DV1259" s="2" t="s">
        <v>114</v>
      </c>
      <c r="DW1259" s="2" t="s">
        <v>114</v>
      </c>
      <c r="DX1259" s="2">
        <v>1000</v>
      </c>
      <c r="DY1259" s="2"/>
      <c r="DZ1259" s="2" t="s">
        <v>3</v>
      </c>
      <c r="EA1259" s="2" t="s">
        <v>3</v>
      </c>
      <c r="EB1259" s="2" t="s">
        <v>3</v>
      </c>
      <c r="EC1259" s="2" t="s">
        <v>3</v>
      </c>
      <c r="ED1259" s="2"/>
      <c r="EE1259" s="2">
        <v>126052574</v>
      </c>
      <c r="EF1259" s="2">
        <v>150</v>
      </c>
      <c r="EG1259" s="2" t="s">
        <v>487</v>
      </c>
      <c r="EH1259" s="2">
        <v>0</v>
      </c>
      <c r="EI1259" s="2" t="s">
        <v>3</v>
      </c>
      <c r="EJ1259" s="2">
        <v>4</v>
      </c>
      <c r="EK1259" s="2">
        <v>1113</v>
      </c>
      <c r="EL1259" s="2" t="s">
        <v>488</v>
      </c>
      <c r="EM1259" s="2" t="s">
        <v>489</v>
      </c>
      <c r="EN1259" s="2"/>
      <c r="EO1259" s="2" t="s">
        <v>3</v>
      </c>
      <c r="EP1259" s="2"/>
      <c r="EQ1259" s="2">
        <v>131072</v>
      </c>
      <c r="ER1259" s="2">
        <v>38.17</v>
      </c>
      <c r="ES1259" s="2">
        <v>0</v>
      </c>
      <c r="ET1259" s="2">
        <v>38.17</v>
      </c>
      <c r="EU1259" s="2">
        <v>0</v>
      </c>
      <c r="EV1259" s="2">
        <v>0</v>
      </c>
      <c r="EW1259" s="2">
        <v>0</v>
      </c>
      <c r="EX1259" s="2">
        <v>0</v>
      </c>
      <c r="EY1259" s="2">
        <v>0</v>
      </c>
      <c r="EZ1259" s="2"/>
      <c r="FA1259" s="2"/>
      <c r="FB1259" s="2"/>
      <c r="FC1259" s="2"/>
      <c r="FD1259" s="2"/>
      <c r="FE1259" s="2"/>
      <c r="FF1259" s="2"/>
      <c r="FG1259" s="2"/>
      <c r="FH1259" s="2"/>
      <c r="FI1259" s="2"/>
      <c r="FJ1259" s="2"/>
      <c r="FK1259" s="2"/>
      <c r="FL1259" s="2"/>
      <c r="FM1259" s="2"/>
      <c r="FN1259" s="2"/>
      <c r="FO1259" s="2"/>
      <c r="FP1259" s="2"/>
      <c r="FQ1259" s="2">
        <v>0</v>
      </c>
      <c r="FR1259" s="2">
        <f t="shared" si="1095"/>
        <v>0</v>
      </c>
      <c r="FS1259" s="2">
        <v>0</v>
      </c>
      <c r="FT1259" s="2"/>
      <c r="FU1259" s="2"/>
      <c r="FV1259" s="2"/>
      <c r="FW1259" s="2"/>
      <c r="FX1259" s="2">
        <v>0</v>
      </c>
      <c r="FY1259" s="2">
        <v>0</v>
      </c>
      <c r="FZ1259" s="2"/>
      <c r="GA1259" s="2" t="s">
        <v>3</v>
      </c>
      <c r="GB1259" s="2"/>
      <c r="GC1259" s="2"/>
      <c r="GD1259" s="2">
        <v>1</v>
      </c>
      <c r="GE1259" s="2"/>
      <c r="GF1259" s="2">
        <v>1906874950</v>
      </c>
      <c r="GG1259" s="2">
        <v>2</v>
      </c>
      <c r="GH1259" s="2">
        <v>1</v>
      </c>
      <c r="GI1259" s="2">
        <v>-2</v>
      </c>
      <c r="GJ1259" s="2">
        <v>0</v>
      </c>
      <c r="GK1259" s="2">
        <v>0</v>
      </c>
      <c r="GL1259" s="2">
        <f t="shared" si="1096"/>
        <v>0</v>
      </c>
      <c r="GM1259" s="2">
        <f>ROUND(O1259+X1259+Y1259,2)+GX1259</f>
        <v>1.87</v>
      </c>
      <c r="GN1259" s="2">
        <f>IF(OR(BI1259=0,BI1259=1),ROUND(O1259+X1259+Y1259,2),0)</f>
        <v>0</v>
      </c>
      <c r="GO1259" s="2">
        <f>IF(BI1259=2,ROUND(O1259+X1259+Y1259,2),0)</f>
        <v>0</v>
      </c>
      <c r="GP1259" s="2">
        <f>IF(BI1259=4,ROUND(O1259+X1259+Y1259,2)+GX1259,0)</f>
        <v>1.87</v>
      </c>
      <c r="GQ1259" s="2"/>
      <c r="GR1259" s="2">
        <v>0</v>
      </c>
      <c r="GS1259" s="2">
        <v>3</v>
      </c>
      <c r="GT1259" s="2">
        <v>0</v>
      </c>
      <c r="GU1259" s="2" t="s">
        <v>3</v>
      </c>
      <c r="GV1259" s="2">
        <f t="shared" si="1097"/>
        <v>0</v>
      </c>
      <c r="GW1259" s="2">
        <v>1</v>
      </c>
      <c r="GX1259" s="2">
        <f t="shared" si="1098"/>
        <v>0</v>
      </c>
      <c r="GY1259" s="2"/>
      <c r="GZ1259" s="2"/>
      <c r="HA1259" s="2">
        <v>0</v>
      </c>
      <c r="HB1259" s="2">
        <v>0</v>
      </c>
      <c r="HC1259" s="2">
        <f t="shared" si="1099"/>
        <v>0</v>
      </c>
      <c r="HD1259" s="2"/>
      <c r="HE1259" s="2" t="s">
        <v>3</v>
      </c>
      <c r="HF1259" s="2" t="s">
        <v>3</v>
      </c>
      <c r="HG1259" s="2"/>
      <c r="HH1259" s="2"/>
      <c r="HI1259" s="2"/>
      <c r="HJ1259" s="2"/>
      <c r="HK1259" s="2"/>
      <c r="HL1259" s="2"/>
      <c r="HM1259" s="2" t="s">
        <v>3</v>
      </c>
      <c r="HN1259" s="2" t="s">
        <v>3</v>
      </c>
      <c r="HO1259" s="2" t="s">
        <v>3</v>
      </c>
      <c r="HP1259" s="2" t="s">
        <v>3</v>
      </c>
      <c r="HQ1259" s="2" t="s">
        <v>3</v>
      </c>
      <c r="HR1259" s="2"/>
      <c r="HS1259" s="2"/>
      <c r="HT1259" s="2"/>
      <c r="HU1259" s="2"/>
      <c r="HV1259" s="2"/>
      <c r="HW1259" s="2"/>
      <c r="HX1259" s="2"/>
      <c r="HY1259" s="2"/>
      <c r="HZ1259" s="2"/>
      <c r="IA1259" s="2"/>
      <c r="IB1259" s="2"/>
      <c r="IC1259" s="2"/>
      <c r="ID1259" s="2"/>
      <c r="IE1259" s="2"/>
      <c r="IF1259" s="2"/>
      <c r="IG1259" s="2"/>
      <c r="IH1259" s="2"/>
      <c r="II1259" s="2"/>
      <c r="IJ1259" s="2"/>
      <c r="IK1259" s="2">
        <v>0</v>
      </c>
      <c r="IL1259" s="2"/>
      <c r="IM1259" s="2"/>
      <c r="IN1259" s="2"/>
      <c r="IO1259" s="2"/>
      <c r="IP1259" s="2"/>
      <c r="IQ1259" s="2"/>
      <c r="IR1259" s="2"/>
      <c r="IS1259" s="2"/>
      <c r="IT1259" s="2"/>
      <c r="IU1259" s="2"/>
    </row>
    <row r="1260" spans="1:255" x14ac:dyDescent="0.2">
      <c r="A1260">
        <v>17</v>
      </c>
      <c r="B1260">
        <v>1</v>
      </c>
      <c r="C1260">
        <f>ROW(SmtRes!A1072)</f>
        <v>1072</v>
      </c>
      <c r="D1260">
        <f>ROW(EtalonRes!A1026)</f>
        <v>1026</v>
      </c>
      <c r="E1260" t="s">
        <v>290</v>
      </c>
      <c r="F1260" t="s">
        <v>484</v>
      </c>
      <c r="G1260" t="s">
        <v>485</v>
      </c>
      <c r="H1260" t="s">
        <v>114</v>
      </c>
      <c r="I1260">
        <v>4.8899999999999999E-2</v>
      </c>
      <c r="J1260">
        <v>0</v>
      </c>
      <c r="K1260">
        <v>4.8899999999999999E-2</v>
      </c>
      <c r="O1260">
        <f t="shared" si="1070"/>
        <v>25.73</v>
      </c>
      <c r="P1260">
        <f t="shared" si="1071"/>
        <v>0</v>
      </c>
      <c r="Q1260">
        <f t="shared" si="1072"/>
        <v>25.73</v>
      </c>
      <c r="R1260">
        <f t="shared" si="1073"/>
        <v>0</v>
      </c>
      <c r="S1260">
        <f t="shared" si="1074"/>
        <v>0</v>
      </c>
      <c r="T1260">
        <f t="shared" si="1075"/>
        <v>0</v>
      </c>
      <c r="U1260">
        <f t="shared" si="1076"/>
        <v>0</v>
      </c>
      <c r="V1260">
        <f t="shared" si="1077"/>
        <v>0</v>
      </c>
      <c r="W1260">
        <f t="shared" si="1078"/>
        <v>0</v>
      </c>
      <c r="X1260">
        <f t="shared" si="1079"/>
        <v>0</v>
      </c>
      <c r="Y1260">
        <f t="shared" si="1079"/>
        <v>0</v>
      </c>
      <c r="AA1260">
        <v>129761633</v>
      </c>
      <c r="AB1260">
        <f t="shared" si="1080"/>
        <v>38.17</v>
      </c>
      <c r="AC1260">
        <f t="shared" si="1081"/>
        <v>0</v>
      </c>
      <c r="AD1260">
        <f t="shared" si="1082"/>
        <v>38.17</v>
      </c>
      <c r="AE1260">
        <f t="shared" si="1083"/>
        <v>0</v>
      </c>
      <c r="AF1260">
        <f t="shared" si="1083"/>
        <v>0</v>
      </c>
      <c r="AG1260">
        <f t="shared" si="1084"/>
        <v>0</v>
      </c>
      <c r="AH1260">
        <f t="shared" si="1085"/>
        <v>0</v>
      </c>
      <c r="AI1260">
        <f t="shared" si="1085"/>
        <v>0</v>
      </c>
      <c r="AJ1260">
        <f t="shared" si="1086"/>
        <v>0</v>
      </c>
      <c r="AK1260">
        <v>38.17</v>
      </c>
      <c r="AL1260">
        <v>0</v>
      </c>
      <c r="AM1260">
        <v>38.17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95</v>
      </c>
      <c r="AU1260">
        <v>65</v>
      </c>
      <c r="AV1260">
        <v>1</v>
      </c>
      <c r="AW1260">
        <v>1</v>
      </c>
      <c r="AZ1260">
        <v>1</v>
      </c>
      <c r="BA1260">
        <v>1</v>
      </c>
      <c r="BB1260">
        <v>13.76</v>
      </c>
      <c r="BC1260">
        <v>1</v>
      </c>
      <c r="BD1260" t="s">
        <v>3</v>
      </c>
      <c r="BE1260" t="s">
        <v>3</v>
      </c>
      <c r="BF1260" t="s">
        <v>3</v>
      </c>
      <c r="BG1260" t="s">
        <v>3</v>
      </c>
      <c r="BH1260">
        <v>0</v>
      </c>
      <c r="BI1260">
        <v>4</v>
      </c>
      <c r="BJ1260" t="s">
        <v>486</v>
      </c>
      <c r="BM1260">
        <v>1113</v>
      </c>
      <c r="BN1260">
        <v>0</v>
      </c>
      <c r="BO1260" t="s">
        <v>484</v>
      </c>
      <c r="BP1260">
        <v>1</v>
      </c>
      <c r="BQ1260">
        <v>150</v>
      </c>
      <c r="BR1260">
        <v>0</v>
      </c>
      <c r="BS1260">
        <v>1</v>
      </c>
      <c r="BT1260">
        <v>1</v>
      </c>
      <c r="BU1260">
        <v>1</v>
      </c>
      <c r="BV1260">
        <v>1</v>
      </c>
      <c r="BW1260">
        <v>1</v>
      </c>
      <c r="BX1260">
        <v>1</v>
      </c>
      <c r="BY1260" t="s">
        <v>3</v>
      </c>
      <c r="BZ1260">
        <v>95</v>
      </c>
      <c r="CA1260">
        <v>65</v>
      </c>
      <c r="CB1260" t="s">
        <v>3</v>
      </c>
      <c r="CE1260">
        <v>30</v>
      </c>
      <c r="CF1260">
        <v>0</v>
      </c>
      <c r="CG1260">
        <v>0</v>
      </c>
      <c r="CM1260">
        <v>0</v>
      </c>
      <c r="CN1260" t="s">
        <v>3</v>
      </c>
      <c r="CO1260">
        <v>0</v>
      </c>
      <c r="CP1260">
        <f t="shared" si="1087"/>
        <v>25.73</v>
      </c>
      <c r="CQ1260">
        <f t="shared" si="1088"/>
        <v>0</v>
      </c>
      <c r="CR1260">
        <f t="shared" si="1089"/>
        <v>525.22</v>
      </c>
      <c r="CS1260">
        <f t="shared" si="1090"/>
        <v>0</v>
      </c>
      <c r="CT1260">
        <f t="shared" si="1091"/>
        <v>0</v>
      </c>
      <c r="CU1260">
        <f t="shared" si="1092"/>
        <v>0</v>
      </c>
      <c r="CV1260">
        <f t="shared" si="1093"/>
        <v>0</v>
      </c>
      <c r="CW1260">
        <f t="shared" si="1094"/>
        <v>0</v>
      </c>
      <c r="CX1260">
        <f t="shared" si="1094"/>
        <v>0</v>
      </c>
      <c r="CY1260">
        <f>S1260*(BZ1260/100)</f>
        <v>0</v>
      </c>
      <c r="CZ1260">
        <f>S1260*(CA1260/100)</f>
        <v>0</v>
      </c>
      <c r="DC1260" t="s">
        <v>3</v>
      </c>
      <c r="DD1260" t="s">
        <v>3</v>
      </c>
      <c r="DE1260" t="s">
        <v>3</v>
      </c>
      <c r="DF1260" t="s">
        <v>3</v>
      </c>
      <c r="DG1260" t="s">
        <v>3</v>
      </c>
      <c r="DH1260" t="s">
        <v>3</v>
      </c>
      <c r="DI1260" t="s">
        <v>3</v>
      </c>
      <c r="DJ1260" t="s">
        <v>3</v>
      </c>
      <c r="DK1260" t="s">
        <v>3</v>
      </c>
      <c r="DL1260" t="s">
        <v>3</v>
      </c>
      <c r="DM1260" t="s">
        <v>3</v>
      </c>
      <c r="DN1260">
        <v>0</v>
      </c>
      <c r="DO1260">
        <v>0</v>
      </c>
      <c r="DP1260">
        <v>1</v>
      </c>
      <c r="DQ1260">
        <v>1</v>
      </c>
      <c r="DU1260">
        <v>1009</v>
      </c>
      <c r="DV1260" t="s">
        <v>114</v>
      </c>
      <c r="DW1260" t="s">
        <v>114</v>
      </c>
      <c r="DX1260">
        <v>1000</v>
      </c>
      <c r="DZ1260" t="s">
        <v>3</v>
      </c>
      <c r="EA1260" t="s">
        <v>3</v>
      </c>
      <c r="EB1260" t="s">
        <v>3</v>
      </c>
      <c r="EC1260" t="s">
        <v>3</v>
      </c>
      <c r="EE1260">
        <v>126052574</v>
      </c>
      <c r="EF1260">
        <v>150</v>
      </c>
      <c r="EG1260" t="s">
        <v>487</v>
      </c>
      <c r="EH1260">
        <v>0</v>
      </c>
      <c r="EI1260" t="s">
        <v>3</v>
      </c>
      <c r="EJ1260">
        <v>4</v>
      </c>
      <c r="EK1260">
        <v>1113</v>
      </c>
      <c r="EL1260" t="s">
        <v>488</v>
      </c>
      <c r="EM1260" t="s">
        <v>489</v>
      </c>
      <c r="EO1260" t="s">
        <v>3</v>
      </c>
      <c r="EQ1260">
        <v>131072</v>
      </c>
      <c r="ER1260">
        <v>38.17</v>
      </c>
      <c r="ES1260">
        <v>0</v>
      </c>
      <c r="ET1260">
        <v>38.17</v>
      </c>
      <c r="EU1260">
        <v>0</v>
      </c>
      <c r="EV1260">
        <v>0</v>
      </c>
      <c r="EW1260">
        <v>0</v>
      </c>
      <c r="EX1260">
        <v>0</v>
      </c>
      <c r="EY1260">
        <v>0</v>
      </c>
      <c r="FQ1260">
        <v>0</v>
      </c>
      <c r="FR1260">
        <f t="shared" si="1095"/>
        <v>0</v>
      </c>
      <c r="FS1260">
        <v>0</v>
      </c>
      <c r="FX1260">
        <v>0</v>
      </c>
      <c r="FY1260">
        <v>0</v>
      </c>
      <c r="GA1260" t="s">
        <v>3</v>
      </c>
      <c r="GD1260">
        <v>0</v>
      </c>
      <c r="GF1260">
        <v>1906874950</v>
      </c>
      <c r="GG1260">
        <v>2</v>
      </c>
      <c r="GH1260">
        <v>1</v>
      </c>
      <c r="GI1260">
        <v>2</v>
      </c>
      <c r="GJ1260">
        <v>0</v>
      </c>
      <c r="GK1260">
        <f>ROUND(R1260*(S12)/100,2)</f>
        <v>0</v>
      </c>
      <c r="GL1260">
        <f t="shared" si="1096"/>
        <v>0</v>
      </c>
      <c r="GM1260">
        <f>ROUND(O1260+X1260+Y1260+GK1260,2)+GX1260</f>
        <v>25.73</v>
      </c>
      <c r="GN1260">
        <f>IF(OR(BI1260=0,BI1260=1),ROUND(O1260+X1260+Y1260+GK1260,2),0)</f>
        <v>0</v>
      </c>
      <c r="GO1260">
        <f>IF(BI1260=2,ROUND(O1260+X1260+Y1260+GK1260,2),0)</f>
        <v>0</v>
      </c>
      <c r="GP1260">
        <f>IF(BI1260=4,ROUND(O1260+X1260+Y1260+GK1260,2)+GX1260,0)</f>
        <v>25.73</v>
      </c>
      <c r="GR1260">
        <v>0</v>
      </c>
      <c r="GS1260">
        <v>3</v>
      </c>
      <c r="GT1260">
        <v>0</v>
      </c>
      <c r="GU1260" t="s">
        <v>3</v>
      </c>
      <c r="GV1260">
        <f t="shared" si="1097"/>
        <v>0</v>
      </c>
      <c r="GW1260">
        <v>1</v>
      </c>
      <c r="GX1260">
        <f t="shared" si="1098"/>
        <v>0</v>
      </c>
      <c r="HA1260">
        <v>0</v>
      </c>
      <c r="HB1260">
        <v>0</v>
      </c>
      <c r="HC1260">
        <f t="shared" si="1099"/>
        <v>0</v>
      </c>
      <c r="HE1260" t="s">
        <v>3</v>
      </c>
      <c r="HF1260" t="s">
        <v>3</v>
      </c>
      <c r="HM1260" t="s">
        <v>3</v>
      </c>
      <c r="HN1260" t="s">
        <v>3</v>
      </c>
      <c r="HO1260" t="s">
        <v>3</v>
      </c>
      <c r="HP1260" t="s">
        <v>3</v>
      </c>
      <c r="HQ1260" t="s">
        <v>3</v>
      </c>
      <c r="IK1260">
        <v>0</v>
      </c>
    </row>
    <row r="1261" spans="1:255" x14ac:dyDescent="0.2">
      <c r="A1261" s="2">
        <v>17</v>
      </c>
      <c r="B1261" s="2">
        <v>1</v>
      </c>
      <c r="C1261" s="2">
        <f>ROW(SmtRes!A1073)</f>
        <v>1073</v>
      </c>
      <c r="D1261" s="2">
        <f>ROW(EtalonRes!A1027)</f>
        <v>1027</v>
      </c>
      <c r="E1261" s="2" t="s">
        <v>297</v>
      </c>
      <c r="F1261" s="2" t="s">
        <v>491</v>
      </c>
      <c r="G1261" s="2" t="s">
        <v>492</v>
      </c>
      <c r="H1261" s="2" t="s">
        <v>179</v>
      </c>
      <c r="I1261" s="2">
        <v>4.8899999999999999E-2</v>
      </c>
      <c r="J1261" s="2">
        <v>0</v>
      </c>
      <c r="K1261" s="2">
        <v>4.8899999999999999E-2</v>
      </c>
      <c r="L1261" s="2"/>
      <c r="M1261" s="2"/>
      <c r="N1261" s="2"/>
      <c r="O1261" s="2">
        <f t="shared" si="1070"/>
        <v>1.55</v>
      </c>
      <c r="P1261" s="2">
        <f t="shared" si="1071"/>
        <v>0</v>
      </c>
      <c r="Q1261" s="2">
        <f t="shared" si="1072"/>
        <v>1.55</v>
      </c>
      <c r="R1261" s="2">
        <f t="shared" si="1073"/>
        <v>0</v>
      </c>
      <c r="S1261" s="2">
        <f t="shared" si="1074"/>
        <v>0</v>
      </c>
      <c r="T1261" s="2">
        <f t="shared" si="1075"/>
        <v>0</v>
      </c>
      <c r="U1261" s="2">
        <f t="shared" si="1076"/>
        <v>0</v>
      </c>
      <c r="V1261" s="2">
        <f t="shared" si="1077"/>
        <v>0</v>
      </c>
      <c r="W1261" s="2">
        <f t="shared" si="1078"/>
        <v>0</v>
      </c>
      <c r="X1261" s="2">
        <f t="shared" si="1079"/>
        <v>0</v>
      </c>
      <c r="Y1261" s="2">
        <f t="shared" si="1079"/>
        <v>0</v>
      </c>
      <c r="Z1261" s="2"/>
      <c r="AA1261" s="2">
        <v>129761636</v>
      </c>
      <c r="AB1261" s="2">
        <f t="shared" si="1080"/>
        <v>31.67</v>
      </c>
      <c r="AC1261" s="2">
        <f t="shared" si="1081"/>
        <v>0</v>
      </c>
      <c r="AD1261" s="2">
        <f t="shared" si="1082"/>
        <v>31.67</v>
      </c>
      <c r="AE1261" s="2">
        <f t="shared" si="1083"/>
        <v>0</v>
      </c>
      <c r="AF1261" s="2">
        <f t="shared" si="1083"/>
        <v>0</v>
      </c>
      <c r="AG1261" s="2">
        <f t="shared" si="1084"/>
        <v>0</v>
      </c>
      <c r="AH1261" s="2">
        <f t="shared" si="1085"/>
        <v>0</v>
      </c>
      <c r="AI1261" s="2">
        <f t="shared" si="1085"/>
        <v>0</v>
      </c>
      <c r="AJ1261" s="2">
        <f t="shared" si="1086"/>
        <v>0</v>
      </c>
      <c r="AK1261" s="2">
        <v>31.67</v>
      </c>
      <c r="AL1261" s="2">
        <v>0</v>
      </c>
      <c r="AM1261" s="2">
        <v>31.67</v>
      </c>
      <c r="AN1261" s="2">
        <v>0</v>
      </c>
      <c r="AO1261" s="2">
        <v>0</v>
      </c>
      <c r="AP1261" s="2">
        <v>0</v>
      </c>
      <c r="AQ1261" s="2">
        <v>0</v>
      </c>
      <c r="AR1261" s="2">
        <v>0</v>
      </c>
      <c r="AS1261" s="2">
        <v>0</v>
      </c>
      <c r="AT1261" s="2">
        <v>0</v>
      </c>
      <c r="AU1261" s="2">
        <v>0</v>
      </c>
      <c r="AV1261" s="2">
        <v>1</v>
      </c>
      <c r="AW1261" s="2">
        <v>1</v>
      </c>
      <c r="AX1261" s="2"/>
      <c r="AY1261" s="2"/>
      <c r="AZ1261" s="2">
        <v>1</v>
      </c>
      <c r="BA1261" s="2">
        <v>1</v>
      </c>
      <c r="BB1261" s="2">
        <v>1</v>
      </c>
      <c r="BC1261" s="2">
        <v>1</v>
      </c>
      <c r="BD1261" s="2" t="s">
        <v>3</v>
      </c>
      <c r="BE1261" s="2" t="s">
        <v>3</v>
      </c>
      <c r="BF1261" s="2" t="s">
        <v>3</v>
      </c>
      <c r="BG1261" s="2" t="s">
        <v>3</v>
      </c>
      <c r="BH1261" s="2">
        <v>0</v>
      </c>
      <c r="BI1261" s="2">
        <v>4</v>
      </c>
      <c r="BJ1261" s="2" t="s">
        <v>493</v>
      </c>
      <c r="BK1261" s="2"/>
      <c r="BL1261" s="2"/>
      <c r="BM1261" s="2">
        <v>1113</v>
      </c>
      <c r="BN1261" s="2">
        <v>0</v>
      </c>
      <c r="BO1261" s="2" t="s">
        <v>3</v>
      </c>
      <c r="BP1261" s="2">
        <v>0</v>
      </c>
      <c r="BQ1261" s="2">
        <v>150</v>
      </c>
      <c r="BR1261" s="2">
        <v>0</v>
      </c>
      <c r="BS1261" s="2">
        <v>1</v>
      </c>
      <c r="BT1261" s="2">
        <v>1</v>
      </c>
      <c r="BU1261" s="2">
        <v>1</v>
      </c>
      <c r="BV1261" s="2">
        <v>1</v>
      </c>
      <c r="BW1261" s="2">
        <v>1</v>
      </c>
      <c r="BX1261" s="2">
        <v>1</v>
      </c>
      <c r="BY1261" s="2" t="s">
        <v>3</v>
      </c>
      <c r="BZ1261" s="2">
        <v>0</v>
      </c>
      <c r="CA1261" s="2">
        <v>0</v>
      </c>
      <c r="CB1261" s="2" t="s">
        <v>3</v>
      </c>
      <c r="CC1261" s="2"/>
      <c r="CD1261" s="2"/>
      <c r="CE1261" s="2">
        <v>30</v>
      </c>
      <c r="CF1261" s="2">
        <v>0</v>
      </c>
      <c r="CG1261" s="2">
        <v>0</v>
      </c>
      <c r="CH1261" s="2"/>
      <c r="CI1261" s="2"/>
      <c r="CJ1261" s="2"/>
      <c r="CK1261" s="2"/>
      <c r="CL1261" s="2"/>
      <c r="CM1261" s="2">
        <v>0</v>
      </c>
      <c r="CN1261" s="2" t="s">
        <v>3</v>
      </c>
      <c r="CO1261" s="2">
        <v>0</v>
      </c>
      <c r="CP1261" s="2">
        <f t="shared" si="1087"/>
        <v>1.55</v>
      </c>
      <c r="CQ1261" s="2">
        <f t="shared" si="1088"/>
        <v>0</v>
      </c>
      <c r="CR1261" s="2">
        <f t="shared" si="1089"/>
        <v>31.67</v>
      </c>
      <c r="CS1261" s="2">
        <f t="shared" si="1090"/>
        <v>0</v>
      </c>
      <c r="CT1261" s="2">
        <f t="shared" si="1091"/>
        <v>0</v>
      </c>
      <c r="CU1261" s="2">
        <f t="shared" si="1092"/>
        <v>0</v>
      </c>
      <c r="CV1261" s="2">
        <f t="shared" si="1093"/>
        <v>0</v>
      </c>
      <c r="CW1261" s="2">
        <f t="shared" si="1094"/>
        <v>0</v>
      </c>
      <c r="CX1261" s="2">
        <f t="shared" si="1094"/>
        <v>0</v>
      </c>
      <c r="CY1261" s="2">
        <f>((S1261*BZ1261)/100)</f>
        <v>0</v>
      </c>
      <c r="CZ1261" s="2">
        <f>((S1261*CA1261)/100)</f>
        <v>0</v>
      </c>
      <c r="DA1261" s="2"/>
      <c r="DB1261" s="2"/>
      <c r="DC1261" s="2" t="s">
        <v>3</v>
      </c>
      <c r="DD1261" s="2" t="s">
        <v>3</v>
      </c>
      <c r="DE1261" s="2" t="s">
        <v>3</v>
      </c>
      <c r="DF1261" s="2" t="s">
        <v>3</v>
      </c>
      <c r="DG1261" s="2" t="s">
        <v>3</v>
      </c>
      <c r="DH1261" s="2" t="s">
        <v>3</v>
      </c>
      <c r="DI1261" s="2" t="s">
        <v>3</v>
      </c>
      <c r="DJ1261" s="2" t="s">
        <v>3</v>
      </c>
      <c r="DK1261" s="2" t="s">
        <v>3</v>
      </c>
      <c r="DL1261" s="2" t="s">
        <v>3</v>
      </c>
      <c r="DM1261" s="2" t="s">
        <v>3</v>
      </c>
      <c r="DN1261" s="2">
        <v>0</v>
      </c>
      <c r="DO1261" s="2">
        <v>0</v>
      </c>
      <c r="DP1261" s="2">
        <v>1</v>
      </c>
      <c r="DQ1261" s="2">
        <v>1</v>
      </c>
      <c r="DR1261" s="2"/>
      <c r="DS1261" s="2"/>
      <c r="DT1261" s="2"/>
      <c r="DU1261" s="2">
        <v>1013</v>
      </c>
      <c r="DV1261" s="2" t="s">
        <v>179</v>
      </c>
      <c r="DW1261" s="2" t="s">
        <v>179</v>
      </c>
      <c r="DX1261" s="2">
        <v>1</v>
      </c>
      <c r="DY1261" s="2"/>
      <c r="DZ1261" s="2" t="s">
        <v>3</v>
      </c>
      <c r="EA1261" s="2" t="s">
        <v>3</v>
      </c>
      <c r="EB1261" s="2" t="s">
        <v>3</v>
      </c>
      <c r="EC1261" s="2" t="s">
        <v>3</v>
      </c>
      <c r="ED1261" s="2"/>
      <c r="EE1261" s="2">
        <v>126052574</v>
      </c>
      <c r="EF1261" s="2">
        <v>150</v>
      </c>
      <c r="EG1261" s="2" t="s">
        <v>487</v>
      </c>
      <c r="EH1261" s="2">
        <v>0</v>
      </c>
      <c r="EI1261" s="2" t="s">
        <v>3</v>
      </c>
      <c r="EJ1261" s="2">
        <v>4</v>
      </c>
      <c r="EK1261" s="2">
        <v>1113</v>
      </c>
      <c r="EL1261" s="2" t="s">
        <v>488</v>
      </c>
      <c r="EM1261" s="2" t="s">
        <v>489</v>
      </c>
      <c r="EN1261" s="2"/>
      <c r="EO1261" s="2" t="s">
        <v>3</v>
      </c>
      <c r="EP1261" s="2"/>
      <c r="EQ1261" s="2">
        <v>131072</v>
      </c>
      <c r="ER1261" s="2">
        <v>31.67</v>
      </c>
      <c r="ES1261" s="2">
        <v>0</v>
      </c>
      <c r="ET1261" s="2">
        <v>31.67</v>
      </c>
      <c r="EU1261" s="2">
        <v>0</v>
      </c>
      <c r="EV1261" s="2">
        <v>0</v>
      </c>
      <c r="EW1261" s="2">
        <v>0</v>
      </c>
      <c r="EX1261" s="2">
        <v>0</v>
      </c>
      <c r="EY1261" s="2">
        <v>0</v>
      </c>
      <c r="EZ1261" s="2"/>
      <c r="FA1261" s="2"/>
      <c r="FB1261" s="2"/>
      <c r="FC1261" s="2"/>
      <c r="FD1261" s="2"/>
      <c r="FE1261" s="2"/>
      <c r="FF1261" s="2"/>
      <c r="FG1261" s="2"/>
      <c r="FH1261" s="2"/>
      <c r="FI1261" s="2"/>
      <c r="FJ1261" s="2"/>
      <c r="FK1261" s="2"/>
      <c r="FL1261" s="2"/>
      <c r="FM1261" s="2"/>
      <c r="FN1261" s="2"/>
      <c r="FO1261" s="2"/>
      <c r="FP1261" s="2"/>
      <c r="FQ1261" s="2">
        <v>0</v>
      </c>
      <c r="FR1261" s="2">
        <f t="shared" si="1095"/>
        <v>0</v>
      </c>
      <c r="FS1261" s="2">
        <v>0</v>
      </c>
      <c r="FT1261" s="2"/>
      <c r="FU1261" s="2"/>
      <c r="FV1261" s="2"/>
      <c r="FW1261" s="2"/>
      <c r="FX1261" s="2">
        <v>0</v>
      </c>
      <c r="FY1261" s="2">
        <v>0</v>
      </c>
      <c r="FZ1261" s="2"/>
      <c r="GA1261" s="2" t="s">
        <v>3</v>
      </c>
      <c r="GB1261" s="2"/>
      <c r="GC1261" s="2"/>
      <c r="GD1261" s="2">
        <v>1</v>
      </c>
      <c r="GE1261" s="2"/>
      <c r="GF1261" s="2">
        <v>-228259164</v>
      </c>
      <c r="GG1261" s="2">
        <v>2</v>
      </c>
      <c r="GH1261" s="2">
        <v>1</v>
      </c>
      <c r="GI1261" s="2">
        <v>-2</v>
      </c>
      <c r="GJ1261" s="2">
        <v>0</v>
      </c>
      <c r="GK1261" s="2">
        <v>0</v>
      </c>
      <c r="GL1261" s="2">
        <f t="shared" si="1096"/>
        <v>0</v>
      </c>
      <c r="GM1261" s="2">
        <f>ROUND(O1261+X1261+Y1261,2)+GX1261</f>
        <v>1.55</v>
      </c>
      <c r="GN1261" s="2">
        <f>IF(OR(BI1261=0,BI1261=1),ROUND(O1261+X1261+Y1261,2),0)</f>
        <v>0</v>
      </c>
      <c r="GO1261" s="2">
        <f>IF(BI1261=2,ROUND(O1261+X1261+Y1261,2),0)</f>
        <v>0</v>
      </c>
      <c r="GP1261" s="2">
        <f>IF(BI1261=4,ROUND(O1261+X1261+Y1261,2)+GX1261,0)</f>
        <v>1.55</v>
      </c>
      <c r="GQ1261" s="2"/>
      <c r="GR1261" s="2">
        <v>0</v>
      </c>
      <c r="GS1261" s="2">
        <v>0</v>
      </c>
      <c r="GT1261" s="2">
        <v>0</v>
      </c>
      <c r="GU1261" s="2" t="s">
        <v>3</v>
      </c>
      <c r="GV1261" s="2">
        <f t="shared" si="1097"/>
        <v>0</v>
      </c>
      <c r="GW1261" s="2">
        <v>1</v>
      </c>
      <c r="GX1261" s="2">
        <f t="shared" si="1098"/>
        <v>0</v>
      </c>
      <c r="GY1261" s="2"/>
      <c r="GZ1261" s="2"/>
      <c r="HA1261" s="2">
        <v>0</v>
      </c>
      <c r="HB1261" s="2">
        <v>0</v>
      </c>
      <c r="HC1261" s="2">
        <f t="shared" si="1099"/>
        <v>0</v>
      </c>
      <c r="HD1261" s="2"/>
      <c r="HE1261" s="2" t="s">
        <v>3</v>
      </c>
      <c r="HF1261" s="2" t="s">
        <v>3</v>
      </c>
      <c r="HG1261" s="2"/>
      <c r="HH1261" s="2"/>
      <c r="HI1261" s="2"/>
      <c r="HJ1261" s="2"/>
      <c r="HK1261" s="2"/>
      <c r="HL1261" s="2"/>
      <c r="HM1261" s="2" t="s">
        <v>3</v>
      </c>
      <c r="HN1261" s="2" t="s">
        <v>3</v>
      </c>
      <c r="HO1261" s="2" t="s">
        <v>3</v>
      </c>
      <c r="HP1261" s="2" t="s">
        <v>3</v>
      </c>
      <c r="HQ1261" s="2" t="s">
        <v>3</v>
      </c>
      <c r="HR1261" s="2"/>
      <c r="HS1261" s="2"/>
      <c r="HT1261" s="2"/>
      <c r="HU1261" s="2"/>
      <c r="HV1261" s="2"/>
      <c r="HW1261" s="2"/>
      <c r="HX1261" s="2"/>
      <c r="HY1261" s="2"/>
      <c r="HZ1261" s="2"/>
      <c r="IA1261" s="2"/>
      <c r="IB1261" s="2"/>
      <c r="IC1261" s="2"/>
      <c r="ID1261" s="2"/>
      <c r="IE1261" s="2"/>
      <c r="IF1261" s="2"/>
      <c r="IG1261" s="2"/>
      <c r="IH1261" s="2"/>
      <c r="II1261" s="2"/>
      <c r="IJ1261" s="2"/>
      <c r="IK1261" s="2">
        <v>0</v>
      </c>
      <c r="IL1261" s="2"/>
      <c r="IM1261" s="2"/>
      <c r="IN1261" s="2"/>
      <c r="IO1261" s="2"/>
      <c r="IP1261" s="2"/>
      <c r="IQ1261" s="2"/>
      <c r="IR1261" s="2"/>
      <c r="IS1261" s="2"/>
      <c r="IT1261" s="2"/>
      <c r="IU1261" s="2"/>
    </row>
    <row r="1262" spans="1:255" x14ac:dyDescent="0.2">
      <c r="A1262">
        <v>17</v>
      </c>
      <c r="B1262">
        <v>1</v>
      </c>
      <c r="C1262">
        <f>ROW(SmtRes!A1074)</f>
        <v>1074</v>
      </c>
      <c r="D1262">
        <f>ROW(EtalonRes!A1028)</f>
        <v>1028</v>
      </c>
      <c r="E1262" t="s">
        <v>297</v>
      </c>
      <c r="F1262" t="s">
        <v>491</v>
      </c>
      <c r="G1262" t="s">
        <v>492</v>
      </c>
      <c r="H1262" t="s">
        <v>179</v>
      </c>
      <c r="I1262">
        <v>4.8899999999999999E-2</v>
      </c>
      <c r="J1262">
        <v>0</v>
      </c>
      <c r="K1262">
        <v>4.8899999999999999E-2</v>
      </c>
      <c r="O1262">
        <f t="shared" si="1070"/>
        <v>67.22</v>
      </c>
      <c r="P1262">
        <f t="shared" si="1071"/>
        <v>0</v>
      </c>
      <c r="Q1262">
        <f t="shared" si="1072"/>
        <v>67.22</v>
      </c>
      <c r="R1262">
        <f t="shared" si="1073"/>
        <v>0</v>
      </c>
      <c r="S1262">
        <f t="shared" si="1074"/>
        <v>0</v>
      </c>
      <c r="T1262">
        <f t="shared" si="1075"/>
        <v>0</v>
      </c>
      <c r="U1262">
        <f t="shared" si="1076"/>
        <v>0</v>
      </c>
      <c r="V1262">
        <f t="shared" si="1077"/>
        <v>0</v>
      </c>
      <c r="W1262">
        <f t="shared" si="1078"/>
        <v>0</v>
      </c>
      <c r="X1262">
        <f t="shared" si="1079"/>
        <v>0</v>
      </c>
      <c r="Y1262">
        <f t="shared" si="1079"/>
        <v>0</v>
      </c>
      <c r="AA1262">
        <v>129761633</v>
      </c>
      <c r="AB1262">
        <f t="shared" si="1080"/>
        <v>31.67</v>
      </c>
      <c r="AC1262">
        <f t="shared" si="1081"/>
        <v>0</v>
      </c>
      <c r="AD1262">
        <f t="shared" si="1082"/>
        <v>31.67</v>
      </c>
      <c r="AE1262">
        <f t="shared" si="1083"/>
        <v>0</v>
      </c>
      <c r="AF1262">
        <f t="shared" si="1083"/>
        <v>0</v>
      </c>
      <c r="AG1262">
        <f t="shared" si="1084"/>
        <v>0</v>
      </c>
      <c r="AH1262">
        <f t="shared" si="1085"/>
        <v>0</v>
      </c>
      <c r="AI1262">
        <f t="shared" si="1085"/>
        <v>0</v>
      </c>
      <c r="AJ1262">
        <f t="shared" si="1086"/>
        <v>0</v>
      </c>
      <c r="AK1262">
        <v>31.67</v>
      </c>
      <c r="AL1262">
        <v>0</v>
      </c>
      <c r="AM1262">
        <v>31.67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95</v>
      </c>
      <c r="AU1262">
        <v>65</v>
      </c>
      <c r="AV1262">
        <v>1</v>
      </c>
      <c r="AW1262">
        <v>1</v>
      </c>
      <c r="AZ1262">
        <v>1</v>
      </c>
      <c r="BA1262">
        <v>1</v>
      </c>
      <c r="BB1262">
        <v>43.37</v>
      </c>
      <c r="BC1262">
        <v>1</v>
      </c>
      <c r="BD1262" t="s">
        <v>3</v>
      </c>
      <c r="BE1262" t="s">
        <v>3</v>
      </c>
      <c r="BF1262" t="s">
        <v>3</v>
      </c>
      <c r="BG1262" t="s">
        <v>3</v>
      </c>
      <c r="BH1262">
        <v>0</v>
      </c>
      <c r="BI1262">
        <v>4</v>
      </c>
      <c r="BJ1262" t="s">
        <v>493</v>
      </c>
      <c r="BM1262">
        <v>1113</v>
      </c>
      <c r="BN1262">
        <v>0</v>
      </c>
      <c r="BO1262" t="s">
        <v>491</v>
      </c>
      <c r="BP1262">
        <v>1</v>
      </c>
      <c r="BQ1262">
        <v>150</v>
      </c>
      <c r="BR1262">
        <v>0</v>
      </c>
      <c r="BS1262">
        <v>1</v>
      </c>
      <c r="BT1262">
        <v>1</v>
      </c>
      <c r="BU1262">
        <v>1</v>
      </c>
      <c r="BV1262">
        <v>1</v>
      </c>
      <c r="BW1262">
        <v>1</v>
      </c>
      <c r="BX1262">
        <v>1</v>
      </c>
      <c r="BY1262" t="s">
        <v>3</v>
      </c>
      <c r="BZ1262">
        <v>95</v>
      </c>
      <c r="CA1262">
        <v>65</v>
      </c>
      <c r="CB1262" t="s">
        <v>3</v>
      </c>
      <c r="CE1262">
        <v>30</v>
      </c>
      <c r="CF1262">
        <v>0</v>
      </c>
      <c r="CG1262">
        <v>0</v>
      </c>
      <c r="CM1262">
        <v>0</v>
      </c>
      <c r="CN1262" t="s">
        <v>3</v>
      </c>
      <c r="CO1262">
        <v>0</v>
      </c>
      <c r="CP1262">
        <f t="shared" si="1087"/>
        <v>67.22</v>
      </c>
      <c r="CQ1262">
        <f t="shared" si="1088"/>
        <v>0</v>
      </c>
      <c r="CR1262">
        <f t="shared" si="1089"/>
        <v>1373.53</v>
      </c>
      <c r="CS1262">
        <f t="shared" si="1090"/>
        <v>0</v>
      </c>
      <c r="CT1262">
        <f t="shared" si="1091"/>
        <v>0</v>
      </c>
      <c r="CU1262">
        <f t="shared" si="1092"/>
        <v>0</v>
      </c>
      <c r="CV1262">
        <f t="shared" si="1093"/>
        <v>0</v>
      </c>
      <c r="CW1262">
        <f t="shared" si="1094"/>
        <v>0</v>
      </c>
      <c r="CX1262">
        <f t="shared" si="1094"/>
        <v>0</v>
      </c>
      <c r="CY1262">
        <f>S1262*(BZ1262/100)</f>
        <v>0</v>
      </c>
      <c r="CZ1262">
        <f>S1262*(CA1262/100)</f>
        <v>0</v>
      </c>
      <c r="DC1262" t="s">
        <v>3</v>
      </c>
      <c r="DD1262" t="s">
        <v>3</v>
      </c>
      <c r="DE1262" t="s">
        <v>3</v>
      </c>
      <c r="DF1262" t="s">
        <v>3</v>
      </c>
      <c r="DG1262" t="s">
        <v>3</v>
      </c>
      <c r="DH1262" t="s">
        <v>3</v>
      </c>
      <c r="DI1262" t="s">
        <v>3</v>
      </c>
      <c r="DJ1262" t="s">
        <v>3</v>
      </c>
      <c r="DK1262" t="s">
        <v>3</v>
      </c>
      <c r="DL1262" t="s">
        <v>3</v>
      </c>
      <c r="DM1262" t="s">
        <v>3</v>
      </c>
      <c r="DN1262">
        <v>0</v>
      </c>
      <c r="DO1262">
        <v>0</v>
      </c>
      <c r="DP1262">
        <v>1</v>
      </c>
      <c r="DQ1262">
        <v>1</v>
      </c>
      <c r="DU1262">
        <v>1013</v>
      </c>
      <c r="DV1262" t="s">
        <v>179</v>
      </c>
      <c r="DW1262" t="s">
        <v>179</v>
      </c>
      <c r="DX1262">
        <v>1</v>
      </c>
      <c r="DZ1262" t="s">
        <v>3</v>
      </c>
      <c r="EA1262" t="s">
        <v>3</v>
      </c>
      <c r="EB1262" t="s">
        <v>3</v>
      </c>
      <c r="EC1262" t="s">
        <v>3</v>
      </c>
      <c r="EE1262">
        <v>126052574</v>
      </c>
      <c r="EF1262">
        <v>150</v>
      </c>
      <c r="EG1262" t="s">
        <v>487</v>
      </c>
      <c r="EH1262">
        <v>0</v>
      </c>
      <c r="EI1262" t="s">
        <v>3</v>
      </c>
      <c r="EJ1262">
        <v>4</v>
      </c>
      <c r="EK1262">
        <v>1113</v>
      </c>
      <c r="EL1262" t="s">
        <v>488</v>
      </c>
      <c r="EM1262" t="s">
        <v>489</v>
      </c>
      <c r="EO1262" t="s">
        <v>3</v>
      </c>
      <c r="EQ1262">
        <v>131072</v>
      </c>
      <c r="ER1262">
        <v>31.67</v>
      </c>
      <c r="ES1262">
        <v>0</v>
      </c>
      <c r="ET1262">
        <v>31.67</v>
      </c>
      <c r="EU1262">
        <v>0</v>
      </c>
      <c r="EV1262">
        <v>0</v>
      </c>
      <c r="EW1262">
        <v>0</v>
      </c>
      <c r="EX1262">
        <v>0</v>
      </c>
      <c r="EY1262">
        <v>0</v>
      </c>
      <c r="FQ1262">
        <v>0</v>
      </c>
      <c r="FR1262">
        <f t="shared" si="1095"/>
        <v>0</v>
      </c>
      <c r="FS1262">
        <v>0</v>
      </c>
      <c r="FX1262">
        <v>0</v>
      </c>
      <c r="FY1262">
        <v>0</v>
      </c>
      <c r="GA1262" t="s">
        <v>3</v>
      </c>
      <c r="GD1262">
        <v>0</v>
      </c>
      <c r="GF1262">
        <v>-228259164</v>
      </c>
      <c r="GG1262">
        <v>2</v>
      </c>
      <c r="GH1262">
        <v>1</v>
      </c>
      <c r="GI1262">
        <v>2</v>
      </c>
      <c r="GJ1262">
        <v>0</v>
      </c>
      <c r="GK1262">
        <f>ROUND(R1262*(S12)/100,2)</f>
        <v>0</v>
      </c>
      <c r="GL1262">
        <f t="shared" si="1096"/>
        <v>0</v>
      </c>
      <c r="GM1262">
        <f>ROUND(O1262+X1262+Y1262+GK1262,2)+GX1262</f>
        <v>67.22</v>
      </c>
      <c r="GN1262">
        <f>IF(OR(BI1262=0,BI1262=1),ROUND(O1262+X1262+Y1262+GK1262,2),0)</f>
        <v>0</v>
      </c>
      <c r="GO1262">
        <f>IF(BI1262=2,ROUND(O1262+X1262+Y1262+GK1262,2),0)</f>
        <v>0</v>
      </c>
      <c r="GP1262">
        <f>IF(BI1262=4,ROUND(O1262+X1262+Y1262+GK1262,2)+GX1262,0)</f>
        <v>67.22</v>
      </c>
      <c r="GR1262">
        <v>0</v>
      </c>
      <c r="GS1262">
        <v>3</v>
      </c>
      <c r="GT1262">
        <v>0</v>
      </c>
      <c r="GU1262" t="s">
        <v>3</v>
      </c>
      <c r="GV1262">
        <f t="shared" si="1097"/>
        <v>0</v>
      </c>
      <c r="GW1262">
        <v>1</v>
      </c>
      <c r="GX1262">
        <f t="shared" si="1098"/>
        <v>0</v>
      </c>
      <c r="HA1262">
        <v>0</v>
      </c>
      <c r="HB1262">
        <v>0</v>
      </c>
      <c r="HC1262">
        <f t="shared" si="1099"/>
        <v>0</v>
      </c>
      <c r="HE1262" t="s">
        <v>3</v>
      </c>
      <c r="HF1262" t="s">
        <v>3</v>
      </c>
      <c r="HM1262" t="s">
        <v>3</v>
      </c>
      <c r="HN1262" t="s">
        <v>3</v>
      </c>
      <c r="HO1262" t="s">
        <v>3</v>
      </c>
      <c r="HP1262" t="s">
        <v>3</v>
      </c>
      <c r="HQ1262" t="s">
        <v>3</v>
      </c>
      <c r="IK1262">
        <v>0</v>
      </c>
    </row>
    <row r="1264" spans="1:255" x14ac:dyDescent="0.2">
      <c r="A1264" s="3">
        <v>51</v>
      </c>
      <c r="B1264" s="3">
        <f>B1253</f>
        <v>1</v>
      </c>
      <c r="C1264" s="3">
        <f>A1253</f>
        <v>4</v>
      </c>
      <c r="D1264" s="3">
        <f>ROW(A1253)</f>
        <v>1253</v>
      </c>
      <c r="E1264" s="3"/>
      <c r="F1264" s="3" t="str">
        <f>IF(F1253&lt;&gt;"",F1253,"")</f>
        <v>Новый раздел</v>
      </c>
      <c r="G1264" s="3" t="str">
        <f>IF(G1253&lt;&gt;"",G1253,"")</f>
        <v>Прочие работы</v>
      </c>
      <c r="H1264" s="3">
        <v>0</v>
      </c>
      <c r="I1264" s="3"/>
      <c r="J1264" s="3"/>
      <c r="K1264" s="3"/>
      <c r="L1264" s="3"/>
      <c r="M1264" s="3"/>
      <c r="N1264" s="3"/>
      <c r="O1264" s="3">
        <f t="shared" ref="O1264:T1264" si="1100">ROUND(AB1264,2)</f>
        <v>3.85</v>
      </c>
      <c r="P1264" s="3">
        <f t="shared" si="1100"/>
        <v>0</v>
      </c>
      <c r="Q1264" s="3">
        <f t="shared" si="1100"/>
        <v>3.85</v>
      </c>
      <c r="R1264" s="3">
        <f t="shared" si="1100"/>
        <v>7.0000000000000007E-2</v>
      </c>
      <c r="S1264" s="3">
        <f t="shared" si="1100"/>
        <v>0</v>
      </c>
      <c r="T1264" s="3">
        <f t="shared" si="1100"/>
        <v>0</v>
      </c>
      <c r="U1264" s="3">
        <f>AH1264</f>
        <v>0</v>
      </c>
      <c r="V1264" s="3">
        <f>AI1264</f>
        <v>0</v>
      </c>
      <c r="W1264" s="3">
        <f>ROUND(AJ1264,2)</f>
        <v>0</v>
      </c>
      <c r="X1264" s="3">
        <f>ROUND(AK1264,2)</f>
        <v>0</v>
      </c>
      <c r="Y1264" s="3">
        <f>ROUND(AL1264,2)</f>
        <v>0</v>
      </c>
      <c r="Z1264" s="3"/>
      <c r="AA1264" s="3"/>
      <c r="AB1264" s="3">
        <f>ROUND(SUMIF(AA1257:AA1262,"=129761636",O1257:O1262),2)</f>
        <v>3.85</v>
      </c>
      <c r="AC1264" s="3">
        <f>ROUND(SUMIF(AA1257:AA1262,"=129761636",P1257:P1262),2)</f>
        <v>0</v>
      </c>
      <c r="AD1264" s="3">
        <f>ROUND(SUMIF(AA1257:AA1262,"=129761636",Q1257:Q1262),2)</f>
        <v>3.85</v>
      </c>
      <c r="AE1264" s="3">
        <f>ROUND(SUMIF(AA1257:AA1262,"=129761636",R1257:R1262),2)</f>
        <v>7.0000000000000007E-2</v>
      </c>
      <c r="AF1264" s="3">
        <f>ROUND(SUMIF(AA1257:AA1262,"=129761636",S1257:S1262),2)</f>
        <v>0</v>
      </c>
      <c r="AG1264" s="3">
        <f>ROUND(SUMIF(AA1257:AA1262,"=129761636",T1257:T1262),2)</f>
        <v>0</v>
      </c>
      <c r="AH1264" s="3">
        <f>SUMIF(AA1257:AA1262,"=129761636",U1257:U1262)</f>
        <v>0</v>
      </c>
      <c r="AI1264" s="3">
        <f>SUMIF(AA1257:AA1262,"=129761636",V1257:V1262)</f>
        <v>0</v>
      </c>
      <c r="AJ1264" s="3">
        <f>ROUND(SUMIF(AA1257:AA1262,"=129761636",W1257:W1262),2)</f>
        <v>0</v>
      </c>
      <c r="AK1264" s="3">
        <f>ROUND(SUMIF(AA1257:AA1262,"=129761636",X1257:X1262),2)</f>
        <v>0</v>
      </c>
      <c r="AL1264" s="3">
        <f>ROUND(SUMIF(AA1257:AA1262,"=129761636",Y1257:Y1262),2)</f>
        <v>0</v>
      </c>
      <c r="AM1264" s="3"/>
      <c r="AN1264" s="3"/>
      <c r="AO1264" s="3">
        <f t="shared" ref="AO1264:BD1264" si="1101">ROUND(BX1264,2)</f>
        <v>0</v>
      </c>
      <c r="AP1264" s="3">
        <f t="shared" si="1101"/>
        <v>0</v>
      </c>
      <c r="AQ1264" s="3">
        <f t="shared" si="1101"/>
        <v>0</v>
      </c>
      <c r="AR1264" s="3">
        <f t="shared" si="1101"/>
        <v>3.97</v>
      </c>
      <c r="AS1264" s="3">
        <f t="shared" si="1101"/>
        <v>0.55000000000000004</v>
      </c>
      <c r="AT1264" s="3">
        <f t="shared" si="1101"/>
        <v>0</v>
      </c>
      <c r="AU1264" s="3">
        <f t="shared" si="1101"/>
        <v>3.42</v>
      </c>
      <c r="AV1264" s="3">
        <f t="shared" si="1101"/>
        <v>0</v>
      </c>
      <c r="AW1264" s="3">
        <f t="shared" si="1101"/>
        <v>0</v>
      </c>
      <c r="AX1264" s="3">
        <f t="shared" si="1101"/>
        <v>0</v>
      </c>
      <c r="AY1264" s="3">
        <f t="shared" si="1101"/>
        <v>0</v>
      </c>
      <c r="AZ1264" s="3">
        <f t="shared" si="1101"/>
        <v>0</v>
      </c>
      <c r="BA1264" s="3">
        <f t="shared" si="1101"/>
        <v>0</v>
      </c>
      <c r="BB1264" s="3">
        <f t="shared" si="1101"/>
        <v>0</v>
      </c>
      <c r="BC1264" s="3">
        <f t="shared" si="1101"/>
        <v>0</v>
      </c>
      <c r="BD1264" s="3">
        <f t="shared" si="1101"/>
        <v>0</v>
      </c>
      <c r="BE1264" s="3"/>
      <c r="BF1264" s="3"/>
      <c r="BG1264" s="3"/>
      <c r="BH1264" s="3"/>
      <c r="BI1264" s="3"/>
      <c r="BJ1264" s="3"/>
      <c r="BK1264" s="3"/>
      <c r="BL1264" s="3"/>
      <c r="BM1264" s="3"/>
      <c r="BN1264" s="3"/>
      <c r="BO1264" s="3"/>
      <c r="BP1264" s="3"/>
      <c r="BQ1264" s="3"/>
      <c r="BR1264" s="3"/>
      <c r="BS1264" s="3"/>
      <c r="BT1264" s="3"/>
      <c r="BU1264" s="3"/>
      <c r="BV1264" s="3"/>
      <c r="BW1264" s="3"/>
      <c r="BX1264" s="3">
        <f>ROUND(SUMIF(AA1257:AA1262,"=129761636",FQ1257:FQ1262),2)</f>
        <v>0</v>
      </c>
      <c r="BY1264" s="3">
        <f>ROUND(SUMIF(AA1257:AA1262,"=129761636",FR1257:FR1262),2)</f>
        <v>0</v>
      </c>
      <c r="BZ1264" s="3">
        <f>ROUND(SUMIF(AA1257:AA1262,"=129761636",GL1257:GL1262),2)</f>
        <v>0</v>
      </c>
      <c r="CA1264" s="3">
        <f>ROUND(SUMIF(AA1257:AA1262,"=129761636",GM1257:GM1262),2)</f>
        <v>3.97</v>
      </c>
      <c r="CB1264" s="3">
        <f>ROUND(SUMIF(AA1257:AA1262,"=129761636",GN1257:GN1262),2)</f>
        <v>0.55000000000000004</v>
      </c>
      <c r="CC1264" s="3">
        <f>ROUND(SUMIF(AA1257:AA1262,"=129761636",GO1257:GO1262),2)</f>
        <v>0</v>
      </c>
      <c r="CD1264" s="3">
        <f>ROUND(SUMIF(AA1257:AA1262,"=129761636",GP1257:GP1262),2)</f>
        <v>3.42</v>
      </c>
      <c r="CE1264" s="3">
        <f>AC1264-BX1264</f>
        <v>0</v>
      </c>
      <c r="CF1264" s="3">
        <f>AC1264-BY1264</f>
        <v>0</v>
      </c>
      <c r="CG1264" s="3">
        <f>BX1264-BZ1264</f>
        <v>0</v>
      </c>
      <c r="CH1264" s="3">
        <f>AC1264-BX1264-BY1264+BZ1264</f>
        <v>0</v>
      </c>
      <c r="CI1264" s="3">
        <f>BY1264-BZ1264</f>
        <v>0</v>
      </c>
      <c r="CJ1264" s="3">
        <f>ROUND(SUMIF(AA1257:AA1262,"=129761636",GX1257:GX1262),2)</f>
        <v>0</v>
      </c>
      <c r="CK1264" s="3">
        <f>ROUND(SUMIF(AA1257:AA1262,"=129761636",GY1257:GY1262),2)</f>
        <v>0</v>
      </c>
      <c r="CL1264" s="3">
        <f>ROUND(SUMIF(AA1257:AA1262,"=129761636",GZ1257:GZ1262),2)</f>
        <v>0</v>
      </c>
      <c r="CM1264" s="3">
        <f>ROUND(SUMIF(AA1257:AA1262,"=129761636",HD1257:HD1262),2)</f>
        <v>0</v>
      </c>
      <c r="CN1264" s="3"/>
      <c r="CO1264" s="3"/>
      <c r="CP1264" s="3"/>
      <c r="CQ1264" s="3"/>
      <c r="CR1264" s="3"/>
      <c r="CS1264" s="3"/>
      <c r="CT1264" s="3"/>
      <c r="CU1264" s="3"/>
      <c r="CV1264" s="3"/>
      <c r="CW1264" s="3"/>
      <c r="CX1264" s="3"/>
      <c r="CY1264" s="3"/>
      <c r="CZ1264" s="3"/>
      <c r="DA1264" s="3"/>
      <c r="DB1264" s="3"/>
      <c r="DC1264" s="3"/>
      <c r="DD1264" s="3"/>
      <c r="DE1264" s="3"/>
      <c r="DF1264" s="3"/>
      <c r="DG1264" s="4">
        <f t="shared" ref="DG1264:DL1264" si="1102">ROUND(DT1264,2)</f>
        <v>98.12</v>
      </c>
      <c r="DH1264" s="4">
        <f t="shared" si="1102"/>
        <v>0</v>
      </c>
      <c r="DI1264" s="4">
        <f t="shared" si="1102"/>
        <v>98.12</v>
      </c>
      <c r="DJ1264" s="4">
        <f t="shared" si="1102"/>
        <v>2.0299999999999998</v>
      </c>
      <c r="DK1264" s="4">
        <f t="shared" si="1102"/>
        <v>0</v>
      </c>
      <c r="DL1264" s="4">
        <f t="shared" si="1102"/>
        <v>0</v>
      </c>
      <c r="DM1264" s="4">
        <f>DZ1264</f>
        <v>0</v>
      </c>
      <c r="DN1264" s="4">
        <f>EA1264</f>
        <v>0</v>
      </c>
      <c r="DO1264" s="4">
        <f>ROUND(EB1264,2)</f>
        <v>0</v>
      </c>
      <c r="DP1264" s="4">
        <f>ROUND(EC1264,2)</f>
        <v>0</v>
      </c>
      <c r="DQ1264" s="4">
        <f>ROUND(ED1264,2)</f>
        <v>0</v>
      </c>
      <c r="DR1264" s="4"/>
      <c r="DS1264" s="4"/>
      <c r="DT1264" s="4">
        <f>ROUND(SUMIF(AA1257:AA1262,"=129761633",O1257:O1262),2)</f>
        <v>98.12</v>
      </c>
      <c r="DU1264" s="4">
        <f>ROUND(SUMIF(AA1257:AA1262,"=129761633",P1257:P1262),2)</f>
        <v>0</v>
      </c>
      <c r="DV1264" s="4">
        <f>ROUND(SUMIF(AA1257:AA1262,"=129761633",Q1257:Q1262),2)</f>
        <v>98.12</v>
      </c>
      <c r="DW1264" s="4">
        <f>ROUND(SUMIF(AA1257:AA1262,"=129761633",R1257:R1262),2)</f>
        <v>2.0299999999999998</v>
      </c>
      <c r="DX1264" s="4">
        <f>ROUND(SUMIF(AA1257:AA1262,"=129761633",S1257:S1262),2)</f>
        <v>0</v>
      </c>
      <c r="DY1264" s="4">
        <f>ROUND(SUMIF(AA1257:AA1262,"=129761633",T1257:T1262),2)</f>
        <v>0</v>
      </c>
      <c r="DZ1264" s="4">
        <f>SUMIF(AA1257:AA1262,"=129761633",U1257:U1262)</f>
        <v>0</v>
      </c>
      <c r="EA1264" s="4">
        <f>SUMIF(AA1257:AA1262,"=129761633",V1257:V1262)</f>
        <v>0</v>
      </c>
      <c r="EB1264" s="4">
        <f>ROUND(SUMIF(AA1257:AA1262,"=129761633",W1257:W1262),2)</f>
        <v>0</v>
      </c>
      <c r="EC1264" s="4">
        <f>ROUND(SUMIF(AA1257:AA1262,"=129761633",X1257:X1262),2)</f>
        <v>0</v>
      </c>
      <c r="ED1264" s="4">
        <f>ROUND(SUMIF(AA1257:AA1262,"=129761633",Y1257:Y1262),2)</f>
        <v>0</v>
      </c>
      <c r="EE1264" s="4"/>
      <c r="EF1264" s="4"/>
      <c r="EG1264" s="4">
        <f t="shared" ref="EG1264:EV1264" si="1103">ROUND(FP1264,2)</f>
        <v>0</v>
      </c>
      <c r="EH1264" s="4">
        <f t="shared" si="1103"/>
        <v>0</v>
      </c>
      <c r="EI1264" s="4">
        <f t="shared" si="1103"/>
        <v>0</v>
      </c>
      <c r="EJ1264" s="4">
        <f t="shared" si="1103"/>
        <v>101.37</v>
      </c>
      <c r="EK1264" s="4">
        <f t="shared" si="1103"/>
        <v>8.42</v>
      </c>
      <c r="EL1264" s="4">
        <f t="shared" si="1103"/>
        <v>0</v>
      </c>
      <c r="EM1264" s="4">
        <f t="shared" si="1103"/>
        <v>92.95</v>
      </c>
      <c r="EN1264" s="4">
        <f t="shared" si="1103"/>
        <v>0</v>
      </c>
      <c r="EO1264" s="4">
        <f t="shared" si="1103"/>
        <v>0</v>
      </c>
      <c r="EP1264" s="4">
        <f t="shared" si="1103"/>
        <v>0</v>
      </c>
      <c r="EQ1264" s="4">
        <f t="shared" si="1103"/>
        <v>0</v>
      </c>
      <c r="ER1264" s="4">
        <f t="shared" si="1103"/>
        <v>0</v>
      </c>
      <c r="ES1264" s="4">
        <f t="shared" si="1103"/>
        <v>0</v>
      </c>
      <c r="ET1264" s="4">
        <f t="shared" si="1103"/>
        <v>0</v>
      </c>
      <c r="EU1264" s="4">
        <f t="shared" si="1103"/>
        <v>0</v>
      </c>
      <c r="EV1264" s="4">
        <f t="shared" si="1103"/>
        <v>0</v>
      </c>
      <c r="EW1264" s="4"/>
      <c r="EX1264" s="4"/>
      <c r="EY1264" s="4"/>
      <c r="EZ1264" s="4"/>
      <c r="FA1264" s="4"/>
      <c r="FB1264" s="4"/>
      <c r="FC1264" s="4"/>
      <c r="FD1264" s="4"/>
      <c r="FE1264" s="4"/>
      <c r="FF1264" s="4"/>
      <c r="FG1264" s="4"/>
      <c r="FH1264" s="4"/>
      <c r="FI1264" s="4"/>
      <c r="FJ1264" s="4"/>
      <c r="FK1264" s="4"/>
      <c r="FL1264" s="4"/>
      <c r="FM1264" s="4"/>
      <c r="FN1264" s="4"/>
      <c r="FO1264" s="4"/>
      <c r="FP1264" s="4">
        <f>ROUND(SUMIF(AA1257:AA1262,"=129761633",FQ1257:FQ1262),2)</f>
        <v>0</v>
      </c>
      <c r="FQ1264" s="4">
        <f>ROUND(SUMIF(AA1257:AA1262,"=129761633",FR1257:FR1262),2)</f>
        <v>0</v>
      </c>
      <c r="FR1264" s="4">
        <f>ROUND(SUMIF(AA1257:AA1262,"=129761633",GL1257:GL1262),2)</f>
        <v>0</v>
      </c>
      <c r="FS1264" s="4">
        <f>ROUND(SUMIF(AA1257:AA1262,"=129761633",GM1257:GM1262),2)</f>
        <v>101.37</v>
      </c>
      <c r="FT1264" s="4">
        <f>ROUND(SUMIF(AA1257:AA1262,"=129761633",GN1257:GN1262),2)</f>
        <v>8.42</v>
      </c>
      <c r="FU1264" s="4">
        <f>ROUND(SUMIF(AA1257:AA1262,"=129761633",GO1257:GO1262),2)</f>
        <v>0</v>
      </c>
      <c r="FV1264" s="4">
        <f>ROUND(SUMIF(AA1257:AA1262,"=129761633",GP1257:GP1262),2)</f>
        <v>92.95</v>
      </c>
      <c r="FW1264" s="4">
        <f>DU1264-FP1264</f>
        <v>0</v>
      </c>
      <c r="FX1264" s="4">
        <f>DU1264-FQ1264</f>
        <v>0</v>
      </c>
      <c r="FY1264" s="4">
        <f>FP1264-FR1264</f>
        <v>0</v>
      </c>
      <c r="FZ1264" s="4">
        <f>DU1264-FP1264-FQ1264+FR1264</f>
        <v>0</v>
      </c>
      <c r="GA1264" s="4">
        <f>FQ1264-FR1264</f>
        <v>0</v>
      </c>
      <c r="GB1264" s="4">
        <f>ROUND(SUMIF(AA1257:AA1262,"=129761633",GX1257:GX1262),2)</f>
        <v>0</v>
      </c>
      <c r="GC1264" s="4">
        <f>ROUND(SUMIF(AA1257:AA1262,"=129761633",GY1257:GY1262),2)</f>
        <v>0</v>
      </c>
      <c r="GD1264" s="4">
        <f>ROUND(SUMIF(AA1257:AA1262,"=129761633",GZ1257:GZ1262),2)</f>
        <v>0</v>
      </c>
      <c r="GE1264" s="4">
        <f>ROUND(SUMIF(AA1257:AA1262,"=129761633",HD1257:HD1262),2)</f>
        <v>0</v>
      </c>
      <c r="GF1264" s="4"/>
      <c r="GG1264" s="4"/>
      <c r="GH1264" s="4"/>
      <c r="GI1264" s="4"/>
      <c r="GJ1264" s="4"/>
      <c r="GK1264" s="4"/>
      <c r="GL1264" s="4"/>
      <c r="GM1264" s="4"/>
      <c r="GN1264" s="4"/>
      <c r="GO1264" s="4"/>
      <c r="GP1264" s="4"/>
      <c r="GQ1264" s="4"/>
      <c r="GR1264" s="4"/>
      <c r="GS1264" s="4"/>
      <c r="GT1264" s="4"/>
      <c r="GU1264" s="4"/>
      <c r="GV1264" s="4"/>
      <c r="GW1264" s="4"/>
      <c r="GX1264" s="4">
        <v>0</v>
      </c>
    </row>
    <row r="1266" spans="1:28" x14ac:dyDescent="0.2">
      <c r="A1266" s="5">
        <v>50</v>
      </c>
      <c r="B1266" s="5">
        <v>0</v>
      </c>
      <c r="C1266" s="5">
        <v>0</v>
      </c>
      <c r="D1266" s="5">
        <v>1</v>
      </c>
      <c r="E1266" s="5">
        <v>201</v>
      </c>
      <c r="F1266" s="5">
        <f>ROUND(Source!O1264,O1266)</f>
        <v>3.85</v>
      </c>
      <c r="G1266" s="5" t="s">
        <v>26</v>
      </c>
      <c r="H1266" s="5" t="s">
        <v>27</v>
      </c>
      <c r="I1266" s="5"/>
      <c r="J1266" s="5"/>
      <c r="K1266" s="5">
        <v>201</v>
      </c>
      <c r="L1266" s="5">
        <v>1</v>
      </c>
      <c r="M1266" s="5">
        <v>3</v>
      </c>
      <c r="N1266" s="5" t="s">
        <v>3</v>
      </c>
      <c r="O1266" s="5">
        <v>2</v>
      </c>
      <c r="P1266" s="5">
        <f>ROUND(Source!DG1264,O1266)</f>
        <v>98.12</v>
      </c>
      <c r="Q1266" s="5"/>
      <c r="R1266" s="5"/>
      <c r="S1266" s="5"/>
      <c r="T1266" s="5"/>
      <c r="U1266" s="5"/>
      <c r="V1266" s="5"/>
      <c r="W1266" s="5">
        <v>3.85</v>
      </c>
      <c r="X1266" s="5">
        <v>1</v>
      </c>
      <c r="Y1266" s="5">
        <v>3.85</v>
      </c>
      <c r="Z1266" s="5">
        <v>98.12</v>
      </c>
      <c r="AA1266" s="5">
        <v>1</v>
      </c>
      <c r="AB1266" s="5">
        <v>98.12</v>
      </c>
    </row>
    <row r="1267" spans="1:28" x14ac:dyDescent="0.2">
      <c r="A1267" s="5">
        <v>50</v>
      </c>
      <c r="B1267" s="5">
        <v>0</v>
      </c>
      <c r="C1267" s="5">
        <v>0</v>
      </c>
      <c r="D1267" s="5">
        <v>1</v>
      </c>
      <c r="E1267" s="5">
        <v>202</v>
      </c>
      <c r="F1267" s="5">
        <f>ROUND(Source!P1264,O1267)</f>
        <v>0</v>
      </c>
      <c r="G1267" s="5" t="s">
        <v>28</v>
      </c>
      <c r="H1267" s="5" t="s">
        <v>29</v>
      </c>
      <c r="I1267" s="5"/>
      <c r="J1267" s="5"/>
      <c r="K1267" s="5">
        <v>202</v>
      </c>
      <c r="L1267" s="5">
        <v>2</v>
      </c>
      <c r="M1267" s="5">
        <v>3</v>
      </c>
      <c r="N1267" s="5" t="s">
        <v>3</v>
      </c>
      <c r="O1267" s="5">
        <v>2</v>
      </c>
      <c r="P1267" s="5">
        <f>ROUND(Source!DH1264,O1267)</f>
        <v>0</v>
      </c>
      <c r="Q1267" s="5"/>
      <c r="R1267" s="5"/>
      <c r="S1267" s="5"/>
      <c r="T1267" s="5"/>
      <c r="U1267" s="5"/>
      <c r="V1267" s="5"/>
      <c r="W1267" s="5">
        <v>0</v>
      </c>
      <c r="X1267" s="5">
        <v>1</v>
      </c>
      <c r="Y1267" s="5">
        <v>0</v>
      </c>
      <c r="Z1267" s="5">
        <v>0</v>
      </c>
      <c r="AA1267" s="5">
        <v>1</v>
      </c>
      <c r="AB1267" s="5">
        <v>0</v>
      </c>
    </row>
    <row r="1268" spans="1:28" x14ac:dyDescent="0.2">
      <c r="A1268" s="5">
        <v>50</v>
      </c>
      <c r="B1268" s="5">
        <v>0</v>
      </c>
      <c r="C1268" s="5">
        <v>0</v>
      </c>
      <c r="D1268" s="5">
        <v>1</v>
      </c>
      <c r="E1268" s="5">
        <v>222</v>
      </c>
      <c r="F1268" s="5">
        <f>ROUND(Source!AO1264,O1268)</f>
        <v>0</v>
      </c>
      <c r="G1268" s="5" t="s">
        <v>30</v>
      </c>
      <c r="H1268" s="5" t="s">
        <v>31</v>
      </c>
      <c r="I1268" s="5"/>
      <c r="J1268" s="5"/>
      <c r="K1268" s="5">
        <v>222</v>
      </c>
      <c r="L1268" s="5">
        <v>3</v>
      </c>
      <c r="M1268" s="5">
        <v>3</v>
      </c>
      <c r="N1268" s="5" t="s">
        <v>3</v>
      </c>
      <c r="O1268" s="5">
        <v>2</v>
      </c>
      <c r="P1268" s="5">
        <f>ROUND(Source!EG1264,O1268)</f>
        <v>0</v>
      </c>
      <c r="Q1268" s="5"/>
      <c r="R1268" s="5"/>
      <c r="S1268" s="5"/>
      <c r="T1268" s="5"/>
      <c r="U1268" s="5"/>
      <c r="V1268" s="5"/>
      <c r="W1268" s="5">
        <v>0</v>
      </c>
      <c r="X1268" s="5">
        <v>1</v>
      </c>
      <c r="Y1268" s="5">
        <v>0</v>
      </c>
      <c r="Z1268" s="5">
        <v>0</v>
      </c>
      <c r="AA1268" s="5">
        <v>1</v>
      </c>
      <c r="AB1268" s="5">
        <v>0</v>
      </c>
    </row>
    <row r="1269" spans="1:28" x14ac:dyDescent="0.2">
      <c r="A1269" s="5">
        <v>50</v>
      </c>
      <c r="B1269" s="5">
        <v>0</v>
      </c>
      <c r="C1269" s="5">
        <v>0</v>
      </c>
      <c r="D1269" s="5">
        <v>1</v>
      </c>
      <c r="E1269" s="5">
        <v>225</v>
      </c>
      <c r="F1269" s="5">
        <f>ROUND(Source!AV1264,O1269)</f>
        <v>0</v>
      </c>
      <c r="G1269" s="5" t="s">
        <v>32</v>
      </c>
      <c r="H1269" s="5" t="s">
        <v>33</v>
      </c>
      <c r="I1269" s="5"/>
      <c r="J1269" s="5"/>
      <c r="K1269" s="5">
        <v>225</v>
      </c>
      <c r="L1269" s="5">
        <v>4</v>
      </c>
      <c r="M1269" s="5">
        <v>3</v>
      </c>
      <c r="N1269" s="5" t="s">
        <v>3</v>
      </c>
      <c r="O1269" s="5">
        <v>2</v>
      </c>
      <c r="P1269" s="5">
        <f>ROUND(Source!EN1264,O1269)</f>
        <v>0</v>
      </c>
      <c r="Q1269" s="5"/>
      <c r="R1269" s="5"/>
      <c r="S1269" s="5"/>
      <c r="T1269" s="5"/>
      <c r="U1269" s="5"/>
      <c r="V1269" s="5"/>
      <c r="W1269" s="5">
        <v>0</v>
      </c>
      <c r="X1269" s="5">
        <v>1</v>
      </c>
      <c r="Y1269" s="5">
        <v>0</v>
      </c>
      <c r="Z1269" s="5">
        <v>0</v>
      </c>
      <c r="AA1269" s="5">
        <v>1</v>
      </c>
      <c r="AB1269" s="5">
        <v>0</v>
      </c>
    </row>
    <row r="1270" spans="1:28" x14ac:dyDescent="0.2">
      <c r="A1270" s="5">
        <v>50</v>
      </c>
      <c r="B1270" s="5">
        <v>0</v>
      </c>
      <c r="C1270" s="5">
        <v>0</v>
      </c>
      <c r="D1270" s="5">
        <v>1</v>
      </c>
      <c r="E1270" s="5">
        <v>226</v>
      </c>
      <c r="F1270" s="5">
        <f>ROUND(Source!AW1264,O1270)</f>
        <v>0</v>
      </c>
      <c r="G1270" s="5" t="s">
        <v>34</v>
      </c>
      <c r="H1270" s="5" t="s">
        <v>35</v>
      </c>
      <c r="I1270" s="5"/>
      <c r="J1270" s="5"/>
      <c r="K1270" s="5">
        <v>226</v>
      </c>
      <c r="L1270" s="5">
        <v>5</v>
      </c>
      <c r="M1270" s="5">
        <v>3</v>
      </c>
      <c r="N1270" s="5" t="s">
        <v>3</v>
      </c>
      <c r="O1270" s="5">
        <v>2</v>
      </c>
      <c r="P1270" s="5">
        <f>ROUND(Source!EO1264,O1270)</f>
        <v>0</v>
      </c>
      <c r="Q1270" s="5"/>
      <c r="R1270" s="5"/>
      <c r="S1270" s="5"/>
      <c r="T1270" s="5"/>
      <c r="U1270" s="5"/>
      <c r="V1270" s="5"/>
      <c r="W1270" s="5">
        <v>0</v>
      </c>
      <c r="X1270" s="5">
        <v>1</v>
      </c>
      <c r="Y1270" s="5">
        <v>0</v>
      </c>
      <c r="Z1270" s="5">
        <v>0</v>
      </c>
      <c r="AA1270" s="5">
        <v>1</v>
      </c>
      <c r="AB1270" s="5">
        <v>0</v>
      </c>
    </row>
    <row r="1271" spans="1:28" x14ac:dyDescent="0.2">
      <c r="A1271" s="5">
        <v>50</v>
      </c>
      <c r="B1271" s="5">
        <v>0</v>
      </c>
      <c r="C1271" s="5">
        <v>0</v>
      </c>
      <c r="D1271" s="5">
        <v>1</v>
      </c>
      <c r="E1271" s="5">
        <v>227</v>
      </c>
      <c r="F1271" s="5">
        <f>ROUND(Source!AX1264,O1271)</f>
        <v>0</v>
      </c>
      <c r="G1271" s="5" t="s">
        <v>36</v>
      </c>
      <c r="H1271" s="5" t="s">
        <v>37</v>
      </c>
      <c r="I1271" s="5"/>
      <c r="J1271" s="5"/>
      <c r="K1271" s="5">
        <v>227</v>
      </c>
      <c r="L1271" s="5">
        <v>6</v>
      </c>
      <c r="M1271" s="5">
        <v>3</v>
      </c>
      <c r="N1271" s="5" t="s">
        <v>3</v>
      </c>
      <c r="O1271" s="5">
        <v>2</v>
      </c>
      <c r="P1271" s="5">
        <f>ROUND(Source!EP1264,O1271)</f>
        <v>0</v>
      </c>
      <c r="Q1271" s="5"/>
      <c r="R1271" s="5"/>
      <c r="S1271" s="5"/>
      <c r="T1271" s="5"/>
      <c r="U1271" s="5"/>
      <c r="V1271" s="5"/>
      <c r="W1271" s="5">
        <v>0</v>
      </c>
      <c r="X1271" s="5">
        <v>1</v>
      </c>
      <c r="Y1271" s="5">
        <v>0</v>
      </c>
      <c r="Z1271" s="5">
        <v>0</v>
      </c>
      <c r="AA1271" s="5">
        <v>1</v>
      </c>
      <c r="AB1271" s="5">
        <v>0</v>
      </c>
    </row>
    <row r="1272" spans="1:28" x14ac:dyDescent="0.2">
      <c r="A1272" s="5">
        <v>50</v>
      </c>
      <c r="B1272" s="5">
        <v>0</v>
      </c>
      <c r="C1272" s="5">
        <v>0</v>
      </c>
      <c r="D1272" s="5">
        <v>1</v>
      </c>
      <c r="E1272" s="5">
        <v>228</v>
      </c>
      <c r="F1272" s="5">
        <f>ROUND(Source!AY1264,O1272)</f>
        <v>0</v>
      </c>
      <c r="G1272" s="5" t="s">
        <v>38</v>
      </c>
      <c r="H1272" s="5" t="s">
        <v>39</v>
      </c>
      <c r="I1272" s="5"/>
      <c r="J1272" s="5"/>
      <c r="K1272" s="5">
        <v>228</v>
      </c>
      <c r="L1272" s="5">
        <v>7</v>
      </c>
      <c r="M1272" s="5">
        <v>3</v>
      </c>
      <c r="N1272" s="5" t="s">
        <v>3</v>
      </c>
      <c r="O1272" s="5">
        <v>2</v>
      </c>
      <c r="P1272" s="5">
        <f>ROUND(Source!EQ1264,O1272)</f>
        <v>0</v>
      </c>
      <c r="Q1272" s="5"/>
      <c r="R1272" s="5"/>
      <c r="S1272" s="5"/>
      <c r="T1272" s="5"/>
      <c r="U1272" s="5"/>
      <c r="V1272" s="5"/>
      <c r="W1272" s="5">
        <v>0</v>
      </c>
      <c r="X1272" s="5">
        <v>1</v>
      </c>
      <c r="Y1272" s="5">
        <v>0</v>
      </c>
      <c r="Z1272" s="5">
        <v>0</v>
      </c>
      <c r="AA1272" s="5">
        <v>1</v>
      </c>
      <c r="AB1272" s="5">
        <v>0</v>
      </c>
    </row>
    <row r="1273" spans="1:28" x14ac:dyDescent="0.2">
      <c r="A1273" s="5">
        <v>50</v>
      </c>
      <c r="B1273" s="5">
        <v>0</v>
      </c>
      <c r="C1273" s="5">
        <v>0</v>
      </c>
      <c r="D1273" s="5">
        <v>1</v>
      </c>
      <c r="E1273" s="5">
        <v>216</v>
      </c>
      <c r="F1273" s="5">
        <f>ROUND(Source!AP1264,O1273)</f>
        <v>0</v>
      </c>
      <c r="G1273" s="5" t="s">
        <v>40</v>
      </c>
      <c r="H1273" s="5" t="s">
        <v>41</v>
      </c>
      <c r="I1273" s="5"/>
      <c r="J1273" s="5"/>
      <c r="K1273" s="5">
        <v>216</v>
      </c>
      <c r="L1273" s="5">
        <v>8</v>
      </c>
      <c r="M1273" s="5">
        <v>3</v>
      </c>
      <c r="N1273" s="5" t="s">
        <v>3</v>
      </c>
      <c r="O1273" s="5">
        <v>2</v>
      </c>
      <c r="P1273" s="5">
        <f>ROUND(Source!EH1264,O1273)</f>
        <v>0</v>
      </c>
      <c r="Q1273" s="5"/>
      <c r="R1273" s="5"/>
      <c r="S1273" s="5"/>
      <c r="T1273" s="5"/>
      <c r="U1273" s="5"/>
      <c r="V1273" s="5"/>
      <c r="W1273" s="5">
        <v>0</v>
      </c>
      <c r="X1273" s="5">
        <v>1</v>
      </c>
      <c r="Y1273" s="5">
        <v>0</v>
      </c>
      <c r="Z1273" s="5">
        <v>0</v>
      </c>
      <c r="AA1273" s="5">
        <v>1</v>
      </c>
      <c r="AB1273" s="5">
        <v>0</v>
      </c>
    </row>
    <row r="1274" spans="1:28" x14ac:dyDescent="0.2">
      <c r="A1274" s="5">
        <v>50</v>
      </c>
      <c r="B1274" s="5">
        <v>0</v>
      </c>
      <c r="C1274" s="5">
        <v>0</v>
      </c>
      <c r="D1274" s="5">
        <v>1</v>
      </c>
      <c r="E1274" s="5">
        <v>223</v>
      </c>
      <c r="F1274" s="5">
        <f>ROUND(Source!AQ1264,O1274)</f>
        <v>0</v>
      </c>
      <c r="G1274" s="5" t="s">
        <v>42</v>
      </c>
      <c r="H1274" s="5" t="s">
        <v>43</v>
      </c>
      <c r="I1274" s="5"/>
      <c r="J1274" s="5"/>
      <c r="K1274" s="5">
        <v>223</v>
      </c>
      <c r="L1274" s="5">
        <v>9</v>
      </c>
      <c r="M1274" s="5">
        <v>3</v>
      </c>
      <c r="N1274" s="5" t="s">
        <v>3</v>
      </c>
      <c r="O1274" s="5">
        <v>2</v>
      </c>
      <c r="P1274" s="5">
        <f>ROUND(Source!EI1264,O1274)</f>
        <v>0</v>
      </c>
      <c r="Q1274" s="5"/>
      <c r="R1274" s="5"/>
      <c r="S1274" s="5"/>
      <c r="T1274" s="5"/>
      <c r="U1274" s="5"/>
      <c r="V1274" s="5"/>
      <c r="W1274" s="5">
        <v>0</v>
      </c>
      <c r="X1274" s="5">
        <v>1</v>
      </c>
      <c r="Y1274" s="5">
        <v>0</v>
      </c>
      <c r="Z1274" s="5">
        <v>0</v>
      </c>
      <c r="AA1274" s="5">
        <v>1</v>
      </c>
      <c r="AB1274" s="5">
        <v>0</v>
      </c>
    </row>
    <row r="1275" spans="1:28" x14ac:dyDescent="0.2">
      <c r="A1275" s="5">
        <v>50</v>
      </c>
      <c r="B1275" s="5">
        <v>0</v>
      </c>
      <c r="C1275" s="5">
        <v>0</v>
      </c>
      <c r="D1275" s="5">
        <v>1</v>
      </c>
      <c r="E1275" s="5">
        <v>229</v>
      </c>
      <c r="F1275" s="5">
        <f>ROUND(Source!AZ1264,O1275)</f>
        <v>0</v>
      </c>
      <c r="G1275" s="5" t="s">
        <v>44</v>
      </c>
      <c r="H1275" s="5" t="s">
        <v>45</v>
      </c>
      <c r="I1275" s="5"/>
      <c r="J1275" s="5"/>
      <c r="K1275" s="5">
        <v>229</v>
      </c>
      <c r="L1275" s="5">
        <v>10</v>
      </c>
      <c r="M1275" s="5">
        <v>3</v>
      </c>
      <c r="N1275" s="5" t="s">
        <v>3</v>
      </c>
      <c r="O1275" s="5">
        <v>2</v>
      </c>
      <c r="P1275" s="5">
        <f>ROUND(Source!ER1264,O1275)</f>
        <v>0</v>
      </c>
      <c r="Q1275" s="5"/>
      <c r="R1275" s="5"/>
      <c r="S1275" s="5"/>
      <c r="T1275" s="5"/>
      <c r="U1275" s="5"/>
      <c r="V1275" s="5"/>
      <c r="W1275" s="5">
        <v>0</v>
      </c>
      <c r="X1275" s="5">
        <v>1</v>
      </c>
      <c r="Y1275" s="5">
        <v>0</v>
      </c>
      <c r="Z1275" s="5">
        <v>0</v>
      </c>
      <c r="AA1275" s="5">
        <v>1</v>
      </c>
      <c r="AB1275" s="5">
        <v>0</v>
      </c>
    </row>
    <row r="1276" spans="1:28" x14ac:dyDescent="0.2">
      <c r="A1276" s="5">
        <v>50</v>
      </c>
      <c r="B1276" s="5">
        <v>0</v>
      </c>
      <c r="C1276" s="5">
        <v>0</v>
      </c>
      <c r="D1276" s="5">
        <v>1</v>
      </c>
      <c r="E1276" s="5">
        <v>203</v>
      </c>
      <c r="F1276" s="5">
        <f>ROUND(Source!Q1264,O1276)</f>
        <v>3.85</v>
      </c>
      <c r="G1276" s="5" t="s">
        <v>46</v>
      </c>
      <c r="H1276" s="5" t="s">
        <v>47</v>
      </c>
      <c r="I1276" s="5"/>
      <c r="J1276" s="5"/>
      <c r="K1276" s="5">
        <v>203</v>
      </c>
      <c r="L1276" s="5">
        <v>11</v>
      </c>
      <c r="M1276" s="5">
        <v>3</v>
      </c>
      <c r="N1276" s="5" t="s">
        <v>3</v>
      </c>
      <c r="O1276" s="5">
        <v>2</v>
      </c>
      <c r="P1276" s="5">
        <f>ROUND(Source!DI1264,O1276)</f>
        <v>98.12</v>
      </c>
      <c r="Q1276" s="5"/>
      <c r="R1276" s="5"/>
      <c r="S1276" s="5"/>
      <c r="T1276" s="5"/>
      <c r="U1276" s="5"/>
      <c r="V1276" s="5"/>
      <c r="W1276" s="5">
        <v>3.85</v>
      </c>
      <c r="X1276" s="5">
        <v>1</v>
      </c>
      <c r="Y1276" s="5">
        <v>3.85</v>
      </c>
      <c r="Z1276" s="5">
        <v>98.12</v>
      </c>
      <c r="AA1276" s="5">
        <v>1</v>
      </c>
      <c r="AB1276" s="5">
        <v>98.12</v>
      </c>
    </row>
    <row r="1277" spans="1:28" x14ac:dyDescent="0.2">
      <c r="A1277" s="5">
        <v>50</v>
      </c>
      <c r="B1277" s="5">
        <v>0</v>
      </c>
      <c r="C1277" s="5">
        <v>0</v>
      </c>
      <c r="D1277" s="5">
        <v>1</v>
      </c>
      <c r="E1277" s="5">
        <v>231</v>
      </c>
      <c r="F1277" s="5">
        <f>ROUND(Source!BB1264,O1277)</f>
        <v>0</v>
      </c>
      <c r="G1277" s="5" t="s">
        <v>48</v>
      </c>
      <c r="H1277" s="5" t="s">
        <v>49</v>
      </c>
      <c r="I1277" s="5"/>
      <c r="J1277" s="5"/>
      <c r="K1277" s="5">
        <v>231</v>
      </c>
      <c r="L1277" s="5">
        <v>12</v>
      </c>
      <c r="M1277" s="5">
        <v>3</v>
      </c>
      <c r="N1277" s="5" t="s">
        <v>3</v>
      </c>
      <c r="O1277" s="5">
        <v>2</v>
      </c>
      <c r="P1277" s="5">
        <f>ROUND(Source!ET1264,O1277)</f>
        <v>0</v>
      </c>
      <c r="Q1277" s="5"/>
      <c r="R1277" s="5"/>
      <c r="S1277" s="5"/>
      <c r="T1277" s="5"/>
      <c r="U1277" s="5"/>
      <c r="V1277" s="5"/>
      <c r="W1277" s="5">
        <v>0</v>
      </c>
      <c r="X1277" s="5">
        <v>1</v>
      </c>
      <c r="Y1277" s="5">
        <v>0</v>
      </c>
      <c r="Z1277" s="5">
        <v>0</v>
      </c>
      <c r="AA1277" s="5">
        <v>1</v>
      </c>
      <c r="AB1277" s="5">
        <v>0</v>
      </c>
    </row>
    <row r="1278" spans="1:28" x14ac:dyDescent="0.2">
      <c r="A1278" s="5">
        <v>50</v>
      </c>
      <c r="B1278" s="5">
        <v>0</v>
      </c>
      <c r="C1278" s="5">
        <v>0</v>
      </c>
      <c r="D1278" s="5">
        <v>1</v>
      </c>
      <c r="E1278" s="5">
        <v>204</v>
      </c>
      <c r="F1278" s="5">
        <f>ROUND(Source!R1264,O1278)</f>
        <v>7.0000000000000007E-2</v>
      </c>
      <c r="G1278" s="5" t="s">
        <v>50</v>
      </c>
      <c r="H1278" s="5" t="s">
        <v>51</v>
      </c>
      <c r="I1278" s="5"/>
      <c r="J1278" s="5"/>
      <c r="K1278" s="5">
        <v>204</v>
      </c>
      <c r="L1278" s="5">
        <v>13</v>
      </c>
      <c r="M1278" s="5">
        <v>3</v>
      </c>
      <c r="N1278" s="5" t="s">
        <v>3</v>
      </c>
      <c r="O1278" s="5">
        <v>2</v>
      </c>
      <c r="P1278" s="5">
        <f>ROUND(Source!DJ1264,O1278)</f>
        <v>2.0299999999999998</v>
      </c>
      <c r="Q1278" s="5"/>
      <c r="R1278" s="5"/>
      <c r="S1278" s="5"/>
      <c r="T1278" s="5"/>
      <c r="U1278" s="5"/>
      <c r="V1278" s="5"/>
      <c r="W1278" s="5">
        <v>7.0000000000000007E-2</v>
      </c>
      <c r="X1278" s="5">
        <v>1</v>
      </c>
      <c r="Y1278" s="5">
        <v>7.0000000000000007E-2</v>
      </c>
      <c r="Z1278" s="5">
        <v>2.0299999999999998</v>
      </c>
      <c r="AA1278" s="5">
        <v>1</v>
      </c>
      <c r="AB1278" s="5">
        <v>2.0299999999999998</v>
      </c>
    </row>
    <row r="1279" spans="1:28" x14ac:dyDescent="0.2">
      <c r="A1279" s="5">
        <v>50</v>
      </c>
      <c r="B1279" s="5">
        <v>0</v>
      </c>
      <c r="C1279" s="5">
        <v>0</v>
      </c>
      <c r="D1279" s="5">
        <v>1</v>
      </c>
      <c r="E1279" s="5">
        <v>205</v>
      </c>
      <c r="F1279" s="5">
        <f>ROUND(Source!S1264,O1279)</f>
        <v>0</v>
      </c>
      <c r="G1279" s="5" t="s">
        <v>52</v>
      </c>
      <c r="H1279" s="5" t="s">
        <v>53</v>
      </c>
      <c r="I1279" s="5"/>
      <c r="J1279" s="5"/>
      <c r="K1279" s="5">
        <v>205</v>
      </c>
      <c r="L1279" s="5">
        <v>14</v>
      </c>
      <c r="M1279" s="5">
        <v>3</v>
      </c>
      <c r="N1279" s="5" t="s">
        <v>3</v>
      </c>
      <c r="O1279" s="5">
        <v>2</v>
      </c>
      <c r="P1279" s="5">
        <f>ROUND(Source!DK1264,O1279)</f>
        <v>0</v>
      </c>
      <c r="Q1279" s="5"/>
      <c r="R1279" s="5"/>
      <c r="S1279" s="5"/>
      <c r="T1279" s="5"/>
      <c r="U1279" s="5"/>
      <c r="V1279" s="5"/>
      <c r="W1279" s="5">
        <v>0</v>
      </c>
      <c r="X1279" s="5">
        <v>1</v>
      </c>
      <c r="Y1279" s="5">
        <v>0</v>
      </c>
      <c r="Z1279" s="5">
        <v>0</v>
      </c>
      <c r="AA1279" s="5">
        <v>1</v>
      </c>
      <c r="AB1279" s="5">
        <v>0</v>
      </c>
    </row>
    <row r="1280" spans="1:28" x14ac:dyDescent="0.2">
      <c r="A1280" s="5">
        <v>50</v>
      </c>
      <c r="B1280" s="5">
        <v>0</v>
      </c>
      <c r="C1280" s="5">
        <v>0</v>
      </c>
      <c r="D1280" s="5">
        <v>1</v>
      </c>
      <c r="E1280" s="5">
        <v>232</v>
      </c>
      <c r="F1280" s="5">
        <f>ROUND(Source!BC1264,O1280)</f>
        <v>0</v>
      </c>
      <c r="G1280" s="5" t="s">
        <v>54</v>
      </c>
      <c r="H1280" s="5" t="s">
        <v>55</v>
      </c>
      <c r="I1280" s="5"/>
      <c r="J1280" s="5"/>
      <c r="K1280" s="5">
        <v>232</v>
      </c>
      <c r="L1280" s="5">
        <v>15</v>
      </c>
      <c r="M1280" s="5">
        <v>3</v>
      </c>
      <c r="N1280" s="5" t="s">
        <v>3</v>
      </c>
      <c r="O1280" s="5">
        <v>2</v>
      </c>
      <c r="P1280" s="5">
        <f>ROUND(Source!EU1264,O1280)</f>
        <v>0</v>
      </c>
      <c r="Q1280" s="5"/>
      <c r="R1280" s="5"/>
      <c r="S1280" s="5"/>
      <c r="T1280" s="5"/>
      <c r="U1280" s="5"/>
      <c r="V1280" s="5"/>
      <c r="W1280" s="5">
        <v>0</v>
      </c>
      <c r="X1280" s="5">
        <v>1</v>
      </c>
      <c r="Y1280" s="5">
        <v>0</v>
      </c>
      <c r="Z1280" s="5">
        <v>0</v>
      </c>
      <c r="AA1280" s="5">
        <v>1</v>
      </c>
      <c r="AB1280" s="5">
        <v>0</v>
      </c>
    </row>
    <row r="1281" spans="1:206" x14ac:dyDescent="0.2">
      <c r="A1281" s="5">
        <v>50</v>
      </c>
      <c r="B1281" s="5">
        <v>0</v>
      </c>
      <c r="C1281" s="5">
        <v>0</v>
      </c>
      <c r="D1281" s="5">
        <v>1</v>
      </c>
      <c r="E1281" s="5">
        <v>214</v>
      </c>
      <c r="F1281" s="5">
        <f>ROUND(Source!AS1264,O1281)</f>
        <v>0.55000000000000004</v>
      </c>
      <c r="G1281" s="5" t="s">
        <v>56</v>
      </c>
      <c r="H1281" s="5" t="s">
        <v>57</v>
      </c>
      <c r="I1281" s="5"/>
      <c r="J1281" s="5"/>
      <c r="K1281" s="5">
        <v>214</v>
      </c>
      <c r="L1281" s="5">
        <v>16</v>
      </c>
      <c r="M1281" s="5">
        <v>3</v>
      </c>
      <c r="N1281" s="5" t="s">
        <v>3</v>
      </c>
      <c r="O1281" s="5">
        <v>2</v>
      </c>
      <c r="P1281" s="5">
        <f>ROUND(Source!EK1264,O1281)</f>
        <v>8.42</v>
      </c>
      <c r="Q1281" s="5"/>
      <c r="R1281" s="5"/>
      <c r="S1281" s="5"/>
      <c r="T1281" s="5"/>
      <c r="U1281" s="5"/>
      <c r="V1281" s="5"/>
      <c r="W1281" s="5">
        <v>0.55000000000000004</v>
      </c>
      <c r="X1281" s="5">
        <v>1</v>
      </c>
      <c r="Y1281" s="5">
        <v>0.55000000000000004</v>
      </c>
      <c r="Z1281" s="5">
        <v>8.42</v>
      </c>
      <c r="AA1281" s="5">
        <v>1</v>
      </c>
      <c r="AB1281" s="5">
        <v>8.42</v>
      </c>
    </row>
    <row r="1282" spans="1:206" x14ac:dyDescent="0.2">
      <c r="A1282" s="5">
        <v>50</v>
      </c>
      <c r="B1282" s="5">
        <v>0</v>
      </c>
      <c r="C1282" s="5">
        <v>0</v>
      </c>
      <c r="D1282" s="5">
        <v>1</v>
      </c>
      <c r="E1282" s="5">
        <v>215</v>
      </c>
      <c r="F1282" s="5">
        <f>ROUND(Source!AT1264,O1282)</f>
        <v>0</v>
      </c>
      <c r="G1282" s="5" t="s">
        <v>58</v>
      </c>
      <c r="H1282" s="5" t="s">
        <v>59</v>
      </c>
      <c r="I1282" s="5"/>
      <c r="J1282" s="5"/>
      <c r="K1282" s="5">
        <v>215</v>
      </c>
      <c r="L1282" s="5">
        <v>17</v>
      </c>
      <c r="M1282" s="5">
        <v>3</v>
      </c>
      <c r="N1282" s="5" t="s">
        <v>3</v>
      </c>
      <c r="O1282" s="5">
        <v>2</v>
      </c>
      <c r="P1282" s="5">
        <f>ROUND(Source!EL1264,O1282)</f>
        <v>0</v>
      </c>
      <c r="Q1282" s="5"/>
      <c r="R1282" s="5"/>
      <c r="S1282" s="5"/>
      <c r="T1282" s="5"/>
      <c r="U1282" s="5"/>
      <c r="V1282" s="5"/>
      <c r="W1282" s="5">
        <v>0</v>
      </c>
      <c r="X1282" s="5">
        <v>1</v>
      </c>
      <c r="Y1282" s="5">
        <v>0</v>
      </c>
      <c r="Z1282" s="5">
        <v>0</v>
      </c>
      <c r="AA1282" s="5">
        <v>1</v>
      </c>
      <c r="AB1282" s="5">
        <v>0</v>
      </c>
    </row>
    <row r="1283" spans="1:206" x14ac:dyDescent="0.2">
      <c r="A1283" s="5">
        <v>50</v>
      </c>
      <c r="B1283" s="5">
        <v>0</v>
      </c>
      <c r="C1283" s="5">
        <v>0</v>
      </c>
      <c r="D1283" s="5">
        <v>1</v>
      </c>
      <c r="E1283" s="5">
        <v>217</v>
      </c>
      <c r="F1283" s="5">
        <f>ROUND(Source!AU1264,O1283)</f>
        <v>3.42</v>
      </c>
      <c r="G1283" s="5" t="s">
        <v>60</v>
      </c>
      <c r="H1283" s="5" t="s">
        <v>61</v>
      </c>
      <c r="I1283" s="5"/>
      <c r="J1283" s="5"/>
      <c r="K1283" s="5">
        <v>217</v>
      </c>
      <c r="L1283" s="5">
        <v>18</v>
      </c>
      <c r="M1283" s="5">
        <v>3</v>
      </c>
      <c r="N1283" s="5" t="s">
        <v>3</v>
      </c>
      <c r="O1283" s="5">
        <v>2</v>
      </c>
      <c r="P1283" s="5">
        <f>ROUND(Source!EM1264,O1283)</f>
        <v>92.95</v>
      </c>
      <c r="Q1283" s="5"/>
      <c r="R1283" s="5"/>
      <c r="S1283" s="5"/>
      <c r="T1283" s="5"/>
      <c r="U1283" s="5"/>
      <c r="V1283" s="5"/>
      <c r="W1283" s="5">
        <v>3.42</v>
      </c>
      <c r="X1283" s="5">
        <v>1</v>
      </c>
      <c r="Y1283" s="5">
        <v>3.42</v>
      </c>
      <c r="Z1283" s="5">
        <v>92.95</v>
      </c>
      <c r="AA1283" s="5">
        <v>1</v>
      </c>
      <c r="AB1283" s="5">
        <v>92.95</v>
      </c>
    </row>
    <row r="1284" spans="1:206" x14ac:dyDescent="0.2">
      <c r="A1284" s="5">
        <v>50</v>
      </c>
      <c r="B1284" s="5">
        <v>0</v>
      </c>
      <c r="C1284" s="5">
        <v>0</v>
      </c>
      <c r="D1284" s="5">
        <v>1</v>
      </c>
      <c r="E1284" s="5">
        <v>230</v>
      </c>
      <c r="F1284" s="5">
        <f>ROUND(Source!BA1264,O1284)</f>
        <v>0</v>
      </c>
      <c r="G1284" s="5" t="s">
        <v>62</v>
      </c>
      <c r="H1284" s="5" t="s">
        <v>63</v>
      </c>
      <c r="I1284" s="5"/>
      <c r="J1284" s="5"/>
      <c r="K1284" s="5">
        <v>230</v>
      </c>
      <c r="L1284" s="5">
        <v>19</v>
      </c>
      <c r="M1284" s="5">
        <v>3</v>
      </c>
      <c r="N1284" s="5" t="s">
        <v>3</v>
      </c>
      <c r="O1284" s="5">
        <v>2</v>
      </c>
      <c r="P1284" s="5">
        <f>ROUND(Source!ES1264,O1284)</f>
        <v>0</v>
      </c>
      <c r="Q1284" s="5"/>
      <c r="R1284" s="5"/>
      <c r="S1284" s="5"/>
      <c r="T1284" s="5"/>
      <c r="U1284" s="5"/>
      <c r="V1284" s="5"/>
      <c r="W1284" s="5">
        <v>0</v>
      </c>
      <c r="X1284" s="5">
        <v>1</v>
      </c>
      <c r="Y1284" s="5">
        <v>0</v>
      </c>
      <c r="Z1284" s="5">
        <v>0</v>
      </c>
      <c r="AA1284" s="5">
        <v>1</v>
      </c>
      <c r="AB1284" s="5">
        <v>0</v>
      </c>
    </row>
    <row r="1285" spans="1:206" x14ac:dyDescent="0.2">
      <c r="A1285" s="5">
        <v>50</v>
      </c>
      <c r="B1285" s="5">
        <v>0</v>
      </c>
      <c r="C1285" s="5">
        <v>0</v>
      </c>
      <c r="D1285" s="5">
        <v>1</v>
      </c>
      <c r="E1285" s="5">
        <v>206</v>
      </c>
      <c r="F1285" s="5">
        <f>ROUND(Source!T1264,O1285)</f>
        <v>0</v>
      </c>
      <c r="G1285" s="5" t="s">
        <v>64</v>
      </c>
      <c r="H1285" s="5" t="s">
        <v>65</v>
      </c>
      <c r="I1285" s="5"/>
      <c r="J1285" s="5"/>
      <c r="K1285" s="5">
        <v>206</v>
      </c>
      <c r="L1285" s="5">
        <v>20</v>
      </c>
      <c r="M1285" s="5">
        <v>3</v>
      </c>
      <c r="N1285" s="5" t="s">
        <v>3</v>
      </c>
      <c r="O1285" s="5">
        <v>2</v>
      </c>
      <c r="P1285" s="5">
        <f>ROUND(Source!DL1264,O1285)</f>
        <v>0</v>
      </c>
      <c r="Q1285" s="5"/>
      <c r="R1285" s="5"/>
      <c r="S1285" s="5"/>
      <c r="T1285" s="5"/>
      <c r="U1285" s="5"/>
      <c r="V1285" s="5"/>
      <c r="W1285" s="5">
        <v>0</v>
      </c>
      <c r="X1285" s="5">
        <v>1</v>
      </c>
      <c r="Y1285" s="5">
        <v>0</v>
      </c>
      <c r="Z1285" s="5">
        <v>0</v>
      </c>
      <c r="AA1285" s="5">
        <v>1</v>
      </c>
      <c r="AB1285" s="5">
        <v>0</v>
      </c>
    </row>
    <row r="1286" spans="1:206" x14ac:dyDescent="0.2">
      <c r="A1286" s="5">
        <v>50</v>
      </c>
      <c r="B1286" s="5">
        <v>0</v>
      </c>
      <c r="C1286" s="5">
        <v>0</v>
      </c>
      <c r="D1286" s="5">
        <v>1</v>
      </c>
      <c r="E1286" s="5">
        <v>207</v>
      </c>
      <c r="F1286" s="5">
        <f>Source!U1264</f>
        <v>0</v>
      </c>
      <c r="G1286" s="5" t="s">
        <v>66</v>
      </c>
      <c r="H1286" s="5" t="s">
        <v>67</v>
      </c>
      <c r="I1286" s="5"/>
      <c r="J1286" s="5"/>
      <c r="K1286" s="5">
        <v>207</v>
      </c>
      <c r="L1286" s="5">
        <v>21</v>
      </c>
      <c r="M1286" s="5">
        <v>3</v>
      </c>
      <c r="N1286" s="5" t="s">
        <v>3</v>
      </c>
      <c r="O1286" s="5">
        <v>-1</v>
      </c>
      <c r="P1286" s="5">
        <f>Source!DM1264</f>
        <v>0</v>
      </c>
      <c r="Q1286" s="5"/>
      <c r="R1286" s="5"/>
      <c r="S1286" s="5"/>
      <c r="T1286" s="5"/>
      <c r="U1286" s="5"/>
      <c r="V1286" s="5"/>
      <c r="W1286" s="5">
        <v>0</v>
      </c>
      <c r="X1286" s="5">
        <v>1</v>
      </c>
      <c r="Y1286" s="5">
        <v>0</v>
      </c>
      <c r="Z1286" s="5">
        <v>0</v>
      </c>
      <c r="AA1286" s="5">
        <v>1</v>
      </c>
      <c r="AB1286" s="5">
        <v>0</v>
      </c>
    </row>
    <row r="1287" spans="1:206" x14ac:dyDescent="0.2">
      <c r="A1287" s="5">
        <v>50</v>
      </c>
      <c r="B1287" s="5">
        <v>0</v>
      </c>
      <c r="C1287" s="5">
        <v>0</v>
      </c>
      <c r="D1287" s="5">
        <v>1</v>
      </c>
      <c r="E1287" s="5">
        <v>208</v>
      </c>
      <c r="F1287" s="5">
        <f>Source!V1264</f>
        <v>0</v>
      </c>
      <c r="G1287" s="5" t="s">
        <v>68</v>
      </c>
      <c r="H1287" s="5" t="s">
        <v>69</v>
      </c>
      <c r="I1287" s="5"/>
      <c r="J1287" s="5"/>
      <c r="K1287" s="5">
        <v>208</v>
      </c>
      <c r="L1287" s="5">
        <v>22</v>
      </c>
      <c r="M1287" s="5">
        <v>3</v>
      </c>
      <c r="N1287" s="5" t="s">
        <v>3</v>
      </c>
      <c r="O1287" s="5">
        <v>-1</v>
      </c>
      <c r="P1287" s="5">
        <f>Source!DN1264</f>
        <v>0</v>
      </c>
      <c r="Q1287" s="5"/>
      <c r="R1287" s="5"/>
      <c r="S1287" s="5"/>
      <c r="T1287" s="5"/>
      <c r="U1287" s="5"/>
      <c r="V1287" s="5"/>
      <c r="W1287" s="5">
        <v>0</v>
      </c>
      <c r="X1287" s="5">
        <v>1</v>
      </c>
      <c r="Y1287" s="5">
        <v>0</v>
      </c>
      <c r="Z1287" s="5">
        <v>0</v>
      </c>
      <c r="AA1287" s="5">
        <v>1</v>
      </c>
      <c r="AB1287" s="5">
        <v>0</v>
      </c>
    </row>
    <row r="1288" spans="1:206" x14ac:dyDescent="0.2">
      <c r="A1288" s="5">
        <v>50</v>
      </c>
      <c r="B1288" s="5">
        <v>0</v>
      </c>
      <c r="C1288" s="5">
        <v>0</v>
      </c>
      <c r="D1288" s="5">
        <v>1</v>
      </c>
      <c r="E1288" s="5">
        <v>209</v>
      </c>
      <c r="F1288" s="5">
        <f>ROUND(Source!W1264,O1288)</f>
        <v>0</v>
      </c>
      <c r="G1288" s="5" t="s">
        <v>70</v>
      </c>
      <c r="H1288" s="5" t="s">
        <v>71</v>
      </c>
      <c r="I1288" s="5"/>
      <c r="J1288" s="5"/>
      <c r="K1288" s="5">
        <v>209</v>
      </c>
      <c r="L1288" s="5">
        <v>23</v>
      </c>
      <c r="M1288" s="5">
        <v>3</v>
      </c>
      <c r="N1288" s="5" t="s">
        <v>3</v>
      </c>
      <c r="O1288" s="5">
        <v>2</v>
      </c>
      <c r="P1288" s="5">
        <f>ROUND(Source!DO1264,O1288)</f>
        <v>0</v>
      </c>
      <c r="Q1288" s="5"/>
      <c r="R1288" s="5"/>
      <c r="S1288" s="5"/>
      <c r="T1288" s="5"/>
      <c r="U1288" s="5"/>
      <c r="V1288" s="5"/>
      <c r="W1288" s="5">
        <v>0</v>
      </c>
      <c r="X1288" s="5">
        <v>1</v>
      </c>
      <c r="Y1288" s="5">
        <v>0</v>
      </c>
      <c r="Z1288" s="5">
        <v>0</v>
      </c>
      <c r="AA1288" s="5">
        <v>1</v>
      </c>
      <c r="AB1288" s="5">
        <v>0</v>
      </c>
    </row>
    <row r="1289" spans="1:206" x14ac:dyDescent="0.2">
      <c r="A1289" s="5">
        <v>50</v>
      </c>
      <c r="B1289" s="5">
        <v>0</v>
      </c>
      <c r="C1289" s="5">
        <v>0</v>
      </c>
      <c r="D1289" s="5">
        <v>1</v>
      </c>
      <c r="E1289" s="5">
        <v>233</v>
      </c>
      <c r="F1289" s="5">
        <f>ROUND(Source!BD1264,O1289)</f>
        <v>0</v>
      </c>
      <c r="G1289" s="5" t="s">
        <v>72</v>
      </c>
      <c r="H1289" s="5" t="s">
        <v>73</v>
      </c>
      <c r="I1289" s="5"/>
      <c r="J1289" s="5"/>
      <c r="K1289" s="5">
        <v>233</v>
      </c>
      <c r="L1289" s="5">
        <v>24</v>
      </c>
      <c r="M1289" s="5">
        <v>3</v>
      </c>
      <c r="N1289" s="5" t="s">
        <v>3</v>
      </c>
      <c r="O1289" s="5">
        <v>2</v>
      </c>
      <c r="P1289" s="5">
        <f>ROUND(Source!EV1264,O1289)</f>
        <v>0</v>
      </c>
      <c r="Q1289" s="5"/>
      <c r="R1289" s="5"/>
      <c r="S1289" s="5"/>
      <c r="T1289" s="5"/>
      <c r="U1289" s="5"/>
      <c r="V1289" s="5"/>
      <c r="W1289" s="5">
        <v>0</v>
      </c>
      <c r="X1289" s="5">
        <v>1</v>
      </c>
      <c r="Y1289" s="5">
        <v>0</v>
      </c>
      <c r="Z1289" s="5">
        <v>0</v>
      </c>
      <c r="AA1289" s="5">
        <v>1</v>
      </c>
      <c r="AB1289" s="5">
        <v>0</v>
      </c>
    </row>
    <row r="1290" spans="1:206" x14ac:dyDescent="0.2">
      <c r="A1290" s="5">
        <v>50</v>
      </c>
      <c r="B1290" s="5">
        <v>0</v>
      </c>
      <c r="C1290" s="5">
        <v>0</v>
      </c>
      <c r="D1290" s="5">
        <v>1</v>
      </c>
      <c r="E1290" s="5">
        <v>210</v>
      </c>
      <c r="F1290" s="5">
        <f>ROUND(Source!X1264,O1290)</f>
        <v>0</v>
      </c>
      <c r="G1290" s="5" t="s">
        <v>74</v>
      </c>
      <c r="H1290" s="5" t="s">
        <v>75</v>
      </c>
      <c r="I1290" s="5"/>
      <c r="J1290" s="5"/>
      <c r="K1290" s="5">
        <v>210</v>
      </c>
      <c r="L1290" s="5">
        <v>25</v>
      </c>
      <c r="M1290" s="5">
        <v>3</v>
      </c>
      <c r="N1290" s="5" t="s">
        <v>3</v>
      </c>
      <c r="O1290" s="5">
        <v>2</v>
      </c>
      <c r="P1290" s="5">
        <f>ROUND(Source!DP1264,O1290)</f>
        <v>0</v>
      </c>
      <c r="Q1290" s="5"/>
      <c r="R1290" s="5"/>
      <c r="S1290" s="5"/>
      <c r="T1290" s="5"/>
      <c r="U1290" s="5"/>
      <c r="V1290" s="5"/>
      <c r="W1290" s="5">
        <v>0</v>
      </c>
      <c r="X1290" s="5">
        <v>1</v>
      </c>
      <c r="Y1290" s="5">
        <v>0</v>
      </c>
      <c r="Z1290" s="5">
        <v>0</v>
      </c>
      <c r="AA1290" s="5">
        <v>1</v>
      </c>
      <c r="AB1290" s="5">
        <v>0</v>
      </c>
    </row>
    <row r="1291" spans="1:206" x14ac:dyDescent="0.2">
      <c r="A1291" s="5">
        <v>50</v>
      </c>
      <c r="B1291" s="5">
        <v>0</v>
      </c>
      <c r="C1291" s="5">
        <v>0</v>
      </c>
      <c r="D1291" s="5">
        <v>1</v>
      </c>
      <c r="E1291" s="5">
        <v>211</v>
      </c>
      <c r="F1291" s="5">
        <f>ROUND(Source!Y1264,O1291)</f>
        <v>0</v>
      </c>
      <c r="G1291" s="5" t="s">
        <v>76</v>
      </c>
      <c r="H1291" s="5" t="s">
        <v>77</v>
      </c>
      <c r="I1291" s="5"/>
      <c r="J1291" s="5"/>
      <c r="K1291" s="5">
        <v>211</v>
      </c>
      <c r="L1291" s="5">
        <v>26</v>
      </c>
      <c r="M1291" s="5">
        <v>3</v>
      </c>
      <c r="N1291" s="5" t="s">
        <v>3</v>
      </c>
      <c r="O1291" s="5">
        <v>2</v>
      </c>
      <c r="P1291" s="5">
        <f>ROUND(Source!DQ1264,O1291)</f>
        <v>0</v>
      </c>
      <c r="Q1291" s="5"/>
      <c r="R1291" s="5"/>
      <c r="S1291" s="5"/>
      <c r="T1291" s="5"/>
      <c r="U1291" s="5"/>
      <c r="V1291" s="5"/>
      <c r="W1291" s="5">
        <v>0</v>
      </c>
      <c r="X1291" s="5">
        <v>1</v>
      </c>
      <c r="Y1291" s="5">
        <v>0</v>
      </c>
      <c r="Z1291" s="5">
        <v>0</v>
      </c>
      <c r="AA1291" s="5">
        <v>1</v>
      </c>
      <c r="AB1291" s="5">
        <v>0</v>
      </c>
    </row>
    <row r="1292" spans="1:206" x14ac:dyDescent="0.2">
      <c r="A1292" s="5">
        <v>50</v>
      </c>
      <c r="B1292" s="5">
        <v>0</v>
      </c>
      <c r="C1292" s="5">
        <v>0</v>
      </c>
      <c r="D1292" s="5">
        <v>1</v>
      </c>
      <c r="E1292" s="5">
        <v>224</v>
      </c>
      <c r="F1292" s="5">
        <f>ROUND(Source!AR1264,O1292)</f>
        <v>3.97</v>
      </c>
      <c r="G1292" s="5" t="s">
        <v>78</v>
      </c>
      <c r="H1292" s="5" t="s">
        <v>79</v>
      </c>
      <c r="I1292" s="5"/>
      <c r="J1292" s="5"/>
      <c r="K1292" s="5">
        <v>224</v>
      </c>
      <c r="L1292" s="5">
        <v>27</v>
      </c>
      <c r="M1292" s="5">
        <v>3</v>
      </c>
      <c r="N1292" s="5" t="s">
        <v>3</v>
      </c>
      <c r="O1292" s="5">
        <v>2</v>
      </c>
      <c r="P1292" s="5">
        <f>ROUND(Source!EJ1264,O1292)</f>
        <v>101.37</v>
      </c>
      <c r="Q1292" s="5"/>
      <c r="R1292" s="5"/>
      <c r="S1292" s="5"/>
      <c r="T1292" s="5"/>
      <c r="U1292" s="5"/>
      <c r="V1292" s="5"/>
      <c r="W1292" s="5">
        <v>3.97</v>
      </c>
      <c r="X1292" s="5">
        <v>1</v>
      </c>
      <c r="Y1292" s="5">
        <v>3.97</v>
      </c>
      <c r="Z1292" s="5">
        <v>101.37</v>
      </c>
      <c r="AA1292" s="5">
        <v>1</v>
      </c>
      <c r="AB1292" s="5">
        <v>101.37</v>
      </c>
    </row>
    <row r="1294" spans="1:206" x14ac:dyDescent="0.2">
      <c r="A1294" s="3">
        <v>51</v>
      </c>
      <c r="B1294" s="3">
        <f>B991</f>
        <v>1</v>
      </c>
      <c r="C1294" s="3">
        <f>A991</f>
        <v>3</v>
      </c>
      <c r="D1294" s="3">
        <f>ROW(A991)</f>
        <v>991</v>
      </c>
      <c r="E1294" s="3"/>
      <c r="F1294" s="3" t="str">
        <f>IF(F991&lt;&gt;"",F991,"")</f>
        <v>02-01-06</v>
      </c>
      <c r="G1294" s="3" t="str">
        <f>IF(G991&lt;&gt;"",G991,"")</f>
        <v>Система водоснабжения и водоотведения</v>
      </c>
      <c r="H1294" s="3">
        <v>0</v>
      </c>
      <c r="I1294" s="3"/>
      <c r="J1294" s="3"/>
      <c r="K1294" s="3"/>
      <c r="L1294" s="3"/>
      <c r="M1294" s="3"/>
      <c r="N1294" s="3"/>
      <c r="O1294" s="3">
        <f t="shared" ref="O1294:T1294" si="1104">ROUND(O1008+O1093+O1156+O1223+O1264+AB1294,2)</f>
        <v>4343.41</v>
      </c>
      <c r="P1294" s="3">
        <f t="shared" si="1104"/>
        <v>3301.78</v>
      </c>
      <c r="Q1294" s="3">
        <f t="shared" si="1104"/>
        <v>75.86</v>
      </c>
      <c r="R1294" s="3">
        <f t="shared" si="1104"/>
        <v>12.91</v>
      </c>
      <c r="S1294" s="3">
        <f t="shared" si="1104"/>
        <v>965.77</v>
      </c>
      <c r="T1294" s="3">
        <f t="shared" si="1104"/>
        <v>0</v>
      </c>
      <c r="U1294" s="3">
        <f>U1008+U1093+U1156+U1223+U1264+AH1294</f>
        <v>76.808025000000001</v>
      </c>
      <c r="V1294" s="3">
        <f>V1008+V1093+V1156+V1223+V1264+AI1294</f>
        <v>0</v>
      </c>
      <c r="W1294" s="3">
        <f>ROUND(W1008+W1093+W1156+W1223+W1264+AJ1294,2)</f>
        <v>0</v>
      </c>
      <c r="X1294" s="3">
        <f>ROUND(X1008+X1093+X1156+X1223+X1264+AK1294,2)</f>
        <v>1045.23</v>
      </c>
      <c r="Y1294" s="3">
        <f>ROUND(Y1008+Y1093+Y1156+Y1223+Y1264+AL1294,2)</f>
        <v>708.02</v>
      </c>
      <c r="Z1294" s="3"/>
      <c r="AA1294" s="3"/>
      <c r="AB1294" s="3"/>
      <c r="AC1294" s="3"/>
      <c r="AD1294" s="3"/>
      <c r="AE1294" s="3"/>
      <c r="AF1294" s="3"/>
      <c r="AG1294" s="3"/>
      <c r="AH1294" s="3"/>
      <c r="AI1294" s="3"/>
      <c r="AJ1294" s="3"/>
      <c r="AK1294" s="3"/>
      <c r="AL1294" s="3"/>
      <c r="AM1294" s="3"/>
      <c r="AN1294" s="3"/>
      <c r="AO1294" s="3">
        <f t="shared" ref="AO1294:BD1294" si="1105">ROUND(AO1008+AO1093+AO1156+AO1223+AO1264+BX1294,2)</f>
        <v>0</v>
      </c>
      <c r="AP1294" s="3">
        <f t="shared" si="1105"/>
        <v>0</v>
      </c>
      <c r="AQ1294" s="3">
        <f t="shared" si="1105"/>
        <v>0</v>
      </c>
      <c r="AR1294" s="3">
        <f t="shared" si="1105"/>
        <v>6119.27</v>
      </c>
      <c r="AS1294" s="3">
        <f t="shared" si="1105"/>
        <v>6115.85</v>
      </c>
      <c r="AT1294" s="3">
        <f t="shared" si="1105"/>
        <v>0</v>
      </c>
      <c r="AU1294" s="3">
        <f t="shared" si="1105"/>
        <v>3.42</v>
      </c>
      <c r="AV1294" s="3">
        <f t="shared" si="1105"/>
        <v>3301.78</v>
      </c>
      <c r="AW1294" s="3">
        <f t="shared" si="1105"/>
        <v>3301.78</v>
      </c>
      <c r="AX1294" s="3">
        <f t="shared" si="1105"/>
        <v>0</v>
      </c>
      <c r="AY1294" s="3">
        <f t="shared" si="1105"/>
        <v>3301.78</v>
      </c>
      <c r="AZ1294" s="3">
        <f t="shared" si="1105"/>
        <v>0</v>
      </c>
      <c r="BA1294" s="3">
        <f t="shared" si="1105"/>
        <v>0</v>
      </c>
      <c r="BB1294" s="3">
        <f t="shared" si="1105"/>
        <v>0</v>
      </c>
      <c r="BC1294" s="3">
        <f t="shared" si="1105"/>
        <v>0</v>
      </c>
      <c r="BD1294" s="3">
        <f t="shared" si="1105"/>
        <v>0</v>
      </c>
      <c r="BE1294" s="3"/>
      <c r="BF1294" s="3"/>
      <c r="BG1294" s="3"/>
      <c r="BH1294" s="3"/>
      <c r="BI1294" s="3"/>
      <c r="BJ1294" s="3"/>
      <c r="BK1294" s="3"/>
      <c r="BL1294" s="3"/>
      <c r="BM1294" s="3"/>
      <c r="BN1294" s="3"/>
      <c r="BO1294" s="3"/>
      <c r="BP1294" s="3"/>
      <c r="BQ1294" s="3"/>
      <c r="BR1294" s="3"/>
      <c r="BS1294" s="3"/>
      <c r="BT1294" s="3"/>
      <c r="BU1294" s="3"/>
      <c r="BV1294" s="3"/>
      <c r="BW1294" s="3"/>
      <c r="BX1294" s="3"/>
      <c r="BY1294" s="3"/>
      <c r="BZ1294" s="3"/>
      <c r="CA1294" s="3"/>
      <c r="CB1294" s="3"/>
      <c r="CC1294" s="3"/>
      <c r="CD1294" s="3"/>
      <c r="CE1294" s="3"/>
      <c r="CF1294" s="3"/>
      <c r="CG1294" s="3"/>
      <c r="CH1294" s="3"/>
      <c r="CI1294" s="3"/>
      <c r="CJ1294" s="3"/>
      <c r="CK1294" s="3"/>
      <c r="CL1294" s="3"/>
      <c r="CM1294" s="3"/>
      <c r="CN1294" s="3"/>
      <c r="CO1294" s="3"/>
      <c r="CP1294" s="3"/>
      <c r="CQ1294" s="3"/>
      <c r="CR1294" s="3"/>
      <c r="CS1294" s="3"/>
      <c r="CT1294" s="3"/>
      <c r="CU1294" s="3"/>
      <c r="CV1294" s="3"/>
      <c r="CW1294" s="3"/>
      <c r="CX1294" s="3"/>
      <c r="CY1294" s="3"/>
      <c r="CZ1294" s="3"/>
      <c r="DA1294" s="3"/>
      <c r="DB1294" s="3"/>
      <c r="DC1294" s="3"/>
      <c r="DD1294" s="3"/>
      <c r="DE1294" s="3"/>
      <c r="DF1294" s="3"/>
      <c r="DG1294" s="4">
        <f t="shared" ref="DG1294:DL1294" si="1106">ROUND(DG1008+DG1093+DG1156+DG1223+DG1264+DT1294,2)</f>
        <v>140417.38</v>
      </c>
      <c r="DH1294" s="4">
        <f t="shared" si="1106"/>
        <v>111416.79</v>
      </c>
      <c r="DI1294" s="4">
        <f t="shared" si="1106"/>
        <v>964.28</v>
      </c>
      <c r="DJ1294" s="4">
        <f t="shared" si="1106"/>
        <v>374.77</v>
      </c>
      <c r="DK1294" s="4">
        <f t="shared" si="1106"/>
        <v>28036.31</v>
      </c>
      <c r="DL1294" s="4">
        <f t="shared" si="1106"/>
        <v>0</v>
      </c>
      <c r="DM1294" s="4">
        <f>DM1008+DM1093+DM1156+DM1223+DM1264+DZ1294</f>
        <v>76.808025000000001</v>
      </c>
      <c r="DN1294" s="4">
        <f>DN1008+DN1093+DN1156+DN1223+DN1264+EA1294</f>
        <v>0</v>
      </c>
      <c r="DO1294" s="4">
        <f>ROUND(DO1008+DO1093+DO1156+DO1223+DO1264+EB1294,2)</f>
        <v>0</v>
      </c>
      <c r="DP1294" s="4">
        <f>ROUND(DP1008+DP1093+DP1156+DP1223+DP1264+EC1294,2)</f>
        <v>24865.439999999999</v>
      </c>
      <c r="DQ1294" s="4">
        <f>ROUND(DQ1008+DQ1093+DQ1156+DQ1223+DQ1264+ED1294,2)</f>
        <v>11494.9</v>
      </c>
      <c r="DR1294" s="4"/>
      <c r="DS1294" s="4"/>
      <c r="DT1294" s="4"/>
      <c r="DU1294" s="4"/>
      <c r="DV1294" s="4"/>
      <c r="DW1294" s="4"/>
      <c r="DX1294" s="4"/>
      <c r="DY1294" s="4"/>
      <c r="DZ1294" s="4"/>
      <c r="EA1294" s="4"/>
      <c r="EB1294" s="4"/>
      <c r="EC1294" s="4"/>
      <c r="ED1294" s="4"/>
      <c r="EE1294" s="4"/>
      <c r="EF1294" s="4"/>
      <c r="EG1294" s="4">
        <f t="shared" ref="EG1294:EV1294" si="1107">ROUND(EG1008+EG1093+EG1156+EG1223+EG1264+FP1294,2)</f>
        <v>0</v>
      </c>
      <c r="EH1294" s="4">
        <f t="shared" si="1107"/>
        <v>0</v>
      </c>
      <c r="EI1294" s="4">
        <f t="shared" si="1107"/>
        <v>0</v>
      </c>
      <c r="EJ1294" s="4">
        <f t="shared" si="1107"/>
        <v>177377.35</v>
      </c>
      <c r="EK1294" s="4">
        <f t="shared" si="1107"/>
        <v>177284.4</v>
      </c>
      <c r="EL1294" s="4">
        <f t="shared" si="1107"/>
        <v>0</v>
      </c>
      <c r="EM1294" s="4">
        <f t="shared" si="1107"/>
        <v>92.95</v>
      </c>
      <c r="EN1294" s="4">
        <f t="shared" si="1107"/>
        <v>111416.79</v>
      </c>
      <c r="EO1294" s="4">
        <f t="shared" si="1107"/>
        <v>111416.79</v>
      </c>
      <c r="EP1294" s="4">
        <f t="shared" si="1107"/>
        <v>0</v>
      </c>
      <c r="EQ1294" s="4">
        <f t="shared" si="1107"/>
        <v>111416.79</v>
      </c>
      <c r="ER1294" s="4">
        <f t="shared" si="1107"/>
        <v>0</v>
      </c>
      <c r="ES1294" s="4">
        <f t="shared" si="1107"/>
        <v>0</v>
      </c>
      <c r="ET1294" s="4">
        <f t="shared" si="1107"/>
        <v>0</v>
      </c>
      <c r="EU1294" s="4">
        <f t="shared" si="1107"/>
        <v>0</v>
      </c>
      <c r="EV1294" s="4">
        <f t="shared" si="1107"/>
        <v>0</v>
      </c>
      <c r="EW1294" s="4"/>
      <c r="EX1294" s="4"/>
      <c r="EY1294" s="4"/>
      <c r="EZ1294" s="4"/>
      <c r="FA1294" s="4"/>
      <c r="FB1294" s="4"/>
      <c r="FC1294" s="4"/>
      <c r="FD1294" s="4"/>
      <c r="FE1294" s="4"/>
      <c r="FF1294" s="4"/>
      <c r="FG1294" s="4"/>
      <c r="FH1294" s="4"/>
      <c r="FI1294" s="4"/>
      <c r="FJ1294" s="4"/>
      <c r="FK1294" s="4"/>
      <c r="FL1294" s="4"/>
      <c r="FM1294" s="4"/>
      <c r="FN1294" s="4"/>
      <c r="FO1294" s="4"/>
      <c r="FP1294" s="4"/>
      <c r="FQ1294" s="4"/>
      <c r="FR1294" s="4"/>
      <c r="FS1294" s="4"/>
      <c r="FT1294" s="4"/>
      <c r="FU1294" s="4"/>
      <c r="FV1294" s="4"/>
      <c r="FW1294" s="4"/>
      <c r="FX1294" s="4"/>
      <c r="FY1294" s="4"/>
      <c r="FZ1294" s="4"/>
      <c r="GA1294" s="4"/>
      <c r="GB1294" s="4"/>
      <c r="GC1294" s="4"/>
      <c r="GD1294" s="4"/>
      <c r="GE1294" s="4"/>
      <c r="GF1294" s="4"/>
      <c r="GG1294" s="4"/>
      <c r="GH1294" s="4"/>
      <c r="GI1294" s="4"/>
      <c r="GJ1294" s="4"/>
      <c r="GK1294" s="4"/>
      <c r="GL1294" s="4"/>
      <c r="GM1294" s="4"/>
      <c r="GN1294" s="4"/>
      <c r="GO1294" s="4"/>
      <c r="GP1294" s="4"/>
      <c r="GQ1294" s="4"/>
      <c r="GR1294" s="4"/>
      <c r="GS1294" s="4"/>
      <c r="GT1294" s="4"/>
      <c r="GU1294" s="4"/>
      <c r="GV1294" s="4"/>
      <c r="GW1294" s="4"/>
      <c r="GX1294" s="4">
        <v>0</v>
      </c>
    </row>
    <row r="1296" spans="1:206" x14ac:dyDescent="0.2">
      <c r="A1296" s="5">
        <v>50</v>
      </c>
      <c r="B1296" s="5">
        <v>0</v>
      </c>
      <c r="C1296" s="5">
        <v>0</v>
      </c>
      <c r="D1296" s="5">
        <v>1</v>
      </c>
      <c r="E1296" s="5">
        <v>201</v>
      </c>
      <c r="F1296" s="5">
        <f>ROUND(Source!O1294,O1296)</f>
        <v>4343.41</v>
      </c>
      <c r="G1296" s="5" t="s">
        <v>26</v>
      </c>
      <c r="H1296" s="5" t="s">
        <v>27</v>
      </c>
      <c r="I1296" s="5"/>
      <c r="J1296" s="5"/>
      <c r="K1296" s="5">
        <v>201</v>
      </c>
      <c r="L1296" s="5">
        <v>1</v>
      </c>
      <c r="M1296" s="5">
        <v>3</v>
      </c>
      <c r="N1296" s="5" t="s">
        <v>3</v>
      </c>
      <c r="O1296" s="5">
        <v>2</v>
      </c>
      <c r="P1296" s="5">
        <f>ROUND(Source!DG1294,O1296)</f>
        <v>140417.38</v>
      </c>
      <c r="Q1296" s="5"/>
      <c r="R1296" s="5"/>
      <c r="S1296" s="5"/>
      <c r="T1296" s="5"/>
      <c r="U1296" s="5"/>
      <c r="V1296" s="5"/>
      <c r="W1296" s="5">
        <v>4343.41</v>
      </c>
      <c r="X1296" s="5">
        <v>1</v>
      </c>
      <c r="Y1296" s="5">
        <v>4343.41</v>
      </c>
      <c r="Z1296" s="5">
        <v>140417.38</v>
      </c>
      <c r="AA1296" s="5">
        <v>1</v>
      </c>
      <c r="AB1296" s="5">
        <v>140417.38</v>
      </c>
    </row>
    <row r="1297" spans="1:28" x14ac:dyDescent="0.2">
      <c r="A1297" s="5">
        <v>50</v>
      </c>
      <c r="B1297" s="5">
        <v>0</v>
      </c>
      <c r="C1297" s="5">
        <v>0</v>
      </c>
      <c r="D1297" s="5">
        <v>1</v>
      </c>
      <c r="E1297" s="5">
        <v>202</v>
      </c>
      <c r="F1297" s="5">
        <f>ROUND(Source!P1294,O1297)</f>
        <v>3301.78</v>
      </c>
      <c r="G1297" s="5" t="s">
        <v>28</v>
      </c>
      <c r="H1297" s="5" t="s">
        <v>29</v>
      </c>
      <c r="I1297" s="5"/>
      <c r="J1297" s="5"/>
      <c r="K1297" s="5">
        <v>202</v>
      </c>
      <c r="L1297" s="5">
        <v>2</v>
      </c>
      <c r="M1297" s="5">
        <v>3</v>
      </c>
      <c r="N1297" s="5" t="s">
        <v>3</v>
      </c>
      <c r="O1297" s="5">
        <v>2</v>
      </c>
      <c r="P1297" s="5">
        <f>ROUND(Source!DH1294,O1297)</f>
        <v>111416.79</v>
      </c>
      <c r="Q1297" s="5"/>
      <c r="R1297" s="5"/>
      <c r="S1297" s="5"/>
      <c r="T1297" s="5"/>
      <c r="U1297" s="5"/>
      <c r="V1297" s="5"/>
      <c r="W1297" s="5">
        <v>3301.78</v>
      </c>
      <c r="X1297" s="5">
        <v>1</v>
      </c>
      <c r="Y1297" s="5">
        <v>3301.78</v>
      </c>
      <c r="Z1297" s="5">
        <v>111416.79</v>
      </c>
      <c r="AA1297" s="5">
        <v>1</v>
      </c>
      <c r="AB1297" s="5">
        <v>111416.79</v>
      </c>
    </row>
    <row r="1298" spans="1:28" x14ac:dyDescent="0.2">
      <c r="A1298" s="5">
        <v>50</v>
      </c>
      <c r="B1298" s="5">
        <v>0</v>
      </c>
      <c r="C1298" s="5">
        <v>0</v>
      </c>
      <c r="D1298" s="5">
        <v>1</v>
      </c>
      <c r="E1298" s="5">
        <v>222</v>
      </c>
      <c r="F1298" s="5">
        <f>ROUND(Source!AO1294,O1298)</f>
        <v>0</v>
      </c>
      <c r="G1298" s="5" t="s">
        <v>30</v>
      </c>
      <c r="H1298" s="5" t="s">
        <v>31</v>
      </c>
      <c r="I1298" s="5"/>
      <c r="J1298" s="5"/>
      <c r="K1298" s="5">
        <v>222</v>
      </c>
      <c r="L1298" s="5">
        <v>3</v>
      </c>
      <c r="M1298" s="5">
        <v>3</v>
      </c>
      <c r="N1298" s="5" t="s">
        <v>3</v>
      </c>
      <c r="O1298" s="5">
        <v>2</v>
      </c>
      <c r="P1298" s="5">
        <f>ROUND(Source!EG1294,O1298)</f>
        <v>0</v>
      </c>
      <c r="Q1298" s="5"/>
      <c r="R1298" s="5"/>
      <c r="S1298" s="5"/>
      <c r="T1298" s="5"/>
      <c r="U1298" s="5"/>
      <c r="V1298" s="5"/>
      <c r="W1298" s="5">
        <v>0</v>
      </c>
      <c r="X1298" s="5">
        <v>1</v>
      </c>
      <c r="Y1298" s="5">
        <v>0</v>
      </c>
      <c r="Z1298" s="5">
        <v>0</v>
      </c>
      <c r="AA1298" s="5">
        <v>1</v>
      </c>
      <c r="AB1298" s="5">
        <v>0</v>
      </c>
    </row>
    <row r="1299" spans="1:28" x14ac:dyDescent="0.2">
      <c r="A1299" s="5">
        <v>50</v>
      </c>
      <c r="B1299" s="5">
        <v>0</v>
      </c>
      <c r="C1299" s="5">
        <v>0</v>
      </c>
      <c r="D1299" s="5">
        <v>1</v>
      </c>
      <c r="E1299" s="5">
        <v>225</v>
      </c>
      <c r="F1299" s="5">
        <f>ROUND(Source!AV1294,O1299)</f>
        <v>3301.78</v>
      </c>
      <c r="G1299" s="5" t="s">
        <v>32</v>
      </c>
      <c r="H1299" s="5" t="s">
        <v>33</v>
      </c>
      <c r="I1299" s="5"/>
      <c r="J1299" s="5"/>
      <c r="K1299" s="5">
        <v>225</v>
      </c>
      <c r="L1299" s="5">
        <v>4</v>
      </c>
      <c r="M1299" s="5">
        <v>3</v>
      </c>
      <c r="N1299" s="5" t="s">
        <v>3</v>
      </c>
      <c r="O1299" s="5">
        <v>2</v>
      </c>
      <c r="P1299" s="5">
        <f>ROUND(Source!EN1294,O1299)</f>
        <v>111416.79</v>
      </c>
      <c r="Q1299" s="5"/>
      <c r="R1299" s="5"/>
      <c r="S1299" s="5"/>
      <c r="T1299" s="5"/>
      <c r="U1299" s="5"/>
      <c r="V1299" s="5"/>
      <c r="W1299" s="5">
        <v>3301.78</v>
      </c>
      <c r="X1299" s="5">
        <v>1</v>
      </c>
      <c r="Y1299" s="5">
        <v>3301.78</v>
      </c>
      <c r="Z1299" s="5">
        <v>111416.79</v>
      </c>
      <c r="AA1299" s="5">
        <v>1</v>
      </c>
      <c r="AB1299" s="5">
        <v>111416.79</v>
      </c>
    </row>
    <row r="1300" spans="1:28" x14ac:dyDescent="0.2">
      <c r="A1300" s="5">
        <v>50</v>
      </c>
      <c r="B1300" s="5">
        <v>0</v>
      </c>
      <c r="C1300" s="5">
        <v>0</v>
      </c>
      <c r="D1300" s="5">
        <v>1</v>
      </c>
      <c r="E1300" s="5">
        <v>226</v>
      </c>
      <c r="F1300" s="5">
        <f>ROUND(Source!AW1294,O1300)</f>
        <v>3301.78</v>
      </c>
      <c r="G1300" s="5" t="s">
        <v>34</v>
      </c>
      <c r="H1300" s="5" t="s">
        <v>35</v>
      </c>
      <c r="I1300" s="5"/>
      <c r="J1300" s="5"/>
      <c r="K1300" s="5">
        <v>226</v>
      </c>
      <c r="L1300" s="5">
        <v>5</v>
      </c>
      <c r="M1300" s="5">
        <v>3</v>
      </c>
      <c r="N1300" s="5" t="s">
        <v>3</v>
      </c>
      <c r="O1300" s="5">
        <v>2</v>
      </c>
      <c r="P1300" s="5">
        <f>ROUND(Source!EO1294,O1300)</f>
        <v>111416.79</v>
      </c>
      <c r="Q1300" s="5"/>
      <c r="R1300" s="5"/>
      <c r="S1300" s="5"/>
      <c r="T1300" s="5"/>
      <c r="U1300" s="5"/>
      <c r="V1300" s="5"/>
      <c r="W1300" s="5">
        <v>3301.78</v>
      </c>
      <c r="X1300" s="5">
        <v>1</v>
      </c>
      <c r="Y1300" s="5">
        <v>3301.78</v>
      </c>
      <c r="Z1300" s="5">
        <v>111416.79</v>
      </c>
      <c r="AA1300" s="5">
        <v>1</v>
      </c>
      <c r="AB1300" s="5">
        <v>111416.79</v>
      </c>
    </row>
    <row r="1301" spans="1:28" x14ac:dyDescent="0.2">
      <c r="A1301" s="5">
        <v>50</v>
      </c>
      <c r="B1301" s="5">
        <v>0</v>
      </c>
      <c r="C1301" s="5">
        <v>0</v>
      </c>
      <c r="D1301" s="5">
        <v>1</v>
      </c>
      <c r="E1301" s="5">
        <v>227</v>
      </c>
      <c r="F1301" s="5">
        <f>ROUND(Source!AX1294,O1301)</f>
        <v>0</v>
      </c>
      <c r="G1301" s="5" t="s">
        <v>36</v>
      </c>
      <c r="H1301" s="5" t="s">
        <v>37</v>
      </c>
      <c r="I1301" s="5"/>
      <c r="J1301" s="5"/>
      <c r="K1301" s="5">
        <v>227</v>
      </c>
      <c r="L1301" s="5">
        <v>6</v>
      </c>
      <c r="M1301" s="5">
        <v>3</v>
      </c>
      <c r="N1301" s="5" t="s">
        <v>3</v>
      </c>
      <c r="O1301" s="5">
        <v>2</v>
      </c>
      <c r="P1301" s="5">
        <f>ROUND(Source!EP1294,O1301)</f>
        <v>0</v>
      </c>
      <c r="Q1301" s="5"/>
      <c r="R1301" s="5"/>
      <c r="S1301" s="5"/>
      <c r="T1301" s="5"/>
      <c r="U1301" s="5"/>
      <c r="V1301" s="5"/>
      <c r="W1301" s="5">
        <v>0</v>
      </c>
      <c r="X1301" s="5">
        <v>1</v>
      </c>
      <c r="Y1301" s="5">
        <v>0</v>
      </c>
      <c r="Z1301" s="5">
        <v>0</v>
      </c>
      <c r="AA1301" s="5">
        <v>1</v>
      </c>
      <c r="AB1301" s="5">
        <v>0</v>
      </c>
    </row>
    <row r="1302" spans="1:28" x14ac:dyDescent="0.2">
      <c r="A1302" s="5">
        <v>50</v>
      </c>
      <c r="B1302" s="5">
        <v>0</v>
      </c>
      <c r="C1302" s="5">
        <v>0</v>
      </c>
      <c r="D1302" s="5">
        <v>1</v>
      </c>
      <c r="E1302" s="5">
        <v>228</v>
      </c>
      <c r="F1302" s="5">
        <f>ROUND(Source!AY1294,O1302)</f>
        <v>3301.78</v>
      </c>
      <c r="G1302" s="5" t="s">
        <v>38</v>
      </c>
      <c r="H1302" s="5" t="s">
        <v>39</v>
      </c>
      <c r="I1302" s="5"/>
      <c r="J1302" s="5"/>
      <c r="K1302" s="5">
        <v>228</v>
      </c>
      <c r="L1302" s="5">
        <v>7</v>
      </c>
      <c r="M1302" s="5">
        <v>3</v>
      </c>
      <c r="N1302" s="5" t="s">
        <v>3</v>
      </c>
      <c r="O1302" s="5">
        <v>2</v>
      </c>
      <c r="P1302" s="5">
        <f>ROUND(Source!EQ1294,O1302)</f>
        <v>111416.79</v>
      </c>
      <c r="Q1302" s="5"/>
      <c r="R1302" s="5"/>
      <c r="S1302" s="5"/>
      <c r="T1302" s="5"/>
      <c r="U1302" s="5"/>
      <c r="V1302" s="5"/>
      <c r="W1302" s="5">
        <v>3301.78</v>
      </c>
      <c r="X1302" s="5">
        <v>1</v>
      </c>
      <c r="Y1302" s="5">
        <v>3301.78</v>
      </c>
      <c r="Z1302" s="5">
        <v>111416.79</v>
      </c>
      <c r="AA1302" s="5">
        <v>1</v>
      </c>
      <c r="AB1302" s="5">
        <v>111416.79</v>
      </c>
    </row>
    <row r="1303" spans="1:28" x14ac:dyDescent="0.2">
      <c r="A1303" s="5">
        <v>50</v>
      </c>
      <c r="B1303" s="5">
        <v>0</v>
      </c>
      <c r="C1303" s="5">
        <v>0</v>
      </c>
      <c r="D1303" s="5">
        <v>1</v>
      </c>
      <c r="E1303" s="5">
        <v>216</v>
      </c>
      <c r="F1303" s="5">
        <f>ROUND(Source!AP1294,O1303)</f>
        <v>0</v>
      </c>
      <c r="G1303" s="5" t="s">
        <v>40</v>
      </c>
      <c r="H1303" s="5" t="s">
        <v>41</v>
      </c>
      <c r="I1303" s="5"/>
      <c r="J1303" s="5"/>
      <c r="K1303" s="5">
        <v>216</v>
      </c>
      <c r="L1303" s="5">
        <v>8</v>
      </c>
      <c r="M1303" s="5">
        <v>3</v>
      </c>
      <c r="N1303" s="5" t="s">
        <v>3</v>
      </c>
      <c r="O1303" s="5">
        <v>2</v>
      </c>
      <c r="P1303" s="5">
        <f>ROUND(Source!EH1294,O1303)</f>
        <v>0</v>
      </c>
      <c r="Q1303" s="5"/>
      <c r="R1303" s="5"/>
      <c r="S1303" s="5"/>
      <c r="T1303" s="5"/>
      <c r="U1303" s="5"/>
      <c r="V1303" s="5"/>
      <c r="W1303" s="5">
        <v>0</v>
      </c>
      <c r="X1303" s="5">
        <v>1</v>
      </c>
      <c r="Y1303" s="5">
        <v>0</v>
      </c>
      <c r="Z1303" s="5">
        <v>0</v>
      </c>
      <c r="AA1303" s="5">
        <v>1</v>
      </c>
      <c r="AB1303" s="5">
        <v>0</v>
      </c>
    </row>
    <row r="1304" spans="1:28" x14ac:dyDescent="0.2">
      <c r="A1304" s="5">
        <v>50</v>
      </c>
      <c r="B1304" s="5">
        <v>0</v>
      </c>
      <c r="C1304" s="5">
        <v>0</v>
      </c>
      <c r="D1304" s="5">
        <v>1</v>
      </c>
      <c r="E1304" s="5">
        <v>223</v>
      </c>
      <c r="F1304" s="5">
        <f>ROUND(Source!AQ1294,O1304)</f>
        <v>0</v>
      </c>
      <c r="G1304" s="5" t="s">
        <v>42</v>
      </c>
      <c r="H1304" s="5" t="s">
        <v>43</v>
      </c>
      <c r="I1304" s="5"/>
      <c r="J1304" s="5"/>
      <c r="K1304" s="5">
        <v>223</v>
      </c>
      <c r="L1304" s="5">
        <v>9</v>
      </c>
      <c r="M1304" s="5">
        <v>3</v>
      </c>
      <c r="N1304" s="5" t="s">
        <v>3</v>
      </c>
      <c r="O1304" s="5">
        <v>2</v>
      </c>
      <c r="P1304" s="5">
        <f>ROUND(Source!EI1294,O1304)</f>
        <v>0</v>
      </c>
      <c r="Q1304" s="5"/>
      <c r="R1304" s="5"/>
      <c r="S1304" s="5"/>
      <c r="T1304" s="5"/>
      <c r="U1304" s="5"/>
      <c r="V1304" s="5"/>
      <c r="W1304" s="5">
        <v>0</v>
      </c>
      <c r="X1304" s="5">
        <v>1</v>
      </c>
      <c r="Y1304" s="5">
        <v>0</v>
      </c>
      <c r="Z1304" s="5">
        <v>0</v>
      </c>
      <c r="AA1304" s="5">
        <v>1</v>
      </c>
      <c r="AB1304" s="5">
        <v>0</v>
      </c>
    </row>
    <row r="1305" spans="1:28" x14ac:dyDescent="0.2">
      <c r="A1305" s="5">
        <v>50</v>
      </c>
      <c r="B1305" s="5">
        <v>0</v>
      </c>
      <c r="C1305" s="5">
        <v>0</v>
      </c>
      <c r="D1305" s="5">
        <v>1</v>
      </c>
      <c r="E1305" s="5">
        <v>229</v>
      </c>
      <c r="F1305" s="5">
        <f>ROUND(Source!AZ1294,O1305)</f>
        <v>0</v>
      </c>
      <c r="G1305" s="5" t="s">
        <v>44</v>
      </c>
      <c r="H1305" s="5" t="s">
        <v>45</v>
      </c>
      <c r="I1305" s="5"/>
      <c r="J1305" s="5"/>
      <c r="K1305" s="5">
        <v>229</v>
      </c>
      <c r="L1305" s="5">
        <v>10</v>
      </c>
      <c r="M1305" s="5">
        <v>3</v>
      </c>
      <c r="N1305" s="5" t="s">
        <v>3</v>
      </c>
      <c r="O1305" s="5">
        <v>2</v>
      </c>
      <c r="P1305" s="5">
        <f>ROUND(Source!ER1294,O1305)</f>
        <v>0</v>
      </c>
      <c r="Q1305" s="5"/>
      <c r="R1305" s="5"/>
      <c r="S1305" s="5"/>
      <c r="T1305" s="5"/>
      <c r="U1305" s="5"/>
      <c r="V1305" s="5"/>
      <c r="W1305" s="5">
        <v>0</v>
      </c>
      <c r="X1305" s="5">
        <v>1</v>
      </c>
      <c r="Y1305" s="5">
        <v>0</v>
      </c>
      <c r="Z1305" s="5">
        <v>0</v>
      </c>
      <c r="AA1305" s="5">
        <v>1</v>
      </c>
      <c r="AB1305" s="5">
        <v>0</v>
      </c>
    </row>
    <row r="1306" spans="1:28" x14ac:dyDescent="0.2">
      <c r="A1306" s="5">
        <v>50</v>
      </c>
      <c r="B1306" s="5">
        <v>0</v>
      </c>
      <c r="C1306" s="5">
        <v>0</v>
      </c>
      <c r="D1306" s="5">
        <v>1</v>
      </c>
      <c r="E1306" s="5">
        <v>203</v>
      </c>
      <c r="F1306" s="5">
        <f>ROUND(Source!Q1294,O1306)</f>
        <v>75.86</v>
      </c>
      <c r="G1306" s="5" t="s">
        <v>46</v>
      </c>
      <c r="H1306" s="5" t="s">
        <v>47</v>
      </c>
      <c r="I1306" s="5"/>
      <c r="J1306" s="5"/>
      <c r="K1306" s="5">
        <v>203</v>
      </c>
      <c r="L1306" s="5">
        <v>11</v>
      </c>
      <c r="M1306" s="5">
        <v>3</v>
      </c>
      <c r="N1306" s="5" t="s">
        <v>3</v>
      </c>
      <c r="O1306" s="5">
        <v>2</v>
      </c>
      <c r="P1306" s="5">
        <f>ROUND(Source!DI1294,O1306)</f>
        <v>964.28</v>
      </c>
      <c r="Q1306" s="5"/>
      <c r="R1306" s="5"/>
      <c r="S1306" s="5"/>
      <c r="T1306" s="5"/>
      <c r="U1306" s="5"/>
      <c r="V1306" s="5"/>
      <c r="W1306" s="5">
        <v>75.86</v>
      </c>
      <c r="X1306" s="5">
        <v>1</v>
      </c>
      <c r="Y1306" s="5">
        <v>75.86</v>
      </c>
      <c r="Z1306" s="5">
        <v>964.28</v>
      </c>
      <c r="AA1306" s="5">
        <v>1</v>
      </c>
      <c r="AB1306" s="5">
        <v>964.28</v>
      </c>
    </row>
    <row r="1307" spans="1:28" x14ac:dyDescent="0.2">
      <c r="A1307" s="5">
        <v>50</v>
      </c>
      <c r="B1307" s="5">
        <v>0</v>
      </c>
      <c r="C1307" s="5">
        <v>0</v>
      </c>
      <c r="D1307" s="5">
        <v>1</v>
      </c>
      <c r="E1307" s="5">
        <v>231</v>
      </c>
      <c r="F1307" s="5">
        <f>ROUND(Source!BB1294,O1307)</f>
        <v>0</v>
      </c>
      <c r="G1307" s="5" t="s">
        <v>48</v>
      </c>
      <c r="H1307" s="5" t="s">
        <v>49</v>
      </c>
      <c r="I1307" s="5"/>
      <c r="J1307" s="5"/>
      <c r="K1307" s="5">
        <v>231</v>
      </c>
      <c r="L1307" s="5">
        <v>12</v>
      </c>
      <c r="M1307" s="5">
        <v>3</v>
      </c>
      <c r="N1307" s="5" t="s">
        <v>3</v>
      </c>
      <c r="O1307" s="5">
        <v>2</v>
      </c>
      <c r="P1307" s="5">
        <f>ROUND(Source!ET1294,O1307)</f>
        <v>0</v>
      </c>
      <c r="Q1307" s="5"/>
      <c r="R1307" s="5"/>
      <c r="S1307" s="5"/>
      <c r="T1307" s="5"/>
      <c r="U1307" s="5"/>
      <c r="V1307" s="5"/>
      <c r="W1307" s="5">
        <v>0</v>
      </c>
      <c r="X1307" s="5">
        <v>1</v>
      </c>
      <c r="Y1307" s="5">
        <v>0</v>
      </c>
      <c r="Z1307" s="5">
        <v>0</v>
      </c>
      <c r="AA1307" s="5">
        <v>1</v>
      </c>
      <c r="AB1307" s="5">
        <v>0</v>
      </c>
    </row>
    <row r="1308" spans="1:28" x14ac:dyDescent="0.2">
      <c r="A1308" s="5">
        <v>50</v>
      </c>
      <c r="B1308" s="5">
        <v>0</v>
      </c>
      <c r="C1308" s="5">
        <v>0</v>
      </c>
      <c r="D1308" s="5">
        <v>1</v>
      </c>
      <c r="E1308" s="5">
        <v>204</v>
      </c>
      <c r="F1308" s="5">
        <f>ROUND(Source!R1294,O1308)</f>
        <v>12.91</v>
      </c>
      <c r="G1308" s="5" t="s">
        <v>50</v>
      </c>
      <c r="H1308" s="5" t="s">
        <v>51</v>
      </c>
      <c r="I1308" s="5"/>
      <c r="J1308" s="5"/>
      <c r="K1308" s="5">
        <v>204</v>
      </c>
      <c r="L1308" s="5">
        <v>13</v>
      </c>
      <c r="M1308" s="5">
        <v>3</v>
      </c>
      <c r="N1308" s="5" t="s">
        <v>3</v>
      </c>
      <c r="O1308" s="5">
        <v>2</v>
      </c>
      <c r="P1308" s="5">
        <f>ROUND(Source!DJ1294,O1308)</f>
        <v>374.77</v>
      </c>
      <c r="Q1308" s="5"/>
      <c r="R1308" s="5"/>
      <c r="S1308" s="5"/>
      <c r="T1308" s="5"/>
      <c r="U1308" s="5"/>
      <c r="V1308" s="5"/>
      <c r="W1308" s="5">
        <v>12.91</v>
      </c>
      <c r="X1308" s="5">
        <v>1</v>
      </c>
      <c r="Y1308" s="5">
        <v>12.91</v>
      </c>
      <c r="Z1308" s="5">
        <v>374.77</v>
      </c>
      <c r="AA1308" s="5">
        <v>1</v>
      </c>
      <c r="AB1308" s="5">
        <v>374.77</v>
      </c>
    </row>
    <row r="1309" spans="1:28" x14ac:dyDescent="0.2">
      <c r="A1309" s="5">
        <v>50</v>
      </c>
      <c r="B1309" s="5">
        <v>0</v>
      </c>
      <c r="C1309" s="5">
        <v>0</v>
      </c>
      <c r="D1309" s="5">
        <v>1</v>
      </c>
      <c r="E1309" s="5">
        <v>205</v>
      </c>
      <c r="F1309" s="5">
        <f>ROUND(Source!S1294,O1309)</f>
        <v>965.77</v>
      </c>
      <c r="G1309" s="5" t="s">
        <v>52</v>
      </c>
      <c r="H1309" s="5" t="s">
        <v>53</v>
      </c>
      <c r="I1309" s="5"/>
      <c r="J1309" s="5"/>
      <c r="K1309" s="5">
        <v>205</v>
      </c>
      <c r="L1309" s="5">
        <v>14</v>
      </c>
      <c r="M1309" s="5">
        <v>3</v>
      </c>
      <c r="N1309" s="5" t="s">
        <v>3</v>
      </c>
      <c r="O1309" s="5">
        <v>2</v>
      </c>
      <c r="P1309" s="5">
        <f>ROUND(Source!DK1294,O1309)</f>
        <v>28036.31</v>
      </c>
      <c r="Q1309" s="5"/>
      <c r="R1309" s="5"/>
      <c r="S1309" s="5"/>
      <c r="T1309" s="5"/>
      <c r="U1309" s="5"/>
      <c r="V1309" s="5"/>
      <c r="W1309" s="5">
        <v>965.77</v>
      </c>
      <c r="X1309" s="5">
        <v>1</v>
      </c>
      <c r="Y1309" s="5">
        <v>965.77</v>
      </c>
      <c r="Z1309" s="5">
        <v>28036.31</v>
      </c>
      <c r="AA1309" s="5">
        <v>1</v>
      </c>
      <c r="AB1309" s="5">
        <v>28036.31</v>
      </c>
    </row>
    <row r="1310" spans="1:28" x14ac:dyDescent="0.2">
      <c r="A1310" s="5">
        <v>50</v>
      </c>
      <c r="B1310" s="5">
        <v>0</v>
      </c>
      <c r="C1310" s="5">
        <v>0</v>
      </c>
      <c r="D1310" s="5">
        <v>1</v>
      </c>
      <c r="E1310" s="5">
        <v>232</v>
      </c>
      <c r="F1310" s="5">
        <f>ROUND(Source!BC1294,O1310)</f>
        <v>0</v>
      </c>
      <c r="G1310" s="5" t="s">
        <v>54</v>
      </c>
      <c r="H1310" s="5" t="s">
        <v>55</v>
      </c>
      <c r="I1310" s="5"/>
      <c r="J1310" s="5"/>
      <c r="K1310" s="5">
        <v>232</v>
      </c>
      <c r="L1310" s="5">
        <v>15</v>
      </c>
      <c r="M1310" s="5">
        <v>3</v>
      </c>
      <c r="N1310" s="5" t="s">
        <v>3</v>
      </c>
      <c r="O1310" s="5">
        <v>2</v>
      </c>
      <c r="P1310" s="5">
        <f>ROUND(Source!EU1294,O1310)</f>
        <v>0</v>
      </c>
      <c r="Q1310" s="5"/>
      <c r="R1310" s="5"/>
      <c r="S1310" s="5"/>
      <c r="T1310" s="5"/>
      <c r="U1310" s="5"/>
      <c r="V1310" s="5"/>
      <c r="W1310" s="5">
        <v>0</v>
      </c>
      <c r="X1310" s="5">
        <v>1</v>
      </c>
      <c r="Y1310" s="5">
        <v>0</v>
      </c>
      <c r="Z1310" s="5">
        <v>0</v>
      </c>
      <c r="AA1310" s="5">
        <v>1</v>
      </c>
      <c r="AB1310" s="5">
        <v>0</v>
      </c>
    </row>
    <row r="1311" spans="1:28" x14ac:dyDescent="0.2">
      <c r="A1311" s="5">
        <v>50</v>
      </c>
      <c r="B1311" s="5">
        <v>0</v>
      </c>
      <c r="C1311" s="5">
        <v>0</v>
      </c>
      <c r="D1311" s="5">
        <v>1</v>
      </c>
      <c r="E1311" s="5">
        <v>214</v>
      </c>
      <c r="F1311" s="5">
        <f>ROUND(Source!AS1294,O1311)</f>
        <v>6115.85</v>
      </c>
      <c r="G1311" s="5" t="s">
        <v>56</v>
      </c>
      <c r="H1311" s="5" t="s">
        <v>57</v>
      </c>
      <c r="I1311" s="5"/>
      <c r="J1311" s="5"/>
      <c r="K1311" s="5">
        <v>214</v>
      </c>
      <c r="L1311" s="5">
        <v>16</v>
      </c>
      <c r="M1311" s="5">
        <v>3</v>
      </c>
      <c r="N1311" s="5" t="s">
        <v>3</v>
      </c>
      <c r="O1311" s="5">
        <v>2</v>
      </c>
      <c r="P1311" s="5">
        <f>ROUND(Source!EK1294,O1311)</f>
        <v>177284.4</v>
      </c>
      <c r="Q1311" s="5"/>
      <c r="R1311" s="5"/>
      <c r="S1311" s="5"/>
      <c r="T1311" s="5"/>
      <c r="U1311" s="5"/>
      <c r="V1311" s="5"/>
      <c r="W1311" s="5">
        <v>6115.85</v>
      </c>
      <c r="X1311" s="5">
        <v>1</v>
      </c>
      <c r="Y1311" s="5">
        <v>6115.85</v>
      </c>
      <c r="Z1311" s="5">
        <v>177284.4</v>
      </c>
      <c r="AA1311" s="5">
        <v>1</v>
      </c>
      <c r="AB1311" s="5">
        <v>177284.4</v>
      </c>
    </row>
    <row r="1312" spans="1:28" x14ac:dyDescent="0.2">
      <c r="A1312" s="5">
        <v>50</v>
      </c>
      <c r="B1312" s="5">
        <v>0</v>
      </c>
      <c r="C1312" s="5">
        <v>0</v>
      </c>
      <c r="D1312" s="5">
        <v>1</v>
      </c>
      <c r="E1312" s="5">
        <v>215</v>
      </c>
      <c r="F1312" s="5">
        <f>ROUND(Source!AT1294,O1312)</f>
        <v>0</v>
      </c>
      <c r="G1312" s="5" t="s">
        <v>58</v>
      </c>
      <c r="H1312" s="5" t="s">
        <v>59</v>
      </c>
      <c r="I1312" s="5"/>
      <c r="J1312" s="5"/>
      <c r="K1312" s="5">
        <v>215</v>
      </c>
      <c r="L1312" s="5">
        <v>17</v>
      </c>
      <c r="M1312" s="5">
        <v>3</v>
      </c>
      <c r="N1312" s="5" t="s">
        <v>3</v>
      </c>
      <c r="O1312" s="5">
        <v>2</v>
      </c>
      <c r="P1312" s="5">
        <f>ROUND(Source!EL1294,O1312)</f>
        <v>0</v>
      </c>
      <c r="Q1312" s="5"/>
      <c r="R1312" s="5"/>
      <c r="S1312" s="5"/>
      <c r="T1312" s="5"/>
      <c r="U1312" s="5"/>
      <c r="V1312" s="5"/>
      <c r="W1312" s="5">
        <v>0</v>
      </c>
      <c r="X1312" s="5">
        <v>1</v>
      </c>
      <c r="Y1312" s="5">
        <v>0</v>
      </c>
      <c r="Z1312" s="5">
        <v>0</v>
      </c>
      <c r="AA1312" s="5">
        <v>1</v>
      </c>
      <c r="AB1312" s="5">
        <v>0</v>
      </c>
    </row>
    <row r="1313" spans="1:206" x14ac:dyDescent="0.2">
      <c r="A1313" s="5">
        <v>50</v>
      </c>
      <c r="B1313" s="5">
        <v>0</v>
      </c>
      <c r="C1313" s="5">
        <v>0</v>
      </c>
      <c r="D1313" s="5">
        <v>1</v>
      </c>
      <c r="E1313" s="5">
        <v>217</v>
      </c>
      <c r="F1313" s="5">
        <f>ROUND(Source!AU1294,O1313)</f>
        <v>3.42</v>
      </c>
      <c r="G1313" s="5" t="s">
        <v>60</v>
      </c>
      <c r="H1313" s="5" t="s">
        <v>61</v>
      </c>
      <c r="I1313" s="5"/>
      <c r="J1313" s="5"/>
      <c r="K1313" s="5">
        <v>217</v>
      </c>
      <c r="L1313" s="5">
        <v>18</v>
      </c>
      <c r="M1313" s="5">
        <v>3</v>
      </c>
      <c r="N1313" s="5" t="s">
        <v>3</v>
      </c>
      <c r="O1313" s="5">
        <v>2</v>
      </c>
      <c r="P1313" s="5">
        <f>ROUND(Source!EM1294,O1313)</f>
        <v>92.95</v>
      </c>
      <c r="Q1313" s="5"/>
      <c r="R1313" s="5"/>
      <c r="S1313" s="5"/>
      <c r="T1313" s="5"/>
      <c r="U1313" s="5"/>
      <c r="V1313" s="5"/>
      <c r="W1313" s="5">
        <v>3.42</v>
      </c>
      <c r="X1313" s="5">
        <v>1</v>
      </c>
      <c r="Y1313" s="5">
        <v>3.42</v>
      </c>
      <c r="Z1313" s="5">
        <v>92.95</v>
      </c>
      <c r="AA1313" s="5">
        <v>1</v>
      </c>
      <c r="AB1313" s="5">
        <v>92.95</v>
      </c>
    </row>
    <row r="1314" spans="1:206" x14ac:dyDescent="0.2">
      <c r="A1314" s="5">
        <v>50</v>
      </c>
      <c r="B1314" s="5">
        <v>0</v>
      </c>
      <c r="C1314" s="5">
        <v>0</v>
      </c>
      <c r="D1314" s="5">
        <v>1</v>
      </c>
      <c r="E1314" s="5">
        <v>230</v>
      </c>
      <c r="F1314" s="5">
        <f>ROUND(Source!BA1294,O1314)</f>
        <v>0</v>
      </c>
      <c r="G1314" s="5" t="s">
        <v>62</v>
      </c>
      <c r="H1314" s="5" t="s">
        <v>63</v>
      </c>
      <c r="I1314" s="5"/>
      <c r="J1314" s="5"/>
      <c r="K1314" s="5">
        <v>230</v>
      </c>
      <c r="L1314" s="5">
        <v>19</v>
      </c>
      <c r="M1314" s="5">
        <v>3</v>
      </c>
      <c r="N1314" s="5" t="s">
        <v>3</v>
      </c>
      <c r="O1314" s="5">
        <v>2</v>
      </c>
      <c r="P1314" s="5">
        <f>ROUND(Source!ES1294,O1314)</f>
        <v>0</v>
      </c>
      <c r="Q1314" s="5"/>
      <c r="R1314" s="5"/>
      <c r="S1314" s="5"/>
      <c r="T1314" s="5"/>
      <c r="U1314" s="5"/>
      <c r="V1314" s="5"/>
      <c r="W1314" s="5">
        <v>0</v>
      </c>
      <c r="X1314" s="5">
        <v>1</v>
      </c>
      <c r="Y1314" s="5">
        <v>0</v>
      </c>
      <c r="Z1314" s="5">
        <v>0</v>
      </c>
      <c r="AA1314" s="5">
        <v>1</v>
      </c>
      <c r="AB1314" s="5">
        <v>0</v>
      </c>
    </row>
    <row r="1315" spans="1:206" x14ac:dyDescent="0.2">
      <c r="A1315" s="5">
        <v>50</v>
      </c>
      <c r="B1315" s="5">
        <v>0</v>
      </c>
      <c r="C1315" s="5">
        <v>0</v>
      </c>
      <c r="D1315" s="5">
        <v>1</v>
      </c>
      <c r="E1315" s="5">
        <v>206</v>
      </c>
      <c r="F1315" s="5">
        <f>ROUND(Source!T1294,O1315)</f>
        <v>0</v>
      </c>
      <c r="G1315" s="5" t="s">
        <v>64</v>
      </c>
      <c r="H1315" s="5" t="s">
        <v>65</v>
      </c>
      <c r="I1315" s="5"/>
      <c r="J1315" s="5"/>
      <c r="K1315" s="5">
        <v>206</v>
      </c>
      <c r="L1315" s="5">
        <v>20</v>
      </c>
      <c r="M1315" s="5">
        <v>3</v>
      </c>
      <c r="N1315" s="5" t="s">
        <v>3</v>
      </c>
      <c r="O1315" s="5">
        <v>2</v>
      </c>
      <c r="P1315" s="5">
        <f>ROUND(Source!DL1294,O1315)</f>
        <v>0</v>
      </c>
      <c r="Q1315" s="5"/>
      <c r="R1315" s="5"/>
      <c r="S1315" s="5"/>
      <c r="T1315" s="5"/>
      <c r="U1315" s="5"/>
      <c r="V1315" s="5"/>
      <c r="W1315" s="5">
        <v>0</v>
      </c>
      <c r="X1315" s="5">
        <v>1</v>
      </c>
      <c r="Y1315" s="5">
        <v>0</v>
      </c>
      <c r="Z1315" s="5">
        <v>0</v>
      </c>
      <c r="AA1315" s="5">
        <v>1</v>
      </c>
      <c r="AB1315" s="5">
        <v>0</v>
      </c>
    </row>
    <row r="1316" spans="1:206" x14ac:dyDescent="0.2">
      <c r="A1316" s="5">
        <v>50</v>
      </c>
      <c r="B1316" s="5">
        <v>0</v>
      </c>
      <c r="C1316" s="5">
        <v>0</v>
      </c>
      <c r="D1316" s="5">
        <v>1</v>
      </c>
      <c r="E1316" s="5">
        <v>207</v>
      </c>
      <c r="F1316" s="5">
        <f>Source!U1294</f>
        <v>76.808025000000001</v>
      </c>
      <c r="G1316" s="5" t="s">
        <v>66</v>
      </c>
      <c r="H1316" s="5" t="s">
        <v>67</v>
      </c>
      <c r="I1316" s="5"/>
      <c r="J1316" s="5"/>
      <c r="K1316" s="5">
        <v>207</v>
      </c>
      <c r="L1316" s="5">
        <v>21</v>
      </c>
      <c r="M1316" s="5">
        <v>3</v>
      </c>
      <c r="N1316" s="5" t="s">
        <v>3</v>
      </c>
      <c r="O1316" s="5">
        <v>-1</v>
      </c>
      <c r="P1316" s="5">
        <f>Source!DM1294</f>
        <v>76.808025000000001</v>
      </c>
      <c r="Q1316" s="5"/>
      <c r="R1316" s="5"/>
      <c r="S1316" s="5"/>
      <c r="T1316" s="5"/>
      <c r="U1316" s="5"/>
      <c r="V1316" s="5"/>
      <c r="W1316" s="5">
        <v>76.808025000000001</v>
      </c>
      <c r="X1316" s="5">
        <v>1</v>
      </c>
      <c r="Y1316" s="5">
        <v>76.808025000000001</v>
      </c>
      <c r="Z1316" s="5">
        <v>76.808025000000001</v>
      </c>
      <c r="AA1316" s="5">
        <v>1</v>
      </c>
      <c r="AB1316" s="5">
        <v>76.808025000000001</v>
      </c>
    </row>
    <row r="1317" spans="1:206" x14ac:dyDescent="0.2">
      <c r="A1317" s="5">
        <v>50</v>
      </c>
      <c r="B1317" s="5">
        <v>0</v>
      </c>
      <c r="C1317" s="5">
        <v>0</v>
      </c>
      <c r="D1317" s="5">
        <v>1</v>
      </c>
      <c r="E1317" s="5">
        <v>208</v>
      </c>
      <c r="F1317" s="5">
        <f>Source!V1294</f>
        <v>0</v>
      </c>
      <c r="G1317" s="5" t="s">
        <v>68</v>
      </c>
      <c r="H1317" s="5" t="s">
        <v>69</v>
      </c>
      <c r="I1317" s="5"/>
      <c r="J1317" s="5"/>
      <c r="K1317" s="5">
        <v>208</v>
      </c>
      <c r="L1317" s="5">
        <v>22</v>
      </c>
      <c r="M1317" s="5">
        <v>3</v>
      </c>
      <c r="N1317" s="5" t="s">
        <v>3</v>
      </c>
      <c r="O1317" s="5">
        <v>-1</v>
      </c>
      <c r="P1317" s="5">
        <f>Source!DN1294</f>
        <v>0</v>
      </c>
      <c r="Q1317" s="5"/>
      <c r="R1317" s="5"/>
      <c r="S1317" s="5"/>
      <c r="T1317" s="5"/>
      <c r="U1317" s="5"/>
      <c r="V1317" s="5"/>
      <c r="W1317" s="5">
        <v>0</v>
      </c>
      <c r="X1317" s="5">
        <v>1</v>
      </c>
      <c r="Y1317" s="5">
        <v>0</v>
      </c>
      <c r="Z1317" s="5">
        <v>0</v>
      </c>
      <c r="AA1317" s="5">
        <v>1</v>
      </c>
      <c r="AB1317" s="5">
        <v>0</v>
      </c>
    </row>
    <row r="1318" spans="1:206" x14ac:dyDescent="0.2">
      <c r="A1318" s="5">
        <v>50</v>
      </c>
      <c r="B1318" s="5">
        <v>0</v>
      </c>
      <c r="C1318" s="5">
        <v>0</v>
      </c>
      <c r="D1318" s="5">
        <v>1</v>
      </c>
      <c r="E1318" s="5">
        <v>209</v>
      </c>
      <c r="F1318" s="5">
        <f>ROUND(Source!W1294,O1318)</f>
        <v>0</v>
      </c>
      <c r="G1318" s="5" t="s">
        <v>70</v>
      </c>
      <c r="H1318" s="5" t="s">
        <v>71</v>
      </c>
      <c r="I1318" s="5"/>
      <c r="J1318" s="5"/>
      <c r="K1318" s="5">
        <v>209</v>
      </c>
      <c r="L1318" s="5">
        <v>23</v>
      </c>
      <c r="M1318" s="5">
        <v>3</v>
      </c>
      <c r="N1318" s="5" t="s">
        <v>3</v>
      </c>
      <c r="O1318" s="5">
        <v>2</v>
      </c>
      <c r="P1318" s="5">
        <f>ROUND(Source!DO1294,O1318)</f>
        <v>0</v>
      </c>
      <c r="Q1318" s="5"/>
      <c r="R1318" s="5"/>
      <c r="S1318" s="5"/>
      <c r="T1318" s="5"/>
      <c r="U1318" s="5"/>
      <c r="V1318" s="5"/>
      <c r="W1318" s="5">
        <v>0</v>
      </c>
      <c r="X1318" s="5">
        <v>1</v>
      </c>
      <c r="Y1318" s="5">
        <v>0</v>
      </c>
      <c r="Z1318" s="5">
        <v>0</v>
      </c>
      <c r="AA1318" s="5">
        <v>1</v>
      </c>
      <c r="AB1318" s="5">
        <v>0</v>
      </c>
    </row>
    <row r="1319" spans="1:206" x14ac:dyDescent="0.2">
      <c r="A1319" s="5">
        <v>50</v>
      </c>
      <c r="B1319" s="5">
        <v>0</v>
      </c>
      <c r="C1319" s="5">
        <v>0</v>
      </c>
      <c r="D1319" s="5">
        <v>1</v>
      </c>
      <c r="E1319" s="5">
        <v>233</v>
      </c>
      <c r="F1319" s="5">
        <f>ROUND(Source!BD1294,O1319)</f>
        <v>0</v>
      </c>
      <c r="G1319" s="5" t="s">
        <v>72</v>
      </c>
      <c r="H1319" s="5" t="s">
        <v>73</v>
      </c>
      <c r="I1319" s="5"/>
      <c r="J1319" s="5"/>
      <c r="K1319" s="5">
        <v>233</v>
      </c>
      <c r="L1319" s="5">
        <v>24</v>
      </c>
      <c r="M1319" s="5">
        <v>3</v>
      </c>
      <c r="N1319" s="5" t="s">
        <v>3</v>
      </c>
      <c r="O1319" s="5">
        <v>2</v>
      </c>
      <c r="P1319" s="5">
        <f>ROUND(Source!EV1294,O1319)</f>
        <v>0</v>
      </c>
      <c r="Q1319" s="5"/>
      <c r="R1319" s="5"/>
      <c r="S1319" s="5"/>
      <c r="T1319" s="5"/>
      <c r="U1319" s="5"/>
      <c r="V1319" s="5"/>
      <c r="W1319" s="5">
        <v>0</v>
      </c>
      <c r="X1319" s="5">
        <v>1</v>
      </c>
      <c r="Y1319" s="5">
        <v>0</v>
      </c>
      <c r="Z1319" s="5">
        <v>0</v>
      </c>
      <c r="AA1319" s="5">
        <v>1</v>
      </c>
      <c r="AB1319" s="5">
        <v>0</v>
      </c>
    </row>
    <row r="1320" spans="1:206" x14ac:dyDescent="0.2">
      <c r="A1320" s="5">
        <v>50</v>
      </c>
      <c r="B1320" s="5">
        <v>0</v>
      </c>
      <c r="C1320" s="5">
        <v>0</v>
      </c>
      <c r="D1320" s="5">
        <v>1</v>
      </c>
      <c r="E1320" s="5">
        <v>210</v>
      </c>
      <c r="F1320" s="5">
        <f>ROUND(Source!X1294,O1320)</f>
        <v>1045.23</v>
      </c>
      <c r="G1320" s="5" t="s">
        <v>74</v>
      </c>
      <c r="H1320" s="5" t="s">
        <v>75</v>
      </c>
      <c r="I1320" s="5"/>
      <c r="J1320" s="5"/>
      <c r="K1320" s="5">
        <v>210</v>
      </c>
      <c r="L1320" s="5">
        <v>25</v>
      </c>
      <c r="M1320" s="5">
        <v>3</v>
      </c>
      <c r="N1320" s="5" t="s">
        <v>3</v>
      </c>
      <c r="O1320" s="5">
        <v>2</v>
      </c>
      <c r="P1320" s="5">
        <f>ROUND(Source!DP1294,O1320)</f>
        <v>24865.439999999999</v>
      </c>
      <c r="Q1320" s="5"/>
      <c r="R1320" s="5"/>
      <c r="S1320" s="5"/>
      <c r="T1320" s="5"/>
      <c r="U1320" s="5"/>
      <c r="V1320" s="5"/>
      <c r="W1320" s="5">
        <v>1045.23</v>
      </c>
      <c r="X1320" s="5">
        <v>1</v>
      </c>
      <c r="Y1320" s="5">
        <v>1045.23</v>
      </c>
      <c r="Z1320" s="5">
        <v>24865.439999999999</v>
      </c>
      <c r="AA1320" s="5">
        <v>1</v>
      </c>
      <c r="AB1320" s="5">
        <v>24865.439999999999</v>
      </c>
    </row>
    <row r="1321" spans="1:206" x14ac:dyDescent="0.2">
      <c r="A1321" s="5">
        <v>50</v>
      </c>
      <c r="B1321" s="5">
        <v>0</v>
      </c>
      <c r="C1321" s="5">
        <v>0</v>
      </c>
      <c r="D1321" s="5">
        <v>1</v>
      </c>
      <c r="E1321" s="5">
        <v>211</v>
      </c>
      <c r="F1321" s="5">
        <f>ROUND(Source!Y1294,O1321)</f>
        <v>708.02</v>
      </c>
      <c r="G1321" s="5" t="s">
        <v>76</v>
      </c>
      <c r="H1321" s="5" t="s">
        <v>77</v>
      </c>
      <c r="I1321" s="5"/>
      <c r="J1321" s="5"/>
      <c r="K1321" s="5">
        <v>211</v>
      </c>
      <c r="L1321" s="5">
        <v>26</v>
      </c>
      <c r="M1321" s="5">
        <v>3</v>
      </c>
      <c r="N1321" s="5" t="s">
        <v>3</v>
      </c>
      <c r="O1321" s="5">
        <v>2</v>
      </c>
      <c r="P1321" s="5">
        <f>ROUND(Source!DQ1294,O1321)</f>
        <v>11494.9</v>
      </c>
      <c r="Q1321" s="5"/>
      <c r="R1321" s="5"/>
      <c r="S1321" s="5"/>
      <c r="T1321" s="5"/>
      <c r="U1321" s="5"/>
      <c r="V1321" s="5"/>
      <c r="W1321" s="5">
        <v>708.02</v>
      </c>
      <c r="X1321" s="5">
        <v>1</v>
      </c>
      <c r="Y1321" s="5">
        <v>708.02</v>
      </c>
      <c r="Z1321" s="5">
        <v>11494.9</v>
      </c>
      <c r="AA1321" s="5">
        <v>1</v>
      </c>
      <c r="AB1321" s="5">
        <v>11494.9</v>
      </c>
    </row>
    <row r="1322" spans="1:206" x14ac:dyDescent="0.2">
      <c r="A1322" s="5">
        <v>50</v>
      </c>
      <c r="B1322" s="5">
        <v>0</v>
      </c>
      <c r="C1322" s="5">
        <v>0</v>
      </c>
      <c r="D1322" s="5">
        <v>1</v>
      </c>
      <c r="E1322" s="5">
        <v>224</v>
      </c>
      <c r="F1322" s="5">
        <f>ROUND(Source!AR1294,O1322)</f>
        <v>6119.27</v>
      </c>
      <c r="G1322" s="5" t="s">
        <v>78</v>
      </c>
      <c r="H1322" s="5" t="s">
        <v>79</v>
      </c>
      <c r="I1322" s="5"/>
      <c r="J1322" s="5"/>
      <c r="K1322" s="5">
        <v>224</v>
      </c>
      <c r="L1322" s="5">
        <v>27</v>
      </c>
      <c r="M1322" s="5">
        <v>3</v>
      </c>
      <c r="N1322" s="5" t="s">
        <v>3</v>
      </c>
      <c r="O1322" s="5">
        <v>2</v>
      </c>
      <c r="P1322" s="5">
        <f>ROUND(Source!EJ1294,O1322)</f>
        <v>177377.35</v>
      </c>
      <c r="Q1322" s="5"/>
      <c r="R1322" s="5"/>
      <c r="S1322" s="5"/>
      <c r="T1322" s="5"/>
      <c r="U1322" s="5"/>
      <c r="V1322" s="5"/>
      <c r="W1322" s="5">
        <v>6119.27</v>
      </c>
      <c r="X1322" s="5">
        <v>1</v>
      </c>
      <c r="Y1322" s="5">
        <v>6119.27</v>
      </c>
      <c r="Z1322" s="5">
        <v>177377.35</v>
      </c>
      <c r="AA1322" s="5">
        <v>1</v>
      </c>
      <c r="AB1322" s="5">
        <v>177377.35</v>
      </c>
    </row>
    <row r="1324" spans="1:206" x14ac:dyDescent="0.2">
      <c r="A1324" s="1">
        <v>3</v>
      </c>
      <c r="B1324" s="1">
        <v>1</v>
      </c>
      <c r="C1324" s="1"/>
      <c r="D1324" s="1">
        <f>ROW(A1448)</f>
        <v>1448</v>
      </c>
      <c r="E1324" s="1"/>
      <c r="F1324" s="1" t="s">
        <v>1004</v>
      </c>
      <c r="G1324" s="1" t="s">
        <v>1005</v>
      </c>
      <c r="H1324" s="1" t="s">
        <v>3</v>
      </c>
      <c r="I1324" s="1">
        <v>0</v>
      </c>
      <c r="J1324" s="1" t="s">
        <v>3</v>
      </c>
      <c r="K1324" s="1">
        <v>-1</v>
      </c>
      <c r="L1324" s="1" t="s">
        <v>3</v>
      </c>
      <c r="M1324" s="1" t="s">
        <v>3</v>
      </c>
      <c r="N1324" s="1"/>
      <c r="O1324" s="1"/>
      <c r="P1324" s="1"/>
      <c r="Q1324" s="1"/>
      <c r="R1324" s="1"/>
      <c r="S1324" s="1">
        <v>0</v>
      </c>
      <c r="T1324" s="1">
        <v>0</v>
      </c>
      <c r="U1324" s="1" t="s">
        <v>3</v>
      </c>
      <c r="V1324" s="1">
        <v>0</v>
      </c>
      <c r="W1324" s="1"/>
      <c r="X1324" s="1"/>
      <c r="Y1324" s="1"/>
      <c r="Z1324" s="1"/>
      <c r="AA1324" s="1"/>
      <c r="AB1324" s="1" t="s">
        <v>3</v>
      </c>
      <c r="AC1324" s="1" t="s">
        <v>3</v>
      </c>
      <c r="AD1324" s="1" t="s">
        <v>3</v>
      </c>
      <c r="AE1324" s="1" t="s">
        <v>3</v>
      </c>
      <c r="AF1324" s="1" t="s">
        <v>3</v>
      </c>
      <c r="AG1324" s="1" t="s">
        <v>3</v>
      </c>
      <c r="AH1324" s="1"/>
      <c r="AI1324" s="1"/>
      <c r="AJ1324" s="1"/>
      <c r="AK1324" s="1"/>
      <c r="AL1324" s="1"/>
      <c r="AM1324" s="1"/>
      <c r="AN1324" s="1"/>
      <c r="AO1324" s="1"/>
      <c r="AP1324" s="1" t="s">
        <v>3</v>
      </c>
      <c r="AQ1324" s="1" t="s">
        <v>3</v>
      </c>
      <c r="AR1324" s="1" t="s">
        <v>3</v>
      </c>
      <c r="AS1324" s="1"/>
      <c r="AT1324" s="1"/>
      <c r="AU1324" s="1"/>
      <c r="AV1324" s="1"/>
      <c r="AW1324" s="1"/>
      <c r="AX1324" s="1"/>
      <c r="AY1324" s="1"/>
      <c r="AZ1324" s="1" t="s">
        <v>3</v>
      </c>
      <c r="BA1324" s="1"/>
      <c r="BB1324" s="1" t="s">
        <v>3</v>
      </c>
      <c r="BC1324" s="1" t="s">
        <v>3</v>
      </c>
      <c r="BD1324" s="1" t="s">
        <v>3</v>
      </c>
      <c r="BE1324" s="1" t="s">
        <v>3</v>
      </c>
      <c r="BF1324" s="1" t="s">
        <v>3</v>
      </c>
      <c r="BG1324" s="1" t="s">
        <v>3</v>
      </c>
      <c r="BH1324" s="1" t="s">
        <v>3</v>
      </c>
      <c r="BI1324" s="1" t="s">
        <v>3</v>
      </c>
      <c r="BJ1324" s="1" t="s">
        <v>3</v>
      </c>
      <c r="BK1324" s="1" t="s">
        <v>3</v>
      </c>
      <c r="BL1324" s="1" t="s">
        <v>3</v>
      </c>
      <c r="BM1324" s="1" t="s">
        <v>3</v>
      </c>
      <c r="BN1324" s="1" t="s">
        <v>3</v>
      </c>
      <c r="BO1324" s="1" t="s">
        <v>3</v>
      </c>
      <c r="BP1324" s="1" t="s">
        <v>3</v>
      </c>
      <c r="BQ1324" s="1"/>
      <c r="BR1324" s="1"/>
      <c r="BS1324" s="1"/>
      <c r="BT1324" s="1"/>
      <c r="BU1324" s="1"/>
      <c r="BV1324" s="1"/>
      <c r="BW1324" s="1"/>
      <c r="BX1324" s="1">
        <v>0</v>
      </c>
      <c r="BY1324" s="1"/>
      <c r="BZ1324" s="1"/>
      <c r="CA1324" s="1"/>
      <c r="CB1324" s="1"/>
      <c r="CC1324" s="1"/>
      <c r="CD1324" s="1"/>
      <c r="CE1324" s="1"/>
      <c r="CF1324" s="1">
        <v>0</v>
      </c>
      <c r="CG1324" s="1">
        <v>0</v>
      </c>
      <c r="CH1324" s="1"/>
      <c r="CI1324" s="1" t="s">
        <v>3</v>
      </c>
      <c r="CJ1324" s="1" t="s">
        <v>3</v>
      </c>
      <c r="CK1324" t="s">
        <v>3</v>
      </c>
      <c r="CL1324" t="s">
        <v>3</v>
      </c>
      <c r="CM1324" t="s">
        <v>3</v>
      </c>
      <c r="CN1324" t="s">
        <v>3</v>
      </c>
      <c r="CO1324" t="s">
        <v>3</v>
      </c>
      <c r="CP1324" t="s">
        <v>3</v>
      </c>
      <c r="CQ1324" t="s">
        <v>3</v>
      </c>
    </row>
    <row r="1326" spans="1:206" x14ac:dyDescent="0.2">
      <c r="A1326" s="3">
        <v>52</v>
      </c>
      <c r="B1326" s="3">
        <f t="shared" ref="B1326:G1326" si="1108">B1448</f>
        <v>1</v>
      </c>
      <c r="C1326" s="3">
        <f t="shared" si="1108"/>
        <v>3</v>
      </c>
      <c r="D1326" s="3">
        <f t="shared" si="1108"/>
        <v>1324</v>
      </c>
      <c r="E1326" s="3">
        <f t="shared" si="1108"/>
        <v>0</v>
      </c>
      <c r="F1326" s="3" t="str">
        <f t="shared" si="1108"/>
        <v>02-01-07</v>
      </c>
      <c r="G1326" s="3" t="str">
        <f t="shared" si="1108"/>
        <v>Мероприятия по обеспечению доступа инвалидов</v>
      </c>
      <c r="H1326" s="3"/>
      <c r="I1326" s="3"/>
      <c r="J1326" s="3"/>
      <c r="K1326" s="3"/>
      <c r="L1326" s="3"/>
      <c r="M1326" s="3"/>
      <c r="N1326" s="3"/>
      <c r="O1326" s="3">
        <f t="shared" ref="O1326:AT1326" si="1109">O1448</f>
        <v>5463.34</v>
      </c>
      <c r="P1326" s="3">
        <f t="shared" si="1109"/>
        <v>2385.67</v>
      </c>
      <c r="Q1326" s="3">
        <f t="shared" si="1109"/>
        <v>461.55</v>
      </c>
      <c r="R1326" s="3">
        <f t="shared" si="1109"/>
        <v>83.13</v>
      </c>
      <c r="S1326" s="3">
        <f t="shared" si="1109"/>
        <v>2616.12</v>
      </c>
      <c r="T1326" s="3">
        <f t="shared" si="1109"/>
        <v>0</v>
      </c>
      <c r="U1326" s="3">
        <f t="shared" si="1109"/>
        <v>197.07243700000001</v>
      </c>
      <c r="V1326" s="3">
        <f t="shared" si="1109"/>
        <v>0</v>
      </c>
      <c r="W1326" s="3">
        <f t="shared" si="1109"/>
        <v>0</v>
      </c>
      <c r="X1326" s="3">
        <f t="shared" si="1109"/>
        <v>2469.46</v>
      </c>
      <c r="Y1326" s="3">
        <f t="shared" si="1109"/>
        <v>1889.09</v>
      </c>
      <c r="Z1326" s="3">
        <f t="shared" si="1109"/>
        <v>0</v>
      </c>
      <c r="AA1326" s="3">
        <f t="shared" si="1109"/>
        <v>0</v>
      </c>
      <c r="AB1326" s="3">
        <f t="shared" si="1109"/>
        <v>0</v>
      </c>
      <c r="AC1326" s="3">
        <f t="shared" si="1109"/>
        <v>0</v>
      </c>
      <c r="AD1326" s="3">
        <f t="shared" si="1109"/>
        <v>0</v>
      </c>
      <c r="AE1326" s="3">
        <f t="shared" si="1109"/>
        <v>0</v>
      </c>
      <c r="AF1326" s="3">
        <f t="shared" si="1109"/>
        <v>0</v>
      </c>
      <c r="AG1326" s="3">
        <f t="shared" si="1109"/>
        <v>0</v>
      </c>
      <c r="AH1326" s="3">
        <f t="shared" si="1109"/>
        <v>0</v>
      </c>
      <c r="AI1326" s="3">
        <f t="shared" si="1109"/>
        <v>0</v>
      </c>
      <c r="AJ1326" s="3">
        <f t="shared" si="1109"/>
        <v>0</v>
      </c>
      <c r="AK1326" s="3">
        <f t="shared" si="1109"/>
        <v>0</v>
      </c>
      <c r="AL1326" s="3">
        <f t="shared" si="1109"/>
        <v>0</v>
      </c>
      <c r="AM1326" s="3">
        <f t="shared" si="1109"/>
        <v>0</v>
      </c>
      <c r="AN1326" s="3">
        <f t="shared" si="1109"/>
        <v>0</v>
      </c>
      <c r="AO1326" s="3">
        <f t="shared" si="1109"/>
        <v>0</v>
      </c>
      <c r="AP1326" s="3">
        <f t="shared" si="1109"/>
        <v>573.29999999999995</v>
      </c>
      <c r="AQ1326" s="3">
        <f t="shared" si="1109"/>
        <v>0</v>
      </c>
      <c r="AR1326" s="3">
        <f t="shared" si="1109"/>
        <v>9967.3700000000008</v>
      </c>
      <c r="AS1326" s="3">
        <f t="shared" si="1109"/>
        <v>4808.2</v>
      </c>
      <c r="AT1326" s="3">
        <f t="shared" si="1109"/>
        <v>4585.87</v>
      </c>
      <c r="AU1326" s="3">
        <f t="shared" ref="AU1326:BZ1326" si="1110">AU1448</f>
        <v>0</v>
      </c>
      <c r="AV1326" s="3">
        <f t="shared" si="1110"/>
        <v>2385.67</v>
      </c>
      <c r="AW1326" s="3">
        <f t="shared" si="1110"/>
        <v>1812.37</v>
      </c>
      <c r="AX1326" s="3">
        <f t="shared" si="1110"/>
        <v>0</v>
      </c>
      <c r="AY1326" s="3">
        <f t="shared" si="1110"/>
        <v>1812.37</v>
      </c>
      <c r="AZ1326" s="3">
        <f t="shared" si="1110"/>
        <v>573.29999999999995</v>
      </c>
      <c r="BA1326" s="3">
        <f t="shared" si="1110"/>
        <v>0</v>
      </c>
      <c r="BB1326" s="3">
        <f t="shared" si="1110"/>
        <v>0</v>
      </c>
      <c r="BC1326" s="3">
        <f t="shared" si="1110"/>
        <v>0</v>
      </c>
      <c r="BD1326" s="3">
        <f t="shared" si="1110"/>
        <v>0</v>
      </c>
      <c r="BE1326" s="3">
        <f t="shared" si="1110"/>
        <v>0</v>
      </c>
      <c r="BF1326" s="3">
        <f t="shared" si="1110"/>
        <v>0</v>
      </c>
      <c r="BG1326" s="3">
        <f t="shared" si="1110"/>
        <v>0</v>
      </c>
      <c r="BH1326" s="3">
        <f t="shared" si="1110"/>
        <v>0</v>
      </c>
      <c r="BI1326" s="3">
        <f t="shared" si="1110"/>
        <v>0</v>
      </c>
      <c r="BJ1326" s="3">
        <f t="shared" si="1110"/>
        <v>0</v>
      </c>
      <c r="BK1326" s="3">
        <f t="shared" si="1110"/>
        <v>0</v>
      </c>
      <c r="BL1326" s="3">
        <f t="shared" si="1110"/>
        <v>0</v>
      </c>
      <c r="BM1326" s="3">
        <f t="shared" si="1110"/>
        <v>0</v>
      </c>
      <c r="BN1326" s="3">
        <f t="shared" si="1110"/>
        <v>0</v>
      </c>
      <c r="BO1326" s="3">
        <f t="shared" si="1110"/>
        <v>0</v>
      </c>
      <c r="BP1326" s="3">
        <f t="shared" si="1110"/>
        <v>0</v>
      </c>
      <c r="BQ1326" s="3">
        <f t="shared" si="1110"/>
        <v>0</v>
      </c>
      <c r="BR1326" s="3">
        <f t="shared" si="1110"/>
        <v>0</v>
      </c>
      <c r="BS1326" s="3">
        <f t="shared" si="1110"/>
        <v>0</v>
      </c>
      <c r="BT1326" s="3">
        <f t="shared" si="1110"/>
        <v>0</v>
      </c>
      <c r="BU1326" s="3">
        <f t="shared" si="1110"/>
        <v>0</v>
      </c>
      <c r="BV1326" s="3">
        <f t="shared" si="1110"/>
        <v>0</v>
      </c>
      <c r="BW1326" s="3">
        <f t="shared" si="1110"/>
        <v>0</v>
      </c>
      <c r="BX1326" s="3">
        <f t="shared" si="1110"/>
        <v>0</v>
      </c>
      <c r="BY1326" s="3">
        <f t="shared" si="1110"/>
        <v>0</v>
      </c>
      <c r="BZ1326" s="3">
        <f t="shared" si="1110"/>
        <v>0</v>
      </c>
      <c r="CA1326" s="3">
        <f t="shared" ref="CA1326:DF1326" si="1111">CA1448</f>
        <v>0</v>
      </c>
      <c r="CB1326" s="3">
        <f t="shared" si="1111"/>
        <v>0</v>
      </c>
      <c r="CC1326" s="3">
        <f t="shared" si="1111"/>
        <v>0</v>
      </c>
      <c r="CD1326" s="3">
        <f t="shared" si="1111"/>
        <v>0</v>
      </c>
      <c r="CE1326" s="3">
        <f t="shared" si="1111"/>
        <v>0</v>
      </c>
      <c r="CF1326" s="3">
        <f t="shared" si="1111"/>
        <v>0</v>
      </c>
      <c r="CG1326" s="3">
        <f t="shared" si="1111"/>
        <v>0</v>
      </c>
      <c r="CH1326" s="3">
        <f t="shared" si="1111"/>
        <v>0</v>
      </c>
      <c r="CI1326" s="3">
        <f t="shared" si="1111"/>
        <v>0</v>
      </c>
      <c r="CJ1326" s="3">
        <f t="shared" si="1111"/>
        <v>0</v>
      </c>
      <c r="CK1326" s="3">
        <f t="shared" si="1111"/>
        <v>0</v>
      </c>
      <c r="CL1326" s="3">
        <f t="shared" si="1111"/>
        <v>0</v>
      </c>
      <c r="CM1326" s="3">
        <f t="shared" si="1111"/>
        <v>0</v>
      </c>
      <c r="CN1326" s="3">
        <f t="shared" si="1111"/>
        <v>0</v>
      </c>
      <c r="CO1326" s="3">
        <f t="shared" si="1111"/>
        <v>0</v>
      </c>
      <c r="CP1326" s="3">
        <f t="shared" si="1111"/>
        <v>0</v>
      </c>
      <c r="CQ1326" s="3">
        <f t="shared" si="1111"/>
        <v>0</v>
      </c>
      <c r="CR1326" s="3">
        <f t="shared" si="1111"/>
        <v>0</v>
      </c>
      <c r="CS1326" s="3">
        <f t="shared" si="1111"/>
        <v>0</v>
      </c>
      <c r="CT1326" s="3">
        <f t="shared" si="1111"/>
        <v>0</v>
      </c>
      <c r="CU1326" s="3">
        <f t="shared" si="1111"/>
        <v>0</v>
      </c>
      <c r="CV1326" s="3">
        <f t="shared" si="1111"/>
        <v>0</v>
      </c>
      <c r="CW1326" s="3">
        <f t="shared" si="1111"/>
        <v>0</v>
      </c>
      <c r="CX1326" s="3">
        <f t="shared" si="1111"/>
        <v>0</v>
      </c>
      <c r="CY1326" s="3">
        <f t="shared" si="1111"/>
        <v>0</v>
      </c>
      <c r="CZ1326" s="3">
        <f t="shared" si="1111"/>
        <v>0</v>
      </c>
      <c r="DA1326" s="3">
        <f t="shared" si="1111"/>
        <v>0</v>
      </c>
      <c r="DB1326" s="3">
        <f t="shared" si="1111"/>
        <v>0</v>
      </c>
      <c r="DC1326" s="3">
        <f t="shared" si="1111"/>
        <v>0</v>
      </c>
      <c r="DD1326" s="3">
        <f t="shared" si="1111"/>
        <v>0</v>
      </c>
      <c r="DE1326" s="3">
        <f t="shared" si="1111"/>
        <v>0</v>
      </c>
      <c r="DF1326" s="3">
        <f t="shared" si="1111"/>
        <v>0</v>
      </c>
      <c r="DG1326" s="4">
        <f t="shared" ref="DG1326:EL1326" si="1112">DG1448</f>
        <v>397833.88</v>
      </c>
      <c r="DH1326" s="4">
        <f t="shared" si="1112"/>
        <v>316469.96000000002</v>
      </c>
      <c r="DI1326" s="4">
        <f t="shared" si="1112"/>
        <v>5417.96</v>
      </c>
      <c r="DJ1326" s="4">
        <f t="shared" si="1112"/>
        <v>2413.27</v>
      </c>
      <c r="DK1326" s="4">
        <f t="shared" si="1112"/>
        <v>75945.960000000006</v>
      </c>
      <c r="DL1326" s="4">
        <f t="shared" si="1112"/>
        <v>0</v>
      </c>
      <c r="DM1326" s="4">
        <f t="shared" si="1112"/>
        <v>197.07243700000001</v>
      </c>
      <c r="DN1326" s="4">
        <f t="shared" si="1112"/>
        <v>0</v>
      </c>
      <c r="DO1326" s="4">
        <f t="shared" si="1112"/>
        <v>0</v>
      </c>
      <c r="DP1326" s="4">
        <f t="shared" si="1112"/>
        <v>58390.84</v>
      </c>
      <c r="DQ1326" s="4">
        <f t="shared" si="1112"/>
        <v>31137.83</v>
      </c>
      <c r="DR1326" s="4">
        <f t="shared" si="1112"/>
        <v>0</v>
      </c>
      <c r="DS1326" s="4">
        <f t="shared" si="1112"/>
        <v>0</v>
      </c>
      <c r="DT1326" s="4">
        <f t="shared" si="1112"/>
        <v>0</v>
      </c>
      <c r="DU1326" s="4">
        <f t="shared" si="1112"/>
        <v>0</v>
      </c>
      <c r="DV1326" s="4">
        <f t="shared" si="1112"/>
        <v>0</v>
      </c>
      <c r="DW1326" s="4">
        <f t="shared" si="1112"/>
        <v>0</v>
      </c>
      <c r="DX1326" s="4">
        <f t="shared" si="1112"/>
        <v>0</v>
      </c>
      <c r="DY1326" s="4">
        <f t="shared" si="1112"/>
        <v>0</v>
      </c>
      <c r="DZ1326" s="4">
        <f t="shared" si="1112"/>
        <v>0</v>
      </c>
      <c r="EA1326" s="4">
        <f t="shared" si="1112"/>
        <v>0</v>
      </c>
      <c r="EB1326" s="4">
        <f t="shared" si="1112"/>
        <v>0</v>
      </c>
      <c r="EC1326" s="4">
        <f t="shared" si="1112"/>
        <v>0</v>
      </c>
      <c r="ED1326" s="4">
        <f t="shared" si="1112"/>
        <v>0</v>
      </c>
      <c r="EE1326" s="4">
        <f t="shared" si="1112"/>
        <v>0</v>
      </c>
      <c r="EF1326" s="4">
        <f t="shared" si="1112"/>
        <v>0</v>
      </c>
      <c r="EG1326" s="4">
        <f t="shared" si="1112"/>
        <v>0</v>
      </c>
      <c r="EH1326" s="4">
        <f t="shared" si="1112"/>
        <v>117503.19</v>
      </c>
      <c r="EI1326" s="4">
        <f t="shared" si="1112"/>
        <v>0</v>
      </c>
      <c r="EJ1326" s="4">
        <f t="shared" si="1112"/>
        <v>491223.79</v>
      </c>
      <c r="EK1326" s="4">
        <f t="shared" si="1112"/>
        <v>258961.47</v>
      </c>
      <c r="EL1326" s="4">
        <f t="shared" si="1112"/>
        <v>114759.13</v>
      </c>
      <c r="EM1326" s="4">
        <f t="shared" ref="EM1326:FR1326" si="1113">EM1448</f>
        <v>0</v>
      </c>
      <c r="EN1326" s="4">
        <f t="shared" si="1113"/>
        <v>316469.96000000002</v>
      </c>
      <c r="EO1326" s="4">
        <f t="shared" si="1113"/>
        <v>198966.77</v>
      </c>
      <c r="EP1326" s="4">
        <f t="shared" si="1113"/>
        <v>0</v>
      </c>
      <c r="EQ1326" s="4">
        <f t="shared" si="1113"/>
        <v>198966.77</v>
      </c>
      <c r="ER1326" s="4">
        <f t="shared" si="1113"/>
        <v>117503.19</v>
      </c>
      <c r="ES1326" s="4">
        <f t="shared" si="1113"/>
        <v>0</v>
      </c>
      <c r="ET1326" s="4">
        <f t="shared" si="1113"/>
        <v>0</v>
      </c>
      <c r="EU1326" s="4">
        <f t="shared" si="1113"/>
        <v>0</v>
      </c>
      <c r="EV1326" s="4">
        <f t="shared" si="1113"/>
        <v>0</v>
      </c>
      <c r="EW1326" s="4">
        <f t="shared" si="1113"/>
        <v>0</v>
      </c>
      <c r="EX1326" s="4">
        <f t="shared" si="1113"/>
        <v>0</v>
      </c>
      <c r="EY1326" s="4">
        <f t="shared" si="1113"/>
        <v>0</v>
      </c>
      <c r="EZ1326" s="4">
        <f t="shared" si="1113"/>
        <v>0</v>
      </c>
      <c r="FA1326" s="4">
        <f t="shared" si="1113"/>
        <v>0</v>
      </c>
      <c r="FB1326" s="4">
        <f t="shared" si="1113"/>
        <v>0</v>
      </c>
      <c r="FC1326" s="4">
        <f t="shared" si="1113"/>
        <v>0</v>
      </c>
      <c r="FD1326" s="4">
        <f t="shared" si="1113"/>
        <v>0</v>
      </c>
      <c r="FE1326" s="4">
        <f t="shared" si="1113"/>
        <v>0</v>
      </c>
      <c r="FF1326" s="4">
        <f t="shared" si="1113"/>
        <v>0</v>
      </c>
      <c r="FG1326" s="4">
        <f t="shared" si="1113"/>
        <v>0</v>
      </c>
      <c r="FH1326" s="4">
        <f t="shared" si="1113"/>
        <v>0</v>
      </c>
      <c r="FI1326" s="4">
        <f t="shared" si="1113"/>
        <v>0</v>
      </c>
      <c r="FJ1326" s="4">
        <f t="shared" si="1113"/>
        <v>0</v>
      </c>
      <c r="FK1326" s="4">
        <f t="shared" si="1113"/>
        <v>0</v>
      </c>
      <c r="FL1326" s="4">
        <f t="shared" si="1113"/>
        <v>0</v>
      </c>
      <c r="FM1326" s="4">
        <f t="shared" si="1113"/>
        <v>0</v>
      </c>
      <c r="FN1326" s="4">
        <f t="shared" si="1113"/>
        <v>0</v>
      </c>
      <c r="FO1326" s="4">
        <f t="shared" si="1113"/>
        <v>0</v>
      </c>
      <c r="FP1326" s="4">
        <f t="shared" si="1113"/>
        <v>0</v>
      </c>
      <c r="FQ1326" s="4">
        <f t="shared" si="1113"/>
        <v>0</v>
      </c>
      <c r="FR1326" s="4">
        <f t="shared" si="1113"/>
        <v>0</v>
      </c>
      <c r="FS1326" s="4">
        <f t="shared" ref="FS1326:GX1326" si="1114">FS1448</f>
        <v>0</v>
      </c>
      <c r="FT1326" s="4">
        <f t="shared" si="1114"/>
        <v>0</v>
      </c>
      <c r="FU1326" s="4">
        <f t="shared" si="1114"/>
        <v>0</v>
      </c>
      <c r="FV1326" s="4">
        <f t="shared" si="1114"/>
        <v>0</v>
      </c>
      <c r="FW1326" s="4">
        <f t="shared" si="1114"/>
        <v>0</v>
      </c>
      <c r="FX1326" s="4">
        <f t="shared" si="1114"/>
        <v>0</v>
      </c>
      <c r="FY1326" s="4">
        <f t="shared" si="1114"/>
        <v>0</v>
      </c>
      <c r="FZ1326" s="4">
        <f t="shared" si="1114"/>
        <v>0</v>
      </c>
      <c r="GA1326" s="4">
        <f t="shared" si="1114"/>
        <v>0</v>
      </c>
      <c r="GB1326" s="4">
        <f t="shared" si="1114"/>
        <v>0</v>
      </c>
      <c r="GC1326" s="4">
        <f t="shared" si="1114"/>
        <v>0</v>
      </c>
      <c r="GD1326" s="4">
        <f t="shared" si="1114"/>
        <v>0</v>
      </c>
      <c r="GE1326" s="4">
        <f t="shared" si="1114"/>
        <v>0</v>
      </c>
      <c r="GF1326" s="4">
        <f t="shared" si="1114"/>
        <v>0</v>
      </c>
      <c r="GG1326" s="4">
        <f t="shared" si="1114"/>
        <v>0</v>
      </c>
      <c r="GH1326" s="4">
        <f t="shared" si="1114"/>
        <v>0</v>
      </c>
      <c r="GI1326" s="4">
        <f t="shared" si="1114"/>
        <v>0</v>
      </c>
      <c r="GJ1326" s="4">
        <f t="shared" si="1114"/>
        <v>0</v>
      </c>
      <c r="GK1326" s="4">
        <f t="shared" si="1114"/>
        <v>0</v>
      </c>
      <c r="GL1326" s="4">
        <f t="shared" si="1114"/>
        <v>0</v>
      </c>
      <c r="GM1326" s="4">
        <f t="shared" si="1114"/>
        <v>0</v>
      </c>
      <c r="GN1326" s="4">
        <f t="shared" si="1114"/>
        <v>0</v>
      </c>
      <c r="GO1326" s="4">
        <f t="shared" si="1114"/>
        <v>0</v>
      </c>
      <c r="GP1326" s="4">
        <f t="shared" si="1114"/>
        <v>0</v>
      </c>
      <c r="GQ1326" s="4">
        <f t="shared" si="1114"/>
        <v>0</v>
      </c>
      <c r="GR1326" s="4">
        <f t="shared" si="1114"/>
        <v>0</v>
      </c>
      <c r="GS1326" s="4">
        <f t="shared" si="1114"/>
        <v>0</v>
      </c>
      <c r="GT1326" s="4">
        <f t="shared" si="1114"/>
        <v>0</v>
      </c>
      <c r="GU1326" s="4">
        <f t="shared" si="1114"/>
        <v>0</v>
      </c>
      <c r="GV1326" s="4">
        <f t="shared" si="1114"/>
        <v>0</v>
      </c>
      <c r="GW1326" s="4">
        <f t="shared" si="1114"/>
        <v>0</v>
      </c>
      <c r="GX1326" s="4">
        <f t="shared" si="1114"/>
        <v>0</v>
      </c>
    </row>
    <row r="1328" spans="1:206" x14ac:dyDescent="0.2">
      <c r="A1328" s="1">
        <v>4</v>
      </c>
      <c r="B1328" s="1">
        <v>1</v>
      </c>
      <c r="C1328" s="1"/>
      <c r="D1328" s="1">
        <f>ROW(A1357)</f>
        <v>1357</v>
      </c>
      <c r="E1328" s="1"/>
      <c r="F1328" s="1" t="s">
        <v>16</v>
      </c>
      <c r="G1328" s="1" t="s">
        <v>80</v>
      </c>
      <c r="H1328" s="1" t="s">
        <v>3</v>
      </c>
      <c r="I1328" s="1">
        <v>0</v>
      </c>
      <c r="J1328" s="1"/>
      <c r="K1328" s="1">
        <v>0</v>
      </c>
      <c r="L1328" s="1"/>
      <c r="M1328" s="1" t="s">
        <v>3</v>
      </c>
      <c r="N1328" s="1"/>
      <c r="O1328" s="1"/>
      <c r="P1328" s="1"/>
      <c r="Q1328" s="1"/>
      <c r="R1328" s="1"/>
      <c r="S1328" s="1">
        <v>0</v>
      </c>
      <c r="T1328" s="1">
        <v>0</v>
      </c>
      <c r="U1328" s="1" t="s">
        <v>3</v>
      </c>
      <c r="V1328" s="1">
        <v>0</v>
      </c>
      <c r="W1328" s="1"/>
      <c r="X1328" s="1"/>
      <c r="Y1328" s="1"/>
      <c r="Z1328" s="1"/>
      <c r="AA1328" s="1"/>
      <c r="AB1328" s="1" t="s">
        <v>3</v>
      </c>
      <c r="AC1328" s="1" t="s">
        <v>3</v>
      </c>
      <c r="AD1328" s="1" t="s">
        <v>3</v>
      </c>
      <c r="AE1328" s="1" t="s">
        <v>3</v>
      </c>
      <c r="AF1328" s="1" t="s">
        <v>3</v>
      </c>
      <c r="AG1328" s="1" t="s">
        <v>3</v>
      </c>
      <c r="AH1328" s="1"/>
      <c r="AI1328" s="1"/>
      <c r="AJ1328" s="1"/>
      <c r="AK1328" s="1"/>
      <c r="AL1328" s="1"/>
      <c r="AM1328" s="1"/>
      <c r="AN1328" s="1"/>
      <c r="AO1328" s="1"/>
      <c r="AP1328" s="1" t="s">
        <v>3</v>
      </c>
      <c r="AQ1328" s="1" t="s">
        <v>3</v>
      </c>
      <c r="AR1328" s="1" t="s">
        <v>3</v>
      </c>
      <c r="AS1328" s="1"/>
      <c r="AT1328" s="1"/>
      <c r="AU1328" s="1"/>
      <c r="AV1328" s="1"/>
      <c r="AW1328" s="1"/>
      <c r="AX1328" s="1"/>
      <c r="AY1328" s="1"/>
      <c r="AZ1328" s="1" t="s">
        <v>3</v>
      </c>
      <c r="BA1328" s="1"/>
      <c r="BB1328" s="1" t="s">
        <v>3</v>
      </c>
      <c r="BC1328" s="1" t="s">
        <v>3</v>
      </c>
      <c r="BD1328" s="1" t="s">
        <v>3</v>
      </c>
      <c r="BE1328" s="1" t="s">
        <v>3</v>
      </c>
      <c r="BF1328" s="1" t="s">
        <v>3</v>
      </c>
      <c r="BG1328" s="1" t="s">
        <v>3</v>
      </c>
      <c r="BH1328" s="1" t="s">
        <v>3</v>
      </c>
      <c r="BI1328" s="1" t="s">
        <v>3</v>
      </c>
      <c r="BJ1328" s="1" t="s">
        <v>3</v>
      </c>
      <c r="BK1328" s="1" t="s">
        <v>3</v>
      </c>
      <c r="BL1328" s="1" t="s">
        <v>3</v>
      </c>
      <c r="BM1328" s="1" t="s">
        <v>3</v>
      </c>
      <c r="BN1328" s="1" t="s">
        <v>3</v>
      </c>
      <c r="BO1328" s="1" t="s">
        <v>3</v>
      </c>
      <c r="BP1328" s="1" t="s">
        <v>3</v>
      </c>
      <c r="BQ1328" s="1"/>
      <c r="BR1328" s="1"/>
      <c r="BS1328" s="1"/>
      <c r="BT1328" s="1"/>
      <c r="BU1328" s="1"/>
      <c r="BV1328" s="1"/>
      <c r="BW1328" s="1"/>
      <c r="BX1328" s="1">
        <v>0</v>
      </c>
      <c r="BY1328" s="1"/>
      <c r="BZ1328" s="1"/>
      <c r="CA1328" s="1"/>
      <c r="CB1328" s="1"/>
      <c r="CC1328" s="1"/>
      <c r="CD1328" s="1"/>
      <c r="CE1328" s="1"/>
      <c r="CF1328" s="1"/>
      <c r="CG1328" s="1"/>
      <c r="CH1328" s="1"/>
      <c r="CI1328" s="1"/>
      <c r="CJ1328" s="1">
        <v>0</v>
      </c>
    </row>
    <row r="1330" spans="1:255" x14ac:dyDescent="0.2">
      <c r="A1330" s="3">
        <v>52</v>
      </c>
      <c r="B1330" s="3">
        <f t="shared" ref="B1330:G1330" si="1115">B1357</f>
        <v>1</v>
      </c>
      <c r="C1330" s="3">
        <f t="shared" si="1115"/>
        <v>4</v>
      </c>
      <c r="D1330" s="3">
        <f t="shared" si="1115"/>
        <v>1328</v>
      </c>
      <c r="E1330" s="3">
        <f t="shared" si="1115"/>
        <v>0</v>
      </c>
      <c r="F1330" s="3" t="str">
        <f t="shared" si="1115"/>
        <v>Новый раздел</v>
      </c>
      <c r="G1330" s="3" t="str">
        <f t="shared" si="1115"/>
        <v>Монтажные работы</v>
      </c>
      <c r="H1330" s="3"/>
      <c r="I1330" s="3"/>
      <c r="J1330" s="3"/>
      <c r="K1330" s="3"/>
      <c r="L1330" s="3"/>
      <c r="M1330" s="3"/>
      <c r="N1330" s="3"/>
      <c r="O1330" s="3">
        <f t="shared" ref="O1330:AT1330" si="1116">O1357</f>
        <v>4890.04</v>
      </c>
      <c r="P1330" s="3">
        <f t="shared" si="1116"/>
        <v>1812.37</v>
      </c>
      <c r="Q1330" s="3">
        <f t="shared" si="1116"/>
        <v>461.55</v>
      </c>
      <c r="R1330" s="3">
        <f t="shared" si="1116"/>
        <v>83.13</v>
      </c>
      <c r="S1330" s="3">
        <f t="shared" si="1116"/>
        <v>2616.12</v>
      </c>
      <c r="T1330" s="3">
        <f t="shared" si="1116"/>
        <v>0</v>
      </c>
      <c r="U1330" s="3">
        <f t="shared" si="1116"/>
        <v>197.07243700000001</v>
      </c>
      <c r="V1330" s="3">
        <f t="shared" si="1116"/>
        <v>0</v>
      </c>
      <c r="W1330" s="3">
        <f t="shared" si="1116"/>
        <v>0</v>
      </c>
      <c r="X1330" s="3">
        <f t="shared" si="1116"/>
        <v>2469.46</v>
      </c>
      <c r="Y1330" s="3">
        <f t="shared" si="1116"/>
        <v>1889.09</v>
      </c>
      <c r="Z1330" s="3">
        <f t="shared" si="1116"/>
        <v>0</v>
      </c>
      <c r="AA1330" s="3">
        <f t="shared" si="1116"/>
        <v>0</v>
      </c>
      <c r="AB1330" s="3">
        <f t="shared" si="1116"/>
        <v>4890.04</v>
      </c>
      <c r="AC1330" s="3">
        <f t="shared" si="1116"/>
        <v>1812.37</v>
      </c>
      <c r="AD1330" s="3">
        <f t="shared" si="1116"/>
        <v>461.55</v>
      </c>
      <c r="AE1330" s="3">
        <f t="shared" si="1116"/>
        <v>83.13</v>
      </c>
      <c r="AF1330" s="3">
        <f t="shared" si="1116"/>
        <v>2616.12</v>
      </c>
      <c r="AG1330" s="3">
        <f t="shared" si="1116"/>
        <v>0</v>
      </c>
      <c r="AH1330" s="3">
        <f t="shared" si="1116"/>
        <v>197.07243700000001</v>
      </c>
      <c r="AI1330" s="3">
        <f t="shared" si="1116"/>
        <v>0</v>
      </c>
      <c r="AJ1330" s="3">
        <f t="shared" si="1116"/>
        <v>0</v>
      </c>
      <c r="AK1330" s="3">
        <f t="shared" si="1116"/>
        <v>2469.46</v>
      </c>
      <c r="AL1330" s="3">
        <f t="shared" si="1116"/>
        <v>1889.09</v>
      </c>
      <c r="AM1330" s="3">
        <f t="shared" si="1116"/>
        <v>0</v>
      </c>
      <c r="AN1330" s="3">
        <f t="shared" si="1116"/>
        <v>0</v>
      </c>
      <c r="AO1330" s="3">
        <f t="shared" si="1116"/>
        <v>0</v>
      </c>
      <c r="AP1330" s="3">
        <f t="shared" si="1116"/>
        <v>0</v>
      </c>
      <c r="AQ1330" s="3">
        <f t="shared" si="1116"/>
        <v>0</v>
      </c>
      <c r="AR1330" s="3">
        <f t="shared" si="1116"/>
        <v>9394.07</v>
      </c>
      <c r="AS1330" s="3">
        <f t="shared" si="1116"/>
        <v>4808.2</v>
      </c>
      <c r="AT1330" s="3">
        <f t="shared" si="1116"/>
        <v>4585.87</v>
      </c>
      <c r="AU1330" s="3">
        <f t="shared" ref="AU1330:BZ1330" si="1117">AU1357</f>
        <v>0</v>
      </c>
      <c r="AV1330" s="3">
        <f t="shared" si="1117"/>
        <v>1812.37</v>
      </c>
      <c r="AW1330" s="3">
        <f t="shared" si="1117"/>
        <v>1812.37</v>
      </c>
      <c r="AX1330" s="3">
        <f t="shared" si="1117"/>
        <v>0</v>
      </c>
      <c r="AY1330" s="3">
        <f t="shared" si="1117"/>
        <v>1812.37</v>
      </c>
      <c r="AZ1330" s="3">
        <f t="shared" si="1117"/>
        <v>0</v>
      </c>
      <c r="BA1330" s="3">
        <f t="shared" si="1117"/>
        <v>0</v>
      </c>
      <c r="BB1330" s="3">
        <f t="shared" si="1117"/>
        <v>0</v>
      </c>
      <c r="BC1330" s="3">
        <f t="shared" si="1117"/>
        <v>0</v>
      </c>
      <c r="BD1330" s="3">
        <f t="shared" si="1117"/>
        <v>0</v>
      </c>
      <c r="BE1330" s="3">
        <f t="shared" si="1117"/>
        <v>0</v>
      </c>
      <c r="BF1330" s="3">
        <f t="shared" si="1117"/>
        <v>0</v>
      </c>
      <c r="BG1330" s="3">
        <f t="shared" si="1117"/>
        <v>0</v>
      </c>
      <c r="BH1330" s="3">
        <f t="shared" si="1117"/>
        <v>0</v>
      </c>
      <c r="BI1330" s="3">
        <f t="shared" si="1117"/>
        <v>0</v>
      </c>
      <c r="BJ1330" s="3">
        <f t="shared" si="1117"/>
        <v>0</v>
      </c>
      <c r="BK1330" s="3">
        <f t="shared" si="1117"/>
        <v>0</v>
      </c>
      <c r="BL1330" s="3">
        <f t="shared" si="1117"/>
        <v>0</v>
      </c>
      <c r="BM1330" s="3">
        <f t="shared" si="1117"/>
        <v>0</v>
      </c>
      <c r="BN1330" s="3">
        <f t="shared" si="1117"/>
        <v>0</v>
      </c>
      <c r="BO1330" s="3">
        <f t="shared" si="1117"/>
        <v>0</v>
      </c>
      <c r="BP1330" s="3">
        <f t="shared" si="1117"/>
        <v>0</v>
      </c>
      <c r="BQ1330" s="3">
        <f t="shared" si="1117"/>
        <v>0</v>
      </c>
      <c r="BR1330" s="3">
        <f t="shared" si="1117"/>
        <v>0</v>
      </c>
      <c r="BS1330" s="3">
        <f t="shared" si="1117"/>
        <v>0</v>
      </c>
      <c r="BT1330" s="3">
        <f t="shared" si="1117"/>
        <v>0</v>
      </c>
      <c r="BU1330" s="3">
        <f t="shared" si="1117"/>
        <v>0</v>
      </c>
      <c r="BV1330" s="3">
        <f t="shared" si="1117"/>
        <v>0</v>
      </c>
      <c r="BW1330" s="3">
        <f t="shared" si="1117"/>
        <v>0</v>
      </c>
      <c r="BX1330" s="3">
        <f t="shared" si="1117"/>
        <v>0</v>
      </c>
      <c r="BY1330" s="3">
        <f t="shared" si="1117"/>
        <v>0</v>
      </c>
      <c r="BZ1330" s="3">
        <f t="shared" si="1117"/>
        <v>0</v>
      </c>
      <c r="CA1330" s="3">
        <f t="shared" ref="CA1330:DF1330" si="1118">CA1357</f>
        <v>9394.07</v>
      </c>
      <c r="CB1330" s="3">
        <f t="shared" si="1118"/>
        <v>4808.2</v>
      </c>
      <c r="CC1330" s="3">
        <f t="shared" si="1118"/>
        <v>4585.87</v>
      </c>
      <c r="CD1330" s="3">
        <f t="shared" si="1118"/>
        <v>0</v>
      </c>
      <c r="CE1330" s="3">
        <f t="shared" si="1118"/>
        <v>1812.37</v>
      </c>
      <c r="CF1330" s="3">
        <f t="shared" si="1118"/>
        <v>1812.37</v>
      </c>
      <c r="CG1330" s="3">
        <f t="shared" si="1118"/>
        <v>0</v>
      </c>
      <c r="CH1330" s="3">
        <f t="shared" si="1118"/>
        <v>1812.37</v>
      </c>
      <c r="CI1330" s="3">
        <f t="shared" si="1118"/>
        <v>0</v>
      </c>
      <c r="CJ1330" s="3">
        <f t="shared" si="1118"/>
        <v>0</v>
      </c>
      <c r="CK1330" s="3">
        <f t="shared" si="1118"/>
        <v>0</v>
      </c>
      <c r="CL1330" s="3">
        <f t="shared" si="1118"/>
        <v>0</v>
      </c>
      <c r="CM1330" s="3">
        <f t="shared" si="1118"/>
        <v>0</v>
      </c>
      <c r="CN1330" s="3">
        <f t="shared" si="1118"/>
        <v>0</v>
      </c>
      <c r="CO1330" s="3">
        <f t="shared" si="1118"/>
        <v>0</v>
      </c>
      <c r="CP1330" s="3">
        <f t="shared" si="1118"/>
        <v>0</v>
      </c>
      <c r="CQ1330" s="3">
        <f t="shared" si="1118"/>
        <v>0</v>
      </c>
      <c r="CR1330" s="3">
        <f t="shared" si="1118"/>
        <v>0</v>
      </c>
      <c r="CS1330" s="3">
        <f t="shared" si="1118"/>
        <v>0</v>
      </c>
      <c r="CT1330" s="3">
        <f t="shared" si="1118"/>
        <v>0</v>
      </c>
      <c r="CU1330" s="3">
        <f t="shared" si="1118"/>
        <v>0</v>
      </c>
      <c r="CV1330" s="3">
        <f t="shared" si="1118"/>
        <v>0</v>
      </c>
      <c r="CW1330" s="3">
        <f t="shared" si="1118"/>
        <v>0</v>
      </c>
      <c r="CX1330" s="3">
        <f t="shared" si="1118"/>
        <v>0</v>
      </c>
      <c r="CY1330" s="3">
        <f t="shared" si="1118"/>
        <v>0</v>
      </c>
      <c r="CZ1330" s="3">
        <f t="shared" si="1118"/>
        <v>0</v>
      </c>
      <c r="DA1330" s="3">
        <f t="shared" si="1118"/>
        <v>0</v>
      </c>
      <c r="DB1330" s="3">
        <f t="shared" si="1118"/>
        <v>0</v>
      </c>
      <c r="DC1330" s="3">
        <f t="shared" si="1118"/>
        <v>0</v>
      </c>
      <c r="DD1330" s="3">
        <f t="shared" si="1118"/>
        <v>0</v>
      </c>
      <c r="DE1330" s="3">
        <f t="shared" si="1118"/>
        <v>0</v>
      </c>
      <c r="DF1330" s="3">
        <f t="shared" si="1118"/>
        <v>0</v>
      </c>
      <c r="DG1330" s="4">
        <f t="shared" ref="DG1330:EL1330" si="1119">DG1357</f>
        <v>176020.35</v>
      </c>
      <c r="DH1330" s="4">
        <f t="shared" si="1119"/>
        <v>94656.43</v>
      </c>
      <c r="DI1330" s="4">
        <f t="shared" si="1119"/>
        <v>5417.96</v>
      </c>
      <c r="DJ1330" s="4">
        <f t="shared" si="1119"/>
        <v>2413.27</v>
      </c>
      <c r="DK1330" s="4">
        <f t="shared" si="1119"/>
        <v>75945.960000000006</v>
      </c>
      <c r="DL1330" s="4">
        <f t="shared" si="1119"/>
        <v>0</v>
      </c>
      <c r="DM1330" s="4">
        <f t="shared" si="1119"/>
        <v>197.07243700000001</v>
      </c>
      <c r="DN1330" s="4">
        <f t="shared" si="1119"/>
        <v>0</v>
      </c>
      <c r="DO1330" s="4">
        <f t="shared" si="1119"/>
        <v>0</v>
      </c>
      <c r="DP1330" s="4">
        <f t="shared" si="1119"/>
        <v>58390.84</v>
      </c>
      <c r="DQ1330" s="4">
        <f t="shared" si="1119"/>
        <v>31137.83</v>
      </c>
      <c r="DR1330" s="4">
        <f t="shared" si="1119"/>
        <v>0</v>
      </c>
      <c r="DS1330" s="4">
        <f t="shared" si="1119"/>
        <v>0</v>
      </c>
      <c r="DT1330" s="4">
        <f t="shared" si="1119"/>
        <v>176020.35</v>
      </c>
      <c r="DU1330" s="4">
        <f t="shared" si="1119"/>
        <v>94656.43</v>
      </c>
      <c r="DV1330" s="4">
        <f t="shared" si="1119"/>
        <v>5417.96</v>
      </c>
      <c r="DW1330" s="4">
        <f t="shared" si="1119"/>
        <v>2413.27</v>
      </c>
      <c r="DX1330" s="4">
        <f t="shared" si="1119"/>
        <v>75945.960000000006</v>
      </c>
      <c r="DY1330" s="4">
        <f t="shared" si="1119"/>
        <v>0</v>
      </c>
      <c r="DZ1330" s="4">
        <f t="shared" si="1119"/>
        <v>197.07243700000001</v>
      </c>
      <c r="EA1330" s="4">
        <f t="shared" si="1119"/>
        <v>0</v>
      </c>
      <c r="EB1330" s="4">
        <f t="shared" si="1119"/>
        <v>0</v>
      </c>
      <c r="EC1330" s="4">
        <f t="shared" si="1119"/>
        <v>58390.84</v>
      </c>
      <c r="ED1330" s="4">
        <f t="shared" si="1119"/>
        <v>31137.83</v>
      </c>
      <c r="EE1330" s="4">
        <f t="shared" si="1119"/>
        <v>0</v>
      </c>
      <c r="EF1330" s="4">
        <f t="shared" si="1119"/>
        <v>0</v>
      </c>
      <c r="EG1330" s="4">
        <f t="shared" si="1119"/>
        <v>0</v>
      </c>
      <c r="EH1330" s="4">
        <f t="shared" si="1119"/>
        <v>0</v>
      </c>
      <c r="EI1330" s="4">
        <f t="shared" si="1119"/>
        <v>0</v>
      </c>
      <c r="EJ1330" s="4">
        <f t="shared" si="1119"/>
        <v>269410.26</v>
      </c>
      <c r="EK1330" s="4">
        <f t="shared" si="1119"/>
        <v>154651.13</v>
      </c>
      <c r="EL1330" s="4">
        <f t="shared" si="1119"/>
        <v>114759.13</v>
      </c>
      <c r="EM1330" s="4">
        <f t="shared" ref="EM1330:FR1330" si="1120">EM1357</f>
        <v>0</v>
      </c>
      <c r="EN1330" s="4">
        <f t="shared" si="1120"/>
        <v>94656.43</v>
      </c>
      <c r="EO1330" s="4">
        <f t="shared" si="1120"/>
        <v>94656.43</v>
      </c>
      <c r="EP1330" s="4">
        <f t="shared" si="1120"/>
        <v>0</v>
      </c>
      <c r="EQ1330" s="4">
        <f t="shared" si="1120"/>
        <v>94656.43</v>
      </c>
      <c r="ER1330" s="4">
        <f t="shared" si="1120"/>
        <v>0</v>
      </c>
      <c r="ES1330" s="4">
        <f t="shared" si="1120"/>
        <v>0</v>
      </c>
      <c r="ET1330" s="4">
        <f t="shared" si="1120"/>
        <v>0</v>
      </c>
      <c r="EU1330" s="4">
        <f t="shared" si="1120"/>
        <v>0</v>
      </c>
      <c r="EV1330" s="4">
        <f t="shared" si="1120"/>
        <v>0</v>
      </c>
      <c r="EW1330" s="4">
        <f t="shared" si="1120"/>
        <v>0</v>
      </c>
      <c r="EX1330" s="4">
        <f t="shared" si="1120"/>
        <v>0</v>
      </c>
      <c r="EY1330" s="4">
        <f t="shared" si="1120"/>
        <v>0</v>
      </c>
      <c r="EZ1330" s="4">
        <f t="shared" si="1120"/>
        <v>0</v>
      </c>
      <c r="FA1330" s="4">
        <f t="shared" si="1120"/>
        <v>0</v>
      </c>
      <c r="FB1330" s="4">
        <f t="shared" si="1120"/>
        <v>0</v>
      </c>
      <c r="FC1330" s="4">
        <f t="shared" si="1120"/>
        <v>0</v>
      </c>
      <c r="FD1330" s="4">
        <f t="shared" si="1120"/>
        <v>0</v>
      </c>
      <c r="FE1330" s="4">
        <f t="shared" si="1120"/>
        <v>0</v>
      </c>
      <c r="FF1330" s="4">
        <f t="shared" si="1120"/>
        <v>0</v>
      </c>
      <c r="FG1330" s="4">
        <f t="shared" si="1120"/>
        <v>0</v>
      </c>
      <c r="FH1330" s="4">
        <f t="shared" si="1120"/>
        <v>0</v>
      </c>
      <c r="FI1330" s="4">
        <f t="shared" si="1120"/>
        <v>0</v>
      </c>
      <c r="FJ1330" s="4">
        <f t="shared" si="1120"/>
        <v>0</v>
      </c>
      <c r="FK1330" s="4">
        <f t="shared" si="1120"/>
        <v>0</v>
      </c>
      <c r="FL1330" s="4">
        <f t="shared" si="1120"/>
        <v>0</v>
      </c>
      <c r="FM1330" s="4">
        <f t="shared" si="1120"/>
        <v>0</v>
      </c>
      <c r="FN1330" s="4">
        <f t="shared" si="1120"/>
        <v>0</v>
      </c>
      <c r="FO1330" s="4">
        <f t="shared" si="1120"/>
        <v>0</v>
      </c>
      <c r="FP1330" s="4">
        <f t="shared" si="1120"/>
        <v>0</v>
      </c>
      <c r="FQ1330" s="4">
        <f t="shared" si="1120"/>
        <v>0</v>
      </c>
      <c r="FR1330" s="4">
        <f t="shared" si="1120"/>
        <v>0</v>
      </c>
      <c r="FS1330" s="4">
        <f t="shared" ref="FS1330:GX1330" si="1121">FS1357</f>
        <v>269410.26</v>
      </c>
      <c r="FT1330" s="4">
        <f t="shared" si="1121"/>
        <v>154651.13</v>
      </c>
      <c r="FU1330" s="4">
        <f t="shared" si="1121"/>
        <v>114759.13</v>
      </c>
      <c r="FV1330" s="4">
        <f t="shared" si="1121"/>
        <v>0</v>
      </c>
      <c r="FW1330" s="4">
        <f t="shared" si="1121"/>
        <v>94656.43</v>
      </c>
      <c r="FX1330" s="4">
        <f t="shared" si="1121"/>
        <v>94656.43</v>
      </c>
      <c r="FY1330" s="4">
        <f t="shared" si="1121"/>
        <v>0</v>
      </c>
      <c r="FZ1330" s="4">
        <f t="shared" si="1121"/>
        <v>94656.43</v>
      </c>
      <c r="GA1330" s="4">
        <f t="shared" si="1121"/>
        <v>0</v>
      </c>
      <c r="GB1330" s="4">
        <f t="shared" si="1121"/>
        <v>0</v>
      </c>
      <c r="GC1330" s="4">
        <f t="shared" si="1121"/>
        <v>0</v>
      </c>
      <c r="GD1330" s="4">
        <f t="shared" si="1121"/>
        <v>0</v>
      </c>
      <c r="GE1330" s="4">
        <f t="shared" si="1121"/>
        <v>0</v>
      </c>
      <c r="GF1330" s="4">
        <f t="shared" si="1121"/>
        <v>0</v>
      </c>
      <c r="GG1330" s="4">
        <f t="shared" si="1121"/>
        <v>0</v>
      </c>
      <c r="GH1330" s="4">
        <f t="shared" si="1121"/>
        <v>0</v>
      </c>
      <c r="GI1330" s="4">
        <f t="shared" si="1121"/>
        <v>0</v>
      </c>
      <c r="GJ1330" s="4">
        <f t="shared" si="1121"/>
        <v>0</v>
      </c>
      <c r="GK1330" s="4">
        <f t="shared" si="1121"/>
        <v>0</v>
      </c>
      <c r="GL1330" s="4">
        <f t="shared" si="1121"/>
        <v>0</v>
      </c>
      <c r="GM1330" s="4">
        <f t="shared" si="1121"/>
        <v>0</v>
      </c>
      <c r="GN1330" s="4">
        <f t="shared" si="1121"/>
        <v>0</v>
      </c>
      <c r="GO1330" s="4">
        <f t="shared" si="1121"/>
        <v>0</v>
      </c>
      <c r="GP1330" s="4">
        <f t="shared" si="1121"/>
        <v>0</v>
      </c>
      <c r="GQ1330" s="4">
        <f t="shared" si="1121"/>
        <v>0</v>
      </c>
      <c r="GR1330" s="4">
        <f t="shared" si="1121"/>
        <v>0</v>
      </c>
      <c r="GS1330" s="4">
        <f t="shared" si="1121"/>
        <v>0</v>
      </c>
      <c r="GT1330" s="4">
        <f t="shared" si="1121"/>
        <v>0</v>
      </c>
      <c r="GU1330" s="4">
        <f t="shared" si="1121"/>
        <v>0</v>
      </c>
      <c r="GV1330" s="4">
        <f t="shared" si="1121"/>
        <v>0</v>
      </c>
      <c r="GW1330" s="4">
        <f t="shared" si="1121"/>
        <v>0</v>
      </c>
      <c r="GX1330" s="4">
        <f t="shared" si="1121"/>
        <v>0</v>
      </c>
    </row>
    <row r="1332" spans="1:255" x14ac:dyDescent="0.2">
      <c r="A1332" s="2">
        <v>17</v>
      </c>
      <c r="B1332" s="2">
        <v>1</v>
      </c>
      <c r="C1332" s="2">
        <f>ROW(SmtRes!A1079)</f>
        <v>1079</v>
      </c>
      <c r="D1332" s="2">
        <f>ROW(EtalonRes!A1033)</f>
        <v>1033</v>
      </c>
      <c r="E1332" s="2" t="s">
        <v>18</v>
      </c>
      <c r="F1332" s="2" t="s">
        <v>1006</v>
      </c>
      <c r="G1332" s="2" t="s">
        <v>1007</v>
      </c>
      <c r="H1332" s="2" t="s">
        <v>107</v>
      </c>
      <c r="I1332" s="2">
        <v>8.9999999999999998E-4</v>
      </c>
      <c r="J1332" s="2">
        <v>0</v>
      </c>
      <c r="K1332" s="2">
        <v>8.9999999999999998E-4</v>
      </c>
      <c r="L1332" s="2"/>
      <c r="M1332" s="2"/>
      <c r="N1332" s="2"/>
      <c r="O1332" s="2">
        <f t="shared" ref="O1332:O1355" si="1122">ROUND(CP1332,2)</f>
        <v>0.54</v>
      </c>
      <c r="P1332" s="2">
        <f t="shared" ref="P1332:P1355" si="1123">ROUND((ROUND((AC1332*AW1332*I1332),2)*BC1332),2)</f>
        <v>0</v>
      </c>
      <c r="Q1332" s="2">
        <f>(ROUND((ROUND((((ET1332*1.25))*AV1332*I1332),2)*BB1332),2)+ROUND((ROUND(((AE1332-((EU1332*1.25)))*AV1332*I1332),2)*BS1332),2))</f>
        <v>7.0000000000000007E-2</v>
      </c>
      <c r="R1332" s="2">
        <f t="shared" ref="R1332:R1355" si="1124">ROUND((ROUND((AE1332*AV1332*I1332),2)*BS1332),2)</f>
        <v>0.02</v>
      </c>
      <c r="S1332" s="2">
        <f t="shared" ref="S1332:S1355" si="1125">ROUND((ROUND((AF1332*AV1332*I1332),2)*BA1332),2)</f>
        <v>0.47</v>
      </c>
      <c r="T1332" s="2">
        <f t="shared" ref="T1332:T1355" si="1126">ROUND(CU1332*I1332,2)</f>
        <v>0</v>
      </c>
      <c r="U1332" s="2">
        <f t="shared" ref="U1332:U1355" si="1127">CV1332*I1332</f>
        <v>3.9536999999999996E-2</v>
      </c>
      <c r="V1332" s="2">
        <f t="shared" ref="V1332:V1355" si="1128">CW1332*I1332</f>
        <v>0</v>
      </c>
      <c r="W1332" s="2">
        <f t="shared" ref="W1332:W1355" si="1129">ROUND(CX1332*I1332,2)</f>
        <v>0</v>
      </c>
      <c r="X1332" s="2">
        <f t="shared" ref="X1332:X1355" si="1130">ROUND(CY1332,2)</f>
        <v>0.49</v>
      </c>
      <c r="Y1332" s="2">
        <f t="shared" ref="Y1332:Y1355" si="1131">ROUND(CZ1332,2)</f>
        <v>0.33</v>
      </c>
      <c r="Z1332" s="2"/>
      <c r="AA1332" s="2">
        <v>129761636</v>
      </c>
      <c r="AB1332" s="2">
        <f t="shared" ref="AB1332:AB1355" si="1132">ROUND((AC1332+AD1332+AF1332),6)</f>
        <v>603.77200000000005</v>
      </c>
      <c r="AC1332" s="2">
        <f t="shared" ref="AC1332:AC1355" si="1133">ROUND((ES1332),6)</f>
        <v>0.98</v>
      </c>
      <c r="AD1332" s="2">
        <f>ROUND(((((ET1332*1.25))-((EU1332*1.25)))+AE1332),6)</f>
        <v>80.025000000000006</v>
      </c>
      <c r="AE1332" s="2">
        <f>ROUND(((EU1332*1.25)),6)</f>
        <v>18.912500000000001</v>
      </c>
      <c r="AF1332" s="2">
        <f>ROUND(((EV1332*1.15)),6)</f>
        <v>522.76700000000005</v>
      </c>
      <c r="AG1332" s="2">
        <f t="shared" ref="AG1332:AG1355" si="1134">ROUND((AP1332),6)</f>
        <v>0</v>
      </c>
      <c r="AH1332" s="2">
        <f>((EW1332*1.15))</f>
        <v>43.93</v>
      </c>
      <c r="AI1332" s="2">
        <f>((EX1332*1.25))</f>
        <v>0</v>
      </c>
      <c r="AJ1332" s="2">
        <f t="shared" ref="AJ1332:AJ1355" si="1135">(AS1332)</f>
        <v>0</v>
      </c>
      <c r="AK1332" s="2">
        <v>519.58000000000004</v>
      </c>
      <c r="AL1332" s="2">
        <v>0.98</v>
      </c>
      <c r="AM1332" s="2">
        <v>64.02</v>
      </c>
      <c r="AN1332" s="2">
        <v>15.13</v>
      </c>
      <c r="AO1332" s="2">
        <v>454.58</v>
      </c>
      <c r="AP1332" s="2">
        <v>0</v>
      </c>
      <c r="AQ1332" s="2">
        <v>38.200000000000003</v>
      </c>
      <c r="AR1332" s="2">
        <v>0</v>
      </c>
      <c r="AS1332" s="2">
        <v>0</v>
      </c>
      <c r="AT1332" s="2">
        <v>104</v>
      </c>
      <c r="AU1332" s="2">
        <v>70</v>
      </c>
      <c r="AV1332" s="2">
        <v>1</v>
      </c>
      <c r="AW1332" s="2">
        <v>1</v>
      </c>
      <c r="AX1332" s="2"/>
      <c r="AY1332" s="2"/>
      <c r="AZ1332" s="2">
        <v>1</v>
      </c>
      <c r="BA1332" s="2">
        <v>1</v>
      </c>
      <c r="BB1332" s="2">
        <v>1</v>
      </c>
      <c r="BC1332" s="2">
        <v>1</v>
      </c>
      <c r="BD1332" s="2" t="s">
        <v>3</v>
      </c>
      <c r="BE1332" s="2" t="s">
        <v>3</v>
      </c>
      <c r="BF1332" s="2" t="s">
        <v>3</v>
      </c>
      <c r="BG1332" s="2" t="s">
        <v>3</v>
      </c>
      <c r="BH1332" s="2">
        <v>0</v>
      </c>
      <c r="BI1332" s="2">
        <v>1</v>
      </c>
      <c r="BJ1332" s="2" t="s">
        <v>1008</v>
      </c>
      <c r="BK1332" s="2"/>
      <c r="BL1332" s="2"/>
      <c r="BM1332" s="2">
        <v>91</v>
      </c>
      <c r="BN1332" s="2">
        <v>0</v>
      </c>
      <c r="BO1332" s="2" t="s">
        <v>3</v>
      </c>
      <c r="BP1332" s="2">
        <v>0</v>
      </c>
      <c r="BQ1332" s="2">
        <v>30</v>
      </c>
      <c r="BR1332" s="2">
        <v>0</v>
      </c>
      <c r="BS1332" s="2">
        <v>1</v>
      </c>
      <c r="BT1332" s="2">
        <v>1</v>
      </c>
      <c r="BU1332" s="2">
        <v>1</v>
      </c>
      <c r="BV1332" s="2">
        <v>1</v>
      </c>
      <c r="BW1332" s="2">
        <v>1</v>
      </c>
      <c r="BX1332" s="2">
        <v>1</v>
      </c>
      <c r="BY1332" s="2" t="s">
        <v>3</v>
      </c>
      <c r="BZ1332" s="2">
        <v>104</v>
      </c>
      <c r="CA1332" s="2">
        <v>70</v>
      </c>
      <c r="CB1332" s="2" t="s">
        <v>3</v>
      </c>
      <c r="CC1332" s="2"/>
      <c r="CD1332" s="2"/>
      <c r="CE1332" s="2">
        <v>30</v>
      </c>
      <c r="CF1332" s="2">
        <v>0</v>
      </c>
      <c r="CG1332" s="2">
        <v>0</v>
      </c>
      <c r="CH1332" s="2"/>
      <c r="CI1332" s="2"/>
      <c r="CJ1332" s="2"/>
      <c r="CK1332" s="2"/>
      <c r="CL1332" s="2"/>
      <c r="CM1332" s="2">
        <v>0</v>
      </c>
      <c r="CN1332" s="2" t="s">
        <v>1559</v>
      </c>
      <c r="CO1332" s="2">
        <v>0</v>
      </c>
      <c r="CP1332" s="2">
        <f t="shared" ref="CP1332:CP1355" si="1136">(P1332+Q1332+S1332)</f>
        <v>0.54</v>
      </c>
      <c r="CQ1332" s="2">
        <f t="shared" ref="CQ1332:CQ1355" si="1137">ROUND((ROUND((AC1332*AW1332*1),2)*BC1332),2)</f>
        <v>0.98</v>
      </c>
      <c r="CR1332" s="2">
        <f>(ROUND((ROUND((((ET1332*1.25))*AV1332*1),2)*BB1332),2)+ROUND((ROUND(((AE1332-((EU1332*1.25)))*AV1332*1),2)*BS1332),2))</f>
        <v>80.03</v>
      </c>
      <c r="CS1332" s="2">
        <f t="shared" ref="CS1332:CS1355" si="1138">ROUND((ROUND((AE1332*AV1332*1),2)*BS1332),2)</f>
        <v>18.91</v>
      </c>
      <c r="CT1332" s="2">
        <f t="shared" ref="CT1332:CT1355" si="1139">ROUND((ROUND((AF1332*AV1332*1),2)*BA1332),2)</f>
        <v>522.77</v>
      </c>
      <c r="CU1332" s="2">
        <f t="shared" ref="CU1332:CU1355" si="1140">AG1332</f>
        <v>0</v>
      </c>
      <c r="CV1332" s="2">
        <f t="shared" ref="CV1332:CV1355" si="1141">(AH1332*AV1332)</f>
        <v>43.93</v>
      </c>
      <c r="CW1332" s="2">
        <f t="shared" ref="CW1332:CW1355" si="1142">AI1332</f>
        <v>0</v>
      </c>
      <c r="CX1332" s="2">
        <f t="shared" ref="CX1332:CX1355" si="1143">AJ1332</f>
        <v>0</v>
      </c>
      <c r="CY1332" s="2">
        <f>((S1332*BZ1332)/100)</f>
        <v>0.48879999999999996</v>
      </c>
      <c r="CZ1332" s="2">
        <f>((S1332*CA1332)/100)</f>
        <v>0.32899999999999996</v>
      </c>
      <c r="DA1332" s="2"/>
      <c r="DB1332" s="2"/>
      <c r="DC1332" s="2" t="s">
        <v>3</v>
      </c>
      <c r="DD1332" s="2" t="s">
        <v>3</v>
      </c>
      <c r="DE1332" s="2" t="s">
        <v>86</v>
      </c>
      <c r="DF1332" s="2" t="s">
        <v>86</v>
      </c>
      <c r="DG1332" s="2" t="s">
        <v>87</v>
      </c>
      <c r="DH1332" s="2" t="s">
        <v>3</v>
      </c>
      <c r="DI1332" s="2" t="s">
        <v>87</v>
      </c>
      <c r="DJ1332" s="2" t="s">
        <v>86</v>
      </c>
      <c r="DK1332" s="2" t="s">
        <v>3</v>
      </c>
      <c r="DL1332" s="2" t="s">
        <v>3</v>
      </c>
      <c r="DM1332" s="2" t="s">
        <v>3</v>
      </c>
      <c r="DN1332" s="2">
        <v>0</v>
      </c>
      <c r="DO1332" s="2">
        <v>0</v>
      </c>
      <c r="DP1332" s="2">
        <v>1</v>
      </c>
      <c r="DQ1332" s="2">
        <v>1</v>
      </c>
      <c r="DR1332" s="2"/>
      <c r="DS1332" s="2"/>
      <c r="DT1332" s="2"/>
      <c r="DU1332" s="2">
        <v>1013</v>
      </c>
      <c r="DV1332" s="2" t="s">
        <v>107</v>
      </c>
      <c r="DW1332" s="2" t="s">
        <v>107</v>
      </c>
      <c r="DX1332" s="2">
        <v>1</v>
      </c>
      <c r="DY1332" s="2"/>
      <c r="DZ1332" s="2" t="s">
        <v>3</v>
      </c>
      <c r="EA1332" s="2" t="s">
        <v>3</v>
      </c>
      <c r="EB1332" s="2" t="s">
        <v>3</v>
      </c>
      <c r="EC1332" s="2" t="s">
        <v>3</v>
      </c>
      <c r="ED1332" s="2"/>
      <c r="EE1332" s="2">
        <v>126051552</v>
      </c>
      <c r="EF1332" s="2">
        <v>30</v>
      </c>
      <c r="EG1332" s="2" t="s">
        <v>23</v>
      </c>
      <c r="EH1332" s="2">
        <v>0</v>
      </c>
      <c r="EI1332" s="2" t="s">
        <v>3</v>
      </c>
      <c r="EJ1332" s="2">
        <v>1</v>
      </c>
      <c r="EK1332" s="2">
        <v>91</v>
      </c>
      <c r="EL1332" s="2" t="s">
        <v>1009</v>
      </c>
      <c r="EM1332" s="2" t="s">
        <v>1010</v>
      </c>
      <c r="EN1332" s="2"/>
      <c r="EO1332" s="2" t="s">
        <v>90</v>
      </c>
      <c r="EP1332" s="2"/>
      <c r="EQ1332" s="2">
        <v>131072</v>
      </c>
      <c r="ER1332" s="2">
        <v>519.58000000000004</v>
      </c>
      <c r="ES1332" s="2">
        <v>0.98</v>
      </c>
      <c r="ET1332" s="2">
        <v>64.02</v>
      </c>
      <c r="EU1332" s="2">
        <v>15.13</v>
      </c>
      <c r="EV1332" s="2">
        <v>454.58</v>
      </c>
      <c r="EW1332" s="2">
        <v>38.200000000000003</v>
      </c>
      <c r="EX1332" s="2">
        <v>0</v>
      </c>
      <c r="EY1332" s="2">
        <v>0</v>
      </c>
      <c r="EZ1332" s="2"/>
      <c r="FA1332" s="2"/>
      <c r="FB1332" s="2"/>
      <c r="FC1332" s="2"/>
      <c r="FD1332" s="2"/>
      <c r="FE1332" s="2"/>
      <c r="FF1332" s="2"/>
      <c r="FG1332" s="2"/>
      <c r="FH1332" s="2"/>
      <c r="FI1332" s="2"/>
      <c r="FJ1332" s="2"/>
      <c r="FK1332" s="2"/>
      <c r="FL1332" s="2"/>
      <c r="FM1332" s="2"/>
      <c r="FN1332" s="2"/>
      <c r="FO1332" s="2"/>
      <c r="FP1332" s="2"/>
      <c r="FQ1332" s="2">
        <v>0</v>
      </c>
      <c r="FR1332" s="2">
        <f t="shared" ref="FR1332:FR1355" si="1144">ROUND(IF(AND(BH1332=3,BI1332=3),P1332,0),2)</f>
        <v>0</v>
      </c>
      <c r="FS1332" s="2">
        <v>0</v>
      </c>
      <c r="FT1332" s="2"/>
      <c r="FU1332" s="2"/>
      <c r="FV1332" s="2"/>
      <c r="FW1332" s="2"/>
      <c r="FX1332" s="2">
        <v>104</v>
      </c>
      <c r="FY1332" s="2">
        <v>70</v>
      </c>
      <c r="FZ1332" s="2"/>
      <c r="GA1332" s="2" t="s">
        <v>3</v>
      </c>
      <c r="GB1332" s="2"/>
      <c r="GC1332" s="2"/>
      <c r="GD1332" s="2">
        <v>0</v>
      </c>
      <c r="GE1332" s="2"/>
      <c r="GF1332" s="2">
        <v>-1994218097</v>
      </c>
      <c r="GG1332" s="2">
        <v>2</v>
      </c>
      <c r="GH1332" s="2">
        <v>1</v>
      </c>
      <c r="GI1332" s="2">
        <v>-2</v>
      </c>
      <c r="GJ1332" s="2">
        <v>0</v>
      </c>
      <c r="GK1332" s="2">
        <f>ROUND(R1332*(R12)/100,2)</f>
        <v>0.04</v>
      </c>
      <c r="GL1332" s="2">
        <f t="shared" ref="GL1332:GL1355" si="1145">ROUND(IF(AND(BH1332=3,BI1332=3,FS1332&lt;&gt;0),P1332,0),2)</f>
        <v>0</v>
      </c>
      <c r="GM1332" s="2">
        <f t="shared" ref="GM1332:GM1355" si="1146">ROUND(O1332+X1332+Y1332+GK1332,2)+GX1332</f>
        <v>1.4</v>
      </c>
      <c r="GN1332" s="2">
        <f t="shared" ref="GN1332:GN1355" si="1147">IF(OR(BI1332=0,BI1332=1),ROUND(O1332+X1332+Y1332+GK1332,2),0)</f>
        <v>1.4</v>
      </c>
      <c r="GO1332" s="2">
        <f t="shared" ref="GO1332:GO1355" si="1148">IF(BI1332=2,ROUND(O1332+X1332+Y1332+GK1332,2),0)</f>
        <v>0</v>
      </c>
      <c r="GP1332" s="2">
        <f t="shared" ref="GP1332:GP1355" si="1149">IF(BI1332=4,ROUND(O1332+X1332+Y1332+GK1332,2)+GX1332,0)</f>
        <v>0</v>
      </c>
      <c r="GQ1332" s="2"/>
      <c r="GR1332" s="2">
        <v>0</v>
      </c>
      <c r="GS1332" s="2">
        <v>0</v>
      </c>
      <c r="GT1332" s="2">
        <v>0</v>
      </c>
      <c r="GU1332" s="2" t="s">
        <v>3</v>
      </c>
      <c r="GV1332" s="2">
        <f t="shared" ref="GV1332:GV1355" si="1150">ROUND((GT1332),6)</f>
        <v>0</v>
      </c>
      <c r="GW1332" s="2">
        <v>1</v>
      </c>
      <c r="GX1332" s="2">
        <f t="shared" ref="GX1332:GX1355" si="1151">ROUND(HC1332*I1332,2)</f>
        <v>0</v>
      </c>
      <c r="GY1332" s="2"/>
      <c r="GZ1332" s="2"/>
      <c r="HA1332" s="2">
        <v>0</v>
      </c>
      <c r="HB1332" s="2">
        <v>0</v>
      </c>
      <c r="HC1332" s="2">
        <f t="shared" ref="HC1332:HC1355" si="1152">GV1332*GW1332</f>
        <v>0</v>
      </c>
      <c r="HD1332" s="2"/>
      <c r="HE1332" s="2" t="s">
        <v>3</v>
      </c>
      <c r="HF1332" s="2" t="s">
        <v>3</v>
      </c>
      <c r="HG1332" s="2"/>
      <c r="HH1332" s="2"/>
      <c r="HI1332" s="2"/>
      <c r="HJ1332" s="2"/>
      <c r="HK1332" s="2"/>
      <c r="HL1332" s="2"/>
      <c r="HM1332" s="2" t="s">
        <v>3</v>
      </c>
      <c r="HN1332" s="2" t="s">
        <v>3</v>
      </c>
      <c r="HO1332" s="2" t="s">
        <v>3</v>
      </c>
      <c r="HP1332" s="2" t="s">
        <v>3</v>
      </c>
      <c r="HQ1332" s="2" t="s">
        <v>3</v>
      </c>
      <c r="HR1332" s="2"/>
      <c r="HS1332" s="2"/>
      <c r="HT1332" s="2"/>
      <c r="HU1332" s="2"/>
      <c r="HV1332" s="2"/>
      <c r="HW1332" s="2"/>
      <c r="HX1332" s="2"/>
      <c r="HY1332" s="2"/>
      <c r="HZ1332" s="2"/>
      <c r="IA1332" s="2"/>
      <c r="IB1332" s="2"/>
      <c r="IC1332" s="2"/>
      <c r="ID1332" s="2"/>
      <c r="IE1332" s="2"/>
      <c r="IF1332" s="2"/>
      <c r="IG1332" s="2"/>
      <c r="IH1332" s="2"/>
      <c r="II1332" s="2"/>
      <c r="IJ1332" s="2"/>
      <c r="IK1332" s="2">
        <v>0</v>
      </c>
      <c r="IL1332" s="2"/>
      <c r="IM1332" s="2"/>
      <c r="IN1332" s="2"/>
      <c r="IO1332" s="2"/>
      <c r="IP1332" s="2"/>
      <c r="IQ1332" s="2"/>
      <c r="IR1332" s="2"/>
      <c r="IS1332" s="2"/>
      <c r="IT1332" s="2"/>
      <c r="IU1332" s="2"/>
    </row>
    <row r="1333" spans="1:255" x14ac:dyDescent="0.2">
      <c r="A1333">
        <v>17</v>
      </c>
      <c r="B1333">
        <v>1</v>
      </c>
      <c r="C1333">
        <f>ROW(SmtRes!A1084)</f>
        <v>1084</v>
      </c>
      <c r="D1333">
        <f>ROW(EtalonRes!A1038)</f>
        <v>1038</v>
      </c>
      <c r="E1333" t="s">
        <v>18</v>
      </c>
      <c r="F1333" t="s">
        <v>1006</v>
      </c>
      <c r="G1333" t="s">
        <v>1007</v>
      </c>
      <c r="H1333" t="s">
        <v>107</v>
      </c>
      <c r="I1333">
        <v>8.9999999999999998E-4</v>
      </c>
      <c r="J1333">
        <v>0</v>
      </c>
      <c r="K1333">
        <v>8.9999999999999998E-4</v>
      </c>
      <c r="O1333">
        <f t="shared" si="1122"/>
        <v>14.58</v>
      </c>
      <c r="P1333">
        <f t="shared" si="1123"/>
        <v>0</v>
      </c>
      <c r="Q1333">
        <f>(ROUND((ROUND((((ET1333*1.25))*AV1333*I1333),2)*BB1333),2)+ROUND((ROUND(((AE1333-((EU1333*1.25)))*AV1333*I1333),2)*BS1333),2))</f>
        <v>0.94</v>
      </c>
      <c r="R1333">
        <f t="shared" si="1124"/>
        <v>0.57999999999999996</v>
      </c>
      <c r="S1333">
        <f t="shared" si="1125"/>
        <v>13.64</v>
      </c>
      <c r="T1333">
        <f t="shared" si="1126"/>
        <v>0</v>
      </c>
      <c r="U1333">
        <f t="shared" si="1127"/>
        <v>3.9536999999999996E-2</v>
      </c>
      <c r="V1333">
        <f t="shared" si="1128"/>
        <v>0</v>
      </c>
      <c r="W1333">
        <f t="shared" si="1129"/>
        <v>0</v>
      </c>
      <c r="X1333">
        <f t="shared" si="1130"/>
        <v>11.87</v>
      </c>
      <c r="Y1333">
        <f t="shared" si="1131"/>
        <v>5.59</v>
      </c>
      <c r="AA1333">
        <v>129761633</v>
      </c>
      <c r="AB1333">
        <f t="shared" si="1132"/>
        <v>603.77200000000005</v>
      </c>
      <c r="AC1333">
        <f t="shared" si="1133"/>
        <v>0.98</v>
      </c>
      <c r="AD1333">
        <f>ROUND(((((ET1333*1.25))-((EU1333*1.25)))+AE1333),6)</f>
        <v>80.025000000000006</v>
      </c>
      <c r="AE1333">
        <f>ROUND(((EU1333*1.25)),6)</f>
        <v>18.912500000000001</v>
      </c>
      <c r="AF1333">
        <f>ROUND(((EV1333*1.15)),6)</f>
        <v>522.76700000000005</v>
      </c>
      <c r="AG1333">
        <f t="shared" si="1134"/>
        <v>0</v>
      </c>
      <c r="AH1333">
        <f>((EW1333*1.15))</f>
        <v>43.93</v>
      </c>
      <c r="AI1333">
        <f>((EX1333*1.25))</f>
        <v>0</v>
      </c>
      <c r="AJ1333">
        <f t="shared" si="1135"/>
        <v>0</v>
      </c>
      <c r="AK1333">
        <v>519.58000000000004</v>
      </c>
      <c r="AL1333">
        <v>0.98</v>
      </c>
      <c r="AM1333">
        <v>64.02</v>
      </c>
      <c r="AN1333">
        <v>15.13</v>
      </c>
      <c r="AO1333">
        <v>454.58</v>
      </c>
      <c r="AP1333">
        <v>0</v>
      </c>
      <c r="AQ1333">
        <v>38.200000000000003</v>
      </c>
      <c r="AR1333">
        <v>0</v>
      </c>
      <c r="AS1333">
        <v>0</v>
      </c>
      <c r="AT1333">
        <v>87</v>
      </c>
      <c r="AU1333">
        <v>41</v>
      </c>
      <c r="AV1333">
        <v>1</v>
      </c>
      <c r="AW1333">
        <v>1</v>
      </c>
      <c r="AZ1333">
        <v>1</v>
      </c>
      <c r="BA1333">
        <v>29.03</v>
      </c>
      <c r="BB1333">
        <v>13.44</v>
      </c>
      <c r="BC1333">
        <v>8.8699999999999992</v>
      </c>
      <c r="BD1333" t="s">
        <v>3</v>
      </c>
      <c r="BE1333" t="s">
        <v>3</v>
      </c>
      <c r="BF1333" t="s">
        <v>3</v>
      </c>
      <c r="BG1333" t="s">
        <v>3</v>
      </c>
      <c r="BH1333">
        <v>0</v>
      </c>
      <c r="BI1333">
        <v>1</v>
      </c>
      <c r="BJ1333" t="s">
        <v>1008</v>
      </c>
      <c r="BM1333">
        <v>91</v>
      </c>
      <c r="BN1333">
        <v>0</v>
      </c>
      <c r="BO1333" t="s">
        <v>1006</v>
      </c>
      <c r="BP1333">
        <v>1</v>
      </c>
      <c r="BQ1333">
        <v>30</v>
      </c>
      <c r="BR1333">
        <v>0</v>
      </c>
      <c r="BS1333">
        <v>29.03</v>
      </c>
      <c r="BT1333">
        <v>1</v>
      </c>
      <c r="BU1333">
        <v>1</v>
      </c>
      <c r="BV1333">
        <v>1</v>
      </c>
      <c r="BW1333">
        <v>1</v>
      </c>
      <c r="BX1333">
        <v>1</v>
      </c>
      <c r="BY1333" t="s">
        <v>3</v>
      </c>
      <c r="BZ1333">
        <v>87</v>
      </c>
      <c r="CA1333">
        <v>41</v>
      </c>
      <c r="CB1333" t="s">
        <v>3</v>
      </c>
      <c r="CE1333">
        <v>30</v>
      </c>
      <c r="CF1333">
        <v>0</v>
      </c>
      <c r="CG1333">
        <v>0</v>
      </c>
      <c r="CM1333">
        <v>0</v>
      </c>
      <c r="CN1333" t="s">
        <v>1559</v>
      </c>
      <c r="CO1333">
        <v>0</v>
      </c>
      <c r="CP1333">
        <f t="shared" si="1136"/>
        <v>14.58</v>
      </c>
      <c r="CQ1333">
        <f t="shared" si="1137"/>
        <v>8.69</v>
      </c>
      <c r="CR1333">
        <f>(ROUND((ROUND((((ET1333*1.25))*AV1333*1),2)*BB1333),2)+ROUND((ROUND(((AE1333-((EU1333*1.25)))*AV1333*1),2)*BS1333),2))</f>
        <v>1075.5999999999999</v>
      </c>
      <c r="CS1333">
        <f t="shared" si="1138"/>
        <v>548.96</v>
      </c>
      <c r="CT1333">
        <f t="shared" si="1139"/>
        <v>15176.01</v>
      </c>
      <c r="CU1333">
        <f t="shared" si="1140"/>
        <v>0</v>
      </c>
      <c r="CV1333">
        <f t="shared" si="1141"/>
        <v>43.93</v>
      </c>
      <c r="CW1333">
        <f t="shared" si="1142"/>
        <v>0</v>
      </c>
      <c r="CX1333">
        <f t="shared" si="1143"/>
        <v>0</v>
      </c>
      <c r="CY1333">
        <f>S1333*(BZ1333/100)</f>
        <v>11.8668</v>
      </c>
      <c r="CZ1333">
        <f>S1333*(CA1333/100)</f>
        <v>5.5923999999999996</v>
      </c>
      <c r="DC1333" t="s">
        <v>3</v>
      </c>
      <c r="DD1333" t="s">
        <v>3</v>
      </c>
      <c r="DE1333" t="s">
        <v>86</v>
      </c>
      <c r="DF1333" t="s">
        <v>86</v>
      </c>
      <c r="DG1333" t="s">
        <v>87</v>
      </c>
      <c r="DH1333" t="s">
        <v>3</v>
      </c>
      <c r="DI1333" t="s">
        <v>87</v>
      </c>
      <c r="DJ1333" t="s">
        <v>86</v>
      </c>
      <c r="DK1333" t="s">
        <v>3</v>
      </c>
      <c r="DL1333" t="s">
        <v>3</v>
      </c>
      <c r="DM1333" t="s">
        <v>3</v>
      </c>
      <c r="DN1333">
        <v>104</v>
      </c>
      <c r="DO1333">
        <v>70</v>
      </c>
      <c r="DP1333">
        <v>1</v>
      </c>
      <c r="DQ1333">
        <v>1</v>
      </c>
      <c r="DU1333">
        <v>1013</v>
      </c>
      <c r="DV1333" t="s">
        <v>107</v>
      </c>
      <c r="DW1333" t="s">
        <v>107</v>
      </c>
      <c r="DX1333">
        <v>1</v>
      </c>
      <c r="DZ1333" t="s">
        <v>3</v>
      </c>
      <c r="EA1333" t="s">
        <v>3</v>
      </c>
      <c r="EB1333" t="s">
        <v>3</v>
      </c>
      <c r="EC1333" t="s">
        <v>3</v>
      </c>
      <c r="EE1333">
        <v>126051552</v>
      </c>
      <c r="EF1333">
        <v>30</v>
      </c>
      <c r="EG1333" t="s">
        <v>23</v>
      </c>
      <c r="EH1333">
        <v>0</v>
      </c>
      <c r="EI1333" t="s">
        <v>3</v>
      </c>
      <c r="EJ1333">
        <v>1</v>
      </c>
      <c r="EK1333">
        <v>91</v>
      </c>
      <c r="EL1333" t="s">
        <v>1009</v>
      </c>
      <c r="EM1333" t="s">
        <v>1010</v>
      </c>
      <c r="EO1333" t="s">
        <v>90</v>
      </c>
      <c r="EQ1333">
        <v>131072</v>
      </c>
      <c r="ER1333">
        <v>519.58000000000004</v>
      </c>
      <c r="ES1333">
        <v>0.98</v>
      </c>
      <c r="ET1333">
        <v>64.02</v>
      </c>
      <c r="EU1333">
        <v>15.13</v>
      </c>
      <c r="EV1333">
        <v>454.58</v>
      </c>
      <c r="EW1333">
        <v>38.200000000000003</v>
      </c>
      <c r="EX1333">
        <v>0</v>
      </c>
      <c r="EY1333">
        <v>0</v>
      </c>
      <c r="FQ1333">
        <v>0</v>
      </c>
      <c r="FR1333">
        <f t="shared" si="1144"/>
        <v>0</v>
      </c>
      <c r="FS1333">
        <v>0</v>
      </c>
      <c r="FX1333">
        <v>104</v>
      </c>
      <c r="FY1333">
        <v>70</v>
      </c>
      <c r="GA1333" t="s">
        <v>3</v>
      </c>
      <c r="GD1333">
        <v>0</v>
      </c>
      <c r="GF1333">
        <v>-1994218097</v>
      </c>
      <c r="GG1333">
        <v>2</v>
      </c>
      <c r="GH1333">
        <v>1</v>
      </c>
      <c r="GI1333">
        <v>2</v>
      </c>
      <c r="GJ1333">
        <v>0</v>
      </c>
      <c r="GK1333">
        <f>ROUND(R1333*(S12)/100,2)</f>
        <v>0.93</v>
      </c>
      <c r="GL1333">
        <f t="shared" si="1145"/>
        <v>0</v>
      </c>
      <c r="GM1333">
        <f t="shared" si="1146"/>
        <v>32.97</v>
      </c>
      <c r="GN1333">
        <f t="shared" si="1147"/>
        <v>32.97</v>
      </c>
      <c r="GO1333">
        <f t="shared" si="1148"/>
        <v>0</v>
      </c>
      <c r="GP1333">
        <f t="shared" si="1149"/>
        <v>0</v>
      </c>
      <c r="GR1333">
        <v>0</v>
      </c>
      <c r="GS1333">
        <v>3</v>
      </c>
      <c r="GT1333">
        <v>0</v>
      </c>
      <c r="GU1333" t="s">
        <v>3</v>
      </c>
      <c r="GV1333">
        <f t="shared" si="1150"/>
        <v>0</v>
      </c>
      <c r="GW1333">
        <v>1</v>
      </c>
      <c r="GX1333">
        <f t="shared" si="1151"/>
        <v>0</v>
      </c>
      <c r="HA1333">
        <v>0</v>
      </c>
      <c r="HB1333">
        <v>0</v>
      </c>
      <c r="HC1333">
        <f t="shared" si="1152"/>
        <v>0</v>
      </c>
      <c r="HE1333" t="s">
        <v>3</v>
      </c>
      <c r="HF1333" t="s">
        <v>3</v>
      </c>
      <c r="HM1333" t="s">
        <v>3</v>
      </c>
      <c r="HN1333" t="s">
        <v>3</v>
      </c>
      <c r="HO1333" t="s">
        <v>3</v>
      </c>
      <c r="HP1333" t="s">
        <v>3</v>
      </c>
      <c r="HQ1333" t="s">
        <v>3</v>
      </c>
      <c r="IK1333">
        <v>0</v>
      </c>
    </row>
    <row r="1334" spans="1:255" x14ac:dyDescent="0.2">
      <c r="A1334" s="2">
        <v>18</v>
      </c>
      <c r="B1334" s="2">
        <v>1</v>
      </c>
      <c r="C1334" s="2">
        <v>1077</v>
      </c>
      <c r="D1334" s="2"/>
      <c r="E1334" s="2" t="s">
        <v>509</v>
      </c>
      <c r="F1334" s="2" t="s">
        <v>1011</v>
      </c>
      <c r="G1334" s="2" t="s">
        <v>1012</v>
      </c>
      <c r="H1334" s="2" t="s">
        <v>114</v>
      </c>
      <c r="I1334" s="2">
        <f>I1332*J1334</f>
        <v>4.1999999999999998E-5</v>
      </c>
      <c r="J1334" s="2">
        <v>4.6666666666666669E-2</v>
      </c>
      <c r="K1334" s="2">
        <v>4.6300000000000001E-2</v>
      </c>
      <c r="L1334" s="2"/>
      <c r="M1334" s="2"/>
      <c r="N1334" s="2"/>
      <c r="O1334" s="2">
        <f t="shared" si="1122"/>
        <v>1.82</v>
      </c>
      <c r="P1334" s="2">
        <f t="shared" si="1123"/>
        <v>1.82</v>
      </c>
      <c r="Q1334" s="2">
        <f>(ROUND((ROUND(((ET1334)*AV1334*I1334),2)*BB1334),2)+ROUND((ROUND(((AE1334-(EU1334))*AV1334*I1334),2)*BS1334),2))</f>
        <v>0</v>
      </c>
      <c r="R1334" s="2">
        <f t="shared" si="1124"/>
        <v>0</v>
      </c>
      <c r="S1334" s="2">
        <f t="shared" si="1125"/>
        <v>0</v>
      </c>
      <c r="T1334" s="2">
        <f t="shared" si="1126"/>
        <v>0</v>
      </c>
      <c r="U1334" s="2">
        <f t="shared" si="1127"/>
        <v>0</v>
      </c>
      <c r="V1334" s="2">
        <f t="shared" si="1128"/>
        <v>0</v>
      </c>
      <c r="W1334" s="2">
        <f t="shared" si="1129"/>
        <v>0</v>
      </c>
      <c r="X1334" s="2">
        <f t="shared" si="1130"/>
        <v>0</v>
      </c>
      <c r="Y1334" s="2">
        <f t="shared" si="1131"/>
        <v>0</v>
      </c>
      <c r="Z1334" s="2"/>
      <c r="AA1334" s="2">
        <v>129761636</v>
      </c>
      <c r="AB1334" s="2">
        <f t="shared" si="1132"/>
        <v>43326.77</v>
      </c>
      <c r="AC1334" s="2">
        <f t="shared" si="1133"/>
        <v>43326.77</v>
      </c>
      <c r="AD1334" s="2">
        <f>ROUND((((ET1334)-(EU1334))+AE1334),6)</f>
        <v>0</v>
      </c>
      <c r="AE1334" s="2">
        <f t="shared" ref="AE1334:AF1337" si="1153">ROUND((EU1334),6)</f>
        <v>0</v>
      </c>
      <c r="AF1334" s="2">
        <f t="shared" si="1153"/>
        <v>0</v>
      </c>
      <c r="AG1334" s="2">
        <f t="shared" si="1134"/>
        <v>0</v>
      </c>
      <c r="AH1334" s="2">
        <f t="shared" ref="AH1334:AI1337" si="1154">(EW1334)</f>
        <v>0</v>
      </c>
      <c r="AI1334" s="2">
        <f t="shared" si="1154"/>
        <v>0</v>
      </c>
      <c r="AJ1334" s="2">
        <f t="shared" si="1135"/>
        <v>0</v>
      </c>
      <c r="AK1334" s="2">
        <v>43326.77</v>
      </c>
      <c r="AL1334" s="2">
        <v>43326.77</v>
      </c>
      <c r="AM1334" s="2">
        <v>0</v>
      </c>
      <c r="AN1334" s="2">
        <v>0</v>
      </c>
      <c r="AO1334" s="2">
        <v>0</v>
      </c>
      <c r="AP1334" s="2">
        <v>0</v>
      </c>
      <c r="AQ1334" s="2">
        <v>0</v>
      </c>
      <c r="AR1334" s="2">
        <v>0</v>
      </c>
      <c r="AS1334" s="2">
        <v>0</v>
      </c>
      <c r="AT1334" s="2">
        <v>104</v>
      </c>
      <c r="AU1334" s="2">
        <v>70</v>
      </c>
      <c r="AV1334" s="2">
        <v>1</v>
      </c>
      <c r="AW1334" s="2">
        <v>1</v>
      </c>
      <c r="AX1334" s="2"/>
      <c r="AY1334" s="2"/>
      <c r="AZ1334" s="2">
        <v>1</v>
      </c>
      <c r="BA1334" s="2">
        <v>1</v>
      </c>
      <c r="BB1334" s="2">
        <v>1</v>
      </c>
      <c r="BC1334" s="2">
        <v>1</v>
      </c>
      <c r="BD1334" s="2" t="s">
        <v>3</v>
      </c>
      <c r="BE1334" s="2" t="s">
        <v>3</v>
      </c>
      <c r="BF1334" s="2" t="s">
        <v>3</v>
      </c>
      <c r="BG1334" s="2" t="s">
        <v>3</v>
      </c>
      <c r="BH1334" s="2">
        <v>3</v>
      </c>
      <c r="BI1334" s="2">
        <v>1</v>
      </c>
      <c r="BJ1334" s="2" t="s">
        <v>1013</v>
      </c>
      <c r="BK1334" s="2"/>
      <c r="BL1334" s="2"/>
      <c r="BM1334" s="2">
        <v>91</v>
      </c>
      <c r="BN1334" s="2">
        <v>0</v>
      </c>
      <c r="BO1334" s="2" t="s">
        <v>3</v>
      </c>
      <c r="BP1334" s="2">
        <v>0</v>
      </c>
      <c r="BQ1334" s="2">
        <v>30</v>
      </c>
      <c r="BR1334" s="2">
        <v>0</v>
      </c>
      <c r="BS1334" s="2">
        <v>1</v>
      </c>
      <c r="BT1334" s="2">
        <v>1</v>
      </c>
      <c r="BU1334" s="2">
        <v>1</v>
      </c>
      <c r="BV1334" s="2">
        <v>1</v>
      </c>
      <c r="BW1334" s="2">
        <v>1</v>
      </c>
      <c r="BX1334" s="2">
        <v>1</v>
      </c>
      <c r="BY1334" s="2" t="s">
        <v>3</v>
      </c>
      <c r="BZ1334" s="2">
        <v>104</v>
      </c>
      <c r="CA1334" s="2">
        <v>70</v>
      </c>
      <c r="CB1334" s="2" t="s">
        <v>3</v>
      </c>
      <c r="CC1334" s="2"/>
      <c r="CD1334" s="2"/>
      <c r="CE1334" s="2">
        <v>30</v>
      </c>
      <c r="CF1334" s="2">
        <v>0</v>
      </c>
      <c r="CG1334" s="2">
        <v>0</v>
      </c>
      <c r="CH1334" s="2"/>
      <c r="CI1334" s="2"/>
      <c r="CJ1334" s="2"/>
      <c r="CK1334" s="2"/>
      <c r="CL1334" s="2"/>
      <c r="CM1334" s="2">
        <v>0</v>
      </c>
      <c r="CN1334" s="2" t="s">
        <v>3</v>
      </c>
      <c r="CO1334" s="2">
        <v>0</v>
      </c>
      <c r="CP1334" s="2">
        <f t="shared" si="1136"/>
        <v>1.82</v>
      </c>
      <c r="CQ1334" s="2">
        <f t="shared" si="1137"/>
        <v>43326.77</v>
      </c>
      <c r="CR1334" s="2">
        <f>(ROUND((ROUND(((ET1334)*AV1334*1),2)*BB1334),2)+ROUND((ROUND(((AE1334-(EU1334))*AV1334*1),2)*BS1334),2))</f>
        <v>0</v>
      </c>
      <c r="CS1334" s="2">
        <f t="shared" si="1138"/>
        <v>0</v>
      </c>
      <c r="CT1334" s="2">
        <f t="shared" si="1139"/>
        <v>0</v>
      </c>
      <c r="CU1334" s="2">
        <f t="shared" si="1140"/>
        <v>0</v>
      </c>
      <c r="CV1334" s="2">
        <f t="shared" si="1141"/>
        <v>0</v>
      </c>
      <c r="CW1334" s="2">
        <f t="shared" si="1142"/>
        <v>0</v>
      </c>
      <c r="CX1334" s="2">
        <f t="shared" si="1143"/>
        <v>0</v>
      </c>
      <c r="CY1334" s="2">
        <f>((S1334*BZ1334)/100)</f>
        <v>0</v>
      </c>
      <c r="CZ1334" s="2">
        <f>((S1334*CA1334)/100)</f>
        <v>0</v>
      </c>
      <c r="DA1334" s="2"/>
      <c r="DB1334" s="2"/>
      <c r="DC1334" s="2" t="s">
        <v>3</v>
      </c>
      <c r="DD1334" s="2" t="s">
        <v>3</v>
      </c>
      <c r="DE1334" s="2" t="s">
        <v>3</v>
      </c>
      <c r="DF1334" s="2" t="s">
        <v>3</v>
      </c>
      <c r="DG1334" s="2" t="s">
        <v>3</v>
      </c>
      <c r="DH1334" s="2" t="s">
        <v>3</v>
      </c>
      <c r="DI1334" s="2" t="s">
        <v>3</v>
      </c>
      <c r="DJ1334" s="2" t="s">
        <v>3</v>
      </c>
      <c r="DK1334" s="2" t="s">
        <v>3</v>
      </c>
      <c r="DL1334" s="2" t="s">
        <v>3</v>
      </c>
      <c r="DM1334" s="2" t="s">
        <v>3</v>
      </c>
      <c r="DN1334" s="2">
        <v>0</v>
      </c>
      <c r="DO1334" s="2">
        <v>0</v>
      </c>
      <c r="DP1334" s="2">
        <v>1</v>
      </c>
      <c r="DQ1334" s="2">
        <v>1</v>
      </c>
      <c r="DR1334" s="2"/>
      <c r="DS1334" s="2"/>
      <c r="DT1334" s="2"/>
      <c r="DU1334" s="2">
        <v>1009</v>
      </c>
      <c r="DV1334" s="2" t="s">
        <v>114</v>
      </c>
      <c r="DW1334" s="2" t="s">
        <v>114</v>
      </c>
      <c r="DX1334" s="2">
        <v>1000</v>
      </c>
      <c r="DY1334" s="2"/>
      <c r="DZ1334" s="2" t="s">
        <v>3</v>
      </c>
      <c r="EA1334" s="2" t="s">
        <v>3</v>
      </c>
      <c r="EB1334" s="2" t="s">
        <v>3</v>
      </c>
      <c r="EC1334" s="2" t="s">
        <v>3</v>
      </c>
      <c r="ED1334" s="2"/>
      <c r="EE1334" s="2">
        <v>126051552</v>
      </c>
      <c r="EF1334" s="2">
        <v>30</v>
      </c>
      <c r="EG1334" s="2" t="s">
        <v>23</v>
      </c>
      <c r="EH1334" s="2">
        <v>0</v>
      </c>
      <c r="EI1334" s="2" t="s">
        <v>3</v>
      </c>
      <c r="EJ1334" s="2">
        <v>1</v>
      </c>
      <c r="EK1334" s="2">
        <v>91</v>
      </c>
      <c r="EL1334" s="2" t="s">
        <v>1009</v>
      </c>
      <c r="EM1334" s="2" t="s">
        <v>1010</v>
      </c>
      <c r="EN1334" s="2"/>
      <c r="EO1334" s="2" t="s">
        <v>3</v>
      </c>
      <c r="EP1334" s="2"/>
      <c r="EQ1334" s="2">
        <v>0</v>
      </c>
      <c r="ER1334" s="2">
        <v>43326.77</v>
      </c>
      <c r="ES1334" s="2">
        <v>43326.77</v>
      </c>
      <c r="ET1334" s="2">
        <v>0</v>
      </c>
      <c r="EU1334" s="2">
        <v>0</v>
      </c>
      <c r="EV1334" s="2">
        <v>0</v>
      </c>
      <c r="EW1334" s="2">
        <v>0</v>
      </c>
      <c r="EX1334" s="2">
        <v>0</v>
      </c>
      <c r="EY1334" s="2"/>
      <c r="EZ1334" s="2"/>
      <c r="FA1334" s="2"/>
      <c r="FB1334" s="2"/>
      <c r="FC1334" s="2"/>
      <c r="FD1334" s="2"/>
      <c r="FE1334" s="2"/>
      <c r="FF1334" s="2"/>
      <c r="FG1334" s="2"/>
      <c r="FH1334" s="2"/>
      <c r="FI1334" s="2"/>
      <c r="FJ1334" s="2"/>
      <c r="FK1334" s="2"/>
      <c r="FL1334" s="2"/>
      <c r="FM1334" s="2"/>
      <c r="FN1334" s="2"/>
      <c r="FO1334" s="2"/>
      <c r="FP1334" s="2"/>
      <c r="FQ1334" s="2">
        <v>0</v>
      </c>
      <c r="FR1334" s="2">
        <f t="shared" si="1144"/>
        <v>0</v>
      </c>
      <c r="FS1334" s="2">
        <v>0</v>
      </c>
      <c r="FT1334" s="2"/>
      <c r="FU1334" s="2"/>
      <c r="FV1334" s="2"/>
      <c r="FW1334" s="2"/>
      <c r="FX1334" s="2">
        <v>104</v>
      </c>
      <c r="FY1334" s="2">
        <v>70</v>
      </c>
      <c r="FZ1334" s="2"/>
      <c r="GA1334" s="2" t="s">
        <v>3</v>
      </c>
      <c r="GB1334" s="2"/>
      <c r="GC1334" s="2"/>
      <c r="GD1334" s="2">
        <v>0</v>
      </c>
      <c r="GE1334" s="2"/>
      <c r="GF1334" s="2">
        <v>1030234511</v>
      </c>
      <c r="GG1334" s="2">
        <v>2</v>
      </c>
      <c r="GH1334" s="2">
        <v>1</v>
      </c>
      <c r="GI1334" s="2">
        <v>-2</v>
      </c>
      <c r="GJ1334" s="2">
        <v>0</v>
      </c>
      <c r="GK1334" s="2">
        <f>ROUND(R1334*(R12)/100,2)</f>
        <v>0</v>
      </c>
      <c r="GL1334" s="2">
        <f t="shared" si="1145"/>
        <v>0</v>
      </c>
      <c r="GM1334" s="2">
        <f t="shared" si="1146"/>
        <v>1.82</v>
      </c>
      <c r="GN1334" s="2">
        <f t="shared" si="1147"/>
        <v>1.82</v>
      </c>
      <c r="GO1334" s="2">
        <f t="shared" si="1148"/>
        <v>0</v>
      </c>
      <c r="GP1334" s="2">
        <f t="shared" si="1149"/>
        <v>0</v>
      </c>
      <c r="GQ1334" s="2"/>
      <c r="GR1334" s="2">
        <v>0</v>
      </c>
      <c r="GS1334" s="2">
        <v>0</v>
      </c>
      <c r="GT1334" s="2">
        <v>0</v>
      </c>
      <c r="GU1334" s="2" t="s">
        <v>3</v>
      </c>
      <c r="GV1334" s="2">
        <f t="shared" si="1150"/>
        <v>0</v>
      </c>
      <c r="GW1334" s="2">
        <v>1</v>
      </c>
      <c r="GX1334" s="2">
        <f t="shared" si="1151"/>
        <v>0</v>
      </c>
      <c r="GY1334" s="2"/>
      <c r="GZ1334" s="2"/>
      <c r="HA1334" s="2">
        <v>0</v>
      </c>
      <c r="HB1334" s="2">
        <v>0</v>
      </c>
      <c r="HC1334" s="2">
        <f t="shared" si="1152"/>
        <v>0</v>
      </c>
      <c r="HD1334" s="2"/>
      <c r="HE1334" s="2" t="s">
        <v>3</v>
      </c>
      <c r="HF1334" s="2" t="s">
        <v>3</v>
      </c>
      <c r="HG1334" s="2"/>
      <c r="HH1334" s="2"/>
      <c r="HI1334" s="2"/>
      <c r="HJ1334" s="2"/>
      <c r="HK1334" s="2"/>
      <c r="HL1334" s="2"/>
      <c r="HM1334" s="2" t="s">
        <v>3</v>
      </c>
      <c r="HN1334" s="2" t="s">
        <v>3</v>
      </c>
      <c r="HO1334" s="2" t="s">
        <v>3</v>
      </c>
      <c r="HP1334" s="2" t="s">
        <v>3</v>
      </c>
      <c r="HQ1334" s="2" t="s">
        <v>3</v>
      </c>
      <c r="HR1334" s="2"/>
      <c r="HS1334" s="2"/>
      <c r="HT1334" s="2"/>
      <c r="HU1334" s="2"/>
      <c r="HV1334" s="2"/>
      <c r="HW1334" s="2"/>
      <c r="HX1334" s="2"/>
      <c r="HY1334" s="2"/>
      <c r="HZ1334" s="2"/>
      <c r="IA1334" s="2"/>
      <c r="IB1334" s="2"/>
      <c r="IC1334" s="2"/>
      <c r="ID1334" s="2"/>
      <c r="IE1334" s="2"/>
      <c r="IF1334" s="2"/>
      <c r="IG1334" s="2"/>
      <c r="IH1334" s="2"/>
      <c r="II1334" s="2"/>
      <c r="IJ1334" s="2"/>
      <c r="IK1334" s="2">
        <v>0</v>
      </c>
      <c r="IL1334" s="2"/>
      <c r="IM1334" s="2"/>
      <c r="IN1334" s="2"/>
      <c r="IO1334" s="2"/>
      <c r="IP1334" s="2"/>
      <c r="IQ1334" s="2"/>
      <c r="IR1334" s="2"/>
      <c r="IS1334" s="2"/>
      <c r="IT1334" s="2"/>
      <c r="IU1334" s="2"/>
    </row>
    <row r="1335" spans="1:255" x14ac:dyDescent="0.2">
      <c r="A1335">
        <v>18</v>
      </c>
      <c r="B1335">
        <v>1</v>
      </c>
      <c r="C1335">
        <v>1082</v>
      </c>
      <c r="E1335" t="s">
        <v>509</v>
      </c>
      <c r="F1335" t="s">
        <v>1011</v>
      </c>
      <c r="G1335" t="s">
        <v>1012</v>
      </c>
      <c r="H1335" t="s">
        <v>114</v>
      </c>
      <c r="I1335">
        <f>I1333*J1335</f>
        <v>4.1999999999999998E-5</v>
      </c>
      <c r="J1335">
        <v>4.6666666666666669E-2</v>
      </c>
      <c r="K1335">
        <v>4.6300000000000001E-2</v>
      </c>
      <c r="O1335">
        <f t="shared" si="1122"/>
        <v>2.73</v>
      </c>
      <c r="P1335">
        <f t="shared" si="1123"/>
        <v>2.73</v>
      </c>
      <c r="Q1335">
        <f>(ROUND((ROUND(((ET1335)*AV1335*I1335),2)*BB1335),2)+ROUND((ROUND(((AE1335-(EU1335))*AV1335*I1335),2)*BS1335),2))</f>
        <v>0</v>
      </c>
      <c r="R1335">
        <f t="shared" si="1124"/>
        <v>0</v>
      </c>
      <c r="S1335">
        <f t="shared" si="1125"/>
        <v>0</v>
      </c>
      <c r="T1335">
        <f t="shared" si="1126"/>
        <v>0</v>
      </c>
      <c r="U1335">
        <f t="shared" si="1127"/>
        <v>0</v>
      </c>
      <c r="V1335">
        <f t="shared" si="1128"/>
        <v>0</v>
      </c>
      <c r="W1335">
        <f t="shared" si="1129"/>
        <v>0</v>
      </c>
      <c r="X1335">
        <f t="shared" si="1130"/>
        <v>0</v>
      </c>
      <c r="Y1335">
        <f t="shared" si="1131"/>
        <v>0</v>
      </c>
      <c r="AA1335">
        <v>129761633</v>
      </c>
      <c r="AB1335">
        <f t="shared" si="1132"/>
        <v>43326.77</v>
      </c>
      <c r="AC1335">
        <f t="shared" si="1133"/>
        <v>43326.77</v>
      </c>
      <c r="AD1335">
        <f>ROUND((((ET1335)-(EU1335))+AE1335),6)</f>
        <v>0</v>
      </c>
      <c r="AE1335">
        <f t="shared" si="1153"/>
        <v>0</v>
      </c>
      <c r="AF1335">
        <f t="shared" si="1153"/>
        <v>0</v>
      </c>
      <c r="AG1335">
        <f t="shared" si="1134"/>
        <v>0</v>
      </c>
      <c r="AH1335">
        <f t="shared" si="1154"/>
        <v>0</v>
      </c>
      <c r="AI1335">
        <f t="shared" si="1154"/>
        <v>0</v>
      </c>
      <c r="AJ1335">
        <f t="shared" si="1135"/>
        <v>0</v>
      </c>
      <c r="AK1335">
        <v>43326.77</v>
      </c>
      <c r="AL1335">
        <v>43326.77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1</v>
      </c>
      <c r="AW1335">
        <v>1</v>
      </c>
      <c r="AZ1335">
        <v>1</v>
      </c>
      <c r="BA1335">
        <v>1</v>
      </c>
      <c r="BB1335">
        <v>1</v>
      </c>
      <c r="BC1335">
        <v>1.5</v>
      </c>
      <c r="BD1335" t="s">
        <v>3</v>
      </c>
      <c r="BE1335" t="s">
        <v>3</v>
      </c>
      <c r="BF1335" t="s">
        <v>3</v>
      </c>
      <c r="BG1335" t="s">
        <v>3</v>
      </c>
      <c r="BH1335">
        <v>3</v>
      </c>
      <c r="BI1335">
        <v>1</v>
      </c>
      <c r="BJ1335" t="s">
        <v>1013</v>
      </c>
      <c r="BM1335">
        <v>91</v>
      </c>
      <c r="BN1335">
        <v>0</v>
      </c>
      <c r="BO1335" t="s">
        <v>1011</v>
      </c>
      <c r="BP1335">
        <v>1</v>
      </c>
      <c r="BQ1335">
        <v>30</v>
      </c>
      <c r="BR1335">
        <v>0</v>
      </c>
      <c r="BS1335">
        <v>1</v>
      </c>
      <c r="BT1335">
        <v>1</v>
      </c>
      <c r="BU1335">
        <v>1</v>
      </c>
      <c r="BV1335">
        <v>1</v>
      </c>
      <c r="BW1335">
        <v>1</v>
      </c>
      <c r="BX1335">
        <v>1</v>
      </c>
      <c r="BY1335" t="s">
        <v>3</v>
      </c>
      <c r="BZ1335">
        <v>0</v>
      </c>
      <c r="CA1335">
        <v>0</v>
      </c>
      <c r="CB1335" t="s">
        <v>3</v>
      </c>
      <c r="CE1335">
        <v>30</v>
      </c>
      <c r="CF1335">
        <v>0</v>
      </c>
      <c r="CG1335">
        <v>0</v>
      </c>
      <c r="CM1335">
        <v>0</v>
      </c>
      <c r="CN1335" t="s">
        <v>3</v>
      </c>
      <c r="CO1335">
        <v>0</v>
      </c>
      <c r="CP1335">
        <f t="shared" si="1136"/>
        <v>2.73</v>
      </c>
      <c r="CQ1335">
        <f t="shared" si="1137"/>
        <v>64990.16</v>
      </c>
      <c r="CR1335">
        <f>(ROUND((ROUND(((ET1335)*AV1335*1),2)*BB1335),2)+ROUND((ROUND(((AE1335-(EU1335))*AV1335*1),2)*BS1335),2))</f>
        <v>0</v>
      </c>
      <c r="CS1335">
        <f t="shared" si="1138"/>
        <v>0</v>
      </c>
      <c r="CT1335">
        <f t="shared" si="1139"/>
        <v>0</v>
      </c>
      <c r="CU1335">
        <f t="shared" si="1140"/>
        <v>0</v>
      </c>
      <c r="CV1335">
        <f t="shared" si="1141"/>
        <v>0</v>
      </c>
      <c r="CW1335">
        <f t="shared" si="1142"/>
        <v>0</v>
      </c>
      <c r="CX1335">
        <f t="shared" si="1143"/>
        <v>0</v>
      </c>
      <c r="CY1335">
        <f>S1335*(BZ1335/100)</f>
        <v>0</v>
      </c>
      <c r="CZ1335">
        <f>S1335*(CA1335/100)</f>
        <v>0</v>
      </c>
      <c r="DC1335" t="s">
        <v>3</v>
      </c>
      <c r="DD1335" t="s">
        <v>3</v>
      </c>
      <c r="DE1335" t="s">
        <v>3</v>
      </c>
      <c r="DF1335" t="s">
        <v>3</v>
      </c>
      <c r="DG1335" t="s">
        <v>3</v>
      </c>
      <c r="DH1335" t="s">
        <v>3</v>
      </c>
      <c r="DI1335" t="s">
        <v>3</v>
      </c>
      <c r="DJ1335" t="s">
        <v>3</v>
      </c>
      <c r="DK1335" t="s">
        <v>3</v>
      </c>
      <c r="DL1335" t="s">
        <v>3</v>
      </c>
      <c r="DM1335" t="s">
        <v>3</v>
      </c>
      <c r="DN1335">
        <v>104</v>
      </c>
      <c r="DO1335">
        <v>70</v>
      </c>
      <c r="DP1335">
        <v>1</v>
      </c>
      <c r="DQ1335">
        <v>1</v>
      </c>
      <c r="DU1335">
        <v>1009</v>
      </c>
      <c r="DV1335" t="s">
        <v>114</v>
      </c>
      <c r="DW1335" t="s">
        <v>114</v>
      </c>
      <c r="DX1335">
        <v>1000</v>
      </c>
      <c r="DZ1335" t="s">
        <v>3</v>
      </c>
      <c r="EA1335" t="s">
        <v>3</v>
      </c>
      <c r="EB1335" t="s">
        <v>3</v>
      </c>
      <c r="EC1335" t="s">
        <v>3</v>
      </c>
      <c r="EE1335">
        <v>126051552</v>
      </c>
      <c r="EF1335">
        <v>30</v>
      </c>
      <c r="EG1335" t="s">
        <v>23</v>
      </c>
      <c r="EH1335">
        <v>0</v>
      </c>
      <c r="EI1335" t="s">
        <v>3</v>
      </c>
      <c r="EJ1335">
        <v>1</v>
      </c>
      <c r="EK1335">
        <v>91</v>
      </c>
      <c r="EL1335" t="s">
        <v>1009</v>
      </c>
      <c r="EM1335" t="s">
        <v>1010</v>
      </c>
      <c r="EO1335" t="s">
        <v>3</v>
      </c>
      <c r="EQ1335">
        <v>0</v>
      </c>
      <c r="ER1335">
        <v>43326.77</v>
      </c>
      <c r="ES1335">
        <v>43326.77</v>
      </c>
      <c r="ET1335">
        <v>0</v>
      </c>
      <c r="EU1335">
        <v>0</v>
      </c>
      <c r="EV1335">
        <v>0</v>
      </c>
      <c r="EW1335">
        <v>0</v>
      </c>
      <c r="EX1335">
        <v>0</v>
      </c>
      <c r="FQ1335">
        <v>0</v>
      </c>
      <c r="FR1335">
        <f t="shared" si="1144"/>
        <v>0</v>
      </c>
      <c r="FS1335">
        <v>0</v>
      </c>
      <c r="FX1335">
        <v>104</v>
      </c>
      <c r="FY1335">
        <v>70</v>
      </c>
      <c r="GA1335" t="s">
        <v>3</v>
      </c>
      <c r="GD1335">
        <v>0</v>
      </c>
      <c r="GF1335">
        <v>1030234511</v>
      </c>
      <c r="GG1335">
        <v>2</v>
      </c>
      <c r="GH1335">
        <v>1</v>
      </c>
      <c r="GI1335">
        <v>2</v>
      </c>
      <c r="GJ1335">
        <v>0</v>
      </c>
      <c r="GK1335">
        <f>ROUND(R1335*(S12)/100,2)</f>
        <v>0</v>
      </c>
      <c r="GL1335">
        <f t="shared" si="1145"/>
        <v>0</v>
      </c>
      <c r="GM1335">
        <f t="shared" si="1146"/>
        <v>2.73</v>
      </c>
      <c r="GN1335">
        <f t="shared" si="1147"/>
        <v>2.73</v>
      </c>
      <c r="GO1335">
        <f t="shared" si="1148"/>
        <v>0</v>
      </c>
      <c r="GP1335">
        <f t="shared" si="1149"/>
        <v>0</v>
      </c>
      <c r="GR1335">
        <v>0</v>
      </c>
      <c r="GS1335">
        <v>3</v>
      </c>
      <c r="GT1335">
        <v>0</v>
      </c>
      <c r="GU1335" t="s">
        <v>3</v>
      </c>
      <c r="GV1335">
        <f t="shared" si="1150"/>
        <v>0</v>
      </c>
      <c r="GW1335">
        <v>1</v>
      </c>
      <c r="GX1335">
        <f t="shared" si="1151"/>
        <v>0</v>
      </c>
      <c r="HA1335">
        <v>0</v>
      </c>
      <c r="HB1335">
        <v>0</v>
      </c>
      <c r="HC1335">
        <f t="shared" si="1152"/>
        <v>0</v>
      </c>
      <c r="HE1335" t="s">
        <v>3</v>
      </c>
      <c r="HF1335" t="s">
        <v>3</v>
      </c>
      <c r="HM1335" t="s">
        <v>3</v>
      </c>
      <c r="HN1335" t="s">
        <v>3</v>
      </c>
      <c r="HO1335" t="s">
        <v>3</v>
      </c>
      <c r="HP1335" t="s">
        <v>3</v>
      </c>
      <c r="HQ1335" t="s">
        <v>3</v>
      </c>
      <c r="IK1335">
        <v>0</v>
      </c>
    </row>
    <row r="1336" spans="1:255" x14ac:dyDescent="0.2">
      <c r="A1336" s="2">
        <v>18</v>
      </c>
      <c r="B1336" s="2">
        <v>1</v>
      </c>
      <c r="C1336" s="2">
        <v>1079</v>
      </c>
      <c r="D1336" s="2"/>
      <c r="E1336" s="2" t="s">
        <v>1014</v>
      </c>
      <c r="F1336" s="2" t="s">
        <v>248</v>
      </c>
      <c r="G1336" s="2" t="s">
        <v>1015</v>
      </c>
      <c r="H1336" s="2" t="s">
        <v>270</v>
      </c>
      <c r="I1336" s="2">
        <f>I1332*J1336</f>
        <v>3.6</v>
      </c>
      <c r="J1336" s="2">
        <v>4000</v>
      </c>
      <c r="K1336" s="2">
        <v>4000</v>
      </c>
      <c r="L1336" s="2"/>
      <c r="M1336" s="2"/>
      <c r="N1336" s="2"/>
      <c r="O1336" s="2">
        <f t="shared" si="1122"/>
        <v>46.15</v>
      </c>
      <c r="P1336" s="2">
        <f t="shared" si="1123"/>
        <v>46.15</v>
      </c>
      <c r="Q1336" s="2">
        <f>(ROUND((ROUND(((ET1336)*AV1336*I1336),2)*BB1336),2)+ROUND((ROUND(((AE1336-(EU1336))*AV1336*I1336),2)*BS1336),2))</f>
        <v>0</v>
      </c>
      <c r="R1336" s="2">
        <f t="shared" si="1124"/>
        <v>0</v>
      </c>
      <c r="S1336" s="2">
        <f t="shared" si="1125"/>
        <v>0</v>
      </c>
      <c r="T1336" s="2">
        <f t="shared" si="1126"/>
        <v>0</v>
      </c>
      <c r="U1336" s="2">
        <f t="shared" si="1127"/>
        <v>0</v>
      </c>
      <c r="V1336" s="2">
        <f t="shared" si="1128"/>
        <v>0</v>
      </c>
      <c r="W1336" s="2">
        <f t="shared" si="1129"/>
        <v>0</v>
      </c>
      <c r="X1336" s="2">
        <f t="shared" si="1130"/>
        <v>0</v>
      </c>
      <c r="Y1336" s="2">
        <f t="shared" si="1131"/>
        <v>0</v>
      </c>
      <c r="Z1336" s="2"/>
      <c r="AA1336" s="2">
        <v>129761636</v>
      </c>
      <c r="AB1336" s="2">
        <f t="shared" si="1132"/>
        <v>12.82</v>
      </c>
      <c r="AC1336" s="2">
        <f t="shared" si="1133"/>
        <v>12.82</v>
      </c>
      <c r="AD1336" s="2">
        <f>ROUND((((ET1336)-(EU1336))+AE1336),6)</f>
        <v>0</v>
      </c>
      <c r="AE1336" s="2">
        <f t="shared" si="1153"/>
        <v>0</v>
      </c>
      <c r="AF1336" s="2">
        <f t="shared" si="1153"/>
        <v>0</v>
      </c>
      <c r="AG1336" s="2">
        <f t="shared" si="1134"/>
        <v>0</v>
      </c>
      <c r="AH1336" s="2">
        <f t="shared" si="1154"/>
        <v>0</v>
      </c>
      <c r="AI1336" s="2">
        <f t="shared" si="1154"/>
        <v>0</v>
      </c>
      <c r="AJ1336" s="2">
        <f t="shared" si="1135"/>
        <v>0</v>
      </c>
      <c r="AK1336" s="2">
        <v>12.82</v>
      </c>
      <c r="AL1336" s="2">
        <v>12.82</v>
      </c>
      <c r="AM1336" s="2">
        <v>0</v>
      </c>
      <c r="AN1336" s="2">
        <v>0</v>
      </c>
      <c r="AO1336" s="2">
        <v>0</v>
      </c>
      <c r="AP1336" s="2">
        <v>0</v>
      </c>
      <c r="AQ1336" s="2">
        <v>0</v>
      </c>
      <c r="AR1336" s="2">
        <v>0</v>
      </c>
      <c r="AS1336" s="2">
        <v>0</v>
      </c>
      <c r="AT1336" s="2">
        <v>104</v>
      </c>
      <c r="AU1336" s="2">
        <v>70</v>
      </c>
      <c r="AV1336" s="2">
        <v>1</v>
      </c>
      <c r="AW1336" s="2">
        <v>1</v>
      </c>
      <c r="AX1336" s="2"/>
      <c r="AY1336" s="2"/>
      <c r="AZ1336" s="2">
        <v>1</v>
      </c>
      <c r="BA1336" s="2">
        <v>1</v>
      </c>
      <c r="BB1336" s="2">
        <v>1</v>
      </c>
      <c r="BC1336" s="2">
        <v>1</v>
      </c>
      <c r="BD1336" s="2" t="s">
        <v>3</v>
      </c>
      <c r="BE1336" s="2" t="s">
        <v>3</v>
      </c>
      <c r="BF1336" s="2" t="s">
        <v>3</v>
      </c>
      <c r="BG1336" s="2" t="s">
        <v>3</v>
      </c>
      <c r="BH1336" s="2">
        <v>3</v>
      </c>
      <c r="BI1336" s="2">
        <v>1</v>
      </c>
      <c r="BJ1336" s="2" t="s">
        <v>3</v>
      </c>
      <c r="BK1336" s="2"/>
      <c r="BL1336" s="2"/>
      <c r="BM1336" s="2">
        <v>91</v>
      </c>
      <c r="BN1336" s="2">
        <v>0</v>
      </c>
      <c r="BO1336" s="2" t="s">
        <v>3</v>
      </c>
      <c r="BP1336" s="2">
        <v>0</v>
      </c>
      <c r="BQ1336" s="2">
        <v>30</v>
      </c>
      <c r="BR1336" s="2">
        <v>0</v>
      </c>
      <c r="BS1336" s="2">
        <v>1</v>
      </c>
      <c r="BT1336" s="2">
        <v>1</v>
      </c>
      <c r="BU1336" s="2">
        <v>1</v>
      </c>
      <c r="BV1336" s="2">
        <v>1</v>
      </c>
      <c r="BW1336" s="2">
        <v>1</v>
      </c>
      <c r="BX1336" s="2">
        <v>1</v>
      </c>
      <c r="BY1336" s="2" t="s">
        <v>3</v>
      </c>
      <c r="BZ1336" s="2">
        <v>104</v>
      </c>
      <c r="CA1336" s="2">
        <v>70</v>
      </c>
      <c r="CB1336" s="2" t="s">
        <v>3</v>
      </c>
      <c r="CC1336" s="2"/>
      <c r="CD1336" s="2"/>
      <c r="CE1336" s="2">
        <v>30</v>
      </c>
      <c r="CF1336" s="2">
        <v>0</v>
      </c>
      <c r="CG1336" s="2">
        <v>0</v>
      </c>
      <c r="CH1336" s="2"/>
      <c r="CI1336" s="2"/>
      <c r="CJ1336" s="2"/>
      <c r="CK1336" s="2"/>
      <c r="CL1336" s="2"/>
      <c r="CM1336" s="2">
        <v>0</v>
      </c>
      <c r="CN1336" s="2" t="s">
        <v>3</v>
      </c>
      <c r="CO1336" s="2">
        <v>0</v>
      </c>
      <c r="CP1336" s="2">
        <f t="shared" si="1136"/>
        <v>46.15</v>
      </c>
      <c r="CQ1336" s="2">
        <f t="shared" si="1137"/>
        <v>12.82</v>
      </c>
      <c r="CR1336" s="2">
        <f>(ROUND((ROUND(((ET1336)*AV1336*1),2)*BB1336),2)+ROUND((ROUND(((AE1336-(EU1336))*AV1336*1),2)*BS1336),2))</f>
        <v>0</v>
      </c>
      <c r="CS1336" s="2">
        <f t="shared" si="1138"/>
        <v>0</v>
      </c>
      <c r="CT1336" s="2">
        <f t="shared" si="1139"/>
        <v>0</v>
      </c>
      <c r="CU1336" s="2">
        <f t="shared" si="1140"/>
        <v>0</v>
      </c>
      <c r="CV1336" s="2">
        <f t="shared" si="1141"/>
        <v>0</v>
      </c>
      <c r="CW1336" s="2">
        <f t="shared" si="1142"/>
        <v>0</v>
      </c>
      <c r="CX1336" s="2">
        <f t="shared" si="1143"/>
        <v>0</v>
      </c>
      <c r="CY1336" s="2">
        <f>((S1336*BZ1336)/100)</f>
        <v>0</v>
      </c>
      <c r="CZ1336" s="2">
        <f>((S1336*CA1336)/100)</f>
        <v>0</v>
      </c>
      <c r="DA1336" s="2"/>
      <c r="DB1336" s="2"/>
      <c r="DC1336" s="2" t="s">
        <v>3</v>
      </c>
      <c r="DD1336" s="2" t="s">
        <v>3</v>
      </c>
      <c r="DE1336" s="2" t="s">
        <v>3</v>
      </c>
      <c r="DF1336" s="2" t="s">
        <v>3</v>
      </c>
      <c r="DG1336" s="2" t="s">
        <v>3</v>
      </c>
      <c r="DH1336" s="2" t="s">
        <v>3</v>
      </c>
      <c r="DI1336" s="2" t="s">
        <v>3</v>
      </c>
      <c r="DJ1336" s="2" t="s">
        <v>3</v>
      </c>
      <c r="DK1336" s="2" t="s">
        <v>3</v>
      </c>
      <c r="DL1336" s="2" t="s">
        <v>3</v>
      </c>
      <c r="DM1336" s="2" t="s">
        <v>3</v>
      </c>
      <c r="DN1336" s="2">
        <v>0</v>
      </c>
      <c r="DO1336" s="2">
        <v>0</v>
      </c>
      <c r="DP1336" s="2">
        <v>1</v>
      </c>
      <c r="DQ1336" s="2">
        <v>1</v>
      </c>
      <c r="DR1336" s="2"/>
      <c r="DS1336" s="2"/>
      <c r="DT1336" s="2"/>
      <c r="DU1336" s="2">
        <v>1003</v>
      </c>
      <c r="DV1336" s="2" t="s">
        <v>270</v>
      </c>
      <c r="DW1336" s="2" t="s">
        <v>270</v>
      </c>
      <c r="DX1336" s="2">
        <v>1</v>
      </c>
      <c r="DY1336" s="2"/>
      <c r="DZ1336" s="2" t="s">
        <v>3</v>
      </c>
      <c r="EA1336" s="2" t="s">
        <v>3</v>
      </c>
      <c r="EB1336" s="2" t="s">
        <v>3</v>
      </c>
      <c r="EC1336" s="2" t="s">
        <v>3</v>
      </c>
      <c r="ED1336" s="2"/>
      <c r="EE1336" s="2">
        <v>126051552</v>
      </c>
      <c r="EF1336" s="2">
        <v>30</v>
      </c>
      <c r="EG1336" s="2" t="s">
        <v>23</v>
      </c>
      <c r="EH1336" s="2">
        <v>0</v>
      </c>
      <c r="EI1336" s="2" t="s">
        <v>3</v>
      </c>
      <c r="EJ1336" s="2">
        <v>1</v>
      </c>
      <c r="EK1336" s="2">
        <v>91</v>
      </c>
      <c r="EL1336" s="2" t="s">
        <v>1009</v>
      </c>
      <c r="EM1336" s="2" t="s">
        <v>1010</v>
      </c>
      <c r="EN1336" s="2"/>
      <c r="EO1336" s="2" t="s">
        <v>3</v>
      </c>
      <c r="EP1336" s="2"/>
      <c r="EQ1336" s="2">
        <v>0</v>
      </c>
      <c r="ER1336" s="2">
        <v>12.82</v>
      </c>
      <c r="ES1336" s="2">
        <v>12.82</v>
      </c>
      <c r="ET1336" s="2">
        <v>0</v>
      </c>
      <c r="EU1336" s="2">
        <v>0</v>
      </c>
      <c r="EV1336" s="2">
        <v>0</v>
      </c>
      <c r="EW1336" s="2">
        <v>0</v>
      </c>
      <c r="EX1336" s="2">
        <v>0</v>
      </c>
      <c r="EY1336" s="2"/>
      <c r="EZ1336" s="2"/>
      <c r="FA1336" s="2"/>
      <c r="FB1336" s="2"/>
      <c r="FC1336" s="2"/>
      <c r="FD1336" s="2"/>
      <c r="FE1336" s="2"/>
      <c r="FF1336" s="2"/>
      <c r="FG1336" s="2"/>
      <c r="FH1336" s="2"/>
      <c r="FI1336" s="2"/>
      <c r="FJ1336" s="2"/>
      <c r="FK1336" s="2"/>
      <c r="FL1336" s="2"/>
      <c r="FM1336" s="2"/>
      <c r="FN1336" s="2"/>
      <c r="FO1336" s="2"/>
      <c r="FP1336" s="2"/>
      <c r="FQ1336" s="2">
        <v>0</v>
      </c>
      <c r="FR1336" s="2">
        <f t="shared" si="1144"/>
        <v>0</v>
      </c>
      <c r="FS1336" s="2">
        <v>0</v>
      </c>
      <c r="FT1336" s="2"/>
      <c r="FU1336" s="2"/>
      <c r="FV1336" s="2"/>
      <c r="FW1336" s="2"/>
      <c r="FX1336" s="2">
        <v>104</v>
      </c>
      <c r="FY1336" s="2">
        <v>70</v>
      </c>
      <c r="FZ1336" s="2"/>
      <c r="GA1336" s="2" t="s">
        <v>3</v>
      </c>
      <c r="GB1336" s="2"/>
      <c r="GC1336" s="2"/>
      <c r="GD1336" s="2">
        <v>0</v>
      </c>
      <c r="GE1336" s="2"/>
      <c r="GF1336" s="2">
        <v>-91798768</v>
      </c>
      <c r="GG1336" s="2">
        <v>2</v>
      </c>
      <c r="GH1336" s="2">
        <v>0</v>
      </c>
      <c r="GI1336" s="2">
        <v>-2</v>
      </c>
      <c r="GJ1336" s="2">
        <v>0</v>
      </c>
      <c r="GK1336" s="2">
        <f>ROUND(R1336*(R12)/100,2)</f>
        <v>0</v>
      </c>
      <c r="GL1336" s="2">
        <f t="shared" si="1145"/>
        <v>0</v>
      </c>
      <c r="GM1336" s="2">
        <f t="shared" si="1146"/>
        <v>46.15</v>
      </c>
      <c r="GN1336" s="2">
        <f t="shared" si="1147"/>
        <v>46.15</v>
      </c>
      <c r="GO1336" s="2">
        <f t="shared" si="1148"/>
        <v>0</v>
      </c>
      <c r="GP1336" s="2">
        <f t="shared" si="1149"/>
        <v>0</v>
      </c>
      <c r="GQ1336" s="2"/>
      <c r="GR1336" s="2">
        <v>0</v>
      </c>
      <c r="GS1336" s="2">
        <v>0</v>
      </c>
      <c r="GT1336" s="2">
        <v>0</v>
      </c>
      <c r="GU1336" s="2" t="s">
        <v>3</v>
      </c>
      <c r="GV1336" s="2">
        <f t="shared" si="1150"/>
        <v>0</v>
      </c>
      <c r="GW1336" s="2">
        <v>1</v>
      </c>
      <c r="GX1336" s="2">
        <f t="shared" si="1151"/>
        <v>0</v>
      </c>
      <c r="GY1336" s="2"/>
      <c r="GZ1336" s="2"/>
      <c r="HA1336" s="2">
        <v>0</v>
      </c>
      <c r="HB1336" s="2">
        <v>0</v>
      </c>
      <c r="HC1336" s="2">
        <f t="shared" si="1152"/>
        <v>0</v>
      </c>
      <c r="HD1336" s="2"/>
      <c r="HE1336" s="2" t="s">
        <v>3</v>
      </c>
      <c r="HF1336" s="2" t="s">
        <v>3</v>
      </c>
      <c r="HG1336" s="2"/>
      <c r="HH1336" s="2"/>
      <c r="HI1336" s="2"/>
      <c r="HJ1336" s="2"/>
      <c r="HK1336" s="2"/>
      <c r="HL1336" s="2"/>
      <c r="HM1336" s="2" t="s">
        <v>3</v>
      </c>
      <c r="HN1336" s="2" t="s">
        <v>3</v>
      </c>
      <c r="HO1336" s="2" t="s">
        <v>3</v>
      </c>
      <c r="HP1336" s="2" t="s">
        <v>3</v>
      </c>
      <c r="HQ1336" s="2" t="s">
        <v>3</v>
      </c>
      <c r="HR1336" s="2"/>
      <c r="HS1336" s="2"/>
      <c r="HT1336" s="2"/>
      <c r="HU1336" s="2"/>
      <c r="HV1336" s="2"/>
      <c r="HW1336" s="2"/>
      <c r="HX1336" s="2"/>
      <c r="HY1336" s="2"/>
      <c r="HZ1336" s="2"/>
      <c r="IA1336" s="2"/>
      <c r="IB1336" s="2"/>
      <c r="IC1336" s="2"/>
      <c r="ID1336" s="2"/>
      <c r="IE1336" s="2"/>
      <c r="IF1336" s="2"/>
      <c r="IG1336" s="2"/>
      <c r="IH1336" s="2"/>
      <c r="II1336" s="2"/>
      <c r="IJ1336" s="2"/>
      <c r="IK1336" s="2">
        <v>0</v>
      </c>
      <c r="IL1336" s="2"/>
      <c r="IM1336" s="2"/>
      <c r="IN1336" s="2"/>
      <c r="IO1336" s="2"/>
      <c r="IP1336" s="2"/>
      <c r="IQ1336" s="2"/>
      <c r="IR1336" s="2"/>
      <c r="IS1336" s="2"/>
      <c r="IT1336" s="2"/>
      <c r="IU1336" s="2"/>
    </row>
    <row r="1337" spans="1:255" x14ac:dyDescent="0.2">
      <c r="A1337">
        <v>18</v>
      </c>
      <c r="B1337">
        <v>1</v>
      </c>
      <c r="C1337">
        <v>1084</v>
      </c>
      <c r="E1337" t="s">
        <v>1014</v>
      </c>
      <c r="F1337" t="s">
        <v>248</v>
      </c>
      <c r="G1337" t="s">
        <v>1015</v>
      </c>
      <c r="H1337" t="s">
        <v>270</v>
      </c>
      <c r="I1337">
        <f>I1333*J1337</f>
        <v>3.6</v>
      </c>
      <c r="J1337">
        <v>4000</v>
      </c>
      <c r="K1337">
        <v>4000</v>
      </c>
      <c r="O1337">
        <f t="shared" si="1122"/>
        <v>305.77999999999997</v>
      </c>
      <c r="P1337">
        <f t="shared" si="1123"/>
        <v>305.77999999999997</v>
      </c>
      <c r="Q1337">
        <f>(ROUND((ROUND(((ET1337)*AV1337*I1337),2)*BB1337),2)+ROUND((ROUND(((AE1337-(EU1337))*AV1337*I1337),2)*BS1337),2))</f>
        <v>0</v>
      </c>
      <c r="R1337">
        <f t="shared" si="1124"/>
        <v>0</v>
      </c>
      <c r="S1337">
        <f t="shared" si="1125"/>
        <v>0</v>
      </c>
      <c r="T1337">
        <f t="shared" si="1126"/>
        <v>0</v>
      </c>
      <c r="U1337">
        <f t="shared" si="1127"/>
        <v>0</v>
      </c>
      <c r="V1337">
        <f t="shared" si="1128"/>
        <v>0</v>
      </c>
      <c r="W1337">
        <f t="shared" si="1129"/>
        <v>0</v>
      </c>
      <c r="X1337">
        <f t="shared" si="1130"/>
        <v>0</v>
      </c>
      <c r="Y1337">
        <f t="shared" si="1131"/>
        <v>0</v>
      </c>
      <c r="AA1337">
        <v>129761633</v>
      </c>
      <c r="AB1337">
        <f t="shared" si="1132"/>
        <v>9.82</v>
      </c>
      <c r="AC1337">
        <f t="shared" si="1133"/>
        <v>9.82</v>
      </c>
      <c r="AD1337">
        <f>ROUND((((ET1337)-(EU1337))+AE1337),6)</f>
        <v>0</v>
      </c>
      <c r="AE1337">
        <f t="shared" si="1153"/>
        <v>0</v>
      </c>
      <c r="AF1337">
        <f t="shared" si="1153"/>
        <v>0</v>
      </c>
      <c r="AG1337">
        <f t="shared" si="1134"/>
        <v>0</v>
      </c>
      <c r="AH1337">
        <f t="shared" si="1154"/>
        <v>0</v>
      </c>
      <c r="AI1337">
        <f t="shared" si="1154"/>
        <v>0</v>
      </c>
      <c r="AJ1337">
        <f t="shared" si="1135"/>
        <v>0</v>
      </c>
      <c r="AK1337">
        <v>9.82</v>
      </c>
      <c r="AL1337">
        <v>9.82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1</v>
      </c>
      <c r="AW1337">
        <v>1</v>
      </c>
      <c r="AZ1337">
        <v>1</v>
      </c>
      <c r="BA1337">
        <v>1</v>
      </c>
      <c r="BB1337">
        <v>1</v>
      </c>
      <c r="BC1337">
        <v>8.65</v>
      </c>
      <c r="BD1337" t="s">
        <v>3</v>
      </c>
      <c r="BE1337" t="s">
        <v>3</v>
      </c>
      <c r="BF1337" t="s">
        <v>3</v>
      </c>
      <c r="BG1337" t="s">
        <v>3</v>
      </c>
      <c r="BH1337">
        <v>3</v>
      </c>
      <c r="BI1337">
        <v>1</v>
      </c>
      <c r="BJ1337" t="s">
        <v>3</v>
      </c>
      <c r="BM1337">
        <v>91</v>
      </c>
      <c r="BN1337">
        <v>0</v>
      </c>
      <c r="BO1337" t="s">
        <v>3</v>
      </c>
      <c r="BP1337">
        <v>0</v>
      </c>
      <c r="BQ1337">
        <v>30</v>
      </c>
      <c r="BR1337">
        <v>0</v>
      </c>
      <c r="BS1337">
        <v>1</v>
      </c>
      <c r="BT1337">
        <v>1</v>
      </c>
      <c r="BU1337">
        <v>1</v>
      </c>
      <c r="BV1337">
        <v>1</v>
      </c>
      <c r="BW1337">
        <v>1</v>
      </c>
      <c r="BX1337">
        <v>1</v>
      </c>
      <c r="BY1337" t="s">
        <v>3</v>
      </c>
      <c r="BZ1337">
        <v>0</v>
      </c>
      <c r="CA1337">
        <v>0</v>
      </c>
      <c r="CB1337" t="s">
        <v>3</v>
      </c>
      <c r="CE1337">
        <v>30</v>
      </c>
      <c r="CF1337">
        <v>0</v>
      </c>
      <c r="CG1337">
        <v>0</v>
      </c>
      <c r="CM1337">
        <v>0</v>
      </c>
      <c r="CN1337" t="s">
        <v>3</v>
      </c>
      <c r="CO1337">
        <v>0</v>
      </c>
      <c r="CP1337">
        <f t="shared" si="1136"/>
        <v>305.77999999999997</v>
      </c>
      <c r="CQ1337">
        <f t="shared" si="1137"/>
        <v>84.94</v>
      </c>
      <c r="CR1337">
        <f>(ROUND((ROUND(((ET1337)*AV1337*1),2)*BB1337),2)+ROUND((ROUND(((AE1337-(EU1337))*AV1337*1),2)*BS1337),2))</f>
        <v>0</v>
      </c>
      <c r="CS1337">
        <f t="shared" si="1138"/>
        <v>0</v>
      </c>
      <c r="CT1337">
        <f t="shared" si="1139"/>
        <v>0</v>
      </c>
      <c r="CU1337">
        <f t="shared" si="1140"/>
        <v>0</v>
      </c>
      <c r="CV1337">
        <f t="shared" si="1141"/>
        <v>0</v>
      </c>
      <c r="CW1337">
        <f t="shared" si="1142"/>
        <v>0</v>
      </c>
      <c r="CX1337">
        <f t="shared" si="1143"/>
        <v>0</v>
      </c>
      <c r="CY1337">
        <f>S1337*(BZ1337/100)</f>
        <v>0</v>
      </c>
      <c r="CZ1337">
        <f>S1337*(CA1337/100)</f>
        <v>0</v>
      </c>
      <c r="DC1337" t="s">
        <v>3</v>
      </c>
      <c r="DD1337" t="s">
        <v>3</v>
      </c>
      <c r="DE1337" t="s">
        <v>3</v>
      </c>
      <c r="DF1337" t="s">
        <v>3</v>
      </c>
      <c r="DG1337" t="s">
        <v>3</v>
      </c>
      <c r="DH1337" t="s">
        <v>3</v>
      </c>
      <c r="DI1337" t="s">
        <v>3</v>
      </c>
      <c r="DJ1337" t="s">
        <v>3</v>
      </c>
      <c r="DK1337" t="s">
        <v>3</v>
      </c>
      <c r="DL1337" t="s">
        <v>3</v>
      </c>
      <c r="DM1337" t="s">
        <v>3</v>
      </c>
      <c r="DN1337">
        <v>104</v>
      </c>
      <c r="DO1337">
        <v>70</v>
      </c>
      <c r="DP1337">
        <v>1</v>
      </c>
      <c r="DQ1337">
        <v>1</v>
      </c>
      <c r="DU1337">
        <v>1003</v>
      </c>
      <c r="DV1337" t="s">
        <v>270</v>
      </c>
      <c r="DW1337" t="s">
        <v>270</v>
      </c>
      <c r="DX1337">
        <v>1</v>
      </c>
      <c r="DZ1337" t="s">
        <v>3</v>
      </c>
      <c r="EA1337" t="s">
        <v>3</v>
      </c>
      <c r="EB1337" t="s">
        <v>3</v>
      </c>
      <c r="EC1337" t="s">
        <v>3</v>
      </c>
      <c r="EE1337">
        <v>126051552</v>
      </c>
      <c r="EF1337">
        <v>30</v>
      </c>
      <c r="EG1337" t="s">
        <v>23</v>
      </c>
      <c r="EH1337">
        <v>0</v>
      </c>
      <c r="EI1337" t="s">
        <v>3</v>
      </c>
      <c r="EJ1337">
        <v>1</v>
      </c>
      <c r="EK1337">
        <v>91</v>
      </c>
      <c r="EL1337" t="s">
        <v>1009</v>
      </c>
      <c r="EM1337" t="s">
        <v>1010</v>
      </c>
      <c r="EO1337" t="s">
        <v>3</v>
      </c>
      <c r="EQ1337">
        <v>0</v>
      </c>
      <c r="ER1337">
        <v>12.82</v>
      </c>
      <c r="ES1337">
        <v>9.82</v>
      </c>
      <c r="ET1337">
        <v>0</v>
      </c>
      <c r="EU1337">
        <v>0</v>
      </c>
      <c r="EV1337">
        <v>0</v>
      </c>
      <c r="EW1337">
        <v>0</v>
      </c>
      <c r="EX1337">
        <v>0</v>
      </c>
      <c r="EZ1337">
        <v>5</v>
      </c>
      <c r="FC1337">
        <v>1</v>
      </c>
      <c r="FD1337">
        <v>18</v>
      </c>
      <c r="FF1337">
        <v>100</v>
      </c>
      <c r="FQ1337">
        <v>0</v>
      </c>
      <c r="FR1337">
        <f t="shared" si="1144"/>
        <v>0</v>
      </c>
      <c r="FS1337">
        <v>0</v>
      </c>
      <c r="FX1337">
        <v>104</v>
      </c>
      <c r="FY1337">
        <v>70</v>
      </c>
      <c r="GA1337" t="s">
        <v>1016</v>
      </c>
      <c r="GD1337">
        <v>0</v>
      </c>
      <c r="GF1337">
        <v>-91798768</v>
      </c>
      <c r="GG1337">
        <v>2</v>
      </c>
      <c r="GH1337">
        <v>3</v>
      </c>
      <c r="GI1337">
        <v>5</v>
      </c>
      <c r="GJ1337">
        <v>0</v>
      </c>
      <c r="GK1337">
        <f>ROUND(R1337*(S12)/100,2)</f>
        <v>0</v>
      </c>
      <c r="GL1337">
        <f t="shared" si="1145"/>
        <v>0</v>
      </c>
      <c r="GM1337">
        <f t="shared" si="1146"/>
        <v>305.77999999999997</v>
      </c>
      <c r="GN1337">
        <f t="shared" si="1147"/>
        <v>305.77999999999997</v>
      </c>
      <c r="GO1337">
        <f t="shared" si="1148"/>
        <v>0</v>
      </c>
      <c r="GP1337">
        <f t="shared" si="1149"/>
        <v>0</v>
      </c>
      <c r="GR1337">
        <v>1</v>
      </c>
      <c r="GS1337">
        <v>1</v>
      </c>
      <c r="GT1337">
        <v>0</v>
      </c>
      <c r="GU1337" t="s">
        <v>3</v>
      </c>
      <c r="GV1337">
        <f t="shared" si="1150"/>
        <v>0</v>
      </c>
      <c r="GW1337">
        <v>1</v>
      </c>
      <c r="GX1337">
        <f t="shared" si="1151"/>
        <v>0</v>
      </c>
      <c r="HA1337">
        <v>0</v>
      </c>
      <c r="HB1337">
        <v>0</v>
      </c>
      <c r="HC1337">
        <f t="shared" si="1152"/>
        <v>0</v>
      </c>
      <c r="HE1337" t="s">
        <v>81</v>
      </c>
      <c r="HF1337" t="s">
        <v>252</v>
      </c>
      <c r="HM1337" t="s">
        <v>3</v>
      </c>
      <c r="HN1337" t="s">
        <v>3</v>
      </c>
      <c r="HO1337" t="s">
        <v>3</v>
      </c>
      <c r="HP1337" t="s">
        <v>3</v>
      </c>
      <c r="HQ1337" t="s">
        <v>3</v>
      </c>
      <c r="IK1337">
        <v>0</v>
      </c>
    </row>
    <row r="1338" spans="1:255" x14ac:dyDescent="0.2">
      <c r="A1338" s="2">
        <v>17</v>
      </c>
      <c r="B1338" s="2">
        <v>1</v>
      </c>
      <c r="C1338" s="2">
        <f>ROW(SmtRes!A1091)</f>
        <v>1091</v>
      </c>
      <c r="D1338" s="2">
        <f>ROW(EtalonRes!A1044)</f>
        <v>1044</v>
      </c>
      <c r="E1338" s="2" t="s">
        <v>81</v>
      </c>
      <c r="F1338" s="2" t="s">
        <v>1017</v>
      </c>
      <c r="G1338" s="2" t="s">
        <v>1018</v>
      </c>
      <c r="H1338" s="2" t="s">
        <v>619</v>
      </c>
      <c r="I1338" s="2">
        <v>15.7</v>
      </c>
      <c r="J1338" s="2">
        <v>0</v>
      </c>
      <c r="K1338" s="2">
        <v>15.7</v>
      </c>
      <c r="L1338" s="2"/>
      <c r="M1338" s="2"/>
      <c r="N1338" s="2"/>
      <c r="O1338" s="2">
        <f t="shared" si="1122"/>
        <v>931.24</v>
      </c>
      <c r="P1338" s="2">
        <f t="shared" si="1123"/>
        <v>2.83</v>
      </c>
      <c r="Q1338" s="2">
        <f>(ROUND((ROUND((((ET1338*1.25))*AV1338*I1338),2)*BB1338),2)+ROUND((ROUND(((AE1338-((EU1338*1.25)))*AV1338*I1338),2)*BS1338),2))</f>
        <v>146.99</v>
      </c>
      <c r="R1338" s="2">
        <f t="shared" si="1124"/>
        <v>37.880000000000003</v>
      </c>
      <c r="S1338" s="2">
        <f t="shared" si="1125"/>
        <v>781.42</v>
      </c>
      <c r="T1338" s="2">
        <f t="shared" si="1126"/>
        <v>0</v>
      </c>
      <c r="U1338" s="2">
        <f t="shared" si="1127"/>
        <v>70.053399999999996</v>
      </c>
      <c r="V1338" s="2">
        <f t="shared" si="1128"/>
        <v>0</v>
      </c>
      <c r="W1338" s="2">
        <f t="shared" si="1129"/>
        <v>0</v>
      </c>
      <c r="X1338" s="2">
        <f t="shared" si="1130"/>
        <v>1219.02</v>
      </c>
      <c r="Y1338" s="2">
        <f t="shared" si="1131"/>
        <v>656.39</v>
      </c>
      <c r="Z1338" s="2"/>
      <c r="AA1338" s="2">
        <v>129761636</v>
      </c>
      <c r="AB1338" s="2">
        <f t="shared" si="1132"/>
        <v>59.314500000000002</v>
      </c>
      <c r="AC1338" s="2">
        <f t="shared" si="1133"/>
        <v>0.18</v>
      </c>
      <c r="AD1338" s="2">
        <f>ROUND(((((ET1338*1.25))-((EU1338*1.25)))+AE1338),6)</f>
        <v>9.3625000000000007</v>
      </c>
      <c r="AE1338" s="2">
        <f>ROUND(((EU1338*1.25)),6)</f>
        <v>2.4125000000000001</v>
      </c>
      <c r="AF1338" s="2">
        <f>ROUND(((EV1338*1.15)),6)</f>
        <v>49.771999999999998</v>
      </c>
      <c r="AG1338" s="2">
        <f t="shared" si="1134"/>
        <v>0</v>
      </c>
      <c r="AH1338" s="2">
        <f>((EW1338*1.15))</f>
        <v>4.4619999999999997</v>
      </c>
      <c r="AI1338" s="2">
        <f>((EX1338*1.25))</f>
        <v>0</v>
      </c>
      <c r="AJ1338" s="2">
        <f t="shared" si="1135"/>
        <v>0</v>
      </c>
      <c r="AK1338" s="2">
        <v>50.95</v>
      </c>
      <c r="AL1338" s="2">
        <v>0.18</v>
      </c>
      <c r="AM1338" s="2">
        <v>7.49</v>
      </c>
      <c r="AN1338" s="2">
        <v>1.93</v>
      </c>
      <c r="AO1338" s="2">
        <v>43.28</v>
      </c>
      <c r="AP1338" s="2">
        <v>0</v>
      </c>
      <c r="AQ1338" s="2">
        <v>3.88</v>
      </c>
      <c r="AR1338" s="2">
        <v>0</v>
      </c>
      <c r="AS1338" s="2">
        <v>0</v>
      </c>
      <c r="AT1338" s="2">
        <v>156</v>
      </c>
      <c r="AU1338" s="2">
        <v>84</v>
      </c>
      <c r="AV1338" s="2">
        <v>1</v>
      </c>
      <c r="AW1338" s="2">
        <v>1</v>
      </c>
      <c r="AX1338" s="2"/>
      <c r="AY1338" s="2"/>
      <c r="AZ1338" s="2">
        <v>1</v>
      </c>
      <c r="BA1338" s="2">
        <v>1</v>
      </c>
      <c r="BB1338" s="2">
        <v>1</v>
      </c>
      <c r="BC1338" s="2">
        <v>1</v>
      </c>
      <c r="BD1338" s="2" t="s">
        <v>3</v>
      </c>
      <c r="BE1338" s="2" t="s">
        <v>3</v>
      </c>
      <c r="BF1338" s="2" t="s">
        <v>3</v>
      </c>
      <c r="BG1338" s="2" t="s">
        <v>3</v>
      </c>
      <c r="BH1338" s="2">
        <v>0</v>
      </c>
      <c r="BI1338" s="2">
        <v>1</v>
      </c>
      <c r="BJ1338" s="2" t="s">
        <v>1019</v>
      </c>
      <c r="BK1338" s="2"/>
      <c r="BL1338" s="2"/>
      <c r="BM1338" s="2">
        <v>1538</v>
      </c>
      <c r="BN1338" s="2">
        <v>0</v>
      </c>
      <c r="BO1338" s="2" t="s">
        <v>3</v>
      </c>
      <c r="BP1338" s="2">
        <v>0</v>
      </c>
      <c r="BQ1338" s="2">
        <v>30</v>
      </c>
      <c r="BR1338" s="2">
        <v>0</v>
      </c>
      <c r="BS1338" s="2">
        <v>1</v>
      </c>
      <c r="BT1338" s="2">
        <v>1</v>
      </c>
      <c r="BU1338" s="2">
        <v>1</v>
      </c>
      <c r="BV1338" s="2">
        <v>1</v>
      </c>
      <c r="BW1338" s="2">
        <v>1</v>
      </c>
      <c r="BX1338" s="2">
        <v>1</v>
      </c>
      <c r="BY1338" s="2" t="s">
        <v>3</v>
      </c>
      <c r="BZ1338" s="2">
        <v>156</v>
      </c>
      <c r="CA1338" s="2">
        <v>84</v>
      </c>
      <c r="CB1338" s="2" t="s">
        <v>3</v>
      </c>
      <c r="CC1338" s="2"/>
      <c r="CD1338" s="2"/>
      <c r="CE1338" s="2">
        <v>30</v>
      </c>
      <c r="CF1338" s="2">
        <v>0</v>
      </c>
      <c r="CG1338" s="2">
        <v>0</v>
      </c>
      <c r="CH1338" s="2"/>
      <c r="CI1338" s="2"/>
      <c r="CJ1338" s="2"/>
      <c r="CK1338" s="2"/>
      <c r="CL1338" s="2"/>
      <c r="CM1338" s="2">
        <v>0</v>
      </c>
      <c r="CN1338" s="2" t="s">
        <v>1559</v>
      </c>
      <c r="CO1338" s="2">
        <v>0</v>
      </c>
      <c r="CP1338" s="2">
        <f t="shared" si="1136"/>
        <v>931.24</v>
      </c>
      <c r="CQ1338" s="2">
        <f t="shared" si="1137"/>
        <v>0.18</v>
      </c>
      <c r="CR1338" s="2">
        <f>(ROUND((ROUND((((ET1338*1.25))*AV1338*1),2)*BB1338),2)+ROUND((ROUND(((AE1338-((EU1338*1.25)))*AV1338*1),2)*BS1338),2))</f>
        <v>9.36</v>
      </c>
      <c r="CS1338" s="2">
        <f t="shared" si="1138"/>
        <v>2.41</v>
      </c>
      <c r="CT1338" s="2">
        <f t="shared" si="1139"/>
        <v>49.77</v>
      </c>
      <c r="CU1338" s="2">
        <f t="shared" si="1140"/>
        <v>0</v>
      </c>
      <c r="CV1338" s="2">
        <f t="shared" si="1141"/>
        <v>4.4619999999999997</v>
      </c>
      <c r="CW1338" s="2">
        <f t="shared" si="1142"/>
        <v>0</v>
      </c>
      <c r="CX1338" s="2">
        <f t="shared" si="1143"/>
        <v>0</v>
      </c>
      <c r="CY1338" s="2">
        <f>((S1338*BZ1338)/100)</f>
        <v>1219.0151999999998</v>
      </c>
      <c r="CZ1338" s="2">
        <f>((S1338*CA1338)/100)</f>
        <v>656.39279999999997</v>
      </c>
      <c r="DA1338" s="2"/>
      <c r="DB1338" s="2"/>
      <c r="DC1338" s="2" t="s">
        <v>3</v>
      </c>
      <c r="DD1338" s="2" t="s">
        <v>3</v>
      </c>
      <c r="DE1338" s="2" t="s">
        <v>86</v>
      </c>
      <c r="DF1338" s="2" t="s">
        <v>86</v>
      </c>
      <c r="DG1338" s="2" t="s">
        <v>87</v>
      </c>
      <c r="DH1338" s="2" t="s">
        <v>3</v>
      </c>
      <c r="DI1338" s="2" t="s">
        <v>87</v>
      </c>
      <c r="DJ1338" s="2" t="s">
        <v>86</v>
      </c>
      <c r="DK1338" s="2" t="s">
        <v>3</v>
      </c>
      <c r="DL1338" s="2" t="s">
        <v>3</v>
      </c>
      <c r="DM1338" s="2" t="s">
        <v>3</v>
      </c>
      <c r="DN1338" s="2">
        <v>0</v>
      </c>
      <c r="DO1338" s="2">
        <v>0</v>
      </c>
      <c r="DP1338" s="2">
        <v>1</v>
      </c>
      <c r="DQ1338" s="2">
        <v>1</v>
      </c>
      <c r="DR1338" s="2"/>
      <c r="DS1338" s="2"/>
      <c r="DT1338" s="2"/>
      <c r="DU1338" s="2">
        <v>1010</v>
      </c>
      <c r="DV1338" s="2" t="s">
        <v>619</v>
      </c>
      <c r="DW1338" s="2" t="s">
        <v>619</v>
      </c>
      <c r="DX1338" s="2">
        <v>10</v>
      </c>
      <c r="DY1338" s="2"/>
      <c r="DZ1338" s="2" t="s">
        <v>3</v>
      </c>
      <c r="EA1338" s="2" t="s">
        <v>3</v>
      </c>
      <c r="EB1338" s="2" t="s">
        <v>3</v>
      </c>
      <c r="EC1338" s="2" t="s">
        <v>3</v>
      </c>
      <c r="ED1338" s="2"/>
      <c r="EE1338" s="2">
        <v>126052999</v>
      </c>
      <c r="EF1338" s="2">
        <v>30</v>
      </c>
      <c r="EG1338" s="2" t="s">
        <v>23</v>
      </c>
      <c r="EH1338" s="2">
        <v>0</v>
      </c>
      <c r="EI1338" s="2" t="s">
        <v>3</v>
      </c>
      <c r="EJ1338" s="2">
        <v>1</v>
      </c>
      <c r="EK1338" s="2">
        <v>1538</v>
      </c>
      <c r="EL1338" s="2" t="s">
        <v>1020</v>
      </c>
      <c r="EM1338" s="2" t="s">
        <v>1021</v>
      </c>
      <c r="EN1338" s="2"/>
      <c r="EO1338" s="2" t="s">
        <v>90</v>
      </c>
      <c r="EP1338" s="2"/>
      <c r="EQ1338" s="2">
        <v>131072</v>
      </c>
      <c r="ER1338" s="2">
        <v>50.95</v>
      </c>
      <c r="ES1338" s="2">
        <v>0.18</v>
      </c>
      <c r="ET1338" s="2">
        <v>7.49</v>
      </c>
      <c r="EU1338" s="2">
        <v>1.93</v>
      </c>
      <c r="EV1338" s="2">
        <v>43.28</v>
      </c>
      <c r="EW1338" s="2">
        <v>3.88</v>
      </c>
      <c r="EX1338" s="2">
        <v>0</v>
      </c>
      <c r="EY1338" s="2">
        <v>0</v>
      </c>
      <c r="EZ1338" s="2"/>
      <c r="FA1338" s="2"/>
      <c r="FB1338" s="2"/>
      <c r="FC1338" s="2"/>
      <c r="FD1338" s="2"/>
      <c r="FE1338" s="2"/>
      <c r="FF1338" s="2"/>
      <c r="FG1338" s="2"/>
      <c r="FH1338" s="2"/>
      <c r="FI1338" s="2"/>
      <c r="FJ1338" s="2"/>
      <c r="FK1338" s="2"/>
      <c r="FL1338" s="2"/>
      <c r="FM1338" s="2"/>
      <c r="FN1338" s="2"/>
      <c r="FO1338" s="2"/>
      <c r="FP1338" s="2"/>
      <c r="FQ1338" s="2">
        <v>0</v>
      </c>
      <c r="FR1338" s="2">
        <f t="shared" si="1144"/>
        <v>0</v>
      </c>
      <c r="FS1338" s="2">
        <v>0</v>
      </c>
      <c r="FT1338" s="2"/>
      <c r="FU1338" s="2"/>
      <c r="FV1338" s="2"/>
      <c r="FW1338" s="2"/>
      <c r="FX1338" s="2">
        <v>156</v>
      </c>
      <c r="FY1338" s="2">
        <v>84</v>
      </c>
      <c r="FZ1338" s="2"/>
      <c r="GA1338" s="2" t="s">
        <v>3</v>
      </c>
      <c r="GB1338" s="2"/>
      <c r="GC1338" s="2"/>
      <c r="GD1338" s="2">
        <v>0</v>
      </c>
      <c r="GE1338" s="2"/>
      <c r="GF1338" s="2">
        <v>1238830603</v>
      </c>
      <c r="GG1338" s="2">
        <v>2</v>
      </c>
      <c r="GH1338" s="2">
        <v>1</v>
      </c>
      <c r="GI1338" s="2">
        <v>-2</v>
      </c>
      <c r="GJ1338" s="2">
        <v>0</v>
      </c>
      <c r="GK1338" s="2">
        <f>ROUND(R1338*(R12)/100,2)</f>
        <v>66.290000000000006</v>
      </c>
      <c r="GL1338" s="2">
        <f t="shared" si="1145"/>
        <v>0</v>
      </c>
      <c r="GM1338" s="2">
        <f t="shared" si="1146"/>
        <v>2872.94</v>
      </c>
      <c r="GN1338" s="2">
        <f t="shared" si="1147"/>
        <v>2872.94</v>
      </c>
      <c r="GO1338" s="2">
        <f t="shared" si="1148"/>
        <v>0</v>
      </c>
      <c r="GP1338" s="2">
        <f t="shared" si="1149"/>
        <v>0</v>
      </c>
      <c r="GQ1338" s="2"/>
      <c r="GR1338" s="2">
        <v>0</v>
      </c>
      <c r="GS1338" s="2">
        <v>0</v>
      </c>
      <c r="GT1338" s="2">
        <v>0</v>
      </c>
      <c r="GU1338" s="2" t="s">
        <v>3</v>
      </c>
      <c r="GV1338" s="2">
        <f t="shared" si="1150"/>
        <v>0</v>
      </c>
      <c r="GW1338" s="2">
        <v>1</v>
      </c>
      <c r="GX1338" s="2">
        <f t="shared" si="1151"/>
        <v>0</v>
      </c>
      <c r="GY1338" s="2"/>
      <c r="GZ1338" s="2"/>
      <c r="HA1338" s="2">
        <v>0</v>
      </c>
      <c r="HB1338" s="2">
        <v>0</v>
      </c>
      <c r="HC1338" s="2">
        <f t="shared" si="1152"/>
        <v>0</v>
      </c>
      <c r="HD1338" s="2"/>
      <c r="HE1338" s="2" t="s">
        <v>3</v>
      </c>
      <c r="HF1338" s="2" t="s">
        <v>3</v>
      </c>
      <c r="HG1338" s="2"/>
      <c r="HH1338" s="2"/>
      <c r="HI1338" s="2"/>
      <c r="HJ1338" s="2"/>
      <c r="HK1338" s="2"/>
      <c r="HL1338" s="2"/>
      <c r="HM1338" s="2" t="s">
        <v>3</v>
      </c>
      <c r="HN1338" s="2" t="s">
        <v>3</v>
      </c>
      <c r="HO1338" s="2" t="s">
        <v>3</v>
      </c>
      <c r="HP1338" s="2" t="s">
        <v>3</v>
      </c>
      <c r="HQ1338" s="2" t="s">
        <v>3</v>
      </c>
      <c r="HR1338" s="2"/>
      <c r="HS1338" s="2"/>
      <c r="HT1338" s="2"/>
      <c r="HU1338" s="2"/>
      <c r="HV1338" s="2"/>
      <c r="HW1338" s="2"/>
      <c r="HX1338" s="2"/>
      <c r="HY1338" s="2"/>
      <c r="HZ1338" s="2"/>
      <c r="IA1338" s="2"/>
      <c r="IB1338" s="2"/>
      <c r="IC1338" s="2"/>
      <c r="ID1338" s="2"/>
      <c r="IE1338" s="2"/>
      <c r="IF1338" s="2"/>
      <c r="IG1338" s="2"/>
      <c r="IH1338" s="2"/>
      <c r="II1338" s="2"/>
      <c r="IJ1338" s="2"/>
      <c r="IK1338" s="2">
        <v>0</v>
      </c>
      <c r="IL1338" s="2"/>
      <c r="IM1338" s="2"/>
      <c r="IN1338" s="2"/>
      <c r="IO1338" s="2"/>
      <c r="IP1338" s="2"/>
      <c r="IQ1338" s="2"/>
      <c r="IR1338" s="2"/>
      <c r="IS1338" s="2"/>
      <c r="IT1338" s="2"/>
      <c r="IU1338" s="2"/>
    </row>
    <row r="1339" spans="1:255" x14ac:dyDescent="0.2">
      <c r="A1339">
        <v>17</v>
      </c>
      <c r="B1339">
        <v>1</v>
      </c>
      <c r="C1339">
        <f>ROW(SmtRes!A1098)</f>
        <v>1098</v>
      </c>
      <c r="D1339">
        <f>ROW(EtalonRes!A1050)</f>
        <v>1050</v>
      </c>
      <c r="E1339" t="s">
        <v>81</v>
      </c>
      <c r="F1339" t="s">
        <v>1017</v>
      </c>
      <c r="G1339" t="s">
        <v>1018</v>
      </c>
      <c r="H1339" t="s">
        <v>619</v>
      </c>
      <c r="I1339">
        <v>15.7</v>
      </c>
      <c r="J1339">
        <v>0</v>
      </c>
      <c r="K1339">
        <v>15.7</v>
      </c>
      <c r="O1339">
        <f t="shared" si="1122"/>
        <v>24482.81</v>
      </c>
      <c r="P1339">
        <f t="shared" si="1123"/>
        <v>16.670000000000002</v>
      </c>
      <c r="Q1339">
        <f>(ROUND((ROUND((((ET1339*1.25))*AV1339*I1339),2)*BB1339),2)+ROUND((ROUND(((AE1339-((EU1339*1.25)))*AV1339*I1339),2)*BS1339),2))</f>
        <v>1781.52</v>
      </c>
      <c r="R1339">
        <f t="shared" si="1124"/>
        <v>1099.6600000000001</v>
      </c>
      <c r="S1339">
        <f t="shared" si="1125"/>
        <v>22684.62</v>
      </c>
      <c r="T1339">
        <f t="shared" si="1126"/>
        <v>0</v>
      </c>
      <c r="U1339">
        <f t="shared" si="1127"/>
        <v>70.053399999999996</v>
      </c>
      <c r="V1339">
        <f t="shared" si="1128"/>
        <v>0</v>
      </c>
      <c r="W1339">
        <f t="shared" si="1129"/>
        <v>0</v>
      </c>
      <c r="X1339">
        <f t="shared" si="1130"/>
        <v>20869.849999999999</v>
      </c>
      <c r="Y1339">
        <f t="shared" si="1131"/>
        <v>9300.69</v>
      </c>
      <c r="AA1339">
        <v>129761633</v>
      </c>
      <c r="AB1339">
        <f t="shared" si="1132"/>
        <v>59.314500000000002</v>
      </c>
      <c r="AC1339">
        <f t="shared" si="1133"/>
        <v>0.18</v>
      </c>
      <c r="AD1339">
        <f>ROUND(((((ET1339*1.25))-((EU1339*1.25)))+AE1339),6)</f>
        <v>9.3625000000000007</v>
      </c>
      <c r="AE1339">
        <f>ROUND(((EU1339*1.25)),6)</f>
        <v>2.4125000000000001</v>
      </c>
      <c r="AF1339">
        <f>ROUND(((EV1339*1.15)),6)</f>
        <v>49.771999999999998</v>
      </c>
      <c r="AG1339">
        <f t="shared" si="1134"/>
        <v>0</v>
      </c>
      <c r="AH1339">
        <f>((EW1339*1.15))</f>
        <v>4.4619999999999997</v>
      </c>
      <c r="AI1339">
        <f>((EX1339*1.25))</f>
        <v>0</v>
      </c>
      <c r="AJ1339">
        <f t="shared" si="1135"/>
        <v>0</v>
      </c>
      <c r="AK1339">
        <v>50.95</v>
      </c>
      <c r="AL1339">
        <v>0.18</v>
      </c>
      <c r="AM1339">
        <v>7.49</v>
      </c>
      <c r="AN1339">
        <v>1.93</v>
      </c>
      <c r="AO1339">
        <v>43.28</v>
      </c>
      <c r="AP1339">
        <v>0</v>
      </c>
      <c r="AQ1339">
        <v>3.88</v>
      </c>
      <c r="AR1339">
        <v>0</v>
      </c>
      <c r="AS1339">
        <v>0</v>
      </c>
      <c r="AT1339">
        <v>92</v>
      </c>
      <c r="AU1339">
        <v>41</v>
      </c>
      <c r="AV1339">
        <v>1</v>
      </c>
      <c r="AW1339">
        <v>1</v>
      </c>
      <c r="AZ1339">
        <v>1</v>
      </c>
      <c r="BA1339">
        <v>29.03</v>
      </c>
      <c r="BB1339">
        <v>12.12</v>
      </c>
      <c r="BC1339">
        <v>5.89</v>
      </c>
      <c r="BD1339" t="s">
        <v>3</v>
      </c>
      <c r="BE1339" t="s">
        <v>3</v>
      </c>
      <c r="BF1339" t="s">
        <v>3</v>
      </c>
      <c r="BG1339" t="s">
        <v>3</v>
      </c>
      <c r="BH1339">
        <v>0</v>
      </c>
      <c r="BI1339">
        <v>1</v>
      </c>
      <c r="BJ1339" t="s">
        <v>1019</v>
      </c>
      <c r="BM1339">
        <v>1538</v>
      </c>
      <c r="BN1339">
        <v>0</v>
      </c>
      <c r="BO1339" t="s">
        <v>1017</v>
      </c>
      <c r="BP1339">
        <v>1</v>
      </c>
      <c r="BQ1339">
        <v>30</v>
      </c>
      <c r="BR1339">
        <v>0</v>
      </c>
      <c r="BS1339">
        <v>29.03</v>
      </c>
      <c r="BT1339">
        <v>1</v>
      </c>
      <c r="BU1339">
        <v>1</v>
      </c>
      <c r="BV1339">
        <v>1</v>
      </c>
      <c r="BW1339">
        <v>1</v>
      </c>
      <c r="BX1339">
        <v>1</v>
      </c>
      <c r="BY1339" t="s">
        <v>3</v>
      </c>
      <c r="BZ1339">
        <v>92</v>
      </c>
      <c r="CA1339">
        <v>41</v>
      </c>
      <c r="CB1339" t="s">
        <v>3</v>
      </c>
      <c r="CE1339">
        <v>30</v>
      </c>
      <c r="CF1339">
        <v>0</v>
      </c>
      <c r="CG1339">
        <v>0</v>
      </c>
      <c r="CM1339">
        <v>0</v>
      </c>
      <c r="CN1339" t="s">
        <v>1559</v>
      </c>
      <c r="CO1339">
        <v>0</v>
      </c>
      <c r="CP1339">
        <f t="shared" si="1136"/>
        <v>24482.809999999998</v>
      </c>
      <c r="CQ1339">
        <f t="shared" si="1137"/>
        <v>1.06</v>
      </c>
      <c r="CR1339">
        <f>(ROUND((ROUND((((ET1339*1.25))*AV1339*1),2)*BB1339),2)+ROUND((ROUND(((AE1339-((EU1339*1.25)))*AV1339*1),2)*BS1339),2))</f>
        <v>113.44</v>
      </c>
      <c r="CS1339">
        <f t="shared" si="1138"/>
        <v>69.959999999999994</v>
      </c>
      <c r="CT1339">
        <f t="shared" si="1139"/>
        <v>1444.82</v>
      </c>
      <c r="CU1339">
        <f t="shared" si="1140"/>
        <v>0</v>
      </c>
      <c r="CV1339">
        <f t="shared" si="1141"/>
        <v>4.4619999999999997</v>
      </c>
      <c r="CW1339">
        <f t="shared" si="1142"/>
        <v>0</v>
      </c>
      <c r="CX1339">
        <f t="shared" si="1143"/>
        <v>0</v>
      </c>
      <c r="CY1339">
        <f>S1339*(BZ1339/100)</f>
        <v>20869.850399999999</v>
      </c>
      <c r="CZ1339">
        <f>S1339*(CA1339/100)</f>
        <v>9300.6941999999999</v>
      </c>
      <c r="DC1339" t="s">
        <v>3</v>
      </c>
      <c r="DD1339" t="s">
        <v>3</v>
      </c>
      <c r="DE1339" t="s">
        <v>86</v>
      </c>
      <c r="DF1339" t="s">
        <v>86</v>
      </c>
      <c r="DG1339" t="s">
        <v>87</v>
      </c>
      <c r="DH1339" t="s">
        <v>3</v>
      </c>
      <c r="DI1339" t="s">
        <v>87</v>
      </c>
      <c r="DJ1339" t="s">
        <v>86</v>
      </c>
      <c r="DK1339" t="s">
        <v>3</v>
      </c>
      <c r="DL1339" t="s">
        <v>3</v>
      </c>
      <c r="DM1339" t="s">
        <v>3</v>
      </c>
      <c r="DN1339">
        <v>156</v>
      </c>
      <c r="DO1339">
        <v>84</v>
      </c>
      <c r="DP1339">
        <v>1</v>
      </c>
      <c r="DQ1339">
        <v>1</v>
      </c>
      <c r="DU1339">
        <v>1010</v>
      </c>
      <c r="DV1339" t="s">
        <v>619</v>
      </c>
      <c r="DW1339" t="s">
        <v>619</v>
      </c>
      <c r="DX1339">
        <v>10</v>
      </c>
      <c r="DZ1339" t="s">
        <v>3</v>
      </c>
      <c r="EA1339" t="s">
        <v>3</v>
      </c>
      <c r="EB1339" t="s">
        <v>3</v>
      </c>
      <c r="EC1339" t="s">
        <v>3</v>
      </c>
      <c r="EE1339">
        <v>126052999</v>
      </c>
      <c r="EF1339">
        <v>30</v>
      </c>
      <c r="EG1339" t="s">
        <v>23</v>
      </c>
      <c r="EH1339">
        <v>0</v>
      </c>
      <c r="EI1339" t="s">
        <v>3</v>
      </c>
      <c r="EJ1339">
        <v>1</v>
      </c>
      <c r="EK1339">
        <v>1538</v>
      </c>
      <c r="EL1339" t="s">
        <v>1020</v>
      </c>
      <c r="EM1339" t="s">
        <v>1021</v>
      </c>
      <c r="EO1339" t="s">
        <v>90</v>
      </c>
      <c r="EQ1339">
        <v>131072</v>
      </c>
      <c r="ER1339">
        <v>50.95</v>
      </c>
      <c r="ES1339">
        <v>0.18</v>
      </c>
      <c r="ET1339">
        <v>7.49</v>
      </c>
      <c r="EU1339">
        <v>1.93</v>
      </c>
      <c r="EV1339">
        <v>43.28</v>
      </c>
      <c r="EW1339">
        <v>3.88</v>
      </c>
      <c r="EX1339">
        <v>0</v>
      </c>
      <c r="EY1339">
        <v>0</v>
      </c>
      <c r="FQ1339">
        <v>0</v>
      </c>
      <c r="FR1339">
        <f t="shared" si="1144"/>
        <v>0</v>
      </c>
      <c r="FS1339">
        <v>0</v>
      </c>
      <c r="FX1339">
        <v>156</v>
      </c>
      <c r="FY1339">
        <v>84</v>
      </c>
      <c r="GA1339" t="s">
        <v>3</v>
      </c>
      <c r="GD1339">
        <v>0</v>
      </c>
      <c r="GF1339">
        <v>1238830603</v>
      </c>
      <c r="GG1339">
        <v>2</v>
      </c>
      <c r="GH1339">
        <v>1</v>
      </c>
      <c r="GI1339">
        <v>2</v>
      </c>
      <c r="GJ1339">
        <v>0</v>
      </c>
      <c r="GK1339">
        <f>ROUND(R1339*(S12)/100,2)</f>
        <v>1759.46</v>
      </c>
      <c r="GL1339">
        <f t="shared" si="1145"/>
        <v>0</v>
      </c>
      <c r="GM1339">
        <f t="shared" si="1146"/>
        <v>56412.81</v>
      </c>
      <c r="GN1339">
        <f t="shared" si="1147"/>
        <v>56412.81</v>
      </c>
      <c r="GO1339">
        <f t="shared" si="1148"/>
        <v>0</v>
      </c>
      <c r="GP1339">
        <f t="shared" si="1149"/>
        <v>0</v>
      </c>
      <c r="GR1339">
        <v>0</v>
      </c>
      <c r="GS1339">
        <v>3</v>
      </c>
      <c r="GT1339">
        <v>0</v>
      </c>
      <c r="GU1339" t="s">
        <v>3</v>
      </c>
      <c r="GV1339">
        <f t="shared" si="1150"/>
        <v>0</v>
      </c>
      <c r="GW1339">
        <v>1</v>
      </c>
      <c r="GX1339">
        <f t="shared" si="1151"/>
        <v>0</v>
      </c>
      <c r="HA1339">
        <v>0</v>
      </c>
      <c r="HB1339">
        <v>0</v>
      </c>
      <c r="HC1339">
        <f t="shared" si="1152"/>
        <v>0</v>
      </c>
      <c r="HE1339" t="s">
        <v>3</v>
      </c>
      <c r="HF1339" t="s">
        <v>3</v>
      </c>
      <c r="HM1339" t="s">
        <v>3</v>
      </c>
      <c r="HN1339" t="s">
        <v>3</v>
      </c>
      <c r="HO1339" t="s">
        <v>3</v>
      </c>
      <c r="HP1339" t="s">
        <v>3</v>
      </c>
      <c r="HQ1339" t="s">
        <v>3</v>
      </c>
      <c r="IK1339">
        <v>0</v>
      </c>
    </row>
    <row r="1340" spans="1:255" x14ac:dyDescent="0.2">
      <c r="A1340" s="2">
        <v>18</v>
      </c>
      <c r="B1340" s="2">
        <v>1</v>
      </c>
      <c r="C1340" s="2">
        <v>1089</v>
      </c>
      <c r="D1340" s="2"/>
      <c r="E1340" s="2" t="s">
        <v>91</v>
      </c>
      <c r="F1340" s="2" t="s">
        <v>1022</v>
      </c>
      <c r="G1340" s="2" t="s">
        <v>1023</v>
      </c>
      <c r="H1340" s="2" t="s">
        <v>114</v>
      </c>
      <c r="I1340" s="2">
        <f>I1338*J1340</f>
        <v>2.2529499999999998</v>
      </c>
      <c r="J1340" s="2">
        <v>0.14349999999999999</v>
      </c>
      <c r="K1340" s="2">
        <v>0.14349999999999999</v>
      </c>
      <c r="L1340" s="2"/>
      <c r="M1340" s="2"/>
      <c r="N1340" s="2"/>
      <c r="O1340" s="2">
        <f t="shared" si="1122"/>
        <v>987.63</v>
      </c>
      <c r="P1340" s="2">
        <f t="shared" si="1123"/>
        <v>987.63</v>
      </c>
      <c r="Q1340" s="2">
        <f t="shared" ref="Q1340:Q1347" si="1155">(ROUND((ROUND(((ET1340)*AV1340*I1340),2)*BB1340),2)+ROUND((ROUND(((AE1340-(EU1340))*AV1340*I1340),2)*BS1340),2))</f>
        <v>0</v>
      </c>
      <c r="R1340" s="2">
        <f t="shared" si="1124"/>
        <v>0</v>
      </c>
      <c r="S1340" s="2">
        <f t="shared" si="1125"/>
        <v>0</v>
      </c>
      <c r="T1340" s="2">
        <f t="shared" si="1126"/>
        <v>0</v>
      </c>
      <c r="U1340" s="2">
        <f t="shared" si="1127"/>
        <v>0</v>
      </c>
      <c r="V1340" s="2">
        <f t="shared" si="1128"/>
        <v>0</v>
      </c>
      <c r="W1340" s="2">
        <f t="shared" si="1129"/>
        <v>0</v>
      </c>
      <c r="X1340" s="2">
        <f t="shared" si="1130"/>
        <v>0</v>
      </c>
      <c r="Y1340" s="2">
        <f t="shared" si="1131"/>
        <v>0</v>
      </c>
      <c r="Z1340" s="2"/>
      <c r="AA1340" s="2">
        <v>129761636</v>
      </c>
      <c r="AB1340" s="2">
        <f t="shared" si="1132"/>
        <v>438.37</v>
      </c>
      <c r="AC1340" s="2">
        <f t="shared" si="1133"/>
        <v>438.37</v>
      </c>
      <c r="AD1340" s="2">
        <f t="shared" ref="AD1340:AD1347" si="1156">ROUND((((ET1340)-(EU1340))+AE1340),6)</f>
        <v>0</v>
      </c>
      <c r="AE1340" s="2">
        <f t="shared" ref="AE1340:AF1347" si="1157">ROUND((EU1340),6)</f>
        <v>0</v>
      </c>
      <c r="AF1340" s="2">
        <f t="shared" si="1157"/>
        <v>0</v>
      </c>
      <c r="AG1340" s="2">
        <f t="shared" si="1134"/>
        <v>0</v>
      </c>
      <c r="AH1340" s="2">
        <f t="shared" ref="AH1340:AI1347" si="1158">(EW1340)</f>
        <v>0</v>
      </c>
      <c r="AI1340" s="2">
        <f t="shared" si="1158"/>
        <v>0</v>
      </c>
      <c r="AJ1340" s="2">
        <f t="shared" si="1135"/>
        <v>0</v>
      </c>
      <c r="AK1340" s="2">
        <v>438.37</v>
      </c>
      <c r="AL1340" s="2">
        <v>438.37</v>
      </c>
      <c r="AM1340" s="2">
        <v>0</v>
      </c>
      <c r="AN1340" s="2">
        <v>0</v>
      </c>
      <c r="AO1340" s="2">
        <v>0</v>
      </c>
      <c r="AP1340" s="2">
        <v>0</v>
      </c>
      <c r="AQ1340" s="2">
        <v>0</v>
      </c>
      <c r="AR1340" s="2">
        <v>0</v>
      </c>
      <c r="AS1340" s="2">
        <v>0</v>
      </c>
      <c r="AT1340" s="2">
        <v>156</v>
      </c>
      <c r="AU1340" s="2">
        <v>84</v>
      </c>
      <c r="AV1340" s="2">
        <v>1</v>
      </c>
      <c r="AW1340" s="2">
        <v>1</v>
      </c>
      <c r="AX1340" s="2"/>
      <c r="AY1340" s="2"/>
      <c r="AZ1340" s="2">
        <v>1</v>
      </c>
      <c r="BA1340" s="2">
        <v>1</v>
      </c>
      <c r="BB1340" s="2">
        <v>1</v>
      </c>
      <c r="BC1340" s="2">
        <v>1</v>
      </c>
      <c r="BD1340" s="2" t="s">
        <v>3</v>
      </c>
      <c r="BE1340" s="2" t="s">
        <v>3</v>
      </c>
      <c r="BF1340" s="2" t="s">
        <v>3</v>
      </c>
      <c r="BG1340" s="2" t="s">
        <v>3</v>
      </c>
      <c r="BH1340" s="2">
        <v>3</v>
      </c>
      <c r="BI1340" s="2">
        <v>1</v>
      </c>
      <c r="BJ1340" s="2" t="s">
        <v>1024</v>
      </c>
      <c r="BK1340" s="2"/>
      <c r="BL1340" s="2"/>
      <c r="BM1340" s="2">
        <v>1538</v>
      </c>
      <c r="BN1340" s="2">
        <v>0</v>
      </c>
      <c r="BO1340" s="2" t="s">
        <v>3</v>
      </c>
      <c r="BP1340" s="2">
        <v>0</v>
      </c>
      <c r="BQ1340" s="2">
        <v>30</v>
      </c>
      <c r="BR1340" s="2">
        <v>0</v>
      </c>
      <c r="BS1340" s="2">
        <v>1</v>
      </c>
      <c r="BT1340" s="2">
        <v>1</v>
      </c>
      <c r="BU1340" s="2">
        <v>1</v>
      </c>
      <c r="BV1340" s="2">
        <v>1</v>
      </c>
      <c r="BW1340" s="2">
        <v>1</v>
      </c>
      <c r="BX1340" s="2">
        <v>1</v>
      </c>
      <c r="BY1340" s="2" t="s">
        <v>3</v>
      </c>
      <c r="BZ1340" s="2">
        <v>156</v>
      </c>
      <c r="CA1340" s="2">
        <v>84</v>
      </c>
      <c r="CB1340" s="2" t="s">
        <v>3</v>
      </c>
      <c r="CC1340" s="2"/>
      <c r="CD1340" s="2"/>
      <c r="CE1340" s="2">
        <v>30</v>
      </c>
      <c r="CF1340" s="2">
        <v>0</v>
      </c>
      <c r="CG1340" s="2">
        <v>0</v>
      </c>
      <c r="CH1340" s="2"/>
      <c r="CI1340" s="2"/>
      <c r="CJ1340" s="2"/>
      <c r="CK1340" s="2"/>
      <c r="CL1340" s="2"/>
      <c r="CM1340" s="2">
        <v>0</v>
      </c>
      <c r="CN1340" s="2" t="s">
        <v>3</v>
      </c>
      <c r="CO1340" s="2">
        <v>0</v>
      </c>
      <c r="CP1340" s="2">
        <f t="shared" si="1136"/>
        <v>987.63</v>
      </c>
      <c r="CQ1340" s="2">
        <f t="shared" si="1137"/>
        <v>438.37</v>
      </c>
      <c r="CR1340" s="2">
        <f t="shared" ref="CR1340:CR1347" si="1159">(ROUND((ROUND(((ET1340)*AV1340*1),2)*BB1340),2)+ROUND((ROUND(((AE1340-(EU1340))*AV1340*1),2)*BS1340),2))</f>
        <v>0</v>
      </c>
      <c r="CS1340" s="2">
        <f t="shared" si="1138"/>
        <v>0</v>
      </c>
      <c r="CT1340" s="2">
        <f t="shared" si="1139"/>
        <v>0</v>
      </c>
      <c r="CU1340" s="2">
        <f t="shared" si="1140"/>
        <v>0</v>
      </c>
      <c r="CV1340" s="2">
        <f t="shared" si="1141"/>
        <v>0</v>
      </c>
      <c r="CW1340" s="2">
        <f t="shared" si="1142"/>
        <v>0</v>
      </c>
      <c r="CX1340" s="2">
        <f t="shared" si="1143"/>
        <v>0</v>
      </c>
      <c r="CY1340" s="2">
        <f>((S1340*BZ1340)/100)</f>
        <v>0</v>
      </c>
      <c r="CZ1340" s="2">
        <f>((S1340*CA1340)/100)</f>
        <v>0</v>
      </c>
      <c r="DA1340" s="2"/>
      <c r="DB1340" s="2"/>
      <c r="DC1340" s="2" t="s">
        <v>3</v>
      </c>
      <c r="DD1340" s="2" t="s">
        <v>3</v>
      </c>
      <c r="DE1340" s="2" t="s">
        <v>3</v>
      </c>
      <c r="DF1340" s="2" t="s">
        <v>3</v>
      </c>
      <c r="DG1340" s="2" t="s">
        <v>3</v>
      </c>
      <c r="DH1340" s="2" t="s">
        <v>3</v>
      </c>
      <c r="DI1340" s="2" t="s">
        <v>3</v>
      </c>
      <c r="DJ1340" s="2" t="s">
        <v>3</v>
      </c>
      <c r="DK1340" s="2" t="s">
        <v>3</v>
      </c>
      <c r="DL1340" s="2" t="s">
        <v>3</v>
      </c>
      <c r="DM1340" s="2" t="s">
        <v>3</v>
      </c>
      <c r="DN1340" s="2">
        <v>0</v>
      </c>
      <c r="DO1340" s="2">
        <v>0</v>
      </c>
      <c r="DP1340" s="2">
        <v>1</v>
      </c>
      <c r="DQ1340" s="2">
        <v>1</v>
      </c>
      <c r="DR1340" s="2"/>
      <c r="DS1340" s="2"/>
      <c r="DT1340" s="2"/>
      <c r="DU1340" s="2">
        <v>1009</v>
      </c>
      <c r="DV1340" s="2" t="s">
        <v>114</v>
      </c>
      <c r="DW1340" s="2" t="s">
        <v>114</v>
      </c>
      <c r="DX1340" s="2">
        <v>1000</v>
      </c>
      <c r="DY1340" s="2"/>
      <c r="DZ1340" s="2" t="s">
        <v>3</v>
      </c>
      <c r="EA1340" s="2" t="s">
        <v>3</v>
      </c>
      <c r="EB1340" s="2" t="s">
        <v>3</v>
      </c>
      <c r="EC1340" s="2" t="s">
        <v>3</v>
      </c>
      <c r="ED1340" s="2"/>
      <c r="EE1340" s="2">
        <v>126052999</v>
      </c>
      <c r="EF1340" s="2">
        <v>30</v>
      </c>
      <c r="EG1340" s="2" t="s">
        <v>23</v>
      </c>
      <c r="EH1340" s="2">
        <v>0</v>
      </c>
      <c r="EI1340" s="2" t="s">
        <v>3</v>
      </c>
      <c r="EJ1340" s="2">
        <v>1</v>
      </c>
      <c r="EK1340" s="2">
        <v>1538</v>
      </c>
      <c r="EL1340" s="2" t="s">
        <v>1020</v>
      </c>
      <c r="EM1340" s="2" t="s">
        <v>1021</v>
      </c>
      <c r="EN1340" s="2"/>
      <c r="EO1340" s="2" t="s">
        <v>3</v>
      </c>
      <c r="EP1340" s="2"/>
      <c r="EQ1340" s="2">
        <v>0</v>
      </c>
      <c r="ER1340" s="2">
        <v>438.37</v>
      </c>
      <c r="ES1340" s="2">
        <v>438.37</v>
      </c>
      <c r="ET1340" s="2">
        <v>0</v>
      </c>
      <c r="EU1340" s="2">
        <v>0</v>
      </c>
      <c r="EV1340" s="2">
        <v>0</v>
      </c>
      <c r="EW1340" s="2">
        <v>0</v>
      </c>
      <c r="EX1340" s="2">
        <v>0</v>
      </c>
      <c r="EY1340" s="2"/>
      <c r="EZ1340" s="2"/>
      <c r="FA1340" s="2"/>
      <c r="FB1340" s="2"/>
      <c r="FC1340" s="2"/>
      <c r="FD1340" s="2"/>
      <c r="FE1340" s="2"/>
      <c r="FF1340" s="2"/>
      <c r="FG1340" s="2"/>
      <c r="FH1340" s="2"/>
      <c r="FI1340" s="2"/>
      <c r="FJ1340" s="2"/>
      <c r="FK1340" s="2"/>
      <c r="FL1340" s="2"/>
      <c r="FM1340" s="2"/>
      <c r="FN1340" s="2"/>
      <c r="FO1340" s="2"/>
      <c r="FP1340" s="2"/>
      <c r="FQ1340" s="2">
        <v>0</v>
      </c>
      <c r="FR1340" s="2">
        <f t="shared" si="1144"/>
        <v>0</v>
      </c>
      <c r="FS1340" s="2">
        <v>0</v>
      </c>
      <c r="FT1340" s="2"/>
      <c r="FU1340" s="2"/>
      <c r="FV1340" s="2"/>
      <c r="FW1340" s="2"/>
      <c r="FX1340" s="2">
        <v>156</v>
      </c>
      <c r="FY1340" s="2">
        <v>84</v>
      </c>
      <c r="FZ1340" s="2"/>
      <c r="GA1340" s="2" t="s">
        <v>3</v>
      </c>
      <c r="GB1340" s="2"/>
      <c r="GC1340" s="2"/>
      <c r="GD1340" s="2">
        <v>0</v>
      </c>
      <c r="GE1340" s="2"/>
      <c r="GF1340" s="2">
        <v>2029920186</v>
      </c>
      <c r="GG1340" s="2">
        <v>2</v>
      </c>
      <c r="GH1340" s="2">
        <v>1</v>
      </c>
      <c r="GI1340" s="2">
        <v>-2</v>
      </c>
      <c r="GJ1340" s="2">
        <v>0</v>
      </c>
      <c r="GK1340" s="2">
        <f>ROUND(R1340*(R12)/100,2)</f>
        <v>0</v>
      </c>
      <c r="GL1340" s="2">
        <f t="shared" si="1145"/>
        <v>0</v>
      </c>
      <c r="GM1340" s="2">
        <f t="shared" si="1146"/>
        <v>987.63</v>
      </c>
      <c r="GN1340" s="2">
        <f t="shared" si="1147"/>
        <v>987.63</v>
      </c>
      <c r="GO1340" s="2">
        <f t="shared" si="1148"/>
        <v>0</v>
      </c>
      <c r="GP1340" s="2">
        <f t="shared" si="1149"/>
        <v>0</v>
      </c>
      <c r="GQ1340" s="2"/>
      <c r="GR1340" s="2">
        <v>0</v>
      </c>
      <c r="GS1340" s="2">
        <v>0</v>
      </c>
      <c r="GT1340" s="2">
        <v>0</v>
      </c>
      <c r="GU1340" s="2" t="s">
        <v>3</v>
      </c>
      <c r="GV1340" s="2">
        <f t="shared" si="1150"/>
        <v>0</v>
      </c>
      <c r="GW1340" s="2">
        <v>1</v>
      </c>
      <c r="GX1340" s="2">
        <f t="shared" si="1151"/>
        <v>0</v>
      </c>
      <c r="GY1340" s="2"/>
      <c r="GZ1340" s="2"/>
      <c r="HA1340" s="2">
        <v>0</v>
      </c>
      <c r="HB1340" s="2">
        <v>0</v>
      </c>
      <c r="HC1340" s="2">
        <f t="shared" si="1152"/>
        <v>0</v>
      </c>
      <c r="HD1340" s="2"/>
      <c r="HE1340" s="2" t="s">
        <v>3</v>
      </c>
      <c r="HF1340" s="2" t="s">
        <v>3</v>
      </c>
      <c r="HG1340" s="2"/>
      <c r="HH1340" s="2"/>
      <c r="HI1340" s="2"/>
      <c r="HJ1340" s="2"/>
      <c r="HK1340" s="2"/>
      <c r="HL1340" s="2"/>
      <c r="HM1340" s="2" t="s">
        <v>3</v>
      </c>
      <c r="HN1340" s="2" t="s">
        <v>3</v>
      </c>
      <c r="HO1340" s="2" t="s">
        <v>3</v>
      </c>
      <c r="HP1340" s="2" t="s">
        <v>3</v>
      </c>
      <c r="HQ1340" s="2" t="s">
        <v>3</v>
      </c>
      <c r="HR1340" s="2"/>
      <c r="HS1340" s="2"/>
      <c r="HT1340" s="2"/>
      <c r="HU1340" s="2"/>
      <c r="HV1340" s="2"/>
      <c r="HW1340" s="2"/>
      <c r="HX1340" s="2"/>
      <c r="HY1340" s="2"/>
      <c r="HZ1340" s="2"/>
      <c r="IA1340" s="2"/>
      <c r="IB1340" s="2"/>
      <c r="IC1340" s="2"/>
      <c r="ID1340" s="2"/>
      <c r="IE1340" s="2"/>
      <c r="IF1340" s="2"/>
      <c r="IG1340" s="2"/>
      <c r="IH1340" s="2"/>
      <c r="II1340" s="2"/>
      <c r="IJ1340" s="2"/>
      <c r="IK1340" s="2">
        <v>0</v>
      </c>
      <c r="IL1340" s="2"/>
      <c r="IM1340" s="2"/>
      <c r="IN1340" s="2"/>
      <c r="IO1340" s="2"/>
      <c r="IP1340" s="2"/>
      <c r="IQ1340" s="2"/>
      <c r="IR1340" s="2"/>
      <c r="IS1340" s="2"/>
      <c r="IT1340" s="2"/>
      <c r="IU1340" s="2"/>
    </row>
    <row r="1341" spans="1:255" x14ac:dyDescent="0.2">
      <c r="A1341">
        <v>18</v>
      </c>
      <c r="B1341">
        <v>1</v>
      </c>
      <c r="C1341">
        <v>1096</v>
      </c>
      <c r="E1341" t="s">
        <v>91</v>
      </c>
      <c r="F1341" t="s">
        <v>1022</v>
      </c>
      <c r="G1341" t="s">
        <v>1023</v>
      </c>
      <c r="H1341" t="s">
        <v>114</v>
      </c>
      <c r="I1341">
        <f>I1339*J1341</f>
        <v>2.2529499999999998</v>
      </c>
      <c r="J1341">
        <v>0.14349999999999999</v>
      </c>
      <c r="K1341">
        <v>0.14349999999999999</v>
      </c>
      <c r="O1341">
        <f t="shared" si="1122"/>
        <v>15683.56</v>
      </c>
      <c r="P1341">
        <f t="shared" si="1123"/>
        <v>15683.56</v>
      </c>
      <c r="Q1341">
        <f t="shared" si="1155"/>
        <v>0</v>
      </c>
      <c r="R1341">
        <f t="shared" si="1124"/>
        <v>0</v>
      </c>
      <c r="S1341">
        <f t="shared" si="1125"/>
        <v>0</v>
      </c>
      <c r="T1341">
        <f t="shared" si="1126"/>
        <v>0</v>
      </c>
      <c r="U1341">
        <f t="shared" si="1127"/>
        <v>0</v>
      </c>
      <c r="V1341">
        <f t="shared" si="1128"/>
        <v>0</v>
      </c>
      <c r="W1341">
        <f t="shared" si="1129"/>
        <v>0</v>
      </c>
      <c r="X1341">
        <f t="shared" si="1130"/>
        <v>0</v>
      </c>
      <c r="Y1341">
        <f t="shared" si="1131"/>
        <v>0</v>
      </c>
      <c r="AA1341">
        <v>129761633</v>
      </c>
      <c r="AB1341">
        <f t="shared" si="1132"/>
        <v>438.37</v>
      </c>
      <c r="AC1341">
        <f t="shared" si="1133"/>
        <v>438.37</v>
      </c>
      <c r="AD1341">
        <f t="shared" si="1156"/>
        <v>0</v>
      </c>
      <c r="AE1341">
        <f t="shared" si="1157"/>
        <v>0</v>
      </c>
      <c r="AF1341">
        <f t="shared" si="1157"/>
        <v>0</v>
      </c>
      <c r="AG1341">
        <f t="shared" si="1134"/>
        <v>0</v>
      </c>
      <c r="AH1341">
        <f t="shared" si="1158"/>
        <v>0</v>
      </c>
      <c r="AI1341">
        <f t="shared" si="1158"/>
        <v>0</v>
      </c>
      <c r="AJ1341">
        <f t="shared" si="1135"/>
        <v>0</v>
      </c>
      <c r="AK1341">
        <v>438.37</v>
      </c>
      <c r="AL1341">
        <v>438.37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1</v>
      </c>
      <c r="AW1341">
        <v>1</v>
      </c>
      <c r="AZ1341">
        <v>1</v>
      </c>
      <c r="BA1341">
        <v>1</v>
      </c>
      <c r="BB1341">
        <v>1</v>
      </c>
      <c r="BC1341">
        <v>15.88</v>
      </c>
      <c r="BD1341" t="s">
        <v>3</v>
      </c>
      <c r="BE1341" t="s">
        <v>3</v>
      </c>
      <c r="BF1341" t="s">
        <v>3</v>
      </c>
      <c r="BG1341" t="s">
        <v>3</v>
      </c>
      <c r="BH1341">
        <v>3</v>
      </c>
      <c r="BI1341">
        <v>1</v>
      </c>
      <c r="BJ1341" t="s">
        <v>1024</v>
      </c>
      <c r="BM1341">
        <v>1538</v>
      </c>
      <c r="BN1341">
        <v>0</v>
      </c>
      <c r="BO1341" t="s">
        <v>1022</v>
      </c>
      <c r="BP1341">
        <v>1</v>
      </c>
      <c r="BQ1341">
        <v>30</v>
      </c>
      <c r="BR1341">
        <v>0</v>
      </c>
      <c r="BS1341">
        <v>1</v>
      </c>
      <c r="BT1341">
        <v>1</v>
      </c>
      <c r="BU1341">
        <v>1</v>
      </c>
      <c r="BV1341">
        <v>1</v>
      </c>
      <c r="BW1341">
        <v>1</v>
      </c>
      <c r="BX1341">
        <v>1</v>
      </c>
      <c r="BY1341" t="s">
        <v>3</v>
      </c>
      <c r="BZ1341">
        <v>0</v>
      </c>
      <c r="CA1341">
        <v>0</v>
      </c>
      <c r="CB1341" t="s">
        <v>3</v>
      </c>
      <c r="CE1341">
        <v>30</v>
      </c>
      <c r="CF1341">
        <v>0</v>
      </c>
      <c r="CG1341">
        <v>0</v>
      </c>
      <c r="CM1341">
        <v>0</v>
      </c>
      <c r="CN1341" t="s">
        <v>3</v>
      </c>
      <c r="CO1341">
        <v>0</v>
      </c>
      <c r="CP1341">
        <f t="shared" si="1136"/>
        <v>15683.56</v>
      </c>
      <c r="CQ1341">
        <f t="shared" si="1137"/>
        <v>6961.32</v>
      </c>
      <c r="CR1341">
        <f t="shared" si="1159"/>
        <v>0</v>
      </c>
      <c r="CS1341">
        <f t="shared" si="1138"/>
        <v>0</v>
      </c>
      <c r="CT1341">
        <f t="shared" si="1139"/>
        <v>0</v>
      </c>
      <c r="CU1341">
        <f t="shared" si="1140"/>
        <v>0</v>
      </c>
      <c r="CV1341">
        <f t="shared" si="1141"/>
        <v>0</v>
      </c>
      <c r="CW1341">
        <f t="shared" si="1142"/>
        <v>0</v>
      </c>
      <c r="CX1341">
        <f t="shared" si="1143"/>
        <v>0</v>
      </c>
      <c r="CY1341">
        <f>S1341*(BZ1341/100)</f>
        <v>0</v>
      </c>
      <c r="CZ1341">
        <f>S1341*(CA1341/100)</f>
        <v>0</v>
      </c>
      <c r="DC1341" t="s">
        <v>3</v>
      </c>
      <c r="DD1341" t="s">
        <v>3</v>
      </c>
      <c r="DE1341" t="s">
        <v>3</v>
      </c>
      <c r="DF1341" t="s">
        <v>3</v>
      </c>
      <c r="DG1341" t="s">
        <v>3</v>
      </c>
      <c r="DH1341" t="s">
        <v>3</v>
      </c>
      <c r="DI1341" t="s">
        <v>3</v>
      </c>
      <c r="DJ1341" t="s">
        <v>3</v>
      </c>
      <c r="DK1341" t="s">
        <v>3</v>
      </c>
      <c r="DL1341" t="s">
        <v>3</v>
      </c>
      <c r="DM1341" t="s">
        <v>3</v>
      </c>
      <c r="DN1341">
        <v>156</v>
      </c>
      <c r="DO1341">
        <v>84</v>
      </c>
      <c r="DP1341">
        <v>1</v>
      </c>
      <c r="DQ1341">
        <v>1</v>
      </c>
      <c r="DU1341">
        <v>1009</v>
      </c>
      <c r="DV1341" t="s">
        <v>114</v>
      </c>
      <c r="DW1341" t="s">
        <v>114</v>
      </c>
      <c r="DX1341">
        <v>1000</v>
      </c>
      <c r="DZ1341" t="s">
        <v>3</v>
      </c>
      <c r="EA1341" t="s">
        <v>3</v>
      </c>
      <c r="EB1341" t="s">
        <v>3</v>
      </c>
      <c r="EC1341" t="s">
        <v>3</v>
      </c>
      <c r="EE1341">
        <v>126052999</v>
      </c>
      <c r="EF1341">
        <v>30</v>
      </c>
      <c r="EG1341" t="s">
        <v>23</v>
      </c>
      <c r="EH1341">
        <v>0</v>
      </c>
      <c r="EI1341" t="s">
        <v>3</v>
      </c>
      <c r="EJ1341">
        <v>1</v>
      </c>
      <c r="EK1341">
        <v>1538</v>
      </c>
      <c r="EL1341" t="s">
        <v>1020</v>
      </c>
      <c r="EM1341" t="s">
        <v>1021</v>
      </c>
      <c r="EO1341" t="s">
        <v>3</v>
      </c>
      <c r="EQ1341">
        <v>0</v>
      </c>
      <c r="ER1341">
        <v>438.37</v>
      </c>
      <c r="ES1341">
        <v>438.37</v>
      </c>
      <c r="ET1341">
        <v>0</v>
      </c>
      <c r="EU1341">
        <v>0</v>
      </c>
      <c r="EV1341">
        <v>0</v>
      </c>
      <c r="EW1341">
        <v>0</v>
      </c>
      <c r="EX1341">
        <v>0</v>
      </c>
      <c r="FQ1341">
        <v>0</v>
      </c>
      <c r="FR1341">
        <f t="shared" si="1144"/>
        <v>0</v>
      </c>
      <c r="FS1341">
        <v>0</v>
      </c>
      <c r="FX1341">
        <v>156</v>
      </c>
      <c r="FY1341">
        <v>84</v>
      </c>
      <c r="GA1341" t="s">
        <v>3</v>
      </c>
      <c r="GD1341">
        <v>0</v>
      </c>
      <c r="GF1341">
        <v>2029920186</v>
      </c>
      <c r="GG1341">
        <v>2</v>
      </c>
      <c r="GH1341">
        <v>1</v>
      </c>
      <c r="GI1341">
        <v>2</v>
      </c>
      <c r="GJ1341">
        <v>0</v>
      </c>
      <c r="GK1341">
        <f>ROUND(R1341*(S12)/100,2)</f>
        <v>0</v>
      </c>
      <c r="GL1341">
        <f t="shared" si="1145"/>
        <v>0</v>
      </c>
      <c r="GM1341">
        <f t="shared" si="1146"/>
        <v>15683.56</v>
      </c>
      <c r="GN1341">
        <f t="shared" si="1147"/>
        <v>15683.56</v>
      </c>
      <c r="GO1341">
        <f t="shared" si="1148"/>
        <v>0</v>
      </c>
      <c r="GP1341">
        <f t="shared" si="1149"/>
        <v>0</v>
      </c>
      <c r="GR1341">
        <v>0</v>
      </c>
      <c r="GS1341">
        <v>3</v>
      </c>
      <c r="GT1341">
        <v>0</v>
      </c>
      <c r="GU1341" t="s">
        <v>3</v>
      </c>
      <c r="GV1341">
        <f t="shared" si="1150"/>
        <v>0</v>
      </c>
      <c r="GW1341">
        <v>1</v>
      </c>
      <c r="GX1341">
        <f t="shared" si="1151"/>
        <v>0</v>
      </c>
      <c r="HA1341">
        <v>0</v>
      </c>
      <c r="HB1341">
        <v>0</v>
      </c>
      <c r="HC1341">
        <f t="shared" si="1152"/>
        <v>0</v>
      </c>
      <c r="HE1341" t="s">
        <v>3</v>
      </c>
      <c r="HF1341" t="s">
        <v>3</v>
      </c>
      <c r="HM1341" t="s">
        <v>3</v>
      </c>
      <c r="HN1341" t="s">
        <v>3</v>
      </c>
      <c r="HO1341" t="s">
        <v>3</v>
      </c>
      <c r="HP1341" t="s">
        <v>3</v>
      </c>
      <c r="HQ1341" t="s">
        <v>3</v>
      </c>
      <c r="IK1341">
        <v>0</v>
      </c>
    </row>
    <row r="1342" spans="1:255" x14ac:dyDescent="0.2">
      <c r="A1342" s="2">
        <v>18</v>
      </c>
      <c r="B1342" s="2">
        <v>1</v>
      </c>
      <c r="C1342" s="2">
        <v>1091</v>
      </c>
      <c r="D1342" s="2"/>
      <c r="E1342" s="2" t="s">
        <v>1025</v>
      </c>
      <c r="F1342" s="2" t="s">
        <v>248</v>
      </c>
      <c r="G1342" s="2" t="s">
        <v>1026</v>
      </c>
      <c r="H1342" s="2" t="s">
        <v>250</v>
      </c>
      <c r="I1342" s="2">
        <f>I1338*J1342</f>
        <v>157</v>
      </c>
      <c r="J1342" s="2">
        <v>10</v>
      </c>
      <c r="K1342" s="2">
        <v>10</v>
      </c>
      <c r="L1342" s="2"/>
      <c r="M1342" s="2"/>
      <c r="N1342" s="2"/>
      <c r="O1342" s="2">
        <f t="shared" si="1122"/>
        <v>0</v>
      </c>
      <c r="P1342" s="2">
        <f t="shared" si="1123"/>
        <v>0</v>
      </c>
      <c r="Q1342" s="2">
        <f t="shared" si="1155"/>
        <v>0</v>
      </c>
      <c r="R1342" s="2">
        <f t="shared" si="1124"/>
        <v>0</v>
      </c>
      <c r="S1342" s="2">
        <f t="shared" si="1125"/>
        <v>0</v>
      </c>
      <c r="T1342" s="2">
        <f t="shared" si="1126"/>
        <v>0</v>
      </c>
      <c r="U1342" s="2">
        <f t="shared" si="1127"/>
        <v>0</v>
      </c>
      <c r="V1342" s="2">
        <f t="shared" si="1128"/>
        <v>0</v>
      </c>
      <c r="W1342" s="2">
        <f t="shared" si="1129"/>
        <v>0</v>
      </c>
      <c r="X1342" s="2">
        <f t="shared" si="1130"/>
        <v>0</v>
      </c>
      <c r="Y1342" s="2">
        <f t="shared" si="1131"/>
        <v>0</v>
      </c>
      <c r="Z1342" s="2"/>
      <c r="AA1342" s="2">
        <v>129761636</v>
      </c>
      <c r="AB1342" s="2">
        <f t="shared" si="1132"/>
        <v>0</v>
      </c>
      <c r="AC1342" s="2">
        <f t="shared" si="1133"/>
        <v>0</v>
      </c>
      <c r="AD1342" s="2">
        <f t="shared" si="1156"/>
        <v>0</v>
      </c>
      <c r="AE1342" s="2">
        <f t="shared" si="1157"/>
        <v>0</v>
      </c>
      <c r="AF1342" s="2">
        <f t="shared" si="1157"/>
        <v>0</v>
      </c>
      <c r="AG1342" s="2">
        <f t="shared" si="1134"/>
        <v>0</v>
      </c>
      <c r="AH1342" s="2">
        <f t="shared" si="1158"/>
        <v>0</v>
      </c>
      <c r="AI1342" s="2">
        <f t="shared" si="1158"/>
        <v>0</v>
      </c>
      <c r="AJ1342" s="2">
        <f t="shared" si="1135"/>
        <v>0</v>
      </c>
      <c r="AK1342" s="2">
        <v>0</v>
      </c>
      <c r="AL1342" s="2">
        <v>0</v>
      </c>
      <c r="AM1342" s="2">
        <v>0</v>
      </c>
      <c r="AN1342" s="2">
        <v>0</v>
      </c>
      <c r="AO1342" s="2">
        <v>0</v>
      </c>
      <c r="AP1342" s="2">
        <v>0</v>
      </c>
      <c r="AQ1342" s="2">
        <v>0</v>
      </c>
      <c r="AR1342" s="2">
        <v>0</v>
      </c>
      <c r="AS1342" s="2">
        <v>0</v>
      </c>
      <c r="AT1342" s="2">
        <v>156</v>
      </c>
      <c r="AU1342" s="2">
        <v>84</v>
      </c>
      <c r="AV1342" s="2">
        <v>1</v>
      </c>
      <c r="AW1342" s="2">
        <v>1</v>
      </c>
      <c r="AX1342" s="2"/>
      <c r="AY1342" s="2"/>
      <c r="AZ1342" s="2">
        <v>1</v>
      </c>
      <c r="BA1342" s="2">
        <v>1</v>
      </c>
      <c r="BB1342" s="2">
        <v>1</v>
      </c>
      <c r="BC1342" s="2">
        <v>1</v>
      </c>
      <c r="BD1342" s="2" t="s">
        <v>3</v>
      </c>
      <c r="BE1342" s="2" t="s">
        <v>3</v>
      </c>
      <c r="BF1342" s="2" t="s">
        <v>3</v>
      </c>
      <c r="BG1342" s="2" t="s">
        <v>3</v>
      </c>
      <c r="BH1342" s="2">
        <v>3</v>
      </c>
      <c r="BI1342" s="2">
        <v>1</v>
      </c>
      <c r="BJ1342" s="2" t="s">
        <v>3</v>
      </c>
      <c r="BK1342" s="2"/>
      <c r="BL1342" s="2"/>
      <c r="BM1342" s="2">
        <v>1538</v>
      </c>
      <c r="BN1342" s="2">
        <v>0</v>
      </c>
      <c r="BO1342" s="2" t="s">
        <v>3</v>
      </c>
      <c r="BP1342" s="2">
        <v>0</v>
      </c>
      <c r="BQ1342" s="2">
        <v>30</v>
      </c>
      <c r="BR1342" s="2">
        <v>0</v>
      </c>
      <c r="BS1342" s="2">
        <v>1</v>
      </c>
      <c r="BT1342" s="2">
        <v>1</v>
      </c>
      <c r="BU1342" s="2">
        <v>1</v>
      </c>
      <c r="BV1342" s="2">
        <v>1</v>
      </c>
      <c r="BW1342" s="2">
        <v>1</v>
      </c>
      <c r="BX1342" s="2">
        <v>1</v>
      </c>
      <c r="BY1342" s="2" t="s">
        <v>3</v>
      </c>
      <c r="BZ1342" s="2">
        <v>156</v>
      </c>
      <c r="CA1342" s="2">
        <v>84</v>
      </c>
      <c r="CB1342" s="2" t="s">
        <v>3</v>
      </c>
      <c r="CC1342" s="2"/>
      <c r="CD1342" s="2"/>
      <c r="CE1342" s="2">
        <v>30</v>
      </c>
      <c r="CF1342" s="2">
        <v>0</v>
      </c>
      <c r="CG1342" s="2">
        <v>0</v>
      </c>
      <c r="CH1342" s="2"/>
      <c r="CI1342" s="2"/>
      <c r="CJ1342" s="2"/>
      <c r="CK1342" s="2"/>
      <c r="CL1342" s="2"/>
      <c r="CM1342" s="2">
        <v>0</v>
      </c>
      <c r="CN1342" s="2" t="s">
        <v>3</v>
      </c>
      <c r="CO1342" s="2">
        <v>0</v>
      </c>
      <c r="CP1342" s="2">
        <f t="shared" si="1136"/>
        <v>0</v>
      </c>
      <c r="CQ1342" s="2">
        <f t="shared" si="1137"/>
        <v>0</v>
      </c>
      <c r="CR1342" s="2">
        <f t="shared" si="1159"/>
        <v>0</v>
      </c>
      <c r="CS1342" s="2">
        <f t="shared" si="1138"/>
        <v>0</v>
      </c>
      <c r="CT1342" s="2">
        <f t="shared" si="1139"/>
        <v>0</v>
      </c>
      <c r="CU1342" s="2">
        <f t="shared" si="1140"/>
        <v>0</v>
      </c>
      <c r="CV1342" s="2">
        <f t="shared" si="1141"/>
        <v>0</v>
      </c>
      <c r="CW1342" s="2">
        <f t="shared" si="1142"/>
        <v>0</v>
      </c>
      <c r="CX1342" s="2">
        <f t="shared" si="1143"/>
        <v>0</v>
      </c>
      <c r="CY1342" s="2">
        <f>((S1342*BZ1342)/100)</f>
        <v>0</v>
      </c>
      <c r="CZ1342" s="2">
        <f>((S1342*CA1342)/100)</f>
        <v>0</v>
      </c>
      <c r="DA1342" s="2"/>
      <c r="DB1342" s="2"/>
      <c r="DC1342" s="2" t="s">
        <v>3</v>
      </c>
      <c r="DD1342" s="2" t="s">
        <v>3</v>
      </c>
      <c r="DE1342" s="2" t="s">
        <v>3</v>
      </c>
      <c r="DF1342" s="2" t="s">
        <v>3</v>
      </c>
      <c r="DG1342" s="2" t="s">
        <v>3</v>
      </c>
      <c r="DH1342" s="2" t="s">
        <v>3</v>
      </c>
      <c r="DI1342" s="2" t="s">
        <v>3</v>
      </c>
      <c r="DJ1342" s="2" t="s">
        <v>3</v>
      </c>
      <c r="DK1342" s="2" t="s">
        <v>3</v>
      </c>
      <c r="DL1342" s="2" t="s">
        <v>3</v>
      </c>
      <c r="DM1342" s="2" t="s">
        <v>3</v>
      </c>
      <c r="DN1342" s="2">
        <v>0</v>
      </c>
      <c r="DO1342" s="2">
        <v>0</v>
      </c>
      <c r="DP1342" s="2">
        <v>1</v>
      </c>
      <c r="DQ1342" s="2">
        <v>1</v>
      </c>
      <c r="DR1342" s="2"/>
      <c r="DS1342" s="2"/>
      <c r="DT1342" s="2"/>
      <c r="DU1342" s="2">
        <v>1010</v>
      </c>
      <c r="DV1342" s="2" t="s">
        <v>250</v>
      </c>
      <c r="DW1342" s="2" t="s">
        <v>250</v>
      </c>
      <c r="DX1342" s="2">
        <v>1</v>
      </c>
      <c r="DY1342" s="2"/>
      <c r="DZ1342" s="2" t="s">
        <v>3</v>
      </c>
      <c r="EA1342" s="2" t="s">
        <v>3</v>
      </c>
      <c r="EB1342" s="2" t="s">
        <v>3</v>
      </c>
      <c r="EC1342" s="2" t="s">
        <v>3</v>
      </c>
      <c r="ED1342" s="2"/>
      <c r="EE1342" s="2">
        <v>126052999</v>
      </c>
      <c r="EF1342" s="2">
        <v>30</v>
      </c>
      <c r="EG1342" s="2" t="s">
        <v>23</v>
      </c>
      <c r="EH1342" s="2">
        <v>0</v>
      </c>
      <c r="EI1342" s="2" t="s">
        <v>3</v>
      </c>
      <c r="EJ1342" s="2">
        <v>1</v>
      </c>
      <c r="EK1342" s="2">
        <v>1538</v>
      </c>
      <c r="EL1342" s="2" t="s">
        <v>1020</v>
      </c>
      <c r="EM1342" s="2" t="s">
        <v>1021</v>
      </c>
      <c r="EN1342" s="2"/>
      <c r="EO1342" s="2" t="s">
        <v>3</v>
      </c>
      <c r="EP1342" s="2"/>
      <c r="EQ1342" s="2">
        <v>0</v>
      </c>
      <c r="ER1342" s="2">
        <v>0</v>
      </c>
      <c r="ES1342" s="2">
        <v>0</v>
      </c>
      <c r="ET1342" s="2">
        <v>0</v>
      </c>
      <c r="EU1342" s="2">
        <v>0</v>
      </c>
      <c r="EV1342" s="2">
        <v>0</v>
      </c>
      <c r="EW1342" s="2">
        <v>0</v>
      </c>
      <c r="EX1342" s="2">
        <v>0</v>
      </c>
      <c r="EY1342" s="2"/>
      <c r="EZ1342" s="2"/>
      <c r="FA1342" s="2"/>
      <c r="FB1342" s="2"/>
      <c r="FC1342" s="2"/>
      <c r="FD1342" s="2"/>
      <c r="FE1342" s="2"/>
      <c r="FF1342" s="2"/>
      <c r="FG1342" s="2"/>
      <c r="FH1342" s="2"/>
      <c r="FI1342" s="2"/>
      <c r="FJ1342" s="2"/>
      <c r="FK1342" s="2"/>
      <c r="FL1342" s="2"/>
      <c r="FM1342" s="2"/>
      <c r="FN1342" s="2"/>
      <c r="FO1342" s="2"/>
      <c r="FP1342" s="2"/>
      <c r="FQ1342" s="2">
        <v>0</v>
      </c>
      <c r="FR1342" s="2">
        <f t="shared" si="1144"/>
        <v>0</v>
      </c>
      <c r="FS1342" s="2">
        <v>0</v>
      </c>
      <c r="FT1342" s="2"/>
      <c r="FU1342" s="2"/>
      <c r="FV1342" s="2"/>
      <c r="FW1342" s="2"/>
      <c r="FX1342" s="2">
        <v>156</v>
      </c>
      <c r="FY1342" s="2">
        <v>84</v>
      </c>
      <c r="FZ1342" s="2"/>
      <c r="GA1342" s="2" t="s">
        <v>3</v>
      </c>
      <c r="GB1342" s="2"/>
      <c r="GC1342" s="2"/>
      <c r="GD1342" s="2">
        <v>0</v>
      </c>
      <c r="GE1342" s="2"/>
      <c r="GF1342" s="2">
        <v>-1761652633</v>
      </c>
      <c r="GG1342" s="2">
        <v>2</v>
      </c>
      <c r="GH1342" s="2">
        <v>0</v>
      </c>
      <c r="GI1342" s="2">
        <v>-2</v>
      </c>
      <c r="GJ1342" s="2">
        <v>0</v>
      </c>
      <c r="GK1342" s="2">
        <f>ROUND(R1342*(R12)/100,2)</f>
        <v>0</v>
      </c>
      <c r="GL1342" s="2">
        <f t="shared" si="1145"/>
        <v>0</v>
      </c>
      <c r="GM1342" s="2">
        <f t="shared" si="1146"/>
        <v>0</v>
      </c>
      <c r="GN1342" s="2">
        <f t="shared" si="1147"/>
        <v>0</v>
      </c>
      <c r="GO1342" s="2">
        <f t="shared" si="1148"/>
        <v>0</v>
      </c>
      <c r="GP1342" s="2">
        <f t="shared" si="1149"/>
        <v>0</v>
      </c>
      <c r="GQ1342" s="2"/>
      <c r="GR1342" s="2">
        <v>0</v>
      </c>
      <c r="GS1342" s="2">
        <v>3</v>
      </c>
      <c r="GT1342" s="2">
        <v>0</v>
      </c>
      <c r="GU1342" s="2" t="s">
        <v>3</v>
      </c>
      <c r="GV1342" s="2">
        <f t="shared" si="1150"/>
        <v>0</v>
      </c>
      <c r="GW1342" s="2">
        <v>1</v>
      </c>
      <c r="GX1342" s="2">
        <f t="shared" si="1151"/>
        <v>0</v>
      </c>
      <c r="GY1342" s="2"/>
      <c r="GZ1342" s="2"/>
      <c r="HA1342" s="2">
        <v>0</v>
      </c>
      <c r="HB1342" s="2">
        <v>0</v>
      </c>
      <c r="HC1342" s="2">
        <f t="shared" si="1152"/>
        <v>0</v>
      </c>
      <c r="HD1342" s="2"/>
      <c r="HE1342" s="2" t="s">
        <v>3</v>
      </c>
      <c r="HF1342" s="2" t="s">
        <v>3</v>
      </c>
      <c r="HG1342" s="2"/>
      <c r="HH1342" s="2"/>
      <c r="HI1342" s="2"/>
      <c r="HJ1342" s="2"/>
      <c r="HK1342" s="2"/>
      <c r="HL1342" s="2"/>
      <c r="HM1342" s="2" t="s">
        <v>3</v>
      </c>
      <c r="HN1342" s="2" t="s">
        <v>3</v>
      </c>
      <c r="HO1342" s="2" t="s">
        <v>3</v>
      </c>
      <c r="HP1342" s="2" t="s">
        <v>3</v>
      </c>
      <c r="HQ1342" s="2" t="s">
        <v>3</v>
      </c>
      <c r="HR1342" s="2"/>
      <c r="HS1342" s="2"/>
      <c r="HT1342" s="2"/>
      <c r="HU1342" s="2"/>
      <c r="HV1342" s="2"/>
      <c r="HW1342" s="2"/>
      <c r="HX1342" s="2"/>
      <c r="HY1342" s="2"/>
      <c r="HZ1342" s="2"/>
      <c r="IA1342" s="2"/>
      <c r="IB1342" s="2"/>
      <c r="IC1342" s="2"/>
      <c r="ID1342" s="2"/>
      <c r="IE1342" s="2"/>
      <c r="IF1342" s="2"/>
      <c r="IG1342" s="2"/>
      <c r="IH1342" s="2"/>
      <c r="II1342" s="2"/>
      <c r="IJ1342" s="2"/>
      <c r="IK1342" s="2">
        <v>0</v>
      </c>
      <c r="IL1342" s="2"/>
      <c r="IM1342" s="2"/>
      <c r="IN1342" s="2"/>
      <c r="IO1342" s="2"/>
      <c r="IP1342" s="2"/>
      <c r="IQ1342" s="2"/>
      <c r="IR1342" s="2"/>
      <c r="IS1342" s="2"/>
      <c r="IT1342" s="2"/>
      <c r="IU1342" s="2"/>
    </row>
    <row r="1343" spans="1:255" x14ac:dyDescent="0.2">
      <c r="A1343">
        <v>18</v>
      </c>
      <c r="B1343">
        <v>1</v>
      </c>
      <c r="C1343">
        <v>1098</v>
      </c>
      <c r="E1343" t="s">
        <v>1025</v>
      </c>
      <c r="F1343" t="s">
        <v>248</v>
      </c>
      <c r="G1343" t="s">
        <v>1026</v>
      </c>
      <c r="H1343" t="s">
        <v>250</v>
      </c>
      <c r="I1343">
        <f>I1339*J1343</f>
        <v>157</v>
      </c>
      <c r="J1343">
        <v>10</v>
      </c>
      <c r="K1343">
        <v>10</v>
      </c>
      <c r="O1343">
        <f t="shared" si="1122"/>
        <v>73402.600000000006</v>
      </c>
      <c r="P1343">
        <f t="shared" si="1123"/>
        <v>73402.600000000006</v>
      </c>
      <c r="Q1343">
        <f t="shared" si="1155"/>
        <v>0</v>
      </c>
      <c r="R1343">
        <f t="shared" si="1124"/>
        <v>0</v>
      </c>
      <c r="S1343">
        <f t="shared" si="1125"/>
        <v>0</v>
      </c>
      <c r="T1343">
        <f t="shared" si="1126"/>
        <v>0</v>
      </c>
      <c r="U1343">
        <f t="shared" si="1127"/>
        <v>0</v>
      </c>
      <c r="V1343">
        <f t="shared" si="1128"/>
        <v>0</v>
      </c>
      <c r="W1343">
        <f t="shared" si="1129"/>
        <v>0</v>
      </c>
      <c r="X1343">
        <f t="shared" si="1130"/>
        <v>0</v>
      </c>
      <c r="Y1343">
        <f t="shared" si="1131"/>
        <v>0</v>
      </c>
      <c r="AA1343">
        <v>129761633</v>
      </c>
      <c r="AB1343">
        <f t="shared" si="1132"/>
        <v>54.05</v>
      </c>
      <c r="AC1343">
        <f t="shared" si="1133"/>
        <v>54.05</v>
      </c>
      <c r="AD1343">
        <f t="shared" si="1156"/>
        <v>0</v>
      </c>
      <c r="AE1343">
        <f t="shared" si="1157"/>
        <v>0</v>
      </c>
      <c r="AF1343">
        <f t="shared" si="1157"/>
        <v>0</v>
      </c>
      <c r="AG1343">
        <f t="shared" si="1134"/>
        <v>0</v>
      </c>
      <c r="AH1343">
        <f t="shared" si="1158"/>
        <v>0</v>
      </c>
      <c r="AI1343">
        <f t="shared" si="1158"/>
        <v>0</v>
      </c>
      <c r="AJ1343">
        <f t="shared" si="1135"/>
        <v>0</v>
      </c>
      <c r="AK1343">
        <v>54.050000000000004</v>
      </c>
      <c r="AL1343">
        <v>54.050000000000004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1</v>
      </c>
      <c r="AW1343">
        <v>1</v>
      </c>
      <c r="AZ1343">
        <v>1</v>
      </c>
      <c r="BA1343">
        <v>1</v>
      </c>
      <c r="BB1343">
        <v>1</v>
      </c>
      <c r="BC1343">
        <v>8.65</v>
      </c>
      <c r="BD1343" t="s">
        <v>3</v>
      </c>
      <c r="BE1343" t="s">
        <v>3</v>
      </c>
      <c r="BF1343" t="s">
        <v>3</v>
      </c>
      <c r="BG1343" t="s">
        <v>3</v>
      </c>
      <c r="BH1343">
        <v>3</v>
      </c>
      <c r="BI1343">
        <v>1</v>
      </c>
      <c r="BJ1343" t="s">
        <v>3</v>
      </c>
      <c r="BM1343">
        <v>1538</v>
      </c>
      <c r="BN1343">
        <v>0</v>
      </c>
      <c r="BO1343" t="s">
        <v>3</v>
      </c>
      <c r="BP1343">
        <v>0</v>
      </c>
      <c r="BQ1343">
        <v>30</v>
      </c>
      <c r="BR1343">
        <v>0</v>
      </c>
      <c r="BS1343">
        <v>1</v>
      </c>
      <c r="BT1343">
        <v>1</v>
      </c>
      <c r="BU1343">
        <v>1</v>
      </c>
      <c r="BV1343">
        <v>1</v>
      </c>
      <c r="BW1343">
        <v>1</v>
      </c>
      <c r="BX1343">
        <v>1</v>
      </c>
      <c r="BY1343" t="s">
        <v>3</v>
      </c>
      <c r="BZ1343">
        <v>0</v>
      </c>
      <c r="CA1343">
        <v>0</v>
      </c>
      <c r="CB1343" t="s">
        <v>3</v>
      </c>
      <c r="CE1343">
        <v>30</v>
      </c>
      <c r="CF1343">
        <v>0</v>
      </c>
      <c r="CG1343">
        <v>0</v>
      </c>
      <c r="CM1343">
        <v>0</v>
      </c>
      <c r="CN1343" t="s">
        <v>3</v>
      </c>
      <c r="CO1343">
        <v>0</v>
      </c>
      <c r="CP1343">
        <f t="shared" si="1136"/>
        <v>73402.600000000006</v>
      </c>
      <c r="CQ1343">
        <f t="shared" si="1137"/>
        <v>467.53</v>
      </c>
      <c r="CR1343">
        <f t="shared" si="1159"/>
        <v>0</v>
      </c>
      <c r="CS1343">
        <f t="shared" si="1138"/>
        <v>0</v>
      </c>
      <c r="CT1343">
        <f t="shared" si="1139"/>
        <v>0</v>
      </c>
      <c r="CU1343">
        <f t="shared" si="1140"/>
        <v>0</v>
      </c>
      <c r="CV1343">
        <f t="shared" si="1141"/>
        <v>0</v>
      </c>
      <c r="CW1343">
        <f t="shared" si="1142"/>
        <v>0</v>
      </c>
      <c r="CX1343">
        <f t="shared" si="1143"/>
        <v>0</v>
      </c>
      <c r="CY1343">
        <f>S1343*(BZ1343/100)</f>
        <v>0</v>
      </c>
      <c r="CZ1343">
        <f>S1343*(CA1343/100)</f>
        <v>0</v>
      </c>
      <c r="DC1343" t="s">
        <v>3</v>
      </c>
      <c r="DD1343" t="s">
        <v>3</v>
      </c>
      <c r="DE1343" t="s">
        <v>3</v>
      </c>
      <c r="DF1343" t="s">
        <v>3</v>
      </c>
      <c r="DG1343" t="s">
        <v>3</v>
      </c>
      <c r="DH1343" t="s">
        <v>3</v>
      </c>
      <c r="DI1343" t="s">
        <v>3</v>
      </c>
      <c r="DJ1343" t="s">
        <v>3</v>
      </c>
      <c r="DK1343" t="s">
        <v>3</v>
      </c>
      <c r="DL1343" t="s">
        <v>3</v>
      </c>
      <c r="DM1343" t="s">
        <v>3</v>
      </c>
      <c r="DN1343">
        <v>156</v>
      </c>
      <c r="DO1343">
        <v>84</v>
      </c>
      <c r="DP1343">
        <v>1</v>
      </c>
      <c r="DQ1343">
        <v>1</v>
      </c>
      <c r="DU1343">
        <v>1010</v>
      </c>
      <c r="DV1343" t="s">
        <v>250</v>
      </c>
      <c r="DW1343" t="s">
        <v>250</v>
      </c>
      <c r="DX1343">
        <v>1</v>
      </c>
      <c r="DZ1343" t="s">
        <v>3</v>
      </c>
      <c r="EA1343" t="s">
        <v>3</v>
      </c>
      <c r="EB1343" t="s">
        <v>3</v>
      </c>
      <c r="EC1343" t="s">
        <v>3</v>
      </c>
      <c r="EE1343">
        <v>126052999</v>
      </c>
      <c r="EF1343">
        <v>30</v>
      </c>
      <c r="EG1343" t="s">
        <v>23</v>
      </c>
      <c r="EH1343">
        <v>0</v>
      </c>
      <c r="EI1343" t="s">
        <v>3</v>
      </c>
      <c r="EJ1343">
        <v>1</v>
      </c>
      <c r="EK1343">
        <v>1538</v>
      </c>
      <c r="EL1343" t="s">
        <v>1020</v>
      </c>
      <c r="EM1343" t="s">
        <v>1021</v>
      </c>
      <c r="EO1343" t="s">
        <v>3</v>
      </c>
      <c r="EQ1343">
        <v>0</v>
      </c>
      <c r="ER1343">
        <v>54.050000000000004</v>
      </c>
      <c r="ES1343">
        <v>54.050000000000004</v>
      </c>
      <c r="ET1343">
        <v>0</v>
      </c>
      <c r="EU1343">
        <v>0</v>
      </c>
      <c r="EV1343">
        <v>0</v>
      </c>
      <c r="EW1343">
        <v>0</v>
      </c>
      <c r="EX1343">
        <v>0</v>
      </c>
      <c r="EZ1343">
        <v>5</v>
      </c>
      <c r="FC1343">
        <v>1</v>
      </c>
      <c r="FD1343">
        <v>18</v>
      </c>
      <c r="FF1343">
        <v>550</v>
      </c>
      <c r="FQ1343">
        <v>0</v>
      </c>
      <c r="FR1343">
        <f t="shared" si="1144"/>
        <v>0</v>
      </c>
      <c r="FS1343">
        <v>0</v>
      </c>
      <c r="FX1343">
        <v>156</v>
      </c>
      <c r="FY1343">
        <v>84</v>
      </c>
      <c r="GA1343" t="s">
        <v>1027</v>
      </c>
      <c r="GD1343">
        <v>0</v>
      </c>
      <c r="GF1343">
        <v>-1761652633</v>
      </c>
      <c r="GG1343">
        <v>2</v>
      </c>
      <c r="GH1343">
        <v>3</v>
      </c>
      <c r="GI1343">
        <v>5</v>
      </c>
      <c r="GJ1343">
        <v>0</v>
      </c>
      <c r="GK1343">
        <f>ROUND(R1343*(S12)/100,2)</f>
        <v>0</v>
      </c>
      <c r="GL1343">
        <f t="shared" si="1145"/>
        <v>0</v>
      </c>
      <c r="GM1343">
        <f t="shared" si="1146"/>
        <v>73402.600000000006</v>
      </c>
      <c r="GN1343">
        <f t="shared" si="1147"/>
        <v>73402.600000000006</v>
      </c>
      <c r="GO1343">
        <f t="shared" si="1148"/>
        <v>0</v>
      </c>
      <c r="GP1343">
        <f t="shared" si="1149"/>
        <v>0</v>
      </c>
      <c r="GR1343">
        <v>1</v>
      </c>
      <c r="GS1343">
        <v>1</v>
      </c>
      <c r="GT1343">
        <v>0</v>
      </c>
      <c r="GU1343" t="s">
        <v>3</v>
      </c>
      <c r="GV1343">
        <f t="shared" si="1150"/>
        <v>0</v>
      </c>
      <c r="GW1343">
        <v>1</v>
      </c>
      <c r="GX1343">
        <f t="shared" si="1151"/>
        <v>0</v>
      </c>
      <c r="HA1343">
        <v>0</v>
      </c>
      <c r="HB1343">
        <v>0</v>
      </c>
      <c r="HC1343">
        <f t="shared" si="1152"/>
        <v>0</v>
      </c>
      <c r="HE1343" t="s">
        <v>81</v>
      </c>
      <c r="HF1343" t="s">
        <v>252</v>
      </c>
      <c r="HM1343" t="s">
        <v>3</v>
      </c>
      <c r="HN1343" t="s">
        <v>3</v>
      </c>
      <c r="HO1343" t="s">
        <v>3</v>
      </c>
      <c r="HP1343" t="s">
        <v>3</v>
      </c>
      <c r="HQ1343" t="s">
        <v>3</v>
      </c>
      <c r="IK1343">
        <v>0</v>
      </c>
    </row>
    <row r="1344" spans="1:255" x14ac:dyDescent="0.2">
      <c r="A1344" s="2">
        <v>18</v>
      </c>
      <c r="B1344" s="2">
        <v>1</v>
      </c>
      <c r="C1344" s="2">
        <v>1090</v>
      </c>
      <c r="D1344" s="2"/>
      <c r="E1344" s="2" t="s">
        <v>1028</v>
      </c>
      <c r="F1344" s="2" t="s">
        <v>1029</v>
      </c>
      <c r="G1344" s="2" t="s">
        <v>1026</v>
      </c>
      <c r="H1344" s="2" t="s">
        <v>258</v>
      </c>
      <c r="I1344" s="2">
        <f>I1338*J1344</f>
        <v>0</v>
      </c>
      <c r="J1344" s="2">
        <v>0</v>
      </c>
      <c r="K1344" s="2">
        <v>0</v>
      </c>
      <c r="L1344" s="2"/>
      <c r="M1344" s="2"/>
      <c r="N1344" s="2"/>
      <c r="O1344" s="2">
        <f t="shared" si="1122"/>
        <v>0</v>
      </c>
      <c r="P1344" s="2">
        <f t="shared" si="1123"/>
        <v>0</v>
      </c>
      <c r="Q1344" s="2">
        <f t="shared" si="1155"/>
        <v>0</v>
      </c>
      <c r="R1344" s="2">
        <f t="shared" si="1124"/>
        <v>0</v>
      </c>
      <c r="S1344" s="2">
        <f t="shared" si="1125"/>
        <v>0</v>
      </c>
      <c r="T1344" s="2">
        <f t="shared" si="1126"/>
        <v>0</v>
      </c>
      <c r="U1344" s="2">
        <f t="shared" si="1127"/>
        <v>0</v>
      </c>
      <c r="V1344" s="2">
        <f t="shared" si="1128"/>
        <v>0</v>
      </c>
      <c r="W1344" s="2">
        <f t="shared" si="1129"/>
        <v>0</v>
      </c>
      <c r="X1344" s="2">
        <f t="shared" si="1130"/>
        <v>0</v>
      </c>
      <c r="Y1344" s="2">
        <f t="shared" si="1131"/>
        <v>0</v>
      </c>
      <c r="Z1344" s="2"/>
      <c r="AA1344" s="2">
        <v>129761636</v>
      </c>
      <c r="AB1344" s="2">
        <f t="shared" si="1132"/>
        <v>264.54000000000002</v>
      </c>
      <c r="AC1344" s="2">
        <f t="shared" si="1133"/>
        <v>264.54000000000002</v>
      </c>
      <c r="AD1344" s="2">
        <f t="shared" si="1156"/>
        <v>0</v>
      </c>
      <c r="AE1344" s="2">
        <f t="shared" si="1157"/>
        <v>0</v>
      </c>
      <c r="AF1344" s="2">
        <f t="shared" si="1157"/>
        <v>0</v>
      </c>
      <c r="AG1344" s="2">
        <f t="shared" si="1134"/>
        <v>0</v>
      </c>
      <c r="AH1344" s="2">
        <f t="shared" si="1158"/>
        <v>0</v>
      </c>
      <c r="AI1344" s="2">
        <f t="shared" si="1158"/>
        <v>0</v>
      </c>
      <c r="AJ1344" s="2">
        <f t="shared" si="1135"/>
        <v>0</v>
      </c>
      <c r="AK1344" s="2">
        <v>264.54000000000002</v>
      </c>
      <c r="AL1344" s="2">
        <v>264.54000000000002</v>
      </c>
      <c r="AM1344" s="2">
        <v>0</v>
      </c>
      <c r="AN1344" s="2">
        <v>0</v>
      </c>
      <c r="AO1344" s="2">
        <v>0</v>
      </c>
      <c r="AP1344" s="2">
        <v>0</v>
      </c>
      <c r="AQ1344" s="2">
        <v>0</v>
      </c>
      <c r="AR1344" s="2">
        <v>0</v>
      </c>
      <c r="AS1344" s="2">
        <v>0</v>
      </c>
      <c r="AT1344" s="2">
        <v>156</v>
      </c>
      <c r="AU1344" s="2">
        <v>84</v>
      </c>
      <c r="AV1344" s="2">
        <v>1</v>
      </c>
      <c r="AW1344" s="2">
        <v>1</v>
      </c>
      <c r="AX1344" s="2"/>
      <c r="AY1344" s="2"/>
      <c r="AZ1344" s="2">
        <v>1</v>
      </c>
      <c r="BA1344" s="2">
        <v>1</v>
      </c>
      <c r="BB1344" s="2">
        <v>1</v>
      </c>
      <c r="BC1344" s="2">
        <v>1</v>
      </c>
      <c r="BD1344" s="2" t="s">
        <v>3</v>
      </c>
      <c r="BE1344" s="2" t="s">
        <v>3</v>
      </c>
      <c r="BF1344" s="2" t="s">
        <v>3</v>
      </c>
      <c r="BG1344" s="2" t="s">
        <v>3</v>
      </c>
      <c r="BH1344" s="2">
        <v>3</v>
      </c>
      <c r="BI1344" s="2">
        <v>1</v>
      </c>
      <c r="BJ1344" s="2" t="s">
        <v>1030</v>
      </c>
      <c r="BK1344" s="2"/>
      <c r="BL1344" s="2"/>
      <c r="BM1344" s="2">
        <v>1538</v>
      </c>
      <c r="BN1344" s="2">
        <v>0</v>
      </c>
      <c r="BO1344" s="2" t="s">
        <v>3</v>
      </c>
      <c r="BP1344" s="2">
        <v>0</v>
      </c>
      <c r="BQ1344" s="2">
        <v>30</v>
      </c>
      <c r="BR1344" s="2">
        <v>0</v>
      </c>
      <c r="BS1344" s="2">
        <v>1</v>
      </c>
      <c r="BT1344" s="2">
        <v>1</v>
      </c>
      <c r="BU1344" s="2">
        <v>1</v>
      </c>
      <c r="BV1344" s="2">
        <v>1</v>
      </c>
      <c r="BW1344" s="2">
        <v>1</v>
      </c>
      <c r="BX1344" s="2">
        <v>1</v>
      </c>
      <c r="BY1344" s="2" t="s">
        <v>3</v>
      </c>
      <c r="BZ1344" s="2">
        <v>156</v>
      </c>
      <c r="CA1344" s="2">
        <v>84</v>
      </c>
      <c r="CB1344" s="2" t="s">
        <v>3</v>
      </c>
      <c r="CC1344" s="2"/>
      <c r="CD1344" s="2"/>
      <c r="CE1344" s="2">
        <v>30</v>
      </c>
      <c r="CF1344" s="2">
        <v>0</v>
      </c>
      <c r="CG1344" s="2">
        <v>0</v>
      </c>
      <c r="CH1344" s="2"/>
      <c r="CI1344" s="2"/>
      <c r="CJ1344" s="2"/>
      <c r="CK1344" s="2"/>
      <c r="CL1344" s="2"/>
      <c r="CM1344" s="2">
        <v>0</v>
      </c>
      <c r="CN1344" s="2" t="s">
        <v>3</v>
      </c>
      <c r="CO1344" s="2">
        <v>0</v>
      </c>
      <c r="CP1344" s="2">
        <f t="shared" si="1136"/>
        <v>0</v>
      </c>
      <c r="CQ1344" s="2">
        <f t="shared" si="1137"/>
        <v>264.54000000000002</v>
      </c>
      <c r="CR1344" s="2">
        <f t="shared" si="1159"/>
        <v>0</v>
      </c>
      <c r="CS1344" s="2">
        <f t="shared" si="1138"/>
        <v>0</v>
      </c>
      <c r="CT1344" s="2">
        <f t="shared" si="1139"/>
        <v>0</v>
      </c>
      <c r="CU1344" s="2">
        <f t="shared" si="1140"/>
        <v>0</v>
      </c>
      <c r="CV1344" s="2">
        <f t="shared" si="1141"/>
        <v>0</v>
      </c>
      <c r="CW1344" s="2">
        <f t="shared" si="1142"/>
        <v>0</v>
      </c>
      <c r="CX1344" s="2">
        <f t="shared" si="1143"/>
        <v>0</v>
      </c>
      <c r="CY1344" s="2">
        <f>((S1344*BZ1344)/100)</f>
        <v>0</v>
      </c>
      <c r="CZ1344" s="2">
        <f>((S1344*CA1344)/100)</f>
        <v>0</v>
      </c>
      <c r="DA1344" s="2"/>
      <c r="DB1344" s="2"/>
      <c r="DC1344" s="2" t="s">
        <v>3</v>
      </c>
      <c r="DD1344" s="2" t="s">
        <v>3</v>
      </c>
      <c r="DE1344" s="2" t="s">
        <v>3</v>
      </c>
      <c r="DF1344" s="2" t="s">
        <v>3</v>
      </c>
      <c r="DG1344" s="2" t="s">
        <v>3</v>
      </c>
      <c r="DH1344" s="2" t="s">
        <v>3</v>
      </c>
      <c r="DI1344" s="2" t="s">
        <v>3</v>
      </c>
      <c r="DJ1344" s="2" t="s">
        <v>3</v>
      </c>
      <c r="DK1344" s="2" t="s">
        <v>3</v>
      </c>
      <c r="DL1344" s="2" t="s">
        <v>3</v>
      </c>
      <c r="DM1344" s="2" t="s">
        <v>3</v>
      </c>
      <c r="DN1344" s="2">
        <v>0</v>
      </c>
      <c r="DO1344" s="2">
        <v>0</v>
      </c>
      <c r="DP1344" s="2">
        <v>1</v>
      </c>
      <c r="DQ1344" s="2">
        <v>1</v>
      </c>
      <c r="DR1344" s="2"/>
      <c r="DS1344" s="2"/>
      <c r="DT1344" s="2"/>
      <c r="DU1344" s="2">
        <v>1005</v>
      </c>
      <c r="DV1344" s="2" t="s">
        <v>258</v>
      </c>
      <c r="DW1344" s="2" t="s">
        <v>258</v>
      </c>
      <c r="DX1344" s="2">
        <v>1</v>
      </c>
      <c r="DY1344" s="2"/>
      <c r="DZ1344" s="2" t="s">
        <v>3</v>
      </c>
      <c r="EA1344" s="2" t="s">
        <v>3</v>
      </c>
      <c r="EB1344" s="2" t="s">
        <v>3</v>
      </c>
      <c r="EC1344" s="2" t="s">
        <v>3</v>
      </c>
      <c r="ED1344" s="2"/>
      <c r="EE1344" s="2">
        <v>126052999</v>
      </c>
      <c r="EF1344" s="2">
        <v>30</v>
      </c>
      <c r="EG1344" s="2" t="s">
        <v>23</v>
      </c>
      <c r="EH1344" s="2">
        <v>0</v>
      </c>
      <c r="EI1344" s="2" t="s">
        <v>3</v>
      </c>
      <c r="EJ1344" s="2">
        <v>1</v>
      </c>
      <c r="EK1344" s="2">
        <v>1538</v>
      </c>
      <c r="EL1344" s="2" t="s">
        <v>1020</v>
      </c>
      <c r="EM1344" s="2" t="s">
        <v>1021</v>
      </c>
      <c r="EN1344" s="2"/>
      <c r="EO1344" s="2" t="s">
        <v>3</v>
      </c>
      <c r="EP1344" s="2"/>
      <c r="EQ1344" s="2">
        <v>0</v>
      </c>
      <c r="ER1344" s="2">
        <v>264.54000000000002</v>
      </c>
      <c r="ES1344" s="2">
        <v>264.54000000000002</v>
      </c>
      <c r="ET1344" s="2">
        <v>0</v>
      </c>
      <c r="EU1344" s="2">
        <v>0</v>
      </c>
      <c r="EV1344" s="2">
        <v>0</v>
      </c>
      <c r="EW1344" s="2">
        <v>0</v>
      </c>
      <c r="EX1344" s="2">
        <v>0</v>
      </c>
      <c r="EY1344" s="2"/>
      <c r="EZ1344" s="2"/>
      <c r="FA1344" s="2"/>
      <c r="FB1344" s="2"/>
      <c r="FC1344" s="2"/>
      <c r="FD1344" s="2"/>
      <c r="FE1344" s="2"/>
      <c r="FF1344" s="2"/>
      <c r="FG1344" s="2"/>
      <c r="FH1344" s="2"/>
      <c r="FI1344" s="2"/>
      <c r="FJ1344" s="2"/>
      <c r="FK1344" s="2"/>
      <c r="FL1344" s="2"/>
      <c r="FM1344" s="2"/>
      <c r="FN1344" s="2"/>
      <c r="FO1344" s="2"/>
      <c r="FP1344" s="2"/>
      <c r="FQ1344" s="2">
        <v>0</v>
      </c>
      <c r="FR1344" s="2">
        <f t="shared" si="1144"/>
        <v>0</v>
      </c>
      <c r="FS1344" s="2">
        <v>0</v>
      </c>
      <c r="FT1344" s="2"/>
      <c r="FU1344" s="2"/>
      <c r="FV1344" s="2"/>
      <c r="FW1344" s="2"/>
      <c r="FX1344" s="2">
        <v>156</v>
      </c>
      <c r="FY1344" s="2">
        <v>84</v>
      </c>
      <c r="FZ1344" s="2"/>
      <c r="GA1344" s="2" t="s">
        <v>3</v>
      </c>
      <c r="GB1344" s="2"/>
      <c r="GC1344" s="2"/>
      <c r="GD1344" s="2">
        <v>0</v>
      </c>
      <c r="GE1344" s="2"/>
      <c r="GF1344" s="2">
        <v>-354716323</v>
      </c>
      <c r="GG1344" s="2">
        <v>2</v>
      </c>
      <c r="GH1344" s="2">
        <v>1</v>
      </c>
      <c r="GI1344" s="2">
        <v>-2</v>
      </c>
      <c r="GJ1344" s="2">
        <v>0</v>
      </c>
      <c r="GK1344" s="2">
        <f>ROUND(R1344*(R12)/100,2)</f>
        <v>0</v>
      </c>
      <c r="GL1344" s="2">
        <f t="shared" si="1145"/>
        <v>0</v>
      </c>
      <c r="GM1344" s="2">
        <f t="shared" si="1146"/>
        <v>0</v>
      </c>
      <c r="GN1344" s="2">
        <f t="shared" si="1147"/>
        <v>0</v>
      </c>
      <c r="GO1344" s="2">
        <f t="shared" si="1148"/>
        <v>0</v>
      </c>
      <c r="GP1344" s="2">
        <f t="shared" si="1149"/>
        <v>0</v>
      </c>
      <c r="GQ1344" s="2"/>
      <c r="GR1344" s="2">
        <v>0</v>
      </c>
      <c r="GS1344" s="2">
        <v>0</v>
      </c>
      <c r="GT1344" s="2">
        <v>0</v>
      </c>
      <c r="GU1344" s="2" t="s">
        <v>3</v>
      </c>
      <c r="GV1344" s="2">
        <f t="shared" si="1150"/>
        <v>0</v>
      </c>
      <c r="GW1344" s="2">
        <v>1</v>
      </c>
      <c r="GX1344" s="2">
        <f t="shared" si="1151"/>
        <v>0</v>
      </c>
      <c r="GY1344" s="2"/>
      <c r="GZ1344" s="2"/>
      <c r="HA1344" s="2">
        <v>0</v>
      </c>
      <c r="HB1344" s="2">
        <v>0</v>
      </c>
      <c r="HC1344" s="2">
        <f t="shared" si="1152"/>
        <v>0</v>
      </c>
      <c r="HD1344" s="2"/>
      <c r="HE1344" s="2" t="s">
        <v>3</v>
      </c>
      <c r="HF1344" s="2" t="s">
        <v>3</v>
      </c>
      <c r="HG1344" s="2"/>
      <c r="HH1344" s="2"/>
      <c r="HI1344" s="2"/>
      <c r="HJ1344" s="2"/>
      <c r="HK1344" s="2"/>
      <c r="HL1344" s="2"/>
      <c r="HM1344" s="2" t="s">
        <v>3</v>
      </c>
      <c r="HN1344" s="2" t="s">
        <v>3</v>
      </c>
      <c r="HO1344" s="2" t="s">
        <v>3</v>
      </c>
      <c r="HP1344" s="2" t="s">
        <v>3</v>
      </c>
      <c r="HQ1344" s="2" t="s">
        <v>3</v>
      </c>
      <c r="HR1344" s="2"/>
      <c r="HS1344" s="2"/>
      <c r="HT1344" s="2"/>
      <c r="HU1344" s="2"/>
      <c r="HV1344" s="2"/>
      <c r="HW1344" s="2"/>
      <c r="HX1344" s="2"/>
      <c r="HY1344" s="2"/>
      <c r="HZ1344" s="2"/>
      <c r="IA1344" s="2"/>
      <c r="IB1344" s="2"/>
      <c r="IC1344" s="2"/>
      <c r="ID1344" s="2"/>
      <c r="IE1344" s="2"/>
      <c r="IF1344" s="2"/>
      <c r="IG1344" s="2"/>
      <c r="IH1344" s="2"/>
      <c r="II1344" s="2"/>
      <c r="IJ1344" s="2"/>
      <c r="IK1344" s="2">
        <v>0</v>
      </c>
      <c r="IL1344" s="2"/>
      <c r="IM1344" s="2"/>
      <c r="IN1344" s="2"/>
      <c r="IO1344" s="2"/>
      <c r="IP1344" s="2"/>
      <c r="IQ1344" s="2"/>
      <c r="IR1344" s="2"/>
      <c r="IS1344" s="2"/>
      <c r="IT1344" s="2"/>
      <c r="IU1344" s="2"/>
    </row>
    <row r="1345" spans="1:255" x14ac:dyDescent="0.2">
      <c r="A1345">
        <v>18</v>
      </c>
      <c r="B1345">
        <v>1</v>
      </c>
      <c r="C1345">
        <v>1097</v>
      </c>
      <c r="E1345" t="s">
        <v>1028</v>
      </c>
      <c r="F1345" t="s">
        <v>1029</v>
      </c>
      <c r="G1345" t="s">
        <v>1026</v>
      </c>
      <c r="H1345" t="s">
        <v>258</v>
      </c>
      <c r="I1345">
        <f>I1339*J1345</f>
        <v>0</v>
      </c>
      <c r="J1345">
        <v>0</v>
      </c>
      <c r="K1345">
        <v>0</v>
      </c>
      <c r="O1345">
        <f t="shared" si="1122"/>
        <v>0</v>
      </c>
      <c r="P1345">
        <f t="shared" si="1123"/>
        <v>0</v>
      </c>
      <c r="Q1345">
        <f t="shared" si="1155"/>
        <v>0</v>
      </c>
      <c r="R1345">
        <f t="shared" si="1124"/>
        <v>0</v>
      </c>
      <c r="S1345">
        <f t="shared" si="1125"/>
        <v>0</v>
      </c>
      <c r="T1345">
        <f t="shared" si="1126"/>
        <v>0</v>
      </c>
      <c r="U1345">
        <f t="shared" si="1127"/>
        <v>0</v>
      </c>
      <c r="V1345">
        <f t="shared" si="1128"/>
        <v>0</v>
      </c>
      <c r="W1345">
        <f t="shared" si="1129"/>
        <v>0</v>
      </c>
      <c r="X1345">
        <f t="shared" si="1130"/>
        <v>0</v>
      </c>
      <c r="Y1345">
        <f t="shared" si="1131"/>
        <v>0</v>
      </c>
      <c r="AA1345">
        <v>129761633</v>
      </c>
      <c r="AB1345">
        <f t="shared" si="1132"/>
        <v>264.54000000000002</v>
      </c>
      <c r="AC1345">
        <f t="shared" si="1133"/>
        <v>264.54000000000002</v>
      </c>
      <c r="AD1345">
        <f t="shared" si="1156"/>
        <v>0</v>
      </c>
      <c r="AE1345">
        <f t="shared" si="1157"/>
        <v>0</v>
      </c>
      <c r="AF1345">
        <f t="shared" si="1157"/>
        <v>0</v>
      </c>
      <c r="AG1345">
        <f t="shared" si="1134"/>
        <v>0</v>
      </c>
      <c r="AH1345">
        <f t="shared" si="1158"/>
        <v>0</v>
      </c>
      <c r="AI1345">
        <f t="shared" si="1158"/>
        <v>0</v>
      </c>
      <c r="AJ1345">
        <f t="shared" si="1135"/>
        <v>0</v>
      </c>
      <c r="AK1345">
        <v>264.54000000000002</v>
      </c>
      <c r="AL1345">
        <v>264.54000000000002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1</v>
      </c>
      <c r="AW1345">
        <v>1</v>
      </c>
      <c r="AZ1345">
        <v>1</v>
      </c>
      <c r="BA1345">
        <v>1</v>
      </c>
      <c r="BB1345">
        <v>1</v>
      </c>
      <c r="BC1345">
        <v>10.93</v>
      </c>
      <c r="BD1345" t="s">
        <v>3</v>
      </c>
      <c r="BE1345" t="s">
        <v>3</v>
      </c>
      <c r="BF1345" t="s">
        <v>3</v>
      </c>
      <c r="BG1345" t="s">
        <v>3</v>
      </c>
      <c r="BH1345">
        <v>3</v>
      </c>
      <c r="BI1345">
        <v>1</v>
      </c>
      <c r="BJ1345" t="s">
        <v>1030</v>
      </c>
      <c r="BM1345">
        <v>1538</v>
      </c>
      <c r="BN1345">
        <v>0</v>
      </c>
      <c r="BO1345" t="s">
        <v>1029</v>
      </c>
      <c r="BP1345">
        <v>1</v>
      </c>
      <c r="BQ1345">
        <v>30</v>
      </c>
      <c r="BR1345">
        <v>0</v>
      </c>
      <c r="BS1345">
        <v>1</v>
      </c>
      <c r="BT1345">
        <v>1</v>
      </c>
      <c r="BU1345">
        <v>1</v>
      </c>
      <c r="BV1345">
        <v>1</v>
      </c>
      <c r="BW1345">
        <v>1</v>
      </c>
      <c r="BX1345">
        <v>1</v>
      </c>
      <c r="BY1345" t="s">
        <v>3</v>
      </c>
      <c r="BZ1345">
        <v>0</v>
      </c>
      <c r="CA1345">
        <v>0</v>
      </c>
      <c r="CB1345" t="s">
        <v>3</v>
      </c>
      <c r="CE1345">
        <v>30</v>
      </c>
      <c r="CF1345">
        <v>0</v>
      </c>
      <c r="CG1345">
        <v>0</v>
      </c>
      <c r="CM1345">
        <v>0</v>
      </c>
      <c r="CN1345" t="s">
        <v>3</v>
      </c>
      <c r="CO1345">
        <v>0</v>
      </c>
      <c r="CP1345">
        <f t="shared" si="1136"/>
        <v>0</v>
      </c>
      <c r="CQ1345">
        <f t="shared" si="1137"/>
        <v>2891.42</v>
      </c>
      <c r="CR1345">
        <f t="shared" si="1159"/>
        <v>0</v>
      </c>
      <c r="CS1345">
        <f t="shared" si="1138"/>
        <v>0</v>
      </c>
      <c r="CT1345">
        <f t="shared" si="1139"/>
        <v>0</v>
      </c>
      <c r="CU1345">
        <f t="shared" si="1140"/>
        <v>0</v>
      </c>
      <c r="CV1345">
        <f t="shared" si="1141"/>
        <v>0</v>
      </c>
      <c r="CW1345">
        <f t="shared" si="1142"/>
        <v>0</v>
      </c>
      <c r="CX1345">
        <f t="shared" si="1143"/>
        <v>0</v>
      </c>
      <c r="CY1345">
        <f>S1345*(BZ1345/100)</f>
        <v>0</v>
      </c>
      <c r="CZ1345">
        <f>S1345*(CA1345/100)</f>
        <v>0</v>
      </c>
      <c r="DC1345" t="s">
        <v>3</v>
      </c>
      <c r="DD1345" t="s">
        <v>3</v>
      </c>
      <c r="DE1345" t="s">
        <v>3</v>
      </c>
      <c r="DF1345" t="s">
        <v>3</v>
      </c>
      <c r="DG1345" t="s">
        <v>3</v>
      </c>
      <c r="DH1345" t="s">
        <v>3</v>
      </c>
      <c r="DI1345" t="s">
        <v>3</v>
      </c>
      <c r="DJ1345" t="s">
        <v>3</v>
      </c>
      <c r="DK1345" t="s">
        <v>3</v>
      </c>
      <c r="DL1345" t="s">
        <v>3</v>
      </c>
      <c r="DM1345" t="s">
        <v>3</v>
      </c>
      <c r="DN1345">
        <v>156</v>
      </c>
      <c r="DO1345">
        <v>84</v>
      </c>
      <c r="DP1345">
        <v>1</v>
      </c>
      <c r="DQ1345">
        <v>1</v>
      </c>
      <c r="DU1345">
        <v>1005</v>
      </c>
      <c r="DV1345" t="s">
        <v>258</v>
      </c>
      <c r="DW1345" t="s">
        <v>258</v>
      </c>
      <c r="DX1345">
        <v>1</v>
      </c>
      <c r="DZ1345" t="s">
        <v>3</v>
      </c>
      <c r="EA1345" t="s">
        <v>3</v>
      </c>
      <c r="EB1345" t="s">
        <v>3</v>
      </c>
      <c r="EC1345" t="s">
        <v>3</v>
      </c>
      <c r="EE1345">
        <v>126052999</v>
      </c>
      <c r="EF1345">
        <v>30</v>
      </c>
      <c r="EG1345" t="s">
        <v>23</v>
      </c>
      <c r="EH1345">
        <v>0</v>
      </c>
      <c r="EI1345" t="s">
        <v>3</v>
      </c>
      <c r="EJ1345">
        <v>1</v>
      </c>
      <c r="EK1345">
        <v>1538</v>
      </c>
      <c r="EL1345" t="s">
        <v>1020</v>
      </c>
      <c r="EM1345" t="s">
        <v>1021</v>
      </c>
      <c r="EO1345" t="s">
        <v>3</v>
      </c>
      <c r="EQ1345">
        <v>0</v>
      </c>
      <c r="ER1345">
        <v>264.54000000000002</v>
      </c>
      <c r="ES1345">
        <v>264.54000000000002</v>
      </c>
      <c r="ET1345">
        <v>0</v>
      </c>
      <c r="EU1345">
        <v>0</v>
      </c>
      <c r="EV1345">
        <v>0</v>
      </c>
      <c r="EW1345">
        <v>0</v>
      </c>
      <c r="EX1345">
        <v>0</v>
      </c>
      <c r="FQ1345">
        <v>0</v>
      </c>
      <c r="FR1345">
        <f t="shared" si="1144"/>
        <v>0</v>
      </c>
      <c r="FS1345">
        <v>0</v>
      </c>
      <c r="FX1345">
        <v>156</v>
      </c>
      <c r="FY1345">
        <v>84</v>
      </c>
      <c r="GA1345" t="s">
        <v>3</v>
      </c>
      <c r="GD1345">
        <v>0</v>
      </c>
      <c r="GF1345">
        <v>-354716323</v>
      </c>
      <c r="GG1345">
        <v>2</v>
      </c>
      <c r="GH1345">
        <v>1</v>
      </c>
      <c r="GI1345">
        <v>2</v>
      </c>
      <c r="GJ1345">
        <v>0</v>
      </c>
      <c r="GK1345">
        <f>ROUND(R1345*(S12)/100,2)</f>
        <v>0</v>
      </c>
      <c r="GL1345">
        <f t="shared" si="1145"/>
        <v>0</v>
      </c>
      <c r="GM1345">
        <f t="shared" si="1146"/>
        <v>0</v>
      </c>
      <c r="GN1345">
        <f t="shared" si="1147"/>
        <v>0</v>
      </c>
      <c r="GO1345">
        <f t="shared" si="1148"/>
        <v>0</v>
      </c>
      <c r="GP1345">
        <f t="shared" si="1149"/>
        <v>0</v>
      </c>
      <c r="GR1345">
        <v>0</v>
      </c>
      <c r="GS1345">
        <v>3</v>
      </c>
      <c r="GT1345">
        <v>0</v>
      </c>
      <c r="GU1345" t="s">
        <v>3</v>
      </c>
      <c r="GV1345">
        <f t="shared" si="1150"/>
        <v>0</v>
      </c>
      <c r="GW1345">
        <v>1</v>
      </c>
      <c r="GX1345">
        <f t="shared" si="1151"/>
        <v>0</v>
      </c>
      <c r="HA1345">
        <v>0</v>
      </c>
      <c r="HB1345">
        <v>0</v>
      </c>
      <c r="HC1345">
        <f t="shared" si="1152"/>
        <v>0</v>
      </c>
      <c r="HE1345" t="s">
        <v>3</v>
      </c>
      <c r="HF1345" t="s">
        <v>3</v>
      </c>
      <c r="HM1345" t="s">
        <v>3</v>
      </c>
      <c r="HN1345" t="s">
        <v>3</v>
      </c>
      <c r="HO1345" t="s">
        <v>3</v>
      </c>
      <c r="HP1345" t="s">
        <v>3</v>
      </c>
      <c r="HQ1345" t="s">
        <v>3</v>
      </c>
      <c r="IK1345">
        <v>0</v>
      </c>
    </row>
    <row r="1346" spans="1:255" x14ac:dyDescent="0.2">
      <c r="A1346" s="2">
        <v>17</v>
      </c>
      <c r="B1346" s="2">
        <v>1</v>
      </c>
      <c r="C1346" s="2">
        <f>ROW(SmtRes!A1099)</f>
        <v>1099</v>
      </c>
      <c r="D1346" s="2">
        <f>ROW(EtalonRes!A1051)</f>
        <v>1051</v>
      </c>
      <c r="E1346" s="2" t="s">
        <v>96</v>
      </c>
      <c r="F1346" s="2" t="s">
        <v>1031</v>
      </c>
      <c r="G1346" s="2" t="s">
        <v>1032</v>
      </c>
      <c r="H1346" s="2" t="s">
        <v>1033</v>
      </c>
      <c r="I1346" s="2">
        <v>1</v>
      </c>
      <c r="J1346" s="2">
        <v>0</v>
      </c>
      <c r="K1346" s="2">
        <v>1</v>
      </c>
      <c r="L1346" s="2"/>
      <c r="M1346" s="2"/>
      <c r="N1346" s="2"/>
      <c r="O1346" s="2">
        <f t="shared" si="1122"/>
        <v>2129.7199999999998</v>
      </c>
      <c r="P1346" s="2">
        <f t="shared" si="1123"/>
        <v>41.35</v>
      </c>
      <c r="Q1346" s="2">
        <f t="shared" si="1155"/>
        <v>314.49</v>
      </c>
      <c r="R1346" s="2">
        <f t="shared" si="1124"/>
        <v>45.23</v>
      </c>
      <c r="S1346" s="2">
        <f t="shared" si="1125"/>
        <v>1773.88</v>
      </c>
      <c r="T1346" s="2">
        <f t="shared" si="1126"/>
        <v>0</v>
      </c>
      <c r="U1346" s="2">
        <f t="shared" si="1127"/>
        <v>122</v>
      </c>
      <c r="V1346" s="2">
        <f t="shared" si="1128"/>
        <v>0</v>
      </c>
      <c r="W1346" s="2">
        <f t="shared" si="1129"/>
        <v>0</v>
      </c>
      <c r="X1346" s="2">
        <f t="shared" si="1130"/>
        <v>1188.5</v>
      </c>
      <c r="Y1346" s="2">
        <f t="shared" si="1131"/>
        <v>1188.5</v>
      </c>
      <c r="Z1346" s="2"/>
      <c r="AA1346" s="2">
        <v>129761636</v>
      </c>
      <c r="AB1346" s="2">
        <f t="shared" si="1132"/>
        <v>2129.7199999999998</v>
      </c>
      <c r="AC1346" s="2">
        <f t="shared" si="1133"/>
        <v>41.35</v>
      </c>
      <c r="AD1346" s="2">
        <f t="shared" si="1156"/>
        <v>314.49</v>
      </c>
      <c r="AE1346" s="2">
        <f t="shared" si="1157"/>
        <v>45.23</v>
      </c>
      <c r="AF1346" s="2">
        <f t="shared" si="1157"/>
        <v>1773.88</v>
      </c>
      <c r="AG1346" s="2">
        <f t="shared" si="1134"/>
        <v>0</v>
      </c>
      <c r="AH1346" s="2">
        <f t="shared" si="1158"/>
        <v>122</v>
      </c>
      <c r="AI1346" s="2">
        <f t="shared" si="1158"/>
        <v>0</v>
      </c>
      <c r="AJ1346" s="2">
        <f t="shared" si="1135"/>
        <v>0</v>
      </c>
      <c r="AK1346" s="2">
        <v>2129.7199999999998</v>
      </c>
      <c r="AL1346" s="2">
        <v>41.35</v>
      </c>
      <c r="AM1346" s="2">
        <v>314.49</v>
      </c>
      <c r="AN1346" s="2">
        <v>45.23</v>
      </c>
      <c r="AO1346" s="2">
        <v>1773.88</v>
      </c>
      <c r="AP1346" s="2">
        <v>0</v>
      </c>
      <c r="AQ1346" s="2">
        <v>122</v>
      </c>
      <c r="AR1346" s="2">
        <v>0</v>
      </c>
      <c r="AS1346" s="2">
        <v>0</v>
      </c>
      <c r="AT1346" s="2">
        <v>67</v>
      </c>
      <c r="AU1346" s="2">
        <v>67</v>
      </c>
      <c r="AV1346" s="2">
        <v>1</v>
      </c>
      <c r="AW1346" s="2">
        <v>1</v>
      </c>
      <c r="AX1346" s="2"/>
      <c r="AY1346" s="2"/>
      <c r="AZ1346" s="2">
        <v>1</v>
      </c>
      <c r="BA1346" s="2">
        <v>1</v>
      </c>
      <c r="BB1346" s="2">
        <v>1</v>
      </c>
      <c r="BC1346" s="2">
        <v>1</v>
      </c>
      <c r="BD1346" s="2" t="s">
        <v>3</v>
      </c>
      <c r="BE1346" s="2" t="s">
        <v>3</v>
      </c>
      <c r="BF1346" s="2" t="s">
        <v>3</v>
      </c>
      <c r="BG1346" s="2" t="s">
        <v>3</v>
      </c>
      <c r="BH1346" s="2">
        <v>0</v>
      </c>
      <c r="BI1346" s="2">
        <v>2</v>
      </c>
      <c r="BJ1346" s="2" t="s">
        <v>1034</v>
      </c>
      <c r="BK1346" s="2"/>
      <c r="BL1346" s="2"/>
      <c r="BM1346" s="2">
        <v>313</v>
      </c>
      <c r="BN1346" s="2">
        <v>0</v>
      </c>
      <c r="BO1346" s="2" t="s">
        <v>3</v>
      </c>
      <c r="BP1346" s="2">
        <v>0</v>
      </c>
      <c r="BQ1346" s="2">
        <v>40</v>
      </c>
      <c r="BR1346" s="2">
        <v>0</v>
      </c>
      <c r="BS1346" s="2">
        <v>1</v>
      </c>
      <c r="BT1346" s="2">
        <v>1</v>
      </c>
      <c r="BU1346" s="2">
        <v>1</v>
      </c>
      <c r="BV1346" s="2">
        <v>1</v>
      </c>
      <c r="BW1346" s="2">
        <v>1</v>
      </c>
      <c r="BX1346" s="2">
        <v>1</v>
      </c>
      <c r="BY1346" s="2" t="s">
        <v>3</v>
      </c>
      <c r="BZ1346" s="2">
        <v>67</v>
      </c>
      <c r="CA1346" s="2">
        <v>67</v>
      </c>
      <c r="CB1346" s="2" t="s">
        <v>3</v>
      </c>
      <c r="CC1346" s="2"/>
      <c r="CD1346" s="2"/>
      <c r="CE1346" s="2">
        <v>30</v>
      </c>
      <c r="CF1346" s="2">
        <v>0</v>
      </c>
      <c r="CG1346" s="2">
        <v>0</v>
      </c>
      <c r="CH1346" s="2"/>
      <c r="CI1346" s="2"/>
      <c r="CJ1346" s="2"/>
      <c r="CK1346" s="2"/>
      <c r="CL1346" s="2"/>
      <c r="CM1346" s="2">
        <v>0</v>
      </c>
      <c r="CN1346" s="2" t="s">
        <v>3</v>
      </c>
      <c r="CO1346" s="2">
        <v>0</v>
      </c>
      <c r="CP1346" s="2">
        <f t="shared" si="1136"/>
        <v>2129.7200000000003</v>
      </c>
      <c r="CQ1346" s="2">
        <f t="shared" si="1137"/>
        <v>41.35</v>
      </c>
      <c r="CR1346" s="2">
        <f t="shared" si="1159"/>
        <v>314.49</v>
      </c>
      <c r="CS1346" s="2">
        <f t="shared" si="1138"/>
        <v>45.23</v>
      </c>
      <c r="CT1346" s="2">
        <f t="shared" si="1139"/>
        <v>1773.88</v>
      </c>
      <c r="CU1346" s="2">
        <f t="shared" si="1140"/>
        <v>0</v>
      </c>
      <c r="CV1346" s="2">
        <f t="shared" si="1141"/>
        <v>122</v>
      </c>
      <c r="CW1346" s="2">
        <f t="shared" si="1142"/>
        <v>0</v>
      </c>
      <c r="CX1346" s="2">
        <f t="shared" si="1143"/>
        <v>0</v>
      </c>
      <c r="CY1346" s="2">
        <f>((S1346*BZ1346)/100)</f>
        <v>1188.4996000000001</v>
      </c>
      <c r="CZ1346" s="2">
        <f>((S1346*CA1346)/100)</f>
        <v>1188.4996000000001</v>
      </c>
      <c r="DA1346" s="2"/>
      <c r="DB1346" s="2"/>
      <c r="DC1346" s="2" t="s">
        <v>3</v>
      </c>
      <c r="DD1346" s="2" t="s">
        <v>3</v>
      </c>
      <c r="DE1346" s="2" t="s">
        <v>3</v>
      </c>
      <c r="DF1346" s="2" t="s">
        <v>3</v>
      </c>
      <c r="DG1346" s="2" t="s">
        <v>3</v>
      </c>
      <c r="DH1346" s="2" t="s">
        <v>3</v>
      </c>
      <c r="DI1346" s="2" t="s">
        <v>3</v>
      </c>
      <c r="DJ1346" s="2" t="s">
        <v>3</v>
      </c>
      <c r="DK1346" s="2" t="s">
        <v>3</v>
      </c>
      <c r="DL1346" s="2" t="s">
        <v>3</v>
      </c>
      <c r="DM1346" s="2" t="s">
        <v>3</v>
      </c>
      <c r="DN1346" s="2">
        <v>0</v>
      </c>
      <c r="DO1346" s="2">
        <v>0</v>
      </c>
      <c r="DP1346" s="2">
        <v>1</v>
      </c>
      <c r="DQ1346" s="2">
        <v>1</v>
      </c>
      <c r="DR1346" s="2"/>
      <c r="DS1346" s="2"/>
      <c r="DT1346" s="2"/>
      <c r="DU1346" s="2">
        <v>1013</v>
      </c>
      <c r="DV1346" s="2" t="s">
        <v>1033</v>
      </c>
      <c r="DW1346" s="2" t="s">
        <v>1033</v>
      </c>
      <c r="DX1346" s="2">
        <v>1</v>
      </c>
      <c r="DY1346" s="2"/>
      <c r="DZ1346" s="2" t="s">
        <v>3</v>
      </c>
      <c r="EA1346" s="2" t="s">
        <v>3</v>
      </c>
      <c r="EB1346" s="2" t="s">
        <v>3</v>
      </c>
      <c r="EC1346" s="2" t="s">
        <v>3</v>
      </c>
      <c r="ED1346" s="2"/>
      <c r="EE1346" s="2">
        <v>126051774</v>
      </c>
      <c r="EF1346" s="2">
        <v>40</v>
      </c>
      <c r="EG1346" s="2" t="s">
        <v>621</v>
      </c>
      <c r="EH1346" s="2">
        <v>0</v>
      </c>
      <c r="EI1346" s="2" t="s">
        <v>3</v>
      </c>
      <c r="EJ1346" s="2">
        <v>2</v>
      </c>
      <c r="EK1346" s="2">
        <v>313</v>
      </c>
      <c r="EL1346" s="2" t="s">
        <v>1035</v>
      </c>
      <c r="EM1346" s="2" t="s">
        <v>1036</v>
      </c>
      <c r="EN1346" s="2"/>
      <c r="EO1346" s="2" t="s">
        <v>3</v>
      </c>
      <c r="EP1346" s="2"/>
      <c r="EQ1346" s="2">
        <v>131072</v>
      </c>
      <c r="ER1346" s="2">
        <v>2129.7199999999998</v>
      </c>
      <c r="ES1346" s="2">
        <v>41.35</v>
      </c>
      <c r="ET1346" s="2">
        <v>314.49</v>
      </c>
      <c r="EU1346" s="2">
        <v>45.23</v>
      </c>
      <c r="EV1346" s="2">
        <v>1773.88</v>
      </c>
      <c r="EW1346" s="2">
        <v>122</v>
      </c>
      <c r="EX1346" s="2">
        <v>0</v>
      </c>
      <c r="EY1346" s="2">
        <v>0</v>
      </c>
      <c r="EZ1346" s="2"/>
      <c r="FA1346" s="2"/>
      <c r="FB1346" s="2"/>
      <c r="FC1346" s="2"/>
      <c r="FD1346" s="2"/>
      <c r="FE1346" s="2"/>
      <c r="FF1346" s="2"/>
      <c r="FG1346" s="2"/>
      <c r="FH1346" s="2"/>
      <c r="FI1346" s="2"/>
      <c r="FJ1346" s="2"/>
      <c r="FK1346" s="2"/>
      <c r="FL1346" s="2"/>
      <c r="FM1346" s="2"/>
      <c r="FN1346" s="2"/>
      <c r="FO1346" s="2"/>
      <c r="FP1346" s="2"/>
      <c r="FQ1346" s="2">
        <v>0</v>
      </c>
      <c r="FR1346" s="2">
        <f t="shared" si="1144"/>
        <v>0</v>
      </c>
      <c r="FS1346" s="2">
        <v>0</v>
      </c>
      <c r="FT1346" s="2"/>
      <c r="FU1346" s="2"/>
      <c r="FV1346" s="2"/>
      <c r="FW1346" s="2"/>
      <c r="FX1346" s="2">
        <v>67</v>
      </c>
      <c r="FY1346" s="2">
        <v>67</v>
      </c>
      <c r="FZ1346" s="2"/>
      <c r="GA1346" s="2" t="s">
        <v>3</v>
      </c>
      <c r="GB1346" s="2"/>
      <c r="GC1346" s="2"/>
      <c r="GD1346" s="2">
        <v>0</v>
      </c>
      <c r="GE1346" s="2"/>
      <c r="GF1346" s="2">
        <v>-351645398</v>
      </c>
      <c r="GG1346" s="2">
        <v>2</v>
      </c>
      <c r="GH1346" s="2">
        <v>1</v>
      </c>
      <c r="GI1346" s="2">
        <v>-2</v>
      </c>
      <c r="GJ1346" s="2">
        <v>0</v>
      </c>
      <c r="GK1346" s="2">
        <f>ROUND(R1346*(R12)/100,2)</f>
        <v>79.150000000000006</v>
      </c>
      <c r="GL1346" s="2">
        <f t="shared" si="1145"/>
        <v>0</v>
      </c>
      <c r="GM1346" s="2">
        <f t="shared" si="1146"/>
        <v>4585.87</v>
      </c>
      <c r="GN1346" s="2">
        <f t="shared" si="1147"/>
        <v>0</v>
      </c>
      <c r="GO1346" s="2">
        <f t="shared" si="1148"/>
        <v>4585.87</v>
      </c>
      <c r="GP1346" s="2">
        <f t="shared" si="1149"/>
        <v>0</v>
      </c>
      <c r="GQ1346" s="2"/>
      <c r="GR1346" s="2">
        <v>0</v>
      </c>
      <c r="GS1346" s="2">
        <v>0</v>
      </c>
      <c r="GT1346" s="2">
        <v>0</v>
      </c>
      <c r="GU1346" s="2" t="s">
        <v>3</v>
      </c>
      <c r="GV1346" s="2">
        <f t="shared" si="1150"/>
        <v>0</v>
      </c>
      <c r="GW1346" s="2">
        <v>1</v>
      </c>
      <c r="GX1346" s="2">
        <f t="shared" si="1151"/>
        <v>0</v>
      </c>
      <c r="GY1346" s="2"/>
      <c r="GZ1346" s="2"/>
      <c r="HA1346" s="2">
        <v>0</v>
      </c>
      <c r="HB1346" s="2">
        <v>0</v>
      </c>
      <c r="HC1346" s="2">
        <f t="shared" si="1152"/>
        <v>0</v>
      </c>
      <c r="HD1346" s="2"/>
      <c r="HE1346" s="2" t="s">
        <v>3</v>
      </c>
      <c r="HF1346" s="2" t="s">
        <v>3</v>
      </c>
      <c r="HG1346" s="2"/>
      <c r="HH1346" s="2"/>
      <c r="HI1346" s="2"/>
      <c r="HJ1346" s="2"/>
      <c r="HK1346" s="2"/>
      <c r="HL1346" s="2"/>
      <c r="HM1346" s="2" t="s">
        <v>3</v>
      </c>
      <c r="HN1346" s="2" t="s">
        <v>3</v>
      </c>
      <c r="HO1346" s="2" t="s">
        <v>3</v>
      </c>
      <c r="HP1346" s="2" t="s">
        <v>3</v>
      </c>
      <c r="HQ1346" s="2" t="s">
        <v>3</v>
      </c>
      <c r="HR1346" s="2"/>
      <c r="HS1346" s="2"/>
      <c r="HT1346" s="2"/>
      <c r="HU1346" s="2"/>
      <c r="HV1346" s="2"/>
      <c r="HW1346" s="2"/>
      <c r="HX1346" s="2"/>
      <c r="HY1346" s="2"/>
      <c r="HZ1346" s="2"/>
      <c r="IA1346" s="2"/>
      <c r="IB1346" s="2"/>
      <c r="IC1346" s="2"/>
      <c r="ID1346" s="2"/>
      <c r="IE1346" s="2"/>
      <c r="IF1346" s="2"/>
      <c r="IG1346" s="2"/>
      <c r="IH1346" s="2"/>
      <c r="II1346" s="2"/>
      <c r="IJ1346" s="2"/>
      <c r="IK1346" s="2">
        <v>0</v>
      </c>
      <c r="IL1346" s="2"/>
      <c r="IM1346" s="2"/>
      <c r="IN1346" s="2"/>
      <c r="IO1346" s="2"/>
      <c r="IP1346" s="2"/>
      <c r="IQ1346" s="2"/>
      <c r="IR1346" s="2"/>
      <c r="IS1346" s="2"/>
      <c r="IT1346" s="2"/>
      <c r="IU1346" s="2"/>
    </row>
    <row r="1347" spans="1:255" x14ac:dyDescent="0.2">
      <c r="A1347">
        <v>17</v>
      </c>
      <c r="B1347">
        <v>1</v>
      </c>
      <c r="C1347">
        <f>ROW(SmtRes!A1100)</f>
        <v>1100</v>
      </c>
      <c r="D1347">
        <f>ROW(EtalonRes!A1052)</f>
        <v>1052</v>
      </c>
      <c r="E1347" t="s">
        <v>96</v>
      </c>
      <c r="F1347" t="s">
        <v>1031</v>
      </c>
      <c r="G1347" t="s">
        <v>1032</v>
      </c>
      <c r="H1347" t="s">
        <v>1033</v>
      </c>
      <c r="I1347">
        <v>1</v>
      </c>
      <c r="J1347">
        <v>0</v>
      </c>
      <c r="K1347">
        <v>1</v>
      </c>
      <c r="O1347">
        <f t="shared" si="1122"/>
        <v>55498.01</v>
      </c>
      <c r="P1347">
        <f t="shared" si="1123"/>
        <v>366.77</v>
      </c>
      <c r="Q1347">
        <f t="shared" si="1155"/>
        <v>3635.5</v>
      </c>
      <c r="R1347">
        <f t="shared" si="1124"/>
        <v>1313.03</v>
      </c>
      <c r="S1347">
        <f t="shared" si="1125"/>
        <v>51495.74</v>
      </c>
      <c r="T1347">
        <f t="shared" si="1126"/>
        <v>0</v>
      </c>
      <c r="U1347">
        <f t="shared" si="1127"/>
        <v>122</v>
      </c>
      <c r="V1347">
        <f t="shared" si="1128"/>
        <v>0</v>
      </c>
      <c r="W1347">
        <f t="shared" si="1129"/>
        <v>0</v>
      </c>
      <c r="X1347">
        <f t="shared" si="1130"/>
        <v>36047.019999999997</v>
      </c>
      <c r="Y1347">
        <f t="shared" si="1131"/>
        <v>21113.25</v>
      </c>
      <c r="AA1347">
        <v>129761633</v>
      </c>
      <c r="AB1347">
        <f t="shared" si="1132"/>
        <v>2129.7199999999998</v>
      </c>
      <c r="AC1347">
        <f t="shared" si="1133"/>
        <v>41.35</v>
      </c>
      <c r="AD1347">
        <f t="shared" si="1156"/>
        <v>314.49</v>
      </c>
      <c r="AE1347">
        <f t="shared" si="1157"/>
        <v>45.23</v>
      </c>
      <c r="AF1347">
        <f t="shared" si="1157"/>
        <v>1773.88</v>
      </c>
      <c r="AG1347">
        <f t="shared" si="1134"/>
        <v>0</v>
      </c>
      <c r="AH1347">
        <f t="shared" si="1158"/>
        <v>122</v>
      </c>
      <c r="AI1347">
        <f t="shared" si="1158"/>
        <v>0</v>
      </c>
      <c r="AJ1347">
        <f t="shared" si="1135"/>
        <v>0</v>
      </c>
      <c r="AK1347">
        <v>2129.7199999999998</v>
      </c>
      <c r="AL1347">
        <v>41.35</v>
      </c>
      <c r="AM1347">
        <v>314.49</v>
      </c>
      <c r="AN1347">
        <v>45.23</v>
      </c>
      <c r="AO1347">
        <v>1773.88</v>
      </c>
      <c r="AP1347">
        <v>0</v>
      </c>
      <c r="AQ1347">
        <v>122</v>
      </c>
      <c r="AR1347">
        <v>0</v>
      </c>
      <c r="AS1347">
        <v>0</v>
      </c>
      <c r="AT1347">
        <v>70</v>
      </c>
      <c r="AU1347">
        <v>41</v>
      </c>
      <c r="AV1347">
        <v>1</v>
      </c>
      <c r="AW1347">
        <v>1</v>
      </c>
      <c r="AZ1347">
        <v>1</v>
      </c>
      <c r="BA1347">
        <v>29.03</v>
      </c>
      <c r="BB1347">
        <v>11.56</v>
      </c>
      <c r="BC1347">
        <v>8.8699999999999992</v>
      </c>
      <c r="BD1347" t="s">
        <v>3</v>
      </c>
      <c r="BE1347" t="s">
        <v>3</v>
      </c>
      <c r="BF1347" t="s">
        <v>3</v>
      </c>
      <c r="BG1347" t="s">
        <v>3</v>
      </c>
      <c r="BH1347">
        <v>0</v>
      </c>
      <c r="BI1347">
        <v>2</v>
      </c>
      <c r="BJ1347" t="s">
        <v>1034</v>
      </c>
      <c r="BM1347">
        <v>313</v>
      </c>
      <c r="BN1347">
        <v>0</v>
      </c>
      <c r="BO1347" t="s">
        <v>1031</v>
      </c>
      <c r="BP1347">
        <v>1</v>
      </c>
      <c r="BQ1347">
        <v>40</v>
      </c>
      <c r="BR1347">
        <v>0</v>
      </c>
      <c r="BS1347">
        <v>29.03</v>
      </c>
      <c r="BT1347">
        <v>1</v>
      </c>
      <c r="BU1347">
        <v>1</v>
      </c>
      <c r="BV1347">
        <v>1</v>
      </c>
      <c r="BW1347">
        <v>1</v>
      </c>
      <c r="BX1347">
        <v>1</v>
      </c>
      <c r="BY1347" t="s">
        <v>3</v>
      </c>
      <c r="BZ1347">
        <v>70</v>
      </c>
      <c r="CA1347">
        <v>41</v>
      </c>
      <c r="CB1347" t="s">
        <v>3</v>
      </c>
      <c r="CE1347">
        <v>30</v>
      </c>
      <c r="CF1347">
        <v>0</v>
      </c>
      <c r="CG1347">
        <v>0</v>
      </c>
      <c r="CM1347">
        <v>0</v>
      </c>
      <c r="CN1347" t="s">
        <v>3</v>
      </c>
      <c r="CO1347">
        <v>0</v>
      </c>
      <c r="CP1347">
        <f t="shared" si="1136"/>
        <v>55498.009999999995</v>
      </c>
      <c r="CQ1347">
        <f t="shared" si="1137"/>
        <v>366.77</v>
      </c>
      <c r="CR1347">
        <f t="shared" si="1159"/>
        <v>3635.5</v>
      </c>
      <c r="CS1347">
        <f t="shared" si="1138"/>
        <v>1313.03</v>
      </c>
      <c r="CT1347">
        <f t="shared" si="1139"/>
        <v>51495.74</v>
      </c>
      <c r="CU1347">
        <f t="shared" si="1140"/>
        <v>0</v>
      </c>
      <c r="CV1347">
        <f t="shared" si="1141"/>
        <v>122</v>
      </c>
      <c r="CW1347">
        <f t="shared" si="1142"/>
        <v>0</v>
      </c>
      <c r="CX1347">
        <f t="shared" si="1143"/>
        <v>0</v>
      </c>
      <c r="CY1347">
        <f>S1347*(BZ1347/100)</f>
        <v>36047.017999999996</v>
      </c>
      <c r="CZ1347">
        <f>S1347*(CA1347/100)</f>
        <v>21113.253399999998</v>
      </c>
      <c r="DC1347" t="s">
        <v>3</v>
      </c>
      <c r="DD1347" t="s">
        <v>3</v>
      </c>
      <c r="DE1347" t="s">
        <v>3</v>
      </c>
      <c r="DF1347" t="s">
        <v>3</v>
      </c>
      <c r="DG1347" t="s">
        <v>3</v>
      </c>
      <c r="DH1347" t="s">
        <v>3</v>
      </c>
      <c r="DI1347" t="s">
        <v>3</v>
      </c>
      <c r="DJ1347" t="s">
        <v>3</v>
      </c>
      <c r="DK1347" t="s">
        <v>3</v>
      </c>
      <c r="DL1347" t="s">
        <v>3</v>
      </c>
      <c r="DM1347" t="s">
        <v>3</v>
      </c>
      <c r="DN1347">
        <v>67</v>
      </c>
      <c r="DO1347">
        <v>67</v>
      </c>
      <c r="DP1347">
        <v>1</v>
      </c>
      <c r="DQ1347">
        <v>1</v>
      </c>
      <c r="DU1347">
        <v>1013</v>
      </c>
      <c r="DV1347" t="s">
        <v>1033</v>
      </c>
      <c r="DW1347" t="s">
        <v>1033</v>
      </c>
      <c r="DX1347">
        <v>1</v>
      </c>
      <c r="DZ1347" t="s">
        <v>3</v>
      </c>
      <c r="EA1347" t="s">
        <v>3</v>
      </c>
      <c r="EB1347" t="s">
        <v>3</v>
      </c>
      <c r="EC1347" t="s">
        <v>3</v>
      </c>
      <c r="EE1347">
        <v>126051774</v>
      </c>
      <c r="EF1347">
        <v>40</v>
      </c>
      <c r="EG1347" t="s">
        <v>621</v>
      </c>
      <c r="EH1347">
        <v>0</v>
      </c>
      <c r="EI1347" t="s">
        <v>3</v>
      </c>
      <c r="EJ1347">
        <v>2</v>
      </c>
      <c r="EK1347">
        <v>313</v>
      </c>
      <c r="EL1347" t="s">
        <v>1035</v>
      </c>
      <c r="EM1347" t="s">
        <v>1036</v>
      </c>
      <c r="EO1347" t="s">
        <v>3</v>
      </c>
      <c r="EQ1347">
        <v>131072</v>
      </c>
      <c r="ER1347">
        <v>2129.7199999999998</v>
      </c>
      <c r="ES1347">
        <v>41.35</v>
      </c>
      <c r="ET1347">
        <v>314.49</v>
      </c>
      <c r="EU1347">
        <v>45.23</v>
      </c>
      <c r="EV1347">
        <v>1773.88</v>
      </c>
      <c r="EW1347">
        <v>122</v>
      </c>
      <c r="EX1347">
        <v>0</v>
      </c>
      <c r="EY1347">
        <v>0</v>
      </c>
      <c r="FQ1347">
        <v>0</v>
      </c>
      <c r="FR1347">
        <f t="shared" si="1144"/>
        <v>0</v>
      </c>
      <c r="FS1347">
        <v>0</v>
      </c>
      <c r="FX1347">
        <v>67</v>
      </c>
      <c r="FY1347">
        <v>67</v>
      </c>
      <c r="GA1347" t="s">
        <v>3</v>
      </c>
      <c r="GD1347">
        <v>0</v>
      </c>
      <c r="GF1347">
        <v>-351645398</v>
      </c>
      <c r="GG1347">
        <v>2</v>
      </c>
      <c r="GH1347">
        <v>1</v>
      </c>
      <c r="GI1347">
        <v>2</v>
      </c>
      <c r="GJ1347">
        <v>0</v>
      </c>
      <c r="GK1347">
        <f>ROUND(R1347*(S12)/100,2)</f>
        <v>2100.85</v>
      </c>
      <c r="GL1347">
        <f t="shared" si="1145"/>
        <v>0</v>
      </c>
      <c r="GM1347">
        <f t="shared" si="1146"/>
        <v>114759.13</v>
      </c>
      <c r="GN1347">
        <f t="shared" si="1147"/>
        <v>0</v>
      </c>
      <c r="GO1347">
        <f t="shared" si="1148"/>
        <v>114759.13</v>
      </c>
      <c r="GP1347">
        <f t="shared" si="1149"/>
        <v>0</v>
      </c>
      <c r="GR1347">
        <v>0</v>
      </c>
      <c r="GS1347">
        <v>3</v>
      </c>
      <c r="GT1347">
        <v>0</v>
      </c>
      <c r="GU1347" t="s">
        <v>3</v>
      </c>
      <c r="GV1347">
        <f t="shared" si="1150"/>
        <v>0</v>
      </c>
      <c r="GW1347">
        <v>1</v>
      </c>
      <c r="GX1347">
        <f t="shared" si="1151"/>
        <v>0</v>
      </c>
      <c r="HA1347">
        <v>0</v>
      </c>
      <c r="HB1347">
        <v>0</v>
      </c>
      <c r="HC1347">
        <f t="shared" si="1152"/>
        <v>0</v>
      </c>
      <c r="HE1347" t="s">
        <v>3</v>
      </c>
      <c r="HF1347" t="s">
        <v>3</v>
      </c>
      <c r="HM1347" t="s">
        <v>3</v>
      </c>
      <c r="HN1347" t="s">
        <v>3</v>
      </c>
      <c r="HO1347" t="s">
        <v>3</v>
      </c>
      <c r="HP1347" t="s">
        <v>3</v>
      </c>
      <c r="HQ1347" t="s">
        <v>3</v>
      </c>
      <c r="IK1347">
        <v>0</v>
      </c>
    </row>
    <row r="1348" spans="1:255" x14ac:dyDescent="0.2">
      <c r="A1348" s="2">
        <v>17</v>
      </c>
      <c r="B1348" s="2">
        <v>1</v>
      </c>
      <c r="C1348" s="2">
        <f>ROW(SmtRes!A1104)</f>
        <v>1104</v>
      </c>
      <c r="D1348" s="2">
        <f>ROW(EtalonRes!A1055)</f>
        <v>1055</v>
      </c>
      <c r="E1348" s="2" t="s">
        <v>104</v>
      </c>
      <c r="F1348" s="2" t="s">
        <v>645</v>
      </c>
      <c r="G1348" s="2" t="s">
        <v>646</v>
      </c>
      <c r="H1348" s="2" t="s">
        <v>231</v>
      </c>
      <c r="I1348" s="2">
        <v>17</v>
      </c>
      <c r="J1348" s="2">
        <v>0</v>
      </c>
      <c r="K1348" s="2">
        <v>17</v>
      </c>
      <c r="L1348" s="2"/>
      <c r="M1348" s="2"/>
      <c r="N1348" s="2"/>
      <c r="O1348" s="2">
        <f t="shared" si="1122"/>
        <v>22.64</v>
      </c>
      <c r="P1348" s="2">
        <f t="shared" si="1123"/>
        <v>2.89</v>
      </c>
      <c r="Q1348" s="2">
        <f>(ROUND((ROUND((((ET1348*1.25))*AV1348*I1348),2)*BB1348),2)+ROUND((ROUND(((AE1348-((EU1348*1.25)))*AV1348*I1348),2)*BS1348),2))</f>
        <v>0</v>
      </c>
      <c r="R1348" s="2">
        <f t="shared" si="1124"/>
        <v>0</v>
      </c>
      <c r="S1348" s="2">
        <f t="shared" si="1125"/>
        <v>19.75</v>
      </c>
      <c r="T1348" s="2">
        <f t="shared" si="1126"/>
        <v>0</v>
      </c>
      <c r="U1348" s="2">
        <f t="shared" si="1127"/>
        <v>1.7594999999999998</v>
      </c>
      <c r="V1348" s="2">
        <f t="shared" si="1128"/>
        <v>0</v>
      </c>
      <c r="W1348" s="2">
        <f t="shared" si="1129"/>
        <v>0</v>
      </c>
      <c r="X1348" s="2">
        <f t="shared" si="1130"/>
        <v>16.79</v>
      </c>
      <c r="Y1348" s="2">
        <f t="shared" si="1131"/>
        <v>13.83</v>
      </c>
      <c r="Z1348" s="2"/>
      <c r="AA1348" s="2">
        <v>129761636</v>
      </c>
      <c r="AB1348" s="2">
        <f t="shared" si="1132"/>
        <v>1.3314999999999999</v>
      </c>
      <c r="AC1348" s="2">
        <f t="shared" si="1133"/>
        <v>0.17</v>
      </c>
      <c r="AD1348" s="2">
        <f>ROUND(((((ET1348*1.25))-((EU1348*1.25)))+AE1348),6)</f>
        <v>0</v>
      </c>
      <c r="AE1348" s="2">
        <f>ROUND(((EU1348*1.25)),6)</f>
        <v>0</v>
      </c>
      <c r="AF1348" s="2">
        <f>ROUND(((EV1348*1.15)),6)</f>
        <v>1.1615</v>
      </c>
      <c r="AG1348" s="2">
        <f t="shared" si="1134"/>
        <v>0</v>
      </c>
      <c r="AH1348" s="2">
        <f>((EW1348*1.15))</f>
        <v>0.10349999999999999</v>
      </c>
      <c r="AI1348" s="2">
        <f>((EX1348*1.25))</f>
        <v>0</v>
      </c>
      <c r="AJ1348" s="2">
        <f t="shared" si="1135"/>
        <v>0</v>
      </c>
      <c r="AK1348" s="2">
        <v>1.18</v>
      </c>
      <c r="AL1348" s="2">
        <v>0.17</v>
      </c>
      <c r="AM1348" s="2">
        <v>0</v>
      </c>
      <c r="AN1348" s="2">
        <v>0</v>
      </c>
      <c r="AO1348" s="2">
        <v>1.01</v>
      </c>
      <c r="AP1348" s="2">
        <v>0</v>
      </c>
      <c r="AQ1348" s="2">
        <v>0.09</v>
      </c>
      <c r="AR1348" s="2">
        <v>0</v>
      </c>
      <c r="AS1348" s="2">
        <v>0</v>
      </c>
      <c r="AT1348" s="2">
        <v>85</v>
      </c>
      <c r="AU1348" s="2">
        <v>70</v>
      </c>
      <c r="AV1348" s="2">
        <v>1</v>
      </c>
      <c r="AW1348" s="2">
        <v>1</v>
      </c>
      <c r="AX1348" s="2"/>
      <c r="AY1348" s="2"/>
      <c r="AZ1348" s="2">
        <v>1</v>
      </c>
      <c r="BA1348" s="2">
        <v>1</v>
      </c>
      <c r="BB1348" s="2">
        <v>1</v>
      </c>
      <c r="BC1348" s="2">
        <v>1</v>
      </c>
      <c r="BD1348" s="2" t="s">
        <v>3</v>
      </c>
      <c r="BE1348" s="2" t="s">
        <v>3</v>
      </c>
      <c r="BF1348" s="2" t="s">
        <v>3</v>
      </c>
      <c r="BG1348" s="2" t="s">
        <v>3</v>
      </c>
      <c r="BH1348" s="2">
        <v>0</v>
      </c>
      <c r="BI1348" s="2">
        <v>1</v>
      </c>
      <c r="BJ1348" s="2" t="s">
        <v>647</v>
      </c>
      <c r="BK1348" s="2"/>
      <c r="BL1348" s="2"/>
      <c r="BM1348" s="2">
        <v>80</v>
      </c>
      <c r="BN1348" s="2">
        <v>0</v>
      </c>
      <c r="BO1348" s="2" t="s">
        <v>3</v>
      </c>
      <c r="BP1348" s="2">
        <v>0</v>
      </c>
      <c r="BQ1348" s="2">
        <v>30</v>
      </c>
      <c r="BR1348" s="2">
        <v>0</v>
      </c>
      <c r="BS1348" s="2">
        <v>1</v>
      </c>
      <c r="BT1348" s="2">
        <v>1</v>
      </c>
      <c r="BU1348" s="2">
        <v>1</v>
      </c>
      <c r="BV1348" s="2">
        <v>1</v>
      </c>
      <c r="BW1348" s="2">
        <v>1</v>
      </c>
      <c r="BX1348" s="2">
        <v>1</v>
      </c>
      <c r="BY1348" s="2" t="s">
        <v>3</v>
      </c>
      <c r="BZ1348" s="2">
        <v>85</v>
      </c>
      <c r="CA1348" s="2">
        <v>70</v>
      </c>
      <c r="CB1348" s="2" t="s">
        <v>3</v>
      </c>
      <c r="CC1348" s="2"/>
      <c r="CD1348" s="2"/>
      <c r="CE1348" s="2">
        <v>30</v>
      </c>
      <c r="CF1348" s="2">
        <v>0</v>
      </c>
      <c r="CG1348" s="2">
        <v>0</v>
      </c>
      <c r="CH1348" s="2"/>
      <c r="CI1348" s="2"/>
      <c r="CJ1348" s="2"/>
      <c r="CK1348" s="2"/>
      <c r="CL1348" s="2"/>
      <c r="CM1348" s="2">
        <v>0</v>
      </c>
      <c r="CN1348" s="2" t="s">
        <v>1559</v>
      </c>
      <c r="CO1348" s="2">
        <v>0</v>
      </c>
      <c r="CP1348" s="2">
        <f t="shared" si="1136"/>
        <v>22.64</v>
      </c>
      <c r="CQ1348" s="2">
        <f t="shared" si="1137"/>
        <v>0.17</v>
      </c>
      <c r="CR1348" s="2">
        <f>(ROUND((ROUND((((ET1348*1.25))*AV1348*1),2)*BB1348),2)+ROUND((ROUND(((AE1348-((EU1348*1.25)))*AV1348*1),2)*BS1348),2))</f>
        <v>0</v>
      </c>
      <c r="CS1348" s="2">
        <f t="shared" si="1138"/>
        <v>0</v>
      </c>
      <c r="CT1348" s="2">
        <f t="shared" si="1139"/>
        <v>1.1599999999999999</v>
      </c>
      <c r="CU1348" s="2">
        <f t="shared" si="1140"/>
        <v>0</v>
      </c>
      <c r="CV1348" s="2">
        <f t="shared" si="1141"/>
        <v>0.10349999999999999</v>
      </c>
      <c r="CW1348" s="2">
        <f t="shared" si="1142"/>
        <v>0</v>
      </c>
      <c r="CX1348" s="2">
        <f t="shared" si="1143"/>
        <v>0</v>
      </c>
      <c r="CY1348" s="2">
        <f>((S1348*BZ1348)/100)</f>
        <v>16.787500000000001</v>
      </c>
      <c r="CZ1348" s="2">
        <f>((S1348*CA1348)/100)</f>
        <v>13.824999999999999</v>
      </c>
      <c r="DA1348" s="2"/>
      <c r="DB1348" s="2"/>
      <c r="DC1348" s="2" t="s">
        <v>3</v>
      </c>
      <c r="DD1348" s="2" t="s">
        <v>3</v>
      </c>
      <c r="DE1348" s="2" t="s">
        <v>86</v>
      </c>
      <c r="DF1348" s="2" t="s">
        <v>86</v>
      </c>
      <c r="DG1348" s="2" t="s">
        <v>87</v>
      </c>
      <c r="DH1348" s="2" t="s">
        <v>3</v>
      </c>
      <c r="DI1348" s="2" t="s">
        <v>87</v>
      </c>
      <c r="DJ1348" s="2" t="s">
        <v>86</v>
      </c>
      <c r="DK1348" s="2" t="s">
        <v>3</v>
      </c>
      <c r="DL1348" s="2" t="s">
        <v>3</v>
      </c>
      <c r="DM1348" s="2" t="s">
        <v>3</v>
      </c>
      <c r="DN1348" s="2">
        <v>0</v>
      </c>
      <c r="DO1348" s="2">
        <v>0</v>
      </c>
      <c r="DP1348" s="2">
        <v>1</v>
      </c>
      <c r="DQ1348" s="2">
        <v>1</v>
      </c>
      <c r="DR1348" s="2"/>
      <c r="DS1348" s="2"/>
      <c r="DT1348" s="2"/>
      <c r="DU1348" s="2">
        <v>1013</v>
      </c>
      <c r="DV1348" s="2" t="s">
        <v>231</v>
      </c>
      <c r="DW1348" s="2" t="s">
        <v>231</v>
      </c>
      <c r="DX1348" s="2">
        <v>1</v>
      </c>
      <c r="DY1348" s="2"/>
      <c r="DZ1348" s="2" t="s">
        <v>3</v>
      </c>
      <c r="EA1348" s="2" t="s">
        <v>3</v>
      </c>
      <c r="EB1348" s="2" t="s">
        <v>3</v>
      </c>
      <c r="EC1348" s="2" t="s">
        <v>3</v>
      </c>
      <c r="ED1348" s="2"/>
      <c r="EE1348" s="2">
        <v>126051541</v>
      </c>
      <c r="EF1348" s="2">
        <v>30</v>
      </c>
      <c r="EG1348" s="2" t="s">
        <v>23</v>
      </c>
      <c r="EH1348" s="2">
        <v>0</v>
      </c>
      <c r="EI1348" s="2" t="s">
        <v>3</v>
      </c>
      <c r="EJ1348" s="2">
        <v>1</v>
      </c>
      <c r="EK1348" s="2">
        <v>80</v>
      </c>
      <c r="EL1348" s="2" t="s">
        <v>143</v>
      </c>
      <c r="EM1348" s="2" t="s">
        <v>144</v>
      </c>
      <c r="EN1348" s="2"/>
      <c r="EO1348" s="2" t="s">
        <v>90</v>
      </c>
      <c r="EP1348" s="2"/>
      <c r="EQ1348" s="2">
        <v>131072</v>
      </c>
      <c r="ER1348" s="2">
        <v>1.18</v>
      </c>
      <c r="ES1348" s="2">
        <v>0.17</v>
      </c>
      <c r="ET1348" s="2">
        <v>0</v>
      </c>
      <c r="EU1348" s="2">
        <v>0</v>
      </c>
      <c r="EV1348" s="2">
        <v>1.01</v>
      </c>
      <c r="EW1348" s="2">
        <v>0.09</v>
      </c>
      <c r="EX1348" s="2">
        <v>0</v>
      </c>
      <c r="EY1348" s="2">
        <v>0</v>
      </c>
      <c r="EZ1348" s="2"/>
      <c r="FA1348" s="2"/>
      <c r="FB1348" s="2"/>
      <c r="FC1348" s="2"/>
      <c r="FD1348" s="2"/>
      <c r="FE1348" s="2"/>
      <c r="FF1348" s="2"/>
      <c r="FG1348" s="2"/>
      <c r="FH1348" s="2"/>
      <c r="FI1348" s="2"/>
      <c r="FJ1348" s="2"/>
      <c r="FK1348" s="2"/>
      <c r="FL1348" s="2"/>
      <c r="FM1348" s="2"/>
      <c r="FN1348" s="2"/>
      <c r="FO1348" s="2"/>
      <c r="FP1348" s="2"/>
      <c r="FQ1348" s="2">
        <v>0</v>
      </c>
      <c r="FR1348" s="2">
        <f t="shared" si="1144"/>
        <v>0</v>
      </c>
      <c r="FS1348" s="2">
        <v>0</v>
      </c>
      <c r="FT1348" s="2"/>
      <c r="FU1348" s="2"/>
      <c r="FV1348" s="2"/>
      <c r="FW1348" s="2"/>
      <c r="FX1348" s="2">
        <v>85</v>
      </c>
      <c r="FY1348" s="2">
        <v>70</v>
      </c>
      <c r="FZ1348" s="2"/>
      <c r="GA1348" s="2" t="s">
        <v>3</v>
      </c>
      <c r="GB1348" s="2"/>
      <c r="GC1348" s="2"/>
      <c r="GD1348" s="2">
        <v>0</v>
      </c>
      <c r="GE1348" s="2"/>
      <c r="GF1348" s="2">
        <v>-1734188975</v>
      </c>
      <c r="GG1348" s="2">
        <v>2</v>
      </c>
      <c r="GH1348" s="2">
        <v>1</v>
      </c>
      <c r="GI1348" s="2">
        <v>-2</v>
      </c>
      <c r="GJ1348" s="2">
        <v>0</v>
      </c>
      <c r="GK1348" s="2">
        <f>ROUND(R1348*(R12)/100,2)</f>
        <v>0</v>
      </c>
      <c r="GL1348" s="2">
        <f t="shared" si="1145"/>
        <v>0</v>
      </c>
      <c r="GM1348" s="2">
        <f t="shared" si="1146"/>
        <v>53.26</v>
      </c>
      <c r="GN1348" s="2">
        <f t="shared" si="1147"/>
        <v>53.26</v>
      </c>
      <c r="GO1348" s="2">
        <f t="shared" si="1148"/>
        <v>0</v>
      </c>
      <c r="GP1348" s="2">
        <f t="shared" si="1149"/>
        <v>0</v>
      </c>
      <c r="GQ1348" s="2"/>
      <c r="GR1348" s="2">
        <v>0</v>
      </c>
      <c r="GS1348" s="2">
        <v>0</v>
      </c>
      <c r="GT1348" s="2">
        <v>0</v>
      </c>
      <c r="GU1348" s="2" t="s">
        <v>3</v>
      </c>
      <c r="GV1348" s="2">
        <f t="shared" si="1150"/>
        <v>0</v>
      </c>
      <c r="GW1348" s="2">
        <v>1</v>
      </c>
      <c r="GX1348" s="2">
        <f t="shared" si="1151"/>
        <v>0</v>
      </c>
      <c r="GY1348" s="2"/>
      <c r="GZ1348" s="2"/>
      <c r="HA1348" s="2">
        <v>0</v>
      </c>
      <c r="HB1348" s="2">
        <v>0</v>
      </c>
      <c r="HC1348" s="2">
        <f t="shared" si="1152"/>
        <v>0</v>
      </c>
      <c r="HD1348" s="2"/>
      <c r="HE1348" s="2" t="s">
        <v>3</v>
      </c>
      <c r="HF1348" s="2" t="s">
        <v>3</v>
      </c>
      <c r="HG1348" s="2"/>
      <c r="HH1348" s="2"/>
      <c r="HI1348" s="2"/>
      <c r="HJ1348" s="2"/>
      <c r="HK1348" s="2"/>
      <c r="HL1348" s="2"/>
      <c r="HM1348" s="2" t="s">
        <v>3</v>
      </c>
      <c r="HN1348" s="2" t="s">
        <v>3</v>
      </c>
      <c r="HO1348" s="2" t="s">
        <v>3</v>
      </c>
      <c r="HP1348" s="2" t="s">
        <v>3</v>
      </c>
      <c r="HQ1348" s="2" t="s">
        <v>3</v>
      </c>
      <c r="HR1348" s="2"/>
      <c r="HS1348" s="2"/>
      <c r="HT1348" s="2"/>
      <c r="HU1348" s="2"/>
      <c r="HV1348" s="2"/>
      <c r="HW1348" s="2"/>
      <c r="HX1348" s="2"/>
      <c r="HY1348" s="2"/>
      <c r="HZ1348" s="2"/>
      <c r="IA1348" s="2"/>
      <c r="IB1348" s="2"/>
      <c r="IC1348" s="2"/>
      <c r="ID1348" s="2"/>
      <c r="IE1348" s="2"/>
      <c r="IF1348" s="2"/>
      <c r="IG1348" s="2"/>
      <c r="IH1348" s="2"/>
      <c r="II1348" s="2"/>
      <c r="IJ1348" s="2"/>
      <c r="IK1348" s="2">
        <v>0</v>
      </c>
      <c r="IL1348" s="2"/>
      <c r="IM1348" s="2"/>
      <c r="IN1348" s="2"/>
      <c r="IO1348" s="2"/>
      <c r="IP1348" s="2"/>
      <c r="IQ1348" s="2"/>
      <c r="IR1348" s="2"/>
      <c r="IS1348" s="2"/>
      <c r="IT1348" s="2"/>
      <c r="IU1348" s="2"/>
    </row>
    <row r="1349" spans="1:255" x14ac:dyDescent="0.2">
      <c r="A1349">
        <v>17</v>
      </c>
      <c r="B1349">
        <v>1</v>
      </c>
      <c r="C1349">
        <f>ROW(SmtRes!A1108)</f>
        <v>1108</v>
      </c>
      <c r="D1349">
        <f>ROW(EtalonRes!A1058)</f>
        <v>1058</v>
      </c>
      <c r="E1349" t="s">
        <v>104</v>
      </c>
      <c r="F1349" t="s">
        <v>645</v>
      </c>
      <c r="G1349" t="s">
        <v>646</v>
      </c>
      <c r="H1349" t="s">
        <v>231</v>
      </c>
      <c r="I1349">
        <v>17</v>
      </c>
      <c r="J1349">
        <v>0</v>
      </c>
      <c r="K1349">
        <v>17</v>
      </c>
      <c r="O1349">
        <f t="shared" si="1122"/>
        <v>607.33000000000004</v>
      </c>
      <c r="P1349">
        <f t="shared" si="1123"/>
        <v>33.99</v>
      </c>
      <c r="Q1349">
        <f>(ROUND((ROUND((((ET1349*1.25))*AV1349*I1349),2)*BB1349),2)+ROUND((ROUND(((AE1349-((EU1349*1.25)))*AV1349*I1349),2)*BS1349),2))</f>
        <v>0</v>
      </c>
      <c r="R1349">
        <f t="shared" si="1124"/>
        <v>0</v>
      </c>
      <c r="S1349">
        <f t="shared" si="1125"/>
        <v>573.34</v>
      </c>
      <c r="T1349">
        <f t="shared" si="1126"/>
        <v>0</v>
      </c>
      <c r="U1349">
        <f t="shared" si="1127"/>
        <v>1.7594999999999998</v>
      </c>
      <c r="V1349">
        <f t="shared" si="1128"/>
        <v>0</v>
      </c>
      <c r="W1349">
        <f t="shared" si="1129"/>
        <v>0</v>
      </c>
      <c r="X1349">
        <f t="shared" si="1130"/>
        <v>401.34</v>
      </c>
      <c r="Y1349">
        <f t="shared" si="1131"/>
        <v>235.07</v>
      </c>
      <c r="AA1349">
        <v>129761633</v>
      </c>
      <c r="AB1349">
        <f t="shared" si="1132"/>
        <v>1.3314999999999999</v>
      </c>
      <c r="AC1349">
        <f t="shared" si="1133"/>
        <v>0.17</v>
      </c>
      <c r="AD1349">
        <f>ROUND(((((ET1349*1.25))-((EU1349*1.25)))+AE1349),6)</f>
        <v>0</v>
      </c>
      <c r="AE1349">
        <f>ROUND(((EU1349*1.25)),6)</f>
        <v>0</v>
      </c>
      <c r="AF1349">
        <f>ROUND(((EV1349*1.15)),6)</f>
        <v>1.1615</v>
      </c>
      <c r="AG1349">
        <f t="shared" si="1134"/>
        <v>0</v>
      </c>
      <c r="AH1349">
        <f>((EW1349*1.15))</f>
        <v>0.10349999999999999</v>
      </c>
      <c r="AI1349">
        <f>((EX1349*1.25))</f>
        <v>0</v>
      </c>
      <c r="AJ1349">
        <f t="shared" si="1135"/>
        <v>0</v>
      </c>
      <c r="AK1349">
        <v>1.18</v>
      </c>
      <c r="AL1349">
        <v>0.17</v>
      </c>
      <c r="AM1349">
        <v>0</v>
      </c>
      <c r="AN1349">
        <v>0</v>
      </c>
      <c r="AO1349">
        <v>1.01</v>
      </c>
      <c r="AP1349">
        <v>0</v>
      </c>
      <c r="AQ1349">
        <v>0.09</v>
      </c>
      <c r="AR1349">
        <v>0</v>
      </c>
      <c r="AS1349">
        <v>0</v>
      </c>
      <c r="AT1349">
        <v>70</v>
      </c>
      <c r="AU1349">
        <v>41</v>
      </c>
      <c r="AV1349">
        <v>1</v>
      </c>
      <c r="AW1349">
        <v>1</v>
      </c>
      <c r="AZ1349">
        <v>1</v>
      </c>
      <c r="BA1349">
        <v>29.03</v>
      </c>
      <c r="BB1349">
        <v>1</v>
      </c>
      <c r="BC1349">
        <v>11.76</v>
      </c>
      <c r="BD1349" t="s">
        <v>3</v>
      </c>
      <c r="BE1349" t="s">
        <v>3</v>
      </c>
      <c r="BF1349" t="s">
        <v>3</v>
      </c>
      <c r="BG1349" t="s">
        <v>3</v>
      </c>
      <c r="BH1349">
        <v>0</v>
      </c>
      <c r="BI1349">
        <v>1</v>
      </c>
      <c r="BJ1349" t="s">
        <v>647</v>
      </c>
      <c r="BM1349">
        <v>80</v>
      </c>
      <c r="BN1349">
        <v>0</v>
      </c>
      <c r="BO1349" t="s">
        <v>645</v>
      </c>
      <c r="BP1349">
        <v>1</v>
      </c>
      <c r="BQ1349">
        <v>30</v>
      </c>
      <c r="BR1349">
        <v>0</v>
      </c>
      <c r="BS1349">
        <v>29.03</v>
      </c>
      <c r="BT1349">
        <v>1</v>
      </c>
      <c r="BU1349">
        <v>1</v>
      </c>
      <c r="BV1349">
        <v>1</v>
      </c>
      <c r="BW1349">
        <v>1</v>
      </c>
      <c r="BX1349">
        <v>1</v>
      </c>
      <c r="BY1349" t="s">
        <v>3</v>
      </c>
      <c r="BZ1349">
        <v>70</v>
      </c>
      <c r="CA1349">
        <v>41</v>
      </c>
      <c r="CB1349" t="s">
        <v>3</v>
      </c>
      <c r="CE1349">
        <v>30</v>
      </c>
      <c r="CF1349">
        <v>0</v>
      </c>
      <c r="CG1349">
        <v>0</v>
      </c>
      <c r="CM1349">
        <v>0</v>
      </c>
      <c r="CN1349" t="s">
        <v>1559</v>
      </c>
      <c r="CO1349">
        <v>0</v>
      </c>
      <c r="CP1349">
        <f t="shared" si="1136"/>
        <v>607.33000000000004</v>
      </c>
      <c r="CQ1349">
        <f t="shared" si="1137"/>
        <v>2</v>
      </c>
      <c r="CR1349">
        <f>(ROUND((ROUND((((ET1349*1.25))*AV1349*1),2)*BB1349),2)+ROUND((ROUND(((AE1349-((EU1349*1.25)))*AV1349*1),2)*BS1349),2))</f>
        <v>0</v>
      </c>
      <c r="CS1349">
        <f t="shared" si="1138"/>
        <v>0</v>
      </c>
      <c r="CT1349">
        <f t="shared" si="1139"/>
        <v>33.67</v>
      </c>
      <c r="CU1349">
        <f t="shared" si="1140"/>
        <v>0</v>
      </c>
      <c r="CV1349">
        <f t="shared" si="1141"/>
        <v>0.10349999999999999</v>
      </c>
      <c r="CW1349">
        <f t="shared" si="1142"/>
        <v>0</v>
      </c>
      <c r="CX1349">
        <f t="shared" si="1143"/>
        <v>0</v>
      </c>
      <c r="CY1349">
        <f>S1349*(BZ1349/100)</f>
        <v>401.33800000000002</v>
      </c>
      <c r="CZ1349">
        <f>S1349*(CA1349/100)</f>
        <v>235.0694</v>
      </c>
      <c r="DC1349" t="s">
        <v>3</v>
      </c>
      <c r="DD1349" t="s">
        <v>3</v>
      </c>
      <c r="DE1349" t="s">
        <v>86</v>
      </c>
      <c r="DF1349" t="s">
        <v>86</v>
      </c>
      <c r="DG1349" t="s">
        <v>87</v>
      </c>
      <c r="DH1349" t="s">
        <v>3</v>
      </c>
      <c r="DI1349" t="s">
        <v>87</v>
      </c>
      <c r="DJ1349" t="s">
        <v>86</v>
      </c>
      <c r="DK1349" t="s">
        <v>3</v>
      </c>
      <c r="DL1349" t="s">
        <v>3</v>
      </c>
      <c r="DM1349" t="s">
        <v>3</v>
      </c>
      <c r="DN1349">
        <v>85</v>
      </c>
      <c r="DO1349">
        <v>70</v>
      </c>
      <c r="DP1349">
        <v>1</v>
      </c>
      <c r="DQ1349">
        <v>1</v>
      </c>
      <c r="DU1349">
        <v>1013</v>
      </c>
      <c r="DV1349" t="s">
        <v>231</v>
      </c>
      <c r="DW1349" t="s">
        <v>231</v>
      </c>
      <c r="DX1349">
        <v>1</v>
      </c>
      <c r="DZ1349" t="s">
        <v>3</v>
      </c>
      <c r="EA1349" t="s">
        <v>3</v>
      </c>
      <c r="EB1349" t="s">
        <v>3</v>
      </c>
      <c r="EC1349" t="s">
        <v>3</v>
      </c>
      <c r="EE1349">
        <v>126051541</v>
      </c>
      <c r="EF1349">
        <v>30</v>
      </c>
      <c r="EG1349" t="s">
        <v>23</v>
      </c>
      <c r="EH1349">
        <v>0</v>
      </c>
      <c r="EI1349" t="s">
        <v>3</v>
      </c>
      <c r="EJ1349">
        <v>1</v>
      </c>
      <c r="EK1349">
        <v>80</v>
      </c>
      <c r="EL1349" t="s">
        <v>143</v>
      </c>
      <c r="EM1349" t="s">
        <v>144</v>
      </c>
      <c r="EO1349" t="s">
        <v>90</v>
      </c>
      <c r="EQ1349">
        <v>131072</v>
      </c>
      <c r="ER1349">
        <v>1.18</v>
      </c>
      <c r="ES1349">
        <v>0.17</v>
      </c>
      <c r="ET1349">
        <v>0</v>
      </c>
      <c r="EU1349">
        <v>0</v>
      </c>
      <c r="EV1349">
        <v>1.01</v>
      </c>
      <c r="EW1349">
        <v>0.09</v>
      </c>
      <c r="EX1349">
        <v>0</v>
      </c>
      <c r="EY1349">
        <v>0</v>
      </c>
      <c r="FQ1349">
        <v>0</v>
      </c>
      <c r="FR1349">
        <f t="shared" si="1144"/>
        <v>0</v>
      </c>
      <c r="FS1349">
        <v>0</v>
      </c>
      <c r="FX1349">
        <v>85</v>
      </c>
      <c r="FY1349">
        <v>70</v>
      </c>
      <c r="GA1349" t="s">
        <v>3</v>
      </c>
      <c r="GD1349">
        <v>0</v>
      </c>
      <c r="GF1349">
        <v>-1734188975</v>
      </c>
      <c r="GG1349">
        <v>2</v>
      </c>
      <c r="GH1349">
        <v>1</v>
      </c>
      <c r="GI1349">
        <v>2</v>
      </c>
      <c r="GJ1349">
        <v>0</v>
      </c>
      <c r="GK1349">
        <f>ROUND(R1349*(S12)/100,2)</f>
        <v>0</v>
      </c>
      <c r="GL1349">
        <f t="shared" si="1145"/>
        <v>0</v>
      </c>
      <c r="GM1349">
        <f t="shared" si="1146"/>
        <v>1243.74</v>
      </c>
      <c r="GN1349">
        <f t="shared" si="1147"/>
        <v>1243.74</v>
      </c>
      <c r="GO1349">
        <f t="shared" si="1148"/>
        <v>0</v>
      </c>
      <c r="GP1349">
        <f t="shared" si="1149"/>
        <v>0</v>
      </c>
      <c r="GR1349">
        <v>0</v>
      </c>
      <c r="GS1349">
        <v>3</v>
      </c>
      <c r="GT1349">
        <v>0</v>
      </c>
      <c r="GU1349" t="s">
        <v>3</v>
      </c>
      <c r="GV1349">
        <f t="shared" si="1150"/>
        <v>0</v>
      </c>
      <c r="GW1349">
        <v>1</v>
      </c>
      <c r="GX1349">
        <f t="shared" si="1151"/>
        <v>0</v>
      </c>
      <c r="HA1349">
        <v>0</v>
      </c>
      <c r="HB1349">
        <v>0</v>
      </c>
      <c r="HC1349">
        <f t="shared" si="1152"/>
        <v>0</v>
      </c>
      <c r="HE1349" t="s">
        <v>3</v>
      </c>
      <c r="HF1349" t="s">
        <v>3</v>
      </c>
      <c r="HM1349" t="s">
        <v>3</v>
      </c>
      <c r="HN1349" t="s">
        <v>3</v>
      </c>
      <c r="HO1349" t="s">
        <v>3</v>
      </c>
      <c r="HP1349" t="s">
        <v>3</v>
      </c>
      <c r="HQ1349" t="s">
        <v>3</v>
      </c>
      <c r="IK1349">
        <v>0</v>
      </c>
    </row>
    <row r="1350" spans="1:255" x14ac:dyDescent="0.2">
      <c r="A1350" s="2">
        <v>18</v>
      </c>
      <c r="B1350" s="2">
        <v>1</v>
      </c>
      <c r="C1350" s="2">
        <v>1103</v>
      </c>
      <c r="D1350" s="2"/>
      <c r="E1350" s="2" t="s">
        <v>111</v>
      </c>
      <c r="F1350" s="2" t="s">
        <v>248</v>
      </c>
      <c r="G1350" s="2" t="s">
        <v>1037</v>
      </c>
      <c r="H1350" s="2" t="s">
        <v>250</v>
      </c>
      <c r="I1350" s="2">
        <f>I1348*J1350</f>
        <v>14</v>
      </c>
      <c r="J1350" s="2">
        <v>0.82352941176470584</v>
      </c>
      <c r="K1350" s="2">
        <v>0.82352899999999996</v>
      </c>
      <c r="L1350" s="2"/>
      <c r="M1350" s="2"/>
      <c r="N1350" s="2"/>
      <c r="O1350" s="2">
        <f t="shared" si="1122"/>
        <v>538.44000000000005</v>
      </c>
      <c r="P1350" s="2">
        <f t="shared" si="1123"/>
        <v>538.44000000000005</v>
      </c>
      <c r="Q1350" s="2">
        <f>(ROUND((ROUND(((ET1350)*AV1350*I1350),2)*BB1350),2)+ROUND((ROUND(((AE1350-(EU1350))*AV1350*I1350),2)*BS1350),2))</f>
        <v>0</v>
      </c>
      <c r="R1350" s="2">
        <f t="shared" si="1124"/>
        <v>0</v>
      </c>
      <c r="S1350" s="2">
        <f t="shared" si="1125"/>
        <v>0</v>
      </c>
      <c r="T1350" s="2">
        <f t="shared" si="1126"/>
        <v>0</v>
      </c>
      <c r="U1350" s="2">
        <f t="shared" si="1127"/>
        <v>0</v>
      </c>
      <c r="V1350" s="2">
        <f t="shared" si="1128"/>
        <v>0</v>
      </c>
      <c r="W1350" s="2">
        <f t="shared" si="1129"/>
        <v>0</v>
      </c>
      <c r="X1350" s="2">
        <f t="shared" si="1130"/>
        <v>0</v>
      </c>
      <c r="Y1350" s="2">
        <f t="shared" si="1131"/>
        <v>0</v>
      </c>
      <c r="Z1350" s="2"/>
      <c r="AA1350" s="2">
        <v>129761636</v>
      </c>
      <c r="AB1350" s="2">
        <f t="shared" si="1132"/>
        <v>38.46</v>
      </c>
      <c r="AC1350" s="2">
        <f t="shared" si="1133"/>
        <v>38.46</v>
      </c>
      <c r="AD1350" s="2">
        <f>ROUND((((ET1350)-(EU1350))+AE1350),6)</f>
        <v>0</v>
      </c>
      <c r="AE1350" s="2">
        <f t="shared" ref="AE1350:AF1353" si="1160">ROUND((EU1350),6)</f>
        <v>0</v>
      </c>
      <c r="AF1350" s="2">
        <f t="shared" si="1160"/>
        <v>0</v>
      </c>
      <c r="AG1350" s="2">
        <f t="shared" si="1134"/>
        <v>0</v>
      </c>
      <c r="AH1350" s="2">
        <f t="shared" ref="AH1350:AI1353" si="1161">(EW1350)</f>
        <v>0</v>
      </c>
      <c r="AI1350" s="2">
        <f t="shared" si="1161"/>
        <v>0</v>
      </c>
      <c r="AJ1350" s="2">
        <f t="shared" si="1135"/>
        <v>0</v>
      </c>
      <c r="AK1350" s="2">
        <v>38.46</v>
      </c>
      <c r="AL1350" s="2">
        <v>38.46</v>
      </c>
      <c r="AM1350" s="2">
        <v>0</v>
      </c>
      <c r="AN1350" s="2">
        <v>0</v>
      </c>
      <c r="AO1350" s="2">
        <v>0</v>
      </c>
      <c r="AP1350" s="2">
        <v>0</v>
      </c>
      <c r="AQ1350" s="2">
        <v>0</v>
      </c>
      <c r="AR1350" s="2">
        <v>0</v>
      </c>
      <c r="AS1350" s="2">
        <v>0</v>
      </c>
      <c r="AT1350" s="2">
        <v>85</v>
      </c>
      <c r="AU1350" s="2">
        <v>70</v>
      </c>
      <c r="AV1350" s="2">
        <v>1</v>
      </c>
      <c r="AW1350" s="2">
        <v>1</v>
      </c>
      <c r="AX1350" s="2"/>
      <c r="AY1350" s="2"/>
      <c r="AZ1350" s="2">
        <v>1</v>
      </c>
      <c r="BA1350" s="2">
        <v>1</v>
      </c>
      <c r="BB1350" s="2">
        <v>1</v>
      </c>
      <c r="BC1350" s="2">
        <v>1</v>
      </c>
      <c r="BD1350" s="2" t="s">
        <v>3</v>
      </c>
      <c r="BE1350" s="2" t="s">
        <v>3</v>
      </c>
      <c r="BF1350" s="2" t="s">
        <v>3</v>
      </c>
      <c r="BG1350" s="2" t="s">
        <v>3</v>
      </c>
      <c r="BH1350" s="2">
        <v>3</v>
      </c>
      <c r="BI1350" s="2">
        <v>1</v>
      </c>
      <c r="BJ1350" s="2" t="s">
        <v>3</v>
      </c>
      <c r="BK1350" s="2"/>
      <c r="BL1350" s="2"/>
      <c r="BM1350" s="2">
        <v>80</v>
      </c>
      <c r="BN1350" s="2">
        <v>0</v>
      </c>
      <c r="BO1350" s="2" t="s">
        <v>3</v>
      </c>
      <c r="BP1350" s="2">
        <v>0</v>
      </c>
      <c r="BQ1350" s="2">
        <v>30</v>
      </c>
      <c r="BR1350" s="2">
        <v>0</v>
      </c>
      <c r="BS1350" s="2">
        <v>1</v>
      </c>
      <c r="BT1350" s="2">
        <v>1</v>
      </c>
      <c r="BU1350" s="2">
        <v>1</v>
      </c>
      <c r="BV1350" s="2">
        <v>1</v>
      </c>
      <c r="BW1350" s="2">
        <v>1</v>
      </c>
      <c r="BX1350" s="2">
        <v>1</v>
      </c>
      <c r="BY1350" s="2" t="s">
        <v>3</v>
      </c>
      <c r="BZ1350" s="2">
        <v>85</v>
      </c>
      <c r="CA1350" s="2">
        <v>70</v>
      </c>
      <c r="CB1350" s="2" t="s">
        <v>3</v>
      </c>
      <c r="CC1350" s="2"/>
      <c r="CD1350" s="2"/>
      <c r="CE1350" s="2">
        <v>30</v>
      </c>
      <c r="CF1350" s="2">
        <v>0</v>
      </c>
      <c r="CG1350" s="2">
        <v>0</v>
      </c>
      <c r="CH1350" s="2"/>
      <c r="CI1350" s="2"/>
      <c r="CJ1350" s="2"/>
      <c r="CK1350" s="2"/>
      <c r="CL1350" s="2"/>
      <c r="CM1350" s="2">
        <v>0</v>
      </c>
      <c r="CN1350" s="2" t="s">
        <v>3</v>
      </c>
      <c r="CO1350" s="2">
        <v>0</v>
      </c>
      <c r="CP1350" s="2">
        <f t="shared" si="1136"/>
        <v>538.44000000000005</v>
      </c>
      <c r="CQ1350" s="2">
        <f t="shared" si="1137"/>
        <v>38.46</v>
      </c>
      <c r="CR1350" s="2">
        <f>(ROUND((ROUND(((ET1350)*AV1350*1),2)*BB1350),2)+ROUND((ROUND(((AE1350-(EU1350))*AV1350*1),2)*BS1350),2))</f>
        <v>0</v>
      </c>
      <c r="CS1350" s="2">
        <f t="shared" si="1138"/>
        <v>0</v>
      </c>
      <c r="CT1350" s="2">
        <f t="shared" si="1139"/>
        <v>0</v>
      </c>
      <c r="CU1350" s="2">
        <f t="shared" si="1140"/>
        <v>0</v>
      </c>
      <c r="CV1350" s="2">
        <f t="shared" si="1141"/>
        <v>0</v>
      </c>
      <c r="CW1350" s="2">
        <f t="shared" si="1142"/>
        <v>0</v>
      </c>
      <c r="CX1350" s="2">
        <f t="shared" si="1143"/>
        <v>0</v>
      </c>
      <c r="CY1350" s="2">
        <f>((S1350*BZ1350)/100)</f>
        <v>0</v>
      </c>
      <c r="CZ1350" s="2">
        <f>((S1350*CA1350)/100)</f>
        <v>0</v>
      </c>
      <c r="DA1350" s="2"/>
      <c r="DB1350" s="2"/>
      <c r="DC1350" s="2" t="s">
        <v>3</v>
      </c>
      <c r="DD1350" s="2" t="s">
        <v>3</v>
      </c>
      <c r="DE1350" s="2" t="s">
        <v>3</v>
      </c>
      <c r="DF1350" s="2" t="s">
        <v>3</v>
      </c>
      <c r="DG1350" s="2" t="s">
        <v>3</v>
      </c>
      <c r="DH1350" s="2" t="s">
        <v>3</v>
      </c>
      <c r="DI1350" s="2" t="s">
        <v>3</v>
      </c>
      <c r="DJ1350" s="2" t="s">
        <v>3</v>
      </c>
      <c r="DK1350" s="2" t="s">
        <v>3</v>
      </c>
      <c r="DL1350" s="2" t="s">
        <v>3</v>
      </c>
      <c r="DM1350" s="2" t="s">
        <v>3</v>
      </c>
      <c r="DN1350" s="2">
        <v>0</v>
      </c>
      <c r="DO1350" s="2">
        <v>0</v>
      </c>
      <c r="DP1350" s="2">
        <v>1</v>
      </c>
      <c r="DQ1350" s="2">
        <v>1</v>
      </c>
      <c r="DR1350" s="2"/>
      <c r="DS1350" s="2"/>
      <c r="DT1350" s="2"/>
      <c r="DU1350" s="2">
        <v>1010</v>
      </c>
      <c r="DV1350" s="2" t="s">
        <v>250</v>
      </c>
      <c r="DW1350" s="2" t="s">
        <v>250</v>
      </c>
      <c r="DX1350" s="2">
        <v>1</v>
      </c>
      <c r="DY1350" s="2"/>
      <c r="DZ1350" s="2" t="s">
        <v>3</v>
      </c>
      <c r="EA1350" s="2" t="s">
        <v>3</v>
      </c>
      <c r="EB1350" s="2" t="s">
        <v>3</v>
      </c>
      <c r="EC1350" s="2" t="s">
        <v>3</v>
      </c>
      <c r="ED1350" s="2"/>
      <c r="EE1350" s="2">
        <v>126051541</v>
      </c>
      <c r="EF1350" s="2">
        <v>30</v>
      </c>
      <c r="EG1350" s="2" t="s">
        <v>23</v>
      </c>
      <c r="EH1350" s="2">
        <v>0</v>
      </c>
      <c r="EI1350" s="2" t="s">
        <v>3</v>
      </c>
      <c r="EJ1350" s="2">
        <v>1</v>
      </c>
      <c r="EK1350" s="2">
        <v>80</v>
      </c>
      <c r="EL1350" s="2" t="s">
        <v>143</v>
      </c>
      <c r="EM1350" s="2" t="s">
        <v>144</v>
      </c>
      <c r="EN1350" s="2"/>
      <c r="EO1350" s="2" t="s">
        <v>3</v>
      </c>
      <c r="EP1350" s="2"/>
      <c r="EQ1350" s="2">
        <v>0</v>
      </c>
      <c r="ER1350" s="2">
        <v>38.46</v>
      </c>
      <c r="ES1350" s="2">
        <v>38.46</v>
      </c>
      <c r="ET1350" s="2">
        <v>0</v>
      </c>
      <c r="EU1350" s="2">
        <v>0</v>
      </c>
      <c r="EV1350" s="2">
        <v>0</v>
      </c>
      <c r="EW1350" s="2">
        <v>0</v>
      </c>
      <c r="EX1350" s="2">
        <v>0</v>
      </c>
      <c r="EY1350" s="2"/>
      <c r="EZ1350" s="2"/>
      <c r="FA1350" s="2"/>
      <c r="FB1350" s="2"/>
      <c r="FC1350" s="2"/>
      <c r="FD1350" s="2"/>
      <c r="FE1350" s="2"/>
      <c r="FF1350" s="2"/>
      <c r="FG1350" s="2"/>
      <c r="FH1350" s="2"/>
      <c r="FI1350" s="2"/>
      <c r="FJ1350" s="2"/>
      <c r="FK1350" s="2"/>
      <c r="FL1350" s="2"/>
      <c r="FM1350" s="2"/>
      <c r="FN1350" s="2"/>
      <c r="FO1350" s="2"/>
      <c r="FP1350" s="2"/>
      <c r="FQ1350" s="2">
        <v>0</v>
      </c>
      <c r="FR1350" s="2">
        <f t="shared" si="1144"/>
        <v>0</v>
      </c>
      <c r="FS1350" s="2">
        <v>0</v>
      </c>
      <c r="FT1350" s="2"/>
      <c r="FU1350" s="2"/>
      <c r="FV1350" s="2"/>
      <c r="FW1350" s="2"/>
      <c r="FX1350" s="2">
        <v>85</v>
      </c>
      <c r="FY1350" s="2">
        <v>70</v>
      </c>
      <c r="FZ1350" s="2"/>
      <c r="GA1350" s="2" t="s">
        <v>3</v>
      </c>
      <c r="GB1350" s="2"/>
      <c r="GC1350" s="2"/>
      <c r="GD1350" s="2">
        <v>0</v>
      </c>
      <c r="GE1350" s="2"/>
      <c r="GF1350" s="2">
        <v>-1221607113</v>
      </c>
      <c r="GG1350" s="2">
        <v>2</v>
      </c>
      <c r="GH1350" s="2">
        <v>0</v>
      </c>
      <c r="GI1350" s="2">
        <v>-2</v>
      </c>
      <c r="GJ1350" s="2">
        <v>0</v>
      </c>
      <c r="GK1350" s="2">
        <f>ROUND(R1350*(R12)/100,2)</f>
        <v>0</v>
      </c>
      <c r="GL1350" s="2">
        <f t="shared" si="1145"/>
        <v>0</v>
      </c>
      <c r="GM1350" s="2">
        <f t="shared" si="1146"/>
        <v>538.44000000000005</v>
      </c>
      <c r="GN1350" s="2">
        <f t="shared" si="1147"/>
        <v>538.44000000000005</v>
      </c>
      <c r="GO1350" s="2">
        <f t="shared" si="1148"/>
        <v>0</v>
      </c>
      <c r="GP1350" s="2">
        <f t="shared" si="1149"/>
        <v>0</v>
      </c>
      <c r="GQ1350" s="2"/>
      <c r="GR1350" s="2">
        <v>0</v>
      </c>
      <c r="GS1350" s="2">
        <v>0</v>
      </c>
      <c r="GT1350" s="2">
        <v>0</v>
      </c>
      <c r="GU1350" s="2" t="s">
        <v>3</v>
      </c>
      <c r="GV1350" s="2">
        <f t="shared" si="1150"/>
        <v>0</v>
      </c>
      <c r="GW1350" s="2">
        <v>1</v>
      </c>
      <c r="GX1350" s="2">
        <f t="shared" si="1151"/>
        <v>0</v>
      </c>
      <c r="GY1350" s="2"/>
      <c r="GZ1350" s="2"/>
      <c r="HA1350" s="2">
        <v>0</v>
      </c>
      <c r="HB1350" s="2">
        <v>0</v>
      </c>
      <c r="HC1350" s="2">
        <f t="shared" si="1152"/>
        <v>0</v>
      </c>
      <c r="HD1350" s="2"/>
      <c r="HE1350" s="2" t="s">
        <v>3</v>
      </c>
      <c r="HF1350" s="2" t="s">
        <v>3</v>
      </c>
      <c r="HG1350" s="2"/>
      <c r="HH1350" s="2"/>
      <c r="HI1350" s="2"/>
      <c r="HJ1350" s="2"/>
      <c r="HK1350" s="2"/>
      <c r="HL1350" s="2"/>
      <c r="HM1350" s="2" t="s">
        <v>3</v>
      </c>
      <c r="HN1350" s="2" t="s">
        <v>3</v>
      </c>
      <c r="HO1350" s="2" t="s">
        <v>3</v>
      </c>
      <c r="HP1350" s="2" t="s">
        <v>3</v>
      </c>
      <c r="HQ1350" s="2" t="s">
        <v>3</v>
      </c>
      <c r="HR1350" s="2"/>
      <c r="HS1350" s="2"/>
      <c r="HT1350" s="2"/>
      <c r="HU1350" s="2"/>
      <c r="HV1350" s="2"/>
      <c r="HW1350" s="2"/>
      <c r="HX1350" s="2"/>
      <c r="HY1350" s="2"/>
      <c r="HZ1350" s="2"/>
      <c r="IA1350" s="2"/>
      <c r="IB1350" s="2"/>
      <c r="IC1350" s="2"/>
      <c r="ID1350" s="2"/>
      <c r="IE1350" s="2"/>
      <c r="IF1350" s="2"/>
      <c r="IG1350" s="2"/>
      <c r="IH1350" s="2"/>
      <c r="II1350" s="2"/>
      <c r="IJ1350" s="2"/>
      <c r="IK1350" s="2">
        <v>0</v>
      </c>
      <c r="IL1350" s="2"/>
      <c r="IM1350" s="2"/>
      <c r="IN1350" s="2"/>
      <c r="IO1350" s="2"/>
      <c r="IP1350" s="2"/>
      <c r="IQ1350" s="2"/>
      <c r="IR1350" s="2"/>
      <c r="IS1350" s="2"/>
      <c r="IT1350" s="2"/>
      <c r="IU1350" s="2"/>
    </row>
    <row r="1351" spans="1:255" x14ac:dyDescent="0.2">
      <c r="A1351">
        <v>18</v>
      </c>
      <c r="B1351">
        <v>1</v>
      </c>
      <c r="C1351">
        <v>1107</v>
      </c>
      <c r="E1351" t="s">
        <v>111</v>
      </c>
      <c r="F1351" t="s">
        <v>248</v>
      </c>
      <c r="G1351" t="s">
        <v>1037</v>
      </c>
      <c r="H1351" t="s">
        <v>250</v>
      </c>
      <c r="I1351">
        <f>I1349*J1351</f>
        <v>14</v>
      </c>
      <c r="J1351">
        <v>0.82352941176470584</v>
      </c>
      <c r="K1351">
        <v>0.82352899999999996</v>
      </c>
      <c r="O1351">
        <f t="shared" si="1122"/>
        <v>3570.03</v>
      </c>
      <c r="P1351">
        <f t="shared" si="1123"/>
        <v>3570.03</v>
      </c>
      <c r="Q1351">
        <f>(ROUND((ROUND(((ET1351)*AV1351*I1351),2)*BB1351),2)+ROUND((ROUND(((AE1351-(EU1351))*AV1351*I1351),2)*BS1351),2))</f>
        <v>0</v>
      </c>
      <c r="R1351">
        <f t="shared" si="1124"/>
        <v>0</v>
      </c>
      <c r="S1351">
        <f t="shared" si="1125"/>
        <v>0</v>
      </c>
      <c r="T1351">
        <f t="shared" si="1126"/>
        <v>0</v>
      </c>
      <c r="U1351">
        <f t="shared" si="1127"/>
        <v>0</v>
      </c>
      <c r="V1351">
        <f t="shared" si="1128"/>
        <v>0</v>
      </c>
      <c r="W1351">
        <f t="shared" si="1129"/>
        <v>0</v>
      </c>
      <c r="X1351">
        <f t="shared" si="1130"/>
        <v>0</v>
      </c>
      <c r="Y1351">
        <f t="shared" si="1131"/>
        <v>0</v>
      </c>
      <c r="AA1351">
        <v>129761633</v>
      </c>
      <c r="AB1351">
        <f t="shared" si="1132"/>
        <v>29.48</v>
      </c>
      <c r="AC1351">
        <f t="shared" si="1133"/>
        <v>29.48</v>
      </c>
      <c r="AD1351">
        <f>ROUND((((ET1351)-(EU1351))+AE1351),6)</f>
        <v>0</v>
      </c>
      <c r="AE1351">
        <f t="shared" si="1160"/>
        <v>0</v>
      </c>
      <c r="AF1351">
        <f t="shared" si="1160"/>
        <v>0</v>
      </c>
      <c r="AG1351">
        <f t="shared" si="1134"/>
        <v>0</v>
      </c>
      <c r="AH1351">
        <f t="shared" si="1161"/>
        <v>0</v>
      </c>
      <c r="AI1351">
        <f t="shared" si="1161"/>
        <v>0</v>
      </c>
      <c r="AJ1351">
        <f t="shared" si="1135"/>
        <v>0</v>
      </c>
      <c r="AK1351">
        <v>29.479999999999997</v>
      </c>
      <c r="AL1351">
        <v>29.479999999999997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1</v>
      </c>
      <c r="AW1351">
        <v>1</v>
      </c>
      <c r="AZ1351">
        <v>1</v>
      </c>
      <c r="BA1351">
        <v>1</v>
      </c>
      <c r="BB1351">
        <v>1</v>
      </c>
      <c r="BC1351">
        <v>8.65</v>
      </c>
      <c r="BD1351" t="s">
        <v>3</v>
      </c>
      <c r="BE1351" t="s">
        <v>3</v>
      </c>
      <c r="BF1351" t="s">
        <v>3</v>
      </c>
      <c r="BG1351" t="s">
        <v>3</v>
      </c>
      <c r="BH1351">
        <v>3</v>
      </c>
      <c r="BI1351">
        <v>1</v>
      </c>
      <c r="BJ1351" t="s">
        <v>3</v>
      </c>
      <c r="BM1351">
        <v>80</v>
      </c>
      <c r="BN1351">
        <v>0</v>
      </c>
      <c r="BO1351" t="s">
        <v>3</v>
      </c>
      <c r="BP1351">
        <v>0</v>
      </c>
      <c r="BQ1351">
        <v>30</v>
      </c>
      <c r="BR1351">
        <v>0</v>
      </c>
      <c r="BS1351">
        <v>1</v>
      </c>
      <c r="BT1351">
        <v>1</v>
      </c>
      <c r="BU1351">
        <v>1</v>
      </c>
      <c r="BV1351">
        <v>1</v>
      </c>
      <c r="BW1351">
        <v>1</v>
      </c>
      <c r="BX1351">
        <v>1</v>
      </c>
      <c r="BY1351" t="s">
        <v>3</v>
      </c>
      <c r="BZ1351">
        <v>0</v>
      </c>
      <c r="CA1351">
        <v>0</v>
      </c>
      <c r="CB1351" t="s">
        <v>3</v>
      </c>
      <c r="CE1351">
        <v>30</v>
      </c>
      <c r="CF1351">
        <v>0</v>
      </c>
      <c r="CG1351">
        <v>0</v>
      </c>
      <c r="CM1351">
        <v>0</v>
      </c>
      <c r="CN1351" t="s">
        <v>3</v>
      </c>
      <c r="CO1351">
        <v>0</v>
      </c>
      <c r="CP1351">
        <f t="shared" si="1136"/>
        <v>3570.03</v>
      </c>
      <c r="CQ1351">
        <f t="shared" si="1137"/>
        <v>255</v>
      </c>
      <c r="CR1351">
        <f>(ROUND((ROUND(((ET1351)*AV1351*1),2)*BB1351),2)+ROUND((ROUND(((AE1351-(EU1351))*AV1351*1),2)*BS1351),2))</f>
        <v>0</v>
      </c>
      <c r="CS1351">
        <f t="shared" si="1138"/>
        <v>0</v>
      </c>
      <c r="CT1351">
        <f t="shared" si="1139"/>
        <v>0</v>
      </c>
      <c r="CU1351">
        <f t="shared" si="1140"/>
        <v>0</v>
      </c>
      <c r="CV1351">
        <f t="shared" si="1141"/>
        <v>0</v>
      </c>
      <c r="CW1351">
        <f t="shared" si="1142"/>
        <v>0</v>
      </c>
      <c r="CX1351">
        <f t="shared" si="1143"/>
        <v>0</v>
      </c>
      <c r="CY1351">
        <f>S1351*(BZ1351/100)</f>
        <v>0</v>
      </c>
      <c r="CZ1351">
        <f>S1351*(CA1351/100)</f>
        <v>0</v>
      </c>
      <c r="DC1351" t="s">
        <v>3</v>
      </c>
      <c r="DD1351" t="s">
        <v>3</v>
      </c>
      <c r="DE1351" t="s">
        <v>3</v>
      </c>
      <c r="DF1351" t="s">
        <v>3</v>
      </c>
      <c r="DG1351" t="s">
        <v>3</v>
      </c>
      <c r="DH1351" t="s">
        <v>3</v>
      </c>
      <c r="DI1351" t="s">
        <v>3</v>
      </c>
      <c r="DJ1351" t="s">
        <v>3</v>
      </c>
      <c r="DK1351" t="s">
        <v>3</v>
      </c>
      <c r="DL1351" t="s">
        <v>3</v>
      </c>
      <c r="DM1351" t="s">
        <v>3</v>
      </c>
      <c r="DN1351">
        <v>85</v>
      </c>
      <c r="DO1351">
        <v>70</v>
      </c>
      <c r="DP1351">
        <v>1</v>
      </c>
      <c r="DQ1351">
        <v>1</v>
      </c>
      <c r="DU1351">
        <v>1010</v>
      </c>
      <c r="DV1351" t="s">
        <v>250</v>
      </c>
      <c r="DW1351" t="s">
        <v>250</v>
      </c>
      <c r="DX1351">
        <v>1</v>
      </c>
      <c r="DZ1351" t="s">
        <v>3</v>
      </c>
      <c r="EA1351" t="s">
        <v>3</v>
      </c>
      <c r="EB1351" t="s">
        <v>3</v>
      </c>
      <c r="EC1351" t="s">
        <v>3</v>
      </c>
      <c r="EE1351">
        <v>126051541</v>
      </c>
      <c r="EF1351">
        <v>30</v>
      </c>
      <c r="EG1351" t="s">
        <v>23</v>
      </c>
      <c r="EH1351">
        <v>0</v>
      </c>
      <c r="EI1351" t="s">
        <v>3</v>
      </c>
      <c r="EJ1351">
        <v>1</v>
      </c>
      <c r="EK1351">
        <v>80</v>
      </c>
      <c r="EL1351" t="s">
        <v>143</v>
      </c>
      <c r="EM1351" t="s">
        <v>144</v>
      </c>
      <c r="EO1351" t="s">
        <v>3</v>
      </c>
      <c r="EQ1351">
        <v>0</v>
      </c>
      <c r="ER1351">
        <v>38.46</v>
      </c>
      <c r="ES1351">
        <v>29.479999999999997</v>
      </c>
      <c r="ET1351">
        <v>0</v>
      </c>
      <c r="EU1351">
        <v>0</v>
      </c>
      <c r="EV1351">
        <v>0</v>
      </c>
      <c r="EW1351">
        <v>0</v>
      </c>
      <c r="EX1351">
        <v>0</v>
      </c>
      <c r="EZ1351">
        <v>5</v>
      </c>
      <c r="FC1351">
        <v>1</v>
      </c>
      <c r="FD1351">
        <v>18</v>
      </c>
      <c r="FF1351">
        <v>300</v>
      </c>
      <c r="FQ1351">
        <v>0</v>
      </c>
      <c r="FR1351">
        <f t="shared" si="1144"/>
        <v>0</v>
      </c>
      <c r="FS1351">
        <v>0</v>
      </c>
      <c r="FX1351">
        <v>85</v>
      </c>
      <c r="FY1351">
        <v>70</v>
      </c>
      <c r="GA1351" t="s">
        <v>1038</v>
      </c>
      <c r="GD1351">
        <v>0</v>
      </c>
      <c r="GF1351">
        <v>-1221607113</v>
      </c>
      <c r="GG1351">
        <v>2</v>
      </c>
      <c r="GH1351">
        <v>3</v>
      </c>
      <c r="GI1351">
        <v>5</v>
      </c>
      <c r="GJ1351">
        <v>0</v>
      </c>
      <c r="GK1351">
        <f>ROUND(R1351*(S12)/100,2)</f>
        <v>0</v>
      </c>
      <c r="GL1351">
        <f t="shared" si="1145"/>
        <v>0</v>
      </c>
      <c r="GM1351">
        <f t="shared" si="1146"/>
        <v>3570.03</v>
      </c>
      <c r="GN1351">
        <f t="shared" si="1147"/>
        <v>3570.03</v>
      </c>
      <c r="GO1351">
        <f t="shared" si="1148"/>
        <v>0</v>
      </c>
      <c r="GP1351">
        <f t="shared" si="1149"/>
        <v>0</v>
      </c>
      <c r="GR1351">
        <v>1</v>
      </c>
      <c r="GS1351">
        <v>1</v>
      </c>
      <c r="GT1351">
        <v>0</v>
      </c>
      <c r="GU1351" t="s">
        <v>3</v>
      </c>
      <c r="GV1351">
        <f t="shared" si="1150"/>
        <v>0</v>
      </c>
      <c r="GW1351">
        <v>1</v>
      </c>
      <c r="GX1351">
        <f t="shared" si="1151"/>
        <v>0</v>
      </c>
      <c r="HA1351">
        <v>0</v>
      </c>
      <c r="HB1351">
        <v>0</v>
      </c>
      <c r="HC1351">
        <f t="shared" si="1152"/>
        <v>0</v>
      </c>
      <c r="HE1351" t="s">
        <v>81</v>
      </c>
      <c r="HF1351" t="s">
        <v>252</v>
      </c>
      <c r="HM1351" t="s">
        <v>3</v>
      </c>
      <c r="HN1351" t="s">
        <v>3</v>
      </c>
      <c r="HO1351" t="s">
        <v>3</v>
      </c>
      <c r="HP1351" t="s">
        <v>3</v>
      </c>
      <c r="HQ1351" t="s">
        <v>3</v>
      </c>
      <c r="IK1351">
        <v>0</v>
      </c>
    </row>
    <row r="1352" spans="1:255" x14ac:dyDescent="0.2">
      <c r="A1352" s="2">
        <v>18</v>
      </c>
      <c r="B1352" s="2">
        <v>1</v>
      </c>
      <c r="C1352" s="2">
        <v>1104</v>
      </c>
      <c r="D1352" s="2"/>
      <c r="E1352" s="2" t="s">
        <v>753</v>
      </c>
      <c r="F1352" s="2" t="s">
        <v>248</v>
      </c>
      <c r="G1352" s="2" t="s">
        <v>1039</v>
      </c>
      <c r="H1352" s="2" t="s">
        <v>250</v>
      </c>
      <c r="I1352" s="2">
        <f>I1348*J1352</f>
        <v>3</v>
      </c>
      <c r="J1352" s="2">
        <v>0.17647058823529413</v>
      </c>
      <c r="K1352" s="2">
        <v>0.17647058823529413</v>
      </c>
      <c r="L1352" s="2"/>
      <c r="M1352" s="2"/>
      <c r="N1352" s="2"/>
      <c r="O1352" s="2">
        <f t="shared" si="1122"/>
        <v>188.46</v>
      </c>
      <c r="P1352" s="2">
        <f t="shared" si="1123"/>
        <v>188.46</v>
      </c>
      <c r="Q1352" s="2">
        <f>(ROUND((ROUND(((ET1352)*AV1352*I1352),2)*BB1352),2)+ROUND((ROUND(((AE1352-(EU1352))*AV1352*I1352),2)*BS1352),2))</f>
        <v>0</v>
      </c>
      <c r="R1352" s="2">
        <f t="shared" si="1124"/>
        <v>0</v>
      </c>
      <c r="S1352" s="2">
        <f t="shared" si="1125"/>
        <v>0</v>
      </c>
      <c r="T1352" s="2">
        <f t="shared" si="1126"/>
        <v>0</v>
      </c>
      <c r="U1352" s="2">
        <f t="shared" si="1127"/>
        <v>0</v>
      </c>
      <c r="V1352" s="2">
        <f t="shared" si="1128"/>
        <v>0</v>
      </c>
      <c r="W1352" s="2">
        <f t="shared" si="1129"/>
        <v>0</v>
      </c>
      <c r="X1352" s="2">
        <f t="shared" si="1130"/>
        <v>0</v>
      </c>
      <c r="Y1352" s="2">
        <f t="shared" si="1131"/>
        <v>0</v>
      </c>
      <c r="Z1352" s="2"/>
      <c r="AA1352" s="2">
        <v>129761636</v>
      </c>
      <c r="AB1352" s="2">
        <f t="shared" si="1132"/>
        <v>62.82</v>
      </c>
      <c r="AC1352" s="2">
        <f t="shared" si="1133"/>
        <v>62.82</v>
      </c>
      <c r="AD1352" s="2">
        <f>ROUND((((ET1352)-(EU1352))+AE1352),6)</f>
        <v>0</v>
      </c>
      <c r="AE1352" s="2">
        <f t="shared" si="1160"/>
        <v>0</v>
      </c>
      <c r="AF1352" s="2">
        <f t="shared" si="1160"/>
        <v>0</v>
      </c>
      <c r="AG1352" s="2">
        <f t="shared" si="1134"/>
        <v>0</v>
      </c>
      <c r="AH1352" s="2">
        <f t="shared" si="1161"/>
        <v>0</v>
      </c>
      <c r="AI1352" s="2">
        <f t="shared" si="1161"/>
        <v>0</v>
      </c>
      <c r="AJ1352" s="2">
        <f t="shared" si="1135"/>
        <v>0</v>
      </c>
      <c r="AK1352" s="2">
        <v>62.82</v>
      </c>
      <c r="AL1352" s="2">
        <v>62.82</v>
      </c>
      <c r="AM1352" s="2">
        <v>0</v>
      </c>
      <c r="AN1352" s="2">
        <v>0</v>
      </c>
      <c r="AO1352" s="2">
        <v>0</v>
      </c>
      <c r="AP1352" s="2">
        <v>0</v>
      </c>
      <c r="AQ1352" s="2">
        <v>0</v>
      </c>
      <c r="AR1352" s="2">
        <v>0</v>
      </c>
      <c r="AS1352" s="2">
        <v>0</v>
      </c>
      <c r="AT1352" s="2">
        <v>85</v>
      </c>
      <c r="AU1352" s="2">
        <v>70</v>
      </c>
      <c r="AV1352" s="2">
        <v>1</v>
      </c>
      <c r="AW1352" s="2">
        <v>1</v>
      </c>
      <c r="AX1352" s="2"/>
      <c r="AY1352" s="2"/>
      <c r="AZ1352" s="2">
        <v>1</v>
      </c>
      <c r="BA1352" s="2">
        <v>1</v>
      </c>
      <c r="BB1352" s="2">
        <v>1</v>
      </c>
      <c r="BC1352" s="2">
        <v>1</v>
      </c>
      <c r="BD1352" s="2" t="s">
        <v>3</v>
      </c>
      <c r="BE1352" s="2" t="s">
        <v>3</v>
      </c>
      <c r="BF1352" s="2" t="s">
        <v>3</v>
      </c>
      <c r="BG1352" s="2" t="s">
        <v>3</v>
      </c>
      <c r="BH1352" s="2">
        <v>3</v>
      </c>
      <c r="BI1352" s="2">
        <v>1</v>
      </c>
      <c r="BJ1352" s="2" t="s">
        <v>3</v>
      </c>
      <c r="BK1352" s="2"/>
      <c r="BL1352" s="2"/>
      <c r="BM1352" s="2">
        <v>80</v>
      </c>
      <c r="BN1352" s="2">
        <v>0</v>
      </c>
      <c r="BO1352" s="2" t="s">
        <v>3</v>
      </c>
      <c r="BP1352" s="2">
        <v>0</v>
      </c>
      <c r="BQ1352" s="2">
        <v>30</v>
      </c>
      <c r="BR1352" s="2">
        <v>0</v>
      </c>
      <c r="BS1352" s="2">
        <v>1</v>
      </c>
      <c r="BT1352" s="2">
        <v>1</v>
      </c>
      <c r="BU1352" s="2">
        <v>1</v>
      </c>
      <c r="BV1352" s="2">
        <v>1</v>
      </c>
      <c r="BW1352" s="2">
        <v>1</v>
      </c>
      <c r="BX1352" s="2">
        <v>1</v>
      </c>
      <c r="BY1352" s="2" t="s">
        <v>3</v>
      </c>
      <c r="BZ1352" s="2">
        <v>85</v>
      </c>
      <c r="CA1352" s="2">
        <v>70</v>
      </c>
      <c r="CB1352" s="2" t="s">
        <v>3</v>
      </c>
      <c r="CC1352" s="2"/>
      <c r="CD1352" s="2"/>
      <c r="CE1352" s="2">
        <v>30</v>
      </c>
      <c r="CF1352" s="2">
        <v>0</v>
      </c>
      <c r="CG1352" s="2">
        <v>0</v>
      </c>
      <c r="CH1352" s="2"/>
      <c r="CI1352" s="2"/>
      <c r="CJ1352" s="2"/>
      <c r="CK1352" s="2"/>
      <c r="CL1352" s="2"/>
      <c r="CM1352" s="2">
        <v>0</v>
      </c>
      <c r="CN1352" s="2" t="s">
        <v>3</v>
      </c>
      <c r="CO1352" s="2">
        <v>0</v>
      </c>
      <c r="CP1352" s="2">
        <f t="shared" si="1136"/>
        <v>188.46</v>
      </c>
      <c r="CQ1352" s="2">
        <f t="shared" si="1137"/>
        <v>62.82</v>
      </c>
      <c r="CR1352" s="2">
        <f>(ROUND((ROUND(((ET1352)*AV1352*1),2)*BB1352),2)+ROUND((ROUND(((AE1352-(EU1352))*AV1352*1),2)*BS1352),2))</f>
        <v>0</v>
      </c>
      <c r="CS1352" s="2">
        <f t="shared" si="1138"/>
        <v>0</v>
      </c>
      <c r="CT1352" s="2">
        <f t="shared" si="1139"/>
        <v>0</v>
      </c>
      <c r="CU1352" s="2">
        <f t="shared" si="1140"/>
        <v>0</v>
      </c>
      <c r="CV1352" s="2">
        <f t="shared" si="1141"/>
        <v>0</v>
      </c>
      <c r="CW1352" s="2">
        <f t="shared" si="1142"/>
        <v>0</v>
      </c>
      <c r="CX1352" s="2">
        <f t="shared" si="1143"/>
        <v>0</v>
      </c>
      <c r="CY1352" s="2">
        <f>((S1352*BZ1352)/100)</f>
        <v>0</v>
      </c>
      <c r="CZ1352" s="2">
        <f>((S1352*CA1352)/100)</f>
        <v>0</v>
      </c>
      <c r="DA1352" s="2"/>
      <c r="DB1352" s="2"/>
      <c r="DC1352" s="2" t="s">
        <v>3</v>
      </c>
      <c r="DD1352" s="2" t="s">
        <v>3</v>
      </c>
      <c r="DE1352" s="2" t="s">
        <v>3</v>
      </c>
      <c r="DF1352" s="2" t="s">
        <v>3</v>
      </c>
      <c r="DG1352" s="2" t="s">
        <v>3</v>
      </c>
      <c r="DH1352" s="2" t="s">
        <v>3</v>
      </c>
      <c r="DI1352" s="2" t="s">
        <v>3</v>
      </c>
      <c r="DJ1352" s="2" t="s">
        <v>3</v>
      </c>
      <c r="DK1352" s="2" t="s">
        <v>3</v>
      </c>
      <c r="DL1352" s="2" t="s">
        <v>3</v>
      </c>
      <c r="DM1352" s="2" t="s">
        <v>3</v>
      </c>
      <c r="DN1352" s="2">
        <v>0</v>
      </c>
      <c r="DO1352" s="2">
        <v>0</v>
      </c>
      <c r="DP1352" s="2">
        <v>1</v>
      </c>
      <c r="DQ1352" s="2">
        <v>1</v>
      </c>
      <c r="DR1352" s="2"/>
      <c r="DS1352" s="2"/>
      <c r="DT1352" s="2"/>
      <c r="DU1352" s="2">
        <v>1010</v>
      </c>
      <c r="DV1352" s="2" t="s">
        <v>250</v>
      </c>
      <c r="DW1352" s="2" t="s">
        <v>250</v>
      </c>
      <c r="DX1352" s="2">
        <v>1</v>
      </c>
      <c r="DY1352" s="2"/>
      <c r="DZ1352" s="2" t="s">
        <v>3</v>
      </c>
      <c r="EA1352" s="2" t="s">
        <v>3</v>
      </c>
      <c r="EB1352" s="2" t="s">
        <v>3</v>
      </c>
      <c r="EC1352" s="2" t="s">
        <v>3</v>
      </c>
      <c r="ED1352" s="2"/>
      <c r="EE1352" s="2">
        <v>126051541</v>
      </c>
      <c r="EF1352" s="2">
        <v>30</v>
      </c>
      <c r="EG1352" s="2" t="s">
        <v>23</v>
      </c>
      <c r="EH1352" s="2">
        <v>0</v>
      </c>
      <c r="EI1352" s="2" t="s">
        <v>3</v>
      </c>
      <c r="EJ1352" s="2">
        <v>1</v>
      </c>
      <c r="EK1352" s="2">
        <v>80</v>
      </c>
      <c r="EL1352" s="2" t="s">
        <v>143</v>
      </c>
      <c r="EM1352" s="2" t="s">
        <v>144</v>
      </c>
      <c r="EN1352" s="2"/>
      <c r="EO1352" s="2" t="s">
        <v>3</v>
      </c>
      <c r="EP1352" s="2"/>
      <c r="EQ1352" s="2">
        <v>0</v>
      </c>
      <c r="ER1352" s="2">
        <v>62.82</v>
      </c>
      <c r="ES1352" s="2">
        <v>62.82</v>
      </c>
      <c r="ET1352" s="2">
        <v>0</v>
      </c>
      <c r="EU1352" s="2">
        <v>0</v>
      </c>
      <c r="EV1352" s="2">
        <v>0</v>
      </c>
      <c r="EW1352" s="2">
        <v>0</v>
      </c>
      <c r="EX1352" s="2">
        <v>0</v>
      </c>
      <c r="EY1352" s="2"/>
      <c r="EZ1352" s="2"/>
      <c r="FA1352" s="2"/>
      <c r="FB1352" s="2"/>
      <c r="FC1352" s="2"/>
      <c r="FD1352" s="2"/>
      <c r="FE1352" s="2"/>
      <c r="FF1352" s="2"/>
      <c r="FG1352" s="2"/>
      <c r="FH1352" s="2"/>
      <c r="FI1352" s="2"/>
      <c r="FJ1352" s="2"/>
      <c r="FK1352" s="2"/>
      <c r="FL1352" s="2"/>
      <c r="FM1352" s="2"/>
      <c r="FN1352" s="2"/>
      <c r="FO1352" s="2"/>
      <c r="FP1352" s="2"/>
      <c r="FQ1352" s="2">
        <v>0</v>
      </c>
      <c r="FR1352" s="2">
        <f t="shared" si="1144"/>
        <v>0</v>
      </c>
      <c r="FS1352" s="2">
        <v>0</v>
      </c>
      <c r="FT1352" s="2"/>
      <c r="FU1352" s="2"/>
      <c r="FV1352" s="2"/>
      <c r="FW1352" s="2"/>
      <c r="FX1352" s="2">
        <v>85</v>
      </c>
      <c r="FY1352" s="2">
        <v>70</v>
      </c>
      <c r="FZ1352" s="2"/>
      <c r="GA1352" s="2" t="s">
        <v>3</v>
      </c>
      <c r="GB1352" s="2"/>
      <c r="GC1352" s="2"/>
      <c r="GD1352" s="2">
        <v>0</v>
      </c>
      <c r="GE1352" s="2"/>
      <c r="GF1352" s="2">
        <v>672477041</v>
      </c>
      <c r="GG1352" s="2">
        <v>2</v>
      </c>
      <c r="GH1352" s="2">
        <v>0</v>
      </c>
      <c r="GI1352" s="2">
        <v>-2</v>
      </c>
      <c r="GJ1352" s="2">
        <v>0</v>
      </c>
      <c r="GK1352" s="2">
        <f>ROUND(R1352*(R12)/100,2)</f>
        <v>0</v>
      </c>
      <c r="GL1352" s="2">
        <f t="shared" si="1145"/>
        <v>0</v>
      </c>
      <c r="GM1352" s="2">
        <f t="shared" si="1146"/>
        <v>188.46</v>
      </c>
      <c r="GN1352" s="2">
        <f t="shared" si="1147"/>
        <v>188.46</v>
      </c>
      <c r="GO1352" s="2">
        <f t="shared" si="1148"/>
        <v>0</v>
      </c>
      <c r="GP1352" s="2">
        <f t="shared" si="1149"/>
        <v>0</v>
      </c>
      <c r="GQ1352" s="2"/>
      <c r="GR1352" s="2">
        <v>0</v>
      </c>
      <c r="GS1352" s="2">
        <v>0</v>
      </c>
      <c r="GT1352" s="2">
        <v>0</v>
      </c>
      <c r="GU1352" s="2" t="s">
        <v>3</v>
      </c>
      <c r="GV1352" s="2">
        <f t="shared" si="1150"/>
        <v>0</v>
      </c>
      <c r="GW1352" s="2">
        <v>1</v>
      </c>
      <c r="GX1352" s="2">
        <f t="shared" si="1151"/>
        <v>0</v>
      </c>
      <c r="GY1352" s="2"/>
      <c r="GZ1352" s="2"/>
      <c r="HA1352" s="2">
        <v>0</v>
      </c>
      <c r="HB1352" s="2">
        <v>0</v>
      </c>
      <c r="HC1352" s="2">
        <f t="shared" si="1152"/>
        <v>0</v>
      </c>
      <c r="HD1352" s="2"/>
      <c r="HE1352" s="2" t="s">
        <v>3</v>
      </c>
      <c r="HF1352" s="2" t="s">
        <v>3</v>
      </c>
      <c r="HG1352" s="2"/>
      <c r="HH1352" s="2"/>
      <c r="HI1352" s="2"/>
      <c r="HJ1352" s="2"/>
      <c r="HK1352" s="2"/>
      <c r="HL1352" s="2"/>
      <c r="HM1352" s="2" t="s">
        <v>3</v>
      </c>
      <c r="HN1352" s="2" t="s">
        <v>3</v>
      </c>
      <c r="HO1352" s="2" t="s">
        <v>3</v>
      </c>
      <c r="HP1352" s="2" t="s">
        <v>3</v>
      </c>
      <c r="HQ1352" s="2" t="s">
        <v>3</v>
      </c>
      <c r="HR1352" s="2"/>
      <c r="HS1352" s="2"/>
      <c r="HT1352" s="2"/>
      <c r="HU1352" s="2"/>
      <c r="HV1352" s="2"/>
      <c r="HW1352" s="2"/>
      <c r="HX1352" s="2"/>
      <c r="HY1352" s="2"/>
      <c r="HZ1352" s="2"/>
      <c r="IA1352" s="2"/>
      <c r="IB1352" s="2"/>
      <c r="IC1352" s="2"/>
      <c r="ID1352" s="2"/>
      <c r="IE1352" s="2"/>
      <c r="IF1352" s="2"/>
      <c r="IG1352" s="2"/>
      <c r="IH1352" s="2"/>
      <c r="II1352" s="2"/>
      <c r="IJ1352" s="2"/>
      <c r="IK1352" s="2">
        <v>0</v>
      </c>
      <c r="IL1352" s="2"/>
      <c r="IM1352" s="2"/>
      <c r="IN1352" s="2"/>
      <c r="IO1352" s="2"/>
      <c r="IP1352" s="2"/>
      <c r="IQ1352" s="2"/>
      <c r="IR1352" s="2"/>
      <c r="IS1352" s="2"/>
      <c r="IT1352" s="2"/>
      <c r="IU1352" s="2"/>
    </row>
    <row r="1353" spans="1:255" x14ac:dyDescent="0.2">
      <c r="A1353">
        <v>18</v>
      </c>
      <c r="B1353">
        <v>1</v>
      </c>
      <c r="C1353">
        <v>1108</v>
      </c>
      <c r="E1353" t="s">
        <v>753</v>
      </c>
      <c r="F1353" t="s">
        <v>248</v>
      </c>
      <c r="G1353" t="s">
        <v>1039</v>
      </c>
      <c r="H1353" t="s">
        <v>250</v>
      </c>
      <c r="I1353">
        <f>I1349*J1353</f>
        <v>3</v>
      </c>
      <c r="J1353">
        <v>0.17647058823529413</v>
      </c>
      <c r="K1353">
        <v>0.17647058823529413</v>
      </c>
      <c r="O1353">
        <f t="shared" si="1122"/>
        <v>1249.49</v>
      </c>
      <c r="P1353">
        <f t="shared" si="1123"/>
        <v>1249.49</v>
      </c>
      <c r="Q1353">
        <f>(ROUND((ROUND(((ET1353)*AV1353*I1353),2)*BB1353),2)+ROUND((ROUND(((AE1353-(EU1353))*AV1353*I1353),2)*BS1353),2))</f>
        <v>0</v>
      </c>
      <c r="R1353">
        <f t="shared" si="1124"/>
        <v>0</v>
      </c>
      <c r="S1353">
        <f t="shared" si="1125"/>
        <v>0</v>
      </c>
      <c r="T1353">
        <f t="shared" si="1126"/>
        <v>0</v>
      </c>
      <c r="U1353">
        <f t="shared" si="1127"/>
        <v>0</v>
      </c>
      <c r="V1353">
        <f t="shared" si="1128"/>
        <v>0</v>
      </c>
      <c r="W1353">
        <f t="shared" si="1129"/>
        <v>0</v>
      </c>
      <c r="X1353">
        <f t="shared" si="1130"/>
        <v>0</v>
      </c>
      <c r="Y1353">
        <f t="shared" si="1131"/>
        <v>0</v>
      </c>
      <c r="AA1353">
        <v>129761633</v>
      </c>
      <c r="AB1353">
        <f t="shared" si="1132"/>
        <v>48.15</v>
      </c>
      <c r="AC1353">
        <f t="shared" si="1133"/>
        <v>48.15</v>
      </c>
      <c r="AD1353">
        <f>ROUND((((ET1353)-(EU1353))+AE1353),6)</f>
        <v>0</v>
      </c>
      <c r="AE1353">
        <f t="shared" si="1160"/>
        <v>0</v>
      </c>
      <c r="AF1353">
        <f t="shared" si="1160"/>
        <v>0</v>
      </c>
      <c r="AG1353">
        <f t="shared" si="1134"/>
        <v>0</v>
      </c>
      <c r="AH1353">
        <f t="shared" si="1161"/>
        <v>0</v>
      </c>
      <c r="AI1353">
        <f t="shared" si="1161"/>
        <v>0</v>
      </c>
      <c r="AJ1353">
        <f t="shared" si="1135"/>
        <v>0</v>
      </c>
      <c r="AK1353">
        <v>48.15</v>
      </c>
      <c r="AL1353">
        <v>48.15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1</v>
      </c>
      <c r="AW1353">
        <v>1</v>
      </c>
      <c r="AZ1353">
        <v>1</v>
      </c>
      <c r="BA1353">
        <v>1</v>
      </c>
      <c r="BB1353">
        <v>1</v>
      </c>
      <c r="BC1353">
        <v>8.65</v>
      </c>
      <c r="BD1353" t="s">
        <v>3</v>
      </c>
      <c r="BE1353" t="s">
        <v>3</v>
      </c>
      <c r="BF1353" t="s">
        <v>3</v>
      </c>
      <c r="BG1353" t="s">
        <v>3</v>
      </c>
      <c r="BH1353">
        <v>3</v>
      </c>
      <c r="BI1353">
        <v>1</v>
      </c>
      <c r="BJ1353" t="s">
        <v>3</v>
      </c>
      <c r="BM1353">
        <v>80</v>
      </c>
      <c r="BN1353">
        <v>0</v>
      </c>
      <c r="BO1353" t="s">
        <v>3</v>
      </c>
      <c r="BP1353">
        <v>0</v>
      </c>
      <c r="BQ1353">
        <v>30</v>
      </c>
      <c r="BR1353">
        <v>0</v>
      </c>
      <c r="BS1353">
        <v>1</v>
      </c>
      <c r="BT1353">
        <v>1</v>
      </c>
      <c r="BU1353">
        <v>1</v>
      </c>
      <c r="BV1353">
        <v>1</v>
      </c>
      <c r="BW1353">
        <v>1</v>
      </c>
      <c r="BX1353">
        <v>1</v>
      </c>
      <c r="BY1353" t="s">
        <v>3</v>
      </c>
      <c r="BZ1353">
        <v>0</v>
      </c>
      <c r="CA1353">
        <v>0</v>
      </c>
      <c r="CB1353" t="s">
        <v>3</v>
      </c>
      <c r="CE1353">
        <v>30</v>
      </c>
      <c r="CF1353">
        <v>0</v>
      </c>
      <c r="CG1353">
        <v>0</v>
      </c>
      <c r="CM1353">
        <v>0</v>
      </c>
      <c r="CN1353" t="s">
        <v>3</v>
      </c>
      <c r="CO1353">
        <v>0</v>
      </c>
      <c r="CP1353">
        <f t="shared" si="1136"/>
        <v>1249.49</v>
      </c>
      <c r="CQ1353">
        <f t="shared" si="1137"/>
        <v>416.5</v>
      </c>
      <c r="CR1353">
        <f>(ROUND((ROUND(((ET1353)*AV1353*1),2)*BB1353),2)+ROUND((ROUND(((AE1353-(EU1353))*AV1353*1),2)*BS1353),2))</f>
        <v>0</v>
      </c>
      <c r="CS1353">
        <f t="shared" si="1138"/>
        <v>0</v>
      </c>
      <c r="CT1353">
        <f t="shared" si="1139"/>
        <v>0</v>
      </c>
      <c r="CU1353">
        <f t="shared" si="1140"/>
        <v>0</v>
      </c>
      <c r="CV1353">
        <f t="shared" si="1141"/>
        <v>0</v>
      </c>
      <c r="CW1353">
        <f t="shared" si="1142"/>
        <v>0</v>
      </c>
      <c r="CX1353">
        <f t="shared" si="1143"/>
        <v>0</v>
      </c>
      <c r="CY1353">
        <f>S1353*(BZ1353/100)</f>
        <v>0</v>
      </c>
      <c r="CZ1353">
        <f>S1353*(CA1353/100)</f>
        <v>0</v>
      </c>
      <c r="DC1353" t="s">
        <v>3</v>
      </c>
      <c r="DD1353" t="s">
        <v>3</v>
      </c>
      <c r="DE1353" t="s">
        <v>3</v>
      </c>
      <c r="DF1353" t="s">
        <v>3</v>
      </c>
      <c r="DG1353" t="s">
        <v>3</v>
      </c>
      <c r="DH1353" t="s">
        <v>3</v>
      </c>
      <c r="DI1353" t="s">
        <v>3</v>
      </c>
      <c r="DJ1353" t="s">
        <v>3</v>
      </c>
      <c r="DK1353" t="s">
        <v>3</v>
      </c>
      <c r="DL1353" t="s">
        <v>3</v>
      </c>
      <c r="DM1353" t="s">
        <v>3</v>
      </c>
      <c r="DN1353">
        <v>85</v>
      </c>
      <c r="DO1353">
        <v>70</v>
      </c>
      <c r="DP1353">
        <v>1</v>
      </c>
      <c r="DQ1353">
        <v>1</v>
      </c>
      <c r="DU1353">
        <v>1010</v>
      </c>
      <c r="DV1353" t="s">
        <v>250</v>
      </c>
      <c r="DW1353" t="s">
        <v>250</v>
      </c>
      <c r="DX1353">
        <v>1</v>
      </c>
      <c r="DZ1353" t="s">
        <v>3</v>
      </c>
      <c r="EA1353" t="s">
        <v>3</v>
      </c>
      <c r="EB1353" t="s">
        <v>3</v>
      </c>
      <c r="EC1353" t="s">
        <v>3</v>
      </c>
      <c r="EE1353">
        <v>126051541</v>
      </c>
      <c r="EF1353">
        <v>30</v>
      </c>
      <c r="EG1353" t="s">
        <v>23</v>
      </c>
      <c r="EH1353">
        <v>0</v>
      </c>
      <c r="EI1353" t="s">
        <v>3</v>
      </c>
      <c r="EJ1353">
        <v>1</v>
      </c>
      <c r="EK1353">
        <v>80</v>
      </c>
      <c r="EL1353" t="s">
        <v>143</v>
      </c>
      <c r="EM1353" t="s">
        <v>144</v>
      </c>
      <c r="EO1353" t="s">
        <v>3</v>
      </c>
      <c r="EQ1353">
        <v>0</v>
      </c>
      <c r="ER1353">
        <v>62.82</v>
      </c>
      <c r="ES1353">
        <v>48.15</v>
      </c>
      <c r="ET1353">
        <v>0</v>
      </c>
      <c r="EU1353">
        <v>0</v>
      </c>
      <c r="EV1353">
        <v>0</v>
      </c>
      <c r="EW1353">
        <v>0</v>
      </c>
      <c r="EX1353">
        <v>0</v>
      </c>
      <c r="EZ1353">
        <v>5</v>
      </c>
      <c r="FC1353">
        <v>1</v>
      </c>
      <c r="FD1353">
        <v>18</v>
      </c>
      <c r="FF1353">
        <v>490</v>
      </c>
      <c r="FQ1353">
        <v>0</v>
      </c>
      <c r="FR1353">
        <f t="shared" si="1144"/>
        <v>0</v>
      </c>
      <c r="FS1353">
        <v>0</v>
      </c>
      <c r="FX1353">
        <v>85</v>
      </c>
      <c r="FY1353">
        <v>70</v>
      </c>
      <c r="GA1353" t="s">
        <v>1040</v>
      </c>
      <c r="GD1353">
        <v>0</v>
      </c>
      <c r="GF1353">
        <v>672477041</v>
      </c>
      <c r="GG1353">
        <v>2</v>
      </c>
      <c r="GH1353">
        <v>3</v>
      </c>
      <c r="GI1353">
        <v>5</v>
      </c>
      <c r="GJ1353">
        <v>0</v>
      </c>
      <c r="GK1353">
        <f>ROUND(R1353*(S12)/100,2)</f>
        <v>0</v>
      </c>
      <c r="GL1353">
        <f t="shared" si="1145"/>
        <v>0</v>
      </c>
      <c r="GM1353">
        <f t="shared" si="1146"/>
        <v>1249.49</v>
      </c>
      <c r="GN1353">
        <f t="shared" si="1147"/>
        <v>1249.49</v>
      </c>
      <c r="GO1353">
        <f t="shared" si="1148"/>
        <v>0</v>
      </c>
      <c r="GP1353">
        <f t="shared" si="1149"/>
        <v>0</v>
      </c>
      <c r="GR1353">
        <v>1</v>
      </c>
      <c r="GS1353">
        <v>1</v>
      </c>
      <c r="GT1353">
        <v>0</v>
      </c>
      <c r="GU1353" t="s">
        <v>3</v>
      </c>
      <c r="GV1353">
        <f t="shared" si="1150"/>
        <v>0</v>
      </c>
      <c r="GW1353">
        <v>1</v>
      </c>
      <c r="GX1353">
        <f t="shared" si="1151"/>
        <v>0</v>
      </c>
      <c r="HA1353">
        <v>0</v>
      </c>
      <c r="HB1353">
        <v>0</v>
      </c>
      <c r="HC1353">
        <f t="shared" si="1152"/>
        <v>0</v>
      </c>
      <c r="HE1353" t="s">
        <v>81</v>
      </c>
      <c r="HF1353" t="s">
        <v>252</v>
      </c>
      <c r="HM1353" t="s">
        <v>3</v>
      </c>
      <c r="HN1353" t="s">
        <v>3</v>
      </c>
      <c r="HO1353" t="s">
        <v>3</v>
      </c>
      <c r="HP1353" t="s">
        <v>3</v>
      </c>
      <c r="HQ1353" t="s">
        <v>3</v>
      </c>
      <c r="IK1353">
        <v>0</v>
      </c>
    </row>
    <row r="1354" spans="1:255" x14ac:dyDescent="0.2">
      <c r="A1354" s="2">
        <v>17</v>
      </c>
      <c r="B1354" s="2">
        <v>1</v>
      </c>
      <c r="C1354" s="2">
        <f>ROW(SmtRes!A1110)</f>
        <v>1110</v>
      </c>
      <c r="D1354" s="2">
        <f>ROW(EtalonRes!A1061)</f>
        <v>1061</v>
      </c>
      <c r="E1354" s="2" t="s">
        <v>116</v>
      </c>
      <c r="F1354" s="2" t="s">
        <v>1041</v>
      </c>
      <c r="G1354" s="2" t="s">
        <v>1042</v>
      </c>
      <c r="H1354" s="2" t="s">
        <v>231</v>
      </c>
      <c r="I1354" s="2">
        <v>10</v>
      </c>
      <c r="J1354" s="2">
        <v>0</v>
      </c>
      <c r="K1354" s="2">
        <v>10</v>
      </c>
      <c r="L1354" s="2"/>
      <c r="M1354" s="2"/>
      <c r="N1354" s="2"/>
      <c r="O1354" s="2">
        <f t="shared" si="1122"/>
        <v>43.4</v>
      </c>
      <c r="P1354" s="2">
        <f t="shared" si="1123"/>
        <v>2.8</v>
      </c>
      <c r="Q1354" s="2">
        <f>(ROUND((ROUND((((ET1354*1.25))*AV1354*I1354),2)*BB1354),2)+ROUND((ROUND(((AE1354-((EU1354*1.25)))*AV1354*I1354),2)*BS1354),2))</f>
        <v>0</v>
      </c>
      <c r="R1354" s="2">
        <f t="shared" si="1124"/>
        <v>0</v>
      </c>
      <c r="S1354" s="2">
        <f t="shared" si="1125"/>
        <v>40.6</v>
      </c>
      <c r="T1354" s="2">
        <f t="shared" si="1126"/>
        <v>0</v>
      </c>
      <c r="U1354" s="2">
        <f t="shared" si="1127"/>
        <v>3.22</v>
      </c>
      <c r="V1354" s="2">
        <f t="shared" si="1128"/>
        <v>0</v>
      </c>
      <c r="W1354" s="2">
        <f t="shared" si="1129"/>
        <v>0</v>
      </c>
      <c r="X1354" s="2">
        <f t="shared" si="1130"/>
        <v>44.66</v>
      </c>
      <c r="Y1354" s="2">
        <f t="shared" si="1131"/>
        <v>30.04</v>
      </c>
      <c r="Z1354" s="2"/>
      <c r="AA1354" s="2">
        <v>129761636</v>
      </c>
      <c r="AB1354" s="2">
        <f t="shared" si="1132"/>
        <v>4.3395000000000001</v>
      </c>
      <c r="AC1354" s="2">
        <f t="shared" si="1133"/>
        <v>0.28000000000000003</v>
      </c>
      <c r="AD1354" s="2">
        <f>ROUND(((((ET1354*1.25))-((EU1354*1.25)))+AE1354),6)</f>
        <v>0</v>
      </c>
      <c r="AE1354" s="2">
        <f>ROUND(((EU1354*1.25)),6)</f>
        <v>0</v>
      </c>
      <c r="AF1354" s="2">
        <f>ROUND(((EV1354*1.15)),6)</f>
        <v>4.0594999999999999</v>
      </c>
      <c r="AG1354" s="2">
        <f t="shared" si="1134"/>
        <v>0</v>
      </c>
      <c r="AH1354" s="2">
        <f>((EW1354*1.15))</f>
        <v>0.32200000000000001</v>
      </c>
      <c r="AI1354" s="2">
        <f>((EX1354*1.25))</f>
        <v>0</v>
      </c>
      <c r="AJ1354" s="2">
        <f t="shared" si="1135"/>
        <v>0</v>
      </c>
      <c r="AK1354" s="2">
        <v>3.81</v>
      </c>
      <c r="AL1354" s="2">
        <v>0.28000000000000003</v>
      </c>
      <c r="AM1354" s="2">
        <v>0</v>
      </c>
      <c r="AN1354" s="2">
        <v>0</v>
      </c>
      <c r="AO1354" s="2">
        <v>3.53</v>
      </c>
      <c r="AP1354" s="2">
        <v>0</v>
      </c>
      <c r="AQ1354" s="2">
        <v>0.28000000000000003</v>
      </c>
      <c r="AR1354" s="2">
        <v>0</v>
      </c>
      <c r="AS1354" s="2">
        <v>0</v>
      </c>
      <c r="AT1354" s="2">
        <v>110</v>
      </c>
      <c r="AU1354" s="2">
        <v>74</v>
      </c>
      <c r="AV1354" s="2">
        <v>1</v>
      </c>
      <c r="AW1354" s="2">
        <v>1</v>
      </c>
      <c r="AX1354" s="2"/>
      <c r="AY1354" s="2"/>
      <c r="AZ1354" s="2">
        <v>1</v>
      </c>
      <c r="BA1354" s="2">
        <v>1</v>
      </c>
      <c r="BB1354" s="2">
        <v>1</v>
      </c>
      <c r="BC1354" s="2">
        <v>1</v>
      </c>
      <c r="BD1354" s="2" t="s">
        <v>3</v>
      </c>
      <c r="BE1354" s="2" t="s">
        <v>3</v>
      </c>
      <c r="BF1354" s="2" t="s">
        <v>3</v>
      </c>
      <c r="BG1354" s="2" t="s">
        <v>3</v>
      </c>
      <c r="BH1354" s="2">
        <v>0</v>
      </c>
      <c r="BI1354" s="2">
        <v>1</v>
      </c>
      <c r="BJ1354" s="2" t="s">
        <v>1043</v>
      </c>
      <c r="BK1354" s="2"/>
      <c r="BL1354" s="2"/>
      <c r="BM1354" s="2">
        <v>136</v>
      </c>
      <c r="BN1354" s="2">
        <v>0</v>
      </c>
      <c r="BO1354" s="2" t="s">
        <v>3</v>
      </c>
      <c r="BP1354" s="2">
        <v>0</v>
      </c>
      <c r="BQ1354" s="2">
        <v>30</v>
      </c>
      <c r="BR1354" s="2">
        <v>0</v>
      </c>
      <c r="BS1354" s="2">
        <v>1</v>
      </c>
      <c r="BT1354" s="2">
        <v>1</v>
      </c>
      <c r="BU1354" s="2">
        <v>1</v>
      </c>
      <c r="BV1354" s="2">
        <v>1</v>
      </c>
      <c r="BW1354" s="2">
        <v>1</v>
      </c>
      <c r="BX1354" s="2">
        <v>1</v>
      </c>
      <c r="BY1354" s="2" t="s">
        <v>3</v>
      </c>
      <c r="BZ1354" s="2">
        <v>110</v>
      </c>
      <c r="CA1354" s="2">
        <v>74</v>
      </c>
      <c r="CB1354" s="2" t="s">
        <v>3</v>
      </c>
      <c r="CC1354" s="2"/>
      <c r="CD1354" s="2"/>
      <c r="CE1354" s="2">
        <v>30</v>
      </c>
      <c r="CF1354" s="2">
        <v>0</v>
      </c>
      <c r="CG1354" s="2">
        <v>0</v>
      </c>
      <c r="CH1354" s="2"/>
      <c r="CI1354" s="2"/>
      <c r="CJ1354" s="2"/>
      <c r="CK1354" s="2"/>
      <c r="CL1354" s="2"/>
      <c r="CM1354" s="2">
        <v>0</v>
      </c>
      <c r="CN1354" s="2" t="s">
        <v>1559</v>
      </c>
      <c r="CO1354" s="2">
        <v>0</v>
      </c>
      <c r="CP1354" s="2">
        <f t="shared" si="1136"/>
        <v>43.4</v>
      </c>
      <c r="CQ1354" s="2">
        <f t="shared" si="1137"/>
        <v>0.28000000000000003</v>
      </c>
      <c r="CR1354" s="2">
        <f>(ROUND((ROUND((((ET1354*1.25))*AV1354*1),2)*BB1354),2)+ROUND((ROUND(((AE1354-((EU1354*1.25)))*AV1354*1),2)*BS1354),2))</f>
        <v>0</v>
      </c>
      <c r="CS1354" s="2">
        <f t="shared" si="1138"/>
        <v>0</v>
      </c>
      <c r="CT1354" s="2">
        <f t="shared" si="1139"/>
        <v>4.0599999999999996</v>
      </c>
      <c r="CU1354" s="2">
        <f t="shared" si="1140"/>
        <v>0</v>
      </c>
      <c r="CV1354" s="2">
        <f t="shared" si="1141"/>
        <v>0.32200000000000001</v>
      </c>
      <c r="CW1354" s="2">
        <f t="shared" si="1142"/>
        <v>0</v>
      </c>
      <c r="CX1354" s="2">
        <f t="shared" si="1143"/>
        <v>0</v>
      </c>
      <c r="CY1354" s="2">
        <f>((S1354*BZ1354)/100)</f>
        <v>44.66</v>
      </c>
      <c r="CZ1354" s="2">
        <f>((S1354*CA1354)/100)</f>
        <v>30.044</v>
      </c>
      <c r="DA1354" s="2"/>
      <c r="DB1354" s="2"/>
      <c r="DC1354" s="2" t="s">
        <v>3</v>
      </c>
      <c r="DD1354" s="2" t="s">
        <v>3</v>
      </c>
      <c r="DE1354" s="2" t="s">
        <v>86</v>
      </c>
      <c r="DF1354" s="2" t="s">
        <v>86</v>
      </c>
      <c r="DG1354" s="2" t="s">
        <v>87</v>
      </c>
      <c r="DH1354" s="2" t="s">
        <v>3</v>
      </c>
      <c r="DI1354" s="2" t="s">
        <v>87</v>
      </c>
      <c r="DJ1354" s="2" t="s">
        <v>86</v>
      </c>
      <c r="DK1354" s="2" t="s">
        <v>3</v>
      </c>
      <c r="DL1354" s="2" t="s">
        <v>3</v>
      </c>
      <c r="DM1354" s="2" t="s">
        <v>3</v>
      </c>
      <c r="DN1354" s="2">
        <v>0</v>
      </c>
      <c r="DO1354" s="2">
        <v>0</v>
      </c>
      <c r="DP1354" s="2">
        <v>1</v>
      </c>
      <c r="DQ1354" s="2">
        <v>1</v>
      </c>
      <c r="DR1354" s="2"/>
      <c r="DS1354" s="2"/>
      <c r="DT1354" s="2"/>
      <c r="DU1354" s="2">
        <v>1013</v>
      </c>
      <c r="DV1354" s="2" t="s">
        <v>231</v>
      </c>
      <c r="DW1354" s="2" t="s">
        <v>231</v>
      </c>
      <c r="DX1354" s="2">
        <v>1</v>
      </c>
      <c r="DY1354" s="2"/>
      <c r="DZ1354" s="2" t="s">
        <v>3</v>
      </c>
      <c r="EA1354" s="2" t="s">
        <v>3</v>
      </c>
      <c r="EB1354" s="2" t="s">
        <v>3</v>
      </c>
      <c r="EC1354" s="2" t="s">
        <v>3</v>
      </c>
      <c r="ED1354" s="2"/>
      <c r="EE1354" s="2">
        <v>126051597</v>
      </c>
      <c r="EF1354" s="2">
        <v>30</v>
      </c>
      <c r="EG1354" s="2" t="s">
        <v>23</v>
      </c>
      <c r="EH1354" s="2">
        <v>0</v>
      </c>
      <c r="EI1354" s="2" t="s">
        <v>3</v>
      </c>
      <c r="EJ1354" s="2">
        <v>1</v>
      </c>
      <c r="EK1354" s="2">
        <v>136</v>
      </c>
      <c r="EL1354" s="2" t="s">
        <v>955</v>
      </c>
      <c r="EM1354" s="2" t="s">
        <v>956</v>
      </c>
      <c r="EN1354" s="2"/>
      <c r="EO1354" s="2" t="s">
        <v>90</v>
      </c>
      <c r="EP1354" s="2"/>
      <c r="EQ1354" s="2">
        <v>131072</v>
      </c>
      <c r="ER1354" s="2">
        <v>3.81</v>
      </c>
      <c r="ES1354" s="2">
        <v>0.28000000000000003</v>
      </c>
      <c r="ET1354" s="2">
        <v>0</v>
      </c>
      <c r="EU1354" s="2">
        <v>0</v>
      </c>
      <c r="EV1354" s="2">
        <v>3.53</v>
      </c>
      <c r="EW1354" s="2">
        <v>0.28000000000000003</v>
      </c>
      <c r="EX1354" s="2">
        <v>0</v>
      </c>
      <c r="EY1354" s="2">
        <v>0</v>
      </c>
      <c r="EZ1354" s="2"/>
      <c r="FA1354" s="2"/>
      <c r="FB1354" s="2"/>
      <c r="FC1354" s="2"/>
      <c r="FD1354" s="2"/>
      <c r="FE1354" s="2"/>
      <c r="FF1354" s="2"/>
      <c r="FG1354" s="2"/>
      <c r="FH1354" s="2"/>
      <c r="FI1354" s="2"/>
      <c r="FJ1354" s="2"/>
      <c r="FK1354" s="2"/>
      <c r="FL1354" s="2"/>
      <c r="FM1354" s="2"/>
      <c r="FN1354" s="2"/>
      <c r="FO1354" s="2"/>
      <c r="FP1354" s="2"/>
      <c r="FQ1354" s="2">
        <v>0</v>
      </c>
      <c r="FR1354" s="2">
        <f t="shared" si="1144"/>
        <v>0</v>
      </c>
      <c r="FS1354" s="2">
        <v>0</v>
      </c>
      <c r="FT1354" s="2"/>
      <c r="FU1354" s="2"/>
      <c r="FV1354" s="2"/>
      <c r="FW1354" s="2"/>
      <c r="FX1354" s="2">
        <v>110</v>
      </c>
      <c r="FY1354" s="2">
        <v>74</v>
      </c>
      <c r="FZ1354" s="2"/>
      <c r="GA1354" s="2" t="s">
        <v>3</v>
      </c>
      <c r="GB1354" s="2"/>
      <c r="GC1354" s="2"/>
      <c r="GD1354" s="2">
        <v>0</v>
      </c>
      <c r="GE1354" s="2"/>
      <c r="GF1354" s="2">
        <v>776041086</v>
      </c>
      <c r="GG1354" s="2">
        <v>2</v>
      </c>
      <c r="GH1354" s="2">
        <v>1</v>
      </c>
      <c r="GI1354" s="2">
        <v>-2</v>
      </c>
      <c r="GJ1354" s="2">
        <v>0</v>
      </c>
      <c r="GK1354" s="2">
        <f>ROUND(R1354*(R12)/100,2)</f>
        <v>0</v>
      </c>
      <c r="GL1354" s="2">
        <f t="shared" si="1145"/>
        <v>0</v>
      </c>
      <c r="GM1354" s="2">
        <f t="shared" si="1146"/>
        <v>118.1</v>
      </c>
      <c r="GN1354" s="2">
        <f t="shared" si="1147"/>
        <v>118.1</v>
      </c>
      <c r="GO1354" s="2">
        <f t="shared" si="1148"/>
        <v>0</v>
      </c>
      <c r="GP1354" s="2">
        <f t="shared" si="1149"/>
        <v>0</v>
      </c>
      <c r="GQ1354" s="2"/>
      <c r="GR1354" s="2">
        <v>0</v>
      </c>
      <c r="GS1354" s="2">
        <v>0</v>
      </c>
      <c r="GT1354" s="2">
        <v>0</v>
      </c>
      <c r="GU1354" s="2" t="s">
        <v>3</v>
      </c>
      <c r="GV1354" s="2">
        <f t="shared" si="1150"/>
        <v>0</v>
      </c>
      <c r="GW1354" s="2">
        <v>1</v>
      </c>
      <c r="GX1354" s="2">
        <f t="shared" si="1151"/>
        <v>0</v>
      </c>
      <c r="GY1354" s="2"/>
      <c r="GZ1354" s="2"/>
      <c r="HA1354" s="2">
        <v>0</v>
      </c>
      <c r="HB1354" s="2">
        <v>0</v>
      </c>
      <c r="HC1354" s="2">
        <f t="shared" si="1152"/>
        <v>0</v>
      </c>
      <c r="HD1354" s="2"/>
      <c r="HE1354" s="2" t="s">
        <v>3</v>
      </c>
      <c r="HF1354" s="2" t="s">
        <v>3</v>
      </c>
      <c r="HG1354" s="2"/>
      <c r="HH1354" s="2"/>
      <c r="HI1354" s="2"/>
      <c r="HJ1354" s="2"/>
      <c r="HK1354" s="2"/>
      <c r="HL1354" s="2"/>
      <c r="HM1354" s="2" t="s">
        <v>3</v>
      </c>
      <c r="HN1354" s="2" t="s">
        <v>3</v>
      </c>
      <c r="HO1354" s="2" t="s">
        <v>3</v>
      </c>
      <c r="HP1354" s="2" t="s">
        <v>3</v>
      </c>
      <c r="HQ1354" s="2" t="s">
        <v>3</v>
      </c>
      <c r="HR1354" s="2"/>
      <c r="HS1354" s="2"/>
      <c r="HT1354" s="2"/>
      <c r="HU1354" s="2"/>
      <c r="HV1354" s="2"/>
      <c r="HW1354" s="2"/>
      <c r="HX1354" s="2"/>
      <c r="HY1354" s="2"/>
      <c r="HZ1354" s="2"/>
      <c r="IA1354" s="2"/>
      <c r="IB1354" s="2"/>
      <c r="IC1354" s="2"/>
      <c r="ID1354" s="2"/>
      <c r="IE1354" s="2"/>
      <c r="IF1354" s="2"/>
      <c r="IG1354" s="2"/>
      <c r="IH1354" s="2"/>
      <c r="II1354" s="2"/>
      <c r="IJ1354" s="2"/>
      <c r="IK1354" s="2">
        <v>0</v>
      </c>
      <c r="IL1354" s="2"/>
      <c r="IM1354" s="2"/>
      <c r="IN1354" s="2"/>
      <c r="IO1354" s="2"/>
      <c r="IP1354" s="2"/>
      <c r="IQ1354" s="2"/>
      <c r="IR1354" s="2"/>
      <c r="IS1354" s="2"/>
      <c r="IT1354" s="2"/>
      <c r="IU1354" s="2"/>
    </row>
    <row r="1355" spans="1:255" x14ac:dyDescent="0.2">
      <c r="A1355">
        <v>17</v>
      </c>
      <c r="B1355">
        <v>1</v>
      </c>
      <c r="C1355">
        <f>ROW(SmtRes!A1112)</f>
        <v>1112</v>
      </c>
      <c r="D1355">
        <f>ROW(EtalonRes!A1064)</f>
        <v>1064</v>
      </c>
      <c r="E1355" t="s">
        <v>116</v>
      </c>
      <c r="F1355" t="s">
        <v>1041</v>
      </c>
      <c r="G1355" t="s">
        <v>1042</v>
      </c>
      <c r="H1355" t="s">
        <v>231</v>
      </c>
      <c r="I1355">
        <v>10</v>
      </c>
      <c r="J1355">
        <v>0</v>
      </c>
      <c r="K1355">
        <v>10</v>
      </c>
      <c r="O1355">
        <f t="shared" si="1122"/>
        <v>1203.43</v>
      </c>
      <c r="P1355">
        <f t="shared" si="1123"/>
        <v>24.81</v>
      </c>
      <c r="Q1355">
        <f>(ROUND((ROUND((((ET1355*1.25))*AV1355*I1355),2)*BB1355),2)+ROUND((ROUND(((AE1355-((EU1355*1.25)))*AV1355*I1355),2)*BS1355),2))</f>
        <v>0</v>
      </c>
      <c r="R1355">
        <f t="shared" si="1124"/>
        <v>0</v>
      </c>
      <c r="S1355">
        <f t="shared" si="1125"/>
        <v>1178.6199999999999</v>
      </c>
      <c r="T1355">
        <f t="shared" si="1126"/>
        <v>0</v>
      </c>
      <c r="U1355">
        <f t="shared" si="1127"/>
        <v>3.22</v>
      </c>
      <c r="V1355">
        <f t="shared" si="1128"/>
        <v>0</v>
      </c>
      <c r="W1355">
        <f t="shared" si="1129"/>
        <v>0</v>
      </c>
      <c r="X1355">
        <f t="shared" si="1130"/>
        <v>1060.76</v>
      </c>
      <c r="Y1355">
        <f t="shared" si="1131"/>
        <v>483.23</v>
      </c>
      <c r="AA1355">
        <v>129761633</v>
      </c>
      <c r="AB1355">
        <f t="shared" si="1132"/>
        <v>4.3395000000000001</v>
      </c>
      <c r="AC1355">
        <f t="shared" si="1133"/>
        <v>0.28000000000000003</v>
      </c>
      <c r="AD1355">
        <f>ROUND(((((ET1355*1.25))-((EU1355*1.25)))+AE1355),6)</f>
        <v>0</v>
      </c>
      <c r="AE1355">
        <f>ROUND(((EU1355*1.25)),6)</f>
        <v>0</v>
      </c>
      <c r="AF1355">
        <f>ROUND(((EV1355*1.15)),6)</f>
        <v>4.0594999999999999</v>
      </c>
      <c r="AG1355">
        <f t="shared" si="1134"/>
        <v>0</v>
      </c>
      <c r="AH1355">
        <f>((EW1355*1.15))</f>
        <v>0.32200000000000001</v>
      </c>
      <c r="AI1355">
        <f>((EX1355*1.25))</f>
        <v>0</v>
      </c>
      <c r="AJ1355">
        <f t="shared" si="1135"/>
        <v>0</v>
      </c>
      <c r="AK1355">
        <v>3.81</v>
      </c>
      <c r="AL1355">
        <v>0.28000000000000003</v>
      </c>
      <c r="AM1355">
        <v>0</v>
      </c>
      <c r="AN1355">
        <v>0</v>
      </c>
      <c r="AO1355">
        <v>3.53</v>
      </c>
      <c r="AP1355">
        <v>0</v>
      </c>
      <c r="AQ1355">
        <v>0.28000000000000003</v>
      </c>
      <c r="AR1355">
        <v>0</v>
      </c>
      <c r="AS1355">
        <v>0</v>
      </c>
      <c r="AT1355">
        <v>90</v>
      </c>
      <c r="AU1355">
        <v>41</v>
      </c>
      <c r="AV1355">
        <v>1</v>
      </c>
      <c r="AW1355">
        <v>1</v>
      </c>
      <c r="AZ1355">
        <v>1</v>
      </c>
      <c r="BA1355">
        <v>29.03</v>
      </c>
      <c r="BB1355">
        <v>1</v>
      </c>
      <c r="BC1355">
        <v>8.86</v>
      </c>
      <c r="BD1355" t="s">
        <v>3</v>
      </c>
      <c r="BE1355" t="s">
        <v>3</v>
      </c>
      <c r="BF1355" t="s">
        <v>3</v>
      </c>
      <c r="BG1355" t="s">
        <v>3</v>
      </c>
      <c r="BH1355">
        <v>0</v>
      </c>
      <c r="BI1355">
        <v>1</v>
      </c>
      <c r="BJ1355" t="s">
        <v>1043</v>
      </c>
      <c r="BM1355">
        <v>136</v>
      </c>
      <c r="BN1355">
        <v>0</v>
      </c>
      <c r="BO1355" t="s">
        <v>1041</v>
      </c>
      <c r="BP1355">
        <v>1</v>
      </c>
      <c r="BQ1355">
        <v>30</v>
      </c>
      <c r="BR1355">
        <v>0</v>
      </c>
      <c r="BS1355">
        <v>29.03</v>
      </c>
      <c r="BT1355">
        <v>1</v>
      </c>
      <c r="BU1355">
        <v>1</v>
      </c>
      <c r="BV1355">
        <v>1</v>
      </c>
      <c r="BW1355">
        <v>1</v>
      </c>
      <c r="BX1355">
        <v>1</v>
      </c>
      <c r="BY1355" t="s">
        <v>3</v>
      </c>
      <c r="BZ1355">
        <v>90</v>
      </c>
      <c r="CA1355">
        <v>41</v>
      </c>
      <c r="CB1355" t="s">
        <v>3</v>
      </c>
      <c r="CE1355">
        <v>30</v>
      </c>
      <c r="CF1355">
        <v>0</v>
      </c>
      <c r="CG1355">
        <v>0</v>
      </c>
      <c r="CM1355">
        <v>0</v>
      </c>
      <c r="CN1355" t="s">
        <v>1559</v>
      </c>
      <c r="CO1355">
        <v>0</v>
      </c>
      <c r="CP1355">
        <f t="shared" si="1136"/>
        <v>1203.4299999999998</v>
      </c>
      <c r="CQ1355">
        <f t="shared" si="1137"/>
        <v>2.48</v>
      </c>
      <c r="CR1355">
        <f>(ROUND((ROUND((((ET1355*1.25))*AV1355*1),2)*BB1355),2)+ROUND((ROUND(((AE1355-((EU1355*1.25)))*AV1355*1),2)*BS1355),2))</f>
        <v>0</v>
      </c>
      <c r="CS1355">
        <f t="shared" si="1138"/>
        <v>0</v>
      </c>
      <c r="CT1355">
        <f t="shared" si="1139"/>
        <v>117.86</v>
      </c>
      <c r="CU1355">
        <f t="shared" si="1140"/>
        <v>0</v>
      </c>
      <c r="CV1355">
        <f t="shared" si="1141"/>
        <v>0.32200000000000001</v>
      </c>
      <c r="CW1355">
        <f t="shared" si="1142"/>
        <v>0</v>
      </c>
      <c r="CX1355">
        <f t="shared" si="1143"/>
        <v>0</v>
      </c>
      <c r="CY1355">
        <f>S1355*(BZ1355/100)</f>
        <v>1060.758</v>
      </c>
      <c r="CZ1355">
        <f>S1355*(CA1355/100)</f>
        <v>483.23419999999993</v>
      </c>
      <c r="DC1355" t="s">
        <v>3</v>
      </c>
      <c r="DD1355" t="s">
        <v>3</v>
      </c>
      <c r="DE1355" t="s">
        <v>86</v>
      </c>
      <c r="DF1355" t="s">
        <v>86</v>
      </c>
      <c r="DG1355" t="s">
        <v>87</v>
      </c>
      <c r="DH1355" t="s">
        <v>3</v>
      </c>
      <c r="DI1355" t="s">
        <v>87</v>
      </c>
      <c r="DJ1355" t="s">
        <v>86</v>
      </c>
      <c r="DK1355" t="s">
        <v>3</v>
      </c>
      <c r="DL1355" t="s">
        <v>3</v>
      </c>
      <c r="DM1355" t="s">
        <v>3</v>
      </c>
      <c r="DN1355">
        <v>110</v>
      </c>
      <c r="DO1355">
        <v>74</v>
      </c>
      <c r="DP1355">
        <v>1</v>
      </c>
      <c r="DQ1355">
        <v>1</v>
      </c>
      <c r="DU1355">
        <v>1013</v>
      </c>
      <c r="DV1355" t="s">
        <v>231</v>
      </c>
      <c r="DW1355" t="s">
        <v>231</v>
      </c>
      <c r="DX1355">
        <v>1</v>
      </c>
      <c r="DZ1355" t="s">
        <v>3</v>
      </c>
      <c r="EA1355" t="s">
        <v>3</v>
      </c>
      <c r="EB1355" t="s">
        <v>3</v>
      </c>
      <c r="EC1355" t="s">
        <v>3</v>
      </c>
      <c r="EE1355">
        <v>126051597</v>
      </c>
      <c r="EF1355">
        <v>30</v>
      </c>
      <c r="EG1355" t="s">
        <v>23</v>
      </c>
      <c r="EH1355">
        <v>0</v>
      </c>
      <c r="EI1355" t="s">
        <v>3</v>
      </c>
      <c r="EJ1355">
        <v>1</v>
      </c>
      <c r="EK1355">
        <v>136</v>
      </c>
      <c r="EL1355" t="s">
        <v>955</v>
      </c>
      <c r="EM1355" t="s">
        <v>956</v>
      </c>
      <c r="EO1355" t="s">
        <v>90</v>
      </c>
      <c r="EQ1355">
        <v>131072</v>
      </c>
      <c r="ER1355">
        <v>3.81</v>
      </c>
      <c r="ES1355">
        <v>0.28000000000000003</v>
      </c>
      <c r="ET1355">
        <v>0</v>
      </c>
      <c r="EU1355">
        <v>0</v>
      </c>
      <c r="EV1355">
        <v>3.53</v>
      </c>
      <c r="EW1355">
        <v>0.28000000000000003</v>
      </c>
      <c r="EX1355">
        <v>0</v>
      </c>
      <c r="EY1355">
        <v>0</v>
      </c>
      <c r="FQ1355">
        <v>0</v>
      </c>
      <c r="FR1355">
        <f t="shared" si="1144"/>
        <v>0</v>
      </c>
      <c r="FS1355">
        <v>0</v>
      </c>
      <c r="FX1355">
        <v>110</v>
      </c>
      <c r="FY1355">
        <v>74</v>
      </c>
      <c r="GA1355" t="s">
        <v>3</v>
      </c>
      <c r="GD1355">
        <v>0</v>
      </c>
      <c r="GF1355">
        <v>776041086</v>
      </c>
      <c r="GG1355">
        <v>2</v>
      </c>
      <c r="GH1355">
        <v>1</v>
      </c>
      <c r="GI1355">
        <v>2</v>
      </c>
      <c r="GJ1355">
        <v>0</v>
      </c>
      <c r="GK1355">
        <f>ROUND(R1355*(S12)/100,2)</f>
        <v>0</v>
      </c>
      <c r="GL1355">
        <f t="shared" si="1145"/>
        <v>0</v>
      </c>
      <c r="GM1355">
        <f t="shared" si="1146"/>
        <v>2747.42</v>
      </c>
      <c r="GN1355">
        <f t="shared" si="1147"/>
        <v>2747.42</v>
      </c>
      <c r="GO1355">
        <f t="shared" si="1148"/>
        <v>0</v>
      </c>
      <c r="GP1355">
        <f t="shared" si="1149"/>
        <v>0</v>
      </c>
      <c r="GR1355">
        <v>0</v>
      </c>
      <c r="GS1355">
        <v>3</v>
      </c>
      <c r="GT1355">
        <v>0</v>
      </c>
      <c r="GU1355" t="s">
        <v>3</v>
      </c>
      <c r="GV1355">
        <f t="shared" si="1150"/>
        <v>0</v>
      </c>
      <c r="GW1355">
        <v>1</v>
      </c>
      <c r="GX1355">
        <f t="shared" si="1151"/>
        <v>0</v>
      </c>
      <c r="HA1355">
        <v>0</v>
      </c>
      <c r="HB1355">
        <v>0</v>
      </c>
      <c r="HC1355">
        <f t="shared" si="1152"/>
        <v>0</v>
      </c>
      <c r="HE1355" t="s">
        <v>3</v>
      </c>
      <c r="HF1355" t="s">
        <v>3</v>
      </c>
      <c r="HM1355" t="s">
        <v>3</v>
      </c>
      <c r="HN1355" t="s">
        <v>3</v>
      </c>
      <c r="HO1355" t="s">
        <v>3</v>
      </c>
      <c r="HP1355" t="s">
        <v>3</v>
      </c>
      <c r="HQ1355" t="s">
        <v>3</v>
      </c>
      <c r="IK1355">
        <v>0</v>
      </c>
    </row>
    <row r="1357" spans="1:255" x14ac:dyDescent="0.2">
      <c r="A1357" s="3">
        <v>51</v>
      </c>
      <c r="B1357" s="3">
        <f>B1328</f>
        <v>1</v>
      </c>
      <c r="C1357" s="3">
        <f>A1328</f>
        <v>4</v>
      </c>
      <c r="D1357" s="3">
        <f>ROW(A1328)</f>
        <v>1328</v>
      </c>
      <c r="E1357" s="3"/>
      <c r="F1357" s="3" t="str">
        <f>IF(F1328&lt;&gt;"",F1328,"")</f>
        <v>Новый раздел</v>
      </c>
      <c r="G1357" s="3" t="str">
        <f>IF(G1328&lt;&gt;"",G1328,"")</f>
        <v>Монтажные работы</v>
      </c>
      <c r="H1357" s="3">
        <v>0</v>
      </c>
      <c r="I1357" s="3"/>
      <c r="J1357" s="3"/>
      <c r="K1357" s="3"/>
      <c r="L1357" s="3"/>
      <c r="M1357" s="3"/>
      <c r="N1357" s="3"/>
      <c r="O1357" s="3">
        <f t="shared" ref="O1357:T1357" si="1162">ROUND(AB1357,2)</f>
        <v>4890.04</v>
      </c>
      <c r="P1357" s="3">
        <f t="shared" si="1162"/>
        <v>1812.37</v>
      </c>
      <c r="Q1357" s="3">
        <f t="shared" si="1162"/>
        <v>461.55</v>
      </c>
      <c r="R1357" s="3">
        <f t="shared" si="1162"/>
        <v>83.13</v>
      </c>
      <c r="S1357" s="3">
        <f t="shared" si="1162"/>
        <v>2616.12</v>
      </c>
      <c r="T1357" s="3">
        <f t="shared" si="1162"/>
        <v>0</v>
      </c>
      <c r="U1357" s="3">
        <f>AH1357</f>
        <v>197.07243700000001</v>
      </c>
      <c r="V1357" s="3">
        <f>AI1357</f>
        <v>0</v>
      </c>
      <c r="W1357" s="3">
        <f>ROUND(AJ1357,2)</f>
        <v>0</v>
      </c>
      <c r="X1357" s="3">
        <f>ROUND(AK1357,2)</f>
        <v>2469.46</v>
      </c>
      <c r="Y1357" s="3">
        <f>ROUND(AL1357,2)</f>
        <v>1889.09</v>
      </c>
      <c r="Z1357" s="3"/>
      <c r="AA1357" s="3"/>
      <c r="AB1357" s="3">
        <f>ROUND(SUMIF(AA1332:AA1355,"=129761636",O1332:O1355),2)</f>
        <v>4890.04</v>
      </c>
      <c r="AC1357" s="3">
        <f>ROUND(SUMIF(AA1332:AA1355,"=129761636",P1332:P1355),2)</f>
        <v>1812.37</v>
      </c>
      <c r="AD1357" s="3">
        <f>ROUND(SUMIF(AA1332:AA1355,"=129761636",Q1332:Q1355),2)</f>
        <v>461.55</v>
      </c>
      <c r="AE1357" s="3">
        <f>ROUND(SUMIF(AA1332:AA1355,"=129761636",R1332:R1355),2)</f>
        <v>83.13</v>
      </c>
      <c r="AF1357" s="3">
        <f>ROUND(SUMIF(AA1332:AA1355,"=129761636",S1332:S1355),2)</f>
        <v>2616.12</v>
      </c>
      <c r="AG1357" s="3">
        <f>ROUND(SUMIF(AA1332:AA1355,"=129761636",T1332:T1355),2)</f>
        <v>0</v>
      </c>
      <c r="AH1357" s="3">
        <f>SUMIF(AA1332:AA1355,"=129761636",U1332:U1355)</f>
        <v>197.07243700000001</v>
      </c>
      <c r="AI1357" s="3">
        <f>SUMIF(AA1332:AA1355,"=129761636",V1332:V1355)</f>
        <v>0</v>
      </c>
      <c r="AJ1357" s="3">
        <f>ROUND(SUMIF(AA1332:AA1355,"=129761636",W1332:W1355),2)</f>
        <v>0</v>
      </c>
      <c r="AK1357" s="3">
        <f>ROUND(SUMIF(AA1332:AA1355,"=129761636",X1332:X1355),2)</f>
        <v>2469.46</v>
      </c>
      <c r="AL1357" s="3">
        <f>ROUND(SUMIF(AA1332:AA1355,"=129761636",Y1332:Y1355),2)</f>
        <v>1889.09</v>
      </c>
      <c r="AM1357" s="3"/>
      <c r="AN1357" s="3"/>
      <c r="AO1357" s="3">
        <f t="shared" ref="AO1357:BD1357" si="1163">ROUND(BX1357,2)</f>
        <v>0</v>
      </c>
      <c r="AP1357" s="3">
        <f t="shared" si="1163"/>
        <v>0</v>
      </c>
      <c r="AQ1357" s="3">
        <f t="shared" si="1163"/>
        <v>0</v>
      </c>
      <c r="AR1357" s="3">
        <f t="shared" si="1163"/>
        <v>9394.07</v>
      </c>
      <c r="AS1357" s="3">
        <f t="shared" si="1163"/>
        <v>4808.2</v>
      </c>
      <c r="AT1357" s="3">
        <f t="shared" si="1163"/>
        <v>4585.87</v>
      </c>
      <c r="AU1357" s="3">
        <f t="shared" si="1163"/>
        <v>0</v>
      </c>
      <c r="AV1357" s="3">
        <f t="shared" si="1163"/>
        <v>1812.37</v>
      </c>
      <c r="AW1357" s="3">
        <f t="shared" si="1163"/>
        <v>1812.37</v>
      </c>
      <c r="AX1357" s="3">
        <f t="shared" si="1163"/>
        <v>0</v>
      </c>
      <c r="AY1357" s="3">
        <f t="shared" si="1163"/>
        <v>1812.37</v>
      </c>
      <c r="AZ1357" s="3">
        <f t="shared" si="1163"/>
        <v>0</v>
      </c>
      <c r="BA1357" s="3">
        <f t="shared" si="1163"/>
        <v>0</v>
      </c>
      <c r="BB1357" s="3">
        <f t="shared" si="1163"/>
        <v>0</v>
      </c>
      <c r="BC1357" s="3">
        <f t="shared" si="1163"/>
        <v>0</v>
      </c>
      <c r="BD1357" s="3">
        <f t="shared" si="1163"/>
        <v>0</v>
      </c>
      <c r="BE1357" s="3"/>
      <c r="BF1357" s="3"/>
      <c r="BG1357" s="3"/>
      <c r="BH1357" s="3"/>
      <c r="BI1357" s="3"/>
      <c r="BJ1357" s="3"/>
      <c r="BK1357" s="3"/>
      <c r="BL1357" s="3"/>
      <c r="BM1357" s="3"/>
      <c r="BN1357" s="3"/>
      <c r="BO1357" s="3"/>
      <c r="BP1357" s="3"/>
      <c r="BQ1357" s="3"/>
      <c r="BR1357" s="3"/>
      <c r="BS1357" s="3"/>
      <c r="BT1357" s="3"/>
      <c r="BU1357" s="3"/>
      <c r="BV1357" s="3"/>
      <c r="BW1357" s="3"/>
      <c r="BX1357" s="3">
        <f>ROUND(SUMIF(AA1332:AA1355,"=129761636",FQ1332:FQ1355),2)</f>
        <v>0</v>
      </c>
      <c r="BY1357" s="3">
        <f>ROUND(SUMIF(AA1332:AA1355,"=129761636",FR1332:FR1355),2)</f>
        <v>0</v>
      </c>
      <c r="BZ1357" s="3">
        <f>ROUND(SUMIF(AA1332:AA1355,"=129761636",GL1332:GL1355),2)</f>
        <v>0</v>
      </c>
      <c r="CA1357" s="3">
        <f>ROUND(SUMIF(AA1332:AA1355,"=129761636",GM1332:GM1355),2)</f>
        <v>9394.07</v>
      </c>
      <c r="CB1357" s="3">
        <f>ROUND(SUMIF(AA1332:AA1355,"=129761636",GN1332:GN1355),2)</f>
        <v>4808.2</v>
      </c>
      <c r="CC1357" s="3">
        <f>ROUND(SUMIF(AA1332:AA1355,"=129761636",GO1332:GO1355),2)</f>
        <v>4585.87</v>
      </c>
      <c r="CD1357" s="3">
        <f>ROUND(SUMIF(AA1332:AA1355,"=129761636",GP1332:GP1355),2)</f>
        <v>0</v>
      </c>
      <c r="CE1357" s="3">
        <f>AC1357-BX1357</f>
        <v>1812.37</v>
      </c>
      <c r="CF1357" s="3">
        <f>AC1357-BY1357</f>
        <v>1812.37</v>
      </c>
      <c r="CG1357" s="3">
        <f>BX1357-BZ1357</f>
        <v>0</v>
      </c>
      <c r="CH1357" s="3">
        <f>AC1357-BX1357-BY1357+BZ1357</f>
        <v>1812.37</v>
      </c>
      <c r="CI1357" s="3">
        <f>BY1357-BZ1357</f>
        <v>0</v>
      </c>
      <c r="CJ1357" s="3">
        <f>ROUND(SUMIF(AA1332:AA1355,"=129761636",GX1332:GX1355),2)</f>
        <v>0</v>
      </c>
      <c r="CK1357" s="3">
        <f>ROUND(SUMIF(AA1332:AA1355,"=129761636",GY1332:GY1355),2)</f>
        <v>0</v>
      </c>
      <c r="CL1357" s="3">
        <f>ROUND(SUMIF(AA1332:AA1355,"=129761636",GZ1332:GZ1355),2)</f>
        <v>0</v>
      </c>
      <c r="CM1357" s="3">
        <f>ROUND(SUMIF(AA1332:AA1355,"=129761636",HD1332:HD1355),2)</f>
        <v>0</v>
      </c>
      <c r="CN1357" s="3"/>
      <c r="CO1357" s="3"/>
      <c r="CP1357" s="3"/>
      <c r="CQ1357" s="3"/>
      <c r="CR1357" s="3"/>
      <c r="CS1357" s="3"/>
      <c r="CT1357" s="3"/>
      <c r="CU1357" s="3"/>
      <c r="CV1357" s="3"/>
      <c r="CW1357" s="3"/>
      <c r="CX1357" s="3"/>
      <c r="CY1357" s="3"/>
      <c r="CZ1357" s="3"/>
      <c r="DA1357" s="3"/>
      <c r="DB1357" s="3"/>
      <c r="DC1357" s="3"/>
      <c r="DD1357" s="3"/>
      <c r="DE1357" s="3"/>
      <c r="DF1357" s="3"/>
      <c r="DG1357" s="4">
        <f t="shared" ref="DG1357:DL1357" si="1164">ROUND(DT1357,2)</f>
        <v>176020.35</v>
      </c>
      <c r="DH1357" s="4">
        <f t="shared" si="1164"/>
        <v>94656.43</v>
      </c>
      <c r="DI1357" s="4">
        <f t="shared" si="1164"/>
        <v>5417.96</v>
      </c>
      <c r="DJ1357" s="4">
        <f t="shared" si="1164"/>
        <v>2413.27</v>
      </c>
      <c r="DK1357" s="4">
        <f t="shared" si="1164"/>
        <v>75945.960000000006</v>
      </c>
      <c r="DL1357" s="4">
        <f t="shared" si="1164"/>
        <v>0</v>
      </c>
      <c r="DM1357" s="4">
        <f>DZ1357</f>
        <v>197.07243700000001</v>
      </c>
      <c r="DN1357" s="4">
        <f>EA1357</f>
        <v>0</v>
      </c>
      <c r="DO1357" s="4">
        <f>ROUND(EB1357,2)</f>
        <v>0</v>
      </c>
      <c r="DP1357" s="4">
        <f>ROUND(EC1357,2)</f>
        <v>58390.84</v>
      </c>
      <c r="DQ1357" s="4">
        <f>ROUND(ED1357,2)</f>
        <v>31137.83</v>
      </c>
      <c r="DR1357" s="4"/>
      <c r="DS1357" s="4"/>
      <c r="DT1357" s="4">
        <f>ROUND(SUMIF(AA1332:AA1355,"=129761633",O1332:O1355),2)</f>
        <v>176020.35</v>
      </c>
      <c r="DU1357" s="4">
        <f>ROUND(SUMIF(AA1332:AA1355,"=129761633",P1332:P1355),2)</f>
        <v>94656.43</v>
      </c>
      <c r="DV1357" s="4">
        <f>ROUND(SUMIF(AA1332:AA1355,"=129761633",Q1332:Q1355),2)</f>
        <v>5417.96</v>
      </c>
      <c r="DW1357" s="4">
        <f>ROUND(SUMIF(AA1332:AA1355,"=129761633",R1332:R1355),2)</f>
        <v>2413.27</v>
      </c>
      <c r="DX1357" s="4">
        <f>ROUND(SUMIF(AA1332:AA1355,"=129761633",S1332:S1355),2)</f>
        <v>75945.960000000006</v>
      </c>
      <c r="DY1357" s="4">
        <f>ROUND(SUMIF(AA1332:AA1355,"=129761633",T1332:T1355),2)</f>
        <v>0</v>
      </c>
      <c r="DZ1357" s="4">
        <f>SUMIF(AA1332:AA1355,"=129761633",U1332:U1355)</f>
        <v>197.07243700000001</v>
      </c>
      <c r="EA1357" s="4">
        <f>SUMIF(AA1332:AA1355,"=129761633",V1332:V1355)</f>
        <v>0</v>
      </c>
      <c r="EB1357" s="4">
        <f>ROUND(SUMIF(AA1332:AA1355,"=129761633",W1332:W1355),2)</f>
        <v>0</v>
      </c>
      <c r="EC1357" s="4">
        <f>ROUND(SUMIF(AA1332:AA1355,"=129761633",X1332:X1355),2)</f>
        <v>58390.84</v>
      </c>
      <c r="ED1357" s="4">
        <f>ROUND(SUMIF(AA1332:AA1355,"=129761633",Y1332:Y1355),2)</f>
        <v>31137.83</v>
      </c>
      <c r="EE1357" s="4"/>
      <c r="EF1357" s="4"/>
      <c r="EG1357" s="4">
        <f t="shared" ref="EG1357:EV1357" si="1165">ROUND(FP1357,2)</f>
        <v>0</v>
      </c>
      <c r="EH1357" s="4">
        <f t="shared" si="1165"/>
        <v>0</v>
      </c>
      <c r="EI1357" s="4">
        <f t="shared" si="1165"/>
        <v>0</v>
      </c>
      <c r="EJ1357" s="4">
        <f t="shared" si="1165"/>
        <v>269410.26</v>
      </c>
      <c r="EK1357" s="4">
        <f t="shared" si="1165"/>
        <v>154651.13</v>
      </c>
      <c r="EL1357" s="4">
        <f t="shared" si="1165"/>
        <v>114759.13</v>
      </c>
      <c r="EM1357" s="4">
        <f t="shared" si="1165"/>
        <v>0</v>
      </c>
      <c r="EN1357" s="4">
        <f t="shared" si="1165"/>
        <v>94656.43</v>
      </c>
      <c r="EO1357" s="4">
        <f t="shared" si="1165"/>
        <v>94656.43</v>
      </c>
      <c r="EP1357" s="4">
        <f t="shared" si="1165"/>
        <v>0</v>
      </c>
      <c r="EQ1357" s="4">
        <f t="shared" si="1165"/>
        <v>94656.43</v>
      </c>
      <c r="ER1357" s="4">
        <f t="shared" si="1165"/>
        <v>0</v>
      </c>
      <c r="ES1357" s="4">
        <f t="shared" si="1165"/>
        <v>0</v>
      </c>
      <c r="ET1357" s="4">
        <f t="shared" si="1165"/>
        <v>0</v>
      </c>
      <c r="EU1357" s="4">
        <f t="shared" si="1165"/>
        <v>0</v>
      </c>
      <c r="EV1357" s="4">
        <f t="shared" si="1165"/>
        <v>0</v>
      </c>
      <c r="EW1357" s="4"/>
      <c r="EX1357" s="4"/>
      <c r="EY1357" s="4"/>
      <c r="EZ1357" s="4"/>
      <c r="FA1357" s="4"/>
      <c r="FB1357" s="4"/>
      <c r="FC1357" s="4"/>
      <c r="FD1357" s="4"/>
      <c r="FE1357" s="4"/>
      <c r="FF1357" s="4"/>
      <c r="FG1357" s="4"/>
      <c r="FH1357" s="4"/>
      <c r="FI1357" s="4"/>
      <c r="FJ1357" s="4"/>
      <c r="FK1357" s="4"/>
      <c r="FL1357" s="4"/>
      <c r="FM1357" s="4"/>
      <c r="FN1357" s="4"/>
      <c r="FO1357" s="4"/>
      <c r="FP1357" s="4">
        <f>ROUND(SUMIF(AA1332:AA1355,"=129761633",FQ1332:FQ1355),2)</f>
        <v>0</v>
      </c>
      <c r="FQ1357" s="4">
        <f>ROUND(SUMIF(AA1332:AA1355,"=129761633",FR1332:FR1355),2)</f>
        <v>0</v>
      </c>
      <c r="FR1357" s="4">
        <f>ROUND(SUMIF(AA1332:AA1355,"=129761633",GL1332:GL1355),2)</f>
        <v>0</v>
      </c>
      <c r="FS1357" s="4">
        <f>ROUND(SUMIF(AA1332:AA1355,"=129761633",GM1332:GM1355),2)</f>
        <v>269410.26</v>
      </c>
      <c r="FT1357" s="4">
        <f>ROUND(SUMIF(AA1332:AA1355,"=129761633",GN1332:GN1355),2)</f>
        <v>154651.13</v>
      </c>
      <c r="FU1357" s="4">
        <f>ROUND(SUMIF(AA1332:AA1355,"=129761633",GO1332:GO1355),2)</f>
        <v>114759.13</v>
      </c>
      <c r="FV1357" s="4">
        <f>ROUND(SUMIF(AA1332:AA1355,"=129761633",GP1332:GP1355),2)</f>
        <v>0</v>
      </c>
      <c r="FW1357" s="4">
        <f>DU1357-FP1357</f>
        <v>94656.43</v>
      </c>
      <c r="FX1357" s="4">
        <f>DU1357-FQ1357</f>
        <v>94656.43</v>
      </c>
      <c r="FY1357" s="4">
        <f>FP1357-FR1357</f>
        <v>0</v>
      </c>
      <c r="FZ1357" s="4">
        <f>DU1357-FP1357-FQ1357+FR1357</f>
        <v>94656.43</v>
      </c>
      <c r="GA1357" s="4">
        <f>FQ1357-FR1357</f>
        <v>0</v>
      </c>
      <c r="GB1357" s="4">
        <f>ROUND(SUMIF(AA1332:AA1355,"=129761633",GX1332:GX1355),2)</f>
        <v>0</v>
      </c>
      <c r="GC1357" s="4">
        <f>ROUND(SUMIF(AA1332:AA1355,"=129761633",GY1332:GY1355),2)</f>
        <v>0</v>
      </c>
      <c r="GD1357" s="4">
        <f>ROUND(SUMIF(AA1332:AA1355,"=129761633",GZ1332:GZ1355),2)</f>
        <v>0</v>
      </c>
      <c r="GE1357" s="4">
        <f>ROUND(SUMIF(AA1332:AA1355,"=129761633",HD1332:HD1355),2)</f>
        <v>0</v>
      </c>
      <c r="GF1357" s="4"/>
      <c r="GG1357" s="4"/>
      <c r="GH1357" s="4"/>
      <c r="GI1357" s="4"/>
      <c r="GJ1357" s="4"/>
      <c r="GK1357" s="4"/>
      <c r="GL1357" s="4"/>
      <c r="GM1357" s="4"/>
      <c r="GN1357" s="4"/>
      <c r="GO1357" s="4"/>
      <c r="GP1357" s="4"/>
      <c r="GQ1357" s="4"/>
      <c r="GR1357" s="4"/>
      <c r="GS1357" s="4"/>
      <c r="GT1357" s="4"/>
      <c r="GU1357" s="4"/>
      <c r="GV1357" s="4"/>
      <c r="GW1357" s="4"/>
      <c r="GX1357" s="4">
        <v>0</v>
      </c>
    </row>
    <row r="1359" spans="1:255" x14ac:dyDescent="0.2">
      <c r="A1359" s="5">
        <v>50</v>
      </c>
      <c r="B1359" s="5">
        <v>0</v>
      </c>
      <c r="C1359" s="5">
        <v>0</v>
      </c>
      <c r="D1359" s="5">
        <v>1</v>
      </c>
      <c r="E1359" s="5">
        <v>201</v>
      </c>
      <c r="F1359" s="5">
        <f>ROUND(Source!O1357,O1359)</f>
        <v>4890.04</v>
      </c>
      <c r="G1359" s="5" t="s">
        <v>26</v>
      </c>
      <c r="H1359" s="5" t="s">
        <v>27</v>
      </c>
      <c r="I1359" s="5"/>
      <c r="J1359" s="5"/>
      <c r="K1359" s="5">
        <v>201</v>
      </c>
      <c r="L1359" s="5">
        <v>1</v>
      </c>
      <c r="M1359" s="5">
        <v>3</v>
      </c>
      <c r="N1359" s="5" t="s">
        <v>3</v>
      </c>
      <c r="O1359" s="5">
        <v>2</v>
      </c>
      <c r="P1359" s="5">
        <f>ROUND(Source!DG1357,O1359)</f>
        <v>176020.35</v>
      </c>
      <c r="Q1359" s="5"/>
      <c r="R1359" s="5"/>
      <c r="S1359" s="5"/>
      <c r="T1359" s="5"/>
      <c r="U1359" s="5"/>
      <c r="V1359" s="5"/>
      <c r="W1359" s="5">
        <v>4890.04</v>
      </c>
      <c r="X1359" s="5">
        <v>1</v>
      </c>
      <c r="Y1359" s="5">
        <v>4890.04</v>
      </c>
      <c r="Z1359" s="5">
        <v>176020.35</v>
      </c>
      <c r="AA1359" s="5">
        <v>1</v>
      </c>
      <c r="AB1359" s="5">
        <v>176020.35</v>
      </c>
    </row>
    <row r="1360" spans="1:255" x14ac:dyDescent="0.2">
      <c r="A1360" s="5">
        <v>50</v>
      </c>
      <c r="B1360" s="5">
        <v>0</v>
      </c>
      <c r="C1360" s="5">
        <v>0</v>
      </c>
      <c r="D1360" s="5">
        <v>1</v>
      </c>
      <c r="E1360" s="5">
        <v>202</v>
      </c>
      <c r="F1360" s="5">
        <f>ROUND(Source!P1357,O1360)</f>
        <v>1812.37</v>
      </c>
      <c r="G1360" s="5" t="s">
        <v>28</v>
      </c>
      <c r="H1360" s="5" t="s">
        <v>29</v>
      </c>
      <c r="I1360" s="5"/>
      <c r="J1360" s="5"/>
      <c r="K1360" s="5">
        <v>202</v>
      </c>
      <c r="L1360" s="5">
        <v>2</v>
      </c>
      <c r="M1360" s="5">
        <v>3</v>
      </c>
      <c r="N1360" s="5" t="s">
        <v>3</v>
      </c>
      <c r="O1360" s="5">
        <v>2</v>
      </c>
      <c r="P1360" s="5">
        <f>ROUND(Source!DH1357,O1360)</f>
        <v>94656.43</v>
      </c>
      <c r="Q1360" s="5"/>
      <c r="R1360" s="5"/>
      <c r="S1360" s="5"/>
      <c r="T1360" s="5"/>
      <c r="U1360" s="5"/>
      <c r="V1360" s="5"/>
      <c r="W1360" s="5">
        <v>1812.37</v>
      </c>
      <c r="X1360" s="5">
        <v>1</v>
      </c>
      <c r="Y1360" s="5">
        <v>1812.37</v>
      </c>
      <c r="Z1360" s="5">
        <v>94656.43</v>
      </c>
      <c r="AA1360" s="5">
        <v>1</v>
      </c>
      <c r="AB1360" s="5">
        <v>94656.43</v>
      </c>
    </row>
    <row r="1361" spans="1:28" x14ac:dyDescent="0.2">
      <c r="A1361" s="5">
        <v>50</v>
      </c>
      <c r="B1361" s="5">
        <v>0</v>
      </c>
      <c r="C1361" s="5">
        <v>0</v>
      </c>
      <c r="D1361" s="5">
        <v>1</v>
      </c>
      <c r="E1361" s="5">
        <v>222</v>
      </c>
      <c r="F1361" s="5">
        <f>ROUND(Source!AO1357,O1361)</f>
        <v>0</v>
      </c>
      <c r="G1361" s="5" t="s">
        <v>30</v>
      </c>
      <c r="H1361" s="5" t="s">
        <v>31</v>
      </c>
      <c r="I1361" s="5"/>
      <c r="J1361" s="5"/>
      <c r="K1361" s="5">
        <v>222</v>
      </c>
      <c r="L1361" s="5">
        <v>3</v>
      </c>
      <c r="M1361" s="5">
        <v>3</v>
      </c>
      <c r="N1361" s="5" t="s">
        <v>3</v>
      </c>
      <c r="O1361" s="5">
        <v>2</v>
      </c>
      <c r="P1361" s="5">
        <f>ROUND(Source!EG1357,O1361)</f>
        <v>0</v>
      </c>
      <c r="Q1361" s="5"/>
      <c r="R1361" s="5"/>
      <c r="S1361" s="5"/>
      <c r="T1361" s="5"/>
      <c r="U1361" s="5"/>
      <c r="V1361" s="5"/>
      <c r="W1361" s="5">
        <v>0</v>
      </c>
      <c r="X1361" s="5">
        <v>1</v>
      </c>
      <c r="Y1361" s="5">
        <v>0</v>
      </c>
      <c r="Z1361" s="5">
        <v>0</v>
      </c>
      <c r="AA1361" s="5">
        <v>1</v>
      </c>
      <c r="AB1361" s="5">
        <v>0</v>
      </c>
    </row>
    <row r="1362" spans="1:28" x14ac:dyDescent="0.2">
      <c r="A1362" s="5">
        <v>50</v>
      </c>
      <c r="B1362" s="5">
        <v>0</v>
      </c>
      <c r="C1362" s="5">
        <v>0</v>
      </c>
      <c r="D1362" s="5">
        <v>1</v>
      </c>
      <c r="E1362" s="5">
        <v>225</v>
      </c>
      <c r="F1362" s="5">
        <f>ROUND(Source!AV1357,O1362)</f>
        <v>1812.37</v>
      </c>
      <c r="G1362" s="5" t="s">
        <v>32</v>
      </c>
      <c r="H1362" s="5" t="s">
        <v>33</v>
      </c>
      <c r="I1362" s="5"/>
      <c r="J1362" s="5"/>
      <c r="K1362" s="5">
        <v>225</v>
      </c>
      <c r="L1362" s="5">
        <v>4</v>
      </c>
      <c r="M1362" s="5">
        <v>3</v>
      </c>
      <c r="N1362" s="5" t="s">
        <v>3</v>
      </c>
      <c r="O1362" s="5">
        <v>2</v>
      </c>
      <c r="P1362" s="5">
        <f>ROUND(Source!EN1357,O1362)</f>
        <v>94656.43</v>
      </c>
      <c r="Q1362" s="5"/>
      <c r="R1362" s="5"/>
      <c r="S1362" s="5"/>
      <c r="T1362" s="5"/>
      <c r="U1362" s="5"/>
      <c r="V1362" s="5"/>
      <c r="W1362" s="5">
        <v>1812.37</v>
      </c>
      <c r="X1362" s="5">
        <v>1</v>
      </c>
      <c r="Y1362" s="5">
        <v>1812.37</v>
      </c>
      <c r="Z1362" s="5">
        <v>94656.43</v>
      </c>
      <c r="AA1362" s="5">
        <v>1</v>
      </c>
      <c r="AB1362" s="5">
        <v>94656.43</v>
      </c>
    </row>
    <row r="1363" spans="1:28" x14ac:dyDescent="0.2">
      <c r="A1363" s="5">
        <v>50</v>
      </c>
      <c r="B1363" s="5">
        <v>0</v>
      </c>
      <c r="C1363" s="5">
        <v>0</v>
      </c>
      <c r="D1363" s="5">
        <v>1</v>
      </c>
      <c r="E1363" s="5">
        <v>226</v>
      </c>
      <c r="F1363" s="5">
        <f>ROUND(Source!AW1357,O1363)</f>
        <v>1812.37</v>
      </c>
      <c r="G1363" s="5" t="s">
        <v>34</v>
      </c>
      <c r="H1363" s="5" t="s">
        <v>35</v>
      </c>
      <c r="I1363" s="5"/>
      <c r="J1363" s="5"/>
      <c r="K1363" s="5">
        <v>226</v>
      </c>
      <c r="L1363" s="5">
        <v>5</v>
      </c>
      <c r="M1363" s="5">
        <v>3</v>
      </c>
      <c r="N1363" s="5" t="s">
        <v>3</v>
      </c>
      <c r="O1363" s="5">
        <v>2</v>
      </c>
      <c r="P1363" s="5">
        <f>ROUND(Source!EO1357,O1363)</f>
        <v>94656.43</v>
      </c>
      <c r="Q1363" s="5"/>
      <c r="R1363" s="5"/>
      <c r="S1363" s="5"/>
      <c r="T1363" s="5"/>
      <c r="U1363" s="5"/>
      <c r="V1363" s="5"/>
      <c r="W1363" s="5">
        <v>1812.37</v>
      </c>
      <c r="X1363" s="5">
        <v>1</v>
      </c>
      <c r="Y1363" s="5">
        <v>1812.37</v>
      </c>
      <c r="Z1363" s="5">
        <v>94656.43</v>
      </c>
      <c r="AA1363" s="5">
        <v>1</v>
      </c>
      <c r="AB1363" s="5">
        <v>94656.43</v>
      </c>
    </row>
    <row r="1364" spans="1:28" x14ac:dyDescent="0.2">
      <c r="A1364" s="5">
        <v>50</v>
      </c>
      <c r="B1364" s="5">
        <v>0</v>
      </c>
      <c r="C1364" s="5">
        <v>0</v>
      </c>
      <c r="D1364" s="5">
        <v>1</v>
      </c>
      <c r="E1364" s="5">
        <v>227</v>
      </c>
      <c r="F1364" s="5">
        <f>ROUND(Source!AX1357,O1364)</f>
        <v>0</v>
      </c>
      <c r="G1364" s="5" t="s">
        <v>36</v>
      </c>
      <c r="H1364" s="5" t="s">
        <v>37</v>
      </c>
      <c r="I1364" s="5"/>
      <c r="J1364" s="5"/>
      <c r="K1364" s="5">
        <v>227</v>
      </c>
      <c r="L1364" s="5">
        <v>6</v>
      </c>
      <c r="M1364" s="5">
        <v>3</v>
      </c>
      <c r="N1364" s="5" t="s">
        <v>3</v>
      </c>
      <c r="O1364" s="5">
        <v>2</v>
      </c>
      <c r="P1364" s="5">
        <f>ROUND(Source!EP1357,O1364)</f>
        <v>0</v>
      </c>
      <c r="Q1364" s="5"/>
      <c r="R1364" s="5"/>
      <c r="S1364" s="5"/>
      <c r="T1364" s="5"/>
      <c r="U1364" s="5"/>
      <c r="V1364" s="5"/>
      <c r="W1364" s="5">
        <v>0</v>
      </c>
      <c r="X1364" s="5">
        <v>1</v>
      </c>
      <c r="Y1364" s="5">
        <v>0</v>
      </c>
      <c r="Z1364" s="5">
        <v>0</v>
      </c>
      <c r="AA1364" s="5">
        <v>1</v>
      </c>
      <c r="AB1364" s="5">
        <v>0</v>
      </c>
    </row>
    <row r="1365" spans="1:28" x14ac:dyDescent="0.2">
      <c r="A1365" s="5">
        <v>50</v>
      </c>
      <c r="B1365" s="5">
        <v>0</v>
      </c>
      <c r="C1365" s="5">
        <v>0</v>
      </c>
      <c r="D1365" s="5">
        <v>1</v>
      </c>
      <c r="E1365" s="5">
        <v>228</v>
      </c>
      <c r="F1365" s="5">
        <f>ROUND(Source!AY1357,O1365)</f>
        <v>1812.37</v>
      </c>
      <c r="G1365" s="5" t="s">
        <v>38</v>
      </c>
      <c r="H1365" s="5" t="s">
        <v>39</v>
      </c>
      <c r="I1365" s="5"/>
      <c r="J1365" s="5"/>
      <c r="K1365" s="5">
        <v>228</v>
      </c>
      <c r="L1365" s="5">
        <v>7</v>
      </c>
      <c r="M1365" s="5">
        <v>3</v>
      </c>
      <c r="N1365" s="5" t="s">
        <v>3</v>
      </c>
      <c r="O1365" s="5">
        <v>2</v>
      </c>
      <c r="P1365" s="5">
        <f>ROUND(Source!EQ1357,O1365)</f>
        <v>94656.43</v>
      </c>
      <c r="Q1365" s="5"/>
      <c r="R1365" s="5"/>
      <c r="S1365" s="5"/>
      <c r="T1365" s="5"/>
      <c r="U1365" s="5"/>
      <c r="V1365" s="5"/>
      <c r="W1365" s="5">
        <v>1812.37</v>
      </c>
      <c r="X1365" s="5">
        <v>1</v>
      </c>
      <c r="Y1365" s="5">
        <v>1812.37</v>
      </c>
      <c r="Z1365" s="5">
        <v>94656.43</v>
      </c>
      <c r="AA1365" s="5">
        <v>1</v>
      </c>
      <c r="AB1365" s="5">
        <v>94656.43</v>
      </c>
    </row>
    <row r="1366" spans="1:28" x14ac:dyDescent="0.2">
      <c r="A1366" s="5">
        <v>50</v>
      </c>
      <c r="B1366" s="5">
        <v>0</v>
      </c>
      <c r="C1366" s="5">
        <v>0</v>
      </c>
      <c r="D1366" s="5">
        <v>1</v>
      </c>
      <c r="E1366" s="5">
        <v>216</v>
      </c>
      <c r="F1366" s="5">
        <f>ROUND(Source!AP1357,O1366)</f>
        <v>0</v>
      </c>
      <c r="G1366" s="5" t="s">
        <v>40</v>
      </c>
      <c r="H1366" s="5" t="s">
        <v>41</v>
      </c>
      <c r="I1366" s="5"/>
      <c r="J1366" s="5"/>
      <c r="K1366" s="5">
        <v>216</v>
      </c>
      <c r="L1366" s="5">
        <v>8</v>
      </c>
      <c r="M1366" s="5">
        <v>3</v>
      </c>
      <c r="N1366" s="5" t="s">
        <v>3</v>
      </c>
      <c r="O1366" s="5">
        <v>2</v>
      </c>
      <c r="P1366" s="5">
        <f>ROUND(Source!EH1357,O1366)</f>
        <v>0</v>
      </c>
      <c r="Q1366" s="5"/>
      <c r="R1366" s="5"/>
      <c r="S1366" s="5"/>
      <c r="T1366" s="5"/>
      <c r="U1366" s="5"/>
      <c r="V1366" s="5"/>
      <c r="W1366" s="5">
        <v>0</v>
      </c>
      <c r="X1366" s="5">
        <v>1</v>
      </c>
      <c r="Y1366" s="5">
        <v>0</v>
      </c>
      <c r="Z1366" s="5">
        <v>0</v>
      </c>
      <c r="AA1366" s="5">
        <v>1</v>
      </c>
      <c r="AB1366" s="5">
        <v>0</v>
      </c>
    </row>
    <row r="1367" spans="1:28" x14ac:dyDescent="0.2">
      <c r="A1367" s="5">
        <v>50</v>
      </c>
      <c r="B1367" s="5">
        <v>0</v>
      </c>
      <c r="C1367" s="5">
        <v>0</v>
      </c>
      <c r="D1367" s="5">
        <v>1</v>
      </c>
      <c r="E1367" s="5">
        <v>223</v>
      </c>
      <c r="F1367" s="5">
        <f>ROUND(Source!AQ1357,O1367)</f>
        <v>0</v>
      </c>
      <c r="G1367" s="5" t="s">
        <v>42</v>
      </c>
      <c r="H1367" s="5" t="s">
        <v>43</v>
      </c>
      <c r="I1367" s="5"/>
      <c r="J1367" s="5"/>
      <c r="K1367" s="5">
        <v>223</v>
      </c>
      <c r="L1367" s="5">
        <v>9</v>
      </c>
      <c r="M1367" s="5">
        <v>3</v>
      </c>
      <c r="N1367" s="5" t="s">
        <v>3</v>
      </c>
      <c r="O1367" s="5">
        <v>2</v>
      </c>
      <c r="P1367" s="5">
        <f>ROUND(Source!EI1357,O1367)</f>
        <v>0</v>
      </c>
      <c r="Q1367" s="5"/>
      <c r="R1367" s="5"/>
      <c r="S1367" s="5"/>
      <c r="T1367" s="5"/>
      <c r="U1367" s="5"/>
      <c r="V1367" s="5"/>
      <c r="W1367" s="5">
        <v>0</v>
      </c>
      <c r="X1367" s="5">
        <v>1</v>
      </c>
      <c r="Y1367" s="5">
        <v>0</v>
      </c>
      <c r="Z1367" s="5">
        <v>0</v>
      </c>
      <c r="AA1367" s="5">
        <v>1</v>
      </c>
      <c r="AB1367" s="5">
        <v>0</v>
      </c>
    </row>
    <row r="1368" spans="1:28" x14ac:dyDescent="0.2">
      <c r="A1368" s="5">
        <v>50</v>
      </c>
      <c r="B1368" s="5">
        <v>0</v>
      </c>
      <c r="C1368" s="5">
        <v>0</v>
      </c>
      <c r="D1368" s="5">
        <v>1</v>
      </c>
      <c r="E1368" s="5">
        <v>229</v>
      </c>
      <c r="F1368" s="5">
        <f>ROUND(Source!AZ1357,O1368)</f>
        <v>0</v>
      </c>
      <c r="G1368" s="5" t="s">
        <v>44</v>
      </c>
      <c r="H1368" s="5" t="s">
        <v>45</v>
      </c>
      <c r="I1368" s="5"/>
      <c r="J1368" s="5"/>
      <c r="K1368" s="5">
        <v>229</v>
      </c>
      <c r="L1368" s="5">
        <v>10</v>
      </c>
      <c r="M1368" s="5">
        <v>3</v>
      </c>
      <c r="N1368" s="5" t="s">
        <v>3</v>
      </c>
      <c r="O1368" s="5">
        <v>2</v>
      </c>
      <c r="P1368" s="5">
        <f>ROUND(Source!ER1357,O1368)</f>
        <v>0</v>
      </c>
      <c r="Q1368" s="5"/>
      <c r="R1368" s="5"/>
      <c r="S1368" s="5"/>
      <c r="T1368" s="5"/>
      <c r="U1368" s="5"/>
      <c r="V1368" s="5"/>
      <c r="W1368" s="5">
        <v>0</v>
      </c>
      <c r="X1368" s="5">
        <v>1</v>
      </c>
      <c r="Y1368" s="5">
        <v>0</v>
      </c>
      <c r="Z1368" s="5">
        <v>0</v>
      </c>
      <c r="AA1368" s="5">
        <v>1</v>
      </c>
      <c r="AB1368" s="5">
        <v>0</v>
      </c>
    </row>
    <row r="1369" spans="1:28" x14ac:dyDescent="0.2">
      <c r="A1369" s="5">
        <v>50</v>
      </c>
      <c r="B1369" s="5">
        <v>0</v>
      </c>
      <c r="C1369" s="5">
        <v>0</v>
      </c>
      <c r="D1369" s="5">
        <v>1</v>
      </c>
      <c r="E1369" s="5">
        <v>203</v>
      </c>
      <c r="F1369" s="5">
        <f>ROUND(Source!Q1357,O1369)</f>
        <v>461.55</v>
      </c>
      <c r="G1369" s="5" t="s">
        <v>46</v>
      </c>
      <c r="H1369" s="5" t="s">
        <v>47</v>
      </c>
      <c r="I1369" s="5"/>
      <c r="J1369" s="5"/>
      <c r="K1369" s="5">
        <v>203</v>
      </c>
      <c r="L1369" s="5">
        <v>11</v>
      </c>
      <c r="M1369" s="5">
        <v>3</v>
      </c>
      <c r="N1369" s="5" t="s">
        <v>3</v>
      </c>
      <c r="O1369" s="5">
        <v>2</v>
      </c>
      <c r="P1369" s="5">
        <f>ROUND(Source!DI1357,O1369)</f>
        <v>5417.96</v>
      </c>
      <c r="Q1369" s="5"/>
      <c r="R1369" s="5"/>
      <c r="S1369" s="5"/>
      <c r="T1369" s="5"/>
      <c r="U1369" s="5"/>
      <c r="V1369" s="5"/>
      <c r="W1369" s="5">
        <v>461.55</v>
      </c>
      <c r="X1369" s="5">
        <v>1</v>
      </c>
      <c r="Y1369" s="5">
        <v>461.55</v>
      </c>
      <c r="Z1369" s="5">
        <v>5417.96</v>
      </c>
      <c r="AA1369" s="5">
        <v>1</v>
      </c>
      <c r="AB1369" s="5">
        <v>5417.96</v>
      </c>
    </row>
    <row r="1370" spans="1:28" x14ac:dyDescent="0.2">
      <c r="A1370" s="5">
        <v>50</v>
      </c>
      <c r="B1370" s="5">
        <v>0</v>
      </c>
      <c r="C1370" s="5">
        <v>0</v>
      </c>
      <c r="D1370" s="5">
        <v>1</v>
      </c>
      <c r="E1370" s="5">
        <v>231</v>
      </c>
      <c r="F1370" s="5">
        <f>ROUND(Source!BB1357,O1370)</f>
        <v>0</v>
      </c>
      <c r="G1370" s="5" t="s">
        <v>48</v>
      </c>
      <c r="H1370" s="5" t="s">
        <v>49</v>
      </c>
      <c r="I1370" s="5"/>
      <c r="J1370" s="5"/>
      <c r="K1370" s="5">
        <v>231</v>
      </c>
      <c r="L1370" s="5">
        <v>12</v>
      </c>
      <c r="M1370" s="5">
        <v>3</v>
      </c>
      <c r="N1370" s="5" t="s">
        <v>3</v>
      </c>
      <c r="O1370" s="5">
        <v>2</v>
      </c>
      <c r="P1370" s="5">
        <f>ROUND(Source!ET1357,O1370)</f>
        <v>0</v>
      </c>
      <c r="Q1370" s="5"/>
      <c r="R1370" s="5"/>
      <c r="S1370" s="5"/>
      <c r="T1370" s="5"/>
      <c r="U1370" s="5"/>
      <c r="V1370" s="5"/>
      <c r="W1370" s="5">
        <v>0</v>
      </c>
      <c r="X1370" s="5">
        <v>1</v>
      </c>
      <c r="Y1370" s="5">
        <v>0</v>
      </c>
      <c r="Z1370" s="5">
        <v>0</v>
      </c>
      <c r="AA1370" s="5">
        <v>1</v>
      </c>
      <c r="AB1370" s="5">
        <v>0</v>
      </c>
    </row>
    <row r="1371" spans="1:28" x14ac:dyDescent="0.2">
      <c r="A1371" s="5">
        <v>50</v>
      </c>
      <c r="B1371" s="5">
        <v>0</v>
      </c>
      <c r="C1371" s="5">
        <v>0</v>
      </c>
      <c r="D1371" s="5">
        <v>1</v>
      </c>
      <c r="E1371" s="5">
        <v>204</v>
      </c>
      <c r="F1371" s="5">
        <f>ROUND(Source!R1357,O1371)</f>
        <v>83.13</v>
      </c>
      <c r="G1371" s="5" t="s">
        <v>50</v>
      </c>
      <c r="H1371" s="5" t="s">
        <v>51</v>
      </c>
      <c r="I1371" s="5"/>
      <c r="J1371" s="5"/>
      <c r="K1371" s="5">
        <v>204</v>
      </c>
      <c r="L1371" s="5">
        <v>13</v>
      </c>
      <c r="M1371" s="5">
        <v>3</v>
      </c>
      <c r="N1371" s="5" t="s">
        <v>3</v>
      </c>
      <c r="O1371" s="5">
        <v>2</v>
      </c>
      <c r="P1371" s="5">
        <f>ROUND(Source!DJ1357,O1371)</f>
        <v>2413.27</v>
      </c>
      <c r="Q1371" s="5"/>
      <c r="R1371" s="5"/>
      <c r="S1371" s="5"/>
      <c r="T1371" s="5"/>
      <c r="U1371" s="5"/>
      <c r="V1371" s="5"/>
      <c r="W1371" s="5">
        <v>83.13</v>
      </c>
      <c r="X1371" s="5">
        <v>1</v>
      </c>
      <c r="Y1371" s="5">
        <v>83.13</v>
      </c>
      <c r="Z1371" s="5">
        <v>2413.27</v>
      </c>
      <c r="AA1371" s="5">
        <v>1</v>
      </c>
      <c r="AB1371" s="5">
        <v>2413.27</v>
      </c>
    </row>
    <row r="1372" spans="1:28" x14ac:dyDescent="0.2">
      <c r="A1372" s="5">
        <v>50</v>
      </c>
      <c r="B1372" s="5">
        <v>0</v>
      </c>
      <c r="C1372" s="5">
        <v>0</v>
      </c>
      <c r="D1372" s="5">
        <v>1</v>
      </c>
      <c r="E1372" s="5">
        <v>205</v>
      </c>
      <c r="F1372" s="5">
        <f>ROUND(Source!S1357,O1372)</f>
        <v>2616.12</v>
      </c>
      <c r="G1372" s="5" t="s">
        <v>52</v>
      </c>
      <c r="H1372" s="5" t="s">
        <v>53</v>
      </c>
      <c r="I1372" s="5"/>
      <c r="J1372" s="5"/>
      <c r="K1372" s="5">
        <v>205</v>
      </c>
      <c r="L1372" s="5">
        <v>14</v>
      </c>
      <c r="M1372" s="5">
        <v>3</v>
      </c>
      <c r="N1372" s="5" t="s">
        <v>3</v>
      </c>
      <c r="O1372" s="5">
        <v>2</v>
      </c>
      <c r="P1372" s="5">
        <f>ROUND(Source!DK1357,O1372)</f>
        <v>75945.960000000006</v>
      </c>
      <c r="Q1372" s="5"/>
      <c r="R1372" s="5"/>
      <c r="S1372" s="5"/>
      <c r="T1372" s="5"/>
      <c r="U1372" s="5"/>
      <c r="V1372" s="5"/>
      <c r="W1372" s="5">
        <v>2616.12</v>
      </c>
      <c r="X1372" s="5">
        <v>1</v>
      </c>
      <c r="Y1372" s="5">
        <v>2616.12</v>
      </c>
      <c r="Z1372" s="5">
        <v>75945.960000000006</v>
      </c>
      <c r="AA1372" s="5">
        <v>1</v>
      </c>
      <c r="AB1372" s="5">
        <v>75945.960000000006</v>
      </c>
    </row>
    <row r="1373" spans="1:28" x14ac:dyDescent="0.2">
      <c r="A1373" s="5">
        <v>50</v>
      </c>
      <c r="B1373" s="5">
        <v>0</v>
      </c>
      <c r="C1373" s="5">
        <v>0</v>
      </c>
      <c r="D1373" s="5">
        <v>1</v>
      </c>
      <c r="E1373" s="5">
        <v>232</v>
      </c>
      <c r="F1373" s="5">
        <f>ROUND(Source!BC1357,O1373)</f>
        <v>0</v>
      </c>
      <c r="G1373" s="5" t="s">
        <v>54</v>
      </c>
      <c r="H1373" s="5" t="s">
        <v>55</v>
      </c>
      <c r="I1373" s="5"/>
      <c r="J1373" s="5"/>
      <c r="K1373" s="5">
        <v>232</v>
      </c>
      <c r="L1373" s="5">
        <v>15</v>
      </c>
      <c r="M1373" s="5">
        <v>3</v>
      </c>
      <c r="N1373" s="5" t="s">
        <v>3</v>
      </c>
      <c r="O1373" s="5">
        <v>2</v>
      </c>
      <c r="P1373" s="5">
        <f>ROUND(Source!EU1357,O1373)</f>
        <v>0</v>
      </c>
      <c r="Q1373" s="5"/>
      <c r="R1373" s="5"/>
      <c r="S1373" s="5"/>
      <c r="T1373" s="5"/>
      <c r="U1373" s="5"/>
      <c r="V1373" s="5"/>
      <c r="W1373" s="5">
        <v>0</v>
      </c>
      <c r="X1373" s="5">
        <v>1</v>
      </c>
      <c r="Y1373" s="5">
        <v>0</v>
      </c>
      <c r="Z1373" s="5">
        <v>0</v>
      </c>
      <c r="AA1373" s="5">
        <v>1</v>
      </c>
      <c r="AB1373" s="5">
        <v>0</v>
      </c>
    </row>
    <row r="1374" spans="1:28" x14ac:dyDescent="0.2">
      <c r="A1374" s="5">
        <v>50</v>
      </c>
      <c r="B1374" s="5">
        <v>0</v>
      </c>
      <c r="C1374" s="5">
        <v>0</v>
      </c>
      <c r="D1374" s="5">
        <v>1</v>
      </c>
      <c r="E1374" s="5">
        <v>214</v>
      </c>
      <c r="F1374" s="5">
        <f>ROUND(Source!AS1357,O1374)</f>
        <v>4808.2</v>
      </c>
      <c r="G1374" s="5" t="s">
        <v>56</v>
      </c>
      <c r="H1374" s="5" t="s">
        <v>57</v>
      </c>
      <c r="I1374" s="5"/>
      <c r="J1374" s="5"/>
      <c r="K1374" s="5">
        <v>214</v>
      </c>
      <c r="L1374" s="5">
        <v>16</v>
      </c>
      <c r="M1374" s="5">
        <v>3</v>
      </c>
      <c r="N1374" s="5" t="s">
        <v>3</v>
      </c>
      <c r="O1374" s="5">
        <v>2</v>
      </c>
      <c r="P1374" s="5">
        <f>ROUND(Source!EK1357,O1374)</f>
        <v>154651.13</v>
      </c>
      <c r="Q1374" s="5"/>
      <c r="R1374" s="5"/>
      <c r="S1374" s="5"/>
      <c r="T1374" s="5"/>
      <c r="U1374" s="5"/>
      <c r="V1374" s="5"/>
      <c r="W1374" s="5">
        <v>4808.2</v>
      </c>
      <c r="X1374" s="5">
        <v>1</v>
      </c>
      <c r="Y1374" s="5">
        <v>4808.2</v>
      </c>
      <c r="Z1374" s="5">
        <v>154651.13</v>
      </c>
      <c r="AA1374" s="5">
        <v>1</v>
      </c>
      <c r="AB1374" s="5">
        <v>154651.13</v>
      </c>
    </row>
    <row r="1375" spans="1:28" x14ac:dyDescent="0.2">
      <c r="A1375" s="5">
        <v>50</v>
      </c>
      <c r="B1375" s="5">
        <v>0</v>
      </c>
      <c r="C1375" s="5">
        <v>0</v>
      </c>
      <c r="D1375" s="5">
        <v>1</v>
      </c>
      <c r="E1375" s="5">
        <v>215</v>
      </c>
      <c r="F1375" s="5">
        <f>ROUND(Source!AT1357,O1375)</f>
        <v>4585.87</v>
      </c>
      <c r="G1375" s="5" t="s">
        <v>58</v>
      </c>
      <c r="H1375" s="5" t="s">
        <v>59</v>
      </c>
      <c r="I1375" s="5"/>
      <c r="J1375" s="5"/>
      <c r="K1375" s="5">
        <v>215</v>
      </c>
      <c r="L1375" s="5">
        <v>17</v>
      </c>
      <c r="M1375" s="5">
        <v>3</v>
      </c>
      <c r="N1375" s="5" t="s">
        <v>3</v>
      </c>
      <c r="O1375" s="5">
        <v>2</v>
      </c>
      <c r="P1375" s="5">
        <f>ROUND(Source!EL1357,O1375)</f>
        <v>114759.13</v>
      </c>
      <c r="Q1375" s="5"/>
      <c r="R1375" s="5"/>
      <c r="S1375" s="5"/>
      <c r="T1375" s="5"/>
      <c r="U1375" s="5"/>
      <c r="V1375" s="5"/>
      <c r="W1375" s="5">
        <v>4585.87</v>
      </c>
      <c r="X1375" s="5">
        <v>1</v>
      </c>
      <c r="Y1375" s="5">
        <v>4585.87</v>
      </c>
      <c r="Z1375" s="5">
        <v>114759.13</v>
      </c>
      <c r="AA1375" s="5">
        <v>1</v>
      </c>
      <c r="AB1375" s="5">
        <v>114759.13</v>
      </c>
    </row>
    <row r="1376" spans="1:28" x14ac:dyDescent="0.2">
      <c r="A1376" s="5">
        <v>50</v>
      </c>
      <c r="B1376" s="5">
        <v>0</v>
      </c>
      <c r="C1376" s="5">
        <v>0</v>
      </c>
      <c r="D1376" s="5">
        <v>1</v>
      </c>
      <c r="E1376" s="5">
        <v>217</v>
      </c>
      <c r="F1376" s="5">
        <f>ROUND(Source!AU1357,O1376)</f>
        <v>0</v>
      </c>
      <c r="G1376" s="5" t="s">
        <v>60</v>
      </c>
      <c r="H1376" s="5" t="s">
        <v>61</v>
      </c>
      <c r="I1376" s="5"/>
      <c r="J1376" s="5"/>
      <c r="K1376" s="5">
        <v>217</v>
      </c>
      <c r="L1376" s="5">
        <v>18</v>
      </c>
      <c r="M1376" s="5">
        <v>3</v>
      </c>
      <c r="N1376" s="5" t="s">
        <v>3</v>
      </c>
      <c r="O1376" s="5">
        <v>2</v>
      </c>
      <c r="P1376" s="5">
        <f>ROUND(Source!EM1357,O1376)</f>
        <v>0</v>
      </c>
      <c r="Q1376" s="5"/>
      <c r="R1376" s="5"/>
      <c r="S1376" s="5"/>
      <c r="T1376" s="5"/>
      <c r="U1376" s="5"/>
      <c r="V1376" s="5"/>
      <c r="W1376" s="5">
        <v>0</v>
      </c>
      <c r="X1376" s="5">
        <v>1</v>
      </c>
      <c r="Y1376" s="5">
        <v>0</v>
      </c>
      <c r="Z1376" s="5">
        <v>0</v>
      </c>
      <c r="AA1376" s="5">
        <v>1</v>
      </c>
      <c r="AB1376" s="5">
        <v>0</v>
      </c>
    </row>
    <row r="1377" spans="1:255" x14ac:dyDescent="0.2">
      <c r="A1377" s="5">
        <v>50</v>
      </c>
      <c r="B1377" s="5">
        <v>0</v>
      </c>
      <c r="C1377" s="5">
        <v>0</v>
      </c>
      <c r="D1377" s="5">
        <v>1</v>
      </c>
      <c r="E1377" s="5">
        <v>230</v>
      </c>
      <c r="F1377" s="5">
        <f>ROUND(Source!BA1357,O1377)</f>
        <v>0</v>
      </c>
      <c r="G1377" s="5" t="s">
        <v>62</v>
      </c>
      <c r="H1377" s="5" t="s">
        <v>63</v>
      </c>
      <c r="I1377" s="5"/>
      <c r="J1377" s="5"/>
      <c r="K1377" s="5">
        <v>230</v>
      </c>
      <c r="L1377" s="5">
        <v>19</v>
      </c>
      <c r="M1377" s="5">
        <v>3</v>
      </c>
      <c r="N1377" s="5" t="s">
        <v>3</v>
      </c>
      <c r="O1377" s="5">
        <v>2</v>
      </c>
      <c r="P1377" s="5">
        <f>ROUND(Source!ES1357,O1377)</f>
        <v>0</v>
      </c>
      <c r="Q1377" s="5"/>
      <c r="R1377" s="5"/>
      <c r="S1377" s="5"/>
      <c r="T1377" s="5"/>
      <c r="U1377" s="5"/>
      <c r="V1377" s="5"/>
      <c r="W1377" s="5">
        <v>0</v>
      </c>
      <c r="X1377" s="5">
        <v>1</v>
      </c>
      <c r="Y1377" s="5">
        <v>0</v>
      </c>
      <c r="Z1377" s="5">
        <v>0</v>
      </c>
      <c r="AA1377" s="5">
        <v>1</v>
      </c>
      <c r="AB1377" s="5">
        <v>0</v>
      </c>
    </row>
    <row r="1378" spans="1:255" x14ac:dyDescent="0.2">
      <c r="A1378" s="5">
        <v>50</v>
      </c>
      <c r="B1378" s="5">
        <v>0</v>
      </c>
      <c r="C1378" s="5">
        <v>0</v>
      </c>
      <c r="D1378" s="5">
        <v>1</v>
      </c>
      <c r="E1378" s="5">
        <v>206</v>
      </c>
      <c r="F1378" s="5">
        <f>ROUND(Source!T1357,O1378)</f>
        <v>0</v>
      </c>
      <c r="G1378" s="5" t="s">
        <v>64</v>
      </c>
      <c r="H1378" s="5" t="s">
        <v>65</v>
      </c>
      <c r="I1378" s="5"/>
      <c r="J1378" s="5"/>
      <c r="K1378" s="5">
        <v>206</v>
      </c>
      <c r="L1378" s="5">
        <v>20</v>
      </c>
      <c r="M1378" s="5">
        <v>3</v>
      </c>
      <c r="N1378" s="5" t="s">
        <v>3</v>
      </c>
      <c r="O1378" s="5">
        <v>2</v>
      </c>
      <c r="P1378" s="5">
        <f>ROUND(Source!DL1357,O1378)</f>
        <v>0</v>
      </c>
      <c r="Q1378" s="5"/>
      <c r="R1378" s="5"/>
      <c r="S1378" s="5"/>
      <c r="T1378" s="5"/>
      <c r="U1378" s="5"/>
      <c r="V1378" s="5"/>
      <c r="W1378" s="5">
        <v>0</v>
      </c>
      <c r="X1378" s="5">
        <v>1</v>
      </c>
      <c r="Y1378" s="5">
        <v>0</v>
      </c>
      <c r="Z1378" s="5">
        <v>0</v>
      </c>
      <c r="AA1378" s="5">
        <v>1</v>
      </c>
      <c r="AB1378" s="5">
        <v>0</v>
      </c>
    </row>
    <row r="1379" spans="1:255" x14ac:dyDescent="0.2">
      <c r="A1379" s="5">
        <v>50</v>
      </c>
      <c r="B1379" s="5">
        <v>0</v>
      </c>
      <c r="C1379" s="5">
        <v>0</v>
      </c>
      <c r="D1379" s="5">
        <v>1</v>
      </c>
      <c r="E1379" s="5">
        <v>207</v>
      </c>
      <c r="F1379" s="5">
        <f>Source!U1357</f>
        <v>197.07243700000001</v>
      </c>
      <c r="G1379" s="5" t="s">
        <v>66</v>
      </c>
      <c r="H1379" s="5" t="s">
        <v>67</v>
      </c>
      <c r="I1379" s="5"/>
      <c r="J1379" s="5"/>
      <c r="K1379" s="5">
        <v>207</v>
      </c>
      <c r="L1379" s="5">
        <v>21</v>
      </c>
      <c r="M1379" s="5">
        <v>3</v>
      </c>
      <c r="N1379" s="5" t="s">
        <v>3</v>
      </c>
      <c r="O1379" s="5">
        <v>-1</v>
      </c>
      <c r="P1379" s="5">
        <f>Source!DM1357</f>
        <v>197.07243700000001</v>
      </c>
      <c r="Q1379" s="5"/>
      <c r="R1379" s="5"/>
      <c r="S1379" s="5"/>
      <c r="T1379" s="5"/>
      <c r="U1379" s="5"/>
      <c r="V1379" s="5"/>
      <c r="W1379" s="5">
        <v>197.07243700000001</v>
      </c>
      <c r="X1379" s="5">
        <v>1</v>
      </c>
      <c r="Y1379" s="5">
        <v>197.07243700000001</v>
      </c>
      <c r="Z1379" s="5">
        <v>197.07243700000001</v>
      </c>
      <c r="AA1379" s="5">
        <v>1</v>
      </c>
      <c r="AB1379" s="5">
        <v>197.07243700000001</v>
      </c>
    </row>
    <row r="1380" spans="1:255" x14ac:dyDescent="0.2">
      <c r="A1380" s="5">
        <v>50</v>
      </c>
      <c r="B1380" s="5">
        <v>0</v>
      </c>
      <c r="C1380" s="5">
        <v>0</v>
      </c>
      <c r="D1380" s="5">
        <v>1</v>
      </c>
      <c r="E1380" s="5">
        <v>208</v>
      </c>
      <c r="F1380" s="5">
        <f>Source!V1357</f>
        <v>0</v>
      </c>
      <c r="G1380" s="5" t="s">
        <v>68</v>
      </c>
      <c r="H1380" s="5" t="s">
        <v>69</v>
      </c>
      <c r="I1380" s="5"/>
      <c r="J1380" s="5"/>
      <c r="K1380" s="5">
        <v>208</v>
      </c>
      <c r="L1380" s="5">
        <v>22</v>
      </c>
      <c r="M1380" s="5">
        <v>3</v>
      </c>
      <c r="N1380" s="5" t="s">
        <v>3</v>
      </c>
      <c r="O1380" s="5">
        <v>-1</v>
      </c>
      <c r="P1380" s="5">
        <f>Source!DN1357</f>
        <v>0</v>
      </c>
      <c r="Q1380" s="5"/>
      <c r="R1380" s="5"/>
      <c r="S1380" s="5"/>
      <c r="T1380" s="5"/>
      <c r="U1380" s="5"/>
      <c r="V1380" s="5"/>
      <c r="W1380" s="5">
        <v>0</v>
      </c>
      <c r="X1380" s="5">
        <v>1</v>
      </c>
      <c r="Y1380" s="5">
        <v>0</v>
      </c>
      <c r="Z1380" s="5">
        <v>0</v>
      </c>
      <c r="AA1380" s="5">
        <v>1</v>
      </c>
      <c r="AB1380" s="5">
        <v>0</v>
      </c>
    </row>
    <row r="1381" spans="1:255" x14ac:dyDescent="0.2">
      <c r="A1381" s="5">
        <v>50</v>
      </c>
      <c r="B1381" s="5">
        <v>0</v>
      </c>
      <c r="C1381" s="5">
        <v>0</v>
      </c>
      <c r="D1381" s="5">
        <v>1</v>
      </c>
      <c r="E1381" s="5">
        <v>209</v>
      </c>
      <c r="F1381" s="5">
        <f>ROUND(Source!W1357,O1381)</f>
        <v>0</v>
      </c>
      <c r="G1381" s="5" t="s">
        <v>70</v>
      </c>
      <c r="H1381" s="5" t="s">
        <v>71</v>
      </c>
      <c r="I1381" s="5"/>
      <c r="J1381" s="5"/>
      <c r="K1381" s="5">
        <v>209</v>
      </c>
      <c r="L1381" s="5">
        <v>23</v>
      </c>
      <c r="M1381" s="5">
        <v>3</v>
      </c>
      <c r="N1381" s="5" t="s">
        <v>3</v>
      </c>
      <c r="O1381" s="5">
        <v>2</v>
      </c>
      <c r="P1381" s="5">
        <f>ROUND(Source!DO1357,O1381)</f>
        <v>0</v>
      </c>
      <c r="Q1381" s="5"/>
      <c r="R1381" s="5"/>
      <c r="S1381" s="5"/>
      <c r="T1381" s="5"/>
      <c r="U1381" s="5"/>
      <c r="V1381" s="5"/>
      <c r="W1381" s="5">
        <v>0</v>
      </c>
      <c r="X1381" s="5">
        <v>1</v>
      </c>
      <c r="Y1381" s="5">
        <v>0</v>
      </c>
      <c r="Z1381" s="5">
        <v>0</v>
      </c>
      <c r="AA1381" s="5">
        <v>1</v>
      </c>
      <c r="AB1381" s="5">
        <v>0</v>
      </c>
    </row>
    <row r="1382" spans="1:255" x14ac:dyDescent="0.2">
      <c r="A1382" s="5">
        <v>50</v>
      </c>
      <c r="B1382" s="5">
        <v>0</v>
      </c>
      <c r="C1382" s="5">
        <v>0</v>
      </c>
      <c r="D1382" s="5">
        <v>1</v>
      </c>
      <c r="E1382" s="5">
        <v>233</v>
      </c>
      <c r="F1382" s="5">
        <f>ROUND(Source!BD1357,O1382)</f>
        <v>0</v>
      </c>
      <c r="G1382" s="5" t="s">
        <v>72</v>
      </c>
      <c r="H1382" s="5" t="s">
        <v>73</v>
      </c>
      <c r="I1382" s="5"/>
      <c r="J1382" s="5"/>
      <c r="K1382" s="5">
        <v>233</v>
      </c>
      <c r="L1382" s="5">
        <v>24</v>
      </c>
      <c r="M1382" s="5">
        <v>3</v>
      </c>
      <c r="N1382" s="5" t="s">
        <v>3</v>
      </c>
      <c r="O1382" s="5">
        <v>2</v>
      </c>
      <c r="P1382" s="5">
        <f>ROUND(Source!EV1357,O1382)</f>
        <v>0</v>
      </c>
      <c r="Q1382" s="5"/>
      <c r="R1382" s="5"/>
      <c r="S1382" s="5"/>
      <c r="T1382" s="5"/>
      <c r="U1382" s="5"/>
      <c r="V1382" s="5"/>
      <c r="W1382" s="5">
        <v>0</v>
      </c>
      <c r="X1382" s="5">
        <v>1</v>
      </c>
      <c r="Y1382" s="5">
        <v>0</v>
      </c>
      <c r="Z1382" s="5">
        <v>0</v>
      </c>
      <c r="AA1382" s="5">
        <v>1</v>
      </c>
      <c r="AB1382" s="5">
        <v>0</v>
      </c>
    </row>
    <row r="1383" spans="1:255" x14ac:dyDescent="0.2">
      <c r="A1383" s="5">
        <v>50</v>
      </c>
      <c r="B1383" s="5">
        <v>0</v>
      </c>
      <c r="C1383" s="5">
        <v>0</v>
      </c>
      <c r="D1383" s="5">
        <v>1</v>
      </c>
      <c r="E1383" s="5">
        <v>210</v>
      </c>
      <c r="F1383" s="5">
        <f>ROUND(Source!X1357,O1383)</f>
        <v>2469.46</v>
      </c>
      <c r="G1383" s="5" t="s">
        <v>74</v>
      </c>
      <c r="H1383" s="5" t="s">
        <v>75</v>
      </c>
      <c r="I1383" s="5"/>
      <c r="J1383" s="5"/>
      <c r="K1383" s="5">
        <v>210</v>
      </c>
      <c r="L1383" s="5">
        <v>25</v>
      </c>
      <c r="M1383" s="5">
        <v>3</v>
      </c>
      <c r="N1383" s="5" t="s">
        <v>3</v>
      </c>
      <c r="O1383" s="5">
        <v>2</v>
      </c>
      <c r="P1383" s="5">
        <f>ROUND(Source!DP1357,O1383)</f>
        <v>58390.84</v>
      </c>
      <c r="Q1383" s="5"/>
      <c r="R1383" s="5"/>
      <c r="S1383" s="5"/>
      <c r="T1383" s="5"/>
      <c r="U1383" s="5"/>
      <c r="V1383" s="5"/>
      <c r="W1383" s="5">
        <v>2469.46</v>
      </c>
      <c r="X1383" s="5">
        <v>1</v>
      </c>
      <c r="Y1383" s="5">
        <v>2469.46</v>
      </c>
      <c r="Z1383" s="5">
        <v>58390.84</v>
      </c>
      <c r="AA1383" s="5">
        <v>1</v>
      </c>
      <c r="AB1383" s="5">
        <v>58390.84</v>
      </c>
    </row>
    <row r="1384" spans="1:255" x14ac:dyDescent="0.2">
      <c r="A1384" s="5">
        <v>50</v>
      </c>
      <c r="B1384" s="5">
        <v>0</v>
      </c>
      <c r="C1384" s="5">
        <v>0</v>
      </c>
      <c r="D1384" s="5">
        <v>1</v>
      </c>
      <c r="E1384" s="5">
        <v>211</v>
      </c>
      <c r="F1384" s="5">
        <f>ROUND(Source!Y1357,O1384)</f>
        <v>1889.09</v>
      </c>
      <c r="G1384" s="5" t="s">
        <v>76</v>
      </c>
      <c r="H1384" s="5" t="s">
        <v>77</v>
      </c>
      <c r="I1384" s="5"/>
      <c r="J1384" s="5"/>
      <c r="K1384" s="5">
        <v>211</v>
      </c>
      <c r="L1384" s="5">
        <v>26</v>
      </c>
      <c r="M1384" s="5">
        <v>3</v>
      </c>
      <c r="N1384" s="5" t="s">
        <v>3</v>
      </c>
      <c r="O1384" s="5">
        <v>2</v>
      </c>
      <c r="P1384" s="5">
        <f>ROUND(Source!DQ1357,O1384)</f>
        <v>31137.83</v>
      </c>
      <c r="Q1384" s="5"/>
      <c r="R1384" s="5"/>
      <c r="S1384" s="5"/>
      <c r="T1384" s="5"/>
      <c r="U1384" s="5"/>
      <c r="V1384" s="5"/>
      <c r="W1384" s="5">
        <v>1889.09</v>
      </c>
      <c r="X1384" s="5">
        <v>1</v>
      </c>
      <c r="Y1384" s="5">
        <v>1889.09</v>
      </c>
      <c r="Z1384" s="5">
        <v>31137.83</v>
      </c>
      <c r="AA1384" s="5">
        <v>1</v>
      </c>
      <c r="AB1384" s="5">
        <v>31137.83</v>
      </c>
    </row>
    <row r="1385" spans="1:255" x14ac:dyDescent="0.2">
      <c r="A1385" s="5">
        <v>50</v>
      </c>
      <c r="B1385" s="5">
        <v>0</v>
      </c>
      <c r="C1385" s="5">
        <v>0</v>
      </c>
      <c r="D1385" s="5">
        <v>1</v>
      </c>
      <c r="E1385" s="5">
        <v>224</v>
      </c>
      <c r="F1385" s="5">
        <f>ROUND(Source!AR1357,O1385)</f>
        <v>9394.07</v>
      </c>
      <c r="G1385" s="5" t="s">
        <v>78</v>
      </c>
      <c r="H1385" s="5" t="s">
        <v>79</v>
      </c>
      <c r="I1385" s="5"/>
      <c r="J1385" s="5"/>
      <c r="K1385" s="5">
        <v>224</v>
      </c>
      <c r="L1385" s="5">
        <v>27</v>
      </c>
      <c r="M1385" s="5">
        <v>3</v>
      </c>
      <c r="N1385" s="5" t="s">
        <v>3</v>
      </c>
      <c r="O1385" s="5">
        <v>2</v>
      </c>
      <c r="P1385" s="5">
        <f>ROUND(Source!EJ1357,O1385)</f>
        <v>269410.26</v>
      </c>
      <c r="Q1385" s="5"/>
      <c r="R1385" s="5"/>
      <c r="S1385" s="5"/>
      <c r="T1385" s="5"/>
      <c r="U1385" s="5"/>
      <c r="V1385" s="5"/>
      <c r="W1385" s="5">
        <v>9394.07</v>
      </c>
      <c r="X1385" s="5">
        <v>1</v>
      </c>
      <c r="Y1385" s="5">
        <v>9394.07</v>
      </c>
      <c r="Z1385" s="5">
        <v>269410.26</v>
      </c>
      <c r="AA1385" s="5">
        <v>1</v>
      </c>
      <c r="AB1385" s="5">
        <v>269410.26</v>
      </c>
    </row>
    <row r="1387" spans="1:255" x14ac:dyDescent="0.2">
      <c r="A1387" s="1">
        <v>4</v>
      </c>
      <c r="B1387" s="1">
        <v>1</v>
      </c>
      <c r="C1387" s="1"/>
      <c r="D1387" s="1">
        <f>ROW(A1418)</f>
        <v>1418</v>
      </c>
      <c r="E1387" s="1"/>
      <c r="F1387" s="1" t="s">
        <v>16</v>
      </c>
      <c r="G1387" s="1" t="s">
        <v>702</v>
      </c>
      <c r="H1387" s="1" t="s">
        <v>3</v>
      </c>
      <c r="I1387" s="1">
        <v>0</v>
      </c>
      <c r="J1387" s="1"/>
      <c r="K1387" s="1">
        <v>0</v>
      </c>
      <c r="L1387" s="1"/>
      <c r="M1387" s="1" t="s">
        <v>3</v>
      </c>
      <c r="N1387" s="1"/>
      <c r="O1387" s="1"/>
      <c r="P1387" s="1"/>
      <c r="Q1387" s="1"/>
      <c r="R1387" s="1"/>
      <c r="S1387" s="1">
        <v>0</v>
      </c>
      <c r="T1387" s="1">
        <v>0</v>
      </c>
      <c r="U1387" s="1" t="s">
        <v>3</v>
      </c>
      <c r="V1387" s="1">
        <v>0</v>
      </c>
      <c r="W1387" s="1"/>
      <c r="X1387" s="1"/>
      <c r="Y1387" s="1"/>
      <c r="Z1387" s="1"/>
      <c r="AA1387" s="1"/>
      <c r="AB1387" s="1" t="s">
        <v>3</v>
      </c>
      <c r="AC1387" s="1" t="s">
        <v>3</v>
      </c>
      <c r="AD1387" s="1" t="s">
        <v>3</v>
      </c>
      <c r="AE1387" s="1" t="s">
        <v>3</v>
      </c>
      <c r="AF1387" s="1" t="s">
        <v>3</v>
      </c>
      <c r="AG1387" s="1" t="s">
        <v>3</v>
      </c>
      <c r="AH1387" s="1"/>
      <c r="AI1387" s="1"/>
      <c r="AJ1387" s="1"/>
      <c r="AK1387" s="1"/>
      <c r="AL1387" s="1"/>
      <c r="AM1387" s="1"/>
      <c r="AN1387" s="1"/>
      <c r="AO1387" s="1"/>
      <c r="AP1387" s="1" t="s">
        <v>3</v>
      </c>
      <c r="AQ1387" s="1" t="s">
        <v>3</v>
      </c>
      <c r="AR1387" s="1" t="s">
        <v>3</v>
      </c>
      <c r="AS1387" s="1"/>
      <c r="AT1387" s="1"/>
      <c r="AU1387" s="1"/>
      <c r="AV1387" s="1"/>
      <c r="AW1387" s="1"/>
      <c r="AX1387" s="1"/>
      <c r="AY1387" s="1"/>
      <c r="AZ1387" s="1" t="s">
        <v>3</v>
      </c>
      <c r="BA1387" s="1"/>
      <c r="BB1387" s="1" t="s">
        <v>3</v>
      </c>
      <c r="BC1387" s="1" t="s">
        <v>3</v>
      </c>
      <c r="BD1387" s="1" t="s">
        <v>3</v>
      </c>
      <c r="BE1387" s="1" t="s">
        <v>3</v>
      </c>
      <c r="BF1387" s="1" t="s">
        <v>3</v>
      </c>
      <c r="BG1387" s="1" t="s">
        <v>3</v>
      </c>
      <c r="BH1387" s="1" t="s">
        <v>3</v>
      </c>
      <c r="BI1387" s="1" t="s">
        <v>3</v>
      </c>
      <c r="BJ1387" s="1" t="s">
        <v>3</v>
      </c>
      <c r="BK1387" s="1" t="s">
        <v>3</v>
      </c>
      <c r="BL1387" s="1" t="s">
        <v>3</v>
      </c>
      <c r="BM1387" s="1" t="s">
        <v>3</v>
      </c>
      <c r="BN1387" s="1" t="s">
        <v>3</v>
      </c>
      <c r="BO1387" s="1" t="s">
        <v>3</v>
      </c>
      <c r="BP1387" s="1" t="s">
        <v>3</v>
      </c>
      <c r="BQ1387" s="1"/>
      <c r="BR1387" s="1"/>
      <c r="BS1387" s="1"/>
      <c r="BT1387" s="1"/>
      <c r="BU1387" s="1"/>
      <c r="BV1387" s="1"/>
      <c r="BW1387" s="1"/>
      <c r="BX1387" s="1">
        <v>0</v>
      </c>
      <c r="BY1387" s="1"/>
      <c r="BZ1387" s="1"/>
      <c r="CA1387" s="1"/>
      <c r="CB1387" s="1"/>
      <c r="CC1387" s="1"/>
      <c r="CD1387" s="1"/>
      <c r="CE1387" s="1"/>
      <c r="CF1387" s="1"/>
      <c r="CG1387" s="1"/>
      <c r="CH1387" s="1"/>
      <c r="CI1387" s="1"/>
      <c r="CJ1387" s="1">
        <v>0</v>
      </c>
    </row>
    <row r="1389" spans="1:255" x14ac:dyDescent="0.2">
      <c r="A1389" s="3">
        <v>52</v>
      </c>
      <c r="B1389" s="3">
        <f t="shared" ref="B1389:G1389" si="1166">B1418</f>
        <v>1</v>
      </c>
      <c r="C1389" s="3">
        <f t="shared" si="1166"/>
        <v>4</v>
      </c>
      <c r="D1389" s="3">
        <f t="shared" si="1166"/>
        <v>1387</v>
      </c>
      <c r="E1389" s="3">
        <f t="shared" si="1166"/>
        <v>0</v>
      </c>
      <c r="F1389" s="3" t="str">
        <f t="shared" si="1166"/>
        <v>Новый раздел</v>
      </c>
      <c r="G1389" s="3" t="str">
        <f t="shared" si="1166"/>
        <v>Оборудование</v>
      </c>
      <c r="H1389" s="3"/>
      <c r="I1389" s="3"/>
      <c r="J1389" s="3"/>
      <c r="K1389" s="3"/>
      <c r="L1389" s="3"/>
      <c r="M1389" s="3"/>
      <c r="N1389" s="3"/>
      <c r="O1389" s="3">
        <f t="shared" ref="O1389:AT1389" si="1167">O1418</f>
        <v>573.29999999999995</v>
      </c>
      <c r="P1389" s="3">
        <f t="shared" si="1167"/>
        <v>573.29999999999995</v>
      </c>
      <c r="Q1389" s="3">
        <f t="shared" si="1167"/>
        <v>0</v>
      </c>
      <c r="R1389" s="3">
        <f t="shared" si="1167"/>
        <v>0</v>
      </c>
      <c r="S1389" s="3">
        <f t="shared" si="1167"/>
        <v>0</v>
      </c>
      <c r="T1389" s="3">
        <f t="shared" si="1167"/>
        <v>0</v>
      </c>
      <c r="U1389" s="3">
        <f t="shared" si="1167"/>
        <v>0</v>
      </c>
      <c r="V1389" s="3">
        <f t="shared" si="1167"/>
        <v>0</v>
      </c>
      <c r="W1389" s="3">
        <f t="shared" si="1167"/>
        <v>0</v>
      </c>
      <c r="X1389" s="3">
        <f t="shared" si="1167"/>
        <v>0</v>
      </c>
      <c r="Y1389" s="3">
        <f t="shared" si="1167"/>
        <v>0</v>
      </c>
      <c r="Z1389" s="3">
        <f t="shared" si="1167"/>
        <v>0</v>
      </c>
      <c r="AA1389" s="3">
        <f t="shared" si="1167"/>
        <v>0</v>
      </c>
      <c r="AB1389" s="3">
        <f t="shared" si="1167"/>
        <v>573.29999999999995</v>
      </c>
      <c r="AC1389" s="3">
        <f t="shared" si="1167"/>
        <v>573.29999999999995</v>
      </c>
      <c r="AD1389" s="3">
        <f t="shared" si="1167"/>
        <v>0</v>
      </c>
      <c r="AE1389" s="3">
        <f t="shared" si="1167"/>
        <v>0</v>
      </c>
      <c r="AF1389" s="3">
        <f t="shared" si="1167"/>
        <v>0</v>
      </c>
      <c r="AG1389" s="3">
        <f t="shared" si="1167"/>
        <v>0</v>
      </c>
      <c r="AH1389" s="3">
        <f t="shared" si="1167"/>
        <v>0</v>
      </c>
      <c r="AI1389" s="3">
        <f t="shared" si="1167"/>
        <v>0</v>
      </c>
      <c r="AJ1389" s="3">
        <f t="shared" si="1167"/>
        <v>0</v>
      </c>
      <c r="AK1389" s="3">
        <f t="shared" si="1167"/>
        <v>0</v>
      </c>
      <c r="AL1389" s="3">
        <f t="shared" si="1167"/>
        <v>0</v>
      </c>
      <c r="AM1389" s="3">
        <f t="shared" si="1167"/>
        <v>0</v>
      </c>
      <c r="AN1389" s="3">
        <f t="shared" si="1167"/>
        <v>0</v>
      </c>
      <c r="AO1389" s="3">
        <f t="shared" si="1167"/>
        <v>0</v>
      </c>
      <c r="AP1389" s="3">
        <f t="shared" si="1167"/>
        <v>573.29999999999995</v>
      </c>
      <c r="AQ1389" s="3">
        <f t="shared" si="1167"/>
        <v>0</v>
      </c>
      <c r="AR1389" s="3">
        <f t="shared" si="1167"/>
        <v>573.29999999999995</v>
      </c>
      <c r="AS1389" s="3">
        <f t="shared" si="1167"/>
        <v>0</v>
      </c>
      <c r="AT1389" s="3">
        <f t="shared" si="1167"/>
        <v>0</v>
      </c>
      <c r="AU1389" s="3">
        <f t="shared" ref="AU1389:BZ1389" si="1168">AU1418</f>
        <v>0</v>
      </c>
      <c r="AV1389" s="3">
        <f t="shared" si="1168"/>
        <v>573.29999999999995</v>
      </c>
      <c r="AW1389" s="3">
        <f t="shared" si="1168"/>
        <v>0</v>
      </c>
      <c r="AX1389" s="3">
        <f t="shared" si="1168"/>
        <v>0</v>
      </c>
      <c r="AY1389" s="3">
        <f t="shared" si="1168"/>
        <v>0</v>
      </c>
      <c r="AZ1389" s="3">
        <f t="shared" si="1168"/>
        <v>573.29999999999995</v>
      </c>
      <c r="BA1389" s="3">
        <f t="shared" si="1168"/>
        <v>0</v>
      </c>
      <c r="BB1389" s="3">
        <f t="shared" si="1168"/>
        <v>0</v>
      </c>
      <c r="BC1389" s="3">
        <f t="shared" si="1168"/>
        <v>0</v>
      </c>
      <c r="BD1389" s="3">
        <f t="shared" si="1168"/>
        <v>0</v>
      </c>
      <c r="BE1389" s="3">
        <f t="shared" si="1168"/>
        <v>0</v>
      </c>
      <c r="BF1389" s="3">
        <f t="shared" si="1168"/>
        <v>0</v>
      </c>
      <c r="BG1389" s="3">
        <f t="shared" si="1168"/>
        <v>0</v>
      </c>
      <c r="BH1389" s="3">
        <f t="shared" si="1168"/>
        <v>0</v>
      </c>
      <c r="BI1389" s="3">
        <f t="shared" si="1168"/>
        <v>0</v>
      </c>
      <c r="BJ1389" s="3">
        <f t="shared" si="1168"/>
        <v>0</v>
      </c>
      <c r="BK1389" s="3">
        <f t="shared" si="1168"/>
        <v>0</v>
      </c>
      <c r="BL1389" s="3">
        <f t="shared" si="1168"/>
        <v>0</v>
      </c>
      <c r="BM1389" s="3">
        <f t="shared" si="1168"/>
        <v>0</v>
      </c>
      <c r="BN1389" s="3">
        <f t="shared" si="1168"/>
        <v>0</v>
      </c>
      <c r="BO1389" s="3">
        <f t="shared" si="1168"/>
        <v>0</v>
      </c>
      <c r="BP1389" s="3">
        <f t="shared" si="1168"/>
        <v>0</v>
      </c>
      <c r="BQ1389" s="3">
        <f t="shared" si="1168"/>
        <v>0</v>
      </c>
      <c r="BR1389" s="3">
        <f t="shared" si="1168"/>
        <v>0</v>
      </c>
      <c r="BS1389" s="3">
        <f t="shared" si="1168"/>
        <v>0</v>
      </c>
      <c r="BT1389" s="3">
        <f t="shared" si="1168"/>
        <v>0</v>
      </c>
      <c r="BU1389" s="3">
        <f t="shared" si="1168"/>
        <v>0</v>
      </c>
      <c r="BV1389" s="3">
        <f t="shared" si="1168"/>
        <v>0</v>
      </c>
      <c r="BW1389" s="3">
        <f t="shared" si="1168"/>
        <v>0</v>
      </c>
      <c r="BX1389" s="3">
        <f t="shared" si="1168"/>
        <v>0</v>
      </c>
      <c r="BY1389" s="3">
        <f t="shared" si="1168"/>
        <v>573.29999999999995</v>
      </c>
      <c r="BZ1389" s="3">
        <f t="shared" si="1168"/>
        <v>0</v>
      </c>
      <c r="CA1389" s="3">
        <f t="shared" ref="CA1389:DF1389" si="1169">CA1418</f>
        <v>573.29999999999995</v>
      </c>
      <c r="CB1389" s="3">
        <f t="shared" si="1169"/>
        <v>0</v>
      </c>
      <c r="CC1389" s="3">
        <f t="shared" si="1169"/>
        <v>0</v>
      </c>
      <c r="CD1389" s="3">
        <f t="shared" si="1169"/>
        <v>0</v>
      </c>
      <c r="CE1389" s="3">
        <f t="shared" si="1169"/>
        <v>573.29999999999995</v>
      </c>
      <c r="CF1389" s="3">
        <f t="shared" si="1169"/>
        <v>0</v>
      </c>
      <c r="CG1389" s="3">
        <f t="shared" si="1169"/>
        <v>0</v>
      </c>
      <c r="CH1389" s="3">
        <f t="shared" si="1169"/>
        <v>0</v>
      </c>
      <c r="CI1389" s="3">
        <f t="shared" si="1169"/>
        <v>573.29999999999995</v>
      </c>
      <c r="CJ1389" s="3">
        <f t="shared" si="1169"/>
        <v>0</v>
      </c>
      <c r="CK1389" s="3">
        <f t="shared" si="1169"/>
        <v>0</v>
      </c>
      <c r="CL1389" s="3">
        <f t="shared" si="1169"/>
        <v>0</v>
      </c>
      <c r="CM1389" s="3">
        <f t="shared" si="1169"/>
        <v>0</v>
      </c>
      <c r="CN1389" s="3">
        <f t="shared" si="1169"/>
        <v>0</v>
      </c>
      <c r="CO1389" s="3">
        <f t="shared" si="1169"/>
        <v>0</v>
      </c>
      <c r="CP1389" s="3">
        <f t="shared" si="1169"/>
        <v>0</v>
      </c>
      <c r="CQ1389" s="3">
        <f t="shared" si="1169"/>
        <v>0</v>
      </c>
      <c r="CR1389" s="3">
        <f t="shared" si="1169"/>
        <v>0</v>
      </c>
      <c r="CS1389" s="3">
        <f t="shared" si="1169"/>
        <v>0</v>
      </c>
      <c r="CT1389" s="3">
        <f t="shared" si="1169"/>
        <v>0</v>
      </c>
      <c r="CU1389" s="3">
        <f t="shared" si="1169"/>
        <v>0</v>
      </c>
      <c r="CV1389" s="3">
        <f t="shared" si="1169"/>
        <v>0</v>
      </c>
      <c r="CW1389" s="3">
        <f t="shared" si="1169"/>
        <v>0</v>
      </c>
      <c r="CX1389" s="3">
        <f t="shared" si="1169"/>
        <v>0</v>
      </c>
      <c r="CY1389" s="3">
        <f t="shared" si="1169"/>
        <v>0</v>
      </c>
      <c r="CZ1389" s="3">
        <f t="shared" si="1169"/>
        <v>0</v>
      </c>
      <c r="DA1389" s="3">
        <f t="shared" si="1169"/>
        <v>0</v>
      </c>
      <c r="DB1389" s="3">
        <f t="shared" si="1169"/>
        <v>0</v>
      </c>
      <c r="DC1389" s="3">
        <f t="shared" si="1169"/>
        <v>0</v>
      </c>
      <c r="DD1389" s="3">
        <f t="shared" si="1169"/>
        <v>0</v>
      </c>
      <c r="DE1389" s="3">
        <f t="shared" si="1169"/>
        <v>0</v>
      </c>
      <c r="DF1389" s="3">
        <f t="shared" si="1169"/>
        <v>0</v>
      </c>
      <c r="DG1389" s="4">
        <f t="shared" ref="DG1389:EL1389" si="1170">DG1418</f>
        <v>221813.53</v>
      </c>
      <c r="DH1389" s="4">
        <f t="shared" si="1170"/>
        <v>221813.53</v>
      </c>
      <c r="DI1389" s="4">
        <f t="shared" si="1170"/>
        <v>0</v>
      </c>
      <c r="DJ1389" s="4">
        <f t="shared" si="1170"/>
        <v>0</v>
      </c>
      <c r="DK1389" s="4">
        <f t="shared" si="1170"/>
        <v>0</v>
      </c>
      <c r="DL1389" s="4">
        <f t="shared" si="1170"/>
        <v>0</v>
      </c>
      <c r="DM1389" s="4">
        <f t="shared" si="1170"/>
        <v>0</v>
      </c>
      <c r="DN1389" s="4">
        <f t="shared" si="1170"/>
        <v>0</v>
      </c>
      <c r="DO1389" s="4">
        <f t="shared" si="1170"/>
        <v>0</v>
      </c>
      <c r="DP1389" s="4">
        <f t="shared" si="1170"/>
        <v>0</v>
      </c>
      <c r="DQ1389" s="4">
        <f t="shared" si="1170"/>
        <v>0</v>
      </c>
      <c r="DR1389" s="4">
        <f t="shared" si="1170"/>
        <v>0</v>
      </c>
      <c r="DS1389" s="4">
        <f t="shared" si="1170"/>
        <v>0</v>
      </c>
      <c r="DT1389" s="4">
        <f t="shared" si="1170"/>
        <v>221813.53</v>
      </c>
      <c r="DU1389" s="4">
        <f t="shared" si="1170"/>
        <v>221813.53</v>
      </c>
      <c r="DV1389" s="4">
        <f t="shared" si="1170"/>
        <v>0</v>
      </c>
      <c r="DW1389" s="4">
        <f t="shared" si="1170"/>
        <v>0</v>
      </c>
      <c r="DX1389" s="4">
        <f t="shared" si="1170"/>
        <v>0</v>
      </c>
      <c r="DY1389" s="4">
        <f t="shared" si="1170"/>
        <v>0</v>
      </c>
      <c r="DZ1389" s="4">
        <f t="shared" si="1170"/>
        <v>0</v>
      </c>
      <c r="EA1389" s="4">
        <f t="shared" si="1170"/>
        <v>0</v>
      </c>
      <c r="EB1389" s="4">
        <f t="shared" si="1170"/>
        <v>0</v>
      </c>
      <c r="EC1389" s="4">
        <f t="shared" si="1170"/>
        <v>0</v>
      </c>
      <c r="ED1389" s="4">
        <f t="shared" si="1170"/>
        <v>0</v>
      </c>
      <c r="EE1389" s="4">
        <f t="shared" si="1170"/>
        <v>0</v>
      </c>
      <c r="EF1389" s="4">
        <f t="shared" si="1170"/>
        <v>0</v>
      </c>
      <c r="EG1389" s="4">
        <f t="shared" si="1170"/>
        <v>0</v>
      </c>
      <c r="EH1389" s="4">
        <f t="shared" si="1170"/>
        <v>117503.19</v>
      </c>
      <c r="EI1389" s="4">
        <f t="shared" si="1170"/>
        <v>0</v>
      </c>
      <c r="EJ1389" s="4">
        <f t="shared" si="1170"/>
        <v>221813.53</v>
      </c>
      <c r="EK1389" s="4">
        <f t="shared" si="1170"/>
        <v>104310.34</v>
      </c>
      <c r="EL1389" s="4">
        <f t="shared" si="1170"/>
        <v>0</v>
      </c>
      <c r="EM1389" s="4">
        <f t="shared" ref="EM1389:FR1389" si="1171">EM1418</f>
        <v>0</v>
      </c>
      <c r="EN1389" s="4">
        <f t="shared" si="1171"/>
        <v>221813.53</v>
      </c>
      <c r="EO1389" s="4">
        <f t="shared" si="1171"/>
        <v>104310.34</v>
      </c>
      <c r="EP1389" s="4">
        <f t="shared" si="1171"/>
        <v>0</v>
      </c>
      <c r="EQ1389" s="4">
        <f t="shared" si="1171"/>
        <v>104310.34</v>
      </c>
      <c r="ER1389" s="4">
        <f t="shared" si="1171"/>
        <v>117503.19</v>
      </c>
      <c r="ES1389" s="4">
        <f t="shared" si="1171"/>
        <v>0</v>
      </c>
      <c r="ET1389" s="4">
        <f t="shared" si="1171"/>
        <v>0</v>
      </c>
      <c r="EU1389" s="4">
        <f t="shared" si="1171"/>
        <v>0</v>
      </c>
      <c r="EV1389" s="4">
        <f t="shared" si="1171"/>
        <v>0</v>
      </c>
      <c r="EW1389" s="4">
        <f t="shared" si="1171"/>
        <v>0</v>
      </c>
      <c r="EX1389" s="4">
        <f t="shared" si="1171"/>
        <v>0</v>
      </c>
      <c r="EY1389" s="4">
        <f t="shared" si="1171"/>
        <v>0</v>
      </c>
      <c r="EZ1389" s="4">
        <f t="shared" si="1171"/>
        <v>0</v>
      </c>
      <c r="FA1389" s="4">
        <f t="shared" si="1171"/>
        <v>0</v>
      </c>
      <c r="FB1389" s="4">
        <f t="shared" si="1171"/>
        <v>0</v>
      </c>
      <c r="FC1389" s="4">
        <f t="shared" si="1171"/>
        <v>0</v>
      </c>
      <c r="FD1389" s="4">
        <f t="shared" si="1171"/>
        <v>0</v>
      </c>
      <c r="FE1389" s="4">
        <f t="shared" si="1171"/>
        <v>0</v>
      </c>
      <c r="FF1389" s="4">
        <f t="shared" si="1171"/>
        <v>0</v>
      </c>
      <c r="FG1389" s="4">
        <f t="shared" si="1171"/>
        <v>0</v>
      </c>
      <c r="FH1389" s="4">
        <f t="shared" si="1171"/>
        <v>0</v>
      </c>
      <c r="FI1389" s="4">
        <f t="shared" si="1171"/>
        <v>0</v>
      </c>
      <c r="FJ1389" s="4">
        <f t="shared" si="1171"/>
        <v>0</v>
      </c>
      <c r="FK1389" s="4">
        <f t="shared" si="1171"/>
        <v>0</v>
      </c>
      <c r="FL1389" s="4">
        <f t="shared" si="1171"/>
        <v>0</v>
      </c>
      <c r="FM1389" s="4">
        <f t="shared" si="1171"/>
        <v>0</v>
      </c>
      <c r="FN1389" s="4">
        <f t="shared" si="1171"/>
        <v>0</v>
      </c>
      <c r="FO1389" s="4">
        <f t="shared" si="1171"/>
        <v>0</v>
      </c>
      <c r="FP1389" s="4">
        <f t="shared" si="1171"/>
        <v>0</v>
      </c>
      <c r="FQ1389" s="4">
        <f t="shared" si="1171"/>
        <v>117503.19</v>
      </c>
      <c r="FR1389" s="4">
        <f t="shared" si="1171"/>
        <v>0</v>
      </c>
      <c r="FS1389" s="4">
        <f t="shared" ref="FS1389:GX1389" si="1172">FS1418</f>
        <v>221813.53</v>
      </c>
      <c r="FT1389" s="4">
        <f t="shared" si="1172"/>
        <v>104310.34</v>
      </c>
      <c r="FU1389" s="4">
        <f t="shared" si="1172"/>
        <v>0</v>
      </c>
      <c r="FV1389" s="4">
        <f t="shared" si="1172"/>
        <v>0</v>
      </c>
      <c r="FW1389" s="4">
        <f t="shared" si="1172"/>
        <v>221813.53</v>
      </c>
      <c r="FX1389" s="4">
        <f t="shared" si="1172"/>
        <v>104310.34</v>
      </c>
      <c r="FY1389" s="4">
        <f t="shared" si="1172"/>
        <v>0</v>
      </c>
      <c r="FZ1389" s="4">
        <f t="shared" si="1172"/>
        <v>104310.34</v>
      </c>
      <c r="GA1389" s="4">
        <f t="shared" si="1172"/>
        <v>117503.19</v>
      </c>
      <c r="GB1389" s="4">
        <f t="shared" si="1172"/>
        <v>0</v>
      </c>
      <c r="GC1389" s="4">
        <f t="shared" si="1172"/>
        <v>0</v>
      </c>
      <c r="GD1389" s="4">
        <f t="shared" si="1172"/>
        <v>0</v>
      </c>
      <c r="GE1389" s="4">
        <f t="shared" si="1172"/>
        <v>0</v>
      </c>
      <c r="GF1389" s="4">
        <f t="shared" si="1172"/>
        <v>0</v>
      </c>
      <c r="GG1389" s="4">
        <f t="shared" si="1172"/>
        <v>0</v>
      </c>
      <c r="GH1389" s="4">
        <f t="shared" si="1172"/>
        <v>0</v>
      </c>
      <c r="GI1389" s="4">
        <f t="shared" si="1172"/>
        <v>0</v>
      </c>
      <c r="GJ1389" s="4">
        <f t="shared" si="1172"/>
        <v>0</v>
      </c>
      <c r="GK1389" s="4">
        <f t="shared" si="1172"/>
        <v>0</v>
      </c>
      <c r="GL1389" s="4">
        <f t="shared" si="1172"/>
        <v>0</v>
      </c>
      <c r="GM1389" s="4">
        <f t="shared" si="1172"/>
        <v>0</v>
      </c>
      <c r="GN1389" s="4">
        <f t="shared" si="1172"/>
        <v>0</v>
      </c>
      <c r="GO1389" s="4">
        <f t="shared" si="1172"/>
        <v>0</v>
      </c>
      <c r="GP1389" s="4">
        <f t="shared" si="1172"/>
        <v>0</v>
      </c>
      <c r="GQ1389" s="4">
        <f t="shared" si="1172"/>
        <v>0</v>
      </c>
      <c r="GR1389" s="4">
        <f t="shared" si="1172"/>
        <v>0</v>
      </c>
      <c r="GS1389" s="4">
        <f t="shared" si="1172"/>
        <v>0</v>
      </c>
      <c r="GT1389" s="4">
        <f t="shared" si="1172"/>
        <v>0</v>
      </c>
      <c r="GU1389" s="4">
        <f t="shared" si="1172"/>
        <v>0</v>
      </c>
      <c r="GV1389" s="4">
        <f t="shared" si="1172"/>
        <v>0</v>
      </c>
      <c r="GW1389" s="4">
        <f t="shared" si="1172"/>
        <v>0</v>
      </c>
      <c r="GX1389" s="4">
        <f t="shared" si="1172"/>
        <v>0</v>
      </c>
    </row>
    <row r="1391" spans="1:255" x14ac:dyDescent="0.2">
      <c r="A1391" s="2">
        <v>17</v>
      </c>
      <c r="B1391" s="2">
        <v>1</v>
      </c>
      <c r="C1391" s="2"/>
      <c r="D1391" s="2"/>
      <c r="E1391" s="2" t="s">
        <v>3</v>
      </c>
      <c r="F1391" s="2" t="s">
        <v>248</v>
      </c>
      <c r="G1391" s="2" t="s">
        <v>1044</v>
      </c>
      <c r="H1391" s="2" t="s">
        <v>250</v>
      </c>
      <c r="I1391" s="2">
        <v>1</v>
      </c>
      <c r="J1391" s="2">
        <v>0</v>
      </c>
      <c r="K1391" s="2">
        <v>1</v>
      </c>
      <c r="L1391" s="2"/>
      <c r="M1391" s="2"/>
      <c r="N1391" s="2"/>
      <c r="O1391" s="2">
        <f t="shared" ref="O1391:O1416" si="1173">ROUND(CP1391,2)</f>
        <v>23418.68</v>
      </c>
      <c r="P1391" s="2">
        <f>ROUND(CQ1391*I1391,2)</f>
        <v>23418.68</v>
      </c>
      <c r="Q1391" s="2">
        <f>ROUND(CR1391*I1391,2)</f>
        <v>0</v>
      </c>
      <c r="R1391" s="2">
        <f>ROUND(CS1391*I1391,2)</f>
        <v>0</v>
      </c>
      <c r="S1391" s="2">
        <f>ROUND(CT1391*I1391,2)</f>
        <v>0</v>
      </c>
      <c r="T1391" s="2">
        <f t="shared" ref="T1391:T1416" si="1174">ROUND(CU1391*I1391,2)</f>
        <v>0</v>
      </c>
      <c r="U1391" s="2">
        <f t="shared" ref="U1391:U1416" si="1175">CV1391*I1391</f>
        <v>0</v>
      </c>
      <c r="V1391" s="2">
        <f t="shared" ref="V1391:V1416" si="1176">CW1391*I1391</f>
        <v>0</v>
      </c>
      <c r="W1391" s="2">
        <f t="shared" ref="W1391:W1416" si="1177">ROUND(CX1391*I1391,2)</f>
        <v>0</v>
      </c>
      <c r="X1391" s="2">
        <f t="shared" ref="X1391:X1416" si="1178">ROUND(CY1391,2)</f>
        <v>0</v>
      </c>
      <c r="Y1391" s="2">
        <f t="shared" ref="Y1391:Y1416" si="1179">ROUND(CZ1391,2)</f>
        <v>0</v>
      </c>
      <c r="Z1391" s="2"/>
      <c r="AA1391" s="2">
        <v>-1</v>
      </c>
      <c r="AB1391" s="2">
        <f t="shared" ref="AB1391:AB1416" si="1180">ROUND((AC1391+AD1391+AF1391),6)</f>
        <v>23418.68</v>
      </c>
      <c r="AC1391" s="2">
        <f t="shared" ref="AC1391:AF1392" si="1181">ROUND((ES1391),6)</f>
        <v>23418.68</v>
      </c>
      <c r="AD1391" s="2">
        <f t="shared" si="1181"/>
        <v>0</v>
      </c>
      <c r="AE1391" s="2">
        <f t="shared" si="1181"/>
        <v>0</v>
      </c>
      <c r="AF1391" s="2">
        <f t="shared" si="1181"/>
        <v>0</v>
      </c>
      <c r="AG1391" s="2">
        <f t="shared" ref="AG1391:AG1416" si="1182">ROUND((AP1391),6)</f>
        <v>0</v>
      </c>
      <c r="AH1391" s="2">
        <f t="shared" ref="AH1391:AH1416" si="1183">(EW1391)</f>
        <v>0</v>
      </c>
      <c r="AI1391" s="2">
        <f t="shared" ref="AI1391:AI1416" si="1184">(EX1391)</f>
        <v>0</v>
      </c>
      <c r="AJ1391" s="2">
        <f t="shared" ref="AJ1391:AJ1416" si="1185">(AS1391)</f>
        <v>0</v>
      </c>
      <c r="AK1391" s="2">
        <v>23418.679999999997</v>
      </c>
      <c r="AL1391" s="2">
        <v>23418.679999999997</v>
      </c>
      <c r="AM1391" s="2">
        <v>0</v>
      </c>
      <c r="AN1391" s="2">
        <v>0</v>
      </c>
      <c r="AO1391" s="2">
        <v>0</v>
      </c>
      <c r="AP1391" s="2">
        <v>0</v>
      </c>
      <c r="AQ1391" s="2">
        <v>0</v>
      </c>
      <c r="AR1391" s="2">
        <v>0</v>
      </c>
      <c r="AS1391" s="2">
        <v>0</v>
      </c>
      <c r="AT1391" s="2">
        <v>0</v>
      </c>
      <c r="AU1391" s="2">
        <v>0</v>
      </c>
      <c r="AV1391" s="2">
        <v>1</v>
      </c>
      <c r="AW1391" s="2">
        <v>1</v>
      </c>
      <c r="AX1391" s="2"/>
      <c r="AY1391" s="2"/>
      <c r="AZ1391" s="2">
        <v>1</v>
      </c>
      <c r="BA1391" s="2">
        <v>1</v>
      </c>
      <c r="BB1391" s="2">
        <v>1</v>
      </c>
      <c r="BC1391" s="2">
        <v>1</v>
      </c>
      <c r="BD1391" s="2" t="s">
        <v>3</v>
      </c>
      <c r="BE1391" s="2" t="s">
        <v>3</v>
      </c>
      <c r="BF1391" s="2" t="s">
        <v>3</v>
      </c>
      <c r="BG1391" s="2" t="s">
        <v>3</v>
      </c>
      <c r="BH1391" s="2">
        <v>3</v>
      </c>
      <c r="BI1391" s="2">
        <v>1</v>
      </c>
      <c r="BJ1391" s="2" t="s">
        <v>3</v>
      </c>
      <c r="BK1391" s="2"/>
      <c r="BL1391" s="2"/>
      <c r="BM1391" s="2">
        <v>700003</v>
      </c>
      <c r="BN1391" s="2">
        <v>0</v>
      </c>
      <c r="BO1391" s="2" t="s">
        <v>3</v>
      </c>
      <c r="BP1391" s="2">
        <v>0</v>
      </c>
      <c r="BQ1391" s="2">
        <v>206</v>
      </c>
      <c r="BR1391" s="2">
        <v>0</v>
      </c>
      <c r="BS1391" s="2">
        <v>1</v>
      </c>
      <c r="BT1391" s="2">
        <v>1</v>
      </c>
      <c r="BU1391" s="2">
        <v>1</v>
      </c>
      <c r="BV1391" s="2">
        <v>1</v>
      </c>
      <c r="BW1391" s="2">
        <v>1</v>
      </c>
      <c r="BX1391" s="2">
        <v>1</v>
      </c>
      <c r="BY1391" s="2" t="s">
        <v>3</v>
      </c>
      <c r="BZ1391" s="2">
        <v>0</v>
      </c>
      <c r="CA1391" s="2">
        <v>0</v>
      </c>
      <c r="CB1391" s="2" t="s">
        <v>3</v>
      </c>
      <c r="CC1391" s="2"/>
      <c r="CD1391" s="2"/>
      <c r="CE1391" s="2">
        <v>0</v>
      </c>
      <c r="CF1391" s="2">
        <v>0</v>
      </c>
      <c r="CG1391" s="2">
        <v>0</v>
      </c>
      <c r="CH1391" s="2"/>
      <c r="CI1391" s="2"/>
      <c r="CJ1391" s="2"/>
      <c r="CK1391" s="2"/>
      <c r="CL1391" s="2"/>
      <c r="CM1391" s="2">
        <v>0</v>
      </c>
      <c r="CN1391" s="2" t="s">
        <v>3</v>
      </c>
      <c r="CO1391" s="2">
        <v>0</v>
      </c>
      <c r="CP1391" s="2">
        <f t="shared" ref="CP1391:CP1416" si="1186">(P1391+Q1391+S1391)</f>
        <v>23418.68</v>
      </c>
      <c r="CQ1391" s="2">
        <f>(AC1391*BC1391*AW1391)</f>
        <v>23418.68</v>
      </c>
      <c r="CR1391" s="2">
        <f>AD1391*BB1391</f>
        <v>0</v>
      </c>
      <c r="CS1391" s="2">
        <f>AE1391*BS1391</f>
        <v>0</v>
      </c>
      <c r="CT1391" s="2">
        <f>AF1391*BA1391</f>
        <v>0</v>
      </c>
      <c r="CU1391" s="2">
        <f t="shared" ref="CU1391:CX1392" si="1187">AG1391</f>
        <v>0</v>
      </c>
      <c r="CV1391" s="2">
        <f t="shared" si="1187"/>
        <v>0</v>
      </c>
      <c r="CW1391" s="2">
        <f t="shared" si="1187"/>
        <v>0</v>
      </c>
      <c r="CX1391" s="2">
        <f t="shared" si="1187"/>
        <v>0</v>
      </c>
      <c r="CY1391" s="2">
        <f>0</f>
        <v>0</v>
      </c>
      <c r="CZ1391" s="2">
        <f>0</f>
        <v>0</v>
      </c>
      <c r="DA1391" s="2"/>
      <c r="DB1391" s="2"/>
      <c r="DC1391" s="2" t="s">
        <v>3</v>
      </c>
      <c r="DD1391" s="2" t="s">
        <v>3</v>
      </c>
      <c r="DE1391" s="2" t="s">
        <v>3</v>
      </c>
      <c r="DF1391" s="2" t="s">
        <v>3</v>
      </c>
      <c r="DG1391" s="2" t="s">
        <v>3</v>
      </c>
      <c r="DH1391" s="2" t="s">
        <v>3</v>
      </c>
      <c r="DI1391" s="2" t="s">
        <v>3</v>
      </c>
      <c r="DJ1391" s="2" t="s">
        <v>3</v>
      </c>
      <c r="DK1391" s="2" t="s">
        <v>3</v>
      </c>
      <c r="DL1391" s="2" t="s">
        <v>3</v>
      </c>
      <c r="DM1391" s="2" t="s">
        <v>3</v>
      </c>
      <c r="DN1391" s="2">
        <v>0</v>
      </c>
      <c r="DO1391" s="2">
        <v>0</v>
      </c>
      <c r="DP1391" s="2">
        <v>1</v>
      </c>
      <c r="DQ1391" s="2">
        <v>1</v>
      </c>
      <c r="DR1391" s="2"/>
      <c r="DS1391" s="2"/>
      <c r="DT1391" s="2"/>
      <c r="DU1391" s="2">
        <v>1010</v>
      </c>
      <c r="DV1391" s="2" t="s">
        <v>250</v>
      </c>
      <c r="DW1391" s="2" t="s">
        <v>250</v>
      </c>
      <c r="DX1391" s="2">
        <v>1</v>
      </c>
      <c r="DY1391" s="2"/>
      <c r="DZ1391" s="2" t="s">
        <v>3</v>
      </c>
      <c r="EA1391" s="2" t="s">
        <v>3</v>
      </c>
      <c r="EB1391" s="2" t="s">
        <v>3</v>
      </c>
      <c r="EC1391" s="2" t="s">
        <v>3</v>
      </c>
      <c r="ED1391" s="2"/>
      <c r="EE1391" s="2">
        <v>126053677</v>
      </c>
      <c r="EF1391" s="2">
        <v>206</v>
      </c>
      <c r="EG1391" s="2" t="s">
        <v>704</v>
      </c>
      <c r="EH1391" s="2">
        <v>0</v>
      </c>
      <c r="EI1391" s="2" t="s">
        <v>3</v>
      </c>
      <c r="EJ1391" s="2">
        <v>1</v>
      </c>
      <c r="EK1391" s="2">
        <v>700003</v>
      </c>
      <c r="EL1391" s="2" t="s">
        <v>704</v>
      </c>
      <c r="EM1391" s="2" t="s">
        <v>705</v>
      </c>
      <c r="EN1391" s="2"/>
      <c r="EO1391" s="2" t="s">
        <v>3</v>
      </c>
      <c r="EP1391" s="2"/>
      <c r="EQ1391" s="2">
        <v>132096</v>
      </c>
      <c r="ER1391" s="2">
        <v>17420.550000000003</v>
      </c>
      <c r="ES1391" s="2">
        <v>23418.679999999997</v>
      </c>
      <c r="ET1391" s="2">
        <v>0</v>
      </c>
      <c r="EU1391" s="2">
        <v>0</v>
      </c>
      <c r="EV1391" s="2">
        <v>0</v>
      </c>
      <c r="EW1391" s="2">
        <v>0</v>
      </c>
      <c r="EX1391" s="2">
        <v>0</v>
      </c>
      <c r="EY1391" s="2">
        <v>0</v>
      </c>
      <c r="EZ1391" s="2"/>
      <c r="FA1391" s="2"/>
      <c r="FB1391" s="2"/>
      <c r="FC1391" s="2"/>
      <c r="FD1391" s="2"/>
      <c r="FE1391" s="2"/>
      <c r="FF1391" s="2"/>
      <c r="FG1391" s="2"/>
      <c r="FH1391" s="2"/>
      <c r="FI1391" s="2"/>
      <c r="FJ1391" s="2"/>
      <c r="FK1391" s="2"/>
      <c r="FL1391" s="2"/>
      <c r="FM1391" s="2"/>
      <c r="FN1391" s="2"/>
      <c r="FO1391" s="2"/>
      <c r="FP1391" s="2"/>
      <c r="FQ1391" s="2">
        <v>0</v>
      </c>
      <c r="FR1391" s="2">
        <f t="shared" ref="FR1391:FR1416" si="1188">ROUND(IF(AND(BH1391=3,BI1391=3),P1391,0),2)</f>
        <v>0</v>
      </c>
      <c r="FS1391" s="2">
        <v>0</v>
      </c>
      <c r="FT1391" s="2"/>
      <c r="FU1391" s="2"/>
      <c r="FV1391" s="2"/>
      <c r="FW1391" s="2"/>
      <c r="FX1391" s="2">
        <v>0</v>
      </c>
      <c r="FY1391" s="2">
        <v>0</v>
      </c>
      <c r="FZ1391" s="2"/>
      <c r="GA1391" s="2" t="s">
        <v>3</v>
      </c>
      <c r="GB1391" s="2"/>
      <c r="GC1391" s="2"/>
      <c r="GD1391" s="2">
        <v>0</v>
      </c>
      <c r="GE1391" s="2"/>
      <c r="GF1391" s="2">
        <v>314888835</v>
      </c>
      <c r="GG1391" s="2">
        <v>2</v>
      </c>
      <c r="GH1391" s="2">
        <v>0</v>
      </c>
      <c r="GI1391" s="2">
        <v>-2</v>
      </c>
      <c r="GJ1391" s="2">
        <v>0</v>
      </c>
      <c r="GK1391" s="2">
        <f>ROUND(R1391*(R12)/100,2)</f>
        <v>0</v>
      </c>
      <c r="GL1391" s="2">
        <f t="shared" ref="GL1391:GL1416" si="1189">ROUND(IF(AND(BH1391=3,BI1391=3,FS1391&lt;&gt;0),P1391,0),2)</f>
        <v>0</v>
      </c>
      <c r="GM1391" s="2">
        <f t="shared" ref="GM1391:GM1416" si="1190">ROUND(O1391+X1391+Y1391+GK1391,2)+GX1391</f>
        <v>23418.68</v>
      </c>
      <c r="GN1391" s="2">
        <f t="shared" ref="GN1391:GN1416" si="1191">IF(OR(BI1391=0,BI1391=1),ROUND(O1391+X1391+Y1391+GK1391,2),0)</f>
        <v>23418.68</v>
      </c>
      <c r="GO1391" s="2">
        <f t="shared" ref="GO1391:GO1416" si="1192">IF(BI1391=2,ROUND(O1391+X1391+Y1391+GK1391,2),0)</f>
        <v>0</v>
      </c>
      <c r="GP1391" s="2">
        <f t="shared" ref="GP1391:GP1416" si="1193">IF(BI1391=4,ROUND(O1391+X1391+Y1391+GK1391,2)+GX1391,0)</f>
        <v>0</v>
      </c>
      <c r="GQ1391" s="2"/>
      <c r="GR1391" s="2">
        <v>0</v>
      </c>
      <c r="GS1391" s="2">
        <v>0</v>
      </c>
      <c r="GT1391" s="2">
        <v>0</v>
      </c>
      <c r="GU1391" s="2" t="s">
        <v>3</v>
      </c>
      <c r="GV1391" s="2">
        <f t="shared" ref="GV1391:GV1416" si="1194">ROUND((GT1391),6)</f>
        <v>0</v>
      </c>
      <c r="GW1391" s="2">
        <v>1</v>
      </c>
      <c r="GX1391" s="2">
        <f t="shared" ref="GX1391:GX1416" si="1195">ROUND(HC1391*I1391,2)</f>
        <v>0</v>
      </c>
      <c r="GY1391" s="2"/>
      <c r="GZ1391" s="2"/>
      <c r="HA1391" s="2">
        <v>0</v>
      </c>
      <c r="HB1391" s="2">
        <v>0</v>
      </c>
      <c r="HC1391" s="2">
        <f t="shared" ref="HC1391:HC1416" si="1196">GV1391*GW1391</f>
        <v>0</v>
      </c>
      <c r="HD1391" s="2"/>
      <c r="HE1391" s="2" t="s">
        <v>3</v>
      </c>
      <c r="HF1391" s="2" t="s">
        <v>3</v>
      </c>
      <c r="HG1391" s="2"/>
      <c r="HH1391" s="2"/>
      <c r="HI1391" s="2"/>
      <c r="HJ1391" s="2"/>
      <c r="HK1391" s="2"/>
      <c r="HL1391" s="2"/>
      <c r="HM1391" s="2" t="s">
        <v>3</v>
      </c>
      <c r="HN1391" s="2" t="s">
        <v>3</v>
      </c>
      <c r="HO1391" s="2" t="s">
        <v>3</v>
      </c>
      <c r="HP1391" s="2" t="s">
        <v>3</v>
      </c>
      <c r="HQ1391" s="2" t="s">
        <v>3</v>
      </c>
      <c r="HR1391" s="2"/>
      <c r="HS1391" s="2"/>
      <c r="HT1391" s="2"/>
      <c r="HU1391" s="2"/>
      <c r="HV1391" s="2"/>
      <c r="HW1391" s="2"/>
      <c r="HX1391" s="2"/>
      <c r="HY1391" s="2"/>
      <c r="HZ1391" s="2"/>
      <c r="IA1391" s="2"/>
      <c r="IB1391" s="2"/>
      <c r="IC1391" s="2"/>
      <c r="ID1391" s="2"/>
      <c r="IE1391" s="2"/>
      <c r="IF1391" s="2"/>
      <c r="IG1391" s="2"/>
      <c r="IH1391" s="2"/>
      <c r="II1391" s="2"/>
      <c r="IJ1391" s="2"/>
      <c r="IK1391" s="2">
        <v>0</v>
      </c>
      <c r="IL1391" s="2"/>
      <c r="IM1391" s="2"/>
      <c r="IN1391" s="2"/>
      <c r="IO1391" s="2"/>
      <c r="IP1391" s="2"/>
      <c r="IQ1391" s="2"/>
      <c r="IR1391" s="2"/>
      <c r="IS1391" s="2"/>
      <c r="IT1391" s="2"/>
      <c r="IU1391" s="2"/>
    </row>
    <row r="1392" spans="1:255" x14ac:dyDescent="0.2">
      <c r="A1392">
        <v>17</v>
      </c>
      <c r="B1392">
        <v>1</v>
      </c>
      <c r="E1392" t="s">
        <v>3</v>
      </c>
      <c r="F1392" t="s">
        <v>248</v>
      </c>
      <c r="G1392" t="s">
        <v>1044</v>
      </c>
      <c r="H1392" t="s">
        <v>250</v>
      </c>
      <c r="I1392">
        <v>1</v>
      </c>
      <c r="J1392">
        <v>0</v>
      </c>
      <c r="K1392">
        <v>1</v>
      </c>
      <c r="O1392">
        <f t="shared" si="1173"/>
        <v>115498.26</v>
      </c>
      <c r="P1392">
        <f>ROUND(CQ1392*I1392,2)</f>
        <v>115498.26</v>
      </c>
      <c r="Q1392">
        <f>ROUND(CR1392*I1392,2)</f>
        <v>0</v>
      </c>
      <c r="R1392">
        <f>ROUND(CS1392*I1392,2)</f>
        <v>0</v>
      </c>
      <c r="S1392">
        <f>ROUND(CT1392*I1392,2)</f>
        <v>0</v>
      </c>
      <c r="T1392">
        <f t="shared" si="1174"/>
        <v>0</v>
      </c>
      <c r="U1392">
        <f t="shared" si="1175"/>
        <v>0</v>
      </c>
      <c r="V1392">
        <f t="shared" si="1176"/>
        <v>0</v>
      </c>
      <c r="W1392">
        <f t="shared" si="1177"/>
        <v>0</v>
      </c>
      <c r="X1392">
        <f t="shared" si="1178"/>
        <v>0</v>
      </c>
      <c r="Y1392">
        <f t="shared" si="1179"/>
        <v>0</v>
      </c>
      <c r="AA1392">
        <v>-1</v>
      </c>
      <c r="AB1392">
        <f t="shared" si="1180"/>
        <v>13352.4</v>
      </c>
      <c r="AC1392">
        <f t="shared" si="1181"/>
        <v>13352.4</v>
      </c>
      <c r="AD1392">
        <f t="shared" si="1181"/>
        <v>0</v>
      </c>
      <c r="AE1392">
        <f t="shared" si="1181"/>
        <v>0</v>
      </c>
      <c r="AF1392">
        <f t="shared" si="1181"/>
        <v>0</v>
      </c>
      <c r="AG1392">
        <f t="shared" si="1182"/>
        <v>0</v>
      </c>
      <c r="AH1392">
        <f t="shared" si="1183"/>
        <v>0</v>
      </c>
      <c r="AI1392">
        <f t="shared" si="1184"/>
        <v>0</v>
      </c>
      <c r="AJ1392">
        <f t="shared" si="1185"/>
        <v>0</v>
      </c>
      <c r="AK1392">
        <v>13352.4</v>
      </c>
      <c r="AL1392">
        <v>13352.4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1</v>
      </c>
      <c r="AW1392">
        <v>1</v>
      </c>
      <c r="AZ1392">
        <v>1</v>
      </c>
      <c r="BA1392">
        <v>1</v>
      </c>
      <c r="BB1392">
        <v>1</v>
      </c>
      <c r="BC1392">
        <v>8.65</v>
      </c>
      <c r="BD1392" t="s">
        <v>3</v>
      </c>
      <c r="BE1392" t="s">
        <v>3</v>
      </c>
      <c r="BF1392" t="s">
        <v>3</v>
      </c>
      <c r="BG1392" t="s">
        <v>3</v>
      </c>
      <c r="BH1392">
        <v>3</v>
      </c>
      <c r="BI1392">
        <v>1</v>
      </c>
      <c r="BJ1392" t="s">
        <v>3</v>
      </c>
      <c r="BM1392">
        <v>700003</v>
      </c>
      <c r="BN1392">
        <v>0</v>
      </c>
      <c r="BO1392" t="s">
        <v>3</v>
      </c>
      <c r="BP1392">
        <v>0</v>
      </c>
      <c r="BQ1392">
        <v>206</v>
      </c>
      <c r="BR1392">
        <v>0</v>
      </c>
      <c r="BS1392">
        <v>1</v>
      </c>
      <c r="BT1392">
        <v>1</v>
      </c>
      <c r="BU1392">
        <v>1</v>
      </c>
      <c r="BV1392">
        <v>1</v>
      </c>
      <c r="BW1392">
        <v>1</v>
      </c>
      <c r="BX1392">
        <v>1</v>
      </c>
      <c r="BY1392" t="s">
        <v>3</v>
      </c>
      <c r="BZ1392">
        <v>0</v>
      </c>
      <c r="CA1392">
        <v>0</v>
      </c>
      <c r="CB1392" t="s">
        <v>3</v>
      </c>
      <c r="CE1392">
        <v>0</v>
      </c>
      <c r="CF1392">
        <v>0</v>
      </c>
      <c r="CG1392">
        <v>0</v>
      </c>
      <c r="CM1392">
        <v>0</v>
      </c>
      <c r="CN1392" t="s">
        <v>3</v>
      </c>
      <c r="CO1392">
        <v>0</v>
      </c>
      <c r="CP1392">
        <f t="shared" si="1186"/>
        <v>115498.26</v>
      </c>
      <c r="CQ1392">
        <f>(AC1392*BC1392*AW1392)</f>
        <v>115498.26</v>
      </c>
      <c r="CR1392">
        <f>AD1392*BB1392</f>
        <v>0</v>
      </c>
      <c r="CS1392">
        <f>AE1392*BS1392</f>
        <v>0</v>
      </c>
      <c r="CT1392">
        <f>AF1392*BA1392</f>
        <v>0</v>
      </c>
      <c r="CU1392">
        <f t="shared" si="1187"/>
        <v>0</v>
      </c>
      <c r="CV1392">
        <f t="shared" si="1187"/>
        <v>0</v>
      </c>
      <c r="CW1392">
        <f t="shared" si="1187"/>
        <v>0</v>
      </c>
      <c r="CX1392">
        <f t="shared" si="1187"/>
        <v>0</v>
      </c>
      <c r="CY1392">
        <f>S1392*(BZ1392/100)</f>
        <v>0</v>
      </c>
      <c r="CZ1392">
        <f>S1392*(CA1392/100)</f>
        <v>0</v>
      </c>
      <c r="DC1392" t="s">
        <v>3</v>
      </c>
      <c r="DD1392" t="s">
        <v>3</v>
      </c>
      <c r="DE1392" t="s">
        <v>3</v>
      </c>
      <c r="DF1392" t="s">
        <v>3</v>
      </c>
      <c r="DG1392" t="s">
        <v>3</v>
      </c>
      <c r="DH1392" t="s">
        <v>3</v>
      </c>
      <c r="DI1392" t="s">
        <v>3</v>
      </c>
      <c r="DJ1392" t="s">
        <v>3</v>
      </c>
      <c r="DK1392" t="s">
        <v>3</v>
      </c>
      <c r="DL1392" t="s">
        <v>3</v>
      </c>
      <c r="DM1392" t="s">
        <v>3</v>
      </c>
      <c r="DN1392">
        <v>0</v>
      </c>
      <c r="DO1392">
        <v>0</v>
      </c>
      <c r="DP1392">
        <v>1</v>
      </c>
      <c r="DQ1392">
        <v>1</v>
      </c>
      <c r="DU1392">
        <v>1010</v>
      </c>
      <c r="DV1392" t="s">
        <v>250</v>
      </c>
      <c r="DW1392" t="s">
        <v>250</v>
      </c>
      <c r="DX1392">
        <v>1</v>
      </c>
      <c r="DZ1392" t="s">
        <v>3</v>
      </c>
      <c r="EA1392" t="s">
        <v>3</v>
      </c>
      <c r="EB1392" t="s">
        <v>3</v>
      </c>
      <c r="EC1392" t="s">
        <v>3</v>
      </c>
      <c r="EE1392">
        <v>126053677</v>
      </c>
      <c r="EF1392">
        <v>206</v>
      </c>
      <c r="EG1392" t="s">
        <v>704</v>
      </c>
      <c r="EH1392">
        <v>0</v>
      </c>
      <c r="EI1392" t="s">
        <v>3</v>
      </c>
      <c r="EJ1392">
        <v>1</v>
      </c>
      <c r="EK1392">
        <v>700003</v>
      </c>
      <c r="EL1392" t="s">
        <v>704</v>
      </c>
      <c r="EM1392" t="s">
        <v>705</v>
      </c>
      <c r="EO1392" t="s">
        <v>3</v>
      </c>
      <c r="EQ1392">
        <v>132096</v>
      </c>
      <c r="ER1392">
        <v>17420.550000000003</v>
      </c>
      <c r="ES1392">
        <v>13352.4</v>
      </c>
      <c r="ET1392">
        <v>0</v>
      </c>
      <c r="EU1392">
        <v>0</v>
      </c>
      <c r="EV1392">
        <v>0</v>
      </c>
      <c r="EW1392">
        <v>0</v>
      </c>
      <c r="EX1392">
        <v>0</v>
      </c>
      <c r="EY1392">
        <v>0</v>
      </c>
      <c r="EZ1392">
        <v>5</v>
      </c>
      <c r="FC1392">
        <v>1</v>
      </c>
      <c r="FD1392">
        <v>18</v>
      </c>
      <c r="FF1392">
        <v>135880.31</v>
      </c>
      <c r="FQ1392">
        <v>0</v>
      </c>
      <c r="FR1392">
        <f t="shared" si="1188"/>
        <v>0</v>
      </c>
      <c r="FS1392">
        <v>0</v>
      </c>
      <c r="FX1392">
        <v>0</v>
      </c>
      <c r="FY1392">
        <v>0</v>
      </c>
      <c r="GA1392" t="s">
        <v>1045</v>
      </c>
      <c r="GD1392">
        <v>0</v>
      </c>
      <c r="GF1392">
        <v>314888835</v>
      </c>
      <c r="GG1392">
        <v>2</v>
      </c>
      <c r="GH1392">
        <v>3</v>
      </c>
      <c r="GI1392">
        <v>5</v>
      </c>
      <c r="GJ1392">
        <v>0</v>
      </c>
      <c r="GK1392">
        <f>ROUND(R1392*(S12)/100,2)</f>
        <v>0</v>
      </c>
      <c r="GL1392">
        <f t="shared" si="1189"/>
        <v>0</v>
      </c>
      <c r="GM1392">
        <f t="shared" si="1190"/>
        <v>115498.26</v>
      </c>
      <c r="GN1392">
        <f t="shared" si="1191"/>
        <v>115498.26</v>
      </c>
      <c r="GO1392">
        <f t="shared" si="1192"/>
        <v>0</v>
      </c>
      <c r="GP1392">
        <f t="shared" si="1193"/>
        <v>0</v>
      </c>
      <c r="GR1392">
        <v>1</v>
      </c>
      <c r="GS1392">
        <v>1</v>
      </c>
      <c r="GT1392">
        <v>0</v>
      </c>
      <c r="GU1392" t="s">
        <v>3</v>
      </c>
      <c r="GV1392">
        <f t="shared" si="1194"/>
        <v>0</v>
      </c>
      <c r="GW1392">
        <v>1</v>
      </c>
      <c r="GX1392">
        <f t="shared" si="1195"/>
        <v>0</v>
      </c>
      <c r="HA1392">
        <v>0</v>
      </c>
      <c r="HB1392">
        <v>0</v>
      </c>
      <c r="HC1392">
        <f t="shared" si="1196"/>
        <v>0</v>
      </c>
      <c r="HE1392" t="s">
        <v>81</v>
      </c>
      <c r="HF1392" t="s">
        <v>252</v>
      </c>
      <c r="HM1392" t="s">
        <v>3</v>
      </c>
      <c r="HN1392" t="s">
        <v>3</v>
      </c>
      <c r="HO1392" t="s">
        <v>3</v>
      </c>
      <c r="HP1392" t="s">
        <v>3</v>
      </c>
      <c r="HQ1392" t="s">
        <v>3</v>
      </c>
      <c r="IK1392">
        <v>0</v>
      </c>
    </row>
    <row r="1393" spans="1:255" x14ac:dyDescent="0.2">
      <c r="A1393" s="2">
        <v>17</v>
      </c>
      <c r="B1393" s="2">
        <v>1</v>
      </c>
      <c r="C1393" s="2"/>
      <c r="D1393" s="2"/>
      <c r="E1393" s="2" t="s">
        <v>124</v>
      </c>
      <c r="F1393" s="2" t="s">
        <v>1046</v>
      </c>
      <c r="G1393" s="2" t="s">
        <v>1047</v>
      </c>
      <c r="H1393" s="2" t="s">
        <v>238</v>
      </c>
      <c r="I1393" s="2">
        <v>1</v>
      </c>
      <c r="J1393" s="2">
        <v>0</v>
      </c>
      <c r="K1393" s="2">
        <v>1</v>
      </c>
      <c r="L1393" s="2"/>
      <c r="M1393" s="2"/>
      <c r="N1393" s="2"/>
      <c r="O1393" s="2">
        <f t="shared" si="1173"/>
        <v>573.29999999999995</v>
      </c>
      <c r="P1393" s="2">
        <f>ROUND((ROUND((AC1393*I1393),2)*BC1393),2)</f>
        <v>573.29999999999995</v>
      </c>
      <c r="Q1393" s="2">
        <f>(ROUND((ROUND(((ET1393)*AV1393*I1393),2)*BB1393),2)+ROUND((ROUND(((AE1393-(EU1393))*AV1393*I1393),2)*BS1393),2))</f>
        <v>0</v>
      </c>
      <c r="R1393" s="2">
        <f>ROUND((ROUND((AE1393*AV1393*I1393),2)*BS1393),2)</f>
        <v>0</v>
      </c>
      <c r="S1393" s="2">
        <f>ROUND((ROUND((AF1393*AV1393*I1393),2)*BA1393),2)</f>
        <v>0</v>
      </c>
      <c r="T1393" s="2">
        <f t="shared" si="1174"/>
        <v>0</v>
      </c>
      <c r="U1393" s="2">
        <f t="shared" si="1175"/>
        <v>0</v>
      </c>
      <c r="V1393" s="2">
        <f t="shared" si="1176"/>
        <v>0</v>
      </c>
      <c r="W1393" s="2">
        <f t="shared" si="1177"/>
        <v>0</v>
      </c>
      <c r="X1393" s="2">
        <f t="shared" si="1178"/>
        <v>0</v>
      </c>
      <c r="Y1393" s="2">
        <f t="shared" si="1179"/>
        <v>0</v>
      </c>
      <c r="Z1393" s="2"/>
      <c r="AA1393" s="2">
        <v>129761636</v>
      </c>
      <c r="AB1393" s="2">
        <f t="shared" si="1180"/>
        <v>573.29999999999995</v>
      </c>
      <c r="AC1393" s="2">
        <f t="shared" ref="AC1393:AC1416" si="1197">ROUND((ES1393),6)</f>
        <v>573.29999999999995</v>
      </c>
      <c r="AD1393" s="2">
        <f>ROUND((((ET1393)-(EU1393))+AE1393),6)</f>
        <v>0</v>
      </c>
      <c r="AE1393" s="2">
        <f t="shared" ref="AE1393:AE1416" si="1198">ROUND((EU1393),6)</f>
        <v>0</v>
      </c>
      <c r="AF1393" s="2">
        <f t="shared" ref="AF1393:AF1416" si="1199">ROUND((EV1393),6)</f>
        <v>0</v>
      </c>
      <c r="AG1393" s="2">
        <f t="shared" si="1182"/>
        <v>0</v>
      </c>
      <c r="AH1393" s="2">
        <f t="shared" si="1183"/>
        <v>0</v>
      </c>
      <c r="AI1393" s="2">
        <f t="shared" si="1184"/>
        <v>0</v>
      </c>
      <c r="AJ1393" s="2">
        <f t="shared" si="1185"/>
        <v>0</v>
      </c>
      <c r="AK1393" s="2">
        <v>573.29999999999995</v>
      </c>
      <c r="AL1393" s="2">
        <v>573.29999999999995</v>
      </c>
      <c r="AM1393" s="2">
        <v>0</v>
      </c>
      <c r="AN1393" s="2">
        <v>0</v>
      </c>
      <c r="AO1393" s="2">
        <v>0</v>
      </c>
      <c r="AP1393" s="2">
        <v>0</v>
      </c>
      <c r="AQ1393" s="2">
        <v>0</v>
      </c>
      <c r="AR1393" s="2">
        <v>0</v>
      </c>
      <c r="AS1393" s="2">
        <v>0</v>
      </c>
      <c r="AT1393" s="2">
        <v>0</v>
      </c>
      <c r="AU1393" s="2">
        <v>0</v>
      </c>
      <c r="AV1393" s="2">
        <v>1</v>
      </c>
      <c r="AW1393" s="2">
        <v>1</v>
      </c>
      <c r="AX1393" s="2"/>
      <c r="AY1393" s="2"/>
      <c r="AZ1393" s="2">
        <v>1</v>
      </c>
      <c r="BA1393" s="2">
        <v>1</v>
      </c>
      <c r="BB1393" s="2">
        <v>1</v>
      </c>
      <c r="BC1393" s="2">
        <v>1</v>
      </c>
      <c r="BD1393" s="2" t="s">
        <v>3</v>
      </c>
      <c r="BE1393" s="2" t="s">
        <v>3</v>
      </c>
      <c r="BF1393" s="2" t="s">
        <v>3</v>
      </c>
      <c r="BG1393" s="2" t="s">
        <v>3</v>
      </c>
      <c r="BH1393" s="2">
        <v>3</v>
      </c>
      <c r="BI1393" s="2">
        <v>3</v>
      </c>
      <c r="BJ1393" s="2" t="s">
        <v>1048</v>
      </c>
      <c r="BK1393" s="2"/>
      <c r="BL1393" s="2"/>
      <c r="BM1393" s="2">
        <v>746</v>
      </c>
      <c r="BN1393" s="2">
        <v>0</v>
      </c>
      <c r="BO1393" s="2" t="s">
        <v>3</v>
      </c>
      <c r="BP1393" s="2">
        <v>0</v>
      </c>
      <c r="BQ1393" s="2">
        <v>130</v>
      </c>
      <c r="BR1393" s="2">
        <v>0</v>
      </c>
      <c r="BS1393" s="2">
        <v>1</v>
      </c>
      <c r="BT1393" s="2">
        <v>1</v>
      </c>
      <c r="BU1393" s="2">
        <v>1</v>
      </c>
      <c r="BV1393" s="2">
        <v>1</v>
      </c>
      <c r="BW1393" s="2">
        <v>1</v>
      </c>
      <c r="BX1393" s="2">
        <v>1</v>
      </c>
      <c r="BY1393" s="2" t="s">
        <v>3</v>
      </c>
      <c r="BZ1393" s="2">
        <v>0</v>
      </c>
      <c r="CA1393" s="2">
        <v>0</v>
      </c>
      <c r="CB1393" s="2" t="s">
        <v>3</v>
      </c>
      <c r="CC1393" s="2"/>
      <c r="CD1393" s="2"/>
      <c r="CE1393" s="2">
        <v>30</v>
      </c>
      <c r="CF1393" s="2">
        <v>0</v>
      </c>
      <c r="CG1393" s="2">
        <v>0</v>
      </c>
      <c r="CH1393" s="2"/>
      <c r="CI1393" s="2"/>
      <c r="CJ1393" s="2"/>
      <c r="CK1393" s="2"/>
      <c r="CL1393" s="2"/>
      <c r="CM1393" s="2">
        <v>0</v>
      </c>
      <c r="CN1393" s="2" t="s">
        <v>3</v>
      </c>
      <c r="CO1393" s="2">
        <v>0</v>
      </c>
      <c r="CP1393" s="2">
        <f t="shared" si="1186"/>
        <v>573.29999999999995</v>
      </c>
      <c r="CQ1393" s="2">
        <f>ROUND((ROUND((AC1393*1),2)*BC1393),2)</f>
        <v>573.29999999999995</v>
      </c>
      <c r="CR1393" s="2">
        <f>(ROUND((ROUND(((ET1393)*AV1393*1),2)*BB1393),2)+ROUND((ROUND(((AE1393-(EU1393))*AV1393*1),2)*BS1393),2))</f>
        <v>0</v>
      </c>
      <c r="CS1393" s="2">
        <f>ROUND((ROUND((AE1393*AV1393*1),2)*BS1393),2)</f>
        <v>0</v>
      </c>
      <c r="CT1393" s="2">
        <f>ROUND((ROUND((AF1393*AV1393*1),2)*BA1393),2)</f>
        <v>0</v>
      </c>
      <c r="CU1393" s="2">
        <f t="shared" ref="CU1393:CU1416" si="1200">AG1393</f>
        <v>0</v>
      </c>
      <c r="CV1393" s="2">
        <f>(AH1393*AV1393)</f>
        <v>0</v>
      </c>
      <c r="CW1393" s="2">
        <f t="shared" ref="CW1393:CW1416" si="1201">AI1393</f>
        <v>0</v>
      </c>
      <c r="CX1393" s="2">
        <f t="shared" ref="CX1393:CX1416" si="1202">AJ1393</f>
        <v>0</v>
      </c>
      <c r="CY1393" s="2">
        <f>((S1393*BZ1393)/100)</f>
        <v>0</v>
      </c>
      <c r="CZ1393" s="2">
        <f>((S1393*CA1393)/100)</f>
        <v>0</v>
      </c>
      <c r="DA1393" s="2"/>
      <c r="DB1393" s="2"/>
      <c r="DC1393" s="2" t="s">
        <v>3</v>
      </c>
      <c r="DD1393" s="2" t="s">
        <v>3</v>
      </c>
      <c r="DE1393" s="2" t="s">
        <v>3</v>
      </c>
      <c r="DF1393" s="2" t="s">
        <v>3</v>
      </c>
      <c r="DG1393" s="2" t="s">
        <v>3</v>
      </c>
      <c r="DH1393" s="2" t="s">
        <v>3</v>
      </c>
      <c r="DI1393" s="2" t="s">
        <v>3</v>
      </c>
      <c r="DJ1393" s="2" t="s">
        <v>3</v>
      </c>
      <c r="DK1393" s="2" t="s">
        <v>3</v>
      </c>
      <c r="DL1393" s="2" t="s">
        <v>3</v>
      </c>
      <c r="DM1393" s="2" t="s">
        <v>3</v>
      </c>
      <c r="DN1393" s="2">
        <v>0</v>
      </c>
      <c r="DO1393" s="2">
        <v>0</v>
      </c>
      <c r="DP1393" s="2">
        <v>1</v>
      </c>
      <c r="DQ1393" s="2">
        <v>1</v>
      </c>
      <c r="DR1393" s="2"/>
      <c r="DS1393" s="2"/>
      <c r="DT1393" s="2"/>
      <c r="DU1393" s="2">
        <v>1013</v>
      </c>
      <c r="DV1393" s="2" t="s">
        <v>238</v>
      </c>
      <c r="DW1393" s="2" t="s">
        <v>238</v>
      </c>
      <c r="DX1393" s="2">
        <v>1</v>
      </c>
      <c r="DY1393" s="2"/>
      <c r="DZ1393" s="2" t="s">
        <v>3</v>
      </c>
      <c r="EA1393" s="2" t="s">
        <v>3</v>
      </c>
      <c r="EB1393" s="2" t="s">
        <v>3</v>
      </c>
      <c r="EC1393" s="2" t="s">
        <v>3</v>
      </c>
      <c r="ED1393" s="2"/>
      <c r="EE1393" s="2">
        <v>126052207</v>
      </c>
      <c r="EF1393" s="2">
        <v>130</v>
      </c>
      <c r="EG1393" s="2" t="s">
        <v>712</v>
      </c>
      <c r="EH1393" s="2">
        <v>0</v>
      </c>
      <c r="EI1393" s="2" t="s">
        <v>3</v>
      </c>
      <c r="EJ1393" s="2">
        <v>3</v>
      </c>
      <c r="EK1393" s="2">
        <v>746</v>
      </c>
      <c r="EL1393" s="2" t="s">
        <v>713</v>
      </c>
      <c r="EM1393" s="2" t="s">
        <v>714</v>
      </c>
      <c r="EN1393" s="2"/>
      <c r="EO1393" s="2" t="s">
        <v>3</v>
      </c>
      <c r="EP1393" s="2"/>
      <c r="EQ1393" s="2">
        <v>131072</v>
      </c>
      <c r="ER1393" s="2">
        <v>573.29999999999995</v>
      </c>
      <c r="ES1393" s="2">
        <v>573.29999999999995</v>
      </c>
      <c r="ET1393" s="2">
        <v>0</v>
      </c>
      <c r="EU1393" s="2">
        <v>0</v>
      </c>
      <c r="EV1393" s="2">
        <v>0</v>
      </c>
      <c r="EW1393" s="2">
        <v>0</v>
      </c>
      <c r="EX1393" s="2">
        <v>0</v>
      </c>
      <c r="EY1393" s="2">
        <v>0</v>
      </c>
      <c r="EZ1393" s="2"/>
      <c r="FA1393" s="2"/>
      <c r="FB1393" s="2"/>
      <c r="FC1393" s="2"/>
      <c r="FD1393" s="2"/>
      <c r="FE1393" s="2"/>
      <c r="FF1393" s="2"/>
      <c r="FG1393" s="2"/>
      <c r="FH1393" s="2"/>
      <c r="FI1393" s="2"/>
      <c r="FJ1393" s="2"/>
      <c r="FK1393" s="2"/>
      <c r="FL1393" s="2"/>
      <c r="FM1393" s="2"/>
      <c r="FN1393" s="2"/>
      <c r="FO1393" s="2"/>
      <c r="FP1393" s="2"/>
      <c r="FQ1393" s="2">
        <v>0</v>
      </c>
      <c r="FR1393" s="2">
        <f t="shared" si="1188"/>
        <v>573.29999999999995</v>
      </c>
      <c r="FS1393" s="2">
        <v>0</v>
      </c>
      <c r="FT1393" s="2"/>
      <c r="FU1393" s="2"/>
      <c r="FV1393" s="2"/>
      <c r="FW1393" s="2"/>
      <c r="FX1393" s="2">
        <v>0</v>
      </c>
      <c r="FY1393" s="2">
        <v>0</v>
      </c>
      <c r="FZ1393" s="2"/>
      <c r="GA1393" s="2" t="s">
        <v>3</v>
      </c>
      <c r="GB1393" s="2"/>
      <c r="GC1393" s="2"/>
      <c r="GD1393" s="2">
        <v>0</v>
      </c>
      <c r="GE1393" s="2"/>
      <c r="GF1393" s="2">
        <v>970619288</v>
      </c>
      <c r="GG1393" s="2">
        <v>2</v>
      </c>
      <c r="GH1393" s="2">
        <v>1</v>
      </c>
      <c r="GI1393" s="2">
        <v>-2</v>
      </c>
      <c r="GJ1393" s="2">
        <v>0</v>
      </c>
      <c r="GK1393" s="2">
        <f>ROUND(R1393*(R12)/100,2)</f>
        <v>0</v>
      </c>
      <c r="GL1393" s="2">
        <f t="shared" si="1189"/>
        <v>0</v>
      </c>
      <c r="GM1393" s="2">
        <f t="shared" si="1190"/>
        <v>573.29999999999995</v>
      </c>
      <c r="GN1393" s="2">
        <f t="shared" si="1191"/>
        <v>0</v>
      </c>
      <c r="GO1393" s="2">
        <f t="shared" si="1192"/>
        <v>0</v>
      </c>
      <c r="GP1393" s="2">
        <f t="shared" si="1193"/>
        <v>0</v>
      </c>
      <c r="GQ1393" s="2"/>
      <c r="GR1393" s="2">
        <v>0</v>
      </c>
      <c r="GS1393" s="2">
        <v>0</v>
      </c>
      <c r="GT1393" s="2">
        <v>0</v>
      </c>
      <c r="GU1393" s="2" t="s">
        <v>3</v>
      </c>
      <c r="GV1393" s="2">
        <f t="shared" si="1194"/>
        <v>0</v>
      </c>
      <c r="GW1393" s="2">
        <v>1</v>
      </c>
      <c r="GX1393" s="2">
        <f t="shared" si="1195"/>
        <v>0</v>
      </c>
      <c r="GY1393" s="2"/>
      <c r="GZ1393" s="2"/>
      <c r="HA1393" s="2">
        <v>0</v>
      </c>
      <c r="HB1393" s="2">
        <v>0</v>
      </c>
      <c r="HC1393" s="2">
        <f t="shared" si="1196"/>
        <v>0</v>
      </c>
      <c r="HD1393" s="2"/>
      <c r="HE1393" s="2" t="s">
        <v>3</v>
      </c>
      <c r="HF1393" s="2" t="s">
        <v>3</v>
      </c>
      <c r="HG1393" s="2"/>
      <c r="HH1393" s="2"/>
      <c r="HI1393" s="2"/>
      <c r="HJ1393" s="2"/>
      <c r="HK1393" s="2"/>
      <c r="HL1393" s="2"/>
      <c r="HM1393" s="2" t="s">
        <v>3</v>
      </c>
      <c r="HN1393" s="2" t="s">
        <v>3</v>
      </c>
      <c r="HO1393" s="2" t="s">
        <v>3</v>
      </c>
      <c r="HP1393" s="2" t="s">
        <v>3</v>
      </c>
      <c r="HQ1393" s="2" t="s">
        <v>3</v>
      </c>
      <c r="HR1393" s="2"/>
      <c r="HS1393" s="2"/>
      <c r="HT1393" s="2"/>
      <c r="HU1393" s="2"/>
      <c r="HV1393" s="2"/>
      <c r="HW1393" s="2"/>
      <c r="HX1393" s="2"/>
      <c r="HY1393" s="2"/>
      <c r="HZ1393" s="2"/>
      <c r="IA1393" s="2"/>
      <c r="IB1393" s="2"/>
      <c r="IC1393" s="2"/>
      <c r="ID1393" s="2"/>
      <c r="IE1393" s="2"/>
      <c r="IF1393" s="2"/>
      <c r="IG1393" s="2"/>
      <c r="IH1393" s="2"/>
      <c r="II1393" s="2"/>
      <c r="IJ1393" s="2"/>
      <c r="IK1393" s="2">
        <v>0</v>
      </c>
      <c r="IL1393" s="2"/>
      <c r="IM1393" s="2"/>
      <c r="IN1393" s="2"/>
      <c r="IO1393" s="2"/>
      <c r="IP1393" s="2"/>
      <c r="IQ1393" s="2"/>
      <c r="IR1393" s="2"/>
      <c r="IS1393" s="2"/>
      <c r="IT1393" s="2"/>
      <c r="IU1393" s="2"/>
    </row>
    <row r="1394" spans="1:255" x14ac:dyDescent="0.2">
      <c r="A1394">
        <v>17</v>
      </c>
      <c r="B1394">
        <v>1</v>
      </c>
      <c r="E1394" t="s">
        <v>124</v>
      </c>
      <c r="F1394" t="s">
        <v>1046</v>
      </c>
      <c r="G1394" t="s">
        <v>1047</v>
      </c>
      <c r="H1394" t="s">
        <v>238</v>
      </c>
      <c r="I1394">
        <v>1</v>
      </c>
      <c r="J1394">
        <v>0</v>
      </c>
      <c r="K1394">
        <v>1</v>
      </c>
      <c r="O1394">
        <f t="shared" si="1173"/>
        <v>1926.29</v>
      </c>
      <c r="P1394">
        <f>ROUND((ROUND((AC1394*I1394),2)*BC1394),2)</f>
        <v>1926.29</v>
      </c>
      <c r="Q1394">
        <f>(ROUND((ROUND(((ET1394)*AV1394*I1394),2)*BB1394),2)+ROUND((ROUND(((AE1394-(EU1394))*AV1394*I1394),2)*BS1394),2))</f>
        <v>0</v>
      </c>
      <c r="R1394">
        <f>ROUND((ROUND((AE1394*AV1394*I1394),2)*BS1394),2)</f>
        <v>0</v>
      </c>
      <c r="S1394">
        <f>ROUND((ROUND((AF1394*AV1394*I1394),2)*BA1394),2)</f>
        <v>0</v>
      </c>
      <c r="T1394">
        <f t="shared" si="1174"/>
        <v>0</v>
      </c>
      <c r="U1394">
        <f t="shared" si="1175"/>
        <v>0</v>
      </c>
      <c r="V1394">
        <f t="shared" si="1176"/>
        <v>0</v>
      </c>
      <c r="W1394">
        <f t="shared" si="1177"/>
        <v>0</v>
      </c>
      <c r="X1394">
        <f t="shared" si="1178"/>
        <v>0</v>
      </c>
      <c r="Y1394">
        <f t="shared" si="1179"/>
        <v>0</v>
      </c>
      <c r="AA1394">
        <v>129761633</v>
      </c>
      <c r="AB1394">
        <f t="shared" si="1180"/>
        <v>573.29999999999995</v>
      </c>
      <c r="AC1394">
        <f t="shared" si="1197"/>
        <v>573.29999999999995</v>
      </c>
      <c r="AD1394">
        <f>ROUND((((ET1394)-(EU1394))+AE1394),6)</f>
        <v>0</v>
      </c>
      <c r="AE1394">
        <f t="shared" si="1198"/>
        <v>0</v>
      </c>
      <c r="AF1394">
        <f t="shared" si="1199"/>
        <v>0</v>
      </c>
      <c r="AG1394">
        <f t="shared" si="1182"/>
        <v>0</v>
      </c>
      <c r="AH1394">
        <f t="shared" si="1183"/>
        <v>0</v>
      </c>
      <c r="AI1394">
        <f t="shared" si="1184"/>
        <v>0</v>
      </c>
      <c r="AJ1394">
        <f t="shared" si="1185"/>
        <v>0</v>
      </c>
      <c r="AK1394">
        <v>573.29999999999995</v>
      </c>
      <c r="AL1394">
        <v>573.29999999999995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1</v>
      </c>
      <c r="AW1394">
        <v>1</v>
      </c>
      <c r="AZ1394">
        <v>1</v>
      </c>
      <c r="BA1394">
        <v>1</v>
      </c>
      <c r="BB1394">
        <v>1</v>
      </c>
      <c r="BC1394">
        <v>3.36</v>
      </c>
      <c r="BD1394" t="s">
        <v>3</v>
      </c>
      <c r="BE1394" t="s">
        <v>3</v>
      </c>
      <c r="BF1394" t="s">
        <v>3</v>
      </c>
      <c r="BG1394" t="s">
        <v>3</v>
      </c>
      <c r="BH1394">
        <v>3</v>
      </c>
      <c r="BI1394">
        <v>3</v>
      </c>
      <c r="BJ1394" t="s">
        <v>1048</v>
      </c>
      <c r="BM1394">
        <v>746</v>
      </c>
      <c r="BN1394">
        <v>0</v>
      </c>
      <c r="BO1394" t="s">
        <v>3</v>
      </c>
      <c r="BP1394">
        <v>0</v>
      </c>
      <c r="BQ1394">
        <v>130</v>
      </c>
      <c r="BR1394">
        <v>0</v>
      </c>
      <c r="BS1394">
        <v>1</v>
      </c>
      <c r="BT1394">
        <v>1</v>
      </c>
      <c r="BU1394">
        <v>1</v>
      </c>
      <c r="BV1394">
        <v>1</v>
      </c>
      <c r="BW1394">
        <v>1</v>
      </c>
      <c r="BX1394">
        <v>1</v>
      </c>
      <c r="BY1394" t="s">
        <v>3</v>
      </c>
      <c r="BZ1394">
        <v>0</v>
      </c>
      <c r="CA1394">
        <v>0</v>
      </c>
      <c r="CB1394" t="s">
        <v>3</v>
      </c>
      <c r="CE1394">
        <v>30</v>
      </c>
      <c r="CF1394">
        <v>0</v>
      </c>
      <c r="CG1394">
        <v>0</v>
      </c>
      <c r="CM1394">
        <v>0</v>
      </c>
      <c r="CN1394" t="s">
        <v>3</v>
      </c>
      <c r="CO1394">
        <v>0</v>
      </c>
      <c r="CP1394">
        <f t="shared" si="1186"/>
        <v>1926.29</v>
      </c>
      <c r="CQ1394">
        <f>ROUND((ROUND((AC1394*1),2)*BC1394),2)</f>
        <v>1926.29</v>
      </c>
      <c r="CR1394">
        <f>(ROUND((ROUND(((ET1394)*AV1394*1),2)*BB1394),2)+ROUND((ROUND(((AE1394-(EU1394))*AV1394*1),2)*BS1394),2))</f>
        <v>0</v>
      </c>
      <c r="CS1394">
        <f>ROUND((ROUND((AE1394*AV1394*1),2)*BS1394),2)</f>
        <v>0</v>
      </c>
      <c r="CT1394">
        <f>ROUND((ROUND((AF1394*AV1394*1),2)*BA1394),2)</f>
        <v>0</v>
      </c>
      <c r="CU1394">
        <f t="shared" si="1200"/>
        <v>0</v>
      </c>
      <c r="CV1394">
        <f>(AH1394*AV1394)</f>
        <v>0</v>
      </c>
      <c r="CW1394">
        <f t="shared" si="1201"/>
        <v>0</v>
      </c>
      <c r="CX1394">
        <f t="shared" si="1202"/>
        <v>0</v>
      </c>
      <c r="CY1394">
        <f>S1394*(BZ1394/100)</f>
        <v>0</v>
      </c>
      <c r="CZ1394">
        <f>S1394*(CA1394/100)</f>
        <v>0</v>
      </c>
      <c r="DC1394" t="s">
        <v>3</v>
      </c>
      <c r="DD1394" t="s">
        <v>3</v>
      </c>
      <c r="DE1394" t="s">
        <v>3</v>
      </c>
      <c r="DF1394" t="s">
        <v>3</v>
      </c>
      <c r="DG1394" t="s">
        <v>3</v>
      </c>
      <c r="DH1394" t="s">
        <v>3</v>
      </c>
      <c r="DI1394" t="s">
        <v>3</v>
      </c>
      <c r="DJ1394" t="s">
        <v>3</v>
      </c>
      <c r="DK1394" t="s">
        <v>3</v>
      </c>
      <c r="DL1394" t="s">
        <v>3</v>
      </c>
      <c r="DM1394" t="s">
        <v>3</v>
      </c>
      <c r="DN1394">
        <v>0</v>
      </c>
      <c r="DO1394">
        <v>0</v>
      </c>
      <c r="DP1394">
        <v>1</v>
      </c>
      <c r="DQ1394">
        <v>1</v>
      </c>
      <c r="DU1394">
        <v>1013</v>
      </c>
      <c r="DV1394" t="s">
        <v>238</v>
      </c>
      <c r="DW1394" t="s">
        <v>238</v>
      </c>
      <c r="DX1394">
        <v>1</v>
      </c>
      <c r="DZ1394" t="s">
        <v>3</v>
      </c>
      <c r="EA1394" t="s">
        <v>3</v>
      </c>
      <c r="EB1394" t="s">
        <v>3</v>
      </c>
      <c r="EC1394" t="s">
        <v>3</v>
      </c>
      <c r="EE1394">
        <v>126052207</v>
      </c>
      <c r="EF1394">
        <v>130</v>
      </c>
      <c r="EG1394" t="s">
        <v>712</v>
      </c>
      <c r="EH1394">
        <v>0</v>
      </c>
      <c r="EI1394" t="s">
        <v>3</v>
      </c>
      <c r="EJ1394">
        <v>3</v>
      </c>
      <c r="EK1394">
        <v>746</v>
      </c>
      <c r="EL1394" t="s">
        <v>713</v>
      </c>
      <c r="EM1394" t="s">
        <v>714</v>
      </c>
      <c r="EO1394" t="s">
        <v>3</v>
      </c>
      <c r="EQ1394">
        <v>131072</v>
      </c>
      <c r="ER1394">
        <v>573.29999999999995</v>
      </c>
      <c r="ES1394">
        <v>573.29999999999995</v>
      </c>
      <c r="ET1394">
        <v>0</v>
      </c>
      <c r="EU1394">
        <v>0</v>
      </c>
      <c r="EV1394">
        <v>0</v>
      </c>
      <c r="EW1394">
        <v>0</v>
      </c>
      <c r="EX1394">
        <v>0</v>
      </c>
      <c r="EY1394">
        <v>0</v>
      </c>
      <c r="FQ1394">
        <v>0</v>
      </c>
      <c r="FR1394">
        <f t="shared" si="1188"/>
        <v>1926.29</v>
      </c>
      <c r="FS1394">
        <v>0</v>
      </c>
      <c r="FX1394">
        <v>0</v>
      </c>
      <c r="FY1394">
        <v>0</v>
      </c>
      <c r="GA1394" t="s">
        <v>3</v>
      </c>
      <c r="GD1394">
        <v>0</v>
      </c>
      <c r="GF1394">
        <v>970619288</v>
      </c>
      <c r="GG1394">
        <v>2</v>
      </c>
      <c r="GH1394">
        <v>1</v>
      </c>
      <c r="GI1394">
        <v>2</v>
      </c>
      <c r="GJ1394">
        <v>0</v>
      </c>
      <c r="GK1394">
        <f>ROUND(R1394*(S12)/100,2)</f>
        <v>0</v>
      </c>
      <c r="GL1394">
        <f t="shared" si="1189"/>
        <v>0</v>
      </c>
      <c r="GM1394">
        <f t="shared" si="1190"/>
        <v>1926.29</v>
      </c>
      <c r="GN1394">
        <f t="shared" si="1191"/>
        <v>0</v>
      </c>
      <c r="GO1394">
        <f t="shared" si="1192"/>
        <v>0</v>
      </c>
      <c r="GP1394">
        <f t="shared" si="1193"/>
        <v>0</v>
      </c>
      <c r="GR1394">
        <v>0</v>
      </c>
      <c r="GS1394">
        <v>3</v>
      </c>
      <c r="GT1394">
        <v>0</v>
      </c>
      <c r="GU1394" t="s">
        <v>3</v>
      </c>
      <c r="GV1394">
        <f t="shared" si="1194"/>
        <v>0</v>
      </c>
      <c r="GW1394">
        <v>1</v>
      </c>
      <c r="GX1394">
        <f t="shared" si="1195"/>
        <v>0</v>
      </c>
      <c r="HA1394">
        <v>0</v>
      </c>
      <c r="HB1394">
        <v>0</v>
      </c>
      <c r="HC1394">
        <f t="shared" si="1196"/>
        <v>0</v>
      </c>
      <c r="HE1394" t="s">
        <v>3</v>
      </c>
      <c r="HF1394" t="s">
        <v>3</v>
      </c>
      <c r="HM1394" t="s">
        <v>3</v>
      </c>
      <c r="HN1394" t="s">
        <v>3</v>
      </c>
      <c r="HO1394" t="s">
        <v>3</v>
      </c>
      <c r="HP1394" t="s">
        <v>3</v>
      </c>
      <c r="HQ1394" t="s">
        <v>3</v>
      </c>
      <c r="IK1394">
        <v>0</v>
      </c>
    </row>
    <row r="1395" spans="1:255" x14ac:dyDescent="0.2">
      <c r="A1395" s="2">
        <v>17</v>
      </c>
      <c r="B1395" s="2">
        <v>1</v>
      </c>
      <c r="C1395" s="2"/>
      <c r="D1395" s="2"/>
      <c r="E1395" s="2" t="s">
        <v>3</v>
      </c>
      <c r="F1395" s="2" t="s">
        <v>248</v>
      </c>
      <c r="G1395" s="2" t="s">
        <v>1049</v>
      </c>
      <c r="H1395" s="2" t="s">
        <v>250</v>
      </c>
      <c r="I1395" s="2">
        <v>4</v>
      </c>
      <c r="J1395" s="2">
        <v>0</v>
      </c>
      <c r="K1395" s="2">
        <v>4</v>
      </c>
      <c r="L1395" s="2"/>
      <c r="M1395" s="2"/>
      <c r="N1395" s="2"/>
      <c r="O1395" s="2">
        <f t="shared" si="1173"/>
        <v>9754.92</v>
      </c>
      <c r="P1395" s="2">
        <f>ROUND(CQ1395*I1395,2)</f>
        <v>9754.92</v>
      </c>
      <c r="Q1395" s="2">
        <f>ROUND(CR1395*I1395,2)</f>
        <v>0</v>
      </c>
      <c r="R1395" s="2">
        <f>ROUND(CS1395*I1395,2)</f>
        <v>0</v>
      </c>
      <c r="S1395" s="2">
        <f>ROUND(CT1395*I1395,2)</f>
        <v>0</v>
      </c>
      <c r="T1395" s="2">
        <f t="shared" si="1174"/>
        <v>0</v>
      </c>
      <c r="U1395" s="2">
        <f t="shared" si="1175"/>
        <v>0</v>
      </c>
      <c r="V1395" s="2">
        <f t="shared" si="1176"/>
        <v>0</v>
      </c>
      <c r="W1395" s="2">
        <f t="shared" si="1177"/>
        <v>0</v>
      </c>
      <c r="X1395" s="2">
        <f t="shared" si="1178"/>
        <v>0</v>
      </c>
      <c r="Y1395" s="2">
        <f t="shared" si="1179"/>
        <v>0</v>
      </c>
      <c r="Z1395" s="2"/>
      <c r="AA1395" s="2">
        <v>-1</v>
      </c>
      <c r="AB1395" s="2">
        <f t="shared" si="1180"/>
        <v>2438.73</v>
      </c>
      <c r="AC1395" s="2">
        <f t="shared" si="1197"/>
        <v>2438.73</v>
      </c>
      <c r="AD1395" s="2">
        <f>ROUND((ET1395),6)</f>
        <v>0</v>
      </c>
      <c r="AE1395" s="2">
        <f t="shared" si="1198"/>
        <v>0</v>
      </c>
      <c r="AF1395" s="2">
        <f t="shared" si="1199"/>
        <v>0</v>
      </c>
      <c r="AG1395" s="2">
        <f t="shared" si="1182"/>
        <v>0</v>
      </c>
      <c r="AH1395" s="2">
        <f t="shared" si="1183"/>
        <v>0</v>
      </c>
      <c r="AI1395" s="2">
        <f t="shared" si="1184"/>
        <v>0</v>
      </c>
      <c r="AJ1395" s="2">
        <f t="shared" si="1185"/>
        <v>0</v>
      </c>
      <c r="AK1395" s="2">
        <v>2438.73</v>
      </c>
      <c r="AL1395" s="2">
        <v>2438.73</v>
      </c>
      <c r="AM1395" s="2">
        <v>0</v>
      </c>
      <c r="AN1395" s="2">
        <v>0</v>
      </c>
      <c r="AO1395" s="2">
        <v>0</v>
      </c>
      <c r="AP1395" s="2">
        <v>0</v>
      </c>
      <c r="AQ1395" s="2">
        <v>0</v>
      </c>
      <c r="AR1395" s="2">
        <v>0</v>
      </c>
      <c r="AS1395" s="2">
        <v>0</v>
      </c>
      <c r="AT1395" s="2">
        <v>0</v>
      </c>
      <c r="AU1395" s="2">
        <v>0</v>
      </c>
      <c r="AV1395" s="2">
        <v>1</v>
      </c>
      <c r="AW1395" s="2">
        <v>1</v>
      </c>
      <c r="AX1395" s="2"/>
      <c r="AY1395" s="2"/>
      <c r="AZ1395" s="2">
        <v>1</v>
      </c>
      <c r="BA1395" s="2">
        <v>1</v>
      </c>
      <c r="BB1395" s="2">
        <v>1</v>
      </c>
      <c r="BC1395" s="2">
        <v>1</v>
      </c>
      <c r="BD1395" s="2" t="s">
        <v>3</v>
      </c>
      <c r="BE1395" s="2" t="s">
        <v>3</v>
      </c>
      <c r="BF1395" s="2" t="s">
        <v>3</v>
      </c>
      <c r="BG1395" s="2" t="s">
        <v>3</v>
      </c>
      <c r="BH1395" s="2">
        <v>3</v>
      </c>
      <c r="BI1395" s="2">
        <v>1</v>
      </c>
      <c r="BJ1395" s="2" t="s">
        <v>3</v>
      </c>
      <c r="BK1395" s="2"/>
      <c r="BL1395" s="2"/>
      <c r="BM1395" s="2">
        <v>700003</v>
      </c>
      <c r="BN1395" s="2">
        <v>0</v>
      </c>
      <c r="BO1395" s="2" t="s">
        <v>3</v>
      </c>
      <c r="BP1395" s="2">
        <v>0</v>
      </c>
      <c r="BQ1395" s="2">
        <v>206</v>
      </c>
      <c r="BR1395" s="2">
        <v>0</v>
      </c>
      <c r="BS1395" s="2">
        <v>1</v>
      </c>
      <c r="BT1395" s="2">
        <v>1</v>
      </c>
      <c r="BU1395" s="2">
        <v>1</v>
      </c>
      <c r="BV1395" s="2">
        <v>1</v>
      </c>
      <c r="BW1395" s="2">
        <v>1</v>
      </c>
      <c r="BX1395" s="2">
        <v>1</v>
      </c>
      <c r="BY1395" s="2" t="s">
        <v>3</v>
      </c>
      <c r="BZ1395" s="2">
        <v>0</v>
      </c>
      <c r="CA1395" s="2">
        <v>0</v>
      </c>
      <c r="CB1395" s="2" t="s">
        <v>3</v>
      </c>
      <c r="CC1395" s="2"/>
      <c r="CD1395" s="2"/>
      <c r="CE1395" s="2">
        <v>0</v>
      </c>
      <c r="CF1395" s="2">
        <v>0</v>
      </c>
      <c r="CG1395" s="2">
        <v>0</v>
      </c>
      <c r="CH1395" s="2"/>
      <c r="CI1395" s="2"/>
      <c r="CJ1395" s="2"/>
      <c r="CK1395" s="2"/>
      <c r="CL1395" s="2"/>
      <c r="CM1395" s="2">
        <v>0</v>
      </c>
      <c r="CN1395" s="2" t="s">
        <v>3</v>
      </c>
      <c r="CO1395" s="2">
        <v>0</v>
      </c>
      <c r="CP1395" s="2">
        <f t="shared" si="1186"/>
        <v>9754.92</v>
      </c>
      <c r="CQ1395" s="2">
        <f>(AC1395*BC1395*AW1395)</f>
        <v>2438.73</v>
      </c>
      <c r="CR1395" s="2">
        <f>AD1395*BB1395</f>
        <v>0</v>
      </c>
      <c r="CS1395" s="2">
        <f>AE1395*BS1395</f>
        <v>0</v>
      </c>
      <c r="CT1395" s="2">
        <f>AF1395*BA1395</f>
        <v>0</v>
      </c>
      <c r="CU1395" s="2">
        <f t="shared" si="1200"/>
        <v>0</v>
      </c>
      <c r="CV1395" s="2">
        <f>AH1395</f>
        <v>0</v>
      </c>
      <c r="CW1395" s="2">
        <f t="shared" si="1201"/>
        <v>0</v>
      </c>
      <c r="CX1395" s="2">
        <f t="shared" si="1202"/>
        <v>0</v>
      </c>
      <c r="CY1395" s="2">
        <f>0</f>
        <v>0</v>
      </c>
      <c r="CZ1395" s="2">
        <f>0</f>
        <v>0</v>
      </c>
      <c r="DA1395" s="2"/>
      <c r="DB1395" s="2"/>
      <c r="DC1395" s="2" t="s">
        <v>3</v>
      </c>
      <c r="DD1395" s="2" t="s">
        <v>3</v>
      </c>
      <c r="DE1395" s="2" t="s">
        <v>3</v>
      </c>
      <c r="DF1395" s="2" t="s">
        <v>3</v>
      </c>
      <c r="DG1395" s="2" t="s">
        <v>3</v>
      </c>
      <c r="DH1395" s="2" t="s">
        <v>3</v>
      </c>
      <c r="DI1395" s="2" t="s">
        <v>3</v>
      </c>
      <c r="DJ1395" s="2" t="s">
        <v>3</v>
      </c>
      <c r="DK1395" s="2" t="s">
        <v>3</v>
      </c>
      <c r="DL1395" s="2" t="s">
        <v>3</v>
      </c>
      <c r="DM1395" s="2" t="s">
        <v>3</v>
      </c>
      <c r="DN1395" s="2">
        <v>0</v>
      </c>
      <c r="DO1395" s="2">
        <v>0</v>
      </c>
      <c r="DP1395" s="2">
        <v>1</v>
      </c>
      <c r="DQ1395" s="2">
        <v>1</v>
      </c>
      <c r="DR1395" s="2"/>
      <c r="DS1395" s="2"/>
      <c r="DT1395" s="2"/>
      <c r="DU1395" s="2">
        <v>1010</v>
      </c>
      <c r="DV1395" s="2" t="s">
        <v>250</v>
      </c>
      <c r="DW1395" s="2" t="s">
        <v>250</v>
      </c>
      <c r="DX1395" s="2">
        <v>1</v>
      </c>
      <c r="DY1395" s="2"/>
      <c r="DZ1395" s="2" t="s">
        <v>3</v>
      </c>
      <c r="EA1395" s="2" t="s">
        <v>3</v>
      </c>
      <c r="EB1395" s="2" t="s">
        <v>3</v>
      </c>
      <c r="EC1395" s="2" t="s">
        <v>3</v>
      </c>
      <c r="ED1395" s="2"/>
      <c r="EE1395" s="2">
        <v>126053677</v>
      </c>
      <c r="EF1395" s="2">
        <v>206</v>
      </c>
      <c r="EG1395" s="2" t="s">
        <v>704</v>
      </c>
      <c r="EH1395" s="2">
        <v>0</v>
      </c>
      <c r="EI1395" s="2" t="s">
        <v>3</v>
      </c>
      <c r="EJ1395" s="2">
        <v>1</v>
      </c>
      <c r="EK1395" s="2">
        <v>700003</v>
      </c>
      <c r="EL1395" s="2" t="s">
        <v>704</v>
      </c>
      <c r="EM1395" s="2" t="s">
        <v>705</v>
      </c>
      <c r="EN1395" s="2"/>
      <c r="EO1395" s="2" t="s">
        <v>3</v>
      </c>
      <c r="EP1395" s="2"/>
      <c r="EQ1395" s="2">
        <v>132096</v>
      </c>
      <c r="ER1395" s="2">
        <v>2438.73</v>
      </c>
      <c r="ES1395" s="2">
        <v>2438.73</v>
      </c>
      <c r="ET1395" s="2">
        <v>0</v>
      </c>
      <c r="EU1395" s="2">
        <v>0</v>
      </c>
      <c r="EV1395" s="2">
        <v>0</v>
      </c>
      <c r="EW1395" s="2">
        <v>0</v>
      </c>
      <c r="EX1395" s="2">
        <v>0</v>
      </c>
      <c r="EY1395" s="2">
        <v>0</v>
      </c>
      <c r="EZ1395" s="2"/>
      <c r="FA1395" s="2"/>
      <c r="FB1395" s="2"/>
      <c r="FC1395" s="2"/>
      <c r="FD1395" s="2"/>
      <c r="FE1395" s="2"/>
      <c r="FF1395" s="2"/>
      <c r="FG1395" s="2"/>
      <c r="FH1395" s="2"/>
      <c r="FI1395" s="2"/>
      <c r="FJ1395" s="2"/>
      <c r="FK1395" s="2"/>
      <c r="FL1395" s="2"/>
      <c r="FM1395" s="2"/>
      <c r="FN1395" s="2"/>
      <c r="FO1395" s="2"/>
      <c r="FP1395" s="2"/>
      <c r="FQ1395" s="2">
        <v>0</v>
      </c>
      <c r="FR1395" s="2">
        <f t="shared" si="1188"/>
        <v>0</v>
      </c>
      <c r="FS1395" s="2">
        <v>0</v>
      </c>
      <c r="FT1395" s="2"/>
      <c r="FU1395" s="2"/>
      <c r="FV1395" s="2"/>
      <c r="FW1395" s="2"/>
      <c r="FX1395" s="2">
        <v>0</v>
      </c>
      <c r="FY1395" s="2">
        <v>0</v>
      </c>
      <c r="FZ1395" s="2"/>
      <c r="GA1395" s="2" t="s">
        <v>3</v>
      </c>
      <c r="GB1395" s="2"/>
      <c r="GC1395" s="2"/>
      <c r="GD1395" s="2">
        <v>0</v>
      </c>
      <c r="GE1395" s="2"/>
      <c r="GF1395" s="2">
        <v>-1972174488</v>
      </c>
      <c r="GG1395" s="2">
        <v>2</v>
      </c>
      <c r="GH1395" s="2">
        <v>0</v>
      </c>
      <c r="GI1395" s="2">
        <v>-2</v>
      </c>
      <c r="GJ1395" s="2">
        <v>0</v>
      </c>
      <c r="GK1395" s="2">
        <f>ROUND(R1395*(R12)/100,2)</f>
        <v>0</v>
      </c>
      <c r="GL1395" s="2">
        <f t="shared" si="1189"/>
        <v>0</v>
      </c>
      <c r="GM1395" s="2">
        <f t="shared" si="1190"/>
        <v>9754.92</v>
      </c>
      <c r="GN1395" s="2">
        <f t="shared" si="1191"/>
        <v>9754.92</v>
      </c>
      <c r="GO1395" s="2">
        <f t="shared" si="1192"/>
        <v>0</v>
      </c>
      <c r="GP1395" s="2">
        <f t="shared" si="1193"/>
        <v>0</v>
      </c>
      <c r="GQ1395" s="2"/>
      <c r="GR1395" s="2">
        <v>0</v>
      </c>
      <c r="GS1395" s="2">
        <v>0</v>
      </c>
      <c r="GT1395" s="2">
        <v>0</v>
      </c>
      <c r="GU1395" s="2" t="s">
        <v>3</v>
      </c>
      <c r="GV1395" s="2">
        <f t="shared" si="1194"/>
        <v>0</v>
      </c>
      <c r="GW1395" s="2">
        <v>1</v>
      </c>
      <c r="GX1395" s="2">
        <f t="shared" si="1195"/>
        <v>0</v>
      </c>
      <c r="GY1395" s="2"/>
      <c r="GZ1395" s="2"/>
      <c r="HA1395" s="2">
        <v>0</v>
      </c>
      <c r="HB1395" s="2">
        <v>0</v>
      </c>
      <c r="HC1395" s="2">
        <f t="shared" si="1196"/>
        <v>0</v>
      </c>
      <c r="HD1395" s="2"/>
      <c r="HE1395" s="2" t="s">
        <v>3</v>
      </c>
      <c r="HF1395" s="2" t="s">
        <v>3</v>
      </c>
      <c r="HG1395" s="2"/>
      <c r="HH1395" s="2"/>
      <c r="HI1395" s="2"/>
      <c r="HJ1395" s="2"/>
      <c r="HK1395" s="2"/>
      <c r="HL1395" s="2"/>
      <c r="HM1395" s="2" t="s">
        <v>3</v>
      </c>
      <c r="HN1395" s="2" t="s">
        <v>3</v>
      </c>
      <c r="HO1395" s="2" t="s">
        <v>3</v>
      </c>
      <c r="HP1395" s="2" t="s">
        <v>3</v>
      </c>
      <c r="HQ1395" s="2" t="s">
        <v>3</v>
      </c>
      <c r="HR1395" s="2"/>
      <c r="HS1395" s="2"/>
      <c r="HT1395" s="2"/>
      <c r="HU1395" s="2"/>
      <c r="HV1395" s="2"/>
      <c r="HW1395" s="2"/>
      <c r="HX1395" s="2"/>
      <c r="HY1395" s="2"/>
      <c r="HZ1395" s="2"/>
      <c r="IA1395" s="2"/>
      <c r="IB1395" s="2"/>
      <c r="IC1395" s="2"/>
      <c r="ID1395" s="2"/>
      <c r="IE1395" s="2"/>
      <c r="IF1395" s="2"/>
      <c r="IG1395" s="2"/>
      <c r="IH1395" s="2"/>
      <c r="II1395" s="2"/>
      <c r="IJ1395" s="2"/>
      <c r="IK1395" s="2">
        <v>0</v>
      </c>
      <c r="IL1395" s="2"/>
      <c r="IM1395" s="2"/>
      <c r="IN1395" s="2"/>
      <c r="IO1395" s="2"/>
      <c r="IP1395" s="2"/>
      <c r="IQ1395" s="2"/>
      <c r="IR1395" s="2"/>
      <c r="IS1395" s="2"/>
      <c r="IT1395" s="2"/>
      <c r="IU1395" s="2"/>
    </row>
    <row r="1396" spans="1:255" x14ac:dyDescent="0.2">
      <c r="A1396">
        <v>17</v>
      </c>
      <c r="B1396">
        <v>1</v>
      </c>
      <c r="E1396" t="s">
        <v>3</v>
      </c>
      <c r="F1396" t="s">
        <v>248</v>
      </c>
      <c r="G1396" t="s">
        <v>1049</v>
      </c>
      <c r="H1396" t="s">
        <v>250</v>
      </c>
      <c r="I1396">
        <v>4</v>
      </c>
      <c r="J1396">
        <v>0</v>
      </c>
      <c r="K1396">
        <v>4</v>
      </c>
      <c r="O1396">
        <f t="shared" si="1173"/>
        <v>48109.919999999998</v>
      </c>
      <c r="P1396">
        <f>ROUND(CQ1396*I1396,2)</f>
        <v>48109.919999999998</v>
      </c>
      <c r="Q1396">
        <f>ROUND(CR1396*I1396,2)</f>
        <v>0</v>
      </c>
      <c r="R1396">
        <f>ROUND(CS1396*I1396,2)</f>
        <v>0</v>
      </c>
      <c r="S1396">
        <f>ROUND(CT1396*I1396,2)</f>
        <v>0</v>
      </c>
      <c r="T1396">
        <f t="shared" si="1174"/>
        <v>0</v>
      </c>
      <c r="U1396">
        <f t="shared" si="1175"/>
        <v>0</v>
      </c>
      <c r="V1396">
        <f t="shared" si="1176"/>
        <v>0</v>
      </c>
      <c r="W1396">
        <f t="shared" si="1177"/>
        <v>0</v>
      </c>
      <c r="X1396">
        <f t="shared" si="1178"/>
        <v>0</v>
      </c>
      <c r="Y1396">
        <f t="shared" si="1179"/>
        <v>0</v>
      </c>
      <c r="AA1396">
        <v>-1</v>
      </c>
      <c r="AB1396">
        <f t="shared" si="1180"/>
        <v>1390.46</v>
      </c>
      <c r="AC1396">
        <f t="shared" si="1197"/>
        <v>1390.46</v>
      </c>
      <c r="AD1396">
        <f>ROUND((ET1396),6)</f>
        <v>0</v>
      </c>
      <c r="AE1396">
        <f t="shared" si="1198"/>
        <v>0</v>
      </c>
      <c r="AF1396">
        <f t="shared" si="1199"/>
        <v>0</v>
      </c>
      <c r="AG1396">
        <f t="shared" si="1182"/>
        <v>0</v>
      </c>
      <c r="AH1396">
        <f t="shared" si="1183"/>
        <v>0</v>
      </c>
      <c r="AI1396">
        <f t="shared" si="1184"/>
        <v>0</v>
      </c>
      <c r="AJ1396">
        <f t="shared" si="1185"/>
        <v>0</v>
      </c>
      <c r="AK1396">
        <v>1390.46</v>
      </c>
      <c r="AL1396">
        <v>1390.46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0</v>
      </c>
      <c r="AU1396">
        <v>0</v>
      </c>
      <c r="AV1396">
        <v>1</v>
      </c>
      <c r="AW1396">
        <v>1</v>
      </c>
      <c r="AZ1396">
        <v>1</v>
      </c>
      <c r="BA1396">
        <v>1</v>
      </c>
      <c r="BB1396">
        <v>1</v>
      </c>
      <c r="BC1396">
        <v>8.65</v>
      </c>
      <c r="BD1396" t="s">
        <v>3</v>
      </c>
      <c r="BE1396" t="s">
        <v>3</v>
      </c>
      <c r="BF1396" t="s">
        <v>3</v>
      </c>
      <c r="BG1396" t="s">
        <v>3</v>
      </c>
      <c r="BH1396">
        <v>3</v>
      </c>
      <c r="BI1396">
        <v>1</v>
      </c>
      <c r="BJ1396" t="s">
        <v>3</v>
      </c>
      <c r="BM1396">
        <v>700003</v>
      </c>
      <c r="BN1396">
        <v>0</v>
      </c>
      <c r="BO1396" t="s">
        <v>3</v>
      </c>
      <c r="BP1396">
        <v>0</v>
      </c>
      <c r="BQ1396">
        <v>206</v>
      </c>
      <c r="BR1396">
        <v>0</v>
      </c>
      <c r="BS1396">
        <v>1</v>
      </c>
      <c r="BT1396">
        <v>1</v>
      </c>
      <c r="BU1396">
        <v>1</v>
      </c>
      <c r="BV1396">
        <v>1</v>
      </c>
      <c r="BW1396">
        <v>1</v>
      </c>
      <c r="BX1396">
        <v>1</v>
      </c>
      <c r="BY1396" t="s">
        <v>3</v>
      </c>
      <c r="BZ1396">
        <v>0</v>
      </c>
      <c r="CA1396">
        <v>0</v>
      </c>
      <c r="CB1396" t="s">
        <v>3</v>
      </c>
      <c r="CE1396">
        <v>0</v>
      </c>
      <c r="CF1396">
        <v>0</v>
      </c>
      <c r="CG1396">
        <v>0</v>
      </c>
      <c r="CM1396">
        <v>0</v>
      </c>
      <c r="CN1396" t="s">
        <v>3</v>
      </c>
      <c r="CO1396">
        <v>0</v>
      </c>
      <c r="CP1396">
        <f t="shared" si="1186"/>
        <v>48109.919999999998</v>
      </c>
      <c r="CQ1396">
        <f>(AC1396*BC1396*AW1396)</f>
        <v>12027.479000000001</v>
      </c>
      <c r="CR1396">
        <f>AD1396*BB1396</f>
        <v>0</v>
      </c>
      <c r="CS1396">
        <f>AE1396*BS1396</f>
        <v>0</v>
      </c>
      <c r="CT1396">
        <f>AF1396*BA1396</f>
        <v>0</v>
      </c>
      <c r="CU1396">
        <f t="shared" si="1200"/>
        <v>0</v>
      </c>
      <c r="CV1396">
        <f>AH1396</f>
        <v>0</v>
      </c>
      <c r="CW1396">
        <f t="shared" si="1201"/>
        <v>0</v>
      </c>
      <c r="CX1396">
        <f t="shared" si="1202"/>
        <v>0</v>
      </c>
      <c r="CY1396">
        <f>S1396*(BZ1396/100)</f>
        <v>0</v>
      </c>
      <c r="CZ1396">
        <f>S1396*(CA1396/100)</f>
        <v>0</v>
      </c>
      <c r="DC1396" t="s">
        <v>3</v>
      </c>
      <c r="DD1396" t="s">
        <v>3</v>
      </c>
      <c r="DE1396" t="s">
        <v>3</v>
      </c>
      <c r="DF1396" t="s">
        <v>3</v>
      </c>
      <c r="DG1396" t="s">
        <v>3</v>
      </c>
      <c r="DH1396" t="s">
        <v>3</v>
      </c>
      <c r="DI1396" t="s">
        <v>3</v>
      </c>
      <c r="DJ1396" t="s">
        <v>3</v>
      </c>
      <c r="DK1396" t="s">
        <v>3</v>
      </c>
      <c r="DL1396" t="s">
        <v>3</v>
      </c>
      <c r="DM1396" t="s">
        <v>3</v>
      </c>
      <c r="DN1396">
        <v>0</v>
      </c>
      <c r="DO1396">
        <v>0</v>
      </c>
      <c r="DP1396">
        <v>1</v>
      </c>
      <c r="DQ1396">
        <v>1</v>
      </c>
      <c r="DU1396">
        <v>1010</v>
      </c>
      <c r="DV1396" t="s">
        <v>250</v>
      </c>
      <c r="DW1396" t="s">
        <v>250</v>
      </c>
      <c r="DX1396">
        <v>1</v>
      </c>
      <c r="DZ1396" t="s">
        <v>3</v>
      </c>
      <c r="EA1396" t="s">
        <v>3</v>
      </c>
      <c r="EB1396" t="s">
        <v>3</v>
      </c>
      <c r="EC1396" t="s">
        <v>3</v>
      </c>
      <c r="EE1396">
        <v>126053677</v>
      </c>
      <c r="EF1396">
        <v>206</v>
      </c>
      <c r="EG1396" t="s">
        <v>704</v>
      </c>
      <c r="EH1396">
        <v>0</v>
      </c>
      <c r="EI1396" t="s">
        <v>3</v>
      </c>
      <c r="EJ1396">
        <v>1</v>
      </c>
      <c r="EK1396">
        <v>700003</v>
      </c>
      <c r="EL1396" t="s">
        <v>704</v>
      </c>
      <c r="EM1396" t="s">
        <v>705</v>
      </c>
      <c r="EO1396" t="s">
        <v>3</v>
      </c>
      <c r="EQ1396">
        <v>132096</v>
      </c>
      <c r="ER1396">
        <v>2438.73</v>
      </c>
      <c r="ES1396">
        <v>1390.46</v>
      </c>
      <c r="ET1396">
        <v>0</v>
      </c>
      <c r="EU1396">
        <v>0</v>
      </c>
      <c r="EV1396">
        <v>0</v>
      </c>
      <c r="EW1396">
        <v>0</v>
      </c>
      <c r="EX1396">
        <v>0</v>
      </c>
      <c r="EY1396">
        <v>0</v>
      </c>
      <c r="EZ1396">
        <v>5</v>
      </c>
      <c r="FC1396">
        <v>1</v>
      </c>
      <c r="FD1396">
        <v>18</v>
      </c>
      <c r="FF1396">
        <v>14150</v>
      </c>
      <c r="FQ1396">
        <v>0</v>
      </c>
      <c r="FR1396">
        <f t="shared" si="1188"/>
        <v>0</v>
      </c>
      <c r="FS1396">
        <v>0</v>
      </c>
      <c r="FX1396">
        <v>0</v>
      </c>
      <c r="FY1396">
        <v>0</v>
      </c>
      <c r="GA1396" t="s">
        <v>1050</v>
      </c>
      <c r="GD1396">
        <v>0</v>
      </c>
      <c r="GF1396">
        <v>-1972174488</v>
      </c>
      <c r="GG1396">
        <v>2</v>
      </c>
      <c r="GH1396">
        <v>3</v>
      </c>
      <c r="GI1396">
        <v>5</v>
      </c>
      <c r="GJ1396">
        <v>0</v>
      </c>
      <c r="GK1396">
        <f>ROUND(R1396*(S12)/100,2)</f>
        <v>0</v>
      </c>
      <c r="GL1396">
        <f t="shared" si="1189"/>
        <v>0</v>
      </c>
      <c r="GM1396">
        <f t="shared" si="1190"/>
        <v>48109.919999999998</v>
      </c>
      <c r="GN1396">
        <f t="shared" si="1191"/>
        <v>48109.919999999998</v>
      </c>
      <c r="GO1396">
        <f t="shared" si="1192"/>
        <v>0</v>
      </c>
      <c r="GP1396">
        <f t="shared" si="1193"/>
        <v>0</v>
      </c>
      <c r="GR1396">
        <v>1</v>
      </c>
      <c r="GS1396">
        <v>1</v>
      </c>
      <c r="GT1396">
        <v>0</v>
      </c>
      <c r="GU1396" t="s">
        <v>3</v>
      </c>
      <c r="GV1396">
        <f t="shared" si="1194"/>
        <v>0</v>
      </c>
      <c r="GW1396">
        <v>1</v>
      </c>
      <c r="GX1396">
        <f t="shared" si="1195"/>
        <v>0</v>
      </c>
      <c r="HA1396">
        <v>0</v>
      </c>
      <c r="HB1396">
        <v>0</v>
      </c>
      <c r="HC1396">
        <f t="shared" si="1196"/>
        <v>0</v>
      </c>
      <c r="HE1396" t="s">
        <v>81</v>
      </c>
      <c r="HF1396" t="s">
        <v>252</v>
      </c>
      <c r="HM1396" t="s">
        <v>3</v>
      </c>
      <c r="HN1396" t="s">
        <v>3</v>
      </c>
      <c r="HO1396" t="s">
        <v>3</v>
      </c>
      <c r="HP1396" t="s">
        <v>3</v>
      </c>
      <c r="HQ1396" t="s">
        <v>3</v>
      </c>
      <c r="IK1396">
        <v>0</v>
      </c>
    </row>
    <row r="1397" spans="1:255" x14ac:dyDescent="0.2">
      <c r="A1397" s="2">
        <v>17</v>
      </c>
      <c r="B1397" s="2">
        <v>1</v>
      </c>
      <c r="C1397" s="2"/>
      <c r="D1397" s="2"/>
      <c r="E1397" s="2" t="s">
        <v>3</v>
      </c>
      <c r="F1397" s="2" t="s">
        <v>1051</v>
      </c>
      <c r="G1397" s="2" t="s">
        <v>1052</v>
      </c>
      <c r="H1397" s="2" t="s">
        <v>238</v>
      </c>
      <c r="I1397" s="2">
        <v>2</v>
      </c>
      <c r="J1397" s="2">
        <v>0</v>
      </c>
      <c r="K1397" s="2">
        <v>2</v>
      </c>
      <c r="L1397" s="2"/>
      <c r="M1397" s="2"/>
      <c r="N1397" s="2"/>
      <c r="O1397" s="2">
        <f t="shared" si="1173"/>
        <v>15948.1</v>
      </c>
      <c r="P1397" s="2">
        <f t="shared" ref="P1397:P1404" si="1203">ROUND((ROUND((AC1397*I1397),2)*BC1397),2)</f>
        <v>15948.1</v>
      </c>
      <c r="Q1397" s="2">
        <f t="shared" ref="Q1397:Q1416" si="1204">(ROUND((ROUND(((ET1397)*AV1397*I1397),2)*BB1397),2)+ROUND((ROUND(((AE1397-(EU1397))*AV1397*I1397),2)*BS1397),2))</f>
        <v>0</v>
      </c>
      <c r="R1397" s="2">
        <f t="shared" ref="R1397:R1416" si="1205">ROUND((ROUND((AE1397*AV1397*I1397),2)*BS1397),2)</f>
        <v>0</v>
      </c>
      <c r="S1397" s="2">
        <f t="shared" ref="S1397:S1416" si="1206">ROUND((ROUND((AF1397*AV1397*I1397),2)*BA1397),2)</f>
        <v>0</v>
      </c>
      <c r="T1397" s="2">
        <f t="shared" si="1174"/>
        <v>0</v>
      </c>
      <c r="U1397" s="2">
        <f t="shared" si="1175"/>
        <v>0</v>
      </c>
      <c r="V1397" s="2">
        <f t="shared" si="1176"/>
        <v>0</v>
      </c>
      <c r="W1397" s="2">
        <f t="shared" si="1177"/>
        <v>0</v>
      </c>
      <c r="X1397" s="2">
        <f t="shared" si="1178"/>
        <v>0</v>
      </c>
      <c r="Y1397" s="2">
        <f t="shared" si="1179"/>
        <v>0</v>
      </c>
      <c r="Z1397" s="2"/>
      <c r="AA1397" s="2">
        <v>-1</v>
      </c>
      <c r="AB1397" s="2">
        <f t="shared" si="1180"/>
        <v>7974.05</v>
      </c>
      <c r="AC1397" s="2">
        <f t="shared" si="1197"/>
        <v>7974.05</v>
      </c>
      <c r="AD1397" s="2">
        <f t="shared" ref="AD1397:AD1416" si="1207">ROUND((((ET1397)-(EU1397))+AE1397),6)</f>
        <v>0</v>
      </c>
      <c r="AE1397" s="2">
        <f t="shared" si="1198"/>
        <v>0</v>
      </c>
      <c r="AF1397" s="2">
        <f t="shared" si="1199"/>
        <v>0</v>
      </c>
      <c r="AG1397" s="2">
        <f t="shared" si="1182"/>
        <v>0</v>
      </c>
      <c r="AH1397" s="2">
        <f t="shared" si="1183"/>
        <v>0</v>
      </c>
      <c r="AI1397" s="2">
        <f t="shared" si="1184"/>
        <v>0</v>
      </c>
      <c r="AJ1397" s="2">
        <f t="shared" si="1185"/>
        <v>0</v>
      </c>
      <c r="AK1397" s="2">
        <v>7974.05</v>
      </c>
      <c r="AL1397" s="2">
        <v>7974.05</v>
      </c>
      <c r="AM1397" s="2">
        <v>0</v>
      </c>
      <c r="AN1397" s="2">
        <v>0</v>
      </c>
      <c r="AO1397" s="2">
        <v>0</v>
      </c>
      <c r="AP1397" s="2">
        <v>0</v>
      </c>
      <c r="AQ1397" s="2">
        <v>0</v>
      </c>
      <c r="AR1397" s="2">
        <v>0</v>
      </c>
      <c r="AS1397" s="2">
        <v>0</v>
      </c>
      <c r="AT1397" s="2">
        <v>0</v>
      </c>
      <c r="AU1397" s="2">
        <v>0</v>
      </c>
      <c r="AV1397" s="2">
        <v>1</v>
      </c>
      <c r="AW1397" s="2">
        <v>1</v>
      </c>
      <c r="AX1397" s="2"/>
      <c r="AY1397" s="2"/>
      <c r="AZ1397" s="2">
        <v>1</v>
      </c>
      <c r="BA1397" s="2">
        <v>1</v>
      </c>
      <c r="BB1397" s="2">
        <v>1</v>
      </c>
      <c r="BC1397" s="2">
        <v>1</v>
      </c>
      <c r="BD1397" s="2" t="s">
        <v>3</v>
      </c>
      <c r="BE1397" s="2" t="s">
        <v>3</v>
      </c>
      <c r="BF1397" s="2" t="s">
        <v>3</v>
      </c>
      <c r="BG1397" s="2" t="s">
        <v>3</v>
      </c>
      <c r="BH1397" s="2">
        <v>3</v>
      </c>
      <c r="BI1397" s="2">
        <v>3</v>
      </c>
      <c r="BJ1397" s="2" t="s">
        <v>1053</v>
      </c>
      <c r="BK1397" s="2"/>
      <c r="BL1397" s="2"/>
      <c r="BM1397" s="2">
        <v>746</v>
      </c>
      <c r="BN1397" s="2">
        <v>0</v>
      </c>
      <c r="BO1397" s="2" t="s">
        <v>3</v>
      </c>
      <c r="BP1397" s="2">
        <v>0</v>
      </c>
      <c r="BQ1397" s="2">
        <v>130</v>
      </c>
      <c r="BR1397" s="2">
        <v>0</v>
      </c>
      <c r="BS1397" s="2">
        <v>1</v>
      </c>
      <c r="BT1397" s="2">
        <v>1</v>
      </c>
      <c r="BU1397" s="2">
        <v>1</v>
      </c>
      <c r="BV1397" s="2">
        <v>1</v>
      </c>
      <c r="BW1397" s="2">
        <v>1</v>
      </c>
      <c r="BX1397" s="2">
        <v>1</v>
      </c>
      <c r="BY1397" s="2" t="s">
        <v>3</v>
      </c>
      <c r="BZ1397" s="2">
        <v>0</v>
      </c>
      <c r="CA1397" s="2">
        <v>0</v>
      </c>
      <c r="CB1397" s="2" t="s">
        <v>3</v>
      </c>
      <c r="CC1397" s="2"/>
      <c r="CD1397" s="2"/>
      <c r="CE1397" s="2">
        <v>30</v>
      </c>
      <c r="CF1397" s="2">
        <v>0</v>
      </c>
      <c r="CG1397" s="2">
        <v>0</v>
      </c>
      <c r="CH1397" s="2"/>
      <c r="CI1397" s="2"/>
      <c r="CJ1397" s="2"/>
      <c r="CK1397" s="2"/>
      <c r="CL1397" s="2"/>
      <c r="CM1397" s="2">
        <v>0</v>
      </c>
      <c r="CN1397" s="2" t="s">
        <v>3</v>
      </c>
      <c r="CO1397" s="2">
        <v>0</v>
      </c>
      <c r="CP1397" s="2">
        <f t="shared" si="1186"/>
        <v>15948.1</v>
      </c>
      <c r="CQ1397" s="2">
        <f t="shared" ref="CQ1397:CQ1404" si="1208">ROUND((ROUND((AC1397*1),2)*BC1397),2)</f>
        <v>7974.05</v>
      </c>
      <c r="CR1397" s="2">
        <f t="shared" ref="CR1397:CR1416" si="1209">(ROUND((ROUND(((ET1397)*AV1397*1),2)*BB1397),2)+ROUND((ROUND(((AE1397-(EU1397))*AV1397*1),2)*BS1397),2))</f>
        <v>0</v>
      </c>
      <c r="CS1397" s="2">
        <f t="shared" ref="CS1397:CS1416" si="1210">ROUND((ROUND((AE1397*AV1397*1),2)*BS1397),2)</f>
        <v>0</v>
      </c>
      <c r="CT1397" s="2">
        <f t="shared" ref="CT1397:CT1416" si="1211">ROUND((ROUND((AF1397*AV1397*1),2)*BA1397),2)</f>
        <v>0</v>
      </c>
      <c r="CU1397" s="2">
        <f t="shared" si="1200"/>
        <v>0</v>
      </c>
      <c r="CV1397" s="2">
        <f t="shared" ref="CV1397:CV1416" si="1212">(AH1397*AV1397)</f>
        <v>0</v>
      </c>
      <c r="CW1397" s="2">
        <f t="shared" si="1201"/>
        <v>0</v>
      </c>
      <c r="CX1397" s="2">
        <f t="shared" si="1202"/>
        <v>0</v>
      </c>
      <c r="CY1397" s="2">
        <f>((S1397*BZ1397)/100)</f>
        <v>0</v>
      </c>
      <c r="CZ1397" s="2">
        <f>((S1397*CA1397)/100)</f>
        <v>0</v>
      </c>
      <c r="DA1397" s="2"/>
      <c r="DB1397" s="2"/>
      <c r="DC1397" s="2" t="s">
        <v>3</v>
      </c>
      <c r="DD1397" s="2" t="s">
        <v>3</v>
      </c>
      <c r="DE1397" s="2" t="s">
        <v>3</v>
      </c>
      <c r="DF1397" s="2" t="s">
        <v>3</v>
      </c>
      <c r="DG1397" s="2" t="s">
        <v>3</v>
      </c>
      <c r="DH1397" s="2" t="s">
        <v>3</v>
      </c>
      <c r="DI1397" s="2" t="s">
        <v>3</v>
      </c>
      <c r="DJ1397" s="2" t="s">
        <v>3</v>
      </c>
      <c r="DK1397" s="2" t="s">
        <v>3</v>
      </c>
      <c r="DL1397" s="2" t="s">
        <v>3</v>
      </c>
      <c r="DM1397" s="2" t="s">
        <v>3</v>
      </c>
      <c r="DN1397" s="2">
        <v>0</v>
      </c>
      <c r="DO1397" s="2">
        <v>0</v>
      </c>
      <c r="DP1397" s="2">
        <v>1</v>
      </c>
      <c r="DQ1397" s="2">
        <v>1</v>
      </c>
      <c r="DR1397" s="2"/>
      <c r="DS1397" s="2"/>
      <c r="DT1397" s="2"/>
      <c r="DU1397" s="2">
        <v>1013</v>
      </c>
      <c r="DV1397" s="2" t="s">
        <v>238</v>
      </c>
      <c r="DW1397" s="2" t="s">
        <v>238</v>
      </c>
      <c r="DX1397" s="2">
        <v>1</v>
      </c>
      <c r="DY1397" s="2"/>
      <c r="DZ1397" s="2" t="s">
        <v>3</v>
      </c>
      <c r="EA1397" s="2" t="s">
        <v>3</v>
      </c>
      <c r="EB1397" s="2" t="s">
        <v>3</v>
      </c>
      <c r="EC1397" s="2" t="s">
        <v>3</v>
      </c>
      <c r="ED1397" s="2"/>
      <c r="EE1397" s="2">
        <v>126052207</v>
      </c>
      <c r="EF1397" s="2">
        <v>130</v>
      </c>
      <c r="EG1397" s="2" t="s">
        <v>712</v>
      </c>
      <c r="EH1397" s="2">
        <v>0</v>
      </c>
      <c r="EI1397" s="2" t="s">
        <v>3</v>
      </c>
      <c r="EJ1397" s="2">
        <v>3</v>
      </c>
      <c r="EK1397" s="2">
        <v>746</v>
      </c>
      <c r="EL1397" s="2" t="s">
        <v>713</v>
      </c>
      <c r="EM1397" s="2" t="s">
        <v>714</v>
      </c>
      <c r="EN1397" s="2"/>
      <c r="EO1397" s="2" t="s">
        <v>3</v>
      </c>
      <c r="EP1397" s="2"/>
      <c r="EQ1397" s="2">
        <v>132096</v>
      </c>
      <c r="ER1397" s="2">
        <v>7974.05</v>
      </c>
      <c r="ES1397" s="2">
        <v>7974.05</v>
      </c>
      <c r="ET1397" s="2">
        <v>0</v>
      </c>
      <c r="EU1397" s="2">
        <v>0</v>
      </c>
      <c r="EV1397" s="2">
        <v>0</v>
      </c>
      <c r="EW1397" s="2">
        <v>0</v>
      </c>
      <c r="EX1397" s="2">
        <v>0</v>
      </c>
      <c r="EY1397" s="2">
        <v>0</v>
      </c>
      <c r="EZ1397" s="2"/>
      <c r="FA1397" s="2"/>
      <c r="FB1397" s="2"/>
      <c r="FC1397" s="2"/>
      <c r="FD1397" s="2"/>
      <c r="FE1397" s="2"/>
      <c r="FF1397" s="2"/>
      <c r="FG1397" s="2"/>
      <c r="FH1397" s="2"/>
      <c r="FI1397" s="2"/>
      <c r="FJ1397" s="2"/>
      <c r="FK1397" s="2"/>
      <c r="FL1397" s="2"/>
      <c r="FM1397" s="2"/>
      <c r="FN1397" s="2"/>
      <c r="FO1397" s="2"/>
      <c r="FP1397" s="2"/>
      <c r="FQ1397" s="2">
        <v>0</v>
      </c>
      <c r="FR1397" s="2">
        <f t="shared" si="1188"/>
        <v>15948.1</v>
      </c>
      <c r="FS1397" s="2">
        <v>0</v>
      </c>
      <c r="FT1397" s="2"/>
      <c r="FU1397" s="2"/>
      <c r="FV1397" s="2"/>
      <c r="FW1397" s="2"/>
      <c r="FX1397" s="2">
        <v>0</v>
      </c>
      <c r="FY1397" s="2">
        <v>0</v>
      </c>
      <c r="FZ1397" s="2"/>
      <c r="GA1397" s="2" t="s">
        <v>3</v>
      </c>
      <c r="GB1397" s="2"/>
      <c r="GC1397" s="2"/>
      <c r="GD1397" s="2">
        <v>0</v>
      </c>
      <c r="GE1397" s="2"/>
      <c r="GF1397" s="2">
        <v>1061235836</v>
      </c>
      <c r="GG1397" s="2">
        <v>2</v>
      </c>
      <c r="GH1397" s="2">
        <v>1</v>
      </c>
      <c r="GI1397" s="2">
        <v>-2</v>
      </c>
      <c r="GJ1397" s="2">
        <v>0</v>
      </c>
      <c r="GK1397" s="2">
        <f>ROUND(R1397*(R12)/100,2)</f>
        <v>0</v>
      </c>
      <c r="GL1397" s="2">
        <f t="shared" si="1189"/>
        <v>0</v>
      </c>
      <c r="GM1397" s="2">
        <f t="shared" si="1190"/>
        <v>15948.1</v>
      </c>
      <c r="GN1397" s="2">
        <f t="shared" si="1191"/>
        <v>0</v>
      </c>
      <c r="GO1397" s="2">
        <f t="shared" si="1192"/>
        <v>0</v>
      </c>
      <c r="GP1397" s="2">
        <f t="shared" si="1193"/>
        <v>0</v>
      </c>
      <c r="GQ1397" s="2"/>
      <c r="GR1397" s="2">
        <v>0</v>
      </c>
      <c r="GS1397" s="2">
        <v>0</v>
      </c>
      <c r="GT1397" s="2">
        <v>0</v>
      </c>
      <c r="GU1397" s="2" t="s">
        <v>3</v>
      </c>
      <c r="GV1397" s="2">
        <f t="shared" si="1194"/>
        <v>0</v>
      </c>
      <c r="GW1397" s="2">
        <v>1</v>
      </c>
      <c r="GX1397" s="2">
        <f t="shared" si="1195"/>
        <v>0</v>
      </c>
      <c r="GY1397" s="2"/>
      <c r="GZ1397" s="2"/>
      <c r="HA1397" s="2">
        <v>0</v>
      </c>
      <c r="HB1397" s="2">
        <v>0</v>
      </c>
      <c r="HC1397" s="2">
        <f t="shared" si="1196"/>
        <v>0</v>
      </c>
      <c r="HD1397" s="2"/>
      <c r="HE1397" s="2" t="s">
        <v>3</v>
      </c>
      <c r="HF1397" s="2" t="s">
        <v>3</v>
      </c>
      <c r="HG1397" s="2"/>
      <c r="HH1397" s="2"/>
      <c r="HI1397" s="2"/>
      <c r="HJ1397" s="2"/>
      <c r="HK1397" s="2"/>
      <c r="HL1397" s="2"/>
      <c r="HM1397" s="2" t="s">
        <v>3</v>
      </c>
      <c r="HN1397" s="2" t="s">
        <v>3</v>
      </c>
      <c r="HO1397" s="2" t="s">
        <v>3</v>
      </c>
      <c r="HP1397" s="2" t="s">
        <v>3</v>
      </c>
      <c r="HQ1397" s="2" t="s">
        <v>3</v>
      </c>
      <c r="HR1397" s="2"/>
      <c r="HS1397" s="2"/>
      <c r="HT1397" s="2"/>
      <c r="HU1397" s="2"/>
      <c r="HV1397" s="2"/>
      <c r="HW1397" s="2"/>
      <c r="HX1397" s="2"/>
      <c r="HY1397" s="2"/>
      <c r="HZ1397" s="2"/>
      <c r="IA1397" s="2"/>
      <c r="IB1397" s="2"/>
      <c r="IC1397" s="2"/>
      <c r="ID1397" s="2"/>
      <c r="IE1397" s="2"/>
      <c r="IF1397" s="2"/>
      <c r="IG1397" s="2"/>
      <c r="IH1397" s="2"/>
      <c r="II1397" s="2"/>
      <c r="IJ1397" s="2"/>
      <c r="IK1397" s="2">
        <v>0</v>
      </c>
      <c r="IL1397" s="2"/>
      <c r="IM1397" s="2"/>
      <c r="IN1397" s="2"/>
      <c r="IO1397" s="2"/>
      <c r="IP1397" s="2"/>
      <c r="IQ1397" s="2"/>
      <c r="IR1397" s="2"/>
      <c r="IS1397" s="2"/>
      <c r="IT1397" s="2"/>
      <c r="IU1397" s="2"/>
    </row>
    <row r="1398" spans="1:255" x14ac:dyDescent="0.2">
      <c r="A1398">
        <v>17</v>
      </c>
      <c r="B1398">
        <v>1</v>
      </c>
      <c r="E1398" t="s">
        <v>3</v>
      </c>
      <c r="F1398" t="s">
        <v>1051</v>
      </c>
      <c r="G1398" t="s">
        <v>1052</v>
      </c>
      <c r="H1398" t="s">
        <v>238</v>
      </c>
      <c r="I1398">
        <v>2</v>
      </c>
      <c r="J1398">
        <v>0</v>
      </c>
      <c r="K1398">
        <v>2</v>
      </c>
      <c r="O1398">
        <f t="shared" si="1173"/>
        <v>41146.1</v>
      </c>
      <c r="P1398">
        <f t="shared" si="1203"/>
        <v>41146.1</v>
      </c>
      <c r="Q1398">
        <f t="shared" si="1204"/>
        <v>0</v>
      </c>
      <c r="R1398">
        <f t="shared" si="1205"/>
        <v>0</v>
      </c>
      <c r="S1398">
        <f t="shared" si="1206"/>
        <v>0</v>
      </c>
      <c r="T1398">
        <f t="shared" si="1174"/>
        <v>0</v>
      </c>
      <c r="U1398">
        <f t="shared" si="1175"/>
        <v>0</v>
      </c>
      <c r="V1398">
        <f t="shared" si="1176"/>
        <v>0</v>
      </c>
      <c r="W1398">
        <f t="shared" si="1177"/>
        <v>0</v>
      </c>
      <c r="X1398">
        <f t="shared" si="1178"/>
        <v>0</v>
      </c>
      <c r="Y1398">
        <f t="shared" si="1179"/>
        <v>0</v>
      </c>
      <c r="AA1398">
        <v>-1</v>
      </c>
      <c r="AB1398">
        <f t="shared" si="1180"/>
        <v>7974.05</v>
      </c>
      <c r="AC1398">
        <f t="shared" si="1197"/>
        <v>7974.05</v>
      </c>
      <c r="AD1398">
        <f t="shared" si="1207"/>
        <v>0</v>
      </c>
      <c r="AE1398">
        <f t="shared" si="1198"/>
        <v>0</v>
      </c>
      <c r="AF1398">
        <f t="shared" si="1199"/>
        <v>0</v>
      </c>
      <c r="AG1398">
        <f t="shared" si="1182"/>
        <v>0</v>
      </c>
      <c r="AH1398">
        <f t="shared" si="1183"/>
        <v>0</v>
      </c>
      <c r="AI1398">
        <f t="shared" si="1184"/>
        <v>0</v>
      </c>
      <c r="AJ1398">
        <f t="shared" si="1185"/>
        <v>0</v>
      </c>
      <c r="AK1398">
        <v>7974.05</v>
      </c>
      <c r="AL1398">
        <v>7974.05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0</v>
      </c>
      <c r="AU1398">
        <v>0</v>
      </c>
      <c r="AV1398">
        <v>1</v>
      </c>
      <c r="AW1398">
        <v>1</v>
      </c>
      <c r="AZ1398">
        <v>1</v>
      </c>
      <c r="BA1398">
        <v>1</v>
      </c>
      <c r="BB1398">
        <v>1</v>
      </c>
      <c r="BC1398">
        <v>2.58</v>
      </c>
      <c r="BD1398" t="s">
        <v>3</v>
      </c>
      <c r="BE1398" t="s">
        <v>3</v>
      </c>
      <c r="BF1398" t="s">
        <v>3</v>
      </c>
      <c r="BG1398" t="s">
        <v>3</v>
      </c>
      <c r="BH1398">
        <v>3</v>
      </c>
      <c r="BI1398">
        <v>3</v>
      </c>
      <c r="BJ1398" t="s">
        <v>1053</v>
      </c>
      <c r="BM1398">
        <v>746</v>
      </c>
      <c r="BN1398">
        <v>0</v>
      </c>
      <c r="BO1398" t="s">
        <v>3</v>
      </c>
      <c r="BP1398">
        <v>0</v>
      </c>
      <c r="BQ1398">
        <v>130</v>
      </c>
      <c r="BR1398">
        <v>0</v>
      </c>
      <c r="BS1398">
        <v>1</v>
      </c>
      <c r="BT1398">
        <v>1</v>
      </c>
      <c r="BU1398">
        <v>1</v>
      </c>
      <c r="BV1398">
        <v>1</v>
      </c>
      <c r="BW1398">
        <v>1</v>
      </c>
      <c r="BX1398">
        <v>1</v>
      </c>
      <c r="BY1398" t="s">
        <v>3</v>
      </c>
      <c r="BZ1398">
        <v>0</v>
      </c>
      <c r="CA1398">
        <v>0</v>
      </c>
      <c r="CB1398" t="s">
        <v>3</v>
      </c>
      <c r="CE1398">
        <v>30</v>
      </c>
      <c r="CF1398">
        <v>0</v>
      </c>
      <c r="CG1398">
        <v>0</v>
      </c>
      <c r="CM1398">
        <v>0</v>
      </c>
      <c r="CN1398" t="s">
        <v>3</v>
      </c>
      <c r="CO1398">
        <v>0</v>
      </c>
      <c r="CP1398">
        <f t="shared" si="1186"/>
        <v>41146.1</v>
      </c>
      <c r="CQ1398">
        <f t="shared" si="1208"/>
        <v>20573.05</v>
      </c>
      <c r="CR1398">
        <f t="shared" si="1209"/>
        <v>0</v>
      </c>
      <c r="CS1398">
        <f t="shared" si="1210"/>
        <v>0</v>
      </c>
      <c r="CT1398">
        <f t="shared" si="1211"/>
        <v>0</v>
      </c>
      <c r="CU1398">
        <f t="shared" si="1200"/>
        <v>0</v>
      </c>
      <c r="CV1398">
        <f t="shared" si="1212"/>
        <v>0</v>
      </c>
      <c r="CW1398">
        <f t="shared" si="1201"/>
        <v>0</v>
      </c>
      <c r="CX1398">
        <f t="shared" si="1202"/>
        <v>0</v>
      </c>
      <c r="CY1398">
        <f>S1398*(BZ1398/100)</f>
        <v>0</v>
      </c>
      <c r="CZ1398">
        <f>S1398*(CA1398/100)</f>
        <v>0</v>
      </c>
      <c r="DC1398" t="s">
        <v>3</v>
      </c>
      <c r="DD1398" t="s">
        <v>3</v>
      </c>
      <c r="DE1398" t="s">
        <v>3</v>
      </c>
      <c r="DF1398" t="s">
        <v>3</v>
      </c>
      <c r="DG1398" t="s">
        <v>3</v>
      </c>
      <c r="DH1398" t="s">
        <v>3</v>
      </c>
      <c r="DI1398" t="s">
        <v>3</v>
      </c>
      <c r="DJ1398" t="s">
        <v>3</v>
      </c>
      <c r="DK1398" t="s">
        <v>3</v>
      </c>
      <c r="DL1398" t="s">
        <v>3</v>
      </c>
      <c r="DM1398" t="s">
        <v>3</v>
      </c>
      <c r="DN1398">
        <v>0</v>
      </c>
      <c r="DO1398">
        <v>0</v>
      </c>
      <c r="DP1398">
        <v>1</v>
      </c>
      <c r="DQ1398">
        <v>1</v>
      </c>
      <c r="DU1398">
        <v>1013</v>
      </c>
      <c r="DV1398" t="s">
        <v>238</v>
      </c>
      <c r="DW1398" t="s">
        <v>238</v>
      </c>
      <c r="DX1398">
        <v>1</v>
      </c>
      <c r="DZ1398" t="s">
        <v>3</v>
      </c>
      <c r="EA1398" t="s">
        <v>3</v>
      </c>
      <c r="EB1398" t="s">
        <v>3</v>
      </c>
      <c r="EC1398" t="s">
        <v>3</v>
      </c>
      <c r="EE1398">
        <v>126052207</v>
      </c>
      <c r="EF1398">
        <v>130</v>
      </c>
      <c r="EG1398" t="s">
        <v>712</v>
      </c>
      <c r="EH1398">
        <v>0</v>
      </c>
      <c r="EI1398" t="s">
        <v>3</v>
      </c>
      <c r="EJ1398">
        <v>3</v>
      </c>
      <c r="EK1398">
        <v>746</v>
      </c>
      <c r="EL1398" t="s">
        <v>713</v>
      </c>
      <c r="EM1398" t="s">
        <v>714</v>
      </c>
      <c r="EO1398" t="s">
        <v>3</v>
      </c>
      <c r="EQ1398">
        <v>132096</v>
      </c>
      <c r="ER1398">
        <v>7974.05</v>
      </c>
      <c r="ES1398">
        <v>7974.05</v>
      </c>
      <c r="ET1398">
        <v>0</v>
      </c>
      <c r="EU1398">
        <v>0</v>
      </c>
      <c r="EV1398">
        <v>0</v>
      </c>
      <c r="EW1398">
        <v>0</v>
      </c>
      <c r="EX1398">
        <v>0</v>
      </c>
      <c r="EY1398">
        <v>0</v>
      </c>
      <c r="FQ1398">
        <v>0</v>
      </c>
      <c r="FR1398">
        <f t="shared" si="1188"/>
        <v>41146.1</v>
      </c>
      <c r="FS1398">
        <v>0</v>
      </c>
      <c r="FX1398">
        <v>0</v>
      </c>
      <c r="FY1398">
        <v>0</v>
      </c>
      <c r="GA1398" t="s">
        <v>3</v>
      </c>
      <c r="GD1398">
        <v>0</v>
      </c>
      <c r="GF1398">
        <v>1061235836</v>
      </c>
      <c r="GG1398">
        <v>2</v>
      </c>
      <c r="GH1398">
        <v>1</v>
      </c>
      <c r="GI1398">
        <v>2</v>
      </c>
      <c r="GJ1398">
        <v>0</v>
      </c>
      <c r="GK1398">
        <f>ROUND(R1398*(S12)/100,2)</f>
        <v>0</v>
      </c>
      <c r="GL1398">
        <f t="shared" si="1189"/>
        <v>0</v>
      </c>
      <c r="GM1398">
        <f t="shared" si="1190"/>
        <v>41146.1</v>
      </c>
      <c r="GN1398">
        <f t="shared" si="1191"/>
        <v>0</v>
      </c>
      <c r="GO1398">
        <f t="shared" si="1192"/>
        <v>0</v>
      </c>
      <c r="GP1398">
        <f t="shared" si="1193"/>
        <v>0</v>
      </c>
      <c r="GR1398">
        <v>0</v>
      </c>
      <c r="GS1398">
        <v>3</v>
      </c>
      <c r="GT1398">
        <v>0</v>
      </c>
      <c r="GU1398" t="s">
        <v>3</v>
      </c>
      <c r="GV1398">
        <f t="shared" si="1194"/>
        <v>0</v>
      </c>
      <c r="GW1398">
        <v>1</v>
      </c>
      <c r="GX1398">
        <f t="shared" si="1195"/>
        <v>0</v>
      </c>
      <c r="HA1398">
        <v>0</v>
      </c>
      <c r="HB1398">
        <v>0</v>
      </c>
      <c r="HC1398">
        <f t="shared" si="1196"/>
        <v>0</v>
      </c>
      <c r="HE1398" t="s">
        <v>3</v>
      </c>
      <c r="HF1398" t="s">
        <v>3</v>
      </c>
      <c r="HM1398" t="s">
        <v>3</v>
      </c>
      <c r="HN1398" t="s">
        <v>3</v>
      </c>
      <c r="HO1398" t="s">
        <v>3</v>
      </c>
      <c r="HP1398" t="s">
        <v>3</v>
      </c>
      <c r="HQ1398" t="s">
        <v>3</v>
      </c>
      <c r="IK1398">
        <v>0</v>
      </c>
    </row>
    <row r="1399" spans="1:255" x14ac:dyDescent="0.2">
      <c r="A1399" s="2">
        <v>17</v>
      </c>
      <c r="B1399" s="2">
        <v>1</v>
      </c>
      <c r="C1399" s="2"/>
      <c r="D1399" s="2"/>
      <c r="E1399" s="2" t="s">
        <v>3</v>
      </c>
      <c r="F1399" s="2" t="s">
        <v>1054</v>
      </c>
      <c r="G1399" s="2" t="s">
        <v>1055</v>
      </c>
      <c r="H1399" s="2" t="s">
        <v>238</v>
      </c>
      <c r="I1399" s="2">
        <v>1</v>
      </c>
      <c r="J1399" s="2">
        <v>0</v>
      </c>
      <c r="K1399" s="2">
        <v>1</v>
      </c>
      <c r="L1399" s="2"/>
      <c r="M1399" s="2"/>
      <c r="N1399" s="2"/>
      <c r="O1399" s="2">
        <f t="shared" si="1173"/>
        <v>2449.5500000000002</v>
      </c>
      <c r="P1399" s="2">
        <f t="shared" si="1203"/>
        <v>2449.5500000000002</v>
      </c>
      <c r="Q1399" s="2">
        <f t="shared" si="1204"/>
        <v>0</v>
      </c>
      <c r="R1399" s="2">
        <f t="shared" si="1205"/>
        <v>0</v>
      </c>
      <c r="S1399" s="2">
        <f t="shared" si="1206"/>
        <v>0</v>
      </c>
      <c r="T1399" s="2">
        <f t="shared" si="1174"/>
        <v>0</v>
      </c>
      <c r="U1399" s="2">
        <f t="shared" si="1175"/>
        <v>0</v>
      </c>
      <c r="V1399" s="2">
        <f t="shared" si="1176"/>
        <v>0</v>
      </c>
      <c r="W1399" s="2">
        <f t="shared" si="1177"/>
        <v>0</v>
      </c>
      <c r="X1399" s="2">
        <f t="shared" si="1178"/>
        <v>0</v>
      </c>
      <c r="Y1399" s="2">
        <f t="shared" si="1179"/>
        <v>0</v>
      </c>
      <c r="Z1399" s="2"/>
      <c r="AA1399" s="2">
        <v>-1</v>
      </c>
      <c r="AB1399" s="2">
        <f t="shared" si="1180"/>
        <v>2449.5500000000002</v>
      </c>
      <c r="AC1399" s="2">
        <f t="shared" si="1197"/>
        <v>2449.5500000000002</v>
      </c>
      <c r="AD1399" s="2">
        <f t="shared" si="1207"/>
        <v>0</v>
      </c>
      <c r="AE1399" s="2">
        <f t="shared" si="1198"/>
        <v>0</v>
      </c>
      <c r="AF1399" s="2">
        <f t="shared" si="1199"/>
        <v>0</v>
      </c>
      <c r="AG1399" s="2">
        <f t="shared" si="1182"/>
        <v>0</v>
      </c>
      <c r="AH1399" s="2">
        <f t="shared" si="1183"/>
        <v>0</v>
      </c>
      <c r="AI1399" s="2">
        <f t="shared" si="1184"/>
        <v>0</v>
      </c>
      <c r="AJ1399" s="2">
        <f t="shared" si="1185"/>
        <v>0</v>
      </c>
      <c r="AK1399" s="2">
        <v>2449.5500000000002</v>
      </c>
      <c r="AL1399" s="2">
        <v>2449.5500000000002</v>
      </c>
      <c r="AM1399" s="2">
        <v>0</v>
      </c>
      <c r="AN1399" s="2">
        <v>0</v>
      </c>
      <c r="AO1399" s="2">
        <v>0</v>
      </c>
      <c r="AP1399" s="2">
        <v>0</v>
      </c>
      <c r="AQ1399" s="2">
        <v>0</v>
      </c>
      <c r="AR1399" s="2">
        <v>0</v>
      </c>
      <c r="AS1399" s="2">
        <v>0</v>
      </c>
      <c r="AT1399" s="2">
        <v>0</v>
      </c>
      <c r="AU1399" s="2">
        <v>0</v>
      </c>
      <c r="AV1399" s="2">
        <v>1</v>
      </c>
      <c r="AW1399" s="2">
        <v>1</v>
      </c>
      <c r="AX1399" s="2"/>
      <c r="AY1399" s="2"/>
      <c r="AZ1399" s="2">
        <v>1</v>
      </c>
      <c r="BA1399" s="2">
        <v>1</v>
      </c>
      <c r="BB1399" s="2">
        <v>1</v>
      </c>
      <c r="BC1399" s="2">
        <v>1</v>
      </c>
      <c r="BD1399" s="2" t="s">
        <v>3</v>
      </c>
      <c r="BE1399" s="2" t="s">
        <v>3</v>
      </c>
      <c r="BF1399" s="2" t="s">
        <v>3</v>
      </c>
      <c r="BG1399" s="2" t="s">
        <v>3</v>
      </c>
      <c r="BH1399" s="2">
        <v>3</v>
      </c>
      <c r="BI1399" s="2">
        <v>3</v>
      </c>
      <c r="BJ1399" s="2" t="s">
        <v>1056</v>
      </c>
      <c r="BK1399" s="2"/>
      <c r="BL1399" s="2"/>
      <c r="BM1399" s="2">
        <v>746</v>
      </c>
      <c r="BN1399" s="2">
        <v>0</v>
      </c>
      <c r="BO1399" s="2" t="s">
        <v>3</v>
      </c>
      <c r="BP1399" s="2">
        <v>0</v>
      </c>
      <c r="BQ1399" s="2">
        <v>130</v>
      </c>
      <c r="BR1399" s="2">
        <v>0</v>
      </c>
      <c r="BS1399" s="2">
        <v>1</v>
      </c>
      <c r="BT1399" s="2">
        <v>1</v>
      </c>
      <c r="BU1399" s="2">
        <v>1</v>
      </c>
      <c r="BV1399" s="2">
        <v>1</v>
      </c>
      <c r="BW1399" s="2">
        <v>1</v>
      </c>
      <c r="BX1399" s="2">
        <v>1</v>
      </c>
      <c r="BY1399" s="2" t="s">
        <v>3</v>
      </c>
      <c r="BZ1399" s="2">
        <v>0</v>
      </c>
      <c r="CA1399" s="2">
        <v>0</v>
      </c>
      <c r="CB1399" s="2" t="s">
        <v>3</v>
      </c>
      <c r="CC1399" s="2"/>
      <c r="CD1399" s="2"/>
      <c r="CE1399" s="2">
        <v>30</v>
      </c>
      <c r="CF1399" s="2">
        <v>0</v>
      </c>
      <c r="CG1399" s="2">
        <v>0</v>
      </c>
      <c r="CH1399" s="2"/>
      <c r="CI1399" s="2"/>
      <c r="CJ1399" s="2"/>
      <c r="CK1399" s="2"/>
      <c r="CL1399" s="2"/>
      <c r="CM1399" s="2">
        <v>0</v>
      </c>
      <c r="CN1399" s="2" t="s">
        <v>3</v>
      </c>
      <c r="CO1399" s="2">
        <v>0</v>
      </c>
      <c r="CP1399" s="2">
        <f t="shared" si="1186"/>
        <v>2449.5500000000002</v>
      </c>
      <c r="CQ1399" s="2">
        <f t="shared" si="1208"/>
        <v>2449.5500000000002</v>
      </c>
      <c r="CR1399" s="2">
        <f t="shared" si="1209"/>
        <v>0</v>
      </c>
      <c r="CS1399" s="2">
        <f t="shared" si="1210"/>
        <v>0</v>
      </c>
      <c r="CT1399" s="2">
        <f t="shared" si="1211"/>
        <v>0</v>
      </c>
      <c r="CU1399" s="2">
        <f t="shared" si="1200"/>
        <v>0</v>
      </c>
      <c r="CV1399" s="2">
        <f t="shared" si="1212"/>
        <v>0</v>
      </c>
      <c r="CW1399" s="2">
        <f t="shared" si="1201"/>
        <v>0</v>
      </c>
      <c r="CX1399" s="2">
        <f t="shared" si="1202"/>
        <v>0</v>
      </c>
      <c r="CY1399" s="2">
        <f>((S1399*BZ1399)/100)</f>
        <v>0</v>
      </c>
      <c r="CZ1399" s="2">
        <f>((S1399*CA1399)/100)</f>
        <v>0</v>
      </c>
      <c r="DA1399" s="2"/>
      <c r="DB1399" s="2"/>
      <c r="DC1399" s="2" t="s">
        <v>3</v>
      </c>
      <c r="DD1399" s="2" t="s">
        <v>3</v>
      </c>
      <c r="DE1399" s="2" t="s">
        <v>3</v>
      </c>
      <c r="DF1399" s="2" t="s">
        <v>3</v>
      </c>
      <c r="DG1399" s="2" t="s">
        <v>3</v>
      </c>
      <c r="DH1399" s="2" t="s">
        <v>3</v>
      </c>
      <c r="DI1399" s="2" t="s">
        <v>3</v>
      </c>
      <c r="DJ1399" s="2" t="s">
        <v>3</v>
      </c>
      <c r="DK1399" s="2" t="s">
        <v>3</v>
      </c>
      <c r="DL1399" s="2" t="s">
        <v>3</v>
      </c>
      <c r="DM1399" s="2" t="s">
        <v>3</v>
      </c>
      <c r="DN1399" s="2">
        <v>0</v>
      </c>
      <c r="DO1399" s="2">
        <v>0</v>
      </c>
      <c r="DP1399" s="2">
        <v>1</v>
      </c>
      <c r="DQ1399" s="2">
        <v>1</v>
      </c>
      <c r="DR1399" s="2"/>
      <c r="DS1399" s="2"/>
      <c r="DT1399" s="2"/>
      <c r="DU1399" s="2">
        <v>1013</v>
      </c>
      <c r="DV1399" s="2" t="s">
        <v>238</v>
      </c>
      <c r="DW1399" s="2" t="s">
        <v>238</v>
      </c>
      <c r="DX1399" s="2">
        <v>1</v>
      </c>
      <c r="DY1399" s="2"/>
      <c r="DZ1399" s="2" t="s">
        <v>3</v>
      </c>
      <c r="EA1399" s="2" t="s">
        <v>3</v>
      </c>
      <c r="EB1399" s="2" t="s">
        <v>3</v>
      </c>
      <c r="EC1399" s="2" t="s">
        <v>3</v>
      </c>
      <c r="ED1399" s="2"/>
      <c r="EE1399" s="2">
        <v>126052207</v>
      </c>
      <c r="EF1399" s="2">
        <v>130</v>
      </c>
      <c r="EG1399" s="2" t="s">
        <v>712</v>
      </c>
      <c r="EH1399" s="2">
        <v>0</v>
      </c>
      <c r="EI1399" s="2" t="s">
        <v>3</v>
      </c>
      <c r="EJ1399" s="2">
        <v>3</v>
      </c>
      <c r="EK1399" s="2">
        <v>746</v>
      </c>
      <c r="EL1399" s="2" t="s">
        <v>713</v>
      </c>
      <c r="EM1399" s="2" t="s">
        <v>714</v>
      </c>
      <c r="EN1399" s="2"/>
      <c r="EO1399" s="2" t="s">
        <v>3</v>
      </c>
      <c r="EP1399" s="2"/>
      <c r="EQ1399" s="2">
        <v>132096</v>
      </c>
      <c r="ER1399" s="2">
        <v>2449.5500000000002</v>
      </c>
      <c r="ES1399" s="2">
        <v>2449.5500000000002</v>
      </c>
      <c r="ET1399" s="2">
        <v>0</v>
      </c>
      <c r="EU1399" s="2">
        <v>0</v>
      </c>
      <c r="EV1399" s="2">
        <v>0</v>
      </c>
      <c r="EW1399" s="2">
        <v>0</v>
      </c>
      <c r="EX1399" s="2">
        <v>0</v>
      </c>
      <c r="EY1399" s="2">
        <v>0</v>
      </c>
      <c r="EZ1399" s="2"/>
      <c r="FA1399" s="2"/>
      <c r="FB1399" s="2"/>
      <c r="FC1399" s="2"/>
      <c r="FD1399" s="2"/>
      <c r="FE1399" s="2"/>
      <c r="FF1399" s="2"/>
      <c r="FG1399" s="2"/>
      <c r="FH1399" s="2"/>
      <c r="FI1399" s="2"/>
      <c r="FJ1399" s="2"/>
      <c r="FK1399" s="2"/>
      <c r="FL1399" s="2"/>
      <c r="FM1399" s="2"/>
      <c r="FN1399" s="2"/>
      <c r="FO1399" s="2"/>
      <c r="FP1399" s="2"/>
      <c r="FQ1399" s="2">
        <v>0</v>
      </c>
      <c r="FR1399" s="2">
        <f t="shared" si="1188"/>
        <v>2449.5500000000002</v>
      </c>
      <c r="FS1399" s="2">
        <v>0</v>
      </c>
      <c r="FT1399" s="2"/>
      <c r="FU1399" s="2"/>
      <c r="FV1399" s="2"/>
      <c r="FW1399" s="2"/>
      <c r="FX1399" s="2">
        <v>0</v>
      </c>
      <c r="FY1399" s="2">
        <v>0</v>
      </c>
      <c r="FZ1399" s="2"/>
      <c r="GA1399" s="2" t="s">
        <v>3</v>
      </c>
      <c r="GB1399" s="2"/>
      <c r="GC1399" s="2"/>
      <c r="GD1399" s="2">
        <v>0</v>
      </c>
      <c r="GE1399" s="2"/>
      <c r="GF1399" s="2">
        <v>1854418488</v>
      </c>
      <c r="GG1399" s="2">
        <v>2</v>
      </c>
      <c r="GH1399" s="2">
        <v>1</v>
      </c>
      <c r="GI1399" s="2">
        <v>-2</v>
      </c>
      <c r="GJ1399" s="2">
        <v>0</v>
      </c>
      <c r="GK1399" s="2">
        <f>ROUND(R1399*(R12)/100,2)</f>
        <v>0</v>
      </c>
      <c r="GL1399" s="2">
        <f t="shared" si="1189"/>
        <v>0</v>
      </c>
      <c r="GM1399" s="2">
        <f t="shared" si="1190"/>
        <v>2449.5500000000002</v>
      </c>
      <c r="GN1399" s="2">
        <f t="shared" si="1191"/>
        <v>0</v>
      </c>
      <c r="GO1399" s="2">
        <f t="shared" si="1192"/>
        <v>0</v>
      </c>
      <c r="GP1399" s="2">
        <f t="shared" si="1193"/>
        <v>0</v>
      </c>
      <c r="GQ1399" s="2"/>
      <c r="GR1399" s="2">
        <v>0</v>
      </c>
      <c r="GS1399" s="2">
        <v>0</v>
      </c>
      <c r="GT1399" s="2">
        <v>0</v>
      </c>
      <c r="GU1399" s="2" t="s">
        <v>3</v>
      </c>
      <c r="GV1399" s="2">
        <f t="shared" si="1194"/>
        <v>0</v>
      </c>
      <c r="GW1399" s="2">
        <v>1</v>
      </c>
      <c r="GX1399" s="2">
        <f t="shared" si="1195"/>
        <v>0</v>
      </c>
      <c r="GY1399" s="2"/>
      <c r="GZ1399" s="2"/>
      <c r="HA1399" s="2">
        <v>0</v>
      </c>
      <c r="HB1399" s="2">
        <v>0</v>
      </c>
      <c r="HC1399" s="2">
        <f t="shared" si="1196"/>
        <v>0</v>
      </c>
      <c r="HD1399" s="2"/>
      <c r="HE1399" s="2" t="s">
        <v>3</v>
      </c>
      <c r="HF1399" s="2" t="s">
        <v>3</v>
      </c>
      <c r="HG1399" s="2"/>
      <c r="HH1399" s="2"/>
      <c r="HI1399" s="2"/>
      <c r="HJ1399" s="2"/>
      <c r="HK1399" s="2"/>
      <c r="HL1399" s="2"/>
      <c r="HM1399" s="2" t="s">
        <v>3</v>
      </c>
      <c r="HN1399" s="2" t="s">
        <v>3</v>
      </c>
      <c r="HO1399" s="2" t="s">
        <v>3</v>
      </c>
      <c r="HP1399" s="2" t="s">
        <v>3</v>
      </c>
      <c r="HQ1399" s="2" t="s">
        <v>3</v>
      </c>
      <c r="HR1399" s="2"/>
      <c r="HS1399" s="2"/>
      <c r="HT1399" s="2"/>
      <c r="HU1399" s="2"/>
      <c r="HV1399" s="2"/>
      <c r="HW1399" s="2"/>
      <c r="HX1399" s="2"/>
      <c r="HY1399" s="2"/>
      <c r="HZ1399" s="2"/>
      <c r="IA1399" s="2"/>
      <c r="IB1399" s="2"/>
      <c r="IC1399" s="2"/>
      <c r="ID1399" s="2"/>
      <c r="IE1399" s="2"/>
      <c r="IF1399" s="2"/>
      <c r="IG1399" s="2"/>
      <c r="IH1399" s="2"/>
      <c r="II1399" s="2"/>
      <c r="IJ1399" s="2"/>
      <c r="IK1399" s="2">
        <v>0</v>
      </c>
      <c r="IL1399" s="2"/>
      <c r="IM1399" s="2"/>
      <c r="IN1399" s="2"/>
      <c r="IO1399" s="2"/>
      <c r="IP1399" s="2"/>
      <c r="IQ1399" s="2"/>
      <c r="IR1399" s="2"/>
      <c r="IS1399" s="2"/>
      <c r="IT1399" s="2"/>
      <c r="IU1399" s="2"/>
    </row>
    <row r="1400" spans="1:255" x14ac:dyDescent="0.2">
      <c r="A1400">
        <v>17</v>
      </c>
      <c r="B1400">
        <v>1</v>
      </c>
      <c r="E1400" t="s">
        <v>3</v>
      </c>
      <c r="F1400" t="s">
        <v>1054</v>
      </c>
      <c r="G1400" t="s">
        <v>1055</v>
      </c>
      <c r="H1400" t="s">
        <v>238</v>
      </c>
      <c r="I1400">
        <v>1</v>
      </c>
      <c r="J1400">
        <v>0</v>
      </c>
      <c r="K1400">
        <v>1</v>
      </c>
      <c r="O1400">
        <f t="shared" si="1173"/>
        <v>8965.35</v>
      </c>
      <c r="P1400">
        <f t="shared" si="1203"/>
        <v>8965.35</v>
      </c>
      <c r="Q1400">
        <f t="shared" si="1204"/>
        <v>0</v>
      </c>
      <c r="R1400">
        <f t="shared" si="1205"/>
        <v>0</v>
      </c>
      <c r="S1400">
        <f t="shared" si="1206"/>
        <v>0</v>
      </c>
      <c r="T1400">
        <f t="shared" si="1174"/>
        <v>0</v>
      </c>
      <c r="U1400">
        <f t="shared" si="1175"/>
        <v>0</v>
      </c>
      <c r="V1400">
        <f t="shared" si="1176"/>
        <v>0</v>
      </c>
      <c r="W1400">
        <f t="shared" si="1177"/>
        <v>0</v>
      </c>
      <c r="X1400">
        <f t="shared" si="1178"/>
        <v>0</v>
      </c>
      <c r="Y1400">
        <f t="shared" si="1179"/>
        <v>0</v>
      </c>
      <c r="AA1400">
        <v>-1</v>
      </c>
      <c r="AB1400">
        <f t="shared" si="1180"/>
        <v>2449.5500000000002</v>
      </c>
      <c r="AC1400">
        <f t="shared" si="1197"/>
        <v>2449.5500000000002</v>
      </c>
      <c r="AD1400">
        <f t="shared" si="1207"/>
        <v>0</v>
      </c>
      <c r="AE1400">
        <f t="shared" si="1198"/>
        <v>0</v>
      </c>
      <c r="AF1400">
        <f t="shared" si="1199"/>
        <v>0</v>
      </c>
      <c r="AG1400">
        <f t="shared" si="1182"/>
        <v>0</v>
      </c>
      <c r="AH1400">
        <f t="shared" si="1183"/>
        <v>0</v>
      </c>
      <c r="AI1400">
        <f t="shared" si="1184"/>
        <v>0</v>
      </c>
      <c r="AJ1400">
        <f t="shared" si="1185"/>
        <v>0</v>
      </c>
      <c r="AK1400">
        <v>2449.5500000000002</v>
      </c>
      <c r="AL1400">
        <v>2449.5500000000002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1</v>
      </c>
      <c r="AW1400">
        <v>1</v>
      </c>
      <c r="AZ1400">
        <v>1</v>
      </c>
      <c r="BA1400">
        <v>1</v>
      </c>
      <c r="BB1400">
        <v>1</v>
      </c>
      <c r="BC1400">
        <v>3.66</v>
      </c>
      <c r="BD1400" t="s">
        <v>3</v>
      </c>
      <c r="BE1400" t="s">
        <v>3</v>
      </c>
      <c r="BF1400" t="s">
        <v>3</v>
      </c>
      <c r="BG1400" t="s">
        <v>3</v>
      </c>
      <c r="BH1400">
        <v>3</v>
      </c>
      <c r="BI1400">
        <v>3</v>
      </c>
      <c r="BJ1400" t="s">
        <v>1056</v>
      </c>
      <c r="BM1400">
        <v>746</v>
      </c>
      <c r="BN1400">
        <v>0</v>
      </c>
      <c r="BO1400" t="s">
        <v>3</v>
      </c>
      <c r="BP1400">
        <v>0</v>
      </c>
      <c r="BQ1400">
        <v>130</v>
      </c>
      <c r="BR1400">
        <v>0</v>
      </c>
      <c r="BS1400">
        <v>1</v>
      </c>
      <c r="BT1400">
        <v>1</v>
      </c>
      <c r="BU1400">
        <v>1</v>
      </c>
      <c r="BV1400">
        <v>1</v>
      </c>
      <c r="BW1400">
        <v>1</v>
      </c>
      <c r="BX1400">
        <v>1</v>
      </c>
      <c r="BY1400" t="s">
        <v>3</v>
      </c>
      <c r="BZ1400">
        <v>0</v>
      </c>
      <c r="CA1400">
        <v>0</v>
      </c>
      <c r="CB1400" t="s">
        <v>3</v>
      </c>
      <c r="CE1400">
        <v>30</v>
      </c>
      <c r="CF1400">
        <v>0</v>
      </c>
      <c r="CG1400">
        <v>0</v>
      </c>
      <c r="CM1400">
        <v>0</v>
      </c>
      <c r="CN1400" t="s">
        <v>3</v>
      </c>
      <c r="CO1400">
        <v>0</v>
      </c>
      <c r="CP1400">
        <f t="shared" si="1186"/>
        <v>8965.35</v>
      </c>
      <c r="CQ1400">
        <f t="shared" si="1208"/>
        <v>8965.35</v>
      </c>
      <c r="CR1400">
        <f t="shared" si="1209"/>
        <v>0</v>
      </c>
      <c r="CS1400">
        <f t="shared" si="1210"/>
        <v>0</v>
      </c>
      <c r="CT1400">
        <f t="shared" si="1211"/>
        <v>0</v>
      </c>
      <c r="CU1400">
        <f t="shared" si="1200"/>
        <v>0</v>
      </c>
      <c r="CV1400">
        <f t="shared" si="1212"/>
        <v>0</v>
      </c>
      <c r="CW1400">
        <f t="shared" si="1201"/>
        <v>0</v>
      </c>
      <c r="CX1400">
        <f t="shared" si="1202"/>
        <v>0</v>
      </c>
      <c r="CY1400">
        <f>S1400*(BZ1400/100)</f>
        <v>0</v>
      </c>
      <c r="CZ1400">
        <f>S1400*(CA1400/100)</f>
        <v>0</v>
      </c>
      <c r="DC1400" t="s">
        <v>3</v>
      </c>
      <c r="DD1400" t="s">
        <v>3</v>
      </c>
      <c r="DE1400" t="s">
        <v>3</v>
      </c>
      <c r="DF1400" t="s">
        <v>3</v>
      </c>
      <c r="DG1400" t="s">
        <v>3</v>
      </c>
      <c r="DH1400" t="s">
        <v>3</v>
      </c>
      <c r="DI1400" t="s">
        <v>3</v>
      </c>
      <c r="DJ1400" t="s">
        <v>3</v>
      </c>
      <c r="DK1400" t="s">
        <v>3</v>
      </c>
      <c r="DL1400" t="s">
        <v>3</v>
      </c>
      <c r="DM1400" t="s">
        <v>3</v>
      </c>
      <c r="DN1400">
        <v>0</v>
      </c>
      <c r="DO1400">
        <v>0</v>
      </c>
      <c r="DP1400">
        <v>1</v>
      </c>
      <c r="DQ1400">
        <v>1</v>
      </c>
      <c r="DU1400">
        <v>1013</v>
      </c>
      <c r="DV1400" t="s">
        <v>238</v>
      </c>
      <c r="DW1400" t="s">
        <v>238</v>
      </c>
      <c r="DX1400">
        <v>1</v>
      </c>
      <c r="DZ1400" t="s">
        <v>3</v>
      </c>
      <c r="EA1400" t="s">
        <v>3</v>
      </c>
      <c r="EB1400" t="s">
        <v>3</v>
      </c>
      <c r="EC1400" t="s">
        <v>3</v>
      </c>
      <c r="EE1400">
        <v>126052207</v>
      </c>
      <c r="EF1400">
        <v>130</v>
      </c>
      <c r="EG1400" t="s">
        <v>712</v>
      </c>
      <c r="EH1400">
        <v>0</v>
      </c>
      <c r="EI1400" t="s">
        <v>3</v>
      </c>
      <c r="EJ1400">
        <v>3</v>
      </c>
      <c r="EK1400">
        <v>746</v>
      </c>
      <c r="EL1400" t="s">
        <v>713</v>
      </c>
      <c r="EM1400" t="s">
        <v>714</v>
      </c>
      <c r="EO1400" t="s">
        <v>3</v>
      </c>
      <c r="EQ1400">
        <v>132096</v>
      </c>
      <c r="ER1400">
        <v>2449.5500000000002</v>
      </c>
      <c r="ES1400">
        <v>2449.5500000000002</v>
      </c>
      <c r="ET1400">
        <v>0</v>
      </c>
      <c r="EU1400">
        <v>0</v>
      </c>
      <c r="EV1400">
        <v>0</v>
      </c>
      <c r="EW1400">
        <v>0</v>
      </c>
      <c r="EX1400">
        <v>0</v>
      </c>
      <c r="EY1400">
        <v>0</v>
      </c>
      <c r="FQ1400">
        <v>0</v>
      </c>
      <c r="FR1400">
        <f t="shared" si="1188"/>
        <v>8965.35</v>
      </c>
      <c r="FS1400">
        <v>0</v>
      </c>
      <c r="FX1400">
        <v>0</v>
      </c>
      <c r="FY1400">
        <v>0</v>
      </c>
      <c r="GA1400" t="s">
        <v>3</v>
      </c>
      <c r="GD1400">
        <v>0</v>
      </c>
      <c r="GF1400">
        <v>1854418488</v>
      </c>
      <c r="GG1400">
        <v>2</v>
      </c>
      <c r="GH1400">
        <v>1</v>
      </c>
      <c r="GI1400">
        <v>2</v>
      </c>
      <c r="GJ1400">
        <v>0</v>
      </c>
      <c r="GK1400">
        <f>ROUND(R1400*(S12)/100,2)</f>
        <v>0</v>
      </c>
      <c r="GL1400">
        <f t="shared" si="1189"/>
        <v>0</v>
      </c>
      <c r="GM1400">
        <f t="shared" si="1190"/>
        <v>8965.35</v>
      </c>
      <c r="GN1400">
        <f t="shared" si="1191"/>
        <v>0</v>
      </c>
      <c r="GO1400">
        <f t="shared" si="1192"/>
        <v>0</v>
      </c>
      <c r="GP1400">
        <f t="shared" si="1193"/>
        <v>0</v>
      </c>
      <c r="GR1400">
        <v>0</v>
      </c>
      <c r="GS1400">
        <v>3</v>
      </c>
      <c r="GT1400">
        <v>0</v>
      </c>
      <c r="GU1400" t="s">
        <v>3</v>
      </c>
      <c r="GV1400">
        <f t="shared" si="1194"/>
        <v>0</v>
      </c>
      <c r="GW1400">
        <v>1</v>
      </c>
      <c r="GX1400">
        <f t="shared" si="1195"/>
        <v>0</v>
      </c>
      <c r="HA1400">
        <v>0</v>
      </c>
      <c r="HB1400">
        <v>0</v>
      </c>
      <c r="HC1400">
        <f t="shared" si="1196"/>
        <v>0</v>
      </c>
      <c r="HE1400" t="s">
        <v>3</v>
      </c>
      <c r="HF1400" t="s">
        <v>3</v>
      </c>
      <c r="HM1400" t="s">
        <v>3</v>
      </c>
      <c r="HN1400" t="s">
        <v>3</v>
      </c>
      <c r="HO1400" t="s">
        <v>3</v>
      </c>
      <c r="HP1400" t="s">
        <v>3</v>
      </c>
      <c r="HQ1400" t="s">
        <v>3</v>
      </c>
      <c r="IK1400">
        <v>0</v>
      </c>
    </row>
    <row r="1401" spans="1:255" x14ac:dyDescent="0.2">
      <c r="A1401" s="2">
        <v>17</v>
      </c>
      <c r="B1401" s="2">
        <v>1</v>
      </c>
      <c r="C1401" s="2"/>
      <c r="D1401" s="2"/>
      <c r="E1401" s="2" t="s">
        <v>3</v>
      </c>
      <c r="F1401" s="2" t="s">
        <v>1057</v>
      </c>
      <c r="G1401" s="2" t="s">
        <v>1058</v>
      </c>
      <c r="H1401" s="2" t="s">
        <v>238</v>
      </c>
      <c r="I1401" s="2">
        <v>1</v>
      </c>
      <c r="J1401" s="2">
        <v>0</v>
      </c>
      <c r="K1401" s="2">
        <v>1</v>
      </c>
      <c r="L1401" s="2"/>
      <c r="M1401" s="2"/>
      <c r="N1401" s="2"/>
      <c r="O1401" s="2">
        <f t="shared" si="1173"/>
        <v>2991.57</v>
      </c>
      <c r="P1401" s="2">
        <f t="shared" si="1203"/>
        <v>2991.57</v>
      </c>
      <c r="Q1401" s="2">
        <f t="shared" si="1204"/>
        <v>0</v>
      </c>
      <c r="R1401" s="2">
        <f t="shared" si="1205"/>
        <v>0</v>
      </c>
      <c r="S1401" s="2">
        <f t="shared" si="1206"/>
        <v>0</v>
      </c>
      <c r="T1401" s="2">
        <f t="shared" si="1174"/>
        <v>0</v>
      </c>
      <c r="U1401" s="2">
        <f t="shared" si="1175"/>
        <v>0</v>
      </c>
      <c r="V1401" s="2">
        <f t="shared" si="1176"/>
        <v>0</v>
      </c>
      <c r="W1401" s="2">
        <f t="shared" si="1177"/>
        <v>0</v>
      </c>
      <c r="X1401" s="2">
        <f t="shared" si="1178"/>
        <v>0</v>
      </c>
      <c r="Y1401" s="2">
        <f t="shared" si="1179"/>
        <v>0</v>
      </c>
      <c r="Z1401" s="2"/>
      <c r="AA1401" s="2">
        <v>-1</v>
      </c>
      <c r="AB1401" s="2">
        <f t="shared" si="1180"/>
        <v>2991.57</v>
      </c>
      <c r="AC1401" s="2">
        <f t="shared" si="1197"/>
        <v>2991.57</v>
      </c>
      <c r="AD1401" s="2">
        <f t="shared" si="1207"/>
        <v>0</v>
      </c>
      <c r="AE1401" s="2">
        <f t="shared" si="1198"/>
        <v>0</v>
      </c>
      <c r="AF1401" s="2">
        <f t="shared" si="1199"/>
        <v>0</v>
      </c>
      <c r="AG1401" s="2">
        <f t="shared" si="1182"/>
        <v>0</v>
      </c>
      <c r="AH1401" s="2">
        <f t="shared" si="1183"/>
        <v>0</v>
      </c>
      <c r="AI1401" s="2">
        <f t="shared" si="1184"/>
        <v>0</v>
      </c>
      <c r="AJ1401" s="2">
        <f t="shared" si="1185"/>
        <v>0</v>
      </c>
      <c r="AK1401" s="2">
        <v>2991.57</v>
      </c>
      <c r="AL1401" s="2">
        <v>2991.57</v>
      </c>
      <c r="AM1401" s="2">
        <v>0</v>
      </c>
      <c r="AN1401" s="2">
        <v>0</v>
      </c>
      <c r="AO1401" s="2">
        <v>0</v>
      </c>
      <c r="AP1401" s="2">
        <v>0</v>
      </c>
      <c r="AQ1401" s="2">
        <v>0</v>
      </c>
      <c r="AR1401" s="2">
        <v>0</v>
      </c>
      <c r="AS1401" s="2">
        <v>0</v>
      </c>
      <c r="AT1401" s="2">
        <v>0</v>
      </c>
      <c r="AU1401" s="2">
        <v>0</v>
      </c>
      <c r="AV1401" s="2">
        <v>1</v>
      </c>
      <c r="AW1401" s="2">
        <v>1</v>
      </c>
      <c r="AX1401" s="2"/>
      <c r="AY1401" s="2"/>
      <c r="AZ1401" s="2">
        <v>1</v>
      </c>
      <c r="BA1401" s="2">
        <v>1</v>
      </c>
      <c r="BB1401" s="2">
        <v>1</v>
      </c>
      <c r="BC1401" s="2">
        <v>1</v>
      </c>
      <c r="BD1401" s="2" t="s">
        <v>3</v>
      </c>
      <c r="BE1401" s="2" t="s">
        <v>3</v>
      </c>
      <c r="BF1401" s="2" t="s">
        <v>3</v>
      </c>
      <c r="BG1401" s="2" t="s">
        <v>3</v>
      </c>
      <c r="BH1401" s="2">
        <v>3</v>
      </c>
      <c r="BI1401" s="2">
        <v>3</v>
      </c>
      <c r="BJ1401" s="2" t="s">
        <v>1059</v>
      </c>
      <c r="BK1401" s="2"/>
      <c r="BL1401" s="2"/>
      <c r="BM1401" s="2">
        <v>746</v>
      </c>
      <c r="BN1401" s="2">
        <v>0</v>
      </c>
      <c r="BO1401" s="2" t="s">
        <v>3</v>
      </c>
      <c r="BP1401" s="2">
        <v>0</v>
      </c>
      <c r="BQ1401" s="2">
        <v>130</v>
      </c>
      <c r="BR1401" s="2">
        <v>0</v>
      </c>
      <c r="BS1401" s="2">
        <v>1</v>
      </c>
      <c r="BT1401" s="2">
        <v>1</v>
      </c>
      <c r="BU1401" s="2">
        <v>1</v>
      </c>
      <c r="BV1401" s="2">
        <v>1</v>
      </c>
      <c r="BW1401" s="2">
        <v>1</v>
      </c>
      <c r="BX1401" s="2">
        <v>1</v>
      </c>
      <c r="BY1401" s="2" t="s">
        <v>3</v>
      </c>
      <c r="BZ1401" s="2">
        <v>0</v>
      </c>
      <c r="CA1401" s="2">
        <v>0</v>
      </c>
      <c r="CB1401" s="2" t="s">
        <v>3</v>
      </c>
      <c r="CC1401" s="2"/>
      <c r="CD1401" s="2"/>
      <c r="CE1401" s="2">
        <v>30</v>
      </c>
      <c r="CF1401" s="2">
        <v>0</v>
      </c>
      <c r="CG1401" s="2">
        <v>0</v>
      </c>
      <c r="CH1401" s="2"/>
      <c r="CI1401" s="2"/>
      <c r="CJ1401" s="2"/>
      <c r="CK1401" s="2"/>
      <c r="CL1401" s="2"/>
      <c r="CM1401" s="2">
        <v>0</v>
      </c>
      <c r="CN1401" s="2" t="s">
        <v>3</v>
      </c>
      <c r="CO1401" s="2">
        <v>0</v>
      </c>
      <c r="CP1401" s="2">
        <f t="shared" si="1186"/>
        <v>2991.57</v>
      </c>
      <c r="CQ1401" s="2">
        <f t="shared" si="1208"/>
        <v>2991.57</v>
      </c>
      <c r="CR1401" s="2">
        <f t="shared" si="1209"/>
        <v>0</v>
      </c>
      <c r="CS1401" s="2">
        <f t="shared" si="1210"/>
        <v>0</v>
      </c>
      <c r="CT1401" s="2">
        <f t="shared" si="1211"/>
        <v>0</v>
      </c>
      <c r="CU1401" s="2">
        <f t="shared" si="1200"/>
        <v>0</v>
      </c>
      <c r="CV1401" s="2">
        <f t="shared" si="1212"/>
        <v>0</v>
      </c>
      <c r="CW1401" s="2">
        <f t="shared" si="1201"/>
        <v>0</v>
      </c>
      <c r="CX1401" s="2">
        <f t="shared" si="1202"/>
        <v>0</v>
      </c>
      <c r="CY1401" s="2">
        <f>((S1401*BZ1401)/100)</f>
        <v>0</v>
      </c>
      <c r="CZ1401" s="2">
        <f>((S1401*CA1401)/100)</f>
        <v>0</v>
      </c>
      <c r="DA1401" s="2"/>
      <c r="DB1401" s="2"/>
      <c r="DC1401" s="2" t="s">
        <v>3</v>
      </c>
      <c r="DD1401" s="2" t="s">
        <v>3</v>
      </c>
      <c r="DE1401" s="2" t="s">
        <v>3</v>
      </c>
      <c r="DF1401" s="2" t="s">
        <v>3</v>
      </c>
      <c r="DG1401" s="2" t="s">
        <v>3</v>
      </c>
      <c r="DH1401" s="2" t="s">
        <v>3</v>
      </c>
      <c r="DI1401" s="2" t="s">
        <v>3</v>
      </c>
      <c r="DJ1401" s="2" t="s">
        <v>3</v>
      </c>
      <c r="DK1401" s="2" t="s">
        <v>3</v>
      </c>
      <c r="DL1401" s="2" t="s">
        <v>3</v>
      </c>
      <c r="DM1401" s="2" t="s">
        <v>3</v>
      </c>
      <c r="DN1401" s="2">
        <v>0</v>
      </c>
      <c r="DO1401" s="2">
        <v>0</v>
      </c>
      <c r="DP1401" s="2">
        <v>1</v>
      </c>
      <c r="DQ1401" s="2">
        <v>1</v>
      </c>
      <c r="DR1401" s="2"/>
      <c r="DS1401" s="2"/>
      <c r="DT1401" s="2"/>
      <c r="DU1401" s="2">
        <v>1013</v>
      </c>
      <c r="DV1401" s="2" t="s">
        <v>238</v>
      </c>
      <c r="DW1401" s="2" t="s">
        <v>238</v>
      </c>
      <c r="DX1401" s="2">
        <v>1</v>
      </c>
      <c r="DY1401" s="2"/>
      <c r="DZ1401" s="2" t="s">
        <v>3</v>
      </c>
      <c r="EA1401" s="2" t="s">
        <v>3</v>
      </c>
      <c r="EB1401" s="2" t="s">
        <v>3</v>
      </c>
      <c r="EC1401" s="2" t="s">
        <v>3</v>
      </c>
      <c r="ED1401" s="2"/>
      <c r="EE1401" s="2">
        <v>126052207</v>
      </c>
      <c r="EF1401" s="2">
        <v>130</v>
      </c>
      <c r="EG1401" s="2" t="s">
        <v>712</v>
      </c>
      <c r="EH1401" s="2">
        <v>0</v>
      </c>
      <c r="EI1401" s="2" t="s">
        <v>3</v>
      </c>
      <c r="EJ1401" s="2">
        <v>3</v>
      </c>
      <c r="EK1401" s="2">
        <v>746</v>
      </c>
      <c r="EL1401" s="2" t="s">
        <v>713</v>
      </c>
      <c r="EM1401" s="2" t="s">
        <v>714</v>
      </c>
      <c r="EN1401" s="2"/>
      <c r="EO1401" s="2" t="s">
        <v>3</v>
      </c>
      <c r="EP1401" s="2"/>
      <c r="EQ1401" s="2">
        <v>132096</v>
      </c>
      <c r="ER1401" s="2">
        <v>2991.57</v>
      </c>
      <c r="ES1401" s="2">
        <v>2991.57</v>
      </c>
      <c r="ET1401" s="2">
        <v>0</v>
      </c>
      <c r="EU1401" s="2">
        <v>0</v>
      </c>
      <c r="EV1401" s="2">
        <v>0</v>
      </c>
      <c r="EW1401" s="2">
        <v>0</v>
      </c>
      <c r="EX1401" s="2">
        <v>0</v>
      </c>
      <c r="EY1401" s="2">
        <v>0</v>
      </c>
      <c r="EZ1401" s="2"/>
      <c r="FA1401" s="2"/>
      <c r="FB1401" s="2"/>
      <c r="FC1401" s="2"/>
      <c r="FD1401" s="2"/>
      <c r="FE1401" s="2"/>
      <c r="FF1401" s="2"/>
      <c r="FG1401" s="2"/>
      <c r="FH1401" s="2"/>
      <c r="FI1401" s="2"/>
      <c r="FJ1401" s="2"/>
      <c r="FK1401" s="2"/>
      <c r="FL1401" s="2"/>
      <c r="FM1401" s="2"/>
      <c r="FN1401" s="2"/>
      <c r="FO1401" s="2"/>
      <c r="FP1401" s="2"/>
      <c r="FQ1401" s="2">
        <v>0</v>
      </c>
      <c r="FR1401" s="2">
        <f t="shared" si="1188"/>
        <v>2991.57</v>
      </c>
      <c r="FS1401" s="2">
        <v>0</v>
      </c>
      <c r="FT1401" s="2"/>
      <c r="FU1401" s="2"/>
      <c r="FV1401" s="2"/>
      <c r="FW1401" s="2"/>
      <c r="FX1401" s="2">
        <v>0</v>
      </c>
      <c r="FY1401" s="2">
        <v>0</v>
      </c>
      <c r="FZ1401" s="2"/>
      <c r="GA1401" s="2" t="s">
        <v>3</v>
      </c>
      <c r="GB1401" s="2"/>
      <c r="GC1401" s="2"/>
      <c r="GD1401" s="2">
        <v>0</v>
      </c>
      <c r="GE1401" s="2"/>
      <c r="GF1401" s="2">
        <v>713378922</v>
      </c>
      <c r="GG1401" s="2">
        <v>2</v>
      </c>
      <c r="GH1401" s="2">
        <v>1</v>
      </c>
      <c r="GI1401" s="2">
        <v>-2</v>
      </c>
      <c r="GJ1401" s="2">
        <v>0</v>
      </c>
      <c r="GK1401" s="2">
        <f>ROUND(R1401*(R12)/100,2)</f>
        <v>0</v>
      </c>
      <c r="GL1401" s="2">
        <f t="shared" si="1189"/>
        <v>0</v>
      </c>
      <c r="GM1401" s="2">
        <f t="shared" si="1190"/>
        <v>2991.57</v>
      </c>
      <c r="GN1401" s="2">
        <f t="shared" si="1191"/>
        <v>0</v>
      </c>
      <c r="GO1401" s="2">
        <f t="shared" si="1192"/>
        <v>0</v>
      </c>
      <c r="GP1401" s="2">
        <f t="shared" si="1193"/>
        <v>0</v>
      </c>
      <c r="GQ1401" s="2"/>
      <c r="GR1401" s="2">
        <v>0</v>
      </c>
      <c r="GS1401" s="2">
        <v>0</v>
      </c>
      <c r="GT1401" s="2">
        <v>0</v>
      </c>
      <c r="GU1401" s="2" t="s">
        <v>3</v>
      </c>
      <c r="GV1401" s="2">
        <f t="shared" si="1194"/>
        <v>0</v>
      </c>
      <c r="GW1401" s="2">
        <v>1</v>
      </c>
      <c r="GX1401" s="2">
        <f t="shared" si="1195"/>
        <v>0</v>
      </c>
      <c r="GY1401" s="2"/>
      <c r="GZ1401" s="2"/>
      <c r="HA1401" s="2">
        <v>0</v>
      </c>
      <c r="HB1401" s="2">
        <v>0</v>
      </c>
      <c r="HC1401" s="2">
        <f t="shared" si="1196"/>
        <v>0</v>
      </c>
      <c r="HD1401" s="2"/>
      <c r="HE1401" s="2" t="s">
        <v>3</v>
      </c>
      <c r="HF1401" s="2" t="s">
        <v>3</v>
      </c>
      <c r="HG1401" s="2"/>
      <c r="HH1401" s="2"/>
      <c r="HI1401" s="2"/>
      <c r="HJ1401" s="2"/>
      <c r="HK1401" s="2"/>
      <c r="HL1401" s="2"/>
      <c r="HM1401" s="2" t="s">
        <v>3</v>
      </c>
      <c r="HN1401" s="2" t="s">
        <v>3</v>
      </c>
      <c r="HO1401" s="2" t="s">
        <v>3</v>
      </c>
      <c r="HP1401" s="2" t="s">
        <v>3</v>
      </c>
      <c r="HQ1401" s="2" t="s">
        <v>3</v>
      </c>
      <c r="HR1401" s="2"/>
      <c r="HS1401" s="2"/>
      <c r="HT1401" s="2"/>
      <c r="HU1401" s="2"/>
      <c r="HV1401" s="2"/>
      <c r="HW1401" s="2"/>
      <c r="HX1401" s="2"/>
      <c r="HY1401" s="2"/>
      <c r="HZ1401" s="2"/>
      <c r="IA1401" s="2"/>
      <c r="IB1401" s="2"/>
      <c r="IC1401" s="2"/>
      <c r="ID1401" s="2"/>
      <c r="IE1401" s="2"/>
      <c r="IF1401" s="2"/>
      <c r="IG1401" s="2"/>
      <c r="IH1401" s="2"/>
      <c r="II1401" s="2"/>
      <c r="IJ1401" s="2"/>
      <c r="IK1401" s="2">
        <v>0</v>
      </c>
      <c r="IL1401" s="2"/>
      <c r="IM1401" s="2"/>
      <c r="IN1401" s="2"/>
      <c r="IO1401" s="2"/>
      <c r="IP1401" s="2"/>
      <c r="IQ1401" s="2"/>
      <c r="IR1401" s="2"/>
      <c r="IS1401" s="2"/>
      <c r="IT1401" s="2"/>
      <c r="IU1401" s="2"/>
    </row>
    <row r="1402" spans="1:255" x14ac:dyDescent="0.2">
      <c r="A1402">
        <v>17</v>
      </c>
      <c r="B1402">
        <v>1</v>
      </c>
      <c r="E1402" t="s">
        <v>3</v>
      </c>
      <c r="F1402" t="s">
        <v>1057</v>
      </c>
      <c r="G1402" t="s">
        <v>1058</v>
      </c>
      <c r="H1402" t="s">
        <v>238</v>
      </c>
      <c r="I1402">
        <v>1</v>
      </c>
      <c r="J1402">
        <v>0</v>
      </c>
      <c r="K1402">
        <v>1</v>
      </c>
      <c r="O1402">
        <f t="shared" si="1173"/>
        <v>10320.92</v>
      </c>
      <c r="P1402">
        <f t="shared" si="1203"/>
        <v>10320.92</v>
      </c>
      <c r="Q1402">
        <f t="shared" si="1204"/>
        <v>0</v>
      </c>
      <c r="R1402">
        <f t="shared" si="1205"/>
        <v>0</v>
      </c>
      <c r="S1402">
        <f t="shared" si="1206"/>
        <v>0</v>
      </c>
      <c r="T1402">
        <f t="shared" si="1174"/>
        <v>0</v>
      </c>
      <c r="U1402">
        <f t="shared" si="1175"/>
        <v>0</v>
      </c>
      <c r="V1402">
        <f t="shared" si="1176"/>
        <v>0</v>
      </c>
      <c r="W1402">
        <f t="shared" si="1177"/>
        <v>0</v>
      </c>
      <c r="X1402">
        <f t="shared" si="1178"/>
        <v>0</v>
      </c>
      <c r="Y1402">
        <f t="shared" si="1179"/>
        <v>0</v>
      </c>
      <c r="AA1402">
        <v>-1</v>
      </c>
      <c r="AB1402">
        <f t="shared" si="1180"/>
        <v>2991.57</v>
      </c>
      <c r="AC1402">
        <f t="shared" si="1197"/>
        <v>2991.57</v>
      </c>
      <c r="AD1402">
        <f t="shared" si="1207"/>
        <v>0</v>
      </c>
      <c r="AE1402">
        <f t="shared" si="1198"/>
        <v>0</v>
      </c>
      <c r="AF1402">
        <f t="shared" si="1199"/>
        <v>0</v>
      </c>
      <c r="AG1402">
        <f t="shared" si="1182"/>
        <v>0</v>
      </c>
      <c r="AH1402">
        <f t="shared" si="1183"/>
        <v>0</v>
      </c>
      <c r="AI1402">
        <f t="shared" si="1184"/>
        <v>0</v>
      </c>
      <c r="AJ1402">
        <f t="shared" si="1185"/>
        <v>0</v>
      </c>
      <c r="AK1402">
        <v>2991.57</v>
      </c>
      <c r="AL1402">
        <v>2991.57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1</v>
      </c>
      <c r="AW1402">
        <v>1</v>
      </c>
      <c r="AZ1402">
        <v>1</v>
      </c>
      <c r="BA1402">
        <v>1</v>
      </c>
      <c r="BB1402">
        <v>1</v>
      </c>
      <c r="BC1402">
        <v>3.45</v>
      </c>
      <c r="BD1402" t="s">
        <v>3</v>
      </c>
      <c r="BE1402" t="s">
        <v>3</v>
      </c>
      <c r="BF1402" t="s">
        <v>3</v>
      </c>
      <c r="BG1402" t="s">
        <v>3</v>
      </c>
      <c r="BH1402">
        <v>3</v>
      </c>
      <c r="BI1402">
        <v>3</v>
      </c>
      <c r="BJ1402" t="s">
        <v>1059</v>
      </c>
      <c r="BM1402">
        <v>746</v>
      </c>
      <c r="BN1402">
        <v>0</v>
      </c>
      <c r="BO1402" t="s">
        <v>3</v>
      </c>
      <c r="BP1402">
        <v>0</v>
      </c>
      <c r="BQ1402">
        <v>130</v>
      </c>
      <c r="BR1402">
        <v>0</v>
      </c>
      <c r="BS1402">
        <v>1</v>
      </c>
      <c r="BT1402">
        <v>1</v>
      </c>
      <c r="BU1402">
        <v>1</v>
      </c>
      <c r="BV1402">
        <v>1</v>
      </c>
      <c r="BW1402">
        <v>1</v>
      </c>
      <c r="BX1402">
        <v>1</v>
      </c>
      <c r="BY1402" t="s">
        <v>3</v>
      </c>
      <c r="BZ1402">
        <v>0</v>
      </c>
      <c r="CA1402">
        <v>0</v>
      </c>
      <c r="CB1402" t="s">
        <v>3</v>
      </c>
      <c r="CE1402">
        <v>30</v>
      </c>
      <c r="CF1402">
        <v>0</v>
      </c>
      <c r="CG1402">
        <v>0</v>
      </c>
      <c r="CM1402">
        <v>0</v>
      </c>
      <c r="CN1402" t="s">
        <v>3</v>
      </c>
      <c r="CO1402">
        <v>0</v>
      </c>
      <c r="CP1402">
        <f t="shared" si="1186"/>
        <v>10320.92</v>
      </c>
      <c r="CQ1402">
        <f t="shared" si="1208"/>
        <v>10320.92</v>
      </c>
      <c r="CR1402">
        <f t="shared" si="1209"/>
        <v>0</v>
      </c>
      <c r="CS1402">
        <f t="shared" si="1210"/>
        <v>0</v>
      </c>
      <c r="CT1402">
        <f t="shared" si="1211"/>
        <v>0</v>
      </c>
      <c r="CU1402">
        <f t="shared" si="1200"/>
        <v>0</v>
      </c>
      <c r="CV1402">
        <f t="shared" si="1212"/>
        <v>0</v>
      </c>
      <c r="CW1402">
        <f t="shared" si="1201"/>
        <v>0</v>
      </c>
      <c r="CX1402">
        <f t="shared" si="1202"/>
        <v>0</v>
      </c>
      <c r="CY1402">
        <f>S1402*(BZ1402/100)</f>
        <v>0</v>
      </c>
      <c r="CZ1402">
        <f>S1402*(CA1402/100)</f>
        <v>0</v>
      </c>
      <c r="DC1402" t="s">
        <v>3</v>
      </c>
      <c r="DD1402" t="s">
        <v>3</v>
      </c>
      <c r="DE1402" t="s">
        <v>3</v>
      </c>
      <c r="DF1402" t="s">
        <v>3</v>
      </c>
      <c r="DG1402" t="s">
        <v>3</v>
      </c>
      <c r="DH1402" t="s">
        <v>3</v>
      </c>
      <c r="DI1402" t="s">
        <v>3</v>
      </c>
      <c r="DJ1402" t="s">
        <v>3</v>
      </c>
      <c r="DK1402" t="s">
        <v>3</v>
      </c>
      <c r="DL1402" t="s">
        <v>3</v>
      </c>
      <c r="DM1402" t="s">
        <v>3</v>
      </c>
      <c r="DN1402">
        <v>0</v>
      </c>
      <c r="DO1402">
        <v>0</v>
      </c>
      <c r="DP1402">
        <v>1</v>
      </c>
      <c r="DQ1402">
        <v>1</v>
      </c>
      <c r="DU1402">
        <v>1013</v>
      </c>
      <c r="DV1402" t="s">
        <v>238</v>
      </c>
      <c r="DW1402" t="s">
        <v>238</v>
      </c>
      <c r="DX1402">
        <v>1</v>
      </c>
      <c r="DZ1402" t="s">
        <v>3</v>
      </c>
      <c r="EA1402" t="s">
        <v>3</v>
      </c>
      <c r="EB1402" t="s">
        <v>3</v>
      </c>
      <c r="EC1402" t="s">
        <v>3</v>
      </c>
      <c r="EE1402">
        <v>126052207</v>
      </c>
      <c r="EF1402">
        <v>130</v>
      </c>
      <c r="EG1402" t="s">
        <v>712</v>
      </c>
      <c r="EH1402">
        <v>0</v>
      </c>
      <c r="EI1402" t="s">
        <v>3</v>
      </c>
      <c r="EJ1402">
        <v>3</v>
      </c>
      <c r="EK1402">
        <v>746</v>
      </c>
      <c r="EL1402" t="s">
        <v>713</v>
      </c>
      <c r="EM1402" t="s">
        <v>714</v>
      </c>
      <c r="EO1402" t="s">
        <v>3</v>
      </c>
      <c r="EQ1402">
        <v>132096</v>
      </c>
      <c r="ER1402">
        <v>2991.57</v>
      </c>
      <c r="ES1402">
        <v>2991.57</v>
      </c>
      <c r="ET1402">
        <v>0</v>
      </c>
      <c r="EU1402">
        <v>0</v>
      </c>
      <c r="EV1402">
        <v>0</v>
      </c>
      <c r="EW1402">
        <v>0</v>
      </c>
      <c r="EX1402">
        <v>0</v>
      </c>
      <c r="EY1402">
        <v>0</v>
      </c>
      <c r="FQ1402">
        <v>0</v>
      </c>
      <c r="FR1402">
        <f t="shared" si="1188"/>
        <v>10320.92</v>
      </c>
      <c r="FS1402">
        <v>0</v>
      </c>
      <c r="FX1402">
        <v>0</v>
      </c>
      <c r="FY1402">
        <v>0</v>
      </c>
      <c r="GA1402" t="s">
        <v>3</v>
      </c>
      <c r="GD1402">
        <v>0</v>
      </c>
      <c r="GF1402">
        <v>713378922</v>
      </c>
      <c r="GG1402">
        <v>2</v>
      </c>
      <c r="GH1402">
        <v>1</v>
      </c>
      <c r="GI1402">
        <v>2</v>
      </c>
      <c r="GJ1402">
        <v>0</v>
      </c>
      <c r="GK1402">
        <f>ROUND(R1402*(S12)/100,2)</f>
        <v>0</v>
      </c>
      <c r="GL1402">
        <f t="shared" si="1189"/>
        <v>0</v>
      </c>
      <c r="GM1402">
        <f t="shared" si="1190"/>
        <v>10320.92</v>
      </c>
      <c r="GN1402">
        <f t="shared" si="1191"/>
        <v>0</v>
      </c>
      <c r="GO1402">
        <f t="shared" si="1192"/>
        <v>0</v>
      </c>
      <c r="GP1402">
        <f t="shared" si="1193"/>
        <v>0</v>
      </c>
      <c r="GR1402">
        <v>0</v>
      </c>
      <c r="GS1402">
        <v>3</v>
      </c>
      <c r="GT1402">
        <v>0</v>
      </c>
      <c r="GU1402" t="s">
        <v>3</v>
      </c>
      <c r="GV1402">
        <f t="shared" si="1194"/>
        <v>0</v>
      </c>
      <c r="GW1402">
        <v>1</v>
      </c>
      <c r="GX1402">
        <f t="shared" si="1195"/>
        <v>0</v>
      </c>
      <c r="HA1402">
        <v>0</v>
      </c>
      <c r="HB1402">
        <v>0</v>
      </c>
      <c r="HC1402">
        <f t="shared" si="1196"/>
        <v>0</v>
      </c>
      <c r="HE1402" t="s">
        <v>3</v>
      </c>
      <c r="HF1402" t="s">
        <v>3</v>
      </c>
      <c r="HM1402" t="s">
        <v>3</v>
      </c>
      <c r="HN1402" t="s">
        <v>3</v>
      </c>
      <c r="HO1402" t="s">
        <v>3</v>
      </c>
      <c r="HP1402" t="s">
        <v>3</v>
      </c>
      <c r="HQ1402" t="s">
        <v>3</v>
      </c>
      <c r="IK1402">
        <v>0</v>
      </c>
    </row>
    <row r="1403" spans="1:255" x14ac:dyDescent="0.2">
      <c r="A1403" s="2">
        <v>17</v>
      </c>
      <c r="B1403" s="2">
        <v>1</v>
      </c>
      <c r="C1403" s="2"/>
      <c r="D1403" s="2"/>
      <c r="E1403" s="2" t="s">
        <v>3</v>
      </c>
      <c r="F1403" s="2" t="s">
        <v>1060</v>
      </c>
      <c r="G1403" s="2" t="s">
        <v>1061</v>
      </c>
      <c r="H1403" s="2" t="s">
        <v>238</v>
      </c>
      <c r="I1403" s="2">
        <v>1</v>
      </c>
      <c r="J1403" s="2">
        <v>0</v>
      </c>
      <c r="K1403" s="2">
        <v>1</v>
      </c>
      <c r="L1403" s="2"/>
      <c r="M1403" s="2"/>
      <c r="N1403" s="2"/>
      <c r="O1403" s="2">
        <f t="shared" si="1173"/>
        <v>6618.99</v>
      </c>
      <c r="P1403" s="2">
        <f t="shared" si="1203"/>
        <v>6618.99</v>
      </c>
      <c r="Q1403" s="2">
        <f t="shared" si="1204"/>
        <v>0</v>
      </c>
      <c r="R1403" s="2">
        <f t="shared" si="1205"/>
        <v>0</v>
      </c>
      <c r="S1403" s="2">
        <f t="shared" si="1206"/>
        <v>0</v>
      </c>
      <c r="T1403" s="2">
        <f t="shared" si="1174"/>
        <v>0</v>
      </c>
      <c r="U1403" s="2">
        <f t="shared" si="1175"/>
        <v>0</v>
      </c>
      <c r="V1403" s="2">
        <f t="shared" si="1176"/>
        <v>0</v>
      </c>
      <c r="W1403" s="2">
        <f t="shared" si="1177"/>
        <v>0</v>
      </c>
      <c r="X1403" s="2">
        <f t="shared" si="1178"/>
        <v>0</v>
      </c>
      <c r="Y1403" s="2">
        <f t="shared" si="1179"/>
        <v>0</v>
      </c>
      <c r="Z1403" s="2"/>
      <c r="AA1403" s="2">
        <v>-1</v>
      </c>
      <c r="AB1403" s="2">
        <f t="shared" si="1180"/>
        <v>6618.99</v>
      </c>
      <c r="AC1403" s="2">
        <f t="shared" si="1197"/>
        <v>6618.99</v>
      </c>
      <c r="AD1403" s="2">
        <f t="shared" si="1207"/>
        <v>0</v>
      </c>
      <c r="AE1403" s="2">
        <f t="shared" si="1198"/>
        <v>0</v>
      </c>
      <c r="AF1403" s="2">
        <f t="shared" si="1199"/>
        <v>0</v>
      </c>
      <c r="AG1403" s="2">
        <f t="shared" si="1182"/>
        <v>0</v>
      </c>
      <c r="AH1403" s="2">
        <f t="shared" si="1183"/>
        <v>0</v>
      </c>
      <c r="AI1403" s="2">
        <f t="shared" si="1184"/>
        <v>0</v>
      </c>
      <c r="AJ1403" s="2">
        <f t="shared" si="1185"/>
        <v>0</v>
      </c>
      <c r="AK1403" s="2">
        <v>6618.99</v>
      </c>
      <c r="AL1403" s="2">
        <v>6618.99</v>
      </c>
      <c r="AM1403" s="2">
        <v>0</v>
      </c>
      <c r="AN1403" s="2">
        <v>0</v>
      </c>
      <c r="AO1403" s="2">
        <v>0</v>
      </c>
      <c r="AP1403" s="2">
        <v>0</v>
      </c>
      <c r="AQ1403" s="2">
        <v>0</v>
      </c>
      <c r="AR1403" s="2">
        <v>0</v>
      </c>
      <c r="AS1403" s="2">
        <v>0</v>
      </c>
      <c r="AT1403" s="2">
        <v>0</v>
      </c>
      <c r="AU1403" s="2">
        <v>0</v>
      </c>
      <c r="AV1403" s="2">
        <v>1</v>
      </c>
      <c r="AW1403" s="2">
        <v>1</v>
      </c>
      <c r="AX1403" s="2"/>
      <c r="AY1403" s="2"/>
      <c r="AZ1403" s="2">
        <v>1</v>
      </c>
      <c r="BA1403" s="2">
        <v>1</v>
      </c>
      <c r="BB1403" s="2">
        <v>1</v>
      </c>
      <c r="BC1403" s="2">
        <v>1</v>
      </c>
      <c r="BD1403" s="2" t="s">
        <v>3</v>
      </c>
      <c r="BE1403" s="2" t="s">
        <v>3</v>
      </c>
      <c r="BF1403" s="2" t="s">
        <v>3</v>
      </c>
      <c r="BG1403" s="2" t="s">
        <v>3</v>
      </c>
      <c r="BH1403" s="2">
        <v>3</v>
      </c>
      <c r="BI1403" s="2">
        <v>3</v>
      </c>
      <c r="BJ1403" s="2" t="s">
        <v>1062</v>
      </c>
      <c r="BK1403" s="2"/>
      <c r="BL1403" s="2"/>
      <c r="BM1403" s="2">
        <v>746</v>
      </c>
      <c r="BN1403" s="2">
        <v>0</v>
      </c>
      <c r="BO1403" s="2" t="s">
        <v>3</v>
      </c>
      <c r="BP1403" s="2">
        <v>0</v>
      </c>
      <c r="BQ1403" s="2">
        <v>130</v>
      </c>
      <c r="BR1403" s="2">
        <v>0</v>
      </c>
      <c r="BS1403" s="2">
        <v>1</v>
      </c>
      <c r="BT1403" s="2">
        <v>1</v>
      </c>
      <c r="BU1403" s="2">
        <v>1</v>
      </c>
      <c r="BV1403" s="2">
        <v>1</v>
      </c>
      <c r="BW1403" s="2">
        <v>1</v>
      </c>
      <c r="BX1403" s="2">
        <v>1</v>
      </c>
      <c r="BY1403" s="2" t="s">
        <v>3</v>
      </c>
      <c r="BZ1403" s="2">
        <v>0</v>
      </c>
      <c r="CA1403" s="2">
        <v>0</v>
      </c>
      <c r="CB1403" s="2" t="s">
        <v>3</v>
      </c>
      <c r="CC1403" s="2"/>
      <c r="CD1403" s="2"/>
      <c r="CE1403" s="2">
        <v>30</v>
      </c>
      <c r="CF1403" s="2">
        <v>0</v>
      </c>
      <c r="CG1403" s="2">
        <v>0</v>
      </c>
      <c r="CH1403" s="2"/>
      <c r="CI1403" s="2"/>
      <c r="CJ1403" s="2"/>
      <c r="CK1403" s="2"/>
      <c r="CL1403" s="2"/>
      <c r="CM1403" s="2">
        <v>0</v>
      </c>
      <c r="CN1403" s="2" t="s">
        <v>3</v>
      </c>
      <c r="CO1403" s="2">
        <v>0</v>
      </c>
      <c r="CP1403" s="2">
        <f t="shared" si="1186"/>
        <v>6618.99</v>
      </c>
      <c r="CQ1403" s="2">
        <f t="shared" si="1208"/>
        <v>6618.99</v>
      </c>
      <c r="CR1403" s="2">
        <f t="shared" si="1209"/>
        <v>0</v>
      </c>
      <c r="CS1403" s="2">
        <f t="shared" si="1210"/>
        <v>0</v>
      </c>
      <c r="CT1403" s="2">
        <f t="shared" si="1211"/>
        <v>0</v>
      </c>
      <c r="CU1403" s="2">
        <f t="shared" si="1200"/>
        <v>0</v>
      </c>
      <c r="CV1403" s="2">
        <f t="shared" si="1212"/>
        <v>0</v>
      </c>
      <c r="CW1403" s="2">
        <f t="shared" si="1201"/>
        <v>0</v>
      </c>
      <c r="CX1403" s="2">
        <f t="shared" si="1202"/>
        <v>0</v>
      </c>
      <c r="CY1403" s="2">
        <f>((S1403*BZ1403)/100)</f>
        <v>0</v>
      </c>
      <c r="CZ1403" s="2">
        <f>((S1403*CA1403)/100)</f>
        <v>0</v>
      </c>
      <c r="DA1403" s="2"/>
      <c r="DB1403" s="2"/>
      <c r="DC1403" s="2" t="s">
        <v>3</v>
      </c>
      <c r="DD1403" s="2" t="s">
        <v>3</v>
      </c>
      <c r="DE1403" s="2" t="s">
        <v>3</v>
      </c>
      <c r="DF1403" s="2" t="s">
        <v>3</v>
      </c>
      <c r="DG1403" s="2" t="s">
        <v>3</v>
      </c>
      <c r="DH1403" s="2" t="s">
        <v>3</v>
      </c>
      <c r="DI1403" s="2" t="s">
        <v>3</v>
      </c>
      <c r="DJ1403" s="2" t="s">
        <v>3</v>
      </c>
      <c r="DK1403" s="2" t="s">
        <v>3</v>
      </c>
      <c r="DL1403" s="2" t="s">
        <v>3</v>
      </c>
      <c r="DM1403" s="2" t="s">
        <v>3</v>
      </c>
      <c r="DN1403" s="2">
        <v>0</v>
      </c>
      <c r="DO1403" s="2">
        <v>0</v>
      </c>
      <c r="DP1403" s="2">
        <v>1</v>
      </c>
      <c r="DQ1403" s="2">
        <v>1</v>
      </c>
      <c r="DR1403" s="2"/>
      <c r="DS1403" s="2"/>
      <c r="DT1403" s="2"/>
      <c r="DU1403" s="2">
        <v>1013</v>
      </c>
      <c r="DV1403" s="2" t="s">
        <v>238</v>
      </c>
      <c r="DW1403" s="2" t="s">
        <v>238</v>
      </c>
      <c r="DX1403" s="2">
        <v>1</v>
      </c>
      <c r="DY1403" s="2"/>
      <c r="DZ1403" s="2" t="s">
        <v>3</v>
      </c>
      <c r="EA1403" s="2" t="s">
        <v>3</v>
      </c>
      <c r="EB1403" s="2" t="s">
        <v>3</v>
      </c>
      <c r="EC1403" s="2" t="s">
        <v>3</v>
      </c>
      <c r="ED1403" s="2"/>
      <c r="EE1403" s="2">
        <v>126052207</v>
      </c>
      <c r="EF1403" s="2">
        <v>130</v>
      </c>
      <c r="EG1403" s="2" t="s">
        <v>712</v>
      </c>
      <c r="EH1403" s="2">
        <v>0</v>
      </c>
      <c r="EI1403" s="2" t="s">
        <v>3</v>
      </c>
      <c r="EJ1403" s="2">
        <v>3</v>
      </c>
      <c r="EK1403" s="2">
        <v>746</v>
      </c>
      <c r="EL1403" s="2" t="s">
        <v>713</v>
      </c>
      <c r="EM1403" s="2" t="s">
        <v>714</v>
      </c>
      <c r="EN1403" s="2"/>
      <c r="EO1403" s="2" t="s">
        <v>3</v>
      </c>
      <c r="EP1403" s="2"/>
      <c r="EQ1403" s="2">
        <v>132096</v>
      </c>
      <c r="ER1403" s="2">
        <v>6618.99</v>
      </c>
      <c r="ES1403" s="2">
        <v>6618.99</v>
      </c>
      <c r="ET1403" s="2">
        <v>0</v>
      </c>
      <c r="EU1403" s="2">
        <v>0</v>
      </c>
      <c r="EV1403" s="2">
        <v>0</v>
      </c>
      <c r="EW1403" s="2">
        <v>0</v>
      </c>
      <c r="EX1403" s="2">
        <v>0</v>
      </c>
      <c r="EY1403" s="2">
        <v>0</v>
      </c>
      <c r="EZ1403" s="2"/>
      <c r="FA1403" s="2"/>
      <c r="FB1403" s="2"/>
      <c r="FC1403" s="2"/>
      <c r="FD1403" s="2"/>
      <c r="FE1403" s="2"/>
      <c r="FF1403" s="2"/>
      <c r="FG1403" s="2"/>
      <c r="FH1403" s="2"/>
      <c r="FI1403" s="2"/>
      <c r="FJ1403" s="2"/>
      <c r="FK1403" s="2"/>
      <c r="FL1403" s="2"/>
      <c r="FM1403" s="2"/>
      <c r="FN1403" s="2"/>
      <c r="FO1403" s="2"/>
      <c r="FP1403" s="2"/>
      <c r="FQ1403" s="2">
        <v>0</v>
      </c>
      <c r="FR1403" s="2">
        <f t="shared" si="1188"/>
        <v>6618.99</v>
      </c>
      <c r="FS1403" s="2">
        <v>0</v>
      </c>
      <c r="FT1403" s="2"/>
      <c r="FU1403" s="2"/>
      <c r="FV1403" s="2"/>
      <c r="FW1403" s="2"/>
      <c r="FX1403" s="2">
        <v>0</v>
      </c>
      <c r="FY1403" s="2">
        <v>0</v>
      </c>
      <c r="FZ1403" s="2"/>
      <c r="GA1403" s="2" t="s">
        <v>3</v>
      </c>
      <c r="GB1403" s="2"/>
      <c r="GC1403" s="2"/>
      <c r="GD1403" s="2">
        <v>0</v>
      </c>
      <c r="GE1403" s="2"/>
      <c r="GF1403" s="2">
        <v>-1435691852</v>
      </c>
      <c r="GG1403" s="2">
        <v>2</v>
      </c>
      <c r="GH1403" s="2">
        <v>1</v>
      </c>
      <c r="GI1403" s="2">
        <v>-2</v>
      </c>
      <c r="GJ1403" s="2">
        <v>0</v>
      </c>
      <c r="GK1403" s="2">
        <f>ROUND(R1403*(R12)/100,2)</f>
        <v>0</v>
      </c>
      <c r="GL1403" s="2">
        <f t="shared" si="1189"/>
        <v>0</v>
      </c>
      <c r="GM1403" s="2">
        <f t="shared" si="1190"/>
        <v>6618.99</v>
      </c>
      <c r="GN1403" s="2">
        <f t="shared" si="1191"/>
        <v>0</v>
      </c>
      <c r="GO1403" s="2">
        <f t="shared" si="1192"/>
        <v>0</v>
      </c>
      <c r="GP1403" s="2">
        <f t="shared" si="1193"/>
        <v>0</v>
      </c>
      <c r="GQ1403" s="2"/>
      <c r="GR1403" s="2">
        <v>0</v>
      </c>
      <c r="GS1403" s="2">
        <v>3</v>
      </c>
      <c r="GT1403" s="2">
        <v>0</v>
      </c>
      <c r="GU1403" s="2" t="s">
        <v>3</v>
      </c>
      <c r="GV1403" s="2">
        <f t="shared" si="1194"/>
        <v>0</v>
      </c>
      <c r="GW1403" s="2">
        <v>1</v>
      </c>
      <c r="GX1403" s="2">
        <f t="shared" si="1195"/>
        <v>0</v>
      </c>
      <c r="GY1403" s="2"/>
      <c r="GZ1403" s="2"/>
      <c r="HA1403" s="2">
        <v>0</v>
      </c>
      <c r="HB1403" s="2">
        <v>0</v>
      </c>
      <c r="HC1403" s="2">
        <f t="shared" si="1196"/>
        <v>0</v>
      </c>
      <c r="HD1403" s="2"/>
      <c r="HE1403" s="2" t="s">
        <v>3</v>
      </c>
      <c r="HF1403" s="2" t="s">
        <v>3</v>
      </c>
      <c r="HG1403" s="2"/>
      <c r="HH1403" s="2"/>
      <c r="HI1403" s="2"/>
      <c r="HJ1403" s="2"/>
      <c r="HK1403" s="2"/>
      <c r="HL1403" s="2"/>
      <c r="HM1403" s="2" t="s">
        <v>3</v>
      </c>
      <c r="HN1403" s="2" t="s">
        <v>3</v>
      </c>
      <c r="HO1403" s="2" t="s">
        <v>3</v>
      </c>
      <c r="HP1403" s="2" t="s">
        <v>3</v>
      </c>
      <c r="HQ1403" s="2" t="s">
        <v>3</v>
      </c>
      <c r="HR1403" s="2"/>
      <c r="HS1403" s="2"/>
      <c r="HT1403" s="2"/>
      <c r="HU1403" s="2"/>
      <c r="HV1403" s="2"/>
      <c r="HW1403" s="2"/>
      <c r="HX1403" s="2"/>
      <c r="HY1403" s="2"/>
      <c r="HZ1403" s="2"/>
      <c r="IA1403" s="2"/>
      <c r="IB1403" s="2"/>
      <c r="IC1403" s="2"/>
      <c r="ID1403" s="2"/>
      <c r="IE1403" s="2"/>
      <c r="IF1403" s="2"/>
      <c r="IG1403" s="2"/>
      <c r="IH1403" s="2"/>
      <c r="II1403" s="2"/>
      <c r="IJ1403" s="2"/>
      <c r="IK1403" s="2">
        <v>0</v>
      </c>
      <c r="IL1403" s="2"/>
      <c r="IM1403" s="2"/>
      <c r="IN1403" s="2"/>
      <c r="IO1403" s="2"/>
      <c r="IP1403" s="2"/>
      <c r="IQ1403" s="2"/>
      <c r="IR1403" s="2"/>
      <c r="IS1403" s="2"/>
      <c r="IT1403" s="2"/>
      <c r="IU1403" s="2"/>
    </row>
    <row r="1404" spans="1:255" x14ac:dyDescent="0.2">
      <c r="A1404">
        <v>17</v>
      </c>
      <c r="B1404">
        <v>1</v>
      </c>
      <c r="E1404" t="s">
        <v>3</v>
      </c>
      <c r="F1404" t="s">
        <v>1060</v>
      </c>
      <c r="G1404" t="s">
        <v>1061</v>
      </c>
      <c r="H1404" t="s">
        <v>238</v>
      </c>
      <c r="I1404">
        <v>1</v>
      </c>
      <c r="J1404">
        <v>0</v>
      </c>
      <c r="K1404">
        <v>1</v>
      </c>
      <c r="O1404">
        <f t="shared" si="1173"/>
        <v>20585.060000000001</v>
      </c>
      <c r="P1404">
        <f t="shared" si="1203"/>
        <v>20585.060000000001</v>
      </c>
      <c r="Q1404">
        <f t="shared" si="1204"/>
        <v>0</v>
      </c>
      <c r="R1404">
        <f t="shared" si="1205"/>
        <v>0</v>
      </c>
      <c r="S1404">
        <f t="shared" si="1206"/>
        <v>0</v>
      </c>
      <c r="T1404">
        <f t="shared" si="1174"/>
        <v>0</v>
      </c>
      <c r="U1404">
        <f t="shared" si="1175"/>
        <v>0</v>
      </c>
      <c r="V1404">
        <f t="shared" si="1176"/>
        <v>0</v>
      </c>
      <c r="W1404">
        <f t="shared" si="1177"/>
        <v>0</v>
      </c>
      <c r="X1404">
        <f t="shared" si="1178"/>
        <v>0</v>
      </c>
      <c r="Y1404">
        <f t="shared" si="1179"/>
        <v>0</v>
      </c>
      <c r="AA1404">
        <v>-1</v>
      </c>
      <c r="AB1404">
        <f t="shared" si="1180"/>
        <v>6618.99</v>
      </c>
      <c r="AC1404">
        <f t="shared" si="1197"/>
        <v>6618.99</v>
      </c>
      <c r="AD1404">
        <f t="shared" si="1207"/>
        <v>0</v>
      </c>
      <c r="AE1404">
        <f t="shared" si="1198"/>
        <v>0</v>
      </c>
      <c r="AF1404">
        <f t="shared" si="1199"/>
        <v>0</v>
      </c>
      <c r="AG1404">
        <f t="shared" si="1182"/>
        <v>0</v>
      </c>
      <c r="AH1404">
        <f t="shared" si="1183"/>
        <v>0</v>
      </c>
      <c r="AI1404">
        <f t="shared" si="1184"/>
        <v>0</v>
      </c>
      <c r="AJ1404">
        <f t="shared" si="1185"/>
        <v>0</v>
      </c>
      <c r="AK1404">
        <v>6618.99</v>
      </c>
      <c r="AL1404">
        <v>6618.99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0</v>
      </c>
      <c r="AU1404">
        <v>0</v>
      </c>
      <c r="AV1404">
        <v>1</v>
      </c>
      <c r="AW1404">
        <v>1</v>
      </c>
      <c r="AZ1404">
        <v>1</v>
      </c>
      <c r="BA1404">
        <v>1</v>
      </c>
      <c r="BB1404">
        <v>1</v>
      </c>
      <c r="BC1404">
        <v>3.11</v>
      </c>
      <c r="BD1404" t="s">
        <v>3</v>
      </c>
      <c r="BE1404" t="s">
        <v>3</v>
      </c>
      <c r="BF1404" t="s">
        <v>3</v>
      </c>
      <c r="BG1404" t="s">
        <v>3</v>
      </c>
      <c r="BH1404">
        <v>3</v>
      </c>
      <c r="BI1404">
        <v>3</v>
      </c>
      <c r="BJ1404" t="s">
        <v>1062</v>
      </c>
      <c r="BM1404">
        <v>746</v>
      </c>
      <c r="BN1404">
        <v>0</v>
      </c>
      <c r="BO1404" t="s">
        <v>3</v>
      </c>
      <c r="BP1404">
        <v>0</v>
      </c>
      <c r="BQ1404">
        <v>130</v>
      </c>
      <c r="BR1404">
        <v>0</v>
      </c>
      <c r="BS1404">
        <v>1</v>
      </c>
      <c r="BT1404">
        <v>1</v>
      </c>
      <c r="BU1404">
        <v>1</v>
      </c>
      <c r="BV1404">
        <v>1</v>
      </c>
      <c r="BW1404">
        <v>1</v>
      </c>
      <c r="BX1404">
        <v>1</v>
      </c>
      <c r="BY1404" t="s">
        <v>3</v>
      </c>
      <c r="BZ1404">
        <v>0</v>
      </c>
      <c r="CA1404">
        <v>0</v>
      </c>
      <c r="CB1404" t="s">
        <v>3</v>
      </c>
      <c r="CE1404">
        <v>30</v>
      </c>
      <c r="CF1404">
        <v>0</v>
      </c>
      <c r="CG1404">
        <v>0</v>
      </c>
      <c r="CM1404">
        <v>0</v>
      </c>
      <c r="CN1404" t="s">
        <v>3</v>
      </c>
      <c r="CO1404">
        <v>0</v>
      </c>
      <c r="CP1404">
        <f t="shared" si="1186"/>
        <v>20585.060000000001</v>
      </c>
      <c r="CQ1404">
        <f t="shared" si="1208"/>
        <v>20585.060000000001</v>
      </c>
      <c r="CR1404">
        <f t="shared" si="1209"/>
        <v>0</v>
      </c>
      <c r="CS1404">
        <f t="shared" si="1210"/>
        <v>0</v>
      </c>
      <c r="CT1404">
        <f t="shared" si="1211"/>
        <v>0</v>
      </c>
      <c r="CU1404">
        <f t="shared" si="1200"/>
        <v>0</v>
      </c>
      <c r="CV1404">
        <f t="shared" si="1212"/>
        <v>0</v>
      </c>
      <c r="CW1404">
        <f t="shared" si="1201"/>
        <v>0</v>
      </c>
      <c r="CX1404">
        <f t="shared" si="1202"/>
        <v>0</v>
      </c>
      <c r="CY1404">
        <f>S1404*(BZ1404/100)</f>
        <v>0</v>
      </c>
      <c r="CZ1404">
        <f>S1404*(CA1404/100)</f>
        <v>0</v>
      </c>
      <c r="DC1404" t="s">
        <v>3</v>
      </c>
      <c r="DD1404" t="s">
        <v>3</v>
      </c>
      <c r="DE1404" t="s">
        <v>3</v>
      </c>
      <c r="DF1404" t="s">
        <v>3</v>
      </c>
      <c r="DG1404" t="s">
        <v>3</v>
      </c>
      <c r="DH1404" t="s">
        <v>3</v>
      </c>
      <c r="DI1404" t="s">
        <v>3</v>
      </c>
      <c r="DJ1404" t="s">
        <v>3</v>
      </c>
      <c r="DK1404" t="s">
        <v>3</v>
      </c>
      <c r="DL1404" t="s">
        <v>3</v>
      </c>
      <c r="DM1404" t="s">
        <v>3</v>
      </c>
      <c r="DN1404">
        <v>0</v>
      </c>
      <c r="DO1404">
        <v>0</v>
      </c>
      <c r="DP1404">
        <v>1</v>
      </c>
      <c r="DQ1404">
        <v>1</v>
      </c>
      <c r="DU1404">
        <v>1013</v>
      </c>
      <c r="DV1404" t="s">
        <v>238</v>
      </c>
      <c r="DW1404" t="s">
        <v>238</v>
      </c>
      <c r="DX1404">
        <v>1</v>
      </c>
      <c r="DZ1404" t="s">
        <v>3</v>
      </c>
      <c r="EA1404" t="s">
        <v>3</v>
      </c>
      <c r="EB1404" t="s">
        <v>3</v>
      </c>
      <c r="EC1404" t="s">
        <v>3</v>
      </c>
      <c r="EE1404">
        <v>126052207</v>
      </c>
      <c r="EF1404">
        <v>130</v>
      </c>
      <c r="EG1404" t="s">
        <v>712</v>
      </c>
      <c r="EH1404">
        <v>0</v>
      </c>
      <c r="EI1404" t="s">
        <v>3</v>
      </c>
      <c r="EJ1404">
        <v>3</v>
      </c>
      <c r="EK1404">
        <v>746</v>
      </c>
      <c r="EL1404" t="s">
        <v>713</v>
      </c>
      <c r="EM1404" t="s">
        <v>714</v>
      </c>
      <c r="EO1404" t="s">
        <v>3</v>
      </c>
      <c r="EQ1404">
        <v>132096</v>
      </c>
      <c r="ER1404">
        <v>6618.99</v>
      </c>
      <c r="ES1404">
        <v>6618.99</v>
      </c>
      <c r="ET1404">
        <v>0</v>
      </c>
      <c r="EU1404">
        <v>0</v>
      </c>
      <c r="EV1404">
        <v>0</v>
      </c>
      <c r="EW1404">
        <v>0</v>
      </c>
      <c r="EX1404">
        <v>0</v>
      </c>
      <c r="EY1404">
        <v>0</v>
      </c>
      <c r="FQ1404">
        <v>0</v>
      </c>
      <c r="FR1404">
        <f t="shared" si="1188"/>
        <v>20585.060000000001</v>
      </c>
      <c r="FS1404">
        <v>0</v>
      </c>
      <c r="FX1404">
        <v>0</v>
      </c>
      <c r="FY1404">
        <v>0</v>
      </c>
      <c r="GA1404" t="s">
        <v>3</v>
      </c>
      <c r="GD1404">
        <v>0</v>
      </c>
      <c r="GF1404">
        <v>-1435691852</v>
      </c>
      <c r="GG1404">
        <v>2</v>
      </c>
      <c r="GH1404">
        <v>1</v>
      </c>
      <c r="GI1404">
        <v>2</v>
      </c>
      <c r="GJ1404">
        <v>0</v>
      </c>
      <c r="GK1404">
        <f>ROUND(R1404*(S12)/100,2)</f>
        <v>0</v>
      </c>
      <c r="GL1404">
        <f t="shared" si="1189"/>
        <v>0</v>
      </c>
      <c r="GM1404">
        <f t="shared" si="1190"/>
        <v>20585.060000000001</v>
      </c>
      <c r="GN1404">
        <f t="shared" si="1191"/>
        <v>0</v>
      </c>
      <c r="GO1404">
        <f t="shared" si="1192"/>
        <v>0</v>
      </c>
      <c r="GP1404">
        <f t="shared" si="1193"/>
        <v>0</v>
      </c>
      <c r="GR1404">
        <v>0</v>
      </c>
      <c r="GS1404">
        <v>3</v>
      </c>
      <c r="GT1404">
        <v>0</v>
      </c>
      <c r="GU1404" t="s">
        <v>3</v>
      </c>
      <c r="GV1404">
        <f t="shared" si="1194"/>
        <v>0</v>
      </c>
      <c r="GW1404">
        <v>1</v>
      </c>
      <c r="GX1404">
        <f t="shared" si="1195"/>
        <v>0</v>
      </c>
      <c r="HA1404">
        <v>0</v>
      </c>
      <c r="HB1404">
        <v>0</v>
      </c>
      <c r="HC1404">
        <f t="shared" si="1196"/>
        <v>0</v>
      </c>
      <c r="HE1404" t="s">
        <v>3</v>
      </c>
      <c r="HF1404" t="s">
        <v>3</v>
      </c>
      <c r="HM1404" t="s">
        <v>3</v>
      </c>
      <c r="HN1404" t="s">
        <v>3</v>
      </c>
      <c r="HO1404" t="s">
        <v>3</v>
      </c>
      <c r="HP1404" t="s">
        <v>3</v>
      </c>
      <c r="HQ1404" t="s">
        <v>3</v>
      </c>
      <c r="IK1404">
        <v>0</v>
      </c>
    </row>
    <row r="1405" spans="1:255" x14ac:dyDescent="0.2">
      <c r="A1405" s="2">
        <v>17</v>
      </c>
      <c r="B1405" s="2">
        <v>1</v>
      </c>
      <c r="C1405" s="2"/>
      <c r="D1405" s="2"/>
      <c r="E1405" s="2" t="s">
        <v>176</v>
      </c>
      <c r="F1405" s="2" t="s">
        <v>248</v>
      </c>
      <c r="G1405" s="2" t="s">
        <v>1044</v>
      </c>
      <c r="H1405" s="2" t="s">
        <v>250</v>
      </c>
      <c r="I1405" s="2">
        <v>1</v>
      </c>
      <c r="J1405" s="2">
        <v>0</v>
      </c>
      <c r="K1405" s="2">
        <v>1</v>
      </c>
      <c r="L1405" s="2"/>
      <c r="M1405" s="2"/>
      <c r="N1405" s="2"/>
      <c r="O1405" s="2">
        <f t="shared" si="1173"/>
        <v>0</v>
      </c>
      <c r="P1405" s="2">
        <f t="shared" ref="P1405:P1416" si="1213">ROUND((ROUND((AC1405*AW1405*I1405),2)*BC1405),2)</f>
        <v>0</v>
      </c>
      <c r="Q1405" s="2">
        <f t="shared" si="1204"/>
        <v>0</v>
      </c>
      <c r="R1405" s="2">
        <f t="shared" si="1205"/>
        <v>0</v>
      </c>
      <c r="S1405" s="2">
        <f t="shared" si="1206"/>
        <v>0</v>
      </c>
      <c r="T1405" s="2">
        <f t="shared" si="1174"/>
        <v>0</v>
      </c>
      <c r="U1405" s="2">
        <f t="shared" si="1175"/>
        <v>0</v>
      </c>
      <c r="V1405" s="2">
        <f t="shared" si="1176"/>
        <v>0</v>
      </c>
      <c r="W1405" s="2">
        <f t="shared" si="1177"/>
        <v>0</v>
      </c>
      <c r="X1405" s="2">
        <f t="shared" si="1178"/>
        <v>0</v>
      </c>
      <c r="Y1405" s="2">
        <f t="shared" si="1179"/>
        <v>0</v>
      </c>
      <c r="Z1405" s="2"/>
      <c r="AA1405" s="2">
        <v>129761636</v>
      </c>
      <c r="AB1405" s="2">
        <f t="shared" si="1180"/>
        <v>0</v>
      </c>
      <c r="AC1405" s="2">
        <f t="shared" si="1197"/>
        <v>0</v>
      </c>
      <c r="AD1405" s="2">
        <f t="shared" si="1207"/>
        <v>0</v>
      </c>
      <c r="AE1405" s="2">
        <f t="shared" si="1198"/>
        <v>0</v>
      </c>
      <c r="AF1405" s="2">
        <f t="shared" si="1199"/>
        <v>0</v>
      </c>
      <c r="AG1405" s="2">
        <f t="shared" si="1182"/>
        <v>0</v>
      </c>
      <c r="AH1405" s="2">
        <f t="shared" si="1183"/>
        <v>0</v>
      </c>
      <c r="AI1405" s="2">
        <f t="shared" si="1184"/>
        <v>0</v>
      </c>
      <c r="AJ1405" s="2">
        <f t="shared" si="1185"/>
        <v>0</v>
      </c>
      <c r="AK1405" s="2">
        <v>0</v>
      </c>
      <c r="AL1405" s="2">
        <v>0</v>
      </c>
      <c r="AM1405" s="2">
        <v>0</v>
      </c>
      <c r="AN1405" s="2">
        <v>0</v>
      </c>
      <c r="AO1405" s="2">
        <v>0</v>
      </c>
      <c r="AP1405" s="2">
        <v>0</v>
      </c>
      <c r="AQ1405" s="2">
        <v>0</v>
      </c>
      <c r="AR1405" s="2">
        <v>0</v>
      </c>
      <c r="AS1405" s="2">
        <v>0</v>
      </c>
      <c r="AT1405" s="2">
        <v>0</v>
      </c>
      <c r="AU1405" s="2">
        <v>0</v>
      </c>
      <c r="AV1405" s="2">
        <v>1</v>
      </c>
      <c r="AW1405" s="2">
        <v>1</v>
      </c>
      <c r="AX1405" s="2"/>
      <c r="AY1405" s="2"/>
      <c r="AZ1405" s="2">
        <v>1</v>
      </c>
      <c r="BA1405" s="2">
        <v>1</v>
      </c>
      <c r="BB1405" s="2">
        <v>1</v>
      </c>
      <c r="BC1405" s="2">
        <v>1</v>
      </c>
      <c r="BD1405" s="2" t="s">
        <v>3</v>
      </c>
      <c r="BE1405" s="2" t="s">
        <v>3</v>
      </c>
      <c r="BF1405" s="2" t="s">
        <v>3</v>
      </c>
      <c r="BG1405" s="2" t="s">
        <v>3</v>
      </c>
      <c r="BH1405" s="2">
        <v>3</v>
      </c>
      <c r="BI1405" s="2">
        <v>3</v>
      </c>
      <c r="BJ1405" s="2" t="s">
        <v>3</v>
      </c>
      <c r="BK1405" s="2"/>
      <c r="BL1405" s="2"/>
      <c r="BM1405" s="2">
        <v>700010</v>
      </c>
      <c r="BN1405" s="2">
        <v>0</v>
      </c>
      <c r="BO1405" s="2" t="s">
        <v>3</v>
      </c>
      <c r="BP1405" s="2">
        <v>0</v>
      </c>
      <c r="BQ1405" s="2">
        <v>202</v>
      </c>
      <c r="BR1405" s="2">
        <v>0</v>
      </c>
      <c r="BS1405" s="2">
        <v>1</v>
      </c>
      <c r="BT1405" s="2">
        <v>1</v>
      </c>
      <c r="BU1405" s="2">
        <v>1</v>
      </c>
      <c r="BV1405" s="2">
        <v>1</v>
      </c>
      <c r="BW1405" s="2">
        <v>1</v>
      </c>
      <c r="BX1405" s="2">
        <v>1</v>
      </c>
      <c r="BY1405" s="2" t="s">
        <v>3</v>
      </c>
      <c r="BZ1405" s="2">
        <v>0</v>
      </c>
      <c r="CA1405" s="2">
        <v>0</v>
      </c>
      <c r="CB1405" s="2" t="s">
        <v>3</v>
      </c>
      <c r="CC1405" s="2"/>
      <c r="CD1405" s="2"/>
      <c r="CE1405" s="2">
        <v>30</v>
      </c>
      <c r="CF1405" s="2">
        <v>0</v>
      </c>
      <c r="CG1405" s="2">
        <v>0</v>
      </c>
      <c r="CH1405" s="2"/>
      <c r="CI1405" s="2"/>
      <c r="CJ1405" s="2"/>
      <c r="CK1405" s="2"/>
      <c r="CL1405" s="2"/>
      <c r="CM1405" s="2">
        <v>0</v>
      </c>
      <c r="CN1405" s="2" t="s">
        <v>3</v>
      </c>
      <c r="CO1405" s="2">
        <v>0</v>
      </c>
      <c r="CP1405" s="2">
        <f t="shared" si="1186"/>
        <v>0</v>
      </c>
      <c r="CQ1405" s="2">
        <f t="shared" ref="CQ1405:CQ1416" si="1214">ROUND((ROUND((AC1405*AW1405*1),2)*BC1405),2)</f>
        <v>0</v>
      </c>
      <c r="CR1405" s="2">
        <f t="shared" si="1209"/>
        <v>0</v>
      </c>
      <c r="CS1405" s="2">
        <f t="shared" si="1210"/>
        <v>0</v>
      </c>
      <c r="CT1405" s="2">
        <f t="shared" si="1211"/>
        <v>0</v>
      </c>
      <c r="CU1405" s="2">
        <f t="shared" si="1200"/>
        <v>0</v>
      </c>
      <c r="CV1405" s="2">
        <f t="shared" si="1212"/>
        <v>0</v>
      </c>
      <c r="CW1405" s="2">
        <f t="shared" si="1201"/>
        <v>0</v>
      </c>
      <c r="CX1405" s="2">
        <f t="shared" si="1202"/>
        <v>0</v>
      </c>
      <c r="CY1405" s="2">
        <f>((S1405*BZ1405)/100)</f>
        <v>0</v>
      </c>
      <c r="CZ1405" s="2">
        <f>((S1405*CA1405)/100)</f>
        <v>0</v>
      </c>
      <c r="DA1405" s="2"/>
      <c r="DB1405" s="2"/>
      <c r="DC1405" s="2" t="s">
        <v>3</v>
      </c>
      <c r="DD1405" s="2" t="s">
        <v>3</v>
      </c>
      <c r="DE1405" s="2" t="s">
        <v>3</v>
      </c>
      <c r="DF1405" s="2" t="s">
        <v>3</v>
      </c>
      <c r="DG1405" s="2" t="s">
        <v>3</v>
      </c>
      <c r="DH1405" s="2" t="s">
        <v>3</v>
      </c>
      <c r="DI1405" s="2" t="s">
        <v>3</v>
      </c>
      <c r="DJ1405" s="2" t="s">
        <v>3</v>
      </c>
      <c r="DK1405" s="2" t="s">
        <v>3</v>
      </c>
      <c r="DL1405" s="2" t="s">
        <v>3</v>
      </c>
      <c r="DM1405" s="2" t="s">
        <v>3</v>
      </c>
      <c r="DN1405" s="2">
        <v>0</v>
      </c>
      <c r="DO1405" s="2">
        <v>0</v>
      </c>
      <c r="DP1405" s="2">
        <v>1</v>
      </c>
      <c r="DQ1405" s="2">
        <v>1</v>
      </c>
      <c r="DR1405" s="2"/>
      <c r="DS1405" s="2"/>
      <c r="DT1405" s="2"/>
      <c r="DU1405" s="2">
        <v>1010</v>
      </c>
      <c r="DV1405" s="2" t="s">
        <v>250</v>
      </c>
      <c r="DW1405" s="2" t="s">
        <v>250</v>
      </c>
      <c r="DX1405" s="2">
        <v>1</v>
      </c>
      <c r="DY1405" s="2"/>
      <c r="DZ1405" s="2" t="s">
        <v>3</v>
      </c>
      <c r="EA1405" s="2" t="s">
        <v>3</v>
      </c>
      <c r="EB1405" s="2" t="s">
        <v>3</v>
      </c>
      <c r="EC1405" s="2" t="s">
        <v>3</v>
      </c>
      <c r="ED1405" s="2"/>
      <c r="EE1405" s="2">
        <v>128346943</v>
      </c>
      <c r="EF1405" s="2">
        <v>202</v>
      </c>
      <c r="EG1405" s="2" t="s">
        <v>1063</v>
      </c>
      <c r="EH1405" s="2">
        <v>0</v>
      </c>
      <c r="EI1405" s="2" t="s">
        <v>3</v>
      </c>
      <c r="EJ1405" s="2">
        <v>1</v>
      </c>
      <c r="EK1405" s="2">
        <v>700010</v>
      </c>
      <c r="EL1405" s="2" t="s">
        <v>1064</v>
      </c>
      <c r="EM1405" s="2" t="s">
        <v>1063</v>
      </c>
      <c r="EN1405" s="2"/>
      <c r="EO1405" s="2" t="s">
        <v>3</v>
      </c>
      <c r="EP1405" s="2"/>
      <c r="EQ1405" s="2">
        <v>0</v>
      </c>
      <c r="ER1405" s="2">
        <v>0</v>
      </c>
      <c r="ES1405" s="2">
        <v>0</v>
      </c>
      <c r="ET1405" s="2">
        <v>0</v>
      </c>
      <c r="EU1405" s="2">
        <v>0</v>
      </c>
      <c r="EV1405" s="2">
        <v>0</v>
      </c>
      <c r="EW1405" s="2">
        <v>0</v>
      </c>
      <c r="EX1405" s="2">
        <v>0</v>
      </c>
      <c r="EY1405" s="2">
        <v>0</v>
      </c>
      <c r="EZ1405" s="2"/>
      <c r="FA1405" s="2"/>
      <c r="FB1405" s="2"/>
      <c r="FC1405" s="2"/>
      <c r="FD1405" s="2"/>
      <c r="FE1405" s="2"/>
      <c r="FF1405" s="2"/>
      <c r="FG1405" s="2"/>
      <c r="FH1405" s="2"/>
      <c r="FI1405" s="2"/>
      <c r="FJ1405" s="2"/>
      <c r="FK1405" s="2"/>
      <c r="FL1405" s="2"/>
      <c r="FM1405" s="2"/>
      <c r="FN1405" s="2"/>
      <c r="FO1405" s="2"/>
      <c r="FP1405" s="2"/>
      <c r="FQ1405" s="2">
        <v>0</v>
      </c>
      <c r="FR1405" s="2">
        <f t="shared" si="1188"/>
        <v>0</v>
      </c>
      <c r="FS1405" s="2">
        <v>0</v>
      </c>
      <c r="FT1405" s="2"/>
      <c r="FU1405" s="2"/>
      <c r="FV1405" s="2"/>
      <c r="FW1405" s="2"/>
      <c r="FX1405" s="2">
        <v>0</v>
      </c>
      <c r="FY1405" s="2">
        <v>0</v>
      </c>
      <c r="FZ1405" s="2"/>
      <c r="GA1405" s="2" t="s">
        <v>259</v>
      </c>
      <c r="GB1405" s="2"/>
      <c r="GC1405" s="2"/>
      <c r="GD1405" s="2">
        <v>0</v>
      </c>
      <c r="GE1405" s="2"/>
      <c r="GF1405" s="2">
        <v>-1949465799</v>
      </c>
      <c r="GG1405" s="2">
        <v>2</v>
      </c>
      <c r="GH1405" s="2">
        <v>2</v>
      </c>
      <c r="GI1405" s="2">
        <v>-2</v>
      </c>
      <c r="GJ1405" s="2">
        <v>0</v>
      </c>
      <c r="GK1405" s="2">
        <f>ROUND(R1405*(R12)/100,2)</f>
        <v>0</v>
      </c>
      <c r="GL1405" s="2">
        <f t="shared" si="1189"/>
        <v>0</v>
      </c>
      <c r="GM1405" s="2">
        <f t="shared" si="1190"/>
        <v>0</v>
      </c>
      <c r="GN1405" s="2">
        <f t="shared" si="1191"/>
        <v>0</v>
      </c>
      <c r="GO1405" s="2">
        <f t="shared" si="1192"/>
        <v>0</v>
      </c>
      <c r="GP1405" s="2">
        <f t="shared" si="1193"/>
        <v>0</v>
      </c>
      <c r="GQ1405" s="2"/>
      <c r="GR1405" s="2">
        <v>0</v>
      </c>
      <c r="GS1405" s="2">
        <v>4</v>
      </c>
      <c r="GT1405" s="2">
        <v>0</v>
      </c>
      <c r="GU1405" s="2" t="s">
        <v>3</v>
      </c>
      <c r="GV1405" s="2">
        <f t="shared" si="1194"/>
        <v>0</v>
      </c>
      <c r="GW1405" s="2">
        <v>1</v>
      </c>
      <c r="GX1405" s="2">
        <f t="shared" si="1195"/>
        <v>0</v>
      </c>
      <c r="GY1405" s="2"/>
      <c r="GZ1405" s="2"/>
      <c r="HA1405" s="2">
        <v>0</v>
      </c>
      <c r="HB1405" s="2">
        <v>0</v>
      </c>
      <c r="HC1405" s="2">
        <f t="shared" si="1196"/>
        <v>0</v>
      </c>
      <c r="HD1405" s="2"/>
      <c r="HE1405" s="2" t="s">
        <v>3</v>
      </c>
      <c r="HF1405" s="2" t="s">
        <v>3</v>
      </c>
      <c r="HG1405" s="2"/>
      <c r="HH1405" s="2"/>
      <c r="HI1405" s="2"/>
      <c r="HJ1405" s="2"/>
      <c r="HK1405" s="2"/>
      <c r="HL1405" s="2"/>
      <c r="HM1405" s="2" t="s">
        <v>3</v>
      </c>
      <c r="HN1405" s="2" t="s">
        <v>3</v>
      </c>
      <c r="HO1405" s="2" t="s">
        <v>3</v>
      </c>
      <c r="HP1405" s="2" t="s">
        <v>3</v>
      </c>
      <c r="HQ1405" s="2" t="s">
        <v>3</v>
      </c>
      <c r="HR1405" s="2"/>
      <c r="HS1405" s="2"/>
      <c r="HT1405" s="2"/>
      <c r="HU1405" s="2"/>
      <c r="HV1405" s="2"/>
      <c r="HW1405" s="2"/>
      <c r="HX1405" s="2"/>
      <c r="HY1405" s="2"/>
      <c r="HZ1405" s="2"/>
      <c r="IA1405" s="2"/>
      <c r="IB1405" s="2"/>
      <c r="IC1405" s="2"/>
      <c r="ID1405" s="2"/>
      <c r="IE1405" s="2"/>
      <c r="IF1405" s="2"/>
      <c r="IG1405" s="2"/>
      <c r="IH1405" s="2"/>
      <c r="II1405" s="2"/>
      <c r="IJ1405" s="2"/>
      <c r="IK1405" s="2">
        <v>0</v>
      </c>
      <c r="IL1405" s="2"/>
      <c r="IM1405" s="2"/>
      <c r="IN1405" s="2"/>
      <c r="IO1405" s="2"/>
      <c r="IP1405" s="2"/>
      <c r="IQ1405" s="2"/>
      <c r="IR1405" s="2"/>
      <c r="IS1405" s="2"/>
      <c r="IT1405" s="2"/>
      <c r="IU1405" s="2"/>
    </row>
    <row r="1406" spans="1:255" x14ac:dyDescent="0.2">
      <c r="A1406">
        <v>17</v>
      </c>
      <c r="B1406">
        <v>1</v>
      </c>
      <c r="E1406" t="s">
        <v>176</v>
      </c>
      <c r="F1406" t="s">
        <v>248</v>
      </c>
      <c r="G1406" t="s">
        <v>1044</v>
      </c>
      <c r="H1406" t="s">
        <v>250</v>
      </c>
      <c r="I1406">
        <v>1</v>
      </c>
      <c r="J1406">
        <v>0</v>
      </c>
      <c r="K1406">
        <v>1</v>
      </c>
      <c r="O1406">
        <f t="shared" si="1173"/>
        <v>115576.9</v>
      </c>
      <c r="P1406">
        <f t="shared" si="1213"/>
        <v>115576.9</v>
      </c>
      <c r="Q1406">
        <f t="shared" si="1204"/>
        <v>0</v>
      </c>
      <c r="R1406">
        <f t="shared" si="1205"/>
        <v>0</v>
      </c>
      <c r="S1406">
        <f t="shared" si="1206"/>
        <v>0</v>
      </c>
      <c r="T1406">
        <f t="shared" si="1174"/>
        <v>0</v>
      </c>
      <c r="U1406">
        <f t="shared" si="1175"/>
        <v>0</v>
      </c>
      <c r="V1406">
        <f t="shared" si="1176"/>
        <v>0</v>
      </c>
      <c r="W1406">
        <f t="shared" si="1177"/>
        <v>0</v>
      </c>
      <c r="X1406">
        <f t="shared" si="1178"/>
        <v>0</v>
      </c>
      <c r="Y1406">
        <f t="shared" si="1179"/>
        <v>0</v>
      </c>
      <c r="AA1406">
        <v>129761633</v>
      </c>
      <c r="AB1406">
        <f t="shared" si="1180"/>
        <v>18058.89</v>
      </c>
      <c r="AC1406">
        <f t="shared" si="1197"/>
        <v>18058.89</v>
      </c>
      <c r="AD1406">
        <f t="shared" si="1207"/>
        <v>0</v>
      </c>
      <c r="AE1406">
        <f t="shared" si="1198"/>
        <v>0</v>
      </c>
      <c r="AF1406">
        <f t="shared" si="1199"/>
        <v>0</v>
      </c>
      <c r="AG1406">
        <f t="shared" si="1182"/>
        <v>0</v>
      </c>
      <c r="AH1406">
        <f t="shared" si="1183"/>
        <v>0</v>
      </c>
      <c r="AI1406">
        <f t="shared" si="1184"/>
        <v>0</v>
      </c>
      <c r="AJ1406">
        <f t="shared" si="1185"/>
        <v>0</v>
      </c>
      <c r="AK1406">
        <v>18058.890000000003</v>
      </c>
      <c r="AL1406">
        <v>18058.890000000003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1</v>
      </c>
      <c r="AW1406">
        <v>1</v>
      </c>
      <c r="AZ1406">
        <v>1</v>
      </c>
      <c r="BA1406">
        <v>1</v>
      </c>
      <c r="BB1406">
        <v>1</v>
      </c>
      <c r="BC1406">
        <v>6.4</v>
      </c>
      <c r="BD1406" t="s">
        <v>3</v>
      </c>
      <c r="BE1406" t="s">
        <v>3</v>
      </c>
      <c r="BF1406" t="s">
        <v>3</v>
      </c>
      <c r="BG1406" t="s">
        <v>3</v>
      </c>
      <c r="BH1406">
        <v>3</v>
      </c>
      <c r="BI1406">
        <v>3</v>
      </c>
      <c r="BJ1406" t="s">
        <v>3</v>
      </c>
      <c r="BM1406">
        <v>700010</v>
      </c>
      <c r="BN1406">
        <v>0</v>
      </c>
      <c r="BO1406" t="s">
        <v>3</v>
      </c>
      <c r="BP1406">
        <v>0</v>
      </c>
      <c r="BQ1406">
        <v>202</v>
      </c>
      <c r="BR1406">
        <v>0</v>
      </c>
      <c r="BS1406">
        <v>1</v>
      </c>
      <c r="BT1406">
        <v>1</v>
      </c>
      <c r="BU1406">
        <v>1</v>
      </c>
      <c r="BV1406">
        <v>1</v>
      </c>
      <c r="BW1406">
        <v>1</v>
      </c>
      <c r="BX1406">
        <v>1</v>
      </c>
      <c r="BY1406" t="s">
        <v>3</v>
      </c>
      <c r="BZ1406">
        <v>0</v>
      </c>
      <c r="CA1406">
        <v>0</v>
      </c>
      <c r="CB1406" t="s">
        <v>3</v>
      </c>
      <c r="CE1406">
        <v>30</v>
      </c>
      <c r="CF1406">
        <v>0</v>
      </c>
      <c r="CG1406">
        <v>0</v>
      </c>
      <c r="CM1406">
        <v>0</v>
      </c>
      <c r="CN1406" t="s">
        <v>3</v>
      </c>
      <c r="CO1406">
        <v>0</v>
      </c>
      <c r="CP1406">
        <f t="shared" si="1186"/>
        <v>115576.9</v>
      </c>
      <c r="CQ1406">
        <f t="shared" si="1214"/>
        <v>115576.9</v>
      </c>
      <c r="CR1406">
        <f t="shared" si="1209"/>
        <v>0</v>
      </c>
      <c r="CS1406">
        <f t="shared" si="1210"/>
        <v>0</v>
      </c>
      <c r="CT1406">
        <f t="shared" si="1211"/>
        <v>0</v>
      </c>
      <c r="CU1406">
        <f t="shared" si="1200"/>
        <v>0</v>
      </c>
      <c r="CV1406">
        <f t="shared" si="1212"/>
        <v>0</v>
      </c>
      <c r="CW1406">
        <f t="shared" si="1201"/>
        <v>0</v>
      </c>
      <c r="CX1406">
        <f t="shared" si="1202"/>
        <v>0</v>
      </c>
      <c r="CY1406">
        <f>S1406*(BZ1406/100)</f>
        <v>0</v>
      </c>
      <c r="CZ1406">
        <f>S1406*(CA1406/100)</f>
        <v>0</v>
      </c>
      <c r="DC1406" t="s">
        <v>3</v>
      </c>
      <c r="DD1406" t="s">
        <v>3</v>
      </c>
      <c r="DE1406" t="s">
        <v>3</v>
      </c>
      <c r="DF1406" t="s">
        <v>3</v>
      </c>
      <c r="DG1406" t="s">
        <v>3</v>
      </c>
      <c r="DH1406" t="s">
        <v>3</v>
      </c>
      <c r="DI1406" t="s">
        <v>3</v>
      </c>
      <c r="DJ1406" t="s">
        <v>3</v>
      </c>
      <c r="DK1406" t="s">
        <v>3</v>
      </c>
      <c r="DL1406" t="s">
        <v>3</v>
      </c>
      <c r="DM1406" t="s">
        <v>3</v>
      </c>
      <c r="DN1406">
        <v>0</v>
      </c>
      <c r="DO1406">
        <v>0</v>
      </c>
      <c r="DP1406">
        <v>1</v>
      </c>
      <c r="DQ1406">
        <v>1</v>
      </c>
      <c r="DU1406">
        <v>1010</v>
      </c>
      <c r="DV1406" t="s">
        <v>250</v>
      </c>
      <c r="DW1406" t="s">
        <v>250</v>
      </c>
      <c r="DX1406">
        <v>1</v>
      </c>
      <c r="DZ1406" t="s">
        <v>3</v>
      </c>
      <c r="EA1406" t="s">
        <v>3</v>
      </c>
      <c r="EB1406" t="s">
        <v>3</v>
      </c>
      <c r="EC1406" t="s">
        <v>3</v>
      </c>
      <c r="EE1406">
        <v>128346943</v>
      </c>
      <c r="EF1406">
        <v>202</v>
      </c>
      <c r="EG1406" t="s">
        <v>1063</v>
      </c>
      <c r="EH1406">
        <v>0</v>
      </c>
      <c r="EI1406" t="s">
        <v>3</v>
      </c>
      <c r="EJ1406">
        <v>1</v>
      </c>
      <c r="EK1406">
        <v>700010</v>
      </c>
      <c r="EL1406" t="s">
        <v>1064</v>
      </c>
      <c r="EM1406" t="s">
        <v>1063</v>
      </c>
      <c r="EO1406" t="s">
        <v>3</v>
      </c>
      <c r="EQ1406">
        <v>0</v>
      </c>
      <c r="ER1406">
        <v>13074.87</v>
      </c>
      <c r="ES1406">
        <v>18058.890000000003</v>
      </c>
      <c r="ET1406">
        <v>0</v>
      </c>
      <c r="EU1406">
        <v>0</v>
      </c>
      <c r="EV1406">
        <v>0</v>
      </c>
      <c r="EW1406">
        <v>0</v>
      </c>
      <c r="EX1406">
        <v>0</v>
      </c>
      <c r="EY1406">
        <v>0</v>
      </c>
      <c r="EZ1406">
        <v>5</v>
      </c>
      <c r="FC1406">
        <v>1</v>
      </c>
      <c r="FD1406">
        <v>18</v>
      </c>
      <c r="FF1406">
        <v>133056</v>
      </c>
      <c r="FQ1406">
        <v>0</v>
      </c>
      <c r="FR1406">
        <f t="shared" si="1188"/>
        <v>115576.9</v>
      </c>
      <c r="FS1406">
        <v>0</v>
      </c>
      <c r="FX1406">
        <v>0</v>
      </c>
      <c r="FY1406">
        <v>0</v>
      </c>
      <c r="GA1406" t="s">
        <v>1065</v>
      </c>
      <c r="GD1406">
        <v>0</v>
      </c>
      <c r="GF1406">
        <v>-1949465799</v>
      </c>
      <c r="GG1406">
        <v>2</v>
      </c>
      <c r="GH1406">
        <v>3</v>
      </c>
      <c r="GI1406">
        <v>5</v>
      </c>
      <c r="GJ1406">
        <v>0</v>
      </c>
      <c r="GK1406">
        <f>ROUND(R1406*(S12)/100,2)</f>
        <v>0</v>
      </c>
      <c r="GL1406">
        <f t="shared" si="1189"/>
        <v>0</v>
      </c>
      <c r="GM1406">
        <f t="shared" si="1190"/>
        <v>115576.9</v>
      </c>
      <c r="GN1406">
        <f t="shared" si="1191"/>
        <v>0</v>
      </c>
      <c r="GO1406">
        <f t="shared" si="1192"/>
        <v>0</v>
      </c>
      <c r="GP1406">
        <f t="shared" si="1193"/>
        <v>0</v>
      </c>
      <c r="GR1406">
        <v>1</v>
      </c>
      <c r="GS1406">
        <v>1</v>
      </c>
      <c r="GT1406">
        <v>0</v>
      </c>
      <c r="GU1406" t="s">
        <v>3</v>
      </c>
      <c r="GV1406">
        <f t="shared" si="1194"/>
        <v>0</v>
      </c>
      <c r="GW1406">
        <v>1</v>
      </c>
      <c r="GX1406">
        <f t="shared" si="1195"/>
        <v>0</v>
      </c>
      <c r="HA1406">
        <v>0</v>
      </c>
      <c r="HB1406">
        <v>0</v>
      </c>
      <c r="HC1406">
        <f t="shared" si="1196"/>
        <v>0</v>
      </c>
      <c r="HE1406" t="s">
        <v>1014</v>
      </c>
      <c r="HF1406" t="s">
        <v>96</v>
      </c>
      <c r="HM1406" t="s">
        <v>3</v>
      </c>
      <c r="HN1406" t="s">
        <v>3</v>
      </c>
      <c r="HO1406" t="s">
        <v>3</v>
      </c>
      <c r="HP1406" t="s">
        <v>3</v>
      </c>
      <c r="HQ1406" t="s">
        <v>3</v>
      </c>
      <c r="IK1406">
        <v>0</v>
      </c>
    </row>
    <row r="1407" spans="1:255" x14ac:dyDescent="0.2">
      <c r="A1407" s="2">
        <v>17</v>
      </c>
      <c r="B1407" s="2">
        <v>1</v>
      </c>
      <c r="C1407" s="2"/>
      <c r="D1407" s="2"/>
      <c r="E1407" s="2" t="s">
        <v>181</v>
      </c>
      <c r="F1407" s="2" t="s">
        <v>248</v>
      </c>
      <c r="G1407" s="2" t="s">
        <v>1066</v>
      </c>
      <c r="H1407" s="2" t="s">
        <v>250</v>
      </c>
      <c r="I1407" s="2">
        <v>4</v>
      </c>
      <c r="J1407" s="2">
        <v>0</v>
      </c>
      <c r="K1407" s="2">
        <v>4</v>
      </c>
      <c r="L1407" s="2"/>
      <c r="M1407" s="2"/>
      <c r="N1407" s="2"/>
      <c r="O1407" s="2">
        <f t="shared" si="1173"/>
        <v>0</v>
      </c>
      <c r="P1407" s="2">
        <f t="shared" si="1213"/>
        <v>0</v>
      </c>
      <c r="Q1407" s="2">
        <f t="shared" si="1204"/>
        <v>0</v>
      </c>
      <c r="R1407" s="2">
        <f t="shared" si="1205"/>
        <v>0</v>
      </c>
      <c r="S1407" s="2">
        <f t="shared" si="1206"/>
        <v>0</v>
      </c>
      <c r="T1407" s="2">
        <f t="shared" si="1174"/>
        <v>0</v>
      </c>
      <c r="U1407" s="2">
        <f t="shared" si="1175"/>
        <v>0</v>
      </c>
      <c r="V1407" s="2">
        <f t="shared" si="1176"/>
        <v>0</v>
      </c>
      <c r="W1407" s="2">
        <f t="shared" si="1177"/>
        <v>0</v>
      </c>
      <c r="X1407" s="2">
        <f t="shared" si="1178"/>
        <v>0</v>
      </c>
      <c r="Y1407" s="2">
        <f t="shared" si="1179"/>
        <v>0</v>
      </c>
      <c r="Z1407" s="2"/>
      <c r="AA1407" s="2">
        <v>129761636</v>
      </c>
      <c r="AB1407" s="2">
        <f t="shared" si="1180"/>
        <v>0</v>
      </c>
      <c r="AC1407" s="2">
        <f t="shared" si="1197"/>
        <v>0</v>
      </c>
      <c r="AD1407" s="2">
        <f t="shared" si="1207"/>
        <v>0</v>
      </c>
      <c r="AE1407" s="2">
        <f t="shared" si="1198"/>
        <v>0</v>
      </c>
      <c r="AF1407" s="2">
        <f t="shared" si="1199"/>
        <v>0</v>
      </c>
      <c r="AG1407" s="2">
        <f t="shared" si="1182"/>
        <v>0</v>
      </c>
      <c r="AH1407" s="2">
        <f t="shared" si="1183"/>
        <v>0</v>
      </c>
      <c r="AI1407" s="2">
        <f t="shared" si="1184"/>
        <v>0</v>
      </c>
      <c r="AJ1407" s="2">
        <f t="shared" si="1185"/>
        <v>0</v>
      </c>
      <c r="AK1407" s="2">
        <v>0</v>
      </c>
      <c r="AL1407" s="2">
        <v>0</v>
      </c>
      <c r="AM1407" s="2">
        <v>0</v>
      </c>
      <c r="AN1407" s="2">
        <v>0</v>
      </c>
      <c r="AO1407" s="2">
        <v>0</v>
      </c>
      <c r="AP1407" s="2">
        <v>0</v>
      </c>
      <c r="AQ1407" s="2">
        <v>0</v>
      </c>
      <c r="AR1407" s="2">
        <v>0</v>
      </c>
      <c r="AS1407" s="2">
        <v>0</v>
      </c>
      <c r="AT1407" s="2">
        <v>0</v>
      </c>
      <c r="AU1407" s="2">
        <v>0</v>
      </c>
      <c r="AV1407" s="2">
        <v>1</v>
      </c>
      <c r="AW1407" s="2">
        <v>1</v>
      </c>
      <c r="AX1407" s="2"/>
      <c r="AY1407" s="2"/>
      <c r="AZ1407" s="2">
        <v>1</v>
      </c>
      <c r="BA1407" s="2">
        <v>1</v>
      </c>
      <c r="BB1407" s="2">
        <v>1</v>
      </c>
      <c r="BC1407" s="2">
        <v>1</v>
      </c>
      <c r="BD1407" s="2" t="s">
        <v>3</v>
      </c>
      <c r="BE1407" s="2" t="s">
        <v>3</v>
      </c>
      <c r="BF1407" s="2" t="s">
        <v>3</v>
      </c>
      <c r="BG1407" s="2" t="s">
        <v>3</v>
      </c>
      <c r="BH1407" s="2">
        <v>3</v>
      </c>
      <c r="BI1407" s="2">
        <v>1</v>
      </c>
      <c r="BJ1407" s="2" t="s">
        <v>3</v>
      </c>
      <c r="BK1407" s="2"/>
      <c r="BL1407" s="2"/>
      <c r="BM1407" s="2">
        <v>700010</v>
      </c>
      <c r="BN1407" s="2">
        <v>0</v>
      </c>
      <c r="BO1407" s="2" t="s">
        <v>3</v>
      </c>
      <c r="BP1407" s="2">
        <v>0</v>
      </c>
      <c r="BQ1407" s="2">
        <v>202</v>
      </c>
      <c r="BR1407" s="2">
        <v>0</v>
      </c>
      <c r="BS1407" s="2">
        <v>1</v>
      </c>
      <c r="BT1407" s="2">
        <v>1</v>
      </c>
      <c r="BU1407" s="2">
        <v>1</v>
      </c>
      <c r="BV1407" s="2">
        <v>1</v>
      </c>
      <c r="BW1407" s="2">
        <v>1</v>
      </c>
      <c r="BX1407" s="2">
        <v>1</v>
      </c>
      <c r="BY1407" s="2" t="s">
        <v>3</v>
      </c>
      <c r="BZ1407" s="2">
        <v>0</v>
      </c>
      <c r="CA1407" s="2">
        <v>0</v>
      </c>
      <c r="CB1407" s="2" t="s">
        <v>3</v>
      </c>
      <c r="CC1407" s="2"/>
      <c r="CD1407" s="2"/>
      <c r="CE1407" s="2">
        <v>30</v>
      </c>
      <c r="CF1407" s="2">
        <v>0</v>
      </c>
      <c r="CG1407" s="2">
        <v>0</v>
      </c>
      <c r="CH1407" s="2"/>
      <c r="CI1407" s="2"/>
      <c r="CJ1407" s="2"/>
      <c r="CK1407" s="2"/>
      <c r="CL1407" s="2"/>
      <c r="CM1407" s="2">
        <v>0</v>
      </c>
      <c r="CN1407" s="2" t="s">
        <v>3</v>
      </c>
      <c r="CO1407" s="2">
        <v>0</v>
      </c>
      <c r="CP1407" s="2">
        <f t="shared" si="1186"/>
        <v>0</v>
      </c>
      <c r="CQ1407" s="2">
        <f t="shared" si="1214"/>
        <v>0</v>
      </c>
      <c r="CR1407" s="2">
        <f t="shared" si="1209"/>
        <v>0</v>
      </c>
      <c r="CS1407" s="2">
        <f t="shared" si="1210"/>
        <v>0</v>
      </c>
      <c r="CT1407" s="2">
        <f t="shared" si="1211"/>
        <v>0</v>
      </c>
      <c r="CU1407" s="2">
        <f t="shared" si="1200"/>
        <v>0</v>
      </c>
      <c r="CV1407" s="2">
        <f t="shared" si="1212"/>
        <v>0</v>
      </c>
      <c r="CW1407" s="2">
        <f t="shared" si="1201"/>
        <v>0</v>
      </c>
      <c r="CX1407" s="2">
        <f t="shared" si="1202"/>
        <v>0</v>
      </c>
      <c r="CY1407" s="2">
        <f>((S1407*BZ1407)/100)</f>
        <v>0</v>
      </c>
      <c r="CZ1407" s="2">
        <f>((S1407*CA1407)/100)</f>
        <v>0</v>
      </c>
      <c r="DA1407" s="2"/>
      <c r="DB1407" s="2"/>
      <c r="DC1407" s="2" t="s">
        <v>3</v>
      </c>
      <c r="DD1407" s="2" t="s">
        <v>3</v>
      </c>
      <c r="DE1407" s="2" t="s">
        <v>3</v>
      </c>
      <c r="DF1407" s="2" t="s">
        <v>3</v>
      </c>
      <c r="DG1407" s="2" t="s">
        <v>3</v>
      </c>
      <c r="DH1407" s="2" t="s">
        <v>3</v>
      </c>
      <c r="DI1407" s="2" t="s">
        <v>3</v>
      </c>
      <c r="DJ1407" s="2" t="s">
        <v>3</v>
      </c>
      <c r="DK1407" s="2" t="s">
        <v>3</v>
      </c>
      <c r="DL1407" s="2" t="s">
        <v>3</v>
      </c>
      <c r="DM1407" s="2" t="s">
        <v>3</v>
      </c>
      <c r="DN1407" s="2">
        <v>0</v>
      </c>
      <c r="DO1407" s="2">
        <v>0</v>
      </c>
      <c r="DP1407" s="2">
        <v>1</v>
      </c>
      <c r="DQ1407" s="2">
        <v>1</v>
      </c>
      <c r="DR1407" s="2"/>
      <c r="DS1407" s="2"/>
      <c r="DT1407" s="2"/>
      <c r="DU1407" s="2">
        <v>1010</v>
      </c>
      <c r="DV1407" s="2" t="s">
        <v>250</v>
      </c>
      <c r="DW1407" s="2" t="s">
        <v>250</v>
      </c>
      <c r="DX1407" s="2">
        <v>1</v>
      </c>
      <c r="DY1407" s="2"/>
      <c r="DZ1407" s="2" t="s">
        <v>3</v>
      </c>
      <c r="EA1407" s="2" t="s">
        <v>3</v>
      </c>
      <c r="EB1407" s="2" t="s">
        <v>3</v>
      </c>
      <c r="EC1407" s="2" t="s">
        <v>3</v>
      </c>
      <c r="ED1407" s="2"/>
      <c r="EE1407" s="2">
        <v>128346943</v>
      </c>
      <c r="EF1407" s="2">
        <v>202</v>
      </c>
      <c r="EG1407" s="2" t="s">
        <v>1063</v>
      </c>
      <c r="EH1407" s="2">
        <v>0</v>
      </c>
      <c r="EI1407" s="2" t="s">
        <v>3</v>
      </c>
      <c r="EJ1407" s="2">
        <v>1</v>
      </c>
      <c r="EK1407" s="2">
        <v>700010</v>
      </c>
      <c r="EL1407" s="2" t="s">
        <v>1064</v>
      </c>
      <c r="EM1407" s="2" t="s">
        <v>1063</v>
      </c>
      <c r="EN1407" s="2"/>
      <c r="EO1407" s="2" t="s">
        <v>3</v>
      </c>
      <c r="EP1407" s="2"/>
      <c r="EQ1407" s="2">
        <v>0</v>
      </c>
      <c r="ER1407" s="2">
        <v>0</v>
      </c>
      <c r="ES1407" s="2">
        <v>0</v>
      </c>
      <c r="ET1407" s="2">
        <v>0</v>
      </c>
      <c r="EU1407" s="2">
        <v>0</v>
      </c>
      <c r="EV1407" s="2">
        <v>0</v>
      </c>
      <c r="EW1407" s="2">
        <v>0</v>
      </c>
      <c r="EX1407" s="2">
        <v>0</v>
      </c>
      <c r="EY1407" s="2">
        <v>0</v>
      </c>
      <c r="EZ1407" s="2"/>
      <c r="FA1407" s="2"/>
      <c r="FB1407" s="2"/>
      <c r="FC1407" s="2"/>
      <c r="FD1407" s="2"/>
      <c r="FE1407" s="2"/>
      <c r="FF1407" s="2"/>
      <c r="FG1407" s="2"/>
      <c r="FH1407" s="2"/>
      <c r="FI1407" s="2"/>
      <c r="FJ1407" s="2"/>
      <c r="FK1407" s="2"/>
      <c r="FL1407" s="2"/>
      <c r="FM1407" s="2"/>
      <c r="FN1407" s="2"/>
      <c r="FO1407" s="2"/>
      <c r="FP1407" s="2"/>
      <c r="FQ1407" s="2">
        <v>0</v>
      </c>
      <c r="FR1407" s="2">
        <f t="shared" si="1188"/>
        <v>0</v>
      </c>
      <c r="FS1407" s="2">
        <v>0</v>
      </c>
      <c r="FT1407" s="2"/>
      <c r="FU1407" s="2"/>
      <c r="FV1407" s="2"/>
      <c r="FW1407" s="2"/>
      <c r="FX1407" s="2">
        <v>0</v>
      </c>
      <c r="FY1407" s="2">
        <v>0</v>
      </c>
      <c r="FZ1407" s="2"/>
      <c r="GA1407" s="2" t="s">
        <v>259</v>
      </c>
      <c r="GB1407" s="2"/>
      <c r="GC1407" s="2"/>
      <c r="GD1407" s="2">
        <v>0</v>
      </c>
      <c r="GE1407" s="2"/>
      <c r="GF1407" s="2">
        <v>-2014318175</v>
      </c>
      <c r="GG1407" s="2">
        <v>2</v>
      </c>
      <c r="GH1407" s="2">
        <v>2</v>
      </c>
      <c r="GI1407" s="2">
        <v>0</v>
      </c>
      <c r="GJ1407" s="2">
        <v>0</v>
      </c>
      <c r="GK1407" s="2">
        <f>ROUND(R1407*(R12)/100,2)</f>
        <v>0</v>
      </c>
      <c r="GL1407" s="2">
        <f t="shared" si="1189"/>
        <v>0</v>
      </c>
      <c r="GM1407" s="2">
        <f t="shared" si="1190"/>
        <v>0</v>
      </c>
      <c r="GN1407" s="2">
        <f t="shared" si="1191"/>
        <v>0</v>
      </c>
      <c r="GO1407" s="2">
        <f t="shared" si="1192"/>
        <v>0</v>
      </c>
      <c r="GP1407" s="2">
        <f t="shared" si="1193"/>
        <v>0</v>
      </c>
      <c r="GQ1407" s="2"/>
      <c r="GR1407" s="2">
        <v>0</v>
      </c>
      <c r="GS1407" s="2">
        <v>4</v>
      </c>
      <c r="GT1407" s="2">
        <v>0</v>
      </c>
      <c r="GU1407" s="2" t="s">
        <v>3</v>
      </c>
      <c r="GV1407" s="2">
        <f t="shared" si="1194"/>
        <v>0</v>
      </c>
      <c r="GW1407" s="2">
        <v>1</v>
      </c>
      <c r="GX1407" s="2">
        <f t="shared" si="1195"/>
        <v>0</v>
      </c>
      <c r="GY1407" s="2"/>
      <c r="GZ1407" s="2"/>
      <c r="HA1407" s="2">
        <v>0</v>
      </c>
      <c r="HB1407" s="2">
        <v>0</v>
      </c>
      <c r="HC1407" s="2">
        <f t="shared" si="1196"/>
        <v>0</v>
      </c>
      <c r="HD1407" s="2"/>
      <c r="HE1407" s="2" t="s">
        <v>3</v>
      </c>
      <c r="HF1407" s="2" t="s">
        <v>3</v>
      </c>
      <c r="HG1407" s="2"/>
      <c r="HH1407" s="2"/>
      <c r="HI1407" s="2"/>
      <c r="HJ1407" s="2"/>
      <c r="HK1407" s="2"/>
      <c r="HL1407" s="2"/>
      <c r="HM1407" s="2" t="s">
        <v>3</v>
      </c>
      <c r="HN1407" s="2" t="s">
        <v>3</v>
      </c>
      <c r="HO1407" s="2" t="s">
        <v>3</v>
      </c>
      <c r="HP1407" s="2" t="s">
        <v>3</v>
      </c>
      <c r="HQ1407" s="2" t="s">
        <v>3</v>
      </c>
      <c r="HR1407" s="2"/>
      <c r="HS1407" s="2"/>
      <c r="HT1407" s="2"/>
      <c r="HU1407" s="2"/>
      <c r="HV1407" s="2"/>
      <c r="HW1407" s="2"/>
      <c r="HX1407" s="2"/>
      <c r="HY1407" s="2"/>
      <c r="HZ1407" s="2"/>
      <c r="IA1407" s="2"/>
      <c r="IB1407" s="2"/>
      <c r="IC1407" s="2"/>
      <c r="ID1407" s="2"/>
      <c r="IE1407" s="2"/>
      <c r="IF1407" s="2"/>
      <c r="IG1407" s="2"/>
      <c r="IH1407" s="2"/>
      <c r="II1407" s="2"/>
      <c r="IJ1407" s="2"/>
      <c r="IK1407" s="2">
        <v>0</v>
      </c>
      <c r="IL1407" s="2"/>
      <c r="IM1407" s="2"/>
      <c r="IN1407" s="2"/>
      <c r="IO1407" s="2"/>
      <c r="IP1407" s="2"/>
      <c r="IQ1407" s="2"/>
      <c r="IR1407" s="2"/>
      <c r="IS1407" s="2"/>
      <c r="IT1407" s="2"/>
      <c r="IU1407" s="2"/>
    </row>
    <row r="1408" spans="1:255" x14ac:dyDescent="0.2">
      <c r="A1408">
        <v>17</v>
      </c>
      <c r="B1408">
        <v>1</v>
      </c>
      <c r="E1408" t="s">
        <v>181</v>
      </c>
      <c r="F1408" t="s">
        <v>248</v>
      </c>
      <c r="G1408" t="s">
        <v>1066</v>
      </c>
      <c r="H1408" t="s">
        <v>250</v>
      </c>
      <c r="I1408">
        <v>4</v>
      </c>
      <c r="J1408">
        <v>0</v>
      </c>
      <c r="K1408">
        <v>4</v>
      </c>
      <c r="O1408">
        <f t="shared" si="1173"/>
        <v>67659.95</v>
      </c>
      <c r="P1408">
        <f t="shared" si="1213"/>
        <v>67659.95</v>
      </c>
      <c r="Q1408">
        <f t="shared" si="1204"/>
        <v>0</v>
      </c>
      <c r="R1408">
        <f t="shared" si="1205"/>
        <v>0</v>
      </c>
      <c r="S1408">
        <f t="shared" si="1206"/>
        <v>0</v>
      </c>
      <c r="T1408">
        <f t="shared" si="1174"/>
        <v>0</v>
      </c>
      <c r="U1408">
        <f t="shared" si="1175"/>
        <v>0</v>
      </c>
      <c r="V1408">
        <f t="shared" si="1176"/>
        <v>0</v>
      </c>
      <c r="W1408">
        <f t="shared" si="1177"/>
        <v>0</v>
      </c>
      <c r="X1408">
        <f t="shared" si="1178"/>
        <v>0</v>
      </c>
      <c r="Y1408">
        <f t="shared" si="1179"/>
        <v>0</v>
      </c>
      <c r="AA1408">
        <v>129761633</v>
      </c>
      <c r="AB1408">
        <f t="shared" si="1180"/>
        <v>1955.49</v>
      </c>
      <c r="AC1408">
        <f t="shared" si="1197"/>
        <v>1955.49</v>
      </c>
      <c r="AD1408">
        <f t="shared" si="1207"/>
        <v>0</v>
      </c>
      <c r="AE1408">
        <f t="shared" si="1198"/>
        <v>0</v>
      </c>
      <c r="AF1408">
        <f t="shared" si="1199"/>
        <v>0</v>
      </c>
      <c r="AG1408">
        <f t="shared" si="1182"/>
        <v>0</v>
      </c>
      <c r="AH1408">
        <f t="shared" si="1183"/>
        <v>0</v>
      </c>
      <c r="AI1408">
        <f t="shared" si="1184"/>
        <v>0</v>
      </c>
      <c r="AJ1408">
        <f t="shared" si="1185"/>
        <v>0</v>
      </c>
      <c r="AK1408">
        <v>1955.49</v>
      </c>
      <c r="AL1408">
        <v>1955.49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0</v>
      </c>
      <c r="AS1408">
        <v>0</v>
      </c>
      <c r="AT1408">
        <v>0</v>
      </c>
      <c r="AU1408">
        <v>0</v>
      </c>
      <c r="AV1408">
        <v>1</v>
      </c>
      <c r="AW1408">
        <v>1</v>
      </c>
      <c r="AZ1408">
        <v>1</v>
      </c>
      <c r="BA1408">
        <v>1</v>
      </c>
      <c r="BB1408">
        <v>1</v>
      </c>
      <c r="BC1408">
        <v>8.65</v>
      </c>
      <c r="BD1408" t="s">
        <v>3</v>
      </c>
      <c r="BE1408" t="s">
        <v>3</v>
      </c>
      <c r="BF1408" t="s">
        <v>3</v>
      </c>
      <c r="BG1408" t="s">
        <v>3</v>
      </c>
      <c r="BH1408">
        <v>3</v>
      </c>
      <c r="BI1408">
        <v>1</v>
      </c>
      <c r="BJ1408" t="s">
        <v>3</v>
      </c>
      <c r="BM1408">
        <v>700010</v>
      </c>
      <c r="BN1408">
        <v>0</v>
      </c>
      <c r="BO1408" t="s">
        <v>3</v>
      </c>
      <c r="BP1408">
        <v>0</v>
      </c>
      <c r="BQ1408">
        <v>202</v>
      </c>
      <c r="BR1408">
        <v>0</v>
      </c>
      <c r="BS1408">
        <v>1</v>
      </c>
      <c r="BT1408">
        <v>1</v>
      </c>
      <c r="BU1408">
        <v>1</v>
      </c>
      <c r="BV1408">
        <v>1</v>
      </c>
      <c r="BW1408">
        <v>1</v>
      </c>
      <c r="BX1408">
        <v>1</v>
      </c>
      <c r="BY1408" t="s">
        <v>3</v>
      </c>
      <c r="BZ1408">
        <v>0</v>
      </c>
      <c r="CA1408">
        <v>0</v>
      </c>
      <c r="CB1408" t="s">
        <v>3</v>
      </c>
      <c r="CE1408">
        <v>30</v>
      </c>
      <c r="CF1408">
        <v>0</v>
      </c>
      <c r="CG1408">
        <v>0</v>
      </c>
      <c r="CM1408">
        <v>0</v>
      </c>
      <c r="CN1408" t="s">
        <v>3</v>
      </c>
      <c r="CO1408">
        <v>0</v>
      </c>
      <c r="CP1408">
        <f t="shared" si="1186"/>
        <v>67659.95</v>
      </c>
      <c r="CQ1408">
        <f t="shared" si="1214"/>
        <v>16914.990000000002</v>
      </c>
      <c r="CR1408">
        <f t="shared" si="1209"/>
        <v>0</v>
      </c>
      <c r="CS1408">
        <f t="shared" si="1210"/>
        <v>0</v>
      </c>
      <c r="CT1408">
        <f t="shared" si="1211"/>
        <v>0</v>
      </c>
      <c r="CU1408">
        <f t="shared" si="1200"/>
        <v>0</v>
      </c>
      <c r="CV1408">
        <f t="shared" si="1212"/>
        <v>0</v>
      </c>
      <c r="CW1408">
        <f t="shared" si="1201"/>
        <v>0</v>
      </c>
      <c r="CX1408">
        <f t="shared" si="1202"/>
        <v>0</v>
      </c>
      <c r="CY1408">
        <f>S1408*(BZ1408/100)</f>
        <v>0</v>
      </c>
      <c r="CZ1408">
        <f>S1408*(CA1408/100)</f>
        <v>0</v>
      </c>
      <c r="DC1408" t="s">
        <v>3</v>
      </c>
      <c r="DD1408" t="s">
        <v>3</v>
      </c>
      <c r="DE1408" t="s">
        <v>3</v>
      </c>
      <c r="DF1408" t="s">
        <v>3</v>
      </c>
      <c r="DG1408" t="s">
        <v>3</v>
      </c>
      <c r="DH1408" t="s">
        <v>3</v>
      </c>
      <c r="DI1408" t="s">
        <v>3</v>
      </c>
      <c r="DJ1408" t="s">
        <v>3</v>
      </c>
      <c r="DK1408" t="s">
        <v>3</v>
      </c>
      <c r="DL1408" t="s">
        <v>3</v>
      </c>
      <c r="DM1408" t="s">
        <v>3</v>
      </c>
      <c r="DN1408">
        <v>0</v>
      </c>
      <c r="DO1408">
        <v>0</v>
      </c>
      <c r="DP1408">
        <v>1</v>
      </c>
      <c r="DQ1408">
        <v>1</v>
      </c>
      <c r="DU1408">
        <v>1010</v>
      </c>
      <c r="DV1408" t="s">
        <v>250</v>
      </c>
      <c r="DW1408" t="s">
        <v>250</v>
      </c>
      <c r="DX1408">
        <v>1</v>
      </c>
      <c r="DZ1408" t="s">
        <v>3</v>
      </c>
      <c r="EA1408" t="s">
        <v>3</v>
      </c>
      <c r="EB1408" t="s">
        <v>3</v>
      </c>
      <c r="EC1408" t="s">
        <v>3</v>
      </c>
      <c r="EE1408">
        <v>128346943</v>
      </c>
      <c r="EF1408">
        <v>202</v>
      </c>
      <c r="EG1408" t="s">
        <v>1063</v>
      </c>
      <c r="EH1408">
        <v>0</v>
      </c>
      <c r="EI1408" t="s">
        <v>3</v>
      </c>
      <c r="EJ1408">
        <v>1</v>
      </c>
      <c r="EK1408">
        <v>700010</v>
      </c>
      <c r="EL1408" t="s">
        <v>1064</v>
      </c>
      <c r="EM1408" t="s">
        <v>1063</v>
      </c>
      <c r="EO1408" t="s">
        <v>3</v>
      </c>
      <c r="EQ1408">
        <v>0</v>
      </c>
      <c r="ER1408">
        <v>1955.49</v>
      </c>
      <c r="ES1408">
        <v>1955.49</v>
      </c>
      <c r="ET1408">
        <v>0</v>
      </c>
      <c r="EU1408">
        <v>0</v>
      </c>
      <c r="EV1408">
        <v>0</v>
      </c>
      <c r="EW1408">
        <v>0</v>
      </c>
      <c r="EX1408">
        <v>0</v>
      </c>
      <c r="EY1408">
        <v>0</v>
      </c>
      <c r="EZ1408">
        <v>5</v>
      </c>
      <c r="FC1408">
        <v>1</v>
      </c>
      <c r="FD1408">
        <v>18</v>
      </c>
      <c r="FF1408">
        <v>19900</v>
      </c>
      <c r="FQ1408">
        <v>0</v>
      </c>
      <c r="FR1408">
        <f t="shared" si="1188"/>
        <v>0</v>
      </c>
      <c r="FS1408">
        <v>0</v>
      </c>
      <c r="FX1408">
        <v>0</v>
      </c>
      <c r="FY1408">
        <v>0</v>
      </c>
      <c r="GA1408" t="s">
        <v>1067</v>
      </c>
      <c r="GD1408">
        <v>0</v>
      </c>
      <c r="GF1408">
        <v>-2014318175</v>
      </c>
      <c r="GG1408">
        <v>2</v>
      </c>
      <c r="GH1408">
        <v>3</v>
      </c>
      <c r="GI1408">
        <v>5</v>
      </c>
      <c r="GJ1408">
        <v>0</v>
      </c>
      <c r="GK1408">
        <f>ROUND(R1408*(S12)/100,2)</f>
        <v>0</v>
      </c>
      <c r="GL1408">
        <f t="shared" si="1189"/>
        <v>0</v>
      </c>
      <c r="GM1408">
        <f t="shared" si="1190"/>
        <v>67659.95</v>
      </c>
      <c r="GN1408">
        <f t="shared" si="1191"/>
        <v>67659.95</v>
      </c>
      <c r="GO1408">
        <f t="shared" si="1192"/>
        <v>0</v>
      </c>
      <c r="GP1408">
        <f t="shared" si="1193"/>
        <v>0</v>
      </c>
      <c r="GR1408">
        <v>1</v>
      </c>
      <c r="GS1408">
        <v>1</v>
      </c>
      <c r="GT1408">
        <v>0</v>
      </c>
      <c r="GU1408" t="s">
        <v>3</v>
      </c>
      <c r="GV1408">
        <f t="shared" si="1194"/>
        <v>0</v>
      </c>
      <c r="GW1408">
        <v>1</v>
      </c>
      <c r="GX1408">
        <f t="shared" si="1195"/>
        <v>0</v>
      </c>
      <c r="HA1408">
        <v>0</v>
      </c>
      <c r="HB1408">
        <v>0</v>
      </c>
      <c r="HC1408">
        <f t="shared" si="1196"/>
        <v>0</v>
      </c>
      <c r="HE1408" t="s">
        <v>81</v>
      </c>
      <c r="HF1408" t="s">
        <v>252</v>
      </c>
      <c r="HM1408" t="s">
        <v>3</v>
      </c>
      <c r="HN1408" t="s">
        <v>3</v>
      </c>
      <c r="HO1408" t="s">
        <v>3</v>
      </c>
      <c r="HP1408" t="s">
        <v>3</v>
      </c>
      <c r="HQ1408" t="s">
        <v>3</v>
      </c>
      <c r="IK1408">
        <v>0</v>
      </c>
    </row>
    <row r="1409" spans="1:255" x14ac:dyDescent="0.2">
      <c r="A1409" s="2">
        <v>17</v>
      </c>
      <c r="B1409" s="2">
        <v>1</v>
      </c>
      <c r="C1409" s="2"/>
      <c r="D1409" s="2"/>
      <c r="E1409" s="2" t="s">
        <v>191</v>
      </c>
      <c r="F1409" s="2" t="s">
        <v>248</v>
      </c>
      <c r="G1409" s="2" t="s">
        <v>1068</v>
      </c>
      <c r="H1409" s="2" t="s">
        <v>250</v>
      </c>
      <c r="I1409" s="2">
        <v>2</v>
      </c>
      <c r="J1409" s="2">
        <v>0</v>
      </c>
      <c r="K1409" s="2">
        <v>2</v>
      </c>
      <c r="L1409" s="2"/>
      <c r="M1409" s="2"/>
      <c r="N1409" s="2"/>
      <c r="O1409" s="2">
        <f t="shared" si="1173"/>
        <v>0</v>
      </c>
      <c r="P1409" s="2">
        <f t="shared" si="1213"/>
        <v>0</v>
      </c>
      <c r="Q1409" s="2">
        <f t="shared" si="1204"/>
        <v>0</v>
      </c>
      <c r="R1409" s="2">
        <f t="shared" si="1205"/>
        <v>0</v>
      </c>
      <c r="S1409" s="2">
        <f t="shared" si="1206"/>
        <v>0</v>
      </c>
      <c r="T1409" s="2">
        <f t="shared" si="1174"/>
        <v>0</v>
      </c>
      <c r="U1409" s="2">
        <f t="shared" si="1175"/>
        <v>0</v>
      </c>
      <c r="V1409" s="2">
        <f t="shared" si="1176"/>
        <v>0</v>
      </c>
      <c r="W1409" s="2">
        <f t="shared" si="1177"/>
        <v>0</v>
      </c>
      <c r="X1409" s="2">
        <f t="shared" si="1178"/>
        <v>0</v>
      </c>
      <c r="Y1409" s="2">
        <f t="shared" si="1179"/>
        <v>0</v>
      </c>
      <c r="Z1409" s="2"/>
      <c r="AA1409" s="2">
        <v>129761636</v>
      </c>
      <c r="AB1409" s="2">
        <f t="shared" si="1180"/>
        <v>0</v>
      </c>
      <c r="AC1409" s="2">
        <f t="shared" si="1197"/>
        <v>0</v>
      </c>
      <c r="AD1409" s="2">
        <f t="shared" si="1207"/>
        <v>0</v>
      </c>
      <c r="AE1409" s="2">
        <f t="shared" si="1198"/>
        <v>0</v>
      </c>
      <c r="AF1409" s="2">
        <f t="shared" si="1199"/>
        <v>0</v>
      </c>
      <c r="AG1409" s="2">
        <f t="shared" si="1182"/>
        <v>0</v>
      </c>
      <c r="AH1409" s="2">
        <f t="shared" si="1183"/>
        <v>0</v>
      </c>
      <c r="AI1409" s="2">
        <f t="shared" si="1184"/>
        <v>0</v>
      </c>
      <c r="AJ1409" s="2">
        <f t="shared" si="1185"/>
        <v>0</v>
      </c>
      <c r="AK1409" s="2">
        <v>0</v>
      </c>
      <c r="AL1409" s="2">
        <v>0</v>
      </c>
      <c r="AM1409" s="2">
        <v>0</v>
      </c>
      <c r="AN1409" s="2">
        <v>0</v>
      </c>
      <c r="AO1409" s="2">
        <v>0</v>
      </c>
      <c r="AP1409" s="2">
        <v>0</v>
      </c>
      <c r="AQ1409" s="2">
        <v>0</v>
      </c>
      <c r="AR1409" s="2">
        <v>0</v>
      </c>
      <c r="AS1409" s="2">
        <v>0</v>
      </c>
      <c r="AT1409" s="2">
        <v>0</v>
      </c>
      <c r="AU1409" s="2">
        <v>0</v>
      </c>
      <c r="AV1409" s="2">
        <v>1</v>
      </c>
      <c r="AW1409" s="2">
        <v>1</v>
      </c>
      <c r="AX1409" s="2"/>
      <c r="AY1409" s="2"/>
      <c r="AZ1409" s="2">
        <v>1</v>
      </c>
      <c r="BA1409" s="2">
        <v>1</v>
      </c>
      <c r="BB1409" s="2">
        <v>1</v>
      </c>
      <c r="BC1409" s="2">
        <v>1</v>
      </c>
      <c r="BD1409" s="2" t="s">
        <v>3</v>
      </c>
      <c r="BE1409" s="2" t="s">
        <v>3</v>
      </c>
      <c r="BF1409" s="2" t="s">
        <v>3</v>
      </c>
      <c r="BG1409" s="2" t="s">
        <v>3</v>
      </c>
      <c r="BH1409" s="2">
        <v>3</v>
      </c>
      <c r="BI1409" s="2">
        <v>1</v>
      </c>
      <c r="BJ1409" s="2" t="s">
        <v>3</v>
      </c>
      <c r="BK1409" s="2"/>
      <c r="BL1409" s="2"/>
      <c r="BM1409" s="2">
        <v>700010</v>
      </c>
      <c r="BN1409" s="2">
        <v>0</v>
      </c>
      <c r="BO1409" s="2" t="s">
        <v>3</v>
      </c>
      <c r="BP1409" s="2">
        <v>0</v>
      </c>
      <c r="BQ1409" s="2">
        <v>202</v>
      </c>
      <c r="BR1409" s="2">
        <v>0</v>
      </c>
      <c r="BS1409" s="2">
        <v>1</v>
      </c>
      <c r="BT1409" s="2">
        <v>1</v>
      </c>
      <c r="BU1409" s="2">
        <v>1</v>
      </c>
      <c r="BV1409" s="2">
        <v>1</v>
      </c>
      <c r="BW1409" s="2">
        <v>1</v>
      </c>
      <c r="BX1409" s="2">
        <v>1</v>
      </c>
      <c r="BY1409" s="2" t="s">
        <v>3</v>
      </c>
      <c r="BZ1409" s="2">
        <v>0</v>
      </c>
      <c r="CA1409" s="2">
        <v>0</v>
      </c>
      <c r="CB1409" s="2" t="s">
        <v>3</v>
      </c>
      <c r="CC1409" s="2"/>
      <c r="CD1409" s="2"/>
      <c r="CE1409" s="2">
        <v>30</v>
      </c>
      <c r="CF1409" s="2">
        <v>0</v>
      </c>
      <c r="CG1409" s="2">
        <v>0</v>
      </c>
      <c r="CH1409" s="2"/>
      <c r="CI1409" s="2"/>
      <c r="CJ1409" s="2"/>
      <c r="CK1409" s="2"/>
      <c r="CL1409" s="2"/>
      <c r="CM1409" s="2">
        <v>0</v>
      </c>
      <c r="CN1409" s="2" t="s">
        <v>3</v>
      </c>
      <c r="CO1409" s="2">
        <v>0</v>
      </c>
      <c r="CP1409" s="2">
        <f t="shared" si="1186"/>
        <v>0</v>
      </c>
      <c r="CQ1409" s="2">
        <f t="shared" si="1214"/>
        <v>0</v>
      </c>
      <c r="CR1409" s="2">
        <f t="shared" si="1209"/>
        <v>0</v>
      </c>
      <c r="CS1409" s="2">
        <f t="shared" si="1210"/>
        <v>0</v>
      </c>
      <c r="CT1409" s="2">
        <f t="shared" si="1211"/>
        <v>0</v>
      </c>
      <c r="CU1409" s="2">
        <f t="shared" si="1200"/>
        <v>0</v>
      </c>
      <c r="CV1409" s="2">
        <f t="shared" si="1212"/>
        <v>0</v>
      </c>
      <c r="CW1409" s="2">
        <f t="shared" si="1201"/>
        <v>0</v>
      </c>
      <c r="CX1409" s="2">
        <f t="shared" si="1202"/>
        <v>0</v>
      </c>
      <c r="CY1409" s="2">
        <f>((S1409*BZ1409)/100)</f>
        <v>0</v>
      </c>
      <c r="CZ1409" s="2">
        <f>((S1409*CA1409)/100)</f>
        <v>0</v>
      </c>
      <c r="DA1409" s="2"/>
      <c r="DB1409" s="2"/>
      <c r="DC1409" s="2" t="s">
        <v>3</v>
      </c>
      <c r="DD1409" s="2" t="s">
        <v>3</v>
      </c>
      <c r="DE1409" s="2" t="s">
        <v>3</v>
      </c>
      <c r="DF1409" s="2" t="s">
        <v>3</v>
      </c>
      <c r="DG1409" s="2" t="s">
        <v>3</v>
      </c>
      <c r="DH1409" s="2" t="s">
        <v>3</v>
      </c>
      <c r="DI1409" s="2" t="s">
        <v>3</v>
      </c>
      <c r="DJ1409" s="2" t="s">
        <v>3</v>
      </c>
      <c r="DK1409" s="2" t="s">
        <v>3</v>
      </c>
      <c r="DL1409" s="2" t="s">
        <v>3</v>
      </c>
      <c r="DM1409" s="2" t="s">
        <v>3</v>
      </c>
      <c r="DN1409" s="2">
        <v>0</v>
      </c>
      <c r="DO1409" s="2">
        <v>0</v>
      </c>
      <c r="DP1409" s="2">
        <v>1</v>
      </c>
      <c r="DQ1409" s="2">
        <v>1</v>
      </c>
      <c r="DR1409" s="2"/>
      <c r="DS1409" s="2"/>
      <c r="DT1409" s="2"/>
      <c r="DU1409" s="2">
        <v>1010</v>
      </c>
      <c r="DV1409" s="2" t="s">
        <v>250</v>
      </c>
      <c r="DW1409" s="2" t="s">
        <v>250</v>
      </c>
      <c r="DX1409" s="2">
        <v>1</v>
      </c>
      <c r="DY1409" s="2"/>
      <c r="DZ1409" s="2" t="s">
        <v>3</v>
      </c>
      <c r="EA1409" s="2" t="s">
        <v>3</v>
      </c>
      <c r="EB1409" s="2" t="s">
        <v>3</v>
      </c>
      <c r="EC1409" s="2" t="s">
        <v>3</v>
      </c>
      <c r="ED1409" s="2"/>
      <c r="EE1409" s="2">
        <v>128346943</v>
      </c>
      <c r="EF1409" s="2">
        <v>202</v>
      </c>
      <c r="EG1409" s="2" t="s">
        <v>1063</v>
      </c>
      <c r="EH1409" s="2">
        <v>0</v>
      </c>
      <c r="EI1409" s="2" t="s">
        <v>3</v>
      </c>
      <c r="EJ1409" s="2">
        <v>1</v>
      </c>
      <c r="EK1409" s="2">
        <v>700010</v>
      </c>
      <c r="EL1409" s="2" t="s">
        <v>1064</v>
      </c>
      <c r="EM1409" s="2" t="s">
        <v>1063</v>
      </c>
      <c r="EN1409" s="2"/>
      <c r="EO1409" s="2" t="s">
        <v>3</v>
      </c>
      <c r="EP1409" s="2"/>
      <c r="EQ1409" s="2">
        <v>0</v>
      </c>
      <c r="ER1409" s="2">
        <v>0</v>
      </c>
      <c r="ES1409" s="2">
        <v>0</v>
      </c>
      <c r="ET1409" s="2">
        <v>0</v>
      </c>
      <c r="EU1409" s="2">
        <v>0</v>
      </c>
      <c r="EV1409" s="2">
        <v>0</v>
      </c>
      <c r="EW1409" s="2">
        <v>0</v>
      </c>
      <c r="EX1409" s="2">
        <v>0</v>
      </c>
      <c r="EY1409" s="2">
        <v>0</v>
      </c>
      <c r="EZ1409" s="2"/>
      <c r="FA1409" s="2"/>
      <c r="FB1409" s="2"/>
      <c r="FC1409" s="2"/>
      <c r="FD1409" s="2"/>
      <c r="FE1409" s="2"/>
      <c r="FF1409" s="2"/>
      <c r="FG1409" s="2"/>
      <c r="FH1409" s="2"/>
      <c r="FI1409" s="2"/>
      <c r="FJ1409" s="2"/>
      <c r="FK1409" s="2"/>
      <c r="FL1409" s="2"/>
      <c r="FM1409" s="2"/>
      <c r="FN1409" s="2"/>
      <c r="FO1409" s="2"/>
      <c r="FP1409" s="2"/>
      <c r="FQ1409" s="2">
        <v>0</v>
      </c>
      <c r="FR1409" s="2">
        <f t="shared" si="1188"/>
        <v>0</v>
      </c>
      <c r="FS1409" s="2">
        <v>0</v>
      </c>
      <c r="FT1409" s="2"/>
      <c r="FU1409" s="2"/>
      <c r="FV1409" s="2"/>
      <c r="FW1409" s="2"/>
      <c r="FX1409" s="2">
        <v>0</v>
      </c>
      <c r="FY1409" s="2">
        <v>0</v>
      </c>
      <c r="FZ1409" s="2"/>
      <c r="GA1409" s="2" t="s">
        <v>259</v>
      </c>
      <c r="GB1409" s="2"/>
      <c r="GC1409" s="2"/>
      <c r="GD1409" s="2">
        <v>0</v>
      </c>
      <c r="GE1409" s="2"/>
      <c r="GF1409" s="2">
        <v>1182484338</v>
      </c>
      <c r="GG1409" s="2">
        <v>2</v>
      </c>
      <c r="GH1409" s="2">
        <v>2</v>
      </c>
      <c r="GI1409" s="2">
        <v>0</v>
      </c>
      <c r="GJ1409" s="2">
        <v>0</v>
      </c>
      <c r="GK1409" s="2">
        <f>ROUND(R1409*(R12)/100,2)</f>
        <v>0</v>
      </c>
      <c r="GL1409" s="2">
        <f t="shared" si="1189"/>
        <v>0</v>
      </c>
      <c r="GM1409" s="2">
        <f t="shared" si="1190"/>
        <v>0</v>
      </c>
      <c r="GN1409" s="2">
        <f t="shared" si="1191"/>
        <v>0</v>
      </c>
      <c r="GO1409" s="2">
        <f t="shared" si="1192"/>
        <v>0</v>
      </c>
      <c r="GP1409" s="2">
        <f t="shared" si="1193"/>
        <v>0</v>
      </c>
      <c r="GQ1409" s="2"/>
      <c r="GR1409" s="2">
        <v>0</v>
      </c>
      <c r="GS1409" s="2">
        <v>4</v>
      </c>
      <c r="GT1409" s="2">
        <v>0</v>
      </c>
      <c r="GU1409" s="2" t="s">
        <v>3</v>
      </c>
      <c r="GV1409" s="2">
        <f t="shared" si="1194"/>
        <v>0</v>
      </c>
      <c r="GW1409" s="2">
        <v>1</v>
      </c>
      <c r="GX1409" s="2">
        <f t="shared" si="1195"/>
        <v>0</v>
      </c>
      <c r="GY1409" s="2"/>
      <c r="GZ1409" s="2"/>
      <c r="HA1409" s="2">
        <v>0</v>
      </c>
      <c r="HB1409" s="2">
        <v>0</v>
      </c>
      <c r="HC1409" s="2">
        <f t="shared" si="1196"/>
        <v>0</v>
      </c>
      <c r="HD1409" s="2"/>
      <c r="HE1409" s="2" t="s">
        <v>3</v>
      </c>
      <c r="HF1409" s="2" t="s">
        <v>3</v>
      </c>
      <c r="HG1409" s="2"/>
      <c r="HH1409" s="2"/>
      <c r="HI1409" s="2"/>
      <c r="HJ1409" s="2"/>
      <c r="HK1409" s="2"/>
      <c r="HL1409" s="2"/>
      <c r="HM1409" s="2" t="s">
        <v>3</v>
      </c>
      <c r="HN1409" s="2" t="s">
        <v>3</v>
      </c>
      <c r="HO1409" s="2" t="s">
        <v>3</v>
      </c>
      <c r="HP1409" s="2" t="s">
        <v>3</v>
      </c>
      <c r="HQ1409" s="2" t="s">
        <v>3</v>
      </c>
      <c r="HR1409" s="2"/>
      <c r="HS1409" s="2"/>
      <c r="HT1409" s="2"/>
      <c r="HU1409" s="2"/>
      <c r="HV1409" s="2"/>
      <c r="HW1409" s="2"/>
      <c r="HX1409" s="2"/>
      <c r="HY1409" s="2"/>
      <c r="HZ1409" s="2"/>
      <c r="IA1409" s="2"/>
      <c r="IB1409" s="2"/>
      <c r="IC1409" s="2"/>
      <c r="ID1409" s="2"/>
      <c r="IE1409" s="2"/>
      <c r="IF1409" s="2"/>
      <c r="IG1409" s="2"/>
      <c r="IH1409" s="2"/>
      <c r="II1409" s="2"/>
      <c r="IJ1409" s="2"/>
      <c r="IK1409" s="2">
        <v>0</v>
      </c>
      <c r="IL1409" s="2"/>
      <c r="IM1409" s="2"/>
      <c r="IN1409" s="2"/>
      <c r="IO1409" s="2"/>
      <c r="IP1409" s="2"/>
      <c r="IQ1409" s="2"/>
      <c r="IR1409" s="2"/>
      <c r="IS1409" s="2"/>
      <c r="IT1409" s="2"/>
      <c r="IU1409" s="2"/>
    </row>
    <row r="1410" spans="1:255" x14ac:dyDescent="0.2">
      <c r="A1410">
        <v>17</v>
      </c>
      <c r="B1410">
        <v>1</v>
      </c>
      <c r="E1410" t="s">
        <v>191</v>
      </c>
      <c r="F1410" t="s">
        <v>248</v>
      </c>
      <c r="G1410" t="s">
        <v>1068</v>
      </c>
      <c r="H1410" t="s">
        <v>250</v>
      </c>
      <c r="I1410">
        <v>2</v>
      </c>
      <c r="J1410">
        <v>0</v>
      </c>
      <c r="K1410">
        <v>2</v>
      </c>
      <c r="O1410">
        <f t="shared" si="1173"/>
        <v>20991.65</v>
      </c>
      <c r="P1410">
        <f t="shared" si="1213"/>
        <v>20991.65</v>
      </c>
      <c r="Q1410">
        <f t="shared" si="1204"/>
        <v>0</v>
      </c>
      <c r="R1410">
        <f t="shared" si="1205"/>
        <v>0</v>
      </c>
      <c r="S1410">
        <f t="shared" si="1206"/>
        <v>0</v>
      </c>
      <c r="T1410">
        <f t="shared" si="1174"/>
        <v>0</v>
      </c>
      <c r="U1410">
        <f t="shared" si="1175"/>
        <v>0</v>
      </c>
      <c r="V1410">
        <f t="shared" si="1176"/>
        <v>0</v>
      </c>
      <c r="W1410">
        <f t="shared" si="1177"/>
        <v>0</v>
      </c>
      <c r="X1410">
        <f t="shared" si="1178"/>
        <v>0</v>
      </c>
      <c r="Y1410">
        <f t="shared" si="1179"/>
        <v>0</v>
      </c>
      <c r="AA1410">
        <v>129761633</v>
      </c>
      <c r="AB1410">
        <f t="shared" si="1180"/>
        <v>1213.3900000000001</v>
      </c>
      <c r="AC1410">
        <f t="shared" si="1197"/>
        <v>1213.3900000000001</v>
      </c>
      <c r="AD1410">
        <f t="shared" si="1207"/>
        <v>0</v>
      </c>
      <c r="AE1410">
        <f t="shared" si="1198"/>
        <v>0</v>
      </c>
      <c r="AF1410">
        <f t="shared" si="1199"/>
        <v>0</v>
      </c>
      <c r="AG1410">
        <f t="shared" si="1182"/>
        <v>0</v>
      </c>
      <c r="AH1410">
        <f t="shared" si="1183"/>
        <v>0</v>
      </c>
      <c r="AI1410">
        <f t="shared" si="1184"/>
        <v>0</v>
      </c>
      <c r="AJ1410">
        <f t="shared" si="1185"/>
        <v>0</v>
      </c>
      <c r="AK1410">
        <v>1213.3899999999999</v>
      </c>
      <c r="AL1410">
        <v>1213.3899999999999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0</v>
      </c>
      <c r="AU1410">
        <v>0</v>
      </c>
      <c r="AV1410">
        <v>1</v>
      </c>
      <c r="AW1410">
        <v>1</v>
      </c>
      <c r="AZ1410">
        <v>1</v>
      </c>
      <c r="BA1410">
        <v>1</v>
      </c>
      <c r="BB1410">
        <v>1</v>
      </c>
      <c r="BC1410">
        <v>8.65</v>
      </c>
      <c r="BD1410" t="s">
        <v>3</v>
      </c>
      <c r="BE1410" t="s">
        <v>3</v>
      </c>
      <c r="BF1410" t="s">
        <v>3</v>
      </c>
      <c r="BG1410" t="s">
        <v>3</v>
      </c>
      <c r="BH1410">
        <v>3</v>
      </c>
      <c r="BI1410">
        <v>1</v>
      </c>
      <c r="BJ1410" t="s">
        <v>3</v>
      </c>
      <c r="BM1410">
        <v>700010</v>
      </c>
      <c r="BN1410">
        <v>0</v>
      </c>
      <c r="BO1410" t="s">
        <v>3</v>
      </c>
      <c r="BP1410">
        <v>0</v>
      </c>
      <c r="BQ1410">
        <v>202</v>
      </c>
      <c r="BR1410">
        <v>0</v>
      </c>
      <c r="BS1410">
        <v>1</v>
      </c>
      <c r="BT1410">
        <v>1</v>
      </c>
      <c r="BU1410">
        <v>1</v>
      </c>
      <c r="BV1410">
        <v>1</v>
      </c>
      <c r="BW1410">
        <v>1</v>
      </c>
      <c r="BX1410">
        <v>1</v>
      </c>
      <c r="BY1410" t="s">
        <v>3</v>
      </c>
      <c r="BZ1410">
        <v>0</v>
      </c>
      <c r="CA1410">
        <v>0</v>
      </c>
      <c r="CB1410" t="s">
        <v>3</v>
      </c>
      <c r="CE1410">
        <v>30</v>
      </c>
      <c r="CF1410">
        <v>0</v>
      </c>
      <c r="CG1410">
        <v>0</v>
      </c>
      <c r="CM1410">
        <v>0</v>
      </c>
      <c r="CN1410" t="s">
        <v>3</v>
      </c>
      <c r="CO1410">
        <v>0</v>
      </c>
      <c r="CP1410">
        <f t="shared" si="1186"/>
        <v>20991.65</v>
      </c>
      <c r="CQ1410">
        <f t="shared" si="1214"/>
        <v>10495.82</v>
      </c>
      <c r="CR1410">
        <f t="shared" si="1209"/>
        <v>0</v>
      </c>
      <c r="CS1410">
        <f t="shared" si="1210"/>
        <v>0</v>
      </c>
      <c r="CT1410">
        <f t="shared" si="1211"/>
        <v>0</v>
      </c>
      <c r="CU1410">
        <f t="shared" si="1200"/>
        <v>0</v>
      </c>
      <c r="CV1410">
        <f t="shared" si="1212"/>
        <v>0</v>
      </c>
      <c r="CW1410">
        <f t="shared" si="1201"/>
        <v>0</v>
      </c>
      <c r="CX1410">
        <f t="shared" si="1202"/>
        <v>0</v>
      </c>
      <c r="CY1410">
        <f>S1410*(BZ1410/100)</f>
        <v>0</v>
      </c>
      <c r="CZ1410">
        <f>S1410*(CA1410/100)</f>
        <v>0</v>
      </c>
      <c r="DC1410" t="s">
        <v>3</v>
      </c>
      <c r="DD1410" t="s">
        <v>3</v>
      </c>
      <c r="DE1410" t="s">
        <v>3</v>
      </c>
      <c r="DF1410" t="s">
        <v>3</v>
      </c>
      <c r="DG1410" t="s">
        <v>3</v>
      </c>
      <c r="DH1410" t="s">
        <v>3</v>
      </c>
      <c r="DI1410" t="s">
        <v>3</v>
      </c>
      <c r="DJ1410" t="s">
        <v>3</v>
      </c>
      <c r="DK1410" t="s">
        <v>3</v>
      </c>
      <c r="DL1410" t="s">
        <v>3</v>
      </c>
      <c r="DM1410" t="s">
        <v>3</v>
      </c>
      <c r="DN1410">
        <v>0</v>
      </c>
      <c r="DO1410">
        <v>0</v>
      </c>
      <c r="DP1410">
        <v>1</v>
      </c>
      <c r="DQ1410">
        <v>1</v>
      </c>
      <c r="DU1410">
        <v>1010</v>
      </c>
      <c r="DV1410" t="s">
        <v>250</v>
      </c>
      <c r="DW1410" t="s">
        <v>250</v>
      </c>
      <c r="DX1410">
        <v>1</v>
      </c>
      <c r="DZ1410" t="s">
        <v>3</v>
      </c>
      <c r="EA1410" t="s">
        <v>3</v>
      </c>
      <c r="EB1410" t="s">
        <v>3</v>
      </c>
      <c r="EC1410" t="s">
        <v>3</v>
      </c>
      <c r="EE1410">
        <v>128346943</v>
      </c>
      <c r="EF1410">
        <v>202</v>
      </c>
      <c r="EG1410" t="s">
        <v>1063</v>
      </c>
      <c r="EH1410">
        <v>0</v>
      </c>
      <c r="EI1410" t="s">
        <v>3</v>
      </c>
      <c r="EJ1410">
        <v>1</v>
      </c>
      <c r="EK1410">
        <v>700010</v>
      </c>
      <c r="EL1410" t="s">
        <v>1064</v>
      </c>
      <c r="EM1410" t="s">
        <v>1063</v>
      </c>
      <c r="EO1410" t="s">
        <v>3</v>
      </c>
      <c r="EQ1410">
        <v>0</v>
      </c>
      <c r="ER1410">
        <v>1213.3899999999999</v>
      </c>
      <c r="ES1410">
        <v>1213.3899999999999</v>
      </c>
      <c r="ET1410">
        <v>0</v>
      </c>
      <c r="EU1410">
        <v>0</v>
      </c>
      <c r="EV1410">
        <v>0</v>
      </c>
      <c r="EW1410">
        <v>0</v>
      </c>
      <c r="EX1410">
        <v>0</v>
      </c>
      <c r="EY1410">
        <v>0</v>
      </c>
      <c r="EZ1410">
        <v>5</v>
      </c>
      <c r="FC1410">
        <v>1</v>
      </c>
      <c r="FD1410">
        <v>18</v>
      </c>
      <c r="FF1410">
        <v>12348</v>
      </c>
      <c r="FQ1410">
        <v>0</v>
      </c>
      <c r="FR1410">
        <f t="shared" si="1188"/>
        <v>0</v>
      </c>
      <c r="FS1410">
        <v>0</v>
      </c>
      <c r="FX1410">
        <v>0</v>
      </c>
      <c r="FY1410">
        <v>0</v>
      </c>
      <c r="GA1410" t="s">
        <v>1069</v>
      </c>
      <c r="GD1410">
        <v>0</v>
      </c>
      <c r="GF1410">
        <v>1182484338</v>
      </c>
      <c r="GG1410">
        <v>2</v>
      </c>
      <c r="GH1410">
        <v>3</v>
      </c>
      <c r="GI1410">
        <v>5</v>
      </c>
      <c r="GJ1410">
        <v>0</v>
      </c>
      <c r="GK1410">
        <f>ROUND(R1410*(S12)/100,2)</f>
        <v>0</v>
      </c>
      <c r="GL1410">
        <f t="shared" si="1189"/>
        <v>0</v>
      </c>
      <c r="GM1410">
        <f t="shared" si="1190"/>
        <v>20991.65</v>
      </c>
      <c r="GN1410">
        <f t="shared" si="1191"/>
        <v>20991.65</v>
      </c>
      <c r="GO1410">
        <f t="shared" si="1192"/>
        <v>0</v>
      </c>
      <c r="GP1410">
        <f t="shared" si="1193"/>
        <v>0</v>
      </c>
      <c r="GR1410">
        <v>1</v>
      </c>
      <c r="GS1410">
        <v>1</v>
      </c>
      <c r="GT1410">
        <v>0</v>
      </c>
      <c r="GU1410" t="s">
        <v>3</v>
      </c>
      <c r="GV1410">
        <f t="shared" si="1194"/>
        <v>0</v>
      </c>
      <c r="GW1410">
        <v>1</v>
      </c>
      <c r="GX1410">
        <f t="shared" si="1195"/>
        <v>0</v>
      </c>
      <c r="HA1410">
        <v>0</v>
      </c>
      <c r="HB1410">
        <v>0</v>
      </c>
      <c r="HC1410">
        <f t="shared" si="1196"/>
        <v>0</v>
      </c>
      <c r="HE1410" t="s">
        <v>81</v>
      </c>
      <c r="HF1410" t="s">
        <v>252</v>
      </c>
      <c r="HM1410" t="s">
        <v>3</v>
      </c>
      <c r="HN1410" t="s">
        <v>3</v>
      </c>
      <c r="HO1410" t="s">
        <v>3</v>
      </c>
      <c r="HP1410" t="s">
        <v>3</v>
      </c>
      <c r="HQ1410" t="s">
        <v>3</v>
      </c>
      <c r="IK1410">
        <v>0</v>
      </c>
    </row>
    <row r="1411" spans="1:255" x14ac:dyDescent="0.2">
      <c r="A1411" s="2">
        <v>17</v>
      </c>
      <c r="B1411" s="2">
        <v>1</v>
      </c>
      <c r="C1411" s="2"/>
      <c r="D1411" s="2"/>
      <c r="E1411" s="2" t="s">
        <v>196</v>
      </c>
      <c r="F1411" s="2" t="s">
        <v>248</v>
      </c>
      <c r="G1411" s="2" t="s">
        <v>1070</v>
      </c>
      <c r="H1411" s="2" t="s">
        <v>250</v>
      </c>
      <c r="I1411" s="2">
        <v>1</v>
      </c>
      <c r="J1411" s="2">
        <v>0</v>
      </c>
      <c r="K1411" s="2">
        <v>1</v>
      </c>
      <c r="L1411" s="2"/>
      <c r="M1411" s="2"/>
      <c r="N1411" s="2"/>
      <c r="O1411" s="2">
        <f t="shared" si="1173"/>
        <v>0</v>
      </c>
      <c r="P1411" s="2">
        <f t="shared" si="1213"/>
        <v>0</v>
      </c>
      <c r="Q1411" s="2">
        <f t="shared" si="1204"/>
        <v>0</v>
      </c>
      <c r="R1411" s="2">
        <f t="shared" si="1205"/>
        <v>0</v>
      </c>
      <c r="S1411" s="2">
        <f t="shared" si="1206"/>
        <v>0</v>
      </c>
      <c r="T1411" s="2">
        <f t="shared" si="1174"/>
        <v>0</v>
      </c>
      <c r="U1411" s="2">
        <f t="shared" si="1175"/>
        <v>0</v>
      </c>
      <c r="V1411" s="2">
        <f t="shared" si="1176"/>
        <v>0</v>
      </c>
      <c r="W1411" s="2">
        <f t="shared" si="1177"/>
        <v>0</v>
      </c>
      <c r="X1411" s="2">
        <f t="shared" si="1178"/>
        <v>0</v>
      </c>
      <c r="Y1411" s="2">
        <f t="shared" si="1179"/>
        <v>0</v>
      </c>
      <c r="Z1411" s="2"/>
      <c r="AA1411" s="2">
        <v>129761636</v>
      </c>
      <c r="AB1411" s="2">
        <f t="shared" si="1180"/>
        <v>0</v>
      </c>
      <c r="AC1411" s="2">
        <f t="shared" si="1197"/>
        <v>0</v>
      </c>
      <c r="AD1411" s="2">
        <f t="shared" si="1207"/>
        <v>0</v>
      </c>
      <c r="AE1411" s="2">
        <f t="shared" si="1198"/>
        <v>0</v>
      </c>
      <c r="AF1411" s="2">
        <f t="shared" si="1199"/>
        <v>0</v>
      </c>
      <c r="AG1411" s="2">
        <f t="shared" si="1182"/>
        <v>0</v>
      </c>
      <c r="AH1411" s="2">
        <f t="shared" si="1183"/>
        <v>0</v>
      </c>
      <c r="AI1411" s="2">
        <f t="shared" si="1184"/>
        <v>0</v>
      </c>
      <c r="AJ1411" s="2">
        <f t="shared" si="1185"/>
        <v>0</v>
      </c>
      <c r="AK1411" s="2">
        <v>0</v>
      </c>
      <c r="AL1411" s="2">
        <v>0</v>
      </c>
      <c r="AM1411" s="2">
        <v>0</v>
      </c>
      <c r="AN1411" s="2">
        <v>0</v>
      </c>
      <c r="AO1411" s="2">
        <v>0</v>
      </c>
      <c r="AP1411" s="2">
        <v>0</v>
      </c>
      <c r="AQ1411" s="2">
        <v>0</v>
      </c>
      <c r="AR1411" s="2">
        <v>0</v>
      </c>
      <c r="AS1411" s="2">
        <v>0</v>
      </c>
      <c r="AT1411" s="2">
        <v>0</v>
      </c>
      <c r="AU1411" s="2">
        <v>0</v>
      </c>
      <c r="AV1411" s="2">
        <v>1</v>
      </c>
      <c r="AW1411" s="2">
        <v>1</v>
      </c>
      <c r="AX1411" s="2"/>
      <c r="AY1411" s="2"/>
      <c r="AZ1411" s="2">
        <v>1</v>
      </c>
      <c r="BA1411" s="2">
        <v>1</v>
      </c>
      <c r="BB1411" s="2">
        <v>1</v>
      </c>
      <c r="BC1411" s="2">
        <v>1</v>
      </c>
      <c r="BD1411" s="2" t="s">
        <v>3</v>
      </c>
      <c r="BE1411" s="2" t="s">
        <v>3</v>
      </c>
      <c r="BF1411" s="2" t="s">
        <v>3</v>
      </c>
      <c r="BG1411" s="2" t="s">
        <v>3</v>
      </c>
      <c r="BH1411" s="2">
        <v>3</v>
      </c>
      <c r="BI1411" s="2">
        <v>1</v>
      </c>
      <c r="BJ1411" s="2" t="s">
        <v>3</v>
      </c>
      <c r="BK1411" s="2"/>
      <c r="BL1411" s="2"/>
      <c r="BM1411" s="2">
        <v>700010</v>
      </c>
      <c r="BN1411" s="2">
        <v>0</v>
      </c>
      <c r="BO1411" s="2" t="s">
        <v>3</v>
      </c>
      <c r="BP1411" s="2">
        <v>0</v>
      </c>
      <c r="BQ1411" s="2">
        <v>202</v>
      </c>
      <c r="BR1411" s="2">
        <v>0</v>
      </c>
      <c r="BS1411" s="2">
        <v>1</v>
      </c>
      <c r="BT1411" s="2">
        <v>1</v>
      </c>
      <c r="BU1411" s="2">
        <v>1</v>
      </c>
      <c r="BV1411" s="2">
        <v>1</v>
      </c>
      <c r="BW1411" s="2">
        <v>1</v>
      </c>
      <c r="BX1411" s="2">
        <v>1</v>
      </c>
      <c r="BY1411" s="2" t="s">
        <v>3</v>
      </c>
      <c r="BZ1411" s="2">
        <v>0</v>
      </c>
      <c r="CA1411" s="2">
        <v>0</v>
      </c>
      <c r="CB1411" s="2" t="s">
        <v>3</v>
      </c>
      <c r="CC1411" s="2"/>
      <c r="CD1411" s="2"/>
      <c r="CE1411" s="2">
        <v>30</v>
      </c>
      <c r="CF1411" s="2">
        <v>0</v>
      </c>
      <c r="CG1411" s="2">
        <v>0</v>
      </c>
      <c r="CH1411" s="2"/>
      <c r="CI1411" s="2"/>
      <c r="CJ1411" s="2"/>
      <c r="CK1411" s="2"/>
      <c r="CL1411" s="2"/>
      <c r="CM1411" s="2">
        <v>0</v>
      </c>
      <c r="CN1411" s="2" t="s">
        <v>3</v>
      </c>
      <c r="CO1411" s="2">
        <v>0</v>
      </c>
      <c r="CP1411" s="2">
        <f t="shared" si="1186"/>
        <v>0</v>
      </c>
      <c r="CQ1411" s="2">
        <f t="shared" si="1214"/>
        <v>0</v>
      </c>
      <c r="CR1411" s="2">
        <f t="shared" si="1209"/>
        <v>0</v>
      </c>
      <c r="CS1411" s="2">
        <f t="shared" si="1210"/>
        <v>0</v>
      </c>
      <c r="CT1411" s="2">
        <f t="shared" si="1211"/>
        <v>0</v>
      </c>
      <c r="CU1411" s="2">
        <f t="shared" si="1200"/>
        <v>0</v>
      </c>
      <c r="CV1411" s="2">
        <f t="shared" si="1212"/>
        <v>0</v>
      </c>
      <c r="CW1411" s="2">
        <f t="shared" si="1201"/>
        <v>0</v>
      </c>
      <c r="CX1411" s="2">
        <f t="shared" si="1202"/>
        <v>0</v>
      </c>
      <c r="CY1411" s="2">
        <f>((S1411*BZ1411)/100)</f>
        <v>0</v>
      </c>
      <c r="CZ1411" s="2">
        <f>((S1411*CA1411)/100)</f>
        <v>0</v>
      </c>
      <c r="DA1411" s="2"/>
      <c r="DB1411" s="2"/>
      <c r="DC1411" s="2" t="s">
        <v>3</v>
      </c>
      <c r="DD1411" s="2" t="s">
        <v>3</v>
      </c>
      <c r="DE1411" s="2" t="s">
        <v>3</v>
      </c>
      <c r="DF1411" s="2" t="s">
        <v>3</v>
      </c>
      <c r="DG1411" s="2" t="s">
        <v>3</v>
      </c>
      <c r="DH1411" s="2" t="s">
        <v>3</v>
      </c>
      <c r="DI1411" s="2" t="s">
        <v>3</v>
      </c>
      <c r="DJ1411" s="2" t="s">
        <v>3</v>
      </c>
      <c r="DK1411" s="2" t="s">
        <v>3</v>
      </c>
      <c r="DL1411" s="2" t="s">
        <v>3</v>
      </c>
      <c r="DM1411" s="2" t="s">
        <v>3</v>
      </c>
      <c r="DN1411" s="2">
        <v>0</v>
      </c>
      <c r="DO1411" s="2">
        <v>0</v>
      </c>
      <c r="DP1411" s="2">
        <v>1</v>
      </c>
      <c r="DQ1411" s="2">
        <v>1</v>
      </c>
      <c r="DR1411" s="2"/>
      <c r="DS1411" s="2"/>
      <c r="DT1411" s="2"/>
      <c r="DU1411" s="2">
        <v>1010</v>
      </c>
      <c r="DV1411" s="2" t="s">
        <v>250</v>
      </c>
      <c r="DW1411" s="2" t="s">
        <v>250</v>
      </c>
      <c r="DX1411" s="2">
        <v>1</v>
      </c>
      <c r="DY1411" s="2"/>
      <c r="DZ1411" s="2" t="s">
        <v>3</v>
      </c>
      <c r="EA1411" s="2" t="s">
        <v>3</v>
      </c>
      <c r="EB1411" s="2" t="s">
        <v>3</v>
      </c>
      <c r="EC1411" s="2" t="s">
        <v>3</v>
      </c>
      <c r="ED1411" s="2"/>
      <c r="EE1411" s="2">
        <v>128346943</v>
      </c>
      <c r="EF1411" s="2">
        <v>202</v>
      </c>
      <c r="EG1411" s="2" t="s">
        <v>1063</v>
      </c>
      <c r="EH1411" s="2">
        <v>0</v>
      </c>
      <c r="EI1411" s="2" t="s">
        <v>3</v>
      </c>
      <c r="EJ1411" s="2">
        <v>1</v>
      </c>
      <c r="EK1411" s="2">
        <v>700010</v>
      </c>
      <c r="EL1411" s="2" t="s">
        <v>1064</v>
      </c>
      <c r="EM1411" s="2" t="s">
        <v>1063</v>
      </c>
      <c r="EN1411" s="2"/>
      <c r="EO1411" s="2" t="s">
        <v>3</v>
      </c>
      <c r="EP1411" s="2"/>
      <c r="EQ1411" s="2">
        <v>0</v>
      </c>
      <c r="ER1411" s="2">
        <v>0</v>
      </c>
      <c r="ES1411" s="2">
        <v>0</v>
      </c>
      <c r="ET1411" s="2">
        <v>0</v>
      </c>
      <c r="EU1411" s="2">
        <v>0</v>
      </c>
      <c r="EV1411" s="2">
        <v>0</v>
      </c>
      <c r="EW1411" s="2">
        <v>0</v>
      </c>
      <c r="EX1411" s="2">
        <v>0</v>
      </c>
      <c r="EY1411" s="2">
        <v>0</v>
      </c>
      <c r="EZ1411" s="2"/>
      <c r="FA1411" s="2"/>
      <c r="FB1411" s="2"/>
      <c r="FC1411" s="2"/>
      <c r="FD1411" s="2"/>
      <c r="FE1411" s="2"/>
      <c r="FF1411" s="2"/>
      <c r="FG1411" s="2"/>
      <c r="FH1411" s="2"/>
      <c r="FI1411" s="2"/>
      <c r="FJ1411" s="2"/>
      <c r="FK1411" s="2"/>
      <c r="FL1411" s="2"/>
      <c r="FM1411" s="2"/>
      <c r="FN1411" s="2"/>
      <c r="FO1411" s="2"/>
      <c r="FP1411" s="2"/>
      <c r="FQ1411" s="2">
        <v>0</v>
      </c>
      <c r="FR1411" s="2">
        <f t="shared" si="1188"/>
        <v>0</v>
      </c>
      <c r="FS1411" s="2">
        <v>0</v>
      </c>
      <c r="FT1411" s="2"/>
      <c r="FU1411" s="2"/>
      <c r="FV1411" s="2"/>
      <c r="FW1411" s="2"/>
      <c r="FX1411" s="2">
        <v>0</v>
      </c>
      <c r="FY1411" s="2">
        <v>0</v>
      </c>
      <c r="FZ1411" s="2"/>
      <c r="GA1411" s="2" t="s">
        <v>259</v>
      </c>
      <c r="GB1411" s="2"/>
      <c r="GC1411" s="2"/>
      <c r="GD1411" s="2">
        <v>0</v>
      </c>
      <c r="GE1411" s="2"/>
      <c r="GF1411" s="2">
        <v>-901027117</v>
      </c>
      <c r="GG1411" s="2">
        <v>2</v>
      </c>
      <c r="GH1411" s="2">
        <v>2</v>
      </c>
      <c r="GI1411" s="2">
        <v>0</v>
      </c>
      <c r="GJ1411" s="2">
        <v>0</v>
      </c>
      <c r="GK1411" s="2">
        <f>ROUND(R1411*(R12)/100,2)</f>
        <v>0</v>
      </c>
      <c r="GL1411" s="2">
        <f t="shared" si="1189"/>
        <v>0</v>
      </c>
      <c r="GM1411" s="2">
        <f t="shared" si="1190"/>
        <v>0</v>
      </c>
      <c r="GN1411" s="2">
        <f t="shared" si="1191"/>
        <v>0</v>
      </c>
      <c r="GO1411" s="2">
        <f t="shared" si="1192"/>
        <v>0</v>
      </c>
      <c r="GP1411" s="2">
        <f t="shared" si="1193"/>
        <v>0</v>
      </c>
      <c r="GQ1411" s="2"/>
      <c r="GR1411" s="2">
        <v>0</v>
      </c>
      <c r="GS1411" s="2">
        <v>4</v>
      </c>
      <c r="GT1411" s="2">
        <v>0</v>
      </c>
      <c r="GU1411" s="2" t="s">
        <v>3</v>
      </c>
      <c r="GV1411" s="2">
        <f t="shared" si="1194"/>
        <v>0</v>
      </c>
      <c r="GW1411" s="2">
        <v>1</v>
      </c>
      <c r="GX1411" s="2">
        <f t="shared" si="1195"/>
        <v>0</v>
      </c>
      <c r="GY1411" s="2"/>
      <c r="GZ1411" s="2"/>
      <c r="HA1411" s="2">
        <v>0</v>
      </c>
      <c r="HB1411" s="2">
        <v>0</v>
      </c>
      <c r="HC1411" s="2">
        <f t="shared" si="1196"/>
        <v>0</v>
      </c>
      <c r="HD1411" s="2"/>
      <c r="HE1411" s="2" t="s">
        <v>3</v>
      </c>
      <c r="HF1411" s="2" t="s">
        <v>3</v>
      </c>
      <c r="HG1411" s="2"/>
      <c r="HH1411" s="2"/>
      <c r="HI1411" s="2"/>
      <c r="HJ1411" s="2"/>
      <c r="HK1411" s="2"/>
      <c r="HL1411" s="2"/>
      <c r="HM1411" s="2" t="s">
        <v>3</v>
      </c>
      <c r="HN1411" s="2" t="s">
        <v>3</v>
      </c>
      <c r="HO1411" s="2" t="s">
        <v>3</v>
      </c>
      <c r="HP1411" s="2" t="s">
        <v>3</v>
      </c>
      <c r="HQ1411" s="2" t="s">
        <v>3</v>
      </c>
      <c r="HR1411" s="2"/>
      <c r="HS1411" s="2"/>
      <c r="HT1411" s="2"/>
      <c r="HU1411" s="2"/>
      <c r="HV1411" s="2"/>
      <c r="HW1411" s="2"/>
      <c r="HX1411" s="2"/>
      <c r="HY1411" s="2"/>
      <c r="HZ1411" s="2"/>
      <c r="IA1411" s="2"/>
      <c r="IB1411" s="2"/>
      <c r="IC1411" s="2"/>
      <c r="ID1411" s="2"/>
      <c r="IE1411" s="2"/>
      <c r="IF1411" s="2"/>
      <c r="IG1411" s="2"/>
      <c r="IH1411" s="2"/>
      <c r="II1411" s="2"/>
      <c r="IJ1411" s="2"/>
      <c r="IK1411" s="2">
        <v>0</v>
      </c>
      <c r="IL1411" s="2"/>
      <c r="IM1411" s="2"/>
      <c r="IN1411" s="2"/>
      <c r="IO1411" s="2"/>
      <c r="IP1411" s="2"/>
      <c r="IQ1411" s="2"/>
      <c r="IR1411" s="2"/>
      <c r="IS1411" s="2"/>
      <c r="IT1411" s="2"/>
      <c r="IU1411" s="2"/>
    </row>
    <row r="1412" spans="1:255" x14ac:dyDescent="0.2">
      <c r="A1412">
        <v>17</v>
      </c>
      <c r="B1412">
        <v>1</v>
      </c>
      <c r="E1412" t="s">
        <v>196</v>
      </c>
      <c r="F1412" t="s">
        <v>248</v>
      </c>
      <c r="G1412" t="s">
        <v>1070</v>
      </c>
      <c r="H1412" t="s">
        <v>250</v>
      </c>
      <c r="I1412">
        <v>1</v>
      </c>
      <c r="J1412">
        <v>0</v>
      </c>
      <c r="K1412">
        <v>1</v>
      </c>
      <c r="O1412">
        <f t="shared" si="1173"/>
        <v>3070.23</v>
      </c>
      <c r="P1412">
        <f t="shared" si="1213"/>
        <v>3070.23</v>
      </c>
      <c r="Q1412">
        <f t="shared" si="1204"/>
        <v>0</v>
      </c>
      <c r="R1412">
        <f t="shared" si="1205"/>
        <v>0</v>
      </c>
      <c r="S1412">
        <f t="shared" si="1206"/>
        <v>0</v>
      </c>
      <c r="T1412">
        <f t="shared" si="1174"/>
        <v>0</v>
      </c>
      <c r="U1412">
        <f t="shared" si="1175"/>
        <v>0</v>
      </c>
      <c r="V1412">
        <f t="shared" si="1176"/>
        <v>0</v>
      </c>
      <c r="W1412">
        <f t="shared" si="1177"/>
        <v>0</v>
      </c>
      <c r="X1412">
        <f t="shared" si="1178"/>
        <v>0</v>
      </c>
      <c r="Y1412">
        <f t="shared" si="1179"/>
        <v>0</v>
      </c>
      <c r="AA1412">
        <v>129761633</v>
      </c>
      <c r="AB1412">
        <f t="shared" si="1180"/>
        <v>354.94</v>
      </c>
      <c r="AC1412">
        <f t="shared" si="1197"/>
        <v>354.94</v>
      </c>
      <c r="AD1412">
        <f t="shared" si="1207"/>
        <v>0</v>
      </c>
      <c r="AE1412">
        <f t="shared" si="1198"/>
        <v>0</v>
      </c>
      <c r="AF1412">
        <f t="shared" si="1199"/>
        <v>0</v>
      </c>
      <c r="AG1412">
        <f t="shared" si="1182"/>
        <v>0</v>
      </c>
      <c r="AH1412">
        <f t="shared" si="1183"/>
        <v>0</v>
      </c>
      <c r="AI1412">
        <f t="shared" si="1184"/>
        <v>0</v>
      </c>
      <c r="AJ1412">
        <f t="shared" si="1185"/>
        <v>0</v>
      </c>
      <c r="AK1412">
        <v>354.94</v>
      </c>
      <c r="AL1412">
        <v>354.94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1</v>
      </c>
      <c r="AW1412">
        <v>1</v>
      </c>
      <c r="AZ1412">
        <v>1</v>
      </c>
      <c r="BA1412">
        <v>1</v>
      </c>
      <c r="BB1412">
        <v>1</v>
      </c>
      <c r="BC1412">
        <v>8.65</v>
      </c>
      <c r="BD1412" t="s">
        <v>3</v>
      </c>
      <c r="BE1412" t="s">
        <v>3</v>
      </c>
      <c r="BF1412" t="s">
        <v>3</v>
      </c>
      <c r="BG1412" t="s">
        <v>3</v>
      </c>
      <c r="BH1412">
        <v>3</v>
      </c>
      <c r="BI1412">
        <v>1</v>
      </c>
      <c r="BJ1412" t="s">
        <v>3</v>
      </c>
      <c r="BM1412">
        <v>700010</v>
      </c>
      <c r="BN1412">
        <v>0</v>
      </c>
      <c r="BO1412" t="s">
        <v>3</v>
      </c>
      <c r="BP1412">
        <v>0</v>
      </c>
      <c r="BQ1412">
        <v>202</v>
      </c>
      <c r="BR1412">
        <v>0</v>
      </c>
      <c r="BS1412">
        <v>1</v>
      </c>
      <c r="BT1412">
        <v>1</v>
      </c>
      <c r="BU1412">
        <v>1</v>
      </c>
      <c r="BV1412">
        <v>1</v>
      </c>
      <c r="BW1412">
        <v>1</v>
      </c>
      <c r="BX1412">
        <v>1</v>
      </c>
      <c r="BY1412" t="s">
        <v>3</v>
      </c>
      <c r="BZ1412">
        <v>0</v>
      </c>
      <c r="CA1412">
        <v>0</v>
      </c>
      <c r="CB1412" t="s">
        <v>3</v>
      </c>
      <c r="CE1412">
        <v>30</v>
      </c>
      <c r="CF1412">
        <v>0</v>
      </c>
      <c r="CG1412">
        <v>0</v>
      </c>
      <c r="CM1412">
        <v>0</v>
      </c>
      <c r="CN1412" t="s">
        <v>3</v>
      </c>
      <c r="CO1412">
        <v>0</v>
      </c>
      <c r="CP1412">
        <f t="shared" si="1186"/>
        <v>3070.23</v>
      </c>
      <c r="CQ1412">
        <f t="shared" si="1214"/>
        <v>3070.23</v>
      </c>
      <c r="CR1412">
        <f t="shared" si="1209"/>
        <v>0</v>
      </c>
      <c r="CS1412">
        <f t="shared" si="1210"/>
        <v>0</v>
      </c>
      <c r="CT1412">
        <f t="shared" si="1211"/>
        <v>0</v>
      </c>
      <c r="CU1412">
        <f t="shared" si="1200"/>
        <v>0</v>
      </c>
      <c r="CV1412">
        <f t="shared" si="1212"/>
        <v>0</v>
      </c>
      <c r="CW1412">
        <f t="shared" si="1201"/>
        <v>0</v>
      </c>
      <c r="CX1412">
        <f t="shared" si="1202"/>
        <v>0</v>
      </c>
      <c r="CY1412">
        <f>S1412*(BZ1412/100)</f>
        <v>0</v>
      </c>
      <c r="CZ1412">
        <f>S1412*(CA1412/100)</f>
        <v>0</v>
      </c>
      <c r="DC1412" t="s">
        <v>3</v>
      </c>
      <c r="DD1412" t="s">
        <v>3</v>
      </c>
      <c r="DE1412" t="s">
        <v>3</v>
      </c>
      <c r="DF1412" t="s">
        <v>3</v>
      </c>
      <c r="DG1412" t="s">
        <v>3</v>
      </c>
      <c r="DH1412" t="s">
        <v>3</v>
      </c>
      <c r="DI1412" t="s">
        <v>3</v>
      </c>
      <c r="DJ1412" t="s">
        <v>3</v>
      </c>
      <c r="DK1412" t="s">
        <v>3</v>
      </c>
      <c r="DL1412" t="s">
        <v>3</v>
      </c>
      <c r="DM1412" t="s">
        <v>3</v>
      </c>
      <c r="DN1412">
        <v>0</v>
      </c>
      <c r="DO1412">
        <v>0</v>
      </c>
      <c r="DP1412">
        <v>1</v>
      </c>
      <c r="DQ1412">
        <v>1</v>
      </c>
      <c r="DU1412">
        <v>1010</v>
      </c>
      <c r="DV1412" t="s">
        <v>250</v>
      </c>
      <c r="DW1412" t="s">
        <v>250</v>
      </c>
      <c r="DX1412">
        <v>1</v>
      </c>
      <c r="DZ1412" t="s">
        <v>3</v>
      </c>
      <c r="EA1412" t="s">
        <v>3</v>
      </c>
      <c r="EB1412" t="s">
        <v>3</v>
      </c>
      <c r="EC1412" t="s">
        <v>3</v>
      </c>
      <c r="EE1412">
        <v>128346943</v>
      </c>
      <c r="EF1412">
        <v>202</v>
      </c>
      <c r="EG1412" t="s">
        <v>1063</v>
      </c>
      <c r="EH1412">
        <v>0</v>
      </c>
      <c r="EI1412" t="s">
        <v>3</v>
      </c>
      <c r="EJ1412">
        <v>1</v>
      </c>
      <c r="EK1412">
        <v>700010</v>
      </c>
      <c r="EL1412" t="s">
        <v>1064</v>
      </c>
      <c r="EM1412" t="s">
        <v>1063</v>
      </c>
      <c r="EO1412" t="s">
        <v>3</v>
      </c>
      <c r="EQ1412">
        <v>0</v>
      </c>
      <c r="ER1412">
        <v>354.94</v>
      </c>
      <c r="ES1412">
        <v>354.94</v>
      </c>
      <c r="ET1412">
        <v>0</v>
      </c>
      <c r="EU1412">
        <v>0</v>
      </c>
      <c r="EV1412">
        <v>0</v>
      </c>
      <c r="EW1412">
        <v>0</v>
      </c>
      <c r="EX1412">
        <v>0</v>
      </c>
      <c r="EY1412">
        <v>0</v>
      </c>
      <c r="EZ1412">
        <v>5</v>
      </c>
      <c r="FC1412">
        <v>1</v>
      </c>
      <c r="FD1412">
        <v>18</v>
      </c>
      <c r="FF1412">
        <v>3612</v>
      </c>
      <c r="FQ1412">
        <v>0</v>
      </c>
      <c r="FR1412">
        <f t="shared" si="1188"/>
        <v>0</v>
      </c>
      <c r="FS1412">
        <v>0</v>
      </c>
      <c r="FX1412">
        <v>0</v>
      </c>
      <c r="FY1412">
        <v>0</v>
      </c>
      <c r="GA1412" t="s">
        <v>1071</v>
      </c>
      <c r="GD1412">
        <v>0</v>
      </c>
      <c r="GF1412">
        <v>-901027117</v>
      </c>
      <c r="GG1412">
        <v>2</v>
      </c>
      <c r="GH1412">
        <v>3</v>
      </c>
      <c r="GI1412">
        <v>5</v>
      </c>
      <c r="GJ1412">
        <v>0</v>
      </c>
      <c r="GK1412">
        <f>ROUND(R1412*(S12)/100,2)</f>
        <v>0</v>
      </c>
      <c r="GL1412">
        <f t="shared" si="1189"/>
        <v>0</v>
      </c>
      <c r="GM1412">
        <f t="shared" si="1190"/>
        <v>3070.23</v>
      </c>
      <c r="GN1412">
        <f t="shared" si="1191"/>
        <v>3070.23</v>
      </c>
      <c r="GO1412">
        <f t="shared" si="1192"/>
        <v>0</v>
      </c>
      <c r="GP1412">
        <f t="shared" si="1193"/>
        <v>0</v>
      </c>
      <c r="GR1412">
        <v>1</v>
      </c>
      <c r="GS1412">
        <v>1</v>
      </c>
      <c r="GT1412">
        <v>0</v>
      </c>
      <c r="GU1412" t="s">
        <v>3</v>
      </c>
      <c r="GV1412">
        <f t="shared" si="1194"/>
        <v>0</v>
      </c>
      <c r="GW1412">
        <v>1</v>
      </c>
      <c r="GX1412">
        <f t="shared" si="1195"/>
        <v>0</v>
      </c>
      <c r="HA1412">
        <v>0</v>
      </c>
      <c r="HB1412">
        <v>0</v>
      </c>
      <c r="HC1412">
        <f t="shared" si="1196"/>
        <v>0</v>
      </c>
      <c r="HE1412" t="s">
        <v>81</v>
      </c>
      <c r="HF1412" t="s">
        <v>252</v>
      </c>
      <c r="HM1412" t="s">
        <v>3</v>
      </c>
      <c r="HN1412" t="s">
        <v>3</v>
      </c>
      <c r="HO1412" t="s">
        <v>3</v>
      </c>
      <c r="HP1412" t="s">
        <v>3</v>
      </c>
      <c r="HQ1412" t="s">
        <v>3</v>
      </c>
      <c r="IK1412">
        <v>0</v>
      </c>
    </row>
    <row r="1413" spans="1:255" x14ac:dyDescent="0.2">
      <c r="A1413" s="2">
        <v>17</v>
      </c>
      <c r="B1413" s="2">
        <v>1</v>
      </c>
      <c r="C1413" s="2"/>
      <c r="D1413" s="2"/>
      <c r="E1413" s="2" t="s">
        <v>202</v>
      </c>
      <c r="F1413" s="2" t="s">
        <v>248</v>
      </c>
      <c r="G1413" s="2" t="s">
        <v>1072</v>
      </c>
      <c r="H1413" s="2" t="s">
        <v>250</v>
      </c>
      <c r="I1413" s="2">
        <v>1</v>
      </c>
      <c r="J1413" s="2">
        <v>0</v>
      </c>
      <c r="K1413" s="2">
        <v>1</v>
      </c>
      <c r="L1413" s="2"/>
      <c r="M1413" s="2"/>
      <c r="N1413" s="2"/>
      <c r="O1413" s="2">
        <f t="shared" si="1173"/>
        <v>0</v>
      </c>
      <c r="P1413" s="2">
        <f t="shared" si="1213"/>
        <v>0</v>
      </c>
      <c r="Q1413" s="2">
        <f t="shared" si="1204"/>
        <v>0</v>
      </c>
      <c r="R1413" s="2">
        <f t="shared" si="1205"/>
        <v>0</v>
      </c>
      <c r="S1413" s="2">
        <f t="shared" si="1206"/>
        <v>0</v>
      </c>
      <c r="T1413" s="2">
        <f t="shared" si="1174"/>
        <v>0</v>
      </c>
      <c r="U1413" s="2">
        <f t="shared" si="1175"/>
        <v>0</v>
      </c>
      <c r="V1413" s="2">
        <f t="shared" si="1176"/>
        <v>0</v>
      </c>
      <c r="W1413" s="2">
        <f t="shared" si="1177"/>
        <v>0</v>
      </c>
      <c r="X1413" s="2">
        <f t="shared" si="1178"/>
        <v>0</v>
      </c>
      <c r="Y1413" s="2">
        <f t="shared" si="1179"/>
        <v>0</v>
      </c>
      <c r="Z1413" s="2"/>
      <c r="AA1413" s="2">
        <v>129761636</v>
      </c>
      <c r="AB1413" s="2">
        <f t="shared" si="1180"/>
        <v>0</v>
      </c>
      <c r="AC1413" s="2">
        <f t="shared" si="1197"/>
        <v>0</v>
      </c>
      <c r="AD1413" s="2">
        <f t="shared" si="1207"/>
        <v>0</v>
      </c>
      <c r="AE1413" s="2">
        <f t="shared" si="1198"/>
        <v>0</v>
      </c>
      <c r="AF1413" s="2">
        <f t="shared" si="1199"/>
        <v>0</v>
      </c>
      <c r="AG1413" s="2">
        <f t="shared" si="1182"/>
        <v>0</v>
      </c>
      <c r="AH1413" s="2">
        <f t="shared" si="1183"/>
        <v>0</v>
      </c>
      <c r="AI1413" s="2">
        <f t="shared" si="1184"/>
        <v>0</v>
      </c>
      <c r="AJ1413" s="2">
        <f t="shared" si="1185"/>
        <v>0</v>
      </c>
      <c r="AK1413" s="2">
        <v>0</v>
      </c>
      <c r="AL1413" s="2">
        <v>0</v>
      </c>
      <c r="AM1413" s="2">
        <v>0</v>
      </c>
      <c r="AN1413" s="2">
        <v>0</v>
      </c>
      <c r="AO1413" s="2">
        <v>0</v>
      </c>
      <c r="AP1413" s="2">
        <v>0</v>
      </c>
      <c r="AQ1413" s="2">
        <v>0</v>
      </c>
      <c r="AR1413" s="2">
        <v>0</v>
      </c>
      <c r="AS1413" s="2">
        <v>0</v>
      </c>
      <c r="AT1413" s="2">
        <v>0</v>
      </c>
      <c r="AU1413" s="2">
        <v>0</v>
      </c>
      <c r="AV1413" s="2">
        <v>1</v>
      </c>
      <c r="AW1413" s="2">
        <v>1</v>
      </c>
      <c r="AX1413" s="2"/>
      <c r="AY1413" s="2"/>
      <c r="AZ1413" s="2">
        <v>1</v>
      </c>
      <c r="BA1413" s="2">
        <v>1</v>
      </c>
      <c r="BB1413" s="2">
        <v>1</v>
      </c>
      <c r="BC1413" s="2">
        <v>1</v>
      </c>
      <c r="BD1413" s="2" t="s">
        <v>3</v>
      </c>
      <c r="BE1413" s="2" t="s">
        <v>3</v>
      </c>
      <c r="BF1413" s="2" t="s">
        <v>3</v>
      </c>
      <c r="BG1413" s="2" t="s">
        <v>3</v>
      </c>
      <c r="BH1413" s="2">
        <v>3</v>
      </c>
      <c r="BI1413" s="2">
        <v>1</v>
      </c>
      <c r="BJ1413" s="2" t="s">
        <v>3</v>
      </c>
      <c r="BK1413" s="2"/>
      <c r="BL1413" s="2"/>
      <c r="BM1413" s="2">
        <v>700010</v>
      </c>
      <c r="BN1413" s="2">
        <v>0</v>
      </c>
      <c r="BO1413" s="2" t="s">
        <v>3</v>
      </c>
      <c r="BP1413" s="2">
        <v>0</v>
      </c>
      <c r="BQ1413" s="2">
        <v>202</v>
      </c>
      <c r="BR1413" s="2">
        <v>0</v>
      </c>
      <c r="BS1413" s="2">
        <v>1</v>
      </c>
      <c r="BT1413" s="2">
        <v>1</v>
      </c>
      <c r="BU1413" s="2">
        <v>1</v>
      </c>
      <c r="BV1413" s="2">
        <v>1</v>
      </c>
      <c r="BW1413" s="2">
        <v>1</v>
      </c>
      <c r="BX1413" s="2">
        <v>1</v>
      </c>
      <c r="BY1413" s="2" t="s">
        <v>3</v>
      </c>
      <c r="BZ1413" s="2">
        <v>0</v>
      </c>
      <c r="CA1413" s="2">
        <v>0</v>
      </c>
      <c r="CB1413" s="2" t="s">
        <v>3</v>
      </c>
      <c r="CC1413" s="2"/>
      <c r="CD1413" s="2"/>
      <c r="CE1413" s="2">
        <v>30</v>
      </c>
      <c r="CF1413" s="2">
        <v>0</v>
      </c>
      <c r="CG1413" s="2">
        <v>0</v>
      </c>
      <c r="CH1413" s="2"/>
      <c r="CI1413" s="2"/>
      <c r="CJ1413" s="2"/>
      <c r="CK1413" s="2"/>
      <c r="CL1413" s="2"/>
      <c r="CM1413" s="2">
        <v>0</v>
      </c>
      <c r="CN1413" s="2" t="s">
        <v>3</v>
      </c>
      <c r="CO1413" s="2">
        <v>0</v>
      </c>
      <c r="CP1413" s="2">
        <f t="shared" si="1186"/>
        <v>0</v>
      </c>
      <c r="CQ1413" s="2">
        <f t="shared" si="1214"/>
        <v>0</v>
      </c>
      <c r="CR1413" s="2">
        <f t="shared" si="1209"/>
        <v>0</v>
      </c>
      <c r="CS1413" s="2">
        <f t="shared" si="1210"/>
        <v>0</v>
      </c>
      <c r="CT1413" s="2">
        <f t="shared" si="1211"/>
        <v>0</v>
      </c>
      <c r="CU1413" s="2">
        <f t="shared" si="1200"/>
        <v>0</v>
      </c>
      <c r="CV1413" s="2">
        <f t="shared" si="1212"/>
        <v>0</v>
      </c>
      <c r="CW1413" s="2">
        <f t="shared" si="1201"/>
        <v>0</v>
      </c>
      <c r="CX1413" s="2">
        <f t="shared" si="1202"/>
        <v>0</v>
      </c>
      <c r="CY1413" s="2">
        <f>((S1413*BZ1413)/100)</f>
        <v>0</v>
      </c>
      <c r="CZ1413" s="2">
        <f>((S1413*CA1413)/100)</f>
        <v>0</v>
      </c>
      <c r="DA1413" s="2"/>
      <c r="DB1413" s="2"/>
      <c r="DC1413" s="2" t="s">
        <v>3</v>
      </c>
      <c r="DD1413" s="2" t="s">
        <v>3</v>
      </c>
      <c r="DE1413" s="2" t="s">
        <v>3</v>
      </c>
      <c r="DF1413" s="2" t="s">
        <v>3</v>
      </c>
      <c r="DG1413" s="2" t="s">
        <v>3</v>
      </c>
      <c r="DH1413" s="2" t="s">
        <v>3</v>
      </c>
      <c r="DI1413" s="2" t="s">
        <v>3</v>
      </c>
      <c r="DJ1413" s="2" t="s">
        <v>3</v>
      </c>
      <c r="DK1413" s="2" t="s">
        <v>3</v>
      </c>
      <c r="DL1413" s="2" t="s">
        <v>3</v>
      </c>
      <c r="DM1413" s="2" t="s">
        <v>3</v>
      </c>
      <c r="DN1413" s="2">
        <v>0</v>
      </c>
      <c r="DO1413" s="2">
        <v>0</v>
      </c>
      <c r="DP1413" s="2">
        <v>1</v>
      </c>
      <c r="DQ1413" s="2">
        <v>1</v>
      </c>
      <c r="DR1413" s="2"/>
      <c r="DS1413" s="2"/>
      <c r="DT1413" s="2"/>
      <c r="DU1413" s="2">
        <v>1010</v>
      </c>
      <c r="DV1413" s="2" t="s">
        <v>250</v>
      </c>
      <c r="DW1413" s="2" t="s">
        <v>250</v>
      </c>
      <c r="DX1413" s="2">
        <v>1</v>
      </c>
      <c r="DY1413" s="2"/>
      <c r="DZ1413" s="2" t="s">
        <v>3</v>
      </c>
      <c r="EA1413" s="2" t="s">
        <v>3</v>
      </c>
      <c r="EB1413" s="2" t="s">
        <v>3</v>
      </c>
      <c r="EC1413" s="2" t="s">
        <v>3</v>
      </c>
      <c r="ED1413" s="2"/>
      <c r="EE1413" s="2">
        <v>128346943</v>
      </c>
      <c r="EF1413" s="2">
        <v>202</v>
      </c>
      <c r="EG1413" s="2" t="s">
        <v>1063</v>
      </c>
      <c r="EH1413" s="2">
        <v>0</v>
      </c>
      <c r="EI1413" s="2" t="s">
        <v>3</v>
      </c>
      <c r="EJ1413" s="2">
        <v>1</v>
      </c>
      <c r="EK1413" s="2">
        <v>700010</v>
      </c>
      <c r="EL1413" s="2" t="s">
        <v>1064</v>
      </c>
      <c r="EM1413" s="2" t="s">
        <v>1063</v>
      </c>
      <c r="EN1413" s="2"/>
      <c r="EO1413" s="2" t="s">
        <v>3</v>
      </c>
      <c r="EP1413" s="2"/>
      <c r="EQ1413" s="2">
        <v>0</v>
      </c>
      <c r="ER1413" s="2">
        <v>0</v>
      </c>
      <c r="ES1413" s="2">
        <v>0</v>
      </c>
      <c r="ET1413" s="2">
        <v>0</v>
      </c>
      <c r="EU1413" s="2">
        <v>0</v>
      </c>
      <c r="EV1413" s="2">
        <v>0</v>
      </c>
      <c r="EW1413" s="2">
        <v>0</v>
      </c>
      <c r="EX1413" s="2">
        <v>0</v>
      </c>
      <c r="EY1413" s="2">
        <v>0</v>
      </c>
      <c r="EZ1413" s="2"/>
      <c r="FA1413" s="2"/>
      <c r="FB1413" s="2"/>
      <c r="FC1413" s="2"/>
      <c r="FD1413" s="2"/>
      <c r="FE1413" s="2"/>
      <c r="FF1413" s="2"/>
      <c r="FG1413" s="2"/>
      <c r="FH1413" s="2"/>
      <c r="FI1413" s="2"/>
      <c r="FJ1413" s="2"/>
      <c r="FK1413" s="2"/>
      <c r="FL1413" s="2"/>
      <c r="FM1413" s="2"/>
      <c r="FN1413" s="2"/>
      <c r="FO1413" s="2"/>
      <c r="FP1413" s="2"/>
      <c r="FQ1413" s="2">
        <v>0</v>
      </c>
      <c r="FR1413" s="2">
        <f t="shared" si="1188"/>
        <v>0</v>
      </c>
      <c r="FS1413" s="2">
        <v>0</v>
      </c>
      <c r="FT1413" s="2"/>
      <c r="FU1413" s="2"/>
      <c r="FV1413" s="2"/>
      <c r="FW1413" s="2"/>
      <c r="FX1413" s="2">
        <v>0</v>
      </c>
      <c r="FY1413" s="2">
        <v>0</v>
      </c>
      <c r="FZ1413" s="2"/>
      <c r="GA1413" s="2" t="s">
        <v>259</v>
      </c>
      <c r="GB1413" s="2"/>
      <c r="GC1413" s="2"/>
      <c r="GD1413" s="2">
        <v>0</v>
      </c>
      <c r="GE1413" s="2"/>
      <c r="GF1413" s="2">
        <v>1655977302</v>
      </c>
      <c r="GG1413" s="2">
        <v>2</v>
      </c>
      <c r="GH1413" s="2">
        <v>2</v>
      </c>
      <c r="GI1413" s="2">
        <v>0</v>
      </c>
      <c r="GJ1413" s="2">
        <v>0</v>
      </c>
      <c r="GK1413" s="2">
        <f>ROUND(R1413*(R12)/100,2)</f>
        <v>0</v>
      </c>
      <c r="GL1413" s="2">
        <f t="shared" si="1189"/>
        <v>0</v>
      </c>
      <c r="GM1413" s="2">
        <f t="shared" si="1190"/>
        <v>0</v>
      </c>
      <c r="GN1413" s="2">
        <f t="shared" si="1191"/>
        <v>0</v>
      </c>
      <c r="GO1413" s="2">
        <f t="shared" si="1192"/>
        <v>0</v>
      </c>
      <c r="GP1413" s="2">
        <f t="shared" si="1193"/>
        <v>0</v>
      </c>
      <c r="GQ1413" s="2"/>
      <c r="GR1413" s="2">
        <v>0</v>
      </c>
      <c r="GS1413" s="2">
        <v>4</v>
      </c>
      <c r="GT1413" s="2">
        <v>0</v>
      </c>
      <c r="GU1413" s="2" t="s">
        <v>3</v>
      </c>
      <c r="GV1413" s="2">
        <f t="shared" si="1194"/>
        <v>0</v>
      </c>
      <c r="GW1413" s="2">
        <v>1</v>
      </c>
      <c r="GX1413" s="2">
        <f t="shared" si="1195"/>
        <v>0</v>
      </c>
      <c r="GY1413" s="2"/>
      <c r="GZ1413" s="2"/>
      <c r="HA1413" s="2">
        <v>0</v>
      </c>
      <c r="HB1413" s="2">
        <v>0</v>
      </c>
      <c r="HC1413" s="2">
        <f t="shared" si="1196"/>
        <v>0</v>
      </c>
      <c r="HD1413" s="2"/>
      <c r="HE1413" s="2" t="s">
        <v>3</v>
      </c>
      <c r="HF1413" s="2" t="s">
        <v>3</v>
      </c>
      <c r="HG1413" s="2"/>
      <c r="HH1413" s="2"/>
      <c r="HI1413" s="2"/>
      <c r="HJ1413" s="2"/>
      <c r="HK1413" s="2"/>
      <c r="HL1413" s="2"/>
      <c r="HM1413" s="2" t="s">
        <v>3</v>
      </c>
      <c r="HN1413" s="2" t="s">
        <v>3</v>
      </c>
      <c r="HO1413" s="2" t="s">
        <v>3</v>
      </c>
      <c r="HP1413" s="2" t="s">
        <v>3</v>
      </c>
      <c r="HQ1413" s="2" t="s">
        <v>3</v>
      </c>
      <c r="HR1413" s="2"/>
      <c r="HS1413" s="2"/>
      <c r="HT1413" s="2"/>
      <c r="HU1413" s="2"/>
      <c r="HV1413" s="2"/>
      <c r="HW1413" s="2"/>
      <c r="HX1413" s="2"/>
      <c r="HY1413" s="2"/>
      <c r="HZ1413" s="2"/>
      <c r="IA1413" s="2"/>
      <c r="IB1413" s="2"/>
      <c r="IC1413" s="2"/>
      <c r="ID1413" s="2"/>
      <c r="IE1413" s="2"/>
      <c r="IF1413" s="2"/>
      <c r="IG1413" s="2"/>
      <c r="IH1413" s="2"/>
      <c r="II1413" s="2"/>
      <c r="IJ1413" s="2"/>
      <c r="IK1413" s="2">
        <v>0</v>
      </c>
      <c r="IL1413" s="2"/>
      <c r="IM1413" s="2"/>
      <c r="IN1413" s="2"/>
      <c r="IO1413" s="2"/>
      <c r="IP1413" s="2"/>
      <c r="IQ1413" s="2"/>
      <c r="IR1413" s="2"/>
      <c r="IS1413" s="2"/>
      <c r="IT1413" s="2"/>
      <c r="IU1413" s="2"/>
    </row>
    <row r="1414" spans="1:255" x14ac:dyDescent="0.2">
      <c r="A1414">
        <v>17</v>
      </c>
      <c r="B1414">
        <v>1</v>
      </c>
      <c r="E1414" t="s">
        <v>202</v>
      </c>
      <c r="F1414" t="s">
        <v>248</v>
      </c>
      <c r="G1414" t="s">
        <v>1072</v>
      </c>
      <c r="H1414" t="s">
        <v>250</v>
      </c>
      <c r="I1414">
        <v>1</v>
      </c>
      <c r="J1414">
        <v>0</v>
      </c>
      <c r="K1414">
        <v>1</v>
      </c>
      <c r="O1414">
        <f t="shared" si="1173"/>
        <v>5202.0200000000004</v>
      </c>
      <c r="P1414">
        <f t="shared" si="1213"/>
        <v>5202.0200000000004</v>
      </c>
      <c r="Q1414">
        <f t="shared" si="1204"/>
        <v>0</v>
      </c>
      <c r="R1414">
        <f t="shared" si="1205"/>
        <v>0</v>
      </c>
      <c r="S1414">
        <f t="shared" si="1206"/>
        <v>0</v>
      </c>
      <c r="T1414">
        <f t="shared" si="1174"/>
        <v>0</v>
      </c>
      <c r="U1414">
        <f t="shared" si="1175"/>
        <v>0</v>
      </c>
      <c r="V1414">
        <f t="shared" si="1176"/>
        <v>0</v>
      </c>
      <c r="W1414">
        <f t="shared" si="1177"/>
        <v>0</v>
      </c>
      <c r="X1414">
        <f t="shared" si="1178"/>
        <v>0</v>
      </c>
      <c r="Y1414">
        <f t="shared" si="1179"/>
        <v>0</v>
      </c>
      <c r="AA1414">
        <v>129761633</v>
      </c>
      <c r="AB1414">
        <f t="shared" si="1180"/>
        <v>601.39</v>
      </c>
      <c r="AC1414">
        <f t="shared" si="1197"/>
        <v>601.39</v>
      </c>
      <c r="AD1414">
        <f t="shared" si="1207"/>
        <v>0</v>
      </c>
      <c r="AE1414">
        <f t="shared" si="1198"/>
        <v>0</v>
      </c>
      <c r="AF1414">
        <f t="shared" si="1199"/>
        <v>0</v>
      </c>
      <c r="AG1414">
        <f t="shared" si="1182"/>
        <v>0</v>
      </c>
      <c r="AH1414">
        <f t="shared" si="1183"/>
        <v>0</v>
      </c>
      <c r="AI1414">
        <f t="shared" si="1184"/>
        <v>0</v>
      </c>
      <c r="AJ1414">
        <f t="shared" si="1185"/>
        <v>0</v>
      </c>
      <c r="AK1414">
        <v>601.39</v>
      </c>
      <c r="AL1414">
        <v>601.39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1</v>
      </c>
      <c r="AW1414">
        <v>1</v>
      </c>
      <c r="AZ1414">
        <v>1</v>
      </c>
      <c r="BA1414">
        <v>1</v>
      </c>
      <c r="BB1414">
        <v>1</v>
      </c>
      <c r="BC1414">
        <v>8.65</v>
      </c>
      <c r="BD1414" t="s">
        <v>3</v>
      </c>
      <c r="BE1414" t="s">
        <v>3</v>
      </c>
      <c r="BF1414" t="s">
        <v>3</v>
      </c>
      <c r="BG1414" t="s">
        <v>3</v>
      </c>
      <c r="BH1414">
        <v>3</v>
      </c>
      <c r="BI1414">
        <v>1</v>
      </c>
      <c r="BJ1414" t="s">
        <v>3</v>
      </c>
      <c r="BM1414">
        <v>700010</v>
      </c>
      <c r="BN1414">
        <v>0</v>
      </c>
      <c r="BO1414" t="s">
        <v>3</v>
      </c>
      <c r="BP1414">
        <v>0</v>
      </c>
      <c r="BQ1414">
        <v>202</v>
      </c>
      <c r="BR1414">
        <v>0</v>
      </c>
      <c r="BS1414">
        <v>1</v>
      </c>
      <c r="BT1414">
        <v>1</v>
      </c>
      <c r="BU1414">
        <v>1</v>
      </c>
      <c r="BV1414">
        <v>1</v>
      </c>
      <c r="BW1414">
        <v>1</v>
      </c>
      <c r="BX1414">
        <v>1</v>
      </c>
      <c r="BY1414" t="s">
        <v>3</v>
      </c>
      <c r="BZ1414">
        <v>0</v>
      </c>
      <c r="CA1414">
        <v>0</v>
      </c>
      <c r="CB1414" t="s">
        <v>3</v>
      </c>
      <c r="CE1414">
        <v>30</v>
      </c>
      <c r="CF1414">
        <v>0</v>
      </c>
      <c r="CG1414">
        <v>0</v>
      </c>
      <c r="CM1414">
        <v>0</v>
      </c>
      <c r="CN1414" t="s">
        <v>3</v>
      </c>
      <c r="CO1414">
        <v>0</v>
      </c>
      <c r="CP1414">
        <f t="shared" si="1186"/>
        <v>5202.0200000000004</v>
      </c>
      <c r="CQ1414">
        <f t="shared" si="1214"/>
        <v>5202.0200000000004</v>
      </c>
      <c r="CR1414">
        <f t="shared" si="1209"/>
        <v>0</v>
      </c>
      <c r="CS1414">
        <f t="shared" si="1210"/>
        <v>0</v>
      </c>
      <c r="CT1414">
        <f t="shared" si="1211"/>
        <v>0</v>
      </c>
      <c r="CU1414">
        <f t="shared" si="1200"/>
        <v>0</v>
      </c>
      <c r="CV1414">
        <f t="shared" si="1212"/>
        <v>0</v>
      </c>
      <c r="CW1414">
        <f t="shared" si="1201"/>
        <v>0</v>
      </c>
      <c r="CX1414">
        <f t="shared" si="1202"/>
        <v>0</v>
      </c>
      <c r="CY1414">
        <f>S1414*(BZ1414/100)</f>
        <v>0</v>
      </c>
      <c r="CZ1414">
        <f>S1414*(CA1414/100)</f>
        <v>0</v>
      </c>
      <c r="DC1414" t="s">
        <v>3</v>
      </c>
      <c r="DD1414" t="s">
        <v>3</v>
      </c>
      <c r="DE1414" t="s">
        <v>3</v>
      </c>
      <c r="DF1414" t="s">
        <v>3</v>
      </c>
      <c r="DG1414" t="s">
        <v>3</v>
      </c>
      <c r="DH1414" t="s">
        <v>3</v>
      </c>
      <c r="DI1414" t="s">
        <v>3</v>
      </c>
      <c r="DJ1414" t="s">
        <v>3</v>
      </c>
      <c r="DK1414" t="s">
        <v>3</v>
      </c>
      <c r="DL1414" t="s">
        <v>3</v>
      </c>
      <c r="DM1414" t="s">
        <v>3</v>
      </c>
      <c r="DN1414">
        <v>0</v>
      </c>
      <c r="DO1414">
        <v>0</v>
      </c>
      <c r="DP1414">
        <v>1</v>
      </c>
      <c r="DQ1414">
        <v>1</v>
      </c>
      <c r="DU1414">
        <v>1010</v>
      </c>
      <c r="DV1414" t="s">
        <v>250</v>
      </c>
      <c r="DW1414" t="s">
        <v>250</v>
      </c>
      <c r="DX1414">
        <v>1</v>
      </c>
      <c r="DZ1414" t="s">
        <v>3</v>
      </c>
      <c r="EA1414" t="s">
        <v>3</v>
      </c>
      <c r="EB1414" t="s">
        <v>3</v>
      </c>
      <c r="EC1414" t="s">
        <v>3</v>
      </c>
      <c r="EE1414">
        <v>128346943</v>
      </c>
      <c r="EF1414">
        <v>202</v>
      </c>
      <c r="EG1414" t="s">
        <v>1063</v>
      </c>
      <c r="EH1414">
        <v>0</v>
      </c>
      <c r="EI1414" t="s">
        <v>3</v>
      </c>
      <c r="EJ1414">
        <v>1</v>
      </c>
      <c r="EK1414">
        <v>700010</v>
      </c>
      <c r="EL1414" t="s">
        <v>1064</v>
      </c>
      <c r="EM1414" t="s">
        <v>1063</v>
      </c>
      <c r="EO1414" t="s">
        <v>3</v>
      </c>
      <c r="EQ1414">
        <v>0</v>
      </c>
      <c r="ER1414">
        <v>601.39</v>
      </c>
      <c r="ES1414">
        <v>601.39</v>
      </c>
      <c r="ET1414">
        <v>0</v>
      </c>
      <c r="EU1414">
        <v>0</v>
      </c>
      <c r="EV1414">
        <v>0</v>
      </c>
      <c r="EW1414">
        <v>0</v>
      </c>
      <c r="EX1414">
        <v>0</v>
      </c>
      <c r="EY1414">
        <v>0</v>
      </c>
      <c r="EZ1414">
        <v>5</v>
      </c>
      <c r="FC1414">
        <v>1</v>
      </c>
      <c r="FD1414">
        <v>18</v>
      </c>
      <c r="FF1414">
        <v>6120</v>
      </c>
      <c r="FQ1414">
        <v>0</v>
      </c>
      <c r="FR1414">
        <f t="shared" si="1188"/>
        <v>0</v>
      </c>
      <c r="FS1414">
        <v>0</v>
      </c>
      <c r="FX1414">
        <v>0</v>
      </c>
      <c r="FY1414">
        <v>0</v>
      </c>
      <c r="GA1414" t="s">
        <v>1073</v>
      </c>
      <c r="GD1414">
        <v>0</v>
      </c>
      <c r="GF1414">
        <v>1655977302</v>
      </c>
      <c r="GG1414">
        <v>2</v>
      </c>
      <c r="GH1414">
        <v>3</v>
      </c>
      <c r="GI1414">
        <v>5</v>
      </c>
      <c r="GJ1414">
        <v>0</v>
      </c>
      <c r="GK1414">
        <f>ROUND(R1414*(S12)/100,2)</f>
        <v>0</v>
      </c>
      <c r="GL1414">
        <f t="shared" si="1189"/>
        <v>0</v>
      </c>
      <c r="GM1414">
        <f t="shared" si="1190"/>
        <v>5202.0200000000004</v>
      </c>
      <c r="GN1414">
        <f t="shared" si="1191"/>
        <v>5202.0200000000004</v>
      </c>
      <c r="GO1414">
        <f t="shared" si="1192"/>
        <v>0</v>
      </c>
      <c r="GP1414">
        <f t="shared" si="1193"/>
        <v>0</v>
      </c>
      <c r="GR1414">
        <v>1</v>
      </c>
      <c r="GS1414">
        <v>1</v>
      </c>
      <c r="GT1414">
        <v>0</v>
      </c>
      <c r="GU1414" t="s">
        <v>3</v>
      </c>
      <c r="GV1414">
        <f t="shared" si="1194"/>
        <v>0</v>
      </c>
      <c r="GW1414">
        <v>1</v>
      </c>
      <c r="GX1414">
        <f t="shared" si="1195"/>
        <v>0</v>
      </c>
      <c r="HA1414">
        <v>0</v>
      </c>
      <c r="HB1414">
        <v>0</v>
      </c>
      <c r="HC1414">
        <f t="shared" si="1196"/>
        <v>0</v>
      </c>
      <c r="HE1414" t="s">
        <v>81</v>
      </c>
      <c r="HF1414" t="s">
        <v>252</v>
      </c>
      <c r="HM1414" t="s">
        <v>3</v>
      </c>
      <c r="HN1414" t="s">
        <v>3</v>
      </c>
      <c r="HO1414" t="s">
        <v>3</v>
      </c>
      <c r="HP1414" t="s">
        <v>3</v>
      </c>
      <c r="HQ1414" t="s">
        <v>3</v>
      </c>
      <c r="IK1414">
        <v>0</v>
      </c>
    </row>
    <row r="1415" spans="1:255" x14ac:dyDescent="0.2">
      <c r="A1415" s="2">
        <v>17</v>
      </c>
      <c r="B1415" s="2">
        <v>1</v>
      </c>
      <c r="C1415" s="2"/>
      <c r="D1415" s="2"/>
      <c r="E1415" s="2" t="s">
        <v>212</v>
      </c>
      <c r="F1415" s="2" t="s">
        <v>248</v>
      </c>
      <c r="G1415" s="2" t="s">
        <v>1074</v>
      </c>
      <c r="H1415" s="2" t="s">
        <v>250</v>
      </c>
      <c r="I1415" s="2">
        <v>1</v>
      </c>
      <c r="J1415" s="2">
        <v>0</v>
      </c>
      <c r="K1415" s="2">
        <v>1</v>
      </c>
      <c r="L1415" s="2"/>
      <c r="M1415" s="2"/>
      <c r="N1415" s="2"/>
      <c r="O1415" s="2">
        <f t="shared" si="1173"/>
        <v>0</v>
      </c>
      <c r="P1415" s="2">
        <f t="shared" si="1213"/>
        <v>0</v>
      </c>
      <c r="Q1415" s="2">
        <f t="shared" si="1204"/>
        <v>0</v>
      </c>
      <c r="R1415" s="2">
        <f t="shared" si="1205"/>
        <v>0</v>
      </c>
      <c r="S1415" s="2">
        <f t="shared" si="1206"/>
        <v>0</v>
      </c>
      <c r="T1415" s="2">
        <f t="shared" si="1174"/>
        <v>0</v>
      </c>
      <c r="U1415" s="2">
        <f t="shared" si="1175"/>
        <v>0</v>
      </c>
      <c r="V1415" s="2">
        <f t="shared" si="1176"/>
        <v>0</v>
      </c>
      <c r="W1415" s="2">
        <f t="shared" si="1177"/>
        <v>0</v>
      </c>
      <c r="X1415" s="2">
        <f t="shared" si="1178"/>
        <v>0</v>
      </c>
      <c r="Y1415" s="2">
        <f t="shared" si="1179"/>
        <v>0</v>
      </c>
      <c r="Z1415" s="2"/>
      <c r="AA1415" s="2">
        <v>129761636</v>
      </c>
      <c r="AB1415" s="2">
        <f t="shared" si="1180"/>
        <v>0</v>
      </c>
      <c r="AC1415" s="2">
        <f t="shared" si="1197"/>
        <v>0</v>
      </c>
      <c r="AD1415" s="2">
        <f t="shared" si="1207"/>
        <v>0</v>
      </c>
      <c r="AE1415" s="2">
        <f t="shared" si="1198"/>
        <v>0</v>
      </c>
      <c r="AF1415" s="2">
        <f t="shared" si="1199"/>
        <v>0</v>
      </c>
      <c r="AG1415" s="2">
        <f t="shared" si="1182"/>
        <v>0</v>
      </c>
      <c r="AH1415" s="2">
        <f t="shared" si="1183"/>
        <v>0</v>
      </c>
      <c r="AI1415" s="2">
        <f t="shared" si="1184"/>
        <v>0</v>
      </c>
      <c r="AJ1415" s="2">
        <f t="shared" si="1185"/>
        <v>0</v>
      </c>
      <c r="AK1415" s="2">
        <v>0</v>
      </c>
      <c r="AL1415" s="2">
        <v>0</v>
      </c>
      <c r="AM1415" s="2">
        <v>0</v>
      </c>
      <c r="AN1415" s="2">
        <v>0</v>
      </c>
      <c r="AO1415" s="2">
        <v>0</v>
      </c>
      <c r="AP1415" s="2">
        <v>0</v>
      </c>
      <c r="AQ1415" s="2">
        <v>0</v>
      </c>
      <c r="AR1415" s="2">
        <v>0</v>
      </c>
      <c r="AS1415" s="2">
        <v>0</v>
      </c>
      <c r="AT1415" s="2">
        <v>0</v>
      </c>
      <c r="AU1415" s="2">
        <v>0</v>
      </c>
      <c r="AV1415" s="2">
        <v>1</v>
      </c>
      <c r="AW1415" s="2">
        <v>1</v>
      </c>
      <c r="AX1415" s="2"/>
      <c r="AY1415" s="2"/>
      <c r="AZ1415" s="2">
        <v>1</v>
      </c>
      <c r="BA1415" s="2">
        <v>1</v>
      </c>
      <c r="BB1415" s="2">
        <v>1</v>
      </c>
      <c r="BC1415" s="2">
        <v>1</v>
      </c>
      <c r="BD1415" s="2" t="s">
        <v>3</v>
      </c>
      <c r="BE1415" s="2" t="s">
        <v>3</v>
      </c>
      <c r="BF1415" s="2" t="s">
        <v>3</v>
      </c>
      <c r="BG1415" s="2" t="s">
        <v>3</v>
      </c>
      <c r="BH1415" s="2">
        <v>3</v>
      </c>
      <c r="BI1415" s="2">
        <v>1</v>
      </c>
      <c r="BJ1415" s="2" t="s">
        <v>3</v>
      </c>
      <c r="BK1415" s="2"/>
      <c r="BL1415" s="2"/>
      <c r="BM1415" s="2">
        <v>700010</v>
      </c>
      <c r="BN1415" s="2">
        <v>0</v>
      </c>
      <c r="BO1415" s="2" t="s">
        <v>3</v>
      </c>
      <c r="BP1415" s="2">
        <v>0</v>
      </c>
      <c r="BQ1415" s="2">
        <v>202</v>
      </c>
      <c r="BR1415" s="2">
        <v>0</v>
      </c>
      <c r="BS1415" s="2">
        <v>1</v>
      </c>
      <c r="BT1415" s="2">
        <v>1</v>
      </c>
      <c r="BU1415" s="2">
        <v>1</v>
      </c>
      <c r="BV1415" s="2">
        <v>1</v>
      </c>
      <c r="BW1415" s="2">
        <v>1</v>
      </c>
      <c r="BX1415" s="2">
        <v>1</v>
      </c>
      <c r="BY1415" s="2" t="s">
        <v>3</v>
      </c>
      <c r="BZ1415" s="2">
        <v>0</v>
      </c>
      <c r="CA1415" s="2">
        <v>0</v>
      </c>
      <c r="CB1415" s="2" t="s">
        <v>3</v>
      </c>
      <c r="CC1415" s="2"/>
      <c r="CD1415" s="2"/>
      <c r="CE1415" s="2">
        <v>30</v>
      </c>
      <c r="CF1415" s="2">
        <v>0</v>
      </c>
      <c r="CG1415" s="2">
        <v>0</v>
      </c>
      <c r="CH1415" s="2"/>
      <c r="CI1415" s="2"/>
      <c r="CJ1415" s="2"/>
      <c r="CK1415" s="2"/>
      <c r="CL1415" s="2"/>
      <c r="CM1415" s="2">
        <v>0</v>
      </c>
      <c r="CN1415" s="2" t="s">
        <v>3</v>
      </c>
      <c r="CO1415" s="2">
        <v>0</v>
      </c>
      <c r="CP1415" s="2">
        <f t="shared" si="1186"/>
        <v>0</v>
      </c>
      <c r="CQ1415" s="2">
        <f t="shared" si="1214"/>
        <v>0</v>
      </c>
      <c r="CR1415" s="2">
        <f t="shared" si="1209"/>
        <v>0</v>
      </c>
      <c r="CS1415" s="2">
        <f t="shared" si="1210"/>
        <v>0</v>
      </c>
      <c r="CT1415" s="2">
        <f t="shared" si="1211"/>
        <v>0</v>
      </c>
      <c r="CU1415" s="2">
        <f t="shared" si="1200"/>
        <v>0</v>
      </c>
      <c r="CV1415" s="2">
        <f t="shared" si="1212"/>
        <v>0</v>
      </c>
      <c r="CW1415" s="2">
        <f t="shared" si="1201"/>
        <v>0</v>
      </c>
      <c r="CX1415" s="2">
        <f t="shared" si="1202"/>
        <v>0</v>
      </c>
      <c r="CY1415" s="2">
        <f>((S1415*BZ1415)/100)</f>
        <v>0</v>
      </c>
      <c r="CZ1415" s="2">
        <f>((S1415*CA1415)/100)</f>
        <v>0</v>
      </c>
      <c r="DA1415" s="2"/>
      <c r="DB1415" s="2"/>
      <c r="DC1415" s="2" t="s">
        <v>3</v>
      </c>
      <c r="DD1415" s="2" t="s">
        <v>3</v>
      </c>
      <c r="DE1415" s="2" t="s">
        <v>3</v>
      </c>
      <c r="DF1415" s="2" t="s">
        <v>3</v>
      </c>
      <c r="DG1415" s="2" t="s">
        <v>3</v>
      </c>
      <c r="DH1415" s="2" t="s">
        <v>3</v>
      </c>
      <c r="DI1415" s="2" t="s">
        <v>3</v>
      </c>
      <c r="DJ1415" s="2" t="s">
        <v>3</v>
      </c>
      <c r="DK1415" s="2" t="s">
        <v>3</v>
      </c>
      <c r="DL1415" s="2" t="s">
        <v>3</v>
      </c>
      <c r="DM1415" s="2" t="s">
        <v>3</v>
      </c>
      <c r="DN1415" s="2">
        <v>0</v>
      </c>
      <c r="DO1415" s="2">
        <v>0</v>
      </c>
      <c r="DP1415" s="2">
        <v>1</v>
      </c>
      <c r="DQ1415" s="2">
        <v>1</v>
      </c>
      <c r="DR1415" s="2"/>
      <c r="DS1415" s="2"/>
      <c r="DT1415" s="2"/>
      <c r="DU1415" s="2">
        <v>1010</v>
      </c>
      <c r="DV1415" s="2" t="s">
        <v>250</v>
      </c>
      <c r="DW1415" s="2" t="s">
        <v>250</v>
      </c>
      <c r="DX1415" s="2">
        <v>1</v>
      </c>
      <c r="DY1415" s="2"/>
      <c r="DZ1415" s="2" t="s">
        <v>3</v>
      </c>
      <c r="EA1415" s="2" t="s">
        <v>3</v>
      </c>
      <c r="EB1415" s="2" t="s">
        <v>3</v>
      </c>
      <c r="EC1415" s="2" t="s">
        <v>3</v>
      </c>
      <c r="ED1415" s="2"/>
      <c r="EE1415" s="2">
        <v>128346943</v>
      </c>
      <c r="EF1415" s="2">
        <v>202</v>
      </c>
      <c r="EG1415" s="2" t="s">
        <v>1063</v>
      </c>
      <c r="EH1415" s="2">
        <v>0</v>
      </c>
      <c r="EI1415" s="2" t="s">
        <v>3</v>
      </c>
      <c r="EJ1415" s="2">
        <v>1</v>
      </c>
      <c r="EK1415" s="2">
        <v>700010</v>
      </c>
      <c r="EL1415" s="2" t="s">
        <v>1064</v>
      </c>
      <c r="EM1415" s="2" t="s">
        <v>1063</v>
      </c>
      <c r="EN1415" s="2"/>
      <c r="EO1415" s="2" t="s">
        <v>3</v>
      </c>
      <c r="EP1415" s="2"/>
      <c r="EQ1415" s="2">
        <v>0</v>
      </c>
      <c r="ER1415" s="2">
        <v>0</v>
      </c>
      <c r="ES1415" s="2">
        <v>0</v>
      </c>
      <c r="ET1415" s="2">
        <v>0</v>
      </c>
      <c r="EU1415" s="2">
        <v>0</v>
      </c>
      <c r="EV1415" s="2">
        <v>0</v>
      </c>
      <c r="EW1415" s="2">
        <v>0</v>
      </c>
      <c r="EX1415" s="2">
        <v>0</v>
      </c>
      <c r="EY1415" s="2">
        <v>0</v>
      </c>
      <c r="EZ1415" s="2"/>
      <c r="FA1415" s="2"/>
      <c r="FB1415" s="2"/>
      <c r="FC1415" s="2"/>
      <c r="FD1415" s="2"/>
      <c r="FE1415" s="2"/>
      <c r="FF1415" s="2"/>
      <c r="FG1415" s="2"/>
      <c r="FH1415" s="2"/>
      <c r="FI1415" s="2"/>
      <c r="FJ1415" s="2"/>
      <c r="FK1415" s="2"/>
      <c r="FL1415" s="2"/>
      <c r="FM1415" s="2"/>
      <c r="FN1415" s="2"/>
      <c r="FO1415" s="2"/>
      <c r="FP1415" s="2"/>
      <c r="FQ1415" s="2">
        <v>0</v>
      </c>
      <c r="FR1415" s="2">
        <f t="shared" si="1188"/>
        <v>0</v>
      </c>
      <c r="FS1415" s="2">
        <v>0</v>
      </c>
      <c r="FT1415" s="2"/>
      <c r="FU1415" s="2"/>
      <c r="FV1415" s="2"/>
      <c r="FW1415" s="2"/>
      <c r="FX1415" s="2">
        <v>0</v>
      </c>
      <c r="FY1415" s="2">
        <v>0</v>
      </c>
      <c r="FZ1415" s="2"/>
      <c r="GA1415" s="2" t="s">
        <v>259</v>
      </c>
      <c r="GB1415" s="2"/>
      <c r="GC1415" s="2"/>
      <c r="GD1415" s="2">
        <v>0</v>
      </c>
      <c r="GE1415" s="2"/>
      <c r="GF1415" s="2">
        <v>1329924251</v>
      </c>
      <c r="GG1415" s="2">
        <v>2</v>
      </c>
      <c r="GH1415" s="2">
        <v>2</v>
      </c>
      <c r="GI1415" s="2">
        <v>0</v>
      </c>
      <c r="GJ1415" s="2">
        <v>0</v>
      </c>
      <c r="GK1415" s="2">
        <f>ROUND(R1415*(R12)/100,2)</f>
        <v>0</v>
      </c>
      <c r="GL1415" s="2">
        <f t="shared" si="1189"/>
        <v>0</v>
      </c>
      <c r="GM1415" s="2">
        <f t="shared" si="1190"/>
        <v>0</v>
      </c>
      <c r="GN1415" s="2">
        <f t="shared" si="1191"/>
        <v>0</v>
      </c>
      <c r="GO1415" s="2">
        <f t="shared" si="1192"/>
        <v>0</v>
      </c>
      <c r="GP1415" s="2">
        <f t="shared" si="1193"/>
        <v>0</v>
      </c>
      <c r="GQ1415" s="2"/>
      <c r="GR1415" s="2">
        <v>0</v>
      </c>
      <c r="GS1415" s="2">
        <v>4</v>
      </c>
      <c r="GT1415" s="2">
        <v>0</v>
      </c>
      <c r="GU1415" s="2" t="s">
        <v>3</v>
      </c>
      <c r="GV1415" s="2">
        <f t="shared" si="1194"/>
        <v>0</v>
      </c>
      <c r="GW1415" s="2">
        <v>1</v>
      </c>
      <c r="GX1415" s="2">
        <f t="shared" si="1195"/>
        <v>0</v>
      </c>
      <c r="GY1415" s="2"/>
      <c r="GZ1415" s="2"/>
      <c r="HA1415" s="2">
        <v>0</v>
      </c>
      <c r="HB1415" s="2">
        <v>0</v>
      </c>
      <c r="HC1415" s="2">
        <f t="shared" si="1196"/>
        <v>0</v>
      </c>
      <c r="HD1415" s="2"/>
      <c r="HE1415" s="2" t="s">
        <v>3</v>
      </c>
      <c r="HF1415" s="2" t="s">
        <v>3</v>
      </c>
      <c r="HG1415" s="2"/>
      <c r="HH1415" s="2"/>
      <c r="HI1415" s="2"/>
      <c r="HJ1415" s="2"/>
      <c r="HK1415" s="2"/>
      <c r="HL1415" s="2"/>
      <c r="HM1415" s="2" t="s">
        <v>3</v>
      </c>
      <c r="HN1415" s="2" t="s">
        <v>3</v>
      </c>
      <c r="HO1415" s="2" t="s">
        <v>3</v>
      </c>
      <c r="HP1415" s="2" t="s">
        <v>3</v>
      </c>
      <c r="HQ1415" s="2" t="s">
        <v>3</v>
      </c>
      <c r="HR1415" s="2"/>
      <c r="HS1415" s="2"/>
      <c r="HT1415" s="2"/>
      <c r="HU1415" s="2"/>
      <c r="HV1415" s="2"/>
      <c r="HW1415" s="2"/>
      <c r="HX1415" s="2"/>
      <c r="HY1415" s="2"/>
      <c r="HZ1415" s="2"/>
      <c r="IA1415" s="2"/>
      <c r="IB1415" s="2"/>
      <c r="IC1415" s="2"/>
      <c r="ID1415" s="2"/>
      <c r="IE1415" s="2"/>
      <c r="IF1415" s="2"/>
      <c r="IG1415" s="2"/>
      <c r="IH1415" s="2"/>
      <c r="II1415" s="2"/>
      <c r="IJ1415" s="2"/>
      <c r="IK1415" s="2">
        <v>0</v>
      </c>
      <c r="IL1415" s="2"/>
      <c r="IM1415" s="2"/>
      <c r="IN1415" s="2"/>
      <c r="IO1415" s="2"/>
      <c r="IP1415" s="2"/>
      <c r="IQ1415" s="2"/>
      <c r="IR1415" s="2"/>
      <c r="IS1415" s="2"/>
      <c r="IT1415" s="2"/>
      <c r="IU1415" s="2"/>
    </row>
    <row r="1416" spans="1:255" x14ac:dyDescent="0.2">
      <c r="A1416">
        <v>17</v>
      </c>
      <c r="B1416">
        <v>1</v>
      </c>
      <c r="E1416" t="s">
        <v>212</v>
      </c>
      <c r="F1416" t="s">
        <v>248</v>
      </c>
      <c r="G1416" t="s">
        <v>1074</v>
      </c>
      <c r="H1416" t="s">
        <v>250</v>
      </c>
      <c r="I1416">
        <v>1</v>
      </c>
      <c r="J1416">
        <v>0</v>
      </c>
      <c r="K1416">
        <v>1</v>
      </c>
      <c r="O1416">
        <f t="shared" si="1173"/>
        <v>7386.49</v>
      </c>
      <c r="P1416">
        <f t="shared" si="1213"/>
        <v>7386.49</v>
      </c>
      <c r="Q1416">
        <f t="shared" si="1204"/>
        <v>0</v>
      </c>
      <c r="R1416">
        <f t="shared" si="1205"/>
        <v>0</v>
      </c>
      <c r="S1416">
        <f t="shared" si="1206"/>
        <v>0</v>
      </c>
      <c r="T1416">
        <f t="shared" si="1174"/>
        <v>0</v>
      </c>
      <c r="U1416">
        <f t="shared" si="1175"/>
        <v>0</v>
      </c>
      <c r="V1416">
        <f t="shared" si="1176"/>
        <v>0</v>
      </c>
      <c r="W1416">
        <f t="shared" si="1177"/>
        <v>0</v>
      </c>
      <c r="X1416">
        <f t="shared" si="1178"/>
        <v>0</v>
      </c>
      <c r="Y1416">
        <f t="shared" si="1179"/>
        <v>0</v>
      </c>
      <c r="AA1416">
        <v>129761633</v>
      </c>
      <c r="AB1416">
        <f t="shared" si="1180"/>
        <v>853.93</v>
      </c>
      <c r="AC1416">
        <f t="shared" si="1197"/>
        <v>853.93</v>
      </c>
      <c r="AD1416">
        <f t="shared" si="1207"/>
        <v>0</v>
      </c>
      <c r="AE1416">
        <f t="shared" si="1198"/>
        <v>0</v>
      </c>
      <c r="AF1416">
        <f t="shared" si="1199"/>
        <v>0</v>
      </c>
      <c r="AG1416">
        <f t="shared" si="1182"/>
        <v>0</v>
      </c>
      <c r="AH1416">
        <f t="shared" si="1183"/>
        <v>0</v>
      </c>
      <c r="AI1416">
        <f t="shared" si="1184"/>
        <v>0</v>
      </c>
      <c r="AJ1416">
        <f t="shared" si="1185"/>
        <v>0</v>
      </c>
      <c r="AK1416">
        <v>853.93000000000006</v>
      </c>
      <c r="AL1416">
        <v>853.93000000000006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0</v>
      </c>
      <c r="AV1416">
        <v>1</v>
      </c>
      <c r="AW1416">
        <v>1</v>
      </c>
      <c r="AZ1416">
        <v>1</v>
      </c>
      <c r="BA1416">
        <v>1</v>
      </c>
      <c r="BB1416">
        <v>1</v>
      </c>
      <c r="BC1416">
        <v>8.65</v>
      </c>
      <c r="BD1416" t="s">
        <v>3</v>
      </c>
      <c r="BE1416" t="s">
        <v>3</v>
      </c>
      <c r="BF1416" t="s">
        <v>3</v>
      </c>
      <c r="BG1416" t="s">
        <v>3</v>
      </c>
      <c r="BH1416">
        <v>3</v>
      </c>
      <c r="BI1416">
        <v>1</v>
      </c>
      <c r="BJ1416" t="s">
        <v>3</v>
      </c>
      <c r="BM1416">
        <v>700010</v>
      </c>
      <c r="BN1416">
        <v>0</v>
      </c>
      <c r="BO1416" t="s">
        <v>3</v>
      </c>
      <c r="BP1416">
        <v>0</v>
      </c>
      <c r="BQ1416">
        <v>202</v>
      </c>
      <c r="BR1416">
        <v>0</v>
      </c>
      <c r="BS1416">
        <v>1</v>
      </c>
      <c r="BT1416">
        <v>1</v>
      </c>
      <c r="BU1416">
        <v>1</v>
      </c>
      <c r="BV1416">
        <v>1</v>
      </c>
      <c r="BW1416">
        <v>1</v>
      </c>
      <c r="BX1416">
        <v>1</v>
      </c>
      <c r="BY1416" t="s">
        <v>3</v>
      </c>
      <c r="BZ1416">
        <v>0</v>
      </c>
      <c r="CA1416">
        <v>0</v>
      </c>
      <c r="CB1416" t="s">
        <v>3</v>
      </c>
      <c r="CE1416">
        <v>30</v>
      </c>
      <c r="CF1416">
        <v>0</v>
      </c>
      <c r="CG1416">
        <v>0</v>
      </c>
      <c r="CM1416">
        <v>0</v>
      </c>
      <c r="CN1416" t="s">
        <v>3</v>
      </c>
      <c r="CO1416">
        <v>0</v>
      </c>
      <c r="CP1416">
        <f t="shared" si="1186"/>
        <v>7386.49</v>
      </c>
      <c r="CQ1416">
        <f t="shared" si="1214"/>
        <v>7386.49</v>
      </c>
      <c r="CR1416">
        <f t="shared" si="1209"/>
        <v>0</v>
      </c>
      <c r="CS1416">
        <f t="shared" si="1210"/>
        <v>0</v>
      </c>
      <c r="CT1416">
        <f t="shared" si="1211"/>
        <v>0</v>
      </c>
      <c r="CU1416">
        <f t="shared" si="1200"/>
        <v>0</v>
      </c>
      <c r="CV1416">
        <f t="shared" si="1212"/>
        <v>0</v>
      </c>
      <c r="CW1416">
        <f t="shared" si="1201"/>
        <v>0</v>
      </c>
      <c r="CX1416">
        <f t="shared" si="1202"/>
        <v>0</v>
      </c>
      <c r="CY1416">
        <f>S1416*(BZ1416/100)</f>
        <v>0</v>
      </c>
      <c r="CZ1416">
        <f>S1416*(CA1416/100)</f>
        <v>0</v>
      </c>
      <c r="DC1416" t="s">
        <v>3</v>
      </c>
      <c r="DD1416" t="s">
        <v>3</v>
      </c>
      <c r="DE1416" t="s">
        <v>3</v>
      </c>
      <c r="DF1416" t="s">
        <v>3</v>
      </c>
      <c r="DG1416" t="s">
        <v>3</v>
      </c>
      <c r="DH1416" t="s">
        <v>3</v>
      </c>
      <c r="DI1416" t="s">
        <v>3</v>
      </c>
      <c r="DJ1416" t="s">
        <v>3</v>
      </c>
      <c r="DK1416" t="s">
        <v>3</v>
      </c>
      <c r="DL1416" t="s">
        <v>3</v>
      </c>
      <c r="DM1416" t="s">
        <v>3</v>
      </c>
      <c r="DN1416">
        <v>0</v>
      </c>
      <c r="DO1416">
        <v>0</v>
      </c>
      <c r="DP1416">
        <v>1</v>
      </c>
      <c r="DQ1416">
        <v>1</v>
      </c>
      <c r="DU1416">
        <v>1010</v>
      </c>
      <c r="DV1416" t="s">
        <v>250</v>
      </c>
      <c r="DW1416" t="s">
        <v>250</v>
      </c>
      <c r="DX1416">
        <v>1</v>
      </c>
      <c r="DZ1416" t="s">
        <v>3</v>
      </c>
      <c r="EA1416" t="s">
        <v>3</v>
      </c>
      <c r="EB1416" t="s">
        <v>3</v>
      </c>
      <c r="EC1416" t="s">
        <v>3</v>
      </c>
      <c r="EE1416">
        <v>128346943</v>
      </c>
      <c r="EF1416">
        <v>202</v>
      </c>
      <c r="EG1416" t="s">
        <v>1063</v>
      </c>
      <c r="EH1416">
        <v>0</v>
      </c>
      <c r="EI1416" t="s">
        <v>3</v>
      </c>
      <c r="EJ1416">
        <v>1</v>
      </c>
      <c r="EK1416">
        <v>700010</v>
      </c>
      <c r="EL1416" t="s">
        <v>1064</v>
      </c>
      <c r="EM1416" t="s">
        <v>1063</v>
      </c>
      <c r="EO1416" t="s">
        <v>3</v>
      </c>
      <c r="EQ1416">
        <v>0</v>
      </c>
      <c r="ER1416">
        <v>853.93000000000006</v>
      </c>
      <c r="ES1416">
        <v>853.93000000000006</v>
      </c>
      <c r="ET1416">
        <v>0</v>
      </c>
      <c r="EU1416">
        <v>0</v>
      </c>
      <c r="EV1416">
        <v>0</v>
      </c>
      <c r="EW1416">
        <v>0</v>
      </c>
      <c r="EX1416">
        <v>0</v>
      </c>
      <c r="EY1416">
        <v>0</v>
      </c>
      <c r="EZ1416">
        <v>5</v>
      </c>
      <c r="FC1416">
        <v>1</v>
      </c>
      <c r="FD1416">
        <v>18</v>
      </c>
      <c r="FF1416">
        <v>8690</v>
      </c>
      <c r="FQ1416">
        <v>0</v>
      </c>
      <c r="FR1416">
        <f t="shared" si="1188"/>
        <v>0</v>
      </c>
      <c r="FS1416">
        <v>0</v>
      </c>
      <c r="FX1416">
        <v>0</v>
      </c>
      <c r="FY1416">
        <v>0</v>
      </c>
      <c r="GA1416" t="s">
        <v>1075</v>
      </c>
      <c r="GD1416">
        <v>0</v>
      </c>
      <c r="GF1416">
        <v>1329924251</v>
      </c>
      <c r="GG1416">
        <v>2</v>
      </c>
      <c r="GH1416">
        <v>3</v>
      </c>
      <c r="GI1416">
        <v>5</v>
      </c>
      <c r="GJ1416">
        <v>0</v>
      </c>
      <c r="GK1416">
        <f>ROUND(R1416*(S12)/100,2)</f>
        <v>0</v>
      </c>
      <c r="GL1416">
        <f t="shared" si="1189"/>
        <v>0</v>
      </c>
      <c r="GM1416">
        <f t="shared" si="1190"/>
        <v>7386.49</v>
      </c>
      <c r="GN1416">
        <f t="shared" si="1191"/>
        <v>7386.49</v>
      </c>
      <c r="GO1416">
        <f t="shared" si="1192"/>
        <v>0</v>
      </c>
      <c r="GP1416">
        <f t="shared" si="1193"/>
        <v>0</v>
      </c>
      <c r="GR1416">
        <v>1</v>
      </c>
      <c r="GS1416">
        <v>1</v>
      </c>
      <c r="GT1416">
        <v>0</v>
      </c>
      <c r="GU1416" t="s">
        <v>3</v>
      </c>
      <c r="GV1416">
        <f t="shared" si="1194"/>
        <v>0</v>
      </c>
      <c r="GW1416">
        <v>1</v>
      </c>
      <c r="GX1416">
        <f t="shared" si="1195"/>
        <v>0</v>
      </c>
      <c r="HA1416">
        <v>0</v>
      </c>
      <c r="HB1416">
        <v>0</v>
      </c>
      <c r="HC1416">
        <f t="shared" si="1196"/>
        <v>0</v>
      </c>
      <c r="HE1416" t="s">
        <v>81</v>
      </c>
      <c r="HF1416" t="s">
        <v>252</v>
      </c>
      <c r="HM1416" t="s">
        <v>3</v>
      </c>
      <c r="HN1416" t="s">
        <v>3</v>
      </c>
      <c r="HO1416" t="s">
        <v>3</v>
      </c>
      <c r="HP1416" t="s">
        <v>3</v>
      </c>
      <c r="HQ1416" t="s">
        <v>3</v>
      </c>
      <c r="IK1416">
        <v>0</v>
      </c>
    </row>
    <row r="1418" spans="1:255" x14ac:dyDescent="0.2">
      <c r="A1418" s="3">
        <v>51</v>
      </c>
      <c r="B1418" s="3">
        <f>B1387</f>
        <v>1</v>
      </c>
      <c r="C1418" s="3">
        <f>A1387</f>
        <v>4</v>
      </c>
      <c r="D1418" s="3">
        <f>ROW(A1387)</f>
        <v>1387</v>
      </c>
      <c r="E1418" s="3"/>
      <c r="F1418" s="3" t="str">
        <f>IF(F1387&lt;&gt;"",F1387,"")</f>
        <v>Новый раздел</v>
      </c>
      <c r="G1418" s="3" t="str">
        <f>IF(G1387&lt;&gt;"",G1387,"")</f>
        <v>Оборудование</v>
      </c>
      <c r="H1418" s="3">
        <v>0</v>
      </c>
      <c r="I1418" s="3"/>
      <c r="J1418" s="3"/>
      <c r="K1418" s="3"/>
      <c r="L1418" s="3"/>
      <c r="M1418" s="3"/>
      <c r="N1418" s="3"/>
      <c r="O1418" s="3">
        <f t="shared" ref="O1418:T1418" si="1215">ROUND(AB1418,2)</f>
        <v>573.29999999999995</v>
      </c>
      <c r="P1418" s="3">
        <f t="shared" si="1215"/>
        <v>573.29999999999995</v>
      </c>
      <c r="Q1418" s="3">
        <f t="shared" si="1215"/>
        <v>0</v>
      </c>
      <c r="R1418" s="3">
        <f t="shared" si="1215"/>
        <v>0</v>
      </c>
      <c r="S1418" s="3">
        <f t="shared" si="1215"/>
        <v>0</v>
      </c>
      <c r="T1418" s="3">
        <f t="shared" si="1215"/>
        <v>0</v>
      </c>
      <c r="U1418" s="3">
        <f>AH1418</f>
        <v>0</v>
      </c>
      <c r="V1418" s="3">
        <f>AI1418</f>
        <v>0</v>
      </c>
      <c r="W1418" s="3">
        <f>ROUND(AJ1418,2)</f>
        <v>0</v>
      </c>
      <c r="X1418" s="3">
        <f>ROUND(AK1418,2)</f>
        <v>0</v>
      </c>
      <c r="Y1418" s="3">
        <f>ROUND(AL1418,2)</f>
        <v>0</v>
      </c>
      <c r="Z1418" s="3"/>
      <c r="AA1418" s="3"/>
      <c r="AB1418" s="3">
        <f>ROUND(SUMIF(AA1391:AA1416,"=129761636",O1391:O1416),2)</f>
        <v>573.29999999999995</v>
      </c>
      <c r="AC1418" s="3">
        <f>ROUND(SUMIF(AA1391:AA1416,"=129761636",P1391:P1416),2)</f>
        <v>573.29999999999995</v>
      </c>
      <c r="AD1418" s="3">
        <f>ROUND(SUMIF(AA1391:AA1416,"=129761636",Q1391:Q1416),2)</f>
        <v>0</v>
      </c>
      <c r="AE1418" s="3">
        <f>ROUND(SUMIF(AA1391:AA1416,"=129761636",R1391:R1416),2)</f>
        <v>0</v>
      </c>
      <c r="AF1418" s="3">
        <f>ROUND(SUMIF(AA1391:AA1416,"=129761636",S1391:S1416),2)</f>
        <v>0</v>
      </c>
      <c r="AG1418" s="3">
        <f>ROUND(SUMIF(AA1391:AA1416,"=129761636",T1391:T1416),2)</f>
        <v>0</v>
      </c>
      <c r="AH1418" s="3">
        <f>SUMIF(AA1391:AA1416,"=129761636",U1391:U1416)</f>
        <v>0</v>
      </c>
      <c r="AI1418" s="3">
        <f>SUMIF(AA1391:AA1416,"=129761636",V1391:V1416)</f>
        <v>0</v>
      </c>
      <c r="AJ1418" s="3">
        <f>ROUND(SUMIF(AA1391:AA1416,"=129761636",W1391:W1416),2)</f>
        <v>0</v>
      </c>
      <c r="AK1418" s="3">
        <f>ROUND(SUMIF(AA1391:AA1416,"=129761636",X1391:X1416),2)</f>
        <v>0</v>
      </c>
      <c r="AL1418" s="3">
        <f>ROUND(SUMIF(AA1391:AA1416,"=129761636",Y1391:Y1416),2)</f>
        <v>0</v>
      </c>
      <c r="AM1418" s="3"/>
      <c r="AN1418" s="3"/>
      <c r="AO1418" s="3">
        <f t="shared" ref="AO1418:BD1418" si="1216">ROUND(BX1418,2)</f>
        <v>0</v>
      </c>
      <c r="AP1418" s="3">
        <f t="shared" si="1216"/>
        <v>573.29999999999995</v>
      </c>
      <c r="AQ1418" s="3">
        <f t="shared" si="1216"/>
        <v>0</v>
      </c>
      <c r="AR1418" s="3">
        <f t="shared" si="1216"/>
        <v>573.29999999999995</v>
      </c>
      <c r="AS1418" s="3">
        <f t="shared" si="1216"/>
        <v>0</v>
      </c>
      <c r="AT1418" s="3">
        <f t="shared" si="1216"/>
        <v>0</v>
      </c>
      <c r="AU1418" s="3">
        <f t="shared" si="1216"/>
        <v>0</v>
      </c>
      <c r="AV1418" s="3">
        <f t="shared" si="1216"/>
        <v>573.29999999999995</v>
      </c>
      <c r="AW1418" s="3">
        <f t="shared" si="1216"/>
        <v>0</v>
      </c>
      <c r="AX1418" s="3">
        <f t="shared" si="1216"/>
        <v>0</v>
      </c>
      <c r="AY1418" s="3">
        <f t="shared" si="1216"/>
        <v>0</v>
      </c>
      <c r="AZ1418" s="3">
        <f t="shared" si="1216"/>
        <v>573.29999999999995</v>
      </c>
      <c r="BA1418" s="3">
        <f t="shared" si="1216"/>
        <v>0</v>
      </c>
      <c r="BB1418" s="3">
        <f t="shared" si="1216"/>
        <v>0</v>
      </c>
      <c r="BC1418" s="3">
        <f t="shared" si="1216"/>
        <v>0</v>
      </c>
      <c r="BD1418" s="3">
        <f t="shared" si="1216"/>
        <v>0</v>
      </c>
      <c r="BE1418" s="3"/>
      <c r="BF1418" s="3"/>
      <c r="BG1418" s="3"/>
      <c r="BH1418" s="3"/>
      <c r="BI1418" s="3"/>
      <c r="BJ1418" s="3"/>
      <c r="BK1418" s="3"/>
      <c r="BL1418" s="3"/>
      <c r="BM1418" s="3"/>
      <c r="BN1418" s="3"/>
      <c r="BO1418" s="3"/>
      <c r="BP1418" s="3"/>
      <c r="BQ1418" s="3"/>
      <c r="BR1418" s="3"/>
      <c r="BS1418" s="3"/>
      <c r="BT1418" s="3"/>
      <c r="BU1418" s="3"/>
      <c r="BV1418" s="3"/>
      <c r="BW1418" s="3"/>
      <c r="BX1418" s="3">
        <f>ROUND(SUMIF(AA1391:AA1416,"=129761636",FQ1391:FQ1416),2)</f>
        <v>0</v>
      </c>
      <c r="BY1418" s="3">
        <f>ROUND(SUMIF(AA1391:AA1416,"=129761636",FR1391:FR1416),2)</f>
        <v>573.29999999999995</v>
      </c>
      <c r="BZ1418" s="3">
        <f>ROUND(SUMIF(AA1391:AA1416,"=129761636",GL1391:GL1416),2)</f>
        <v>0</v>
      </c>
      <c r="CA1418" s="3">
        <f>ROUND(SUMIF(AA1391:AA1416,"=129761636",GM1391:GM1416),2)</f>
        <v>573.29999999999995</v>
      </c>
      <c r="CB1418" s="3">
        <f>ROUND(SUMIF(AA1391:AA1416,"=129761636",GN1391:GN1416),2)</f>
        <v>0</v>
      </c>
      <c r="CC1418" s="3">
        <f>ROUND(SUMIF(AA1391:AA1416,"=129761636",GO1391:GO1416),2)</f>
        <v>0</v>
      </c>
      <c r="CD1418" s="3">
        <f>ROUND(SUMIF(AA1391:AA1416,"=129761636",GP1391:GP1416),2)</f>
        <v>0</v>
      </c>
      <c r="CE1418" s="3">
        <f>AC1418-BX1418</f>
        <v>573.29999999999995</v>
      </c>
      <c r="CF1418" s="3">
        <f>AC1418-BY1418</f>
        <v>0</v>
      </c>
      <c r="CG1418" s="3">
        <f>BX1418-BZ1418</f>
        <v>0</v>
      </c>
      <c r="CH1418" s="3">
        <f>AC1418-BX1418-BY1418+BZ1418</f>
        <v>0</v>
      </c>
      <c r="CI1418" s="3">
        <f>BY1418-BZ1418</f>
        <v>573.29999999999995</v>
      </c>
      <c r="CJ1418" s="3">
        <f>ROUND(SUMIF(AA1391:AA1416,"=129761636",GX1391:GX1416),2)</f>
        <v>0</v>
      </c>
      <c r="CK1418" s="3">
        <f>ROUND(SUMIF(AA1391:AA1416,"=129761636",GY1391:GY1416),2)</f>
        <v>0</v>
      </c>
      <c r="CL1418" s="3">
        <f>ROUND(SUMIF(AA1391:AA1416,"=129761636",GZ1391:GZ1416),2)</f>
        <v>0</v>
      </c>
      <c r="CM1418" s="3">
        <f>ROUND(SUMIF(AA1391:AA1416,"=129761636",HD1391:HD1416),2)</f>
        <v>0</v>
      </c>
      <c r="CN1418" s="3"/>
      <c r="CO1418" s="3"/>
      <c r="CP1418" s="3"/>
      <c r="CQ1418" s="3"/>
      <c r="CR1418" s="3"/>
      <c r="CS1418" s="3"/>
      <c r="CT1418" s="3"/>
      <c r="CU1418" s="3"/>
      <c r="CV1418" s="3"/>
      <c r="CW1418" s="3"/>
      <c r="CX1418" s="3"/>
      <c r="CY1418" s="3"/>
      <c r="CZ1418" s="3"/>
      <c r="DA1418" s="3"/>
      <c r="DB1418" s="3"/>
      <c r="DC1418" s="3"/>
      <c r="DD1418" s="3"/>
      <c r="DE1418" s="3"/>
      <c r="DF1418" s="3"/>
      <c r="DG1418" s="4">
        <f t="shared" ref="DG1418:DL1418" si="1217">ROUND(DT1418,2)</f>
        <v>221813.53</v>
      </c>
      <c r="DH1418" s="4">
        <f t="shared" si="1217"/>
        <v>221813.53</v>
      </c>
      <c r="DI1418" s="4">
        <f t="shared" si="1217"/>
        <v>0</v>
      </c>
      <c r="DJ1418" s="4">
        <f t="shared" si="1217"/>
        <v>0</v>
      </c>
      <c r="DK1418" s="4">
        <f t="shared" si="1217"/>
        <v>0</v>
      </c>
      <c r="DL1418" s="4">
        <f t="shared" si="1217"/>
        <v>0</v>
      </c>
      <c r="DM1418" s="4">
        <f>DZ1418</f>
        <v>0</v>
      </c>
      <c r="DN1418" s="4">
        <f>EA1418</f>
        <v>0</v>
      </c>
      <c r="DO1418" s="4">
        <f>ROUND(EB1418,2)</f>
        <v>0</v>
      </c>
      <c r="DP1418" s="4">
        <f>ROUND(EC1418,2)</f>
        <v>0</v>
      </c>
      <c r="DQ1418" s="4">
        <f>ROUND(ED1418,2)</f>
        <v>0</v>
      </c>
      <c r="DR1418" s="4"/>
      <c r="DS1418" s="4"/>
      <c r="DT1418" s="4">
        <f>ROUND(SUMIF(AA1391:AA1416,"=129761633",O1391:O1416),2)</f>
        <v>221813.53</v>
      </c>
      <c r="DU1418" s="4">
        <f>ROUND(SUMIF(AA1391:AA1416,"=129761633",P1391:P1416),2)</f>
        <v>221813.53</v>
      </c>
      <c r="DV1418" s="4">
        <f>ROUND(SUMIF(AA1391:AA1416,"=129761633",Q1391:Q1416),2)</f>
        <v>0</v>
      </c>
      <c r="DW1418" s="4">
        <f>ROUND(SUMIF(AA1391:AA1416,"=129761633",R1391:R1416),2)</f>
        <v>0</v>
      </c>
      <c r="DX1418" s="4">
        <f>ROUND(SUMIF(AA1391:AA1416,"=129761633",S1391:S1416),2)</f>
        <v>0</v>
      </c>
      <c r="DY1418" s="4">
        <f>ROUND(SUMIF(AA1391:AA1416,"=129761633",T1391:T1416),2)</f>
        <v>0</v>
      </c>
      <c r="DZ1418" s="4">
        <f>SUMIF(AA1391:AA1416,"=129761633",U1391:U1416)</f>
        <v>0</v>
      </c>
      <c r="EA1418" s="4">
        <f>SUMIF(AA1391:AA1416,"=129761633",V1391:V1416)</f>
        <v>0</v>
      </c>
      <c r="EB1418" s="4">
        <f>ROUND(SUMIF(AA1391:AA1416,"=129761633",W1391:W1416),2)</f>
        <v>0</v>
      </c>
      <c r="EC1418" s="4">
        <f>ROUND(SUMIF(AA1391:AA1416,"=129761633",X1391:X1416),2)</f>
        <v>0</v>
      </c>
      <c r="ED1418" s="4">
        <f>ROUND(SUMIF(AA1391:AA1416,"=129761633",Y1391:Y1416),2)</f>
        <v>0</v>
      </c>
      <c r="EE1418" s="4"/>
      <c r="EF1418" s="4"/>
      <c r="EG1418" s="4">
        <f t="shared" ref="EG1418:EV1418" si="1218">ROUND(FP1418,2)</f>
        <v>0</v>
      </c>
      <c r="EH1418" s="4">
        <f t="shared" si="1218"/>
        <v>117503.19</v>
      </c>
      <c r="EI1418" s="4">
        <f t="shared" si="1218"/>
        <v>0</v>
      </c>
      <c r="EJ1418" s="4">
        <f t="shared" si="1218"/>
        <v>221813.53</v>
      </c>
      <c r="EK1418" s="4">
        <f t="shared" si="1218"/>
        <v>104310.34</v>
      </c>
      <c r="EL1418" s="4">
        <f t="shared" si="1218"/>
        <v>0</v>
      </c>
      <c r="EM1418" s="4">
        <f t="shared" si="1218"/>
        <v>0</v>
      </c>
      <c r="EN1418" s="4">
        <f t="shared" si="1218"/>
        <v>221813.53</v>
      </c>
      <c r="EO1418" s="4">
        <f t="shared" si="1218"/>
        <v>104310.34</v>
      </c>
      <c r="EP1418" s="4">
        <f t="shared" si="1218"/>
        <v>0</v>
      </c>
      <c r="EQ1418" s="4">
        <f t="shared" si="1218"/>
        <v>104310.34</v>
      </c>
      <c r="ER1418" s="4">
        <f t="shared" si="1218"/>
        <v>117503.19</v>
      </c>
      <c r="ES1418" s="4">
        <f t="shared" si="1218"/>
        <v>0</v>
      </c>
      <c r="ET1418" s="4">
        <f t="shared" si="1218"/>
        <v>0</v>
      </c>
      <c r="EU1418" s="4">
        <f t="shared" si="1218"/>
        <v>0</v>
      </c>
      <c r="EV1418" s="4">
        <f t="shared" si="1218"/>
        <v>0</v>
      </c>
      <c r="EW1418" s="4"/>
      <c r="EX1418" s="4"/>
      <c r="EY1418" s="4"/>
      <c r="EZ1418" s="4"/>
      <c r="FA1418" s="4"/>
      <c r="FB1418" s="4"/>
      <c r="FC1418" s="4"/>
      <c r="FD1418" s="4"/>
      <c r="FE1418" s="4"/>
      <c r="FF1418" s="4"/>
      <c r="FG1418" s="4"/>
      <c r="FH1418" s="4"/>
      <c r="FI1418" s="4"/>
      <c r="FJ1418" s="4"/>
      <c r="FK1418" s="4"/>
      <c r="FL1418" s="4"/>
      <c r="FM1418" s="4"/>
      <c r="FN1418" s="4"/>
      <c r="FO1418" s="4"/>
      <c r="FP1418" s="4">
        <f>ROUND(SUMIF(AA1391:AA1416,"=129761633",FQ1391:FQ1416),2)</f>
        <v>0</v>
      </c>
      <c r="FQ1418" s="4">
        <f>ROUND(SUMIF(AA1391:AA1416,"=129761633",FR1391:FR1416),2)</f>
        <v>117503.19</v>
      </c>
      <c r="FR1418" s="4">
        <f>ROUND(SUMIF(AA1391:AA1416,"=129761633",GL1391:GL1416),2)</f>
        <v>0</v>
      </c>
      <c r="FS1418" s="4">
        <f>ROUND(SUMIF(AA1391:AA1416,"=129761633",GM1391:GM1416),2)</f>
        <v>221813.53</v>
      </c>
      <c r="FT1418" s="4">
        <f>ROUND(SUMIF(AA1391:AA1416,"=129761633",GN1391:GN1416),2)</f>
        <v>104310.34</v>
      </c>
      <c r="FU1418" s="4">
        <f>ROUND(SUMIF(AA1391:AA1416,"=129761633",GO1391:GO1416),2)</f>
        <v>0</v>
      </c>
      <c r="FV1418" s="4">
        <f>ROUND(SUMIF(AA1391:AA1416,"=129761633",GP1391:GP1416),2)</f>
        <v>0</v>
      </c>
      <c r="FW1418" s="4">
        <f>DU1418-FP1418</f>
        <v>221813.53</v>
      </c>
      <c r="FX1418" s="4">
        <f>DU1418-FQ1418</f>
        <v>104310.34</v>
      </c>
      <c r="FY1418" s="4">
        <f>FP1418-FR1418</f>
        <v>0</v>
      </c>
      <c r="FZ1418" s="4">
        <f>DU1418-FP1418-FQ1418+FR1418</f>
        <v>104310.34</v>
      </c>
      <c r="GA1418" s="4">
        <f>FQ1418-FR1418</f>
        <v>117503.19</v>
      </c>
      <c r="GB1418" s="4">
        <f>ROUND(SUMIF(AA1391:AA1416,"=129761633",GX1391:GX1416),2)</f>
        <v>0</v>
      </c>
      <c r="GC1418" s="4">
        <f>ROUND(SUMIF(AA1391:AA1416,"=129761633",GY1391:GY1416),2)</f>
        <v>0</v>
      </c>
      <c r="GD1418" s="4">
        <f>ROUND(SUMIF(AA1391:AA1416,"=129761633",GZ1391:GZ1416),2)</f>
        <v>0</v>
      </c>
      <c r="GE1418" s="4">
        <f>ROUND(SUMIF(AA1391:AA1416,"=129761633",HD1391:HD1416),2)</f>
        <v>0</v>
      </c>
      <c r="GF1418" s="4"/>
      <c r="GG1418" s="4"/>
      <c r="GH1418" s="4"/>
      <c r="GI1418" s="4"/>
      <c r="GJ1418" s="4"/>
      <c r="GK1418" s="4"/>
      <c r="GL1418" s="4"/>
      <c r="GM1418" s="4"/>
      <c r="GN1418" s="4"/>
      <c r="GO1418" s="4"/>
      <c r="GP1418" s="4"/>
      <c r="GQ1418" s="4"/>
      <c r="GR1418" s="4"/>
      <c r="GS1418" s="4"/>
      <c r="GT1418" s="4"/>
      <c r="GU1418" s="4"/>
      <c r="GV1418" s="4"/>
      <c r="GW1418" s="4"/>
      <c r="GX1418" s="4">
        <v>0</v>
      </c>
    </row>
    <row r="1420" spans="1:255" x14ac:dyDescent="0.2">
      <c r="A1420" s="5">
        <v>50</v>
      </c>
      <c r="B1420" s="5">
        <v>0</v>
      </c>
      <c r="C1420" s="5">
        <v>0</v>
      </c>
      <c r="D1420" s="5">
        <v>1</v>
      </c>
      <c r="E1420" s="5">
        <v>201</v>
      </c>
      <c r="F1420" s="5">
        <f>ROUND(Source!O1418,O1420)</f>
        <v>573.29999999999995</v>
      </c>
      <c r="G1420" s="5" t="s">
        <v>26</v>
      </c>
      <c r="H1420" s="5" t="s">
        <v>27</v>
      </c>
      <c r="I1420" s="5"/>
      <c r="J1420" s="5"/>
      <c r="K1420" s="5">
        <v>201</v>
      </c>
      <c r="L1420" s="5">
        <v>1</v>
      </c>
      <c r="M1420" s="5">
        <v>3</v>
      </c>
      <c r="N1420" s="5" t="s">
        <v>3</v>
      </c>
      <c r="O1420" s="5">
        <v>2</v>
      </c>
      <c r="P1420" s="5">
        <f>ROUND(Source!DG1418,O1420)</f>
        <v>221813.53</v>
      </c>
      <c r="Q1420" s="5"/>
      <c r="R1420" s="5"/>
      <c r="S1420" s="5"/>
      <c r="T1420" s="5"/>
      <c r="U1420" s="5"/>
      <c r="V1420" s="5"/>
      <c r="W1420" s="5">
        <v>573.29999999999995</v>
      </c>
      <c r="X1420" s="5">
        <v>1</v>
      </c>
      <c r="Y1420" s="5">
        <v>573.29999999999995</v>
      </c>
      <c r="Z1420" s="5">
        <v>221813.53</v>
      </c>
      <c r="AA1420" s="5">
        <v>1</v>
      </c>
      <c r="AB1420" s="5">
        <v>221813.53</v>
      </c>
    </row>
    <row r="1421" spans="1:255" x14ac:dyDescent="0.2">
      <c r="A1421" s="5">
        <v>50</v>
      </c>
      <c r="B1421" s="5">
        <v>0</v>
      </c>
      <c r="C1421" s="5">
        <v>0</v>
      </c>
      <c r="D1421" s="5">
        <v>1</v>
      </c>
      <c r="E1421" s="5">
        <v>202</v>
      </c>
      <c r="F1421" s="5">
        <f>ROUND(Source!P1418,O1421)</f>
        <v>573.29999999999995</v>
      </c>
      <c r="G1421" s="5" t="s">
        <v>28</v>
      </c>
      <c r="H1421" s="5" t="s">
        <v>29</v>
      </c>
      <c r="I1421" s="5"/>
      <c r="J1421" s="5"/>
      <c r="K1421" s="5">
        <v>202</v>
      </c>
      <c r="L1421" s="5">
        <v>2</v>
      </c>
      <c r="M1421" s="5">
        <v>3</v>
      </c>
      <c r="N1421" s="5" t="s">
        <v>3</v>
      </c>
      <c r="O1421" s="5">
        <v>2</v>
      </c>
      <c r="P1421" s="5">
        <f>ROUND(Source!DH1418,O1421)</f>
        <v>221813.53</v>
      </c>
      <c r="Q1421" s="5"/>
      <c r="R1421" s="5"/>
      <c r="S1421" s="5"/>
      <c r="T1421" s="5"/>
      <c r="U1421" s="5"/>
      <c r="V1421" s="5"/>
      <c r="W1421" s="5">
        <v>573.29999999999995</v>
      </c>
      <c r="X1421" s="5">
        <v>1</v>
      </c>
      <c r="Y1421" s="5">
        <v>573.29999999999995</v>
      </c>
      <c r="Z1421" s="5">
        <v>221813.53</v>
      </c>
      <c r="AA1421" s="5">
        <v>1</v>
      </c>
      <c r="AB1421" s="5">
        <v>221813.53</v>
      </c>
    </row>
    <row r="1422" spans="1:255" x14ac:dyDescent="0.2">
      <c r="A1422" s="5">
        <v>50</v>
      </c>
      <c r="B1422" s="5">
        <v>0</v>
      </c>
      <c r="C1422" s="5">
        <v>0</v>
      </c>
      <c r="D1422" s="5">
        <v>1</v>
      </c>
      <c r="E1422" s="5">
        <v>222</v>
      </c>
      <c r="F1422" s="5">
        <f>ROUND(Source!AO1418,O1422)</f>
        <v>0</v>
      </c>
      <c r="G1422" s="5" t="s">
        <v>30</v>
      </c>
      <c r="H1422" s="5" t="s">
        <v>31</v>
      </c>
      <c r="I1422" s="5"/>
      <c r="J1422" s="5"/>
      <c r="K1422" s="5">
        <v>222</v>
      </c>
      <c r="L1422" s="5">
        <v>3</v>
      </c>
      <c r="M1422" s="5">
        <v>3</v>
      </c>
      <c r="N1422" s="5" t="s">
        <v>3</v>
      </c>
      <c r="O1422" s="5">
        <v>2</v>
      </c>
      <c r="P1422" s="5">
        <f>ROUND(Source!EG1418,O1422)</f>
        <v>0</v>
      </c>
      <c r="Q1422" s="5"/>
      <c r="R1422" s="5"/>
      <c r="S1422" s="5"/>
      <c r="T1422" s="5"/>
      <c r="U1422" s="5"/>
      <c r="V1422" s="5"/>
      <c r="W1422" s="5">
        <v>0</v>
      </c>
      <c r="X1422" s="5">
        <v>1</v>
      </c>
      <c r="Y1422" s="5">
        <v>0</v>
      </c>
      <c r="Z1422" s="5">
        <v>0</v>
      </c>
      <c r="AA1422" s="5">
        <v>1</v>
      </c>
      <c r="AB1422" s="5">
        <v>0</v>
      </c>
    </row>
    <row r="1423" spans="1:255" x14ac:dyDescent="0.2">
      <c r="A1423" s="5">
        <v>50</v>
      </c>
      <c r="B1423" s="5">
        <v>0</v>
      </c>
      <c r="C1423" s="5">
        <v>0</v>
      </c>
      <c r="D1423" s="5">
        <v>1</v>
      </c>
      <c r="E1423" s="5">
        <v>225</v>
      </c>
      <c r="F1423" s="5">
        <f>ROUND(Source!AV1418,O1423)</f>
        <v>573.29999999999995</v>
      </c>
      <c r="G1423" s="5" t="s">
        <v>32</v>
      </c>
      <c r="H1423" s="5" t="s">
        <v>33</v>
      </c>
      <c r="I1423" s="5"/>
      <c r="J1423" s="5"/>
      <c r="K1423" s="5">
        <v>225</v>
      </c>
      <c r="L1423" s="5">
        <v>4</v>
      </c>
      <c r="M1423" s="5">
        <v>3</v>
      </c>
      <c r="N1423" s="5" t="s">
        <v>3</v>
      </c>
      <c r="O1423" s="5">
        <v>2</v>
      </c>
      <c r="P1423" s="5">
        <f>ROUND(Source!EN1418,O1423)</f>
        <v>221813.53</v>
      </c>
      <c r="Q1423" s="5"/>
      <c r="R1423" s="5"/>
      <c r="S1423" s="5"/>
      <c r="T1423" s="5"/>
      <c r="U1423" s="5"/>
      <c r="V1423" s="5"/>
      <c r="W1423" s="5">
        <v>573.29999999999995</v>
      </c>
      <c r="X1423" s="5">
        <v>1</v>
      </c>
      <c r="Y1423" s="5">
        <v>573.29999999999995</v>
      </c>
      <c r="Z1423" s="5">
        <v>221813.53</v>
      </c>
      <c r="AA1423" s="5">
        <v>1</v>
      </c>
      <c r="AB1423" s="5">
        <v>221813.53</v>
      </c>
    </row>
    <row r="1424" spans="1:255" x14ac:dyDescent="0.2">
      <c r="A1424" s="5">
        <v>50</v>
      </c>
      <c r="B1424" s="5">
        <v>0</v>
      </c>
      <c r="C1424" s="5">
        <v>0</v>
      </c>
      <c r="D1424" s="5">
        <v>1</v>
      </c>
      <c r="E1424" s="5">
        <v>226</v>
      </c>
      <c r="F1424" s="5">
        <f>ROUND(Source!AW1418,O1424)</f>
        <v>0</v>
      </c>
      <c r="G1424" s="5" t="s">
        <v>34</v>
      </c>
      <c r="H1424" s="5" t="s">
        <v>35</v>
      </c>
      <c r="I1424" s="5"/>
      <c r="J1424" s="5"/>
      <c r="K1424" s="5">
        <v>226</v>
      </c>
      <c r="L1424" s="5">
        <v>5</v>
      </c>
      <c r="M1424" s="5">
        <v>3</v>
      </c>
      <c r="N1424" s="5" t="s">
        <v>3</v>
      </c>
      <c r="O1424" s="5">
        <v>2</v>
      </c>
      <c r="P1424" s="5">
        <f>ROUND(Source!EO1418,O1424)</f>
        <v>104310.34</v>
      </c>
      <c r="Q1424" s="5"/>
      <c r="R1424" s="5"/>
      <c r="S1424" s="5"/>
      <c r="T1424" s="5"/>
      <c r="U1424" s="5"/>
      <c r="V1424" s="5"/>
      <c r="W1424" s="5">
        <v>0</v>
      </c>
      <c r="X1424" s="5">
        <v>1</v>
      </c>
      <c r="Y1424" s="5">
        <v>0</v>
      </c>
      <c r="Z1424" s="5">
        <v>104310.34</v>
      </c>
      <c r="AA1424" s="5">
        <v>1</v>
      </c>
      <c r="AB1424" s="5">
        <v>104310.34</v>
      </c>
    </row>
    <row r="1425" spans="1:28" x14ac:dyDescent="0.2">
      <c r="A1425" s="5">
        <v>50</v>
      </c>
      <c r="B1425" s="5">
        <v>0</v>
      </c>
      <c r="C1425" s="5">
        <v>0</v>
      </c>
      <c r="D1425" s="5">
        <v>1</v>
      </c>
      <c r="E1425" s="5">
        <v>227</v>
      </c>
      <c r="F1425" s="5">
        <f>ROUND(Source!AX1418,O1425)</f>
        <v>0</v>
      </c>
      <c r="G1425" s="5" t="s">
        <v>36</v>
      </c>
      <c r="H1425" s="5" t="s">
        <v>37</v>
      </c>
      <c r="I1425" s="5"/>
      <c r="J1425" s="5"/>
      <c r="K1425" s="5">
        <v>227</v>
      </c>
      <c r="L1425" s="5">
        <v>6</v>
      </c>
      <c r="M1425" s="5">
        <v>3</v>
      </c>
      <c r="N1425" s="5" t="s">
        <v>3</v>
      </c>
      <c r="O1425" s="5">
        <v>2</v>
      </c>
      <c r="P1425" s="5">
        <f>ROUND(Source!EP1418,O1425)</f>
        <v>0</v>
      </c>
      <c r="Q1425" s="5"/>
      <c r="R1425" s="5"/>
      <c r="S1425" s="5"/>
      <c r="T1425" s="5"/>
      <c r="U1425" s="5"/>
      <c r="V1425" s="5"/>
      <c r="W1425" s="5">
        <v>0</v>
      </c>
      <c r="X1425" s="5">
        <v>1</v>
      </c>
      <c r="Y1425" s="5">
        <v>0</v>
      </c>
      <c r="Z1425" s="5">
        <v>0</v>
      </c>
      <c r="AA1425" s="5">
        <v>1</v>
      </c>
      <c r="AB1425" s="5">
        <v>0</v>
      </c>
    </row>
    <row r="1426" spans="1:28" x14ac:dyDescent="0.2">
      <c r="A1426" s="5">
        <v>50</v>
      </c>
      <c r="B1426" s="5">
        <v>0</v>
      </c>
      <c r="C1426" s="5">
        <v>0</v>
      </c>
      <c r="D1426" s="5">
        <v>1</v>
      </c>
      <c r="E1426" s="5">
        <v>228</v>
      </c>
      <c r="F1426" s="5">
        <f>ROUND(Source!AY1418,O1426)</f>
        <v>0</v>
      </c>
      <c r="G1426" s="5" t="s">
        <v>38</v>
      </c>
      <c r="H1426" s="5" t="s">
        <v>39</v>
      </c>
      <c r="I1426" s="5"/>
      <c r="J1426" s="5"/>
      <c r="K1426" s="5">
        <v>228</v>
      </c>
      <c r="L1426" s="5">
        <v>7</v>
      </c>
      <c r="M1426" s="5">
        <v>3</v>
      </c>
      <c r="N1426" s="5" t="s">
        <v>3</v>
      </c>
      <c r="O1426" s="5">
        <v>2</v>
      </c>
      <c r="P1426" s="5">
        <f>ROUND(Source!EQ1418,O1426)</f>
        <v>104310.34</v>
      </c>
      <c r="Q1426" s="5"/>
      <c r="R1426" s="5"/>
      <c r="S1426" s="5"/>
      <c r="T1426" s="5"/>
      <c r="U1426" s="5"/>
      <c r="V1426" s="5"/>
      <c r="W1426" s="5">
        <v>0</v>
      </c>
      <c r="X1426" s="5">
        <v>1</v>
      </c>
      <c r="Y1426" s="5">
        <v>0</v>
      </c>
      <c r="Z1426" s="5">
        <v>104310.34</v>
      </c>
      <c r="AA1426" s="5">
        <v>1</v>
      </c>
      <c r="AB1426" s="5">
        <v>104310.34</v>
      </c>
    </row>
    <row r="1427" spans="1:28" x14ac:dyDescent="0.2">
      <c r="A1427" s="5">
        <v>50</v>
      </c>
      <c r="B1427" s="5">
        <v>0</v>
      </c>
      <c r="C1427" s="5">
        <v>0</v>
      </c>
      <c r="D1427" s="5">
        <v>1</v>
      </c>
      <c r="E1427" s="5">
        <v>216</v>
      </c>
      <c r="F1427" s="5">
        <f>ROUND(Source!AP1418,O1427)</f>
        <v>573.29999999999995</v>
      </c>
      <c r="G1427" s="5" t="s">
        <v>40</v>
      </c>
      <c r="H1427" s="5" t="s">
        <v>41</v>
      </c>
      <c r="I1427" s="5"/>
      <c r="J1427" s="5"/>
      <c r="K1427" s="5">
        <v>216</v>
      </c>
      <c r="L1427" s="5">
        <v>8</v>
      </c>
      <c r="M1427" s="5">
        <v>3</v>
      </c>
      <c r="N1427" s="5" t="s">
        <v>3</v>
      </c>
      <c r="O1427" s="5">
        <v>2</v>
      </c>
      <c r="P1427" s="5">
        <f>ROUND(Source!EH1418,O1427)</f>
        <v>117503.19</v>
      </c>
      <c r="Q1427" s="5"/>
      <c r="R1427" s="5"/>
      <c r="S1427" s="5"/>
      <c r="T1427" s="5"/>
      <c r="U1427" s="5"/>
      <c r="V1427" s="5"/>
      <c r="W1427" s="5">
        <v>573.29999999999995</v>
      </c>
      <c r="X1427" s="5">
        <v>1</v>
      </c>
      <c r="Y1427" s="5">
        <v>573.29999999999995</v>
      </c>
      <c r="Z1427" s="5">
        <v>117503.19</v>
      </c>
      <c r="AA1427" s="5">
        <v>1</v>
      </c>
      <c r="AB1427" s="5">
        <v>117503.19</v>
      </c>
    </row>
    <row r="1428" spans="1:28" x14ac:dyDescent="0.2">
      <c r="A1428" s="5">
        <v>50</v>
      </c>
      <c r="B1428" s="5">
        <v>0</v>
      </c>
      <c r="C1428" s="5">
        <v>0</v>
      </c>
      <c r="D1428" s="5">
        <v>1</v>
      </c>
      <c r="E1428" s="5">
        <v>223</v>
      </c>
      <c r="F1428" s="5">
        <f>ROUND(Source!AQ1418,O1428)</f>
        <v>0</v>
      </c>
      <c r="G1428" s="5" t="s">
        <v>42</v>
      </c>
      <c r="H1428" s="5" t="s">
        <v>43</v>
      </c>
      <c r="I1428" s="5"/>
      <c r="J1428" s="5"/>
      <c r="K1428" s="5">
        <v>223</v>
      </c>
      <c r="L1428" s="5">
        <v>9</v>
      </c>
      <c r="M1428" s="5">
        <v>3</v>
      </c>
      <c r="N1428" s="5" t="s">
        <v>3</v>
      </c>
      <c r="O1428" s="5">
        <v>2</v>
      </c>
      <c r="P1428" s="5">
        <f>ROUND(Source!EI1418,O1428)</f>
        <v>0</v>
      </c>
      <c r="Q1428" s="5"/>
      <c r="R1428" s="5"/>
      <c r="S1428" s="5"/>
      <c r="T1428" s="5"/>
      <c r="U1428" s="5"/>
      <c r="V1428" s="5"/>
      <c r="W1428" s="5">
        <v>0</v>
      </c>
      <c r="X1428" s="5">
        <v>1</v>
      </c>
      <c r="Y1428" s="5">
        <v>0</v>
      </c>
      <c r="Z1428" s="5">
        <v>0</v>
      </c>
      <c r="AA1428" s="5">
        <v>1</v>
      </c>
      <c r="AB1428" s="5">
        <v>0</v>
      </c>
    </row>
    <row r="1429" spans="1:28" x14ac:dyDescent="0.2">
      <c r="A1429" s="5">
        <v>50</v>
      </c>
      <c r="B1429" s="5">
        <v>0</v>
      </c>
      <c r="C1429" s="5">
        <v>0</v>
      </c>
      <c r="D1429" s="5">
        <v>1</v>
      </c>
      <c r="E1429" s="5">
        <v>229</v>
      </c>
      <c r="F1429" s="5">
        <f>ROUND(Source!AZ1418,O1429)</f>
        <v>573.29999999999995</v>
      </c>
      <c r="G1429" s="5" t="s">
        <v>44</v>
      </c>
      <c r="H1429" s="5" t="s">
        <v>45</v>
      </c>
      <c r="I1429" s="5"/>
      <c r="J1429" s="5"/>
      <c r="K1429" s="5">
        <v>229</v>
      </c>
      <c r="L1429" s="5">
        <v>10</v>
      </c>
      <c r="M1429" s="5">
        <v>3</v>
      </c>
      <c r="N1429" s="5" t="s">
        <v>3</v>
      </c>
      <c r="O1429" s="5">
        <v>2</v>
      </c>
      <c r="P1429" s="5">
        <f>ROUND(Source!ER1418,O1429)</f>
        <v>117503.19</v>
      </c>
      <c r="Q1429" s="5"/>
      <c r="R1429" s="5"/>
      <c r="S1429" s="5"/>
      <c r="T1429" s="5"/>
      <c r="U1429" s="5"/>
      <c r="V1429" s="5"/>
      <c r="W1429" s="5">
        <v>573.29999999999995</v>
      </c>
      <c r="X1429" s="5">
        <v>1</v>
      </c>
      <c r="Y1429" s="5">
        <v>573.29999999999995</v>
      </c>
      <c r="Z1429" s="5">
        <v>117503.19</v>
      </c>
      <c r="AA1429" s="5">
        <v>1</v>
      </c>
      <c r="AB1429" s="5">
        <v>117503.19</v>
      </c>
    </row>
    <row r="1430" spans="1:28" x14ac:dyDescent="0.2">
      <c r="A1430" s="5">
        <v>50</v>
      </c>
      <c r="B1430" s="5">
        <v>0</v>
      </c>
      <c r="C1430" s="5">
        <v>0</v>
      </c>
      <c r="D1430" s="5">
        <v>1</v>
      </c>
      <c r="E1430" s="5">
        <v>203</v>
      </c>
      <c r="F1430" s="5">
        <f>ROUND(Source!Q1418,O1430)</f>
        <v>0</v>
      </c>
      <c r="G1430" s="5" t="s">
        <v>46</v>
      </c>
      <c r="H1430" s="5" t="s">
        <v>47</v>
      </c>
      <c r="I1430" s="5"/>
      <c r="J1430" s="5"/>
      <c r="K1430" s="5">
        <v>203</v>
      </c>
      <c r="L1430" s="5">
        <v>11</v>
      </c>
      <c r="M1430" s="5">
        <v>3</v>
      </c>
      <c r="N1430" s="5" t="s">
        <v>3</v>
      </c>
      <c r="O1430" s="5">
        <v>2</v>
      </c>
      <c r="P1430" s="5">
        <f>ROUND(Source!DI1418,O1430)</f>
        <v>0</v>
      </c>
      <c r="Q1430" s="5"/>
      <c r="R1430" s="5"/>
      <c r="S1430" s="5"/>
      <c r="T1430" s="5"/>
      <c r="U1430" s="5"/>
      <c r="V1430" s="5"/>
      <c r="W1430" s="5">
        <v>0</v>
      </c>
      <c r="X1430" s="5">
        <v>1</v>
      </c>
      <c r="Y1430" s="5">
        <v>0</v>
      </c>
      <c r="Z1430" s="5">
        <v>0</v>
      </c>
      <c r="AA1430" s="5">
        <v>1</v>
      </c>
      <c r="AB1430" s="5">
        <v>0</v>
      </c>
    </row>
    <row r="1431" spans="1:28" x14ac:dyDescent="0.2">
      <c r="A1431" s="5">
        <v>50</v>
      </c>
      <c r="B1431" s="5">
        <v>0</v>
      </c>
      <c r="C1431" s="5">
        <v>0</v>
      </c>
      <c r="D1431" s="5">
        <v>1</v>
      </c>
      <c r="E1431" s="5">
        <v>231</v>
      </c>
      <c r="F1431" s="5">
        <f>ROUND(Source!BB1418,O1431)</f>
        <v>0</v>
      </c>
      <c r="G1431" s="5" t="s">
        <v>48</v>
      </c>
      <c r="H1431" s="5" t="s">
        <v>49</v>
      </c>
      <c r="I1431" s="5"/>
      <c r="J1431" s="5"/>
      <c r="K1431" s="5">
        <v>231</v>
      </c>
      <c r="L1431" s="5">
        <v>12</v>
      </c>
      <c r="M1431" s="5">
        <v>3</v>
      </c>
      <c r="N1431" s="5" t="s">
        <v>3</v>
      </c>
      <c r="O1431" s="5">
        <v>2</v>
      </c>
      <c r="P1431" s="5">
        <f>ROUND(Source!ET1418,O1431)</f>
        <v>0</v>
      </c>
      <c r="Q1431" s="5"/>
      <c r="R1431" s="5"/>
      <c r="S1431" s="5"/>
      <c r="T1431" s="5"/>
      <c r="U1431" s="5"/>
      <c r="V1431" s="5"/>
      <c r="W1431" s="5">
        <v>0</v>
      </c>
      <c r="X1431" s="5">
        <v>1</v>
      </c>
      <c r="Y1431" s="5">
        <v>0</v>
      </c>
      <c r="Z1431" s="5">
        <v>0</v>
      </c>
      <c r="AA1431" s="5">
        <v>1</v>
      </c>
      <c r="AB1431" s="5">
        <v>0</v>
      </c>
    </row>
    <row r="1432" spans="1:28" x14ac:dyDescent="0.2">
      <c r="A1432" s="5">
        <v>50</v>
      </c>
      <c r="B1432" s="5">
        <v>0</v>
      </c>
      <c r="C1432" s="5">
        <v>0</v>
      </c>
      <c r="D1432" s="5">
        <v>1</v>
      </c>
      <c r="E1432" s="5">
        <v>204</v>
      </c>
      <c r="F1432" s="5">
        <f>ROUND(Source!R1418,O1432)</f>
        <v>0</v>
      </c>
      <c r="G1432" s="5" t="s">
        <v>50</v>
      </c>
      <c r="H1432" s="5" t="s">
        <v>51</v>
      </c>
      <c r="I1432" s="5"/>
      <c r="J1432" s="5"/>
      <c r="K1432" s="5">
        <v>204</v>
      </c>
      <c r="L1432" s="5">
        <v>13</v>
      </c>
      <c r="M1432" s="5">
        <v>3</v>
      </c>
      <c r="N1432" s="5" t="s">
        <v>3</v>
      </c>
      <c r="O1432" s="5">
        <v>2</v>
      </c>
      <c r="P1432" s="5">
        <f>ROUND(Source!DJ1418,O1432)</f>
        <v>0</v>
      </c>
      <c r="Q1432" s="5"/>
      <c r="R1432" s="5"/>
      <c r="S1432" s="5"/>
      <c r="T1432" s="5"/>
      <c r="U1432" s="5"/>
      <c r="V1432" s="5"/>
      <c r="W1432" s="5">
        <v>0</v>
      </c>
      <c r="X1432" s="5">
        <v>1</v>
      </c>
      <c r="Y1432" s="5">
        <v>0</v>
      </c>
      <c r="Z1432" s="5">
        <v>0</v>
      </c>
      <c r="AA1432" s="5">
        <v>1</v>
      </c>
      <c r="AB1432" s="5">
        <v>0</v>
      </c>
    </row>
    <row r="1433" spans="1:28" x14ac:dyDescent="0.2">
      <c r="A1433" s="5">
        <v>50</v>
      </c>
      <c r="B1433" s="5">
        <v>0</v>
      </c>
      <c r="C1433" s="5">
        <v>0</v>
      </c>
      <c r="D1433" s="5">
        <v>1</v>
      </c>
      <c r="E1433" s="5">
        <v>205</v>
      </c>
      <c r="F1433" s="5">
        <f>ROUND(Source!S1418,O1433)</f>
        <v>0</v>
      </c>
      <c r="G1433" s="5" t="s">
        <v>52</v>
      </c>
      <c r="H1433" s="5" t="s">
        <v>53</v>
      </c>
      <c r="I1433" s="5"/>
      <c r="J1433" s="5"/>
      <c r="K1433" s="5">
        <v>205</v>
      </c>
      <c r="L1433" s="5">
        <v>14</v>
      </c>
      <c r="M1433" s="5">
        <v>3</v>
      </c>
      <c r="N1433" s="5" t="s">
        <v>3</v>
      </c>
      <c r="O1433" s="5">
        <v>2</v>
      </c>
      <c r="P1433" s="5">
        <f>ROUND(Source!DK1418,O1433)</f>
        <v>0</v>
      </c>
      <c r="Q1433" s="5"/>
      <c r="R1433" s="5"/>
      <c r="S1433" s="5"/>
      <c r="T1433" s="5"/>
      <c r="U1433" s="5"/>
      <c r="V1433" s="5"/>
      <c r="W1433" s="5">
        <v>0</v>
      </c>
      <c r="X1433" s="5">
        <v>1</v>
      </c>
      <c r="Y1433" s="5">
        <v>0</v>
      </c>
      <c r="Z1433" s="5">
        <v>0</v>
      </c>
      <c r="AA1433" s="5">
        <v>1</v>
      </c>
      <c r="AB1433" s="5">
        <v>0</v>
      </c>
    </row>
    <row r="1434" spans="1:28" x14ac:dyDescent="0.2">
      <c r="A1434" s="5">
        <v>50</v>
      </c>
      <c r="B1434" s="5">
        <v>0</v>
      </c>
      <c r="C1434" s="5">
        <v>0</v>
      </c>
      <c r="D1434" s="5">
        <v>1</v>
      </c>
      <c r="E1434" s="5">
        <v>232</v>
      </c>
      <c r="F1434" s="5">
        <f>ROUND(Source!BC1418,O1434)</f>
        <v>0</v>
      </c>
      <c r="G1434" s="5" t="s">
        <v>54</v>
      </c>
      <c r="H1434" s="5" t="s">
        <v>55</v>
      </c>
      <c r="I1434" s="5"/>
      <c r="J1434" s="5"/>
      <c r="K1434" s="5">
        <v>232</v>
      </c>
      <c r="L1434" s="5">
        <v>15</v>
      </c>
      <c r="M1434" s="5">
        <v>3</v>
      </c>
      <c r="N1434" s="5" t="s">
        <v>3</v>
      </c>
      <c r="O1434" s="5">
        <v>2</v>
      </c>
      <c r="P1434" s="5">
        <f>ROUND(Source!EU1418,O1434)</f>
        <v>0</v>
      </c>
      <c r="Q1434" s="5"/>
      <c r="R1434" s="5"/>
      <c r="S1434" s="5"/>
      <c r="T1434" s="5"/>
      <c r="U1434" s="5"/>
      <c r="V1434" s="5"/>
      <c r="W1434" s="5">
        <v>0</v>
      </c>
      <c r="X1434" s="5">
        <v>1</v>
      </c>
      <c r="Y1434" s="5">
        <v>0</v>
      </c>
      <c r="Z1434" s="5">
        <v>0</v>
      </c>
      <c r="AA1434" s="5">
        <v>1</v>
      </c>
      <c r="AB1434" s="5">
        <v>0</v>
      </c>
    </row>
    <row r="1435" spans="1:28" x14ac:dyDescent="0.2">
      <c r="A1435" s="5">
        <v>50</v>
      </c>
      <c r="B1435" s="5">
        <v>0</v>
      </c>
      <c r="C1435" s="5">
        <v>0</v>
      </c>
      <c r="D1435" s="5">
        <v>1</v>
      </c>
      <c r="E1435" s="5">
        <v>214</v>
      </c>
      <c r="F1435" s="5">
        <f>ROUND(Source!AS1418,O1435)</f>
        <v>0</v>
      </c>
      <c r="G1435" s="5" t="s">
        <v>56</v>
      </c>
      <c r="H1435" s="5" t="s">
        <v>57</v>
      </c>
      <c r="I1435" s="5"/>
      <c r="J1435" s="5"/>
      <c r="K1435" s="5">
        <v>214</v>
      </c>
      <c r="L1435" s="5">
        <v>16</v>
      </c>
      <c r="M1435" s="5">
        <v>3</v>
      </c>
      <c r="N1435" s="5" t="s">
        <v>3</v>
      </c>
      <c r="O1435" s="5">
        <v>2</v>
      </c>
      <c r="P1435" s="5">
        <f>ROUND(Source!EK1418,O1435)</f>
        <v>104310.34</v>
      </c>
      <c r="Q1435" s="5"/>
      <c r="R1435" s="5"/>
      <c r="S1435" s="5"/>
      <c r="T1435" s="5"/>
      <c r="U1435" s="5"/>
      <c r="V1435" s="5"/>
      <c r="W1435" s="5">
        <v>0</v>
      </c>
      <c r="X1435" s="5">
        <v>1</v>
      </c>
      <c r="Y1435" s="5">
        <v>0</v>
      </c>
      <c r="Z1435" s="5">
        <v>104310.34</v>
      </c>
      <c r="AA1435" s="5">
        <v>1</v>
      </c>
      <c r="AB1435" s="5">
        <v>104310.34</v>
      </c>
    </row>
    <row r="1436" spans="1:28" x14ac:dyDescent="0.2">
      <c r="A1436" s="5">
        <v>50</v>
      </c>
      <c r="B1436" s="5">
        <v>0</v>
      </c>
      <c r="C1436" s="5">
        <v>0</v>
      </c>
      <c r="D1436" s="5">
        <v>1</v>
      </c>
      <c r="E1436" s="5">
        <v>215</v>
      </c>
      <c r="F1436" s="5">
        <f>ROUND(Source!AT1418,O1436)</f>
        <v>0</v>
      </c>
      <c r="G1436" s="5" t="s">
        <v>58</v>
      </c>
      <c r="H1436" s="5" t="s">
        <v>59</v>
      </c>
      <c r="I1436" s="5"/>
      <c r="J1436" s="5"/>
      <c r="K1436" s="5">
        <v>215</v>
      </c>
      <c r="L1436" s="5">
        <v>17</v>
      </c>
      <c r="M1436" s="5">
        <v>3</v>
      </c>
      <c r="N1436" s="5" t="s">
        <v>3</v>
      </c>
      <c r="O1436" s="5">
        <v>2</v>
      </c>
      <c r="P1436" s="5">
        <f>ROUND(Source!EL1418,O1436)</f>
        <v>0</v>
      </c>
      <c r="Q1436" s="5"/>
      <c r="R1436" s="5"/>
      <c r="S1436" s="5"/>
      <c r="T1436" s="5"/>
      <c r="U1436" s="5"/>
      <c r="V1436" s="5"/>
      <c r="W1436" s="5">
        <v>0</v>
      </c>
      <c r="X1436" s="5">
        <v>1</v>
      </c>
      <c r="Y1436" s="5">
        <v>0</v>
      </c>
      <c r="Z1436" s="5">
        <v>0</v>
      </c>
      <c r="AA1436" s="5">
        <v>1</v>
      </c>
      <c r="AB1436" s="5">
        <v>0</v>
      </c>
    </row>
    <row r="1437" spans="1:28" x14ac:dyDescent="0.2">
      <c r="A1437" s="5">
        <v>50</v>
      </c>
      <c r="B1437" s="5">
        <v>0</v>
      </c>
      <c r="C1437" s="5">
        <v>0</v>
      </c>
      <c r="D1437" s="5">
        <v>1</v>
      </c>
      <c r="E1437" s="5">
        <v>217</v>
      </c>
      <c r="F1437" s="5">
        <f>ROUND(Source!AU1418,O1437)</f>
        <v>0</v>
      </c>
      <c r="G1437" s="5" t="s">
        <v>60</v>
      </c>
      <c r="H1437" s="5" t="s">
        <v>61</v>
      </c>
      <c r="I1437" s="5"/>
      <c r="J1437" s="5"/>
      <c r="K1437" s="5">
        <v>217</v>
      </c>
      <c r="L1437" s="5">
        <v>18</v>
      </c>
      <c r="M1437" s="5">
        <v>3</v>
      </c>
      <c r="N1437" s="5" t="s">
        <v>3</v>
      </c>
      <c r="O1437" s="5">
        <v>2</v>
      </c>
      <c r="P1437" s="5">
        <f>ROUND(Source!EM1418,O1437)</f>
        <v>0</v>
      </c>
      <c r="Q1437" s="5"/>
      <c r="R1437" s="5"/>
      <c r="S1437" s="5"/>
      <c r="T1437" s="5"/>
      <c r="U1437" s="5"/>
      <c r="V1437" s="5"/>
      <c r="W1437" s="5">
        <v>0</v>
      </c>
      <c r="X1437" s="5">
        <v>1</v>
      </c>
      <c r="Y1437" s="5">
        <v>0</v>
      </c>
      <c r="Z1437" s="5">
        <v>0</v>
      </c>
      <c r="AA1437" s="5">
        <v>1</v>
      </c>
      <c r="AB1437" s="5">
        <v>0</v>
      </c>
    </row>
    <row r="1438" spans="1:28" x14ac:dyDescent="0.2">
      <c r="A1438" s="5">
        <v>50</v>
      </c>
      <c r="B1438" s="5">
        <v>0</v>
      </c>
      <c r="C1438" s="5">
        <v>0</v>
      </c>
      <c r="D1438" s="5">
        <v>1</v>
      </c>
      <c r="E1438" s="5">
        <v>230</v>
      </c>
      <c r="F1438" s="5">
        <f>ROUND(Source!BA1418,O1438)</f>
        <v>0</v>
      </c>
      <c r="G1438" s="5" t="s">
        <v>62</v>
      </c>
      <c r="H1438" s="5" t="s">
        <v>63</v>
      </c>
      <c r="I1438" s="5"/>
      <c r="J1438" s="5"/>
      <c r="K1438" s="5">
        <v>230</v>
      </c>
      <c r="L1438" s="5">
        <v>19</v>
      </c>
      <c r="M1438" s="5">
        <v>3</v>
      </c>
      <c r="N1438" s="5" t="s">
        <v>3</v>
      </c>
      <c r="O1438" s="5">
        <v>2</v>
      </c>
      <c r="P1438" s="5">
        <f>ROUND(Source!ES1418,O1438)</f>
        <v>0</v>
      </c>
      <c r="Q1438" s="5"/>
      <c r="R1438" s="5"/>
      <c r="S1438" s="5"/>
      <c r="T1438" s="5"/>
      <c r="U1438" s="5"/>
      <c r="V1438" s="5"/>
      <c r="W1438" s="5">
        <v>0</v>
      </c>
      <c r="X1438" s="5">
        <v>1</v>
      </c>
      <c r="Y1438" s="5">
        <v>0</v>
      </c>
      <c r="Z1438" s="5">
        <v>0</v>
      </c>
      <c r="AA1438" s="5">
        <v>1</v>
      </c>
      <c r="AB1438" s="5">
        <v>0</v>
      </c>
    </row>
    <row r="1439" spans="1:28" x14ac:dyDescent="0.2">
      <c r="A1439" s="5">
        <v>50</v>
      </c>
      <c r="B1439" s="5">
        <v>0</v>
      </c>
      <c r="C1439" s="5">
        <v>0</v>
      </c>
      <c r="D1439" s="5">
        <v>1</v>
      </c>
      <c r="E1439" s="5">
        <v>206</v>
      </c>
      <c r="F1439" s="5">
        <f>ROUND(Source!T1418,O1439)</f>
        <v>0</v>
      </c>
      <c r="G1439" s="5" t="s">
        <v>64</v>
      </c>
      <c r="H1439" s="5" t="s">
        <v>65</v>
      </c>
      <c r="I1439" s="5"/>
      <c r="J1439" s="5"/>
      <c r="K1439" s="5">
        <v>206</v>
      </c>
      <c r="L1439" s="5">
        <v>20</v>
      </c>
      <c r="M1439" s="5">
        <v>3</v>
      </c>
      <c r="N1439" s="5" t="s">
        <v>3</v>
      </c>
      <c r="O1439" s="5">
        <v>2</v>
      </c>
      <c r="P1439" s="5">
        <f>ROUND(Source!DL1418,O1439)</f>
        <v>0</v>
      </c>
      <c r="Q1439" s="5"/>
      <c r="R1439" s="5"/>
      <c r="S1439" s="5"/>
      <c r="T1439" s="5"/>
      <c r="U1439" s="5"/>
      <c r="V1439" s="5"/>
      <c r="W1439" s="5">
        <v>0</v>
      </c>
      <c r="X1439" s="5">
        <v>1</v>
      </c>
      <c r="Y1439" s="5">
        <v>0</v>
      </c>
      <c r="Z1439" s="5">
        <v>0</v>
      </c>
      <c r="AA1439" s="5">
        <v>1</v>
      </c>
      <c r="AB1439" s="5">
        <v>0</v>
      </c>
    </row>
    <row r="1440" spans="1:28" x14ac:dyDescent="0.2">
      <c r="A1440" s="5">
        <v>50</v>
      </c>
      <c r="B1440" s="5">
        <v>0</v>
      </c>
      <c r="C1440" s="5">
        <v>0</v>
      </c>
      <c r="D1440" s="5">
        <v>1</v>
      </c>
      <c r="E1440" s="5">
        <v>207</v>
      </c>
      <c r="F1440" s="5">
        <f>Source!U1418</f>
        <v>0</v>
      </c>
      <c r="G1440" s="5" t="s">
        <v>66</v>
      </c>
      <c r="H1440" s="5" t="s">
        <v>67</v>
      </c>
      <c r="I1440" s="5"/>
      <c r="J1440" s="5"/>
      <c r="K1440" s="5">
        <v>207</v>
      </c>
      <c r="L1440" s="5">
        <v>21</v>
      </c>
      <c r="M1440" s="5">
        <v>3</v>
      </c>
      <c r="N1440" s="5" t="s">
        <v>3</v>
      </c>
      <c r="O1440" s="5">
        <v>-1</v>
      </c>
      <c r="P1440" s="5">
        <f>Source!DM1418</f>
        <v>0</v>
      </c>
      <c r="Q1440" s="5"/>
      <c r="R1440" s="5"/>
      <c r="S1440" s="5"/>
      <c r="T1440" s="5"/>
      <c r="U1440" s="5"/>
      <c r="V1440" s="5"/>
      <c r="W1440" s="5">
        <v>0</v>
      </c>
      <c r="X1440" s="5">
        <v>1</v>
      </c>
      <c r="Y1440" s="5">
        <v>0</v>
      </c>
      <c r="Z1440" s="5">
        <v>0</v>
      </c>
      <c r="AA1440" s="5">
        <v>1</v>
      </c>
      <c r="AB1440" s="5">
        <v>0</v>
      </c>
    </row>
    <row r="1441" spans="1:206" x14ac:dyDescent="0.2">
      <c r="A1441" s="5">
        <v>50</v>
      </c>
      <c r="B1441" s="5">
        <v>0</v>
      </c>
      <c r="C1441" s="5">
        <v>0</v>
      </c>
      <c r="D1441" s="5">
        <v>1</v>
      </c>
      <c r="E1441" s="5">
        <v>208</v>
      </c>
      <c r="F1441" s="5">
        <f>Source!V1418</f>
        <v>0</v>
      </c>
      <c r="G1441" s="5" t="s">
        <v>68</v>
      </c>
      <c r="H1441" s="5" t="s">
        <v>69</v>
      </c>
      <c r="I1441" s="5"/>
      <c r="J1441" s="5"/>
      <c r="K1441" s="5">
        <v>208</v>
      </c>
      <c r="L1441" s="5">
        <v>22</v>
      </c>
      <c r="M1441" s="5">
        <v>3</v>
      </c>
      <c r="N1441" s="5" t="s">
        <v>3</v>
      </c>
      <c r="O1441" s="5">
        <v>-1</v>
      </c>
      <c r="P1441" s="5">
        <f>Source!DN1418</f>
        <v>0</v>
      </c>
      <c r="Q1441" s="5"/>
      <c r="R1441" s="5"/>
      <c r="S1441" s="5"/>
      <c r="T1441" s="5"/>
      <c r="U1441" s="5"/>
      <c r="V1441" s="5"/>
      <c r="W1441" s="5">
        <v>0</v>
      </c>
      <c r="X1441" s="5">
        <v>1</v>
      </c>
      <c r="Y1441" s="5">
        <v>0</v>
      </c>
      <c r="Z1441" s="5">
        <v>0</v>
      </c>
      <c r="AA1441" s="5">
        <v>1</v>
      </c>
      <c r="AB1441" s="5">
        <v>0</v>
      </c>
    </row>
    <row r="1442" spans="1:206" x14ac:dyDescent="0.2">
      <c r="A1442" s="5">
        <v>50</v>
      </c>
      <c r="B1442" s="5">
        <v>0</v>
      </c>
      <c r="C1442" s="5">
        <v>0</v>
      </c>
      <c r="D1442" s="5">
        <v>1</v>
      </c>
      <c r="E1442" s="5">
        <v>209</v>
      </c>
      <c r="F1442" s="5">
        <f>ROUND(Source!W1418,O1442)</f>
        <v>0</v>
      </c>
      <c r="G1442" s="5" t="s">
        <v>70</v>
      </c>
      <c r="H1442" s="5" t="s">
        <v>71</v>
      </c>
      <c r="I1442" s="5"/>
      <c r="J1442" s="5"/>
      <c r="K1442" s="5">
        <v>209</v>
      </c>
      <c r="L1442" s="5">
        <v>23</v>
      </c>
      <c r="M1442" s="5">
        <v>3</v>
      </c>
      <c r="N1442" s="5" t="s">
        <v>3</v>
      </c>
      <c r="O1442" s="5">
        <v>2</v>
      </c>
      <c r="P1442" s="5">
        <f>ROUND(Source!DO1418,O1442)</f>
        <v>0</v>
      </c>
      <c r="Q1442" s="5"/>
      <c r="R1442" s="5"/>
      <c r="S1442" s="5"/>
      <c r="T1442" s="5"/>
      <c r="U1442" s="5"/>
      <c r="V1442" s="5"/>
      <c r="W1442" s="5">
        <v>0</v>
      </c>
      <c r="X1442" s="5">
        <v>1</v>
      </c>
      <c r="Y1442" s="5">
        <v>0</v>
      </c>
      <c r="Z1442" s="5">
        <v>0</v>
      </c>
      <c r="AA1442" s="5">
        <v>1</v>
      </c>
      <c r="AB1442" s="5">
        <v>0</v>
      </c>
    </row>
    <row r="1443" spans="1:206" x14ac:dyDescent="0.2">
      <c r="A1443" s="5">
        <v>50</v>
      </c>
      <c r="B1443" s="5">
        <v>0</v>
      </c>
      <c r="C1443" s="5">
        <v>0</v>
      </c>
      <c r="D1443" s="5">
        <v>1</v>
      </c>
      <c r="E1443" s="5">
        <v>233</v>
      </c>
      <c r="F1443" s="5">
        <f>ROUND(Source!BD1418,O1443)</f>
        <v>0</v>
      </c>
      <c r="G1443" s="5" t="s">
        <v>72</v>
      </c>
      <c r="H1443" s="5" t="s">
        <v>73</v>
      </c>
      <c r="I1443" s="5"/>
      <c r="J1443" s="5"/>
      <c r="K1443" s="5">
        <v>233</v>
      </c>
      <c r="L1443" s="5">
        <v>24</v>
      </c>
      <c r="M1443" s="5">
        <v>3</v>
      </c>
      <c r="N1443" s="5" t="s">
        <v>3</v>
      </c>
      <c r="O1443" s="5">
        <v>2</v>
      </c>
      <c r="P1443" s="5">
        <f>ROUND(Source!EV1418,O1443)</f>
        <v>0</v>
      </c>
      <c r="Q1443" s="5"/>
      <c r="R1443" s="5"/>
      <c r="S1443" s="5"/>
      <c r="T1443" s="5"/>
      <c r="U1443" s="5"/>
      <c r="V1443" s="5"/>
      <c r="W1443" s="5">
        <v>0</v>
      </c>
      <c r="X1443" s="5">
        <v>1</v>
      </c>
      <c r="Y1443" s="5">
        <v>0</v>
      </c>
      <c r="Z1443" s="5">
        <v>0</v>
      </c>
      <c r="AA1443" s="5">
        <v>1</v>
      </c>
      <c r="AB1443" s="5">
        <v>0</v>
      </c>
    </row>
    <row r="1444" spans="1:206" x14ac:dyDescent="0.2">
      <c r="A1444" s="5">
        <v>50</v>
      </c>
      <c r="B1444" s="5">
        <v>0</v>
      </c>
      <c r="C1444" s="5">
        <v>0</v>
      </c>
      <c r="D1444" s="5">
        <v>1</v>
      </c>
      <c r="E1444" s="5">
        <v>210</v>
      </c>
      <c r="F1444" s="5">
        <f>ROUND(Source!X1418,O1444)</f>
        <v>0</v>
      </c>
      <c r="G1444" s="5" t="s">
        <v>74</v>
      </c>
      <c r="H1444" s="5" t="s">
        <v>75</v>
      </c>
      <c r="I1444" s="5"/>
      <c r="J1444" s="5"/>
      <c r="K1444" s="5">
        <v>210</v>
      </c>
      <c r="L1444" s="5">
        <v>25</v>
      </c>
      <c r="M1444" s="5">
        <v>3</v>
      </c>
      <c r="N1444" s="5" t="s">
        <v>3</v>
      </c>
      <c r="O1444" s="5">
        <v>2</v>
      </c>
      <c r="P1444" s="5">
        <f>ROUND(Source!DP1418,O1444)</f>
        <v>0</v>
      </c>
      <c r="Q1444" s="5"/>
      <c r="R1444" s="5"/>
      <c r="S1444" s="5"/>
      <c r="T1444" s="5"/>
      <c r="U1444" s="5"/>
      <c r="V1444" s="5"/>
      <c r="W1444" s="5">
        <v>0</v>
      </c>
      <c r="X1444" s="5">
        <v>1</v>
      </c>
      <c r="Y1444" s="5">
        <v>0</v>
      </c>
      <c r="Z1444" s="5">
        <v>0</v>
      </c>
      <c r="AA1444" s="5">
        <v>1</v>
      </c>
      <c r="AB1444" s="5">
        <v>0</v>
      </c>
    </row>
    <row r="1445" spans="1:206" x14ac:dyDescent="0.2">
      <c r="A1445" s="5">
        <v>50</v>
      </c>
      <c r="B1445" s="5">
        <v>0</v>
      </c>
      <c r="C1445" s="5">
        <v>0</v>
      </c>
      <c r="D1445" s="5">
        <v>1</v>
      </c>
      <c r="E1445" s="5">
        <v>211</v>
      </c>
      <c r="F1445" s="5">
        <f>ROUND(Source!Y1418,O1445)</f>
        <v>0</v>
      </c>
      <c r="G1445" s="5" t="s">
        <v>76</v>
      </c>
      <c r="H1445" s="5" t="s">
        <v>77</v>
      </c>
      <c r="I1445" s="5"/>
      <c r="J1445" s="5"/>
      <c r="K1445" s="5">
        <v>211</v>
      </c>
      <c r="L1445" s="5">
        <v>26</v>
      </c>
      <c r="M1445" s="5">
        <v>3</v>
      </c>
      <c r="N1445" s="5" t="s">
        <v>3</v>
      </c>
      <c r="O1445" s="5">
        <v>2</v>
      </c>
      <c r="P1445" s="5">
        <f>ROUND(Source!DQ1418,O1445)</f>
        <v>0</v>
      </c>
      <c r="Q1445" s="5"/>
      <c r="R1445" s="5"/>
      <c r="S1445" s="5"/>
      <c r="T1445" s="5"/>
      <c r="U1445" s="5"/>
      <c r="V1445" s="5"/>
      <c r="W1445" s="5">
        <v>0</v>
      </c>
      <c r="X1445" s="5">
        <v>1</v>
      </c>
      <c r="Y1445" s="5">
        <v>0</v>
      </c>
      <c r="Z1445" s="5">
        <v>0</v>
      </c>
      <c r="AA1445" s="5">
        <v>1</v>
      </c>
      <c r="AB1445" s="5">
        <v>0</v>
      </c>
    </row>
    <row r="1446" spans="1:206" x14ac:dyDescent="0.2">
      <c r="A1446" s="5">
        <v>50</v>
      </c>
      <c r="B1446" s="5">
        <v>0</v>
      </c>
      <c r="C1446" s="5">
        <v>0</v>
      </c>
      <c r="D1446" s="5">
        <v>1</v>
      </c>
      <c r="E1446" s="5">
        <v>224</v>
      </c>
      <c r="F1446" s="5">
        <f>ROUND(Source!AR1418,O1446)</f>
        <v>573.29999999999995</v>
      </c>
      <c r="G1446" s="5" t="s">
        <v>78</v>
      </c>
      <c r="H1446" s="5" t="s">
        <v>79</v>
      </c>
      <c r="I1446" s="5"/>
      <c r="J1446" s="5"/>
      <c r="K1446" s="5">
        <v>224</v>
      </c>
      <c r="L1446" s="5">
        <v>27</v>
      </c>
      <c r="M1446" s="5">
        <v>3</v>
      </c>
      <c r="N1446" s="5" t="s">
        <v>3</v>
      </c>
      <c r="O1446" s="5">
        <v>2</v>
      </c>
      <c r="P1446" s="5">
        <f>ROUND(Source!EJ1418,O1446)</f>
        <v>221813.53</v>
      </c>
      <c r="Q1446" s="5"/>
      <c r="R1446" s="5"/>
      <c r="S1446" s="5"/>
      <c r="T1446" s="5"/>
      <c r="U1446" s="5"/>
      <c r="V1446" s="5"/>
      <c r="W1446" s="5">
        <v>573.29999999999995</v>
      </c>
      <c r="X1446" s="5">
        <v>1</v>
      </c>
      <c r="Y1446" s="5">
        <v>573.29999999999995</v>
      </c>
      <c r="Z1446" s="5">
        <v>221813.53</v>
      </c>
      <c r="AA1446" s="5">
        <v>1</v>
      </c>
      <c r="AB1446" s="5">
        <v>221813.53</v>
      </c>
    </row>
    <row r="1448" spans="1:206" x14ac:dyDescent="0.2">
      <c r="A1448" s="3">
        <v>51</v>
      </c>
      <c r="B1448" s="3">
        <f>B1324</f>
        <v>1</v>
      </c>
      <c r="C1448" s="3">
        <f>A1324</f>
        <v>3</v>
      </c>
      <c r="D1448" s="3">
        <f>ROW(A1324)</f>
        <v>1324</v>
      </c>
      <c r="E1448" s="3"/>
      <c r="F1448" s="3" t="str">
        <f>IF(F1324&lt;&gt;"",F1324,"")</f>
        <v>02-01-07</v>
      </c>
      <c r="G1448" s="3" t="str">
        <f>IF(G1324&lt;&gt;"",G1324,"")</f>
        <v>Мероприятия по обеспечению доступа инвалидов</v>
      </c>
      <c r="H1448" s="3">
        <v>0</v>
      </c>
      <c r="I1448" s="3"/>
      <c r="J1448" s="3"/>
      <c r="K1448" s="3"/>
      <c r="L1448" s="3"/>
      <c r="M1448" s="3"/>
      <c r="N1448" s="3"/>
      <c r="O1448" s="3">
        <f t="shared" ref="O1448:T1448" si="1219">ROUND(O1357+O1418+AB1448,2)</f>
        <v>5463.34</v>
      </c>
      <c r="P1448" s="3">
        <f t="shared" si="1219"/>
        <v>2385.67</v>
      </c>
      <c r="Q1448" s="3">
        <f t="shared" si="1219"/>
        <v>461.55</v>
      </c>
      <c r="R1448" s="3">
        <f t="shared" si="1219"/>
        <v>83.13</v>
      </c>
      <c r="S1448" s="3">
        <f t="shared" si="1219"/>
        <v>2616.12</v>
      </c>
      <c r="T1448" s="3">
        <f t="shared" si="1219"/>
        <v>0</v>
      </c>
      <c r="U1448" s="3">
        <f>U1357+U1418+AH1448</f>
        <v>197.07243700000001</v>
      </c>
      <c r="V1448" s="3">
        <f>V1357+V1418+AI1448</f>
        <v>0</v>
      </c>
      <c r="W1448" s="3">
        <f>ROUND(W1357+W1418+AJ1448,2)</f>
        <v>0</v>
      </c>
      <c r="X1448" s="3">
        <f>ROUND(X1357+X1418+AK1448,2)</f>
        <v>2469.46</v>
      </c>
      <c r="Y1448" s="3">
        <f>ROUND(Y1357+Y1418+AL1448,2)</f>
        <v>1889.09</v>
      </c>
      <c r="Z1448" s="3"/>
      <c r="AA1448" s="3"/>
      <c r="AB1448" s="3"/>
      <c r="AC1448" s="3"/>
      <c r="AD1448" s="3"/>
      <c r="AE1448" s="3"/>
      <c r="AF1448" s="3"/>
      <c r="AG1448" s="3"/>
      <c r="AH1448" s="3"/>
      <c r="AI1448" s="3"/>
      <c r="AJ1448" s="3"/>
      <c r="AK1448" s="3"/>
      <c r="AL1448" s="3"/>
      <c r="AM1448" s="3"/>
      <c r="AN1448" s="3"/>
      <c r="AO1448" s="3">
        <f t="shared" ref="AO1448:BD1448" si="1220">ROUND(AO1357+AO1418+BX1448,2)</f>
        <v>0</v>
      </c>
      <c r="AP1448" s="3">
        <f t="shared" si="1220"/>
        <v>573.29999999999995</v>
      </c>
      <c r="AQ1448" s="3">
        <f t="shared" si="1220"/>
        <v>0</v>
      </c>
      <c r="AR1448" s="3">
        <f t="shared" si="1220"/>
        <v>9967.3700000000008</v>
      </c>
      <c r="AS1448" s="3">
        <f t="shared" si="1220"/>
        <v>4808.2</v>
      </c>
      <c r="AT1448" s="3">
        <f t="shared" si="1220"/>
        <v>4585.87</v>
      </c>
      <c r="AU1448" s="3">
        <f t="shared" si="1220"/>
        <v>0</v>
      </c>
      <c r="AV1448" s="3">
        <f t="shared" si="1220"/>
        <v>2385.67</v>
      </c>
      <c r="AW1448" s="3">
        <f t="shared" si="1220"/>
        <v>1812.37</v>
      </c>
      <c r="AX1448" s="3">
        <f t="shared" si="1220"/>
        <v>0</v>
      </c>
      <c r="AY1448" s="3">
        <f t="shared" si="1220"/>
        <v>1812.37</v>
      </c>
      <c r="AZ1448" s="3">
        <f t="shared" si="1220"/>
        <v>573.29999999999995</v>
      </c>
      <c r="BA1448" s="3">
        <f t="shared" si="1220"/>
        <v>0</v>
      </c>
      <c r="BB1448" s="3">
        <f t="shared" si="1220"/>
        <v>0</v>
      </c>
      <c r="BC1448" s="3">
        <f t="shared" si="1220"/>
        <v>0</v>
      </c>
      <c r="BD1448" s="3">
        <f t="shared" si="1220"/>
        <v>0</v>
      </c>
      <c r="BE1448" s="3"/>
      <c r="BF1448" s="3"/>
      <c r="BG1448" s="3"/>
      <c r="BH1448" s="3"/>
      <c r="BI1448" s="3"/>
      <c r="BJ1448" s="3"/>
      <c r="BK1448" s="3"/>
      <c r="BL1448" s="3"/>
      <c r="BM1448" s="3"/>
      <c r="BN1448" s="3"/>
      <c r="BO1448" s="3"/>
      <c r="BP1448" s="3"/>
      <c r="BQ1448" s="3"/>
      <c r="BR1448" s="3"/>
      <c r="BS1448" s="3"/>
      <c r="BT1448" s="3"/>
      <c r="BU1448" s="3"/>
      <c r="BV1448" s="3"/>
      <c r="BW1448" s="3"/>
      <c r="BX1448" s="3"/>
      <c r="BY1448" s="3"/>
      <c r="BZ1448" s="3"/>
      <c r="CA1448" s="3"/>
      <c r="CB1448" s="3"/>
      <c r="CC1448" s="3"/>
      <c r="CD1448" s="3"/>
      <c r="CE1448" s="3"/>
      <c r="CF1448" s="3"/>
      <c r="CG1448" s="3"/>
      <c r="CH1448" s="3"/>
      <c r="CI1448" s="3"/>
      <c r="CJ1448" s="3"/>
      <c r="CK1448" s="3"/>
      <c r="CL1448" s="3"/>
      <c r="CM1448" s="3"/>
      <c r="CN1448" s="3"/>
      <c r="CO1448" s="3"/>
      <c r="CP1448" s="3"/>
      <c r="CQ1448" s="3"/>
      <c r="CR1448" s="3"/>
      <c r="CS1448" s="3"/>
      <c r="CT1448" s="3"/>
      <c r="CU1448" s="3"/>
      <c r="CV1448" s="3"/>
      <c r="CW1448" s="3"/>
      <c r="CX1448" s="3"/>
      <c r="CY1448" s="3"/>
      <c r="CZ1448" s="3"/>
      <c r="DA1448" s="3"/>
      <c r="DB1448" s="3"/>
      <c r="DC1448" s="3"/>
      <c r="DD1448" s="3"/>
      <c r="DE1448" s="3"/>
      <c r="DF1448" s="3"/>
      <c r="DG1448" s="4">
        <f t="shared" ref="DG1448:DL1448" si="1221">ROUND(DG1357+DG1418+DT1448,2)</f>
        <v>397833.88</v>
      </c>
      <c r="DH1448" s="4">
        <f t="shared" si="1221"/>
        <v>316469.96000000002</v>
      </c>
      <c r="DI1448" s="4">
        <f t="shared" si="1221"/>
        <v>5417.96</v>
      </c>
      <c r="DJ1448" s="4">
        <f t="shared" si="1221"/>
        <v>2413.27</v>
      </c>
      <c r="DK1448" s="4">
        <f t="shared" si="1221"/>
        <v>75945.960000000006</v>
      </c>
      <c r="DL1448" s="4">
        <f t="shared" si="1221"/>
        <v>0</v>
      </c>
      <c r="DM1448" s="4">
        <f>DM1357+DM1418+DZ1448</f>
        <v>197.07243700000001</v>
      </c>
      <c r="DN1448" s="4">
        <f>DN1357+DN1418+EA1448</f>
        <v>0</v>
      </c>
      <c r="DO1448" s="4">
        <f>ROUND(DO1357+DO1418+EB1448,2)</f>
        <v>0</v>
      </c>
      <c r="DP1448" s="4">
        <f>ROUND(DP1357+DP1418+EC1448,2)</f>
        <v>58390.84</v>
      </c>
      <c r="DQ1448" s="4">
        <f>ROUND(DQ1357+DQ1418+ED1448,2)</f>
        <v>31137.83</v>
      </c>
      <c r="DR1448" s="4"/>
      <c r="DS1448" s="4"/>
      <c r="DT1448" s="4"/>
      <c r="DU1448" s="4"/>
      <c r="DV1448" s="4"/>
      <c r="DW1448" s="4"/>
      <c r="DX1448" s="4"/>
      <c r="DY1448" s="4"/>
      <c r="DZ1448" s="4"/>
      <c r="EA1448" s="4"/>
      <c r="EB1448" s="4"/>
      <c r="EC1448" s="4"/>
      <c r="ED1448" s="4"/>
      <c r="EE1448" s="4"/>
      <c r="EF1448" s="4"/>
      <c r="EG1448" s="4">
        <f t="shared" ref="EG1448:EV1448" si="1222">ROUND(EG1357+EG1418+FP1448,2)</f>
        <v>0</v>
      </c>
      <c r="EH1448" s="4">
        <f t="shared" si="1222"/>
        <v>117503.19</v>
      </c>
      <c r="EI1448" s="4">
        <f t="shared" si="1222"/>
        <v>0</v>
      </c>
      <c r="EJ1448" s="4">
        <f t="shared" si="1222"/>
        <v>491223.79</v>
      </c>
      <c r="EK1448" s="4">
        <f t="shared" si="1222"/>
        <v>258961.47</v>
      </c>
      <c r="EL1448" s="4">
        <f t="shared" si="1222"/>
        <v>114759.13</v>
      </c>
      <c r="EM1448" s="4">
        <f t="shared" si="1222"/>
        <v>0</v>
      </c>
      <c r="EN1448" s="4">
        <f t="shared" si="1222"/>
        <v>316469.96000000002</v>
      </c>
      <c r="EO1448" s="4">
        <f t="shared" si="1222"/>
        <v>198966.77</v>
      </c>
      <c r="EP1448" s="4">
        <f t="shared" si="1222"/>
        <v>0</v>
      </c>
      <c r="EQ1448" s="4">
        <f t="shared" si="1222"/>
        <v>198966.77</v>
      </c>
      <c r="ER1448" s="4">
        <f t="shared" si="1222"/>
        <v>117503.19</v>
      </c>
      <c r="ES1448" s="4">
        <f t="shared" si="1222"/>
        <v>0</v>
      </c>
      <c r="ET1448" s="4">
        <f t="shared" si="1222"/>
        <v>0</v>
      </c>
      <c r="EU1448" s="4">
        <f t="shared" si="1222"/>
        <v>0</v>
      </c>
      <c r="EV1448" s="4">
        <f t="shared" si="1222"/>
        <v>0</v>
      </c>
      <c r="EW1448" s="4"/>
      <c r="EX1448" s="4"/>
      <c r="EY1448" s="4"/>
      <c r="EZ1448" s="4"/>
      <c r="FA1448" s="4"/>
      <c r="FB1448" s="4"/>
      <c r="FC1448" s="4"/>
      <c r="FD1448" s="4"/>
      <c r="FE1448" s="4"/>
      <c r="FF1448" s="4"/>
      <c r="FG1448" s="4"/>
      <c r="FH1448" s="4"/>
      <c r="FI1448" s="4"/>
      <c r="FJ1448" s="4"/>
      <c r="FK1448" s="4"/>
      <c r="FL1448" s="4"/>
      <c r="FM1448" s="4"/>
      <c r="FN1448" s="4"/>
      <c r="FO1448" s="4"/>
      <c r="FP1448" s="4"/>
      <c r="FQ1448" s="4"/>
      <c r="FR1448" s="4"/>
      <c r="FS1448" s="4"/>
      <c r="FT1448" s="4"/>
      <c r="FU1448" s="4"/>
      <c r="FV1448" s="4"/>
      <c r="FW1448" s="4"/>
      <c r="FX1448" s="4"/>
      <c r="FY1448" s="4"/>
      <c r="FZ1448" s="4"/>
      <c r="GA1448" s="4"/>
      <c r="GB1448" s="4"/>
      <c r="GC1448" s="4"/>
      <c r="GD1448" s="4"/>
      <c r="GE1448" s="4"/>
      <c r="GF1448" s="4"/>
      <c r="GG1448" s="4"/>
      <c r="GH1448" s="4"/>
      <c r="GI1448" s="4"/>
      <c r="GJ1448" s="4"/>
      <c r="GK1448" s="4"/>
      <c r="GL1448" s="4"/>
      <c r="GM1448" s="4"/>
      <c r="GN1448" s="4"/>
      <c r="GO1448" s="4"/>
      <c r="GP1448" s="4"/>
      <c r="GQ1448" s="4"/>
      <c r="GR1448" s="4"/>
      <c r="GS1448" s="4"/>
      <c r="GT1448" s="4"/>
      <c r="GU1448" s="4"/>
      <c r="GV1448" s="4"/>
      <c r="GW1448" s="4"/>
      <c r="GX1448" s="4">
        <v>0</v>
      </c>
    </row>
    <row r="1450" spans="1:206" x14ac:dyDescent="0.2">
      <c r="A1450" s="5">
        <v>50</v>
      </c>
      <c r="B1450" s="5">
        <v>0</v>
      </c>
      <c r="C1450" s="5">
        <v>0</v>
      </c>
      <c r="D1450" s="5">
        <v>1</v>
      </c>
      <c r="E1450" s="5">
        <v>201</v>
      </c>
      <c r="F1450" s="5">
        <f>ROUND(Source!O1448,O1450)</f>
        <v>5463.34</v>
      </c>
      <c r="G1450" s="5" t="s">
        <v>26</v>
      </c>
      <c r="H1450" s="5" t="s">
        <v>27</v>
      </c>
      <c r="I1450" s="5"/>
      <c r="J1450" s="5"/>
      <c r="K1450" s="5">
        <v>201</v>
      </c>
      <c r="L1450" s="5">
        <v>1</v>
      </c>
      <c r="M1450" s="5">
        <v>3</v>
      </c>
      <c r="N1450" s="5" t="s">
        <v>3</v>
      </c>
      <c r="O1450" s="5">
        <v>2</v>
      </c>
      <c r="P1450" s="5">
        <f>ROUND(Source!DG1448,O1450)</f>
        <v>397833.88</v>
      </c>
      <c r="Q1450" s="5"/>
      <c r="R1450" s="5"/>
      <c r="S1450" s="5"/>
      <c r="T1450" s="5"/>
      <c r="U1450" s="5"/>
      <c r="V1450" s="5"/>
      <c r="W1450" s="5">
        <v>5463.34</v>
      </c>
      <c r="X1450" s="5">
        <v>1</v>
      </c>
      <c r="Y1450" s="5">
        <v>5463.34</v>
      </c>
      <c r="Z1450" s="5">
        <v>397833.88</v>
      </c>
      <c r="AA1450" s="5">
        <v>1</v>
      </c>
      <c r="AB1450" s="5">
        <v>397833.88</v>
      </c>
    </row>
    <row r="1451" spans="1:206" x14ac:dyDescent="0.2">
      <c r="A1451" s="5">
        <v>50</v>
      </c>
      <c r="B1451" s="5">
        <v>0</v>
      </c>
      <c r="C1451" s="5">
        <v>0</v>
      </c>
      <c r="D1451" s="5">
        <v>1</v>
      </c>
      <c r="E1451" s="5">
        <v>202</v>
      </c>
      <c r="F1451" s="5">
        <f>ROUND(Source!P1448,O1451)</f>
        <v>2385.67</v>
      </c>
      <c r="G1451" s="5" t="s">
        <v>28</v>
      </c>
      <c r="H1451" s="5" t="s">
        <v>29</v>
      </c>
      <c r="I1451" s="5"/>
      <c r="J1451" s="5"/>
      <c r="K1451" s="5">
        <v>202</v>
      </c>
      <c r="L1451" s="5">
        <v>2</v>
      </c>
      <c r="M1451" s="5">
        <v>3</v>
      </c>
      <c r="N1451" s="5" t="s">
        <v>3</v>
      </c>
      <c r="O1451" s="5">
        <v>2</v>
      </c>
      <c r="P1451" s="5">
        <f>ROUND(Source!DH1448,O1451)</f>
        <v>316469.96000000002</v>
      </c>
      <c r="Q1451" s="5"/>
      <c r="R1451" s="5"/>
      <c r="S1451" s="5"/>
      <c r="T1451" s="5"/>
      <c r="U1451" s="5"/>
      <c r="V1451" s="5"/>
      <c r="W1451" s="5">
        <v>2385.67</v>
      </c>
      <c r="X1451" s="5">
        <v>1</v>
      </c>
      <c r="Y1451" s="5">
        <v>2385.67</v>
      </c>
      <c r="Z1451" s="5">
        <v>316469.96000000002</v>
      </c>
      <c r="AA1451" s="5">
        <v>1</v>
      </c>
      <c r="AB1451" s="5">
        <v>316469.96000000002</v>
      </c>
    </row>
    <row r="1452" spans="1:206" x14ac:dyDescent="0.2">
      <c r="A1452" s="5">
        <v>50</v>
      </c>
      <c r="B1452" s="5">
        <v>0</v>
      </c>
      <c r="C1452" s="5">
        <v>0</v>
      </c>
      <c r="D1452" s="5">
        <v>1</v>
      </c>
      <c r="E1452" s="5">
        <v>222</v>
      </c>
      <c r="F1452" s="5">
        <f>ROUND(Source!AO1448,O1452)</f>
        <v>0</v>
      </c>
      <c r="G1452" s="5" t="s">
        <v>30</v>
      </c>
      <c r="H1452" s="5" t="s">
        <v>31</v>
      </c>
      <c r="I1452" s="5"/>
      <c r="J1452" s="5"/>
      <c r="K1452" s="5">
        <v>222</v>
      </c>
      <c r="L1452" s="5">
        <v>3</v>
      </c>
      <c r="M1452" s="5">
        <v>3</v>
      </c>
      <c r="N1452" s="5" t="s">
        <v>3</v>
      </c>
      <c r="O1452" s="5">
        <v>2</v>
      </c>
      <c r="P1452" s="5">
        <f>ROUND(Source!EG1448,O1452)</f>
        <v>0</v>
      </c>
      <c r="Q1452" s="5"/>
      <c r="R1452" s="5"/>
      <c r="S1452" s="5"/>
      <c r="T1452" s="5"/>
      <c r="U1452" s="5"/>
      <c r="V1452" s="5"/>
      <c r="W1452" s="5">
        <v>0</v>
      </c>
      <c r="X1452" s="5">
        <v>1</v>
      </c>
      <c r="Y1452" s="5">
        <v>0</v>
      </c>
      <c r="Z1452" s="5">
        <v>0</v>
      </c>
      <c r="AA1452" s="5">
        <v>1</v>
      </c>
      <c r="AB1452" s="5">
        <v>0</v>
      </c>
    </row>
    <row r="1453" spans="1:206" x14ac:dyDescent="0.2">
      <c r="A1453" s="5">
        <v>50</v>
      </c>
      <c r="B1453" s="5">
        <v>0</v>
      </c>
      <c r="C1453" s="5">
        <v>0</v>
      </c>
      <c r="D1453" s="5">
        <v>1</v>
      </c>
      <c r="E1453" s="5">
        <v>225</v>
      </c>
      <c r="F1453" s="5">
        <f>ROUND(Source!AV1448,O1453)</f>
        <v>2385.67</v>
      </c>
      <c r="G1453" s="5" t="s">
        <v>32</v>
      </c>
      <c r="H1453" s="5" t="s">
        <v>33</v>
      </c>
      <c r="I1453" s="5"/>
      <c r="J1453" s="5"/>
      <c r="K1453" s="5">
        <v>225</v>
      </c>
      <c r="L1453" s="5">
        <v>4</v>
      </c>
      <c r="M1453" s="5">
        <v>3</v>
      </c>
      <c r="N1453" s="5" t="s">
        <v>3</v>
      </c>
      <c r="O1453" s="5">
        <v>2</v>
      </c>
      <c r="P1453" s="5">
        <f>ROUND(Source!EN1448,O1453)</f>
        <v>316469.96000000002</v>
      </c>
      <c r="Q1453" s="5"/>
      <c r="R1453" s="5"/>
      <c r="S1453" s="5"/>
      <c r="T1453" s="5"/>
      <c r="U1453" s="5"/>
      <c r="V1453" s="5"/>
      <c r="W1453" s="5">
        <v>2385.67</v>
      </c>
      <c r="X1453" s="5">
        <v>1</v>
      </c>
      <c r="Y1453" s="5">
        <v>2385.67</v>
      </c>
      <c r="Z1453" s="5">
        <v>316469.96000000002</v>
      </c>
      <c r="AA1453" s="5">
        <v>1</v>
      </c>
      <c r="AB1453" s="5">
        <v>316469.96000000002</v>
      </c>
    </row>
    <row r="1454" spans="1:206" x14ac:dyDescent="0.2">
      <c r="A1454" s="5">
        <v>50</v>
      </c>
      <c r="B1454" s="5">
        <v>0</v>
      </c>
      <c r="C1454" s="5">
        <v>0</v>
      </c>
      <c r="D1454" s="5">
        <v>1</v>
      </c>
      <c r="E1454" s="5">
        <v>226</v>
      </c>
      <c r="F1454" s="5">
        <f>ROUND(Source!AW1448,O1454)</f>
        <v>1812.37</v>
      </c>
      <c r="G1454" s="5" t="s">
        <v>34</v>
      </c>
      <c r="H1454" s="5" t="s">
        <v>35</v>
      </c>
      <c r="I1454" s="5"/>
      <c r="J1454" s="5"/>
      <c r="K1454" s="5">
        <v>226</v>
      </c>
      <c r="L1454" s="5">
        <v>5</v>
      </c>
      <c r="M1454" s="5">
        <v>3</v>
      </c>
      <c r="N1454" s="5" t="s">
        <v>3</v>
      </c>
      <c r="O1454" s="5">
        <v>2</v>
      </c>
      <c r="P1454" s="5">
        <f>ROUND(Source!EO1448,O1454)</f>
        <v>198966.77</v>
      </c>
      <c r="Q1454" s="5"/>
      <c r="R1454" s="5"/>
      <c r="S1454" s="5"/>
      <c r="T1454" s="5"/>
      <c r="U1454" s="5"/>
      <c r="V1454" s="5"/>
      <c r="W1454" s="5">
        <v>1812.37</v>
      </c>
      <c r="X1454" s="5">
        <v>1</v>
      </c>
      <c r="Y1454" s="5">
        <v>1812.37</v>
      </c>
      <c r="Z1454" s="5">
        <v>198966.77</v>
      </c>
      <c r="AA1454" s="5">
        <v>1</v>
      </c>
      <c r="AB1454" s="5">
        <v>198966.77</v>
      </c>
    </row>
    <row r="1455" spans="1:206" x14ac:dyDescent="0.2">
      <c r="A1455" s="5">
        <v>50</v>
      </c>
      <c r="B1455" s="5">
        <v>0</v>
      </c>
      <c r="C1455" s="5">
        <v>0</v>
      </c>
      <c r="D1455" s="5">
        <v>1</v>
      </c>
      <c r="E1455" s="5">
        <v>227</v>
      </c>
      <c r="F1455" s="5">
        <f>ROUND(Source!AX1448,O1455)</f>
        <v>0</v>
      </c>
      <c r="G1455" s="5" t="s">
        <v>36</v>
      </c>
      <c r="H1455" s="5" t="s">
        <v>37</v>
      </c>
      <c r="I1455" s="5"/>
      <c r="J1455" s="5"/>
      <c r="K1455" s="5">
        <v>227</v>
      </c>
      <c r="L1455" s="5">
        <v>6</v>
      </c>
      <c r="M1455" s="5">
        <v>3</v>
      </c>
      <c r="N1455" s="5" t="s">
        <v>3</v>
      </c>
      <c r="O1455" s="5">
        <v>2</v>
      </c>
      <c r="P1455" s="5">
        <f>ROUND(Source!EP1448,O1455)</f>
        <v>0</v>
      </c>
      <c r="Q1455" s="5"/>
      <c r="R1455" s="5"/>
      <c r="S1455" s="5"/>
      <c r="T1455" s="5"/>
      <c r="U1455" s="5"/>
      <c r="V1455" s="5"/>
      <c r="W1455" s="5">
        <v>0</v>
      </c>
      <c r="X1455" s="5">
        <v>1</v>
      </c>
      <c r="Y1455" s="5">
        <v>0</v>
      </c>
      <c r="Z1455" s="5">
        <v>0</v>
      </c>
      <c r="AA1455" s="5">
        <v>1</v>
      </c>
      <c r="AB1455" s="5">
        <v>0</v>
      </c>
    </row>
    <row r="1456" spans="1:206" x14ac:dyDescent="0.2">
      <c r="A1456" s="5">
        <v>50</v>
      </c>
      <c r="B1456" s="5">
        <v>0</v>
      </c>
      <c r="C1456" s="5">
        <v>0</v>
      </c>
      <c r="D1456" s="5">
        <v>1</v>
      </c>
      <c r="E1456" s="5">
        <v>228</v>
      </c>
      <c r="F1456" s="5">
        <f>ROUND(Source!AY1448,O1456)</f>
        <v>1812.37</v>
      </c>
      <c r="G1456" s="5" t="s">
        <v>38</v>
      </c>
      <c r="H1456" s="5" t="s">
        <v>39</v>
      </c>
      <c r="I1456" s="5"/>
      <c r="J1456" s="5"/>
      <c r="K1456" s="5">
        <v>228</v>
      </c>
      <c r="L1456" s="5">
        <v>7</v>
      </c>
      <c r="M1456" s="5">
        <v>3</v>
      </c>
      <c r="N1456" s="5" t="s">
        <v>3</v>
      </c>
      <c r="O1456" s="5">
        <v>2</v>
      </c>
      <c r="P1456" s="5">
        <f>ROUND(Source!EQ1448,O1456)</f>
        <v>198966.77</v>
      </c>
      <c r="Q1456" s="5"/>
      <c r="R1456" s="5"/>
      <c r="S1456" s="5"/>
      <c r="T1456" s="5"/>
      <c r="U1456" s="5"/>
      <c r="V1456" s="5"/>
      <c r="W1456" s="5">
        <v>1812.37</v>
      </c>
      <c r="X1456" s="5">
        <v>1</v>
      </c>
      <c r="Y1456" s="5">
        <v>1812.37</v>
      </c>
      <c r="Z1456" s="5">
        <v>198966.77</v>
      </c>
      <c r="AA1456" s="5">
        <v>1</v>
      </c>
      <c r="AB1456" s="5">
        <v>198966.77</v>
      </c>
    </row>
    <row r="1457" spans="1:28" x14ac:dyDescent="0.2">
      <c r="A1457" s="5">
        <v>50</v>
      </c>
      <c r="B1457" s="5">
        <v>0</v>
      </c>
      <c r="C1457" s="5">
        <v>0</v>
      </c>
      <c r="D1457" s="5">
        <v>1</v>
      </c>
      <c r="E1457" s="5">
        <v>216</v>
      </c>
      <c r="F1457" s="5">
        <f>ROUND(Source!AP1448,O1457)</f>
        <v>573.29999999999995</v>
      </c>
      <c r="G1457" s="5" t="s">
        <v>40</v>
      </c>
      <c r="H1457" s="5" t="s">
        <v>41</v>
      </c>
      <c r="I1457" s="5"/>
      <c r="J1457" s="5"/>
      <c r="K1457" s="5">
        <v>216</v>
      </c>
      <c r="L1457" s="5">
        <v>8</v>
      </c>
      <c r="M1457" s="5">
        <v>3</v>
      </c>
      <c r="N1457" s="5" t="s">
        <v>3</v>
      </c>
      <c r="O1457" s="5">
        <v>2</v>
      </c>
      <c r="P1457" s="5">
        <f>ROUND(Source!EH1448,O1457)</f>
        <v>117503.19</v>
      </c>
      <c r="Q1457" s="5"/>
      <c r="R1457" s="5"/>
      <c r="S1457" s="5"/>
      <c r="T1457" s="5"/>
      <c r="U1457" s="5"/>
      <c r="V1457" s="5"/>
      <c r="W1457" s="5">
        <v>573.29999999999995</v>
      </c>
      <c r="X1457" s="5">
        <v>1</v>
      </c>
      <c r="Y1457" s="5">
        <v>573.29999999999995</v>
      </c>
      <c r="Z1457" s="5">
        <v>117503.19</v>
      </c>
      <c r="AA1457" s="5">
        <v>1</v>
      </c>
      <c r="AB1457" s="5">
        <v>117503.19</v>
      </c>
    </row>
    <row r="1458" spans="1:28" x14ac:dyDescent="0.2">
      <c r="A1458" s="5">
        <v>50</v>
      </c>
      <c r="B1458" s="5">
        <v>0</v>
      </c>
      <c r="C1458" s="5">
        <v>0</v>
      </c>
      <c r="D1458" s="5">
        <v>1</v>
      </c>
      <c r="E1458" s="5">
        <v>223</v>
      </c>
      <c r="F1458" s="5">
        <f>ROUND(Source!AQ1448,O1458)</f>
        <v>0</v>
      </c>
      <c r="G1458" s="5" t="s">
        <v>42</v>
      </c>
      <c r="H1458" s="5" t="s">
        <v>43</v>
      </c>
      <c r="I1458" s="5"/>
      <c r="J1458" s="5"/>
      <c r="K1458" s="5">
        <v>223</v>
      </c>
      <c r="L1458" s="5">
        <v>9</v>
      </c>
      <c r="M1458" s="5">
        <v>3</v>
      </c>
      <c r="N1458" s="5" t="s">
        <v>3</v>
      </c>
      <c r="O1458" s="5">
        <v>2</v>
      </c>
      <c r="P1458" s="5">
        <f>ROUND(Source!EI1448,O1458)</f>
        <v>0</v>
      </c>
      <c r="Q1458" s="5"/>
      <c r="R1458" s="5"/>
      <c r="S1458" s="5"/>
      <c r="T1458" s="5"/>
      <c r="U1458" s="5"/>
      <c r="V1458" s="5"/>
      <c r="W1458" s="5">
        <v>0</v>
      </c>
      <c r="X1458" s="5">
        <v>1</v>
      </c>
      <c r="Y1458" s="5">
        <v>0</v>
      </c>
      <c r="Z1458" s="5">
        <v>0</v>
      </c>
      <c r="AA1458" s="5">
        <v>1</v>
      </c>
      <c r="AB1458" s="5">
        <v>0</v>
      </c>
    </row>
    <row r="1459" spans="1:28" x14ac:dyDescent="0.2">
      <c r="A1459" s="5">
        <v>50</v>
      </c>
      <c r="B1459" s="5">
        <v>0</v>
      </c>
      <c r="C1459" s="5">
        <v>0</v>
      </c>
      <c r="D1459" s="5">
        <v>1</v>
      </c>
      <c r="E1459" s="5">
        <v>229</v>
      </c>
      <c r="F1459" s="5">
        <f>ROUND(Source!AZ1448,O1459)</f>
        <v>573.29999999999995</v>
      </c>
      <c r="G1459" s="5" t="s">
        <v>44</v>
      </c>
      <c r="H1459" s="5" t="s">
        <v>45</v>
      </c>
      <c r="I1459" s="5"/>
      <c r="J1459" s="5"/>
      <c r="K1459" s="5">
        <v>229</v>
      </c>
      <c r="L1459" s="5">
        <v>10</v>
      </c>
      <c r="M1459" s="5">
        <v>3</v>
      </c>
      <c r="N1459" s="5" t="s">
        <v>3</v>
      </c>
      <c r="O1459" s="5">
        <v>2</v>
      </c>
      <c r="P1459" s="5">
        <f>ROUND(Source!ER1448,O1459)</f>
        <v>117503.19</v>
      </c>
      <c r="Q1459" s="5"/>
      <c r="R1459" s="5"/>
      <c r="S1459" s="5"/>
      <c r="T1459" s="5"/>
      <c r="U1459" s="5"/>
      <c r="V1459" s="5"/>
      <c r="W1459" s="5">
        <v>573.29999999999995</v>
      </c>
      <c r="X1459" s="5">
        <v>1</v>
      </c>
      <c r="Y1459" s="5">
        <v>573.29999999999995</v>
      </c>
      <c r="Z1459" s="5">
        <v>117503.19</v>
      </c>
      <c r="AA1459" s="5">
        <v>1</v>
      </c>
      <c r="AB1459" s="5">
        <v>117503.19</v>
      </c>
    </row>
    <row r="1460" spans="1:28" x14ac:dyDescent="0.2">
      <c r="A1460" s="5">
        <v>50</v>
      </c>
      <c r="B1460" s="5">
        <v>0</v>
      </c>
      <c r="C1460" s="5">
        <v>0</v>
      </c>
      <c r="D1460" s="5">
        <v>1</v>
      </c>
      <c r="E1460" s="5">
        <v>203</v>
      </c>
      <c r="F1460" s="5">
        <f>ROUND(Source!Q1448,O1460)</f>
        <v>461.55</v>
      </c>
      <c r="G1460" s="5" t="s">
        <v>46</v>
      </c>
      <c r="H1460" s="5" t="s">
        <v>47</v>
      </c>
      <c r="I1460" s="5"/>
      <c r="J1460" s="5"/>
      <c r="K1460" s="5">
        <v>203</v>
      </c>
      <c r="L1460" s="5">
        <v>11</v>
      </c>
      <c r="M1460" s="5">
        <v>3</v>
      </c>
      <c r="N1460" s="5" t="s">
        <v>3</v>
      </c>
      <c r="O1460" s="5">
        <v>2</v>
      </c>
      <c r="P1460" s="5">
        <f>ROUND(Source!DI1448,O1460)</f>
        <v>5417.96</v>
      </c>
      <c r="Q1460" s="5"/>
      <c r="R1460" s="5"/>
      <c r="S1460" s="5"/>
      <c r="T1460" s="5"/>
      <c r="U1460" s="5"/>
      <c r="V1460" s="5"/>
      <c r="W1460" s="5">
        <v>461.55</v>
      </c>
      <c r="X1460" s="5">
        <v>1</v>
      </c>
      <c r="Y1460" s="5">
        <v>461.55</v>
      </c>
      <c r="Z1460" s="5">
        <v>5417.96</v>
      </c>
      <c r="AA1460" s="5">
        <v>1</v>
      </c>
      <c r="AB1460" s="5">
        <v>5417.96</v>
      </c>
    </row>
    <row r="1461" spans="1:28" x14ac:dyDescent="0.2">
      <c r="A1461" s="5">
        <v>50</v>
      </c>
      <c r="B1461" s="5">
        <v>0</v>
      </c>
      <c r="C1461" s="5">
        <v>0</v>
      </c>
      <c r="D1461" s="5">
        <v>1</v>
      </c>
      <c r="E1461" s="5">
        <v>231</v>
      </c>
      <c r="F1461" s="5">
        <f>ROUND(Source!BB1448,O1461)</f>
        <v>0</v>
      </c>
      <c r="G1461" s="5" t="s">
        <v>48</v>
      </c>
      <c r="H1461" s="5" t="s">
        <v>49</v>
      </c>
      <c r="I1461" s="5"/>
      <c r="J1461" s="5"/>
      <c r="K1461" s="5">
        <v>231</v>
      </c>
      <c r="L1461" s="5">
        <v>12</v>
      </c>
      <c r="M1461" s="5">
        <v>3</v>
      </c>
      <c r="N1461" s="5" t="s">
        <v>3</v>
      </c>
      <c r="O1461" s="5">
        <v>2</v>
      </c>
      <c r="P1461" s="5">
        <f>ROUND(Source!ET1448,O1461)</f>
        <v>0</v>
      </c>
      <c r="Q1461" s="5"/>
      <c r="R1461" s="5"/>
      <c r="S1461" s="5"/>
      <c r="T1461" s="5"/>
      <c r="U1461" s="5"/>
      <c r="V1461" s="5"/>
      <c r="W1461" s="5">
        <v>0</v>
      </c>
      <c r="X1461" s="5">
        <v>1</v>
      </c>
      <c r="Y1461" s="5">
        <v>0</v>
      </c>
      <c r="Z1461" s="5">
        <v>0</v>
      </c>
      <c r="AA1461" s="5">
        <v>1</v>
      </c>
      <c r="AB1461" s="5">
        <v>0</v>
      </c>
    </row>
    <row r="1462" spans="1:28" x14ac:dyDescent="0.2">
      <c r="A1462" s="5">
        <v>50</v>
      </c>
      <c r="B1462" s="5">
        <v>0</v>
      </c>
      <c r="C1462" s="5">
        <v>0</v>
      </c>
      <c r="D1462" s="5">
        <v>1</v>
      </c>
      <c r="E1462" s="5">
        <v>204</v>
      </c>
      <c r="F1462" s="5">
        <f>ROUND(Source!R1448,O1462)</f>
        <v>83.13</v>
      </c>
      <c r="G1462" s="5" t="s">
        <v>50</v>
      </c>
      <c r="H1462" s="5" t="s">
        <v>51</v>
      </c>
      <c r="I1462" s="5"/>
      <c r="J1462" s="5"/>
      <c r="K1462" s="5">
        <v>204</v>
      </c>
      <c r="L1462" s="5">
        <v>13</v>
      </c>
      <c r="M1462" s="5">
        <v>3</v>
      </c>
      <c r="N1462" s="5" t="s">
        <v>3</v>
      </c>
      <c r="O1462" s="5">
        <v>2</v>
      </c>
      <c r="P1462" s="5">
        <f>ROUND(Source!DJ1448,O1462)</f>
        <v>2413.27</v>
      </c>
      <c r="Q1462" s="5"/>
      <c r="R1462" s="5"/>
      <c r="S1462" s="5"/>
      <c r="T1462" s="5"/>
      <c r="U1462" s="5"/>
      <c r="V1462" s="5"/>
      <c r="W1462" s="5">
        <v>83.13</v>
      </c>
      <c r="X1462" s="5">
        <v>1</v>
      </c>
      <c r="Y1462" s="5">
        <v>83.13</v>
      </c>
      <c r="Z1462" s="5">
        <v>2413.27</v>
      </c>
      <c r="AA1462" s="5">
        <v>1</v>
      </c>
      <c r="AB1462" s="5">
        <v>2413.27</v>
      </c>
    </row>
    <row r="1463" spans="1:28" x14ac:dyDescent="0.2">
      <c r="A1463" s="5">
        <v>50</v>
      </c>
      <c r="B1463" s="5">
        <v>0</v>
      </c>
      <c r="C1463" s="5">
        <v>0</v>
      </c>
      <c r="D1463" s="5">
        <v>1</v>
      </c>
      <c r="E1463" s="5">
        <v>205</v>
      </c>
      <c r="F1463" s="5">
        <f>ROUND(Source!S1448,O1463)</f>
        <v>2616.12</v>
      </c>
      <c r="G1463" s="5" t="s">
        <v>52</v>
      </c>
      <c r="H1463" s="5" t="s">
        <v>53</v>
      </c>
      <c r="I1463" s="5"/>
      <c r="J1463" s="5"/>
      <c r="K1463" s="5">
        <v>205</v>
      </c>
      <c r="L1463" s="5">
        <v>14</v>
      </c>
      <c r="M1463" s="5">
        <v>3</v>
      </c>
      <c r="N1463" s="5" t="s">
        <v>3</v>
      </c>
      <c r="O1463" s="5">
        <v>2</v>
      </c>
      <c r="P1463" s="5">
        <f>ROUND(Source!DK1448,O1463)</f>
        <v>75945.960000000006</v>
      </c>
      <c r="Q1463" s="5"/>
      <c r="R1463" s="5"/>
      <c r="S1463" s="5"/>
      <c r="T1463" s="5"/>
      <c r="U1463" s="5"/>
      <c r="V1463" s="5"/>
      <c r="W1463" s="5">
        <v>2616.12</v>
      </c>
      <c r="X1463" s="5">
        <v>1</v>
      </c>
      <c r="Y1463" s="5">
        <v>2616.12</v>
      </c>
      <c r="Z1463" s="5">
        <v>75945.960000000006</v>
      </c>
      <c r="AA1463" s="5">
        <v>1</v>
      </c>
      <c r="AB1463" s="5">
        <v>75945.960000000006</v>
      </c>
    </row>
    <row r="1464" spans="1:28" x14ac:dyDescent="0.2">
      <c r="A1464" s="5">
        <v>50</v>
      </c>
      <c r="B1464" s="5">
        <v>0</v>
      </c>
      <c r="C1464" s="5">
        <v>0</v>
      </c>
      <c r="D1464" s="5">
        <v>1</v>
      </c>
      <c r="E1464" s="5">
        <v>232</v>
      </c>
      <c r="F1464" s="5">
        <f>ROUND(Source!BC1448,O1464)</f>
        <v>0</v>
      </c>
      <c r="G1464" s="5" t="s">
        <v>54</v>
      </c>
      <c r="H1464" s="5" t="s">
        <v>55</v>
      </c>
      <c r="I1464" s="5"/>
      <c r="J1464" s="5"/>
      <c r="K1464" s="5">
        <v>232</v>
      </c>
      <c r="L1464" s="5">
        <v>15</v>
      </c>
      <c r="M1464" s="5">
        <v>3</v>
      </c>
      <c r="N1464" s="5" t="s">
        <v>3</v>
      </c>
      <c r="O1464" s="5">
        <v>2</v>
      </c>
      <c r="P1464" s="5">
        <f>ROUND(Source!EU1448,O1464)</f>
        <v>0</v>
      </c>
      <c r="Q1464" s="5"/>
      <c r="R1464" s="5"/>
      <c r="S1464" s="5"/>
      <c r="T1464" s="5"/>
      <c r="U1464" s="5"/>
      <c r="V1464" s="5"/>
      <c r="W1464" s="5">
        <v>0</v>
      </c>
      <c r="X1464" s="5">
        <v>1</v>
      </c>
      <c r="Y1464" s="5">
        <v>0</v>
      </c>
      <c r="Z1464" s="5">
        <v>0</v>
      </c>
      <c r="AA1464" s="5">
        <v>1</v>
      </c>
      <c r="AB1464" s="5">
        <v>0</v>
      </c>
    </row>
    <row r="1465" spans="1:28" x14ac:dyDescent="0.2">
      <c r="A1465" s="5">
        <v>50</v>
      </c>
      <c r="B1465" s="5">
        <v>0</v>
      </c>
      <c r="C1465" s="5">
        <v>0</v>
      </c>
      <c r="D1465" s="5">
        <v>1</v>
      </c>
      <c r="E1465" s="5">
        <v>214</v>
      </c>
      <c r="F1465" s="5">
        <f>ROUND(Source!AS1448,O1465)</f>
        <v>4808.2</v>
      </c>
      <c r="G1465" s="5" t="s">
        <v>56</v>
      </c>
      <c r="H1465" s="5" t="s">
        <v>57</v>
      </c>
      <c r="I1465" s="5"/>
      <c r="J1465" s="5"/>
      <c r="K1465" s="5">
        <v>214</v>
      </c>
      <c r="L1465" s="5">
        <v>16</v>
      </c>
      <c r="M1465" s="5">
        <v>3</v>
      </c>
      <c r="N1465" s="5" t="s">
        <v>3</v>
      </c>
      <c r="O1465" s="5">
        <v>2</v>
      </c>
      <c r="P1465" s="5">
        <f>ROUND(Source!EK1448,O1465)</f>
        <v>258961.47</v>
      </c>
      <c r="Q1465" s="5"/>
      <c r="R1465" s="5"/>
      <c r="S1465" s="5"/>
      <c r="T1465" s="5"/>
      <c r="U1465" s="5"/>
      <c r="V1465" s="5"/>
      <c r="W1465" s="5">
        <v>4808.2</v>
      </c>
      <c r="X1465" s="5">
        <v>1</v>
      </c>
      <c r="Y1465" s="5">
        <v>4808.2</v>
      </c>
      <c r="Z1465" s="5">
        <v>258961.47</v>
      </c>
      <c r="AA1465" s="5">
        <v>1</v>
      </c>
      <c r="AB1465" s="5">
        <v>258961.47</v>
      </c>
    </row>
    <row r="1466" spans="1:28" x14ac:dyDescent="0.2">
      <c r="A1466" s="5">
        <v>50</v>
      </c>
      <c r="B1466" s="5">
        <v>0</v>
      </c>
      <c r="C1466" s="5">
        <v>0</v>
      </c>
      <c r="D1466" s="5">
        <v>1</v>
      </c>
      <c r="E1466" s="5">
        <v>215</v>
      </c>
      <c r="F1466" s="5">
        <f>ROUND(Source!AT1448,O1466)</f>
        <v>4585.87</v>
      </c>
      <c r="G1466" s="5" t="s">
        <v>58</v>
      </c>
      <c r="H1466" s="5" t="s">
        <v>59</v>
      </c>
      <c r="I1466" s="5"/>
      <c r="J1466" s="5"/>
      <c r="K1466" s="5">
        <v>215</v>
      </c>
      <c r="L1466" s="5">
        <v>17</v>
      </c>
      <c r="M1466" s="5">
        <v>3</v>
      </c>
      <c r="N1466" s="5" t="s">
        <v>3</v>
      </c>
      <c r="O1466" s="5">
        <v>2</v>
      </c>
      <c r="P1466" s="5">
        <f>ROUND(Source!EL1448,O1466)</f>
        <v>114759.13</v>
      </c>
      <c r="Q1466" s="5"/>
      <c r="R1466" s="5"/>
      <c r="S1466" s="5"/>
      <c r="T1466" s="5"/>
      <c r="U1466" s="5"/>
      <c r="V1466" s="5"/>
      <c r="W1466" s="5">
        <v>4585.87</v>
      </c>
      <c r="X1466" s="5">
        <v>1</v>
      </c>
      <c r="Y1466" s="5">
        <v>4585.87</v>
      </c>
      <c r="Z1466" s="5">
        <v>114759.13</v>
      </c>
      <c r="AA1466" s="5">
        <v>1</v>
      </c>
      <c r="AB1466" s="5">
        <v>114759.13</v>
      </c>
    </row>
    <row r="1467" spans="1:28" x14ac:dyDescent="0.2">
      <c r="A1467" s="5">
        <v>50</v>
      </c>
      <c r="B1467" s="5">
        <v>0</v>
      </c>
      <c r="C1467" s="5">
        <v>0</v>
      </c>
      <c r="D1467" s="5">
        <v>1</v>
      </c>
      <c r="E1467" s="5">
        <v>217</v>
      </c>
      <c r="F1467" s="5">
        <f>ROUND(Source!AU1448,O1467)</f>
        <v>0</v>
      </c>
      <c r="G1467" s="5" t="s">
        <v>60</v>
      </c>
      <c r="H1467" s="5" t="s">
        <v>61</v>
      </c>
      <c r="I1467" s="5"/>
      <c r="J1467" s="5"/>
      <c r="K1467" s="5">
        <v>217</v>
      </c>
      <c r="L1467" s="5">
        <v>18</v>
      </c>
      <c r="M1467" s="5">
        <v>3</v>
      </c>
      <c r="N1467" s="5" t="s">
        <v>3</v>
      </c>
      <c r="O1467" s="5">
        <v>2</v>
      </c>
      <c r="P1467" s="5">
        <f>ROUND(Source!EM1448,O1467)</f>
        <v>0</v>
      </c>
      <c r="Q1467" s="5"/>
      <c r="R1467" s="5"/>
      <c r="S1467" s="5"/>
      <c r="T1467" s="5"/>
      <c r="U1467" s="5"/>
      <c r="V1467" s="5"/>
      <c r="W1467" s="5">
        <v>0</v>
      </c>
      <c r="X1467" s="5">
        <v>1</v>
      </c>
      <c r="Y1467" s="5">
        <v>0</v>
      </c>
      <c r="Z1467" s="5">
        <v>0</v>
      </c>
      <c r="AA1467" s="5">
        <v>1</v>
      </c>
      <c r="AB1467" s="5">
        <v>0</v>
      </c>
    </row>
    <row r="1468" spans="1:28" x14ac:dyDescent="0.2">
      <c r="A1468" s="5">
        <v>50</v>
      </c>
      <c r="B1468" s="5">
        <v>0</v>
      </c>
      <c r="C1468" s="5">
        <v>0</v>
      </c>
      <c r="D1468" s="5">
        <v>1</v>
      </c>
      <c r="E1468" s="5">
        <v>230</v>
      </c>
      <c r="F1468" s="5">
        <f>ROUND(Source!BA1448,O1468)</f>
        <v>0</v>
      </c>
      <c r="G1468" s="5" t="s">
        <v>62</v>
      </c>
      <c r="H1468" s="5" t="s">
        <v>63</v>
      </c>
      <c r="I1468" s="5"/>
      <c r="J1468" s="5"/>
      <c r="K1468" s="5">
        <v>230</v>
      </c>
      <c r="L1468" s="5">
        <v>19</v>
      </c>
      <c r="M1468" s="5">
        <v>3</v>
      </c>
      <c r="N1468" s="5" t="s">
        <v>3</v>
      </c>
      <c r="O1468" s="5">
        <v>2</v>
      </c>
      <c r="P1468" s="5">
        <f>ROUND(Source!ES1448,O1468)</f>
        <v>0</v>
      </c>
      <c r="Q1468" s="5"/>
      <c r="R1468" s="5"/>
      <c r="S1468" s="5"/>
      <c r="T1468" s="5"/>
      <c r="U1468" s="5"/>
      <c r="V1468" s="5"/>
      <c r="W1468" s="5">
        <v>0</v>
      </c>
      <c r="X1468" s="5">
        <v>1</v>
      </c>
      <c r="Y1468" s="5">
        <v>0</v>
      </c>
      <c r="Z1468" s="5">
        <v>0</v>
      </c>
      <c r="AA1468" s="5">
        <v>1</v>
      </c>
      <c r="AB1468" s="5">
        <v>0</v>
      </c>
    </row>
    <row r="1469" spans="1:28" x14ac:dyDescent="0.2">
      <c r="A1469" s="5">
        <v>50</v>
      </c>
      <c r="B1469" s="5">
        <v>0</v>
      </c>
      <c r="C1469" s="5">
        <v>0</v>
      </c>
      <c r="D1469" s="5">
        <v>1</v>
      </c>
      <c r="E1469" s="5">
        <v>206</v>
      </c>
      <c r="F1469" s="5">
        <f>ROUND(Source!T1448,O1469)</f>
        <v>0</v>
      </c>
      <c r="G1469" s="5" t="s">
        <v>64</v>
      </c>
      <c r="H1469" s="5" t="s">
        <v>65</v>
      </c>
      <c r="I1469" s="5"/>
      <c r="J1469" s="5"/>
      <c r="K1469" s="5">
        <v>206</v>
      </c>
      <c r="L1469" s="5">
        <v>20</v>
      </c>
      <c r="M1469" s="5">
        <v>3</v>
      </c>
      <c r="N1469" s="5" t="s">
        <v>3</v>
      </c>
      <c r="O1469" s="5">
        <v>2</v>
      </c>
      <c r="P1469" s="5">
        <f>ROUND(Source!DL1448,O1469)</f>
        <v>0</v>
      </c>
      <c r="Q1469" s="5"/>
      <c r="R1469" s="5"/>
      <c r="S1469" s="5"/>
      <c r="T1469" s="5"/>
      <c r="U1469" s="5"/>
      <c r="V1469" s="5"/>
      <c r="W1469" s="5">
        <v>0</v>
      </c>
      <c r="X1469" s="5">
        <v>1</v>
      </c>
      <c r="Y1469" s="5">
        <v>0</v>
      </c>
      <c r="Z1469" s="5">
        <v>0</v>
      </c>
      <c r="AA1469" s="5">
        <v>1</v>
      </c>
      <c r="AB1469" s="5">
        <v>0</v>
      </c>
    </row>
    <row r="1470" spans="1:28" x14ac:dyDescent="0.2">
      <c r="A1470" s="5">
        <v>50</v>
      </c>
      <c r="B1470" s="5">
        <v>0</v>
      </c>
      <c r="C1470" s="5">
        <v>0</v>
      </c>
      <c r="D1470" s="5">
        <v>1</v>
      </c>
      <c r="E1470" s="5">
        <v>207</v>
      </c>
      <c r="F1470" s="5">
        <f>Source!U1448</f>
        <v>197.07243700000001</v>
      </c>
      <c r="G1470" s="5" t="s">
        <v>66</v>
      </c>
      <c r="H1470" s="5" t="s">
        <v>67</v>
      </c>
      <c r="I1470" s="5"/>
      <c r="J1470" s="5"/>
      <c r="K1470" s="5">
        <v>207</v>
      </c>
      <c r="L1470" s="5">
        <v>21</v>
      </c>
      <c r="M1470" s="5">
        <v>3</v>
      </c>
      <c r="N1470" s="5" t="s">
        <v>3</v>
      </c>
      <c r="O1470" s="5">
        <v>-1</v>
      </c>
      <c r="P1470" s="5">
        <f>Source!DM1448</f>
        <v>197.07243700000001</v>
      </c>
      <c r="Q1470" s="5"/>
      <c r="R1470" s="5"/>
      <c r="S1470" s="5"/>
      <c r="T1470" s="5"/>
      <c r="U1470" s="5"/>
      <c r="V1470" s="5"/>
      <c r="W1470" s="5">
        <v>197.07243700000001</v>
      </c>
      <c r="X1470" s="5">
        <v>1</v>
      </c>
      <c r="Y1470" s="5">
        <v>197.07243700000001</v>
      </c>
      <c r="Z1470" s="5">
        <v>197.07243700000001</v>
      </c>
      <c r="AA1470" s="5">
        <v>1</v>
      </c>
      <c r="AB1470" s="5">
        <v>197.07243700000001</v>
      </c>
    </row>
    <row r="1471" spans="1:28" x14ac:dyDescent="0.2">
      <c r="A1471" s="5">
        <v>50</v>
      </c>
      <c r="B1471" s="5">
        <v>0</v>
      </c>
      <c r="C1471" s="5">
        <v>0</v>
      </c>
      <c r="D1471" s="5">
        <v>1</v>
      </c>
      <c r="E1471" s="5">
        <v>208</v>
      </c>
      <c r="F1471" s="5">
        <f>Source!V1448</f>
        <v>0</v>
      </c>
      <c r="G1471" s="5" t="s">
        <v>68</v>
      </c>
      <c r="H1471" s="5" t="s">
        <v>69</v>
      </c>
      <c r="I1471" s="5"/>
      <c r="J1471" s="5"/>
      <c r="K1471" s="5">
        <v>208</v>
      </c>
      <c r="L1471" s="5">
        <v>22</v>
      </c>
      <c r="M1471" s="5">
        <v>3</v>
      </c>
      <c r="N1471" s="5" t="s">
        <v>3</v>
      </c>
      <c r="O1471" s="5">
        <v>-1</v>
      </c>
      <c r="P1471" s="5">
        <f>Source!DN1448</f>
        <v>0</v>
      </c>
      <c r="Q1471" s="5"/>
      <c r="R1471" s="5"/>
      <c r="S1471" s="5"/>
      <c r="T1471" s="5"/>
      <c r="U1471" s="5"/>
      <c r="V1471" s="5"/>
      <c r="W1471" s="5">
        <v>0</v>
      </c>
      <c r="X1471" s="5">
        <v>1</v>
      </c>
      <c r="Y1471" s="5">
        <v>0</v>
      </c>
      <c r="Z1471" s="5">
        <v>0</v>
      </c>
      <c r="AA1471" s="5">
        <v>1</v>
      </c>
      <c r="AB1471" s="5">
        <v>0</v>
      </c>
    </row>
    <row r="1472" spans="1:28" x14ac:dyDescent="0.2">
      <c r="A1472" s="5">
        <v>50</v>
      </c>
      <c r="B1472" s="5">
        <v>0</v>
      </c>
      <c r="C1472" s="5">
        <v>0</v>
      </c>
      <c r="D1472" s="5">
        <v>1</v>
      </c>
      <c r="E1472" s="5">
        <v>209</v>
      </c>
      <c r="F1472" s="5">
        <f>ROUND(Source!W1448,O1472)</f>
        <v>0</v>
      </c>
      <c r="G1472" s="5" t="s">
        <v>70</v>
      </c>
      <c r="H1472" s="5" t="s">
        <v>71</v>
      </c>
      <c r="I1472" s="5"/>
      <c r="J1472" s="5"/>
      <c r="K1472" s="5">
        <v>209</v>
      </c>
      <c r="L1472" s="5">
        <v>23</v>
      </c>
      <c r="M1472" s="5">
        <v>3</v>
      </c>
      <c r="N1472" s="5" t="s">
        <v>3</v>
      </c>
      <c r="O1472" s="5">
        <v>2</v>
      </c>
      <c r="P1472" s="5">
        <f>ROUND(Source!DO1448,O1472)</f>
        <v>0</v>
      </c>
      <c r="Q1472" s="5"/>
      <c r="R1472" s="5"/>
      <c r="S1472" s="5"/>
      <c r="T1472" s="5"/>
      <c r="U1472" s="5"/>
      <c r="V1472" s="5"/>
      <c r="W1472" s="5">
        <v>0</v>
      </c>
      <c r="X1472" s="5">
        <v>1</v>
      </c>
      <c r="Y1472" s="5">
        <v>0</v>
      </c>
      <c r="Z1472" s="5">
        <v>0</v>
      </c>
      <c r="AA1472" s="5">
        <v>1</v>
      </c>
      <c r="AB1472" s="5">
        <v>0</v>
      </c>
    </row>
    <row r="1473" spans="1:255" x14ac:dyDescent="0.2">
      <c r="A1473" s="5">
        <v>50</v>
      </c>
      <c r="B1473" s="5">
        <v>0</v>
      </c>
      <c r="C1473" s="5">
        <v>0</v>
      </c>
      <c r="D1473" s="5">
        <v>1</v>
      </c>
      <c r="E1473" s="5">
        <v>233</v>
      </c>
      <c r="F1473" s="5">
        <f>ROUND(Source!BD1448,O1473)</f>
        <v>0</v>
      </c>
      <c r="G1473" s="5" t="s">
        <v>72</v>
      </c>
      <c r="H1473" s="5" t="s">
        <v>73</v>
      </c>
      <c r="I1473" s="5"/>
      <c r="J1473" s="5"/>
      <c r="K1473" s="5">
        <v>233</v>
      </c>
      <c r="L1473" s="5">
        <v>24</v>
      </c>
      <c r="M1473" s="5">
        <v>3</v>
      </c>
      <c r="N1473" s="5" t="s">
        <v>3</v>
      </c>
      <c r="O1473" s="5">
        <v>2</v>
      </c>
      <c r="P1473" s="5">
        <f>ROUND(Source!EV1448,O1473)</f>
        <v>0</v>
      </c>
      <c r="Q1473" s="5"/>
      <c r="R1473" s="5"/>
      <c r="S1473" s="5"/>
      <c r="T1473" s="5"/>
      <c r="U1473" s="5"/>
      <c r="V1473" s="5"/>
      <c r="W1473" s="5">
        <v>0</v>
      </c>
      <c r="X1473" s="5">
        <v>1</v>
      </c>
      <c r="Y1473" s="5">
        <v>0</v>
      </c>
      <c r="Z1473" s="5">
        <v>0</v>
      </c>
      <c r="AA1473" s="5">
        <v>1</v>
      </c>
      <c r="AB1473" s="5">
        <v>0</v>
      </c>
    </row>
    <row r="1474" spans="1:255" x14ac:dyDescent="0.2">
      <c r="A1474" s="5">
        <v>50</v>
      </c>
      <c r="B1474" s="5">
        <v>0</v>
      </c>
      <c r="C1474" s="5">
        <v>0</v>
      </c>
      <c r="D1474" s="5">
        <v>1</v>
      </c>
      <c r="E1474" s="5">
        <v>210</v>
      </c>
      <c r="F1474" s="5">
        <f>ROUND(Source!X1448,O1474)</f>
        <v>2469.46</v>
      </c>
      <c r="G1474" s="5" t="s">
        <v>74</v>
      </c>
      <c r="H1474" s="5" t="s">
        <v>75</v>
      </c>
      <c r="I1474" s="5"/>
      <c r="J1474" s="5"/>
      <c r="K1474" s="5">
        <v>210</v>
      </c>
      <c r="L1474" s="5">
        <v>25</v>
      </c>
      <c r="M1474" s="5">
        <v>3</v>
      </c>
      <c r="N1474" s="5" t="s">
        <v>3</v>
      </c>
      <c r="O1474" s="5">
        <v>2</v>
      </c>
      <c r="P1474" s="5">
        <f>ROUND(Source!DP1448,O1474)</f>
        <v>58390.84</v>
      </c>
      <c r="Q1474" s="5"/>
      <c r="R1474" s="5"/>
      <c r="S1474" s="5"/>
      <c r="T1474" s="5"/>
      <c r="U1474" s="5"/>
      <c r="V1474" s="5"/>
      <c r="W1474" s="5">
        <v>2469.46</v>
      </c>
      <c r="X1474" s="5">
        <v>1</v>
      </c>
      <c r="Y1474" s="5">
        <v>2469.46</v>
      </c>
      <c r="Z1474" s="5">
        <v>58390.84</v>
      </c>
      <c r="AA1474" s="5">
        <v>1</v>
      </c>
      <c r="AB1474" s="5">
        <v>58390.84</v>
      </c>
    </row>
    <row r="1475" spans="1:255" x14ac:dyDescent="0.2">
      <c r="A1475" s="5">
        <v>50</v>
      </c>
      <c r="B1475" s="5">
        <v>0</v>
      </c>
      <c r="C1475" s="5">
        <v>0</v>
      </c>
      <c r="D1475" s="5">
        <v>1</v>
      </c>
      <c r="E1475" s="5">
        <v>211</v>
      </c>
      <c r="F1475" s="5">
        <f>ROUND(Source!Y1448,O1475)</f>
        <v>1889.09</v>
      </c>
      <c r="G1475" s="5" t="s">
        <v>76</v>
      </c>
      <c r="H1475" s="5" t="s">
        <v>77</v>
      </c>
      <c r="I1475" s="5"/>
      <c r="J1475" s="5"/>
      <c r="K1475" s="5">
        <v>211</v>
      </c>
      <c r="L1475" s="5">
        <v>26</v>
      </c>
      <c r="M1475" s="5">
        <v>3</v>
      </c>
      <c r="N1475" s="5" t="s">
        <v>3</v>
      </c>
      <c r="O1475" s="5">
        <v>2</v>
      </c>
      <c r="P1475" s="5">
        <f>ROUND(Source!DQ1448,O1475)</f>
        <v>31137.83</v>
      </c>
      <c r="Q1475" s="5"/>
      <c r="R1475" s="5"/>
      <c r="S1475" s="5"/>
      <c r="T1475" s="5"/>
      <c r="U1475" s="5"/>
      <c r="V1475" s="5"/>
      <c r="W1475" s="5">
        <v>1889.09</v>
      </c>
      <c r="X1475" s="5">
        <v>1</v>
      </c>
      <c r="Y1475" s="5">
        <v>1889.09</v>
      </c>
      <c r="Z1475" s="5">
        <v>31137.83</v>
      </c>
      <c r="AA1475" s="5">
        <v>1</v>
      </c>
      <c r="AB1475" s="5">
        <v>31137.83</v>
      </c>
    </row>
    <row r="1476" spans="1:255" x14ac:dyDescent="0.2">
      <c r="A1476" s="5">
        <v>50</v>
      </c>
      <c r="B1476" s="5">
        <v>0</v>
      </c>
      <c r="C1476" s="5">
        <v>0</v>
      </c>
      <c r="D1476" s="5">
        <v>1</v>
      </c>
      <c r="E1476" s="5">
        <v>224</v>
      </c>
      <c r="F1476" s="5">
        <f>ROUND(Source!AR1448,O1476)</f>
        <v>9967.3700000000008</v>
      </c>
      <c r="G1476" s="5" t="s">
        <v>78</v>
      </c>
      <c r="H1476" s="5" t="s">
        <v>79</v>
      </c>
      <c r="I1476" s="5"/>
      <c r="J1476" s="5"/>
      <c r="K1476" s="5">
        <v>224</v>
      </c>
      <c r="L1476" s="5">
        <v>27</v>
      </c>
      <c r="M1476" s="5">
        <v>3</v>
      </c>
      <c r="N1476" s="5" t="s">
        <v>3</v>
      </c>
      <c r="O1476" s="5">
        <v>2</v>
      </c>
      <c r="P1476" s="5">
        <f>ROUND(Source!EJ1448,O1476)</f>
        <v>491223.79</v>
      </c>
      <c r="Q1476" s="5"/>
      <c r="R1476" s="5"/>
      <c r="S1476" s="5"/>
      <c r="T1476" s="5"/>
      <c r="U1476" s="5"/>
      <c r="V1476" s="5"/>
      <c r="W1476" s="5">
        <v>9967.3700000000008</v>
      </c>
      <c r="X1476" s="5">
        <v>1</v>
      </c>
      <c r="Y1476" s="5">
        <v>9967.3700000000008</v>
      </c>
      <c r="Z1476" s="5">
        <v>491223.79</v>
      </c>
      <c r="AA1476" s="5">
        <v>1</v>
      </c>
      <c r="AB1476" s="5">
        <v>491223.79</v>
      </c>
    </row>
    <row r="1478" spans="1:255" x14ac:dyDescent="0.2">
      <c r="A1478" s="1">
        <v>3</v>
      </c>
      <c r="B1478" s="1">
        <v>1</v>
      </c>
      <c r="C1478" s="1"/>
      <c r="D1478" s="1">
        <f>ROW(A1485)</f>
        <v>1485</v>
      </c>
      <c r="E1478" s="1"/>
      <c r="F1478" s="1" t="s">
        <v>1076</v>
      </c>
      <c r="G1478" s="1" t="s">
        <v>65</v>
      </c>
      <c r="H1478" s="1" t="s">
        <v>3</v>
      </c>
      <c r="I1478" s="1">
        <v>0</v>
      </c>
      <c r="J1478" s="1" t="s">
        <v>3</v>
      </c>
      <c r="K1478" s="1">
        <v>-1</v>
      </c>
      <c r="L1478" s="1" t="s">
        <v>3</v>
      </c>
      <c r="M1478" s="1" t="s">
        <v>3</v>
      </c>
      <c r="N1478" s="1"/>
      <c r="O1478" s="1"/>
      <c r="P1478" s="1"/>
      <c r="Q1478" s="1"/>
      <c r="R1478" s="1"/>
      <c r="S1478" s="1">
        <v>0</v>
      </c>
      <c r="T1478" s="1">
        <v>0</v>
      </c>
      <c r="U1478" s="1" t="s">
        <v>3</v>
      </c>
      <c r="V1478" s="1">
        <v>0</v>
      </c>
      <c r="W1478" s="1"/>
      <c r="X1478" s="1"/>
      <c r="Y1478" s="1"/>
      <c r="Z1478" s="1"/>
      <c r="AA1478" s="1"/>
      <c r="AB1478" s="1" t="s">
        <v>3</v>
      </c>
      <c r="AC1478" s="1" t="s">
        <v>3</v>
      </c>
      <c r="AD1478" s="1" t="s">
        <v>3</v>
      </c>
      <c r="AE1478" s="1" t="s">
        <v>3</v>
      </c>
      <c r="AF1478" s="1" t="s">
        <v>3</v>
      </c>
      <c r="AG1478" s="1" t="s">
        <v>3</v>
      </c>
      <c r="AH1478" s="1"/>
      <c r="AI1478" s="1"/>
      <c r="AJ1478" s="1"/>
      <c r="AK1478" s="1"/>
      <c r="AL1478" s="1"/>
      <c r="AM1478" s="1"/>
      <c r="AN1478" s="1"/>
      <c r="AO1478" s="1"/>
      <c r="AP1478" s="1" t="s">
        <v>3</v>
      </c>
      <c r="AQ1478" s="1" t="s">
        <v>3</v>
      </c>
      <c r="AR1478" s="1" t="s">
        <v>3</v>
      </c>
      <c r="AS1478" s="1"/>
      <c r="AT1478" s="1"/>
      <c r="AU1478" s="1"/>
      <c r="AV1478" s="1"/>
      <c r="AW1478" s="1"/>
      <c r="AX1478" s="1"/>
      <c r="AY1478" s="1"/>
      <c r="AZ1478" s="1" t="s">
        <v>3</v>
      </c>
      <c r="BA1478" s="1"/>
      <c r="BB1478" s="1" t="s">
        <v>3</v>
      </c>
      <c r="BC1478" s="1" t="s">
        <v>3</v>
      </c>
      <c r="BD1478" s="1" t="s">
        <v>3</v>
      </c>
      <c r="BE1478" s="1" t="s">
        <v>3</v>
      </c>
      <c r="BF1478" s="1" t="s">
        <v>3</v>
      </c>
      <c r="BG1478" s="1" t="s">
        <v>3</v>
      </c>
      <c r="BH1478" s="1" t="s">
        <v>3</v>
      </c>
      <c r="BI1478" s="1" t="s">
        <v>3</v>
      </c>
      <c r="BJ1478" s="1" t="s">
        <v>3</v>
      </c>
      <c r="BK1478" s="1" t="s">
        <v>3</v>
      </c>
      <c r="BL1478" s="1" t="s">
        <v>3</v>
      </c>
      <c r="BM1478" s="1" t="s">
        <v>3</v>
      </c>
      <c r="BN1478" s="1" t="s">
        <v>3</v>
      </c>
      <c r="BO1478" s="1" t="s">
        <v>3</v>
      </c>
      <c r="BP1478" s="1" t="s">
        <v>3</v>
      </c>
      <c r="BQ1478" s="1"/>
      <c r="BR1478" s="1"/>
      <c r="BS1478" s="1"/>
      <c r="BT1478" s="1"/>
      <c r="BU1478" s="1"/>
      <c r="BV1478" s="1"/>
      <c r="BW1478" s="1"/>
      <c r="BX1478" s="1">
        <v>0</v>
      </c>
      <c r="BY1478" s="1"/>
      <c r="BZ1478" s="1"/>
      <c r="CA1478" s="1"/>
      <c r="CB1478" s="1"/>
      <c r="CC1478" s="1"/>
      <c r="CD1478" s="1"/>
      <c r="CE1478" s="1"/>
      <c r="CF1478" s="1">
        <v>0</v>
      </c>
      <c r="CG1478" s="1">
        <v>0</v>
      </c>
      <c r="CH1478" s="1"/>
      <c r="CI1478" s="1" t="s">
        <v>3</v>
      </c>
      <c r="CJ1478" s="1" t="s">
        <v>3</v>
      </c>
      <c r="CK1478" t="s">
        <v>3</v>
      </c>
      <c r="CL1478" t="s">
        <v>3</v>
      </c>
      <c r="CM1478" t="s">
        <v>3</v>
      </c>
      <c r="CN1478" t="s">
        <v>3</v>
      </c>
      <c r="CO1478" t="s">
        <v>3</v>
      </c>
      <c r="CP1478" t="s">
        <v>3</v>
      </c>
      <c r="CQ1478" t="s">
        <v>3</v>
      </c>
    </row>
    <row r="1480" spans="1:255" x14ac:dyDescent="0.2">
      <c r="A1480" s="3">
        <v>52</v>
      </c>
      <c r="B1480" s="3">
        <f t="shared" ref="B1480:G1480" si="1223">B1485</f>
        <v>1</v>
      </c>
      <c r="C1480" s="3">
        <f t="shared" si="1223"/>
        <v>3</v>
      </c>
      <c r="D1480" s="3">
        <f t="shared" si="1223"/>
        <v>1478</v>
      </c>
      <c r="E1480" s="3">
        <f t="shared" si="1223"/>
        <v>0</v>
      </c>
      <c r="F1480" s="3" t="str">
        <f t="shared" si="1223"/>
        <v>02-01-08</v>
      </c>
      <c r="G1480" s="3" t="str">
        <f t="shared" si="1223"/>
        <v>Возврат материалов</v>
      </c>
      <c r="H1480" s="3"/>
      <c r="I1480" s="3"/>
      <c r="J1480" s="3"/>
      <c r="K1480" s="3"/>
      <c r="L1480" s="3"/>
      <c r="M1480" s="3"/>
      <c r="N1480" s="3"/>
      <c r="O1480" s="3">
        <f t="shared" ref="O1480:AT1480" si="1224">O1485</f>
        <v>0</v>
      </c>
      <c r="P1480" s="3">
        <f t="shared" si="1224"/>
        <v>0</v>
      </c>
      <c r="Q1480" s="3">
        <f t="shared" si="1224"/>
        <v>0</v>
      </c>
      <c r="R1480" s="3">
        <f t="shared" si="1224"/>
        <v>0</v>
      </c>
      <c r="S1480" s="3">
        <f t="shared" si="1224"/>
        <v>0</v>
      </c>
      <c r="T1480" s="3">
        <f t="shared" si="1224"/>
        <v>1946.32</v>
      </c>
      <c r="U1480" s="3">
        <f t="shared" si="1224"/>
        <v>0</v>
      </c>
      <c r="V1480" s="3">
        <f t="shared" si="1224"/>
        <v>0</v>
      </c>
      <c r="W1480" s="3">
        <f t="shared" si="1224"/>
        <v>0</v>
      </c>
      <c r="X1480" s="3">
        <f t="shared" si="1224"/>
        <v>0</v>
      </c>
      <c r="Y1480" s="3">
        <f t="shared" si="1224"/>
        <v>0</v>
      </c>
      <c r="Z1480" s="3">
        <f t="shared" si="1224"/>
        <v>0</v>
      </c>
      <c r="AA1480" s="3">
        <f t="shared" si="1224"/>
        <v>0</v>
      </c>
      <c r="AB1480" s="3">
        <f t="shared" si="1224"/>
        <v>0</v>
      </c>
      <c r="AC1480" s="3">
        <f t="shared" si="1224"/>
        <v>0</v>
      </c>
      <c r="AD1480" s="3">
        <f t="shared" si="1224"/>
        <v>0</v>
      </c>
      <c r="AE1480" s="3">
        <f t="shared" si="1224"/>
        <v>0</v>
      </c>
      <c r="AF1480" s="3">
        <f t="shared" si="1224"/>
        <v>0</v>
      </c>
      <c r="AG1480" s="3">
        <f t="shared" si="1224"/>
        <v>1946.32</v>
      </c>
      <c r="AH1480" s="3">
        <f t="shared" si="1224"/>
        <v>0</v>
      </c>
      <c r="AI1480" s="3">
        <f t="shared" si="1224"/>
        <v>0</v>
      </c>
      <c r="AJ1480" s="3">
        <f t="shared" si="1224"/>
        <v>0</v>
      </c>
      <c r="AK1480" s="3">
        <f t="shared" si="1224"/>
        <v>0</v>
      </c>
      <c r="AL1480" s="3">
        <f t="shared" si="1224"/>
        <v>0</v>
      </c>
      <c r="AM1480" s="3">
        <f t="shared" si="1224"/>
        <v>0</v>
      </c>
      <c r="AN1480" s="3">
        <f t="shared" si="1224"/>
        <v>0</v>
      </c>
      <c r="AO1480" s="3">
        <f t="shared" si="1224"/>
        <v>0</v>
      </c>
      <c r="AP1480" s="3">
        <f t="shared" si="1224"/>
        <v>0</v>
      </c>
      <c r="AQ1480" s="3">
        <f t="shared" si="1224"/>
        <v>0</v>
      </c>
      <c r="AR1480" s="3">
        <f t="shared" si="1224"/>
        <v>0</v>
      </c>
      <c r="AS1480" s="3">
        <f t="shared" si="1224"/>
        <v>0</v>
      </c>
      <c r="AT1480" s="3">
        <f t="shared" si="1224"/>
        <v>0</v>
      </c>
      <c r="AU1480" s="3">
        <f t="shared" ref="AU1480:BZ1480" si="1225">AU1485</f>
        <v>0</v>
      </c>
      <c r="AV1480" s="3">
        <f t="shared" si="1225"/>
        <v>0</v>
      </c>
      <c r="AW1480" s="3">
        <f t="shared" si="1225"/>
        <v>0</v>
      </c>
      <c r="AX1480" s="3">
        <f t="shared" si="1225"/>
        <v>0</v>
      </c>
      <c r="AY1480" s="3">
        <f t="shared" si="1225"/>
        <v>0</v>
      </c>
      <c r="AZ1480" s="3">
        <f t="shared" si="1225"/>
        <v>0</v>
      </c>
      <c r="BA1480" s="3">
        <f t="shared" si="1225"/>
        <v>0</v>
      </c>
      <c r="BB1480" s="3">
        <f t="shared" si="1225"/>
        <v>0</v>
      </c>
      <c r="BC1480" s="3">
        <f t="shared" si="1225"/>
        <v>0</v>
      </c>
      <c r="BD1480" s="3">
        <f t="shared" si="1225"/>
        <v>0</v>
      </c>
      <c r="BE1480" s="3">
        <f t="shared" si="1225"/>
        <v>0</v>
      </c>
      <c r="BF1480" s="3">
        <f t="shared" si="1225"/>
        <v>0</v>
      </c>
      <c r="BG1480" s="3">
        <f t="shared" si="1225"/>
        <v>0</v>
      </c>
      <c r="BH1480" s="3">
        <f t="shared" si="1225"/>
        <v>0</v>
      </c>
      <c r="BI1480" s="3">
        <f t="shared" si="1225"/>
        <v>0</v>
      </c>
      <c r="BJ1480" s="3">
        <f t="shared" si="1225"/>
        <v>0</v>
      </c>
      <c r="BK1480" s="3">
        <f t="shared" si="1225"/>
        <v>0</v>
      </c>
      <c r="BL1480" s="3">
        <f t="shared" si="1225"/>
        <v>0</v>
      </c>
      <c r="BM1480" s="3">
        <f t="shared" si="1225"/>
        <v>0</v>
      </c>
      <c r="BN1480" s="3">
        <f t="shared" si="1225"/>
        <v>0</v>
      </c>
      <c r="BO1480" s="3">
        <f t="shared" si="1225"/>
        <v>0</v>
      </c>
      <c r="BP1480" s="3">
        <f t="shared" si="1225"/>
        <v>0</v>
      </c>
      <c r="BQ1480" s="3">
        <f t="shared" si="1225"/>
        <v>0</v>
      </c>
      <c r="BR1480" s="3">
        <f t="shared" si="1225"/>
        <v>0</v>
      </c>
      <c r="BS1480" s="3">
        <f t="shared" si="1225"/>
        <v>0</v>
      </c>
      <c r="BT1480" s="3">
        <f t="shared" si="1225"/>
        <v>0</v>
      </c>
      <c r="BU1480" s="3">
        <f t="shared" si="1225"/>
        <v>0</v>
      </c>
      <c r="BV1480" s="3">
        <f t="shared" si="1225"/>
        <v>0</v>
      </c>
      <c r="BW1480" s="3">
        <f t="shared" si="1225"/>
        <v>0</v>
      </c>
      <c r="BX1480" s="3">
        <f t="shared" si="1225"/>
        <v>0</v>
      </c>
      <c r="BY1480" s="3">
        <f t="shared" si="1225"/>
        <v>0</v>
      </c>
      <c r="BZ1480" s="3">
        <f t="shared" si="1225"/>
        <v>0</v>
      </c>
      <c r="CA1480" s="3">
        <f t="shared" ref="CA1480:DF1480" si="1226">CA1485</f>
        <v>0</v>
      </c>
      <c r="CB1480" s="3">
        <f t="shared" si="1226"/>
        <v>0</v>
      </c>
      <c r="CC1480" s="3">
        <f t="shared" si="1226"/>
        <v>0</v>
      </c>
      <c r="CD1480" s="3">
        <f t="shared" si="1226"/>
        <v>0</v>
      </c>
      <c r="CE1480" s="3">
        <f t="shared" si="1226"/>
        <v>0</v>
      </c>
      <c r="CF1480" s="3">
        <f t="shared" si="1226"/>
        <v>0</v>
      </c>
      <c r="CG1480" s="3">
        <f t="shared" si="1226"/>
        <v>0</v>
      </c>
      <c r="CH1480" s="3">
        <f t="shared" si="1226"/>
        <v>0</v>
      </c>
      <c r="CI1480" s="3">
        <f t="shared" si="1226"/>
        <v>0</v>
      </c>
      <c r="CJ1480" s="3">
        <f t="shared" si="1226"/>
        <v>0</v>
      </c>
      <c r="CK1480" s="3">
        <f t="shared" si="1226"/>
        <v>0</v>
      </c>
      <c r="CL1480" s="3">
        <f t="shared" si="1226"/>
        <v>0</v>
      </c>
      <c r="CM1480" s="3">
        <f t="shared" si="1226"/>
        <v>0</v>
      </c>
      <c r="CN1480" s="3">
        <f t="shared" si="1226"/>
        <v>0</v>
      </c>
      <c r="CO1480" s="3">
        <f t="shared" si="1226"/>
        <v>0</v>
      </c>
      <c r="CP1480" s="3">
        <f t="shared" si="1226"/>
        <v>0</v>
      </c>
      <c r="CQ1480" s="3">
        <f t="shared" si="1226"/>
        <v>0</v>
      </c>
      <c r="CR1480" s="3">
        <f t="shared" si="1226"/>
        <v>0</v>
      </c>
      <c r="CS1480" s="3">
        <f t="shared" si="1226"/>
        <v>0</v>
      </c>
      <c r="CT1480" s="3">
        <f t="shared" si="1226"/>
        <v>0</v>
      </c>
      <c r="CU1480" s="3">
        <f t="shared" si="1226"/>
        <v>0</v>
      </c>
      <c r="CV1480" s="3">
        <f t="shared" si="1226"/>
        <v>0</v>
      </c>
      <c r="CW1480" s="3">
        <f t="shared" si="1226"/>
        <v>0</v>
      </c>
      <c r="CX1480" s="3">
        <f t="shared" si="1226"/>
        <v>0</v>
      </c>
      <c r="CY1480" s="3">
        <f t="shared" si="1226"/>
        <v>0</v>
      </c>
      <c r="CZ1480" s="3">
        <f t="shared" si="1226"/>
        <v>0</v>
      </c>
      <c r="DA1480" s="3">
        <f t="shared" si="1226"/>
        <v>0</v>
      </c>
      <c r="DB1480" s="3">
        <f t="shared" si="1226"/>
        <v>0</v>
      </c>
      <c r="DC1480" s="3">
        <f t="shared" si="1226"/>
        <v>0</v>
      </c>
      <c r="DD1480" s="3">
        <f t="shared" si="1226"/>
        <v>0</v>
      </c>
      <c r="DE1480" s="3">
        <f t="shared" si="1226"/>
        <v>0</v>
      </c>
      <c r="DF1480" s="3">
        <f t="shared" si="1226"/>
        <v>0</v>
      </c>
      <c r="DG1480" s="4">
        <f t="shared" ref="DG1480:EL1480" si="1227">DG1485</f>
        <v>0</v>
      </c>
      <c r="DH1480" s="4">
        <f t="shared" si="1227"/>
        <v>0</v>
      </c>
      <c r="DI1480" s="4">
        <f t="shared" si="1227"/>
        <v>0</v>
      </c>
      <c r="DJ1480" s="4">
        <f t="shared" si="1227"/>
        <v>0</v>
      </c>
      <c r="DK1480" s="4">
        <f t="shared" si="1227"/>
        <v>0</v>
      </c>
      <c r="DL1480" s="4">
        <f t="shared" si="1227"/>
        <v>24056.52</v>
      </c>
      <c r="DM1480" s="4">
        <f t="shared" si="1227"/>
        <v>0</v>
      </c>
      <c r="DN1480" s="4">
        <f t="shared" si="1227"/>
        <v>0</v>
      </c>
      <c r="DO1480" s="4">
        <f t="shared" si="1227"/>
        <v>0</v>
      </c>
      <c r="DP1480" s="4">
        <f t="shared" si="1227"/>
        <v>0</v>
      </c>
      <c r="DQ1480" s="4">
        <f t="shared" si="1227"/>
        <v>0</v>
      </c>
      <c r="DR1480" s="4">
        <f t="shared" si="1227"/>
        <v>0</v>
      </c>
      <c r="DS1480" s="4">
        <f t="shared" si="1227"/>
        <v>0</v>
      </c>
      <c r="DT1480" s="4">
        <f t="shared" si="1227"/>
        <v>0</v>
      </c>
      <c r="DU1480" s="4">
        <f t="shared" si="1227"/>
        <v>0</v>
      </c>
      <c r="DV1480" s="4">
        <f t="shared" si="1227"/>
        <v>0</v>
      </c>
      <c r="DW1480" s="4">
        <f t="shared" si="1227"/>
        <v>0</v>
      </c>
      <c r="DX1480" s="4">
        <f t="shared" si="1227"/>
        <v>0</v>
      </c>
      <c r="DY1480" s="4">
        <f t="shared" si="1227"/>
        <v>24056.52</v>
      </c>
      <c r="DZ1480" s="4">
        <f t="shared" si="1227"/>
        <v>0</v>
      </c>
      <c r="EA1480" s="4">
        <f t="shared" si="1227"/>
        <v>0</v>
      </c>
      <c r="EB1480" s="4">
        <f t="shared" si="1227"/>
        <v>0</v>
      </c>
      <c r="EC1480" s="4">
        <f t="shared" si="1227"/>
        <v>0</v>
      </c>
      <c r="ED1480" s="4">
        <f t="shared" si="1227"/>
        <v>0</v>
      </c>
      <c r="EE1480" s="4">
        <f t="shared" si="1227"/>
        <v>0</v>
      </c>
      <c r="EF1480" s="4">
        <f t="shared" si="1227"/>
        <v>0</v>
      </c>
      <c r="EG1480" s="4">
        <f t="shared" si="1227"/>
        <v>0</v>
      </c>
      <c r="EH1480" s="4">
        <f t="shared" si="1227"/>
        <v>0</v>
      </c>
      <c r="EI1480" s="4">
        <f t="shared" si="1227"/>
        <v>0</v>
      </c>
      <c r="EJ1480" s="4">
        <f t="shared" si="1227"/>
        <v>0</v>
      </c>
      <c r="EK1480" s="4">
        <f t="shared" si="1227"/>
        <v>0</v>
      </c>
      <c r="EL1480" s="4">
        <f t="shared" si="1227"/>
        <v>0</v>
      </c>
      <c r="EM1480" s="4">
        <f t="shared" ref="EM1480:FR1480" si="1228">EM1485</f>
        <v>0</v>
      </c>
      <c r="EN1480" s="4">
        <f t="shared" si="1228"/>
        <v>0</v>
      </c>
      <c r="EO1480" s="4">
        <f t="shared" si="1228"/>
        <v>0</v>
      </c>
      <c r="EP1480" s="4">
        <f t="shared" si="1228"/>
        <v>0</v>
      </c>
      <c r="EQ1480" s="4">
        <f t="shared" si="1228"/>
        <v>0</v>
      </c>
      <c r="ER1480" s="4">
        <f t="shared" si="1228"/>
        <v>0</v>
      </c>
      <c r="ES1480" s="4">
        <f t="shared" si="1228"/>
        <v>0</v>
      </c>
      <c r="ET1480" s="4">
        <f t="shared" si="1228"/>
        <v>0</v>
      </c>
      <c r="EU1480" s="4">
        <f t="shared" si="1228"/>
        <v>0</v>
      </c>
      <c r="EV1480" s="4">
        <f t="shared" si="1228"/>
        <v>0</v>
      </c>
      <c r="EW1480" s="4">
        <f t="shared" si="1228"/>
        <v>0</v>
      </c>
      <c r="EX1480" s="4">
        <f t="shared" si="1228"/>
        <v>0</v>
      </c>
      <c r="EY1480" s="4">
        <f t="shared" si="1228"/>
        <v>0</v>
      </c>
      <c r="EZ1480" s="4">
        <f t="shared" si="1228"/>
        <v>0</v>
      </c>
      <c r="FA1480" s="4">
        <f t="shared" si="1228"/>
        <v>0</v>
      </c>
      <c r="FB1480" s="4">
        <f t="shared" si="1228"/>
        <v>0</v>
      </c>
      <c r="FC1480" s="4">
        <f t="shared" si="1228"/>
        <v>0</v>
      </c>
      <c r="FD1480" s="4">
        <f t="shared" si="1228"/>
        <v>0</v>
      </c>
      <c r="FE1480" s="4">
        <f t="shared" si="1228"/>
        <v>0</v>
      </c>
      <c r="FF1480" s="4">
        <f t="shared" si="1228"/>
        <v>0</v>
      </c>
      <c r="FG1480" s="4">
        <f t="shared" si="1228"/>
        <v>0</v>
      </c>
      <c r="FH1480" s="4">
        <f t="shared" si="1228"/>
        <v>0</v>
      </c>
      <c r="FI1480" s="4">
        <f t="shared" si="1228"/>
        <v>0</v>
      </c>
      <c r="FJ1480" s="4">
        <f t="shared" si="1228"/>
        <v>0</v>
      </c>
      <c r="FK1480" s="4">
        <f t="shared" si="1228"/>
        <v>0</v>
      </c>
      <c r="FL1480" s="4">
        <f t="shared" si="1228"/>
        <v>0</v>
      </c>
      <c r="FM1480" s="4">
        <f t="shared" si="1228"/>
        <v>0</v>
      </c>
      <c r="FN1480" s="4">
        <f t="shared" si="1228"/>
        <v>0</v>
      </c>
      <c r="FO1480" s="4">
        <f t="shared" si="1228"/>
        <v>0</v>
      </c>
      <c r="FP1480" s="4">
        <f t="shared" si="1228"/>
        <v>0</v>
      </c>
      <c r="FQ1480" s="4">
        <f t="shared" si="1228"/>
        <v>0</v>
      </c>
      <c r="FR1480" s="4">
        <f t="shared" si="1228"/>
        <v>0</v>
      </c>
      <c r="FS1480" s="4">
        <f t="shared" ref="FS1480:GX1480" si="1229">FS1485</f>
        <v>0</v>
      </c>
      <c r="FT1480" s="4">
        <f t="shared" si="1229"/>
        <v>0</v>
      </c>
      <c r="FU1480" s="4">
        <f t="shared" si="1229"/>
        <v>0</v>
      </c>
      <c r="FV1480" s="4">
        <f t="shared" si="1229"/>
        <v>0</v>
      </c>
      <c r="FW1480" s="4">
        <f t="shared" si="1229"/>
        <v>0</v>
      </c>
      <c r="FX1480" s="4">
        <f t="shared" si="1229"/>
        <v>0</v>
      </c>
      <c r="FY1480" s="4">
        <f t="shared" si="1229"/>
        <v>0</v>
      </c>
      <c r="FZ1480" s="4">
        <f t="shared" si="1229"/>
        <v>0</v>
      </c>
      <c r="GA1480" s="4">
        <f t="shared" si="1229"/>
        <v>0</v>
      </c>
      <c r="GB1480" s="4">
        <f t="shared" si="1229"/>
        <v>0</v>
      </c>
      <c r="GC1480" s="4">
        <f t="shared" si="1229"/>
        <v>0</v>
      </c>
      <c r="GD1480" s="4">
        <f t="shared" si="1229"/>
        <v>0</v>
      </c>
      <c r="GE1480" s="4">
        <f t="shared" si="1229"/>
        <v>0</v>
      </c>
      <c r="GF1480" s="4">
        <f t="shared" si="1229"/>
        <v>0</v>
      </c>
      <c r="GG1480" s="4">
        <f t="shared" si="1229"/>
        <v>0</v>
      </c>
      <c r="GH1480" s="4">
        <f t="shared" si="1229"/>
        <v>0</v>
      </c>
      <c r="GI1480" s="4">
        <f t="shared" si="1229"/>
        <v>0</v>
      </c>
      <c r="GJ1480" s="4">
        <f t="shared" si="1229"/>
        <v>0</v>
      </c>
      <c r="GK1480" s="4">
        <f t="shared" si="1229"/>
        <v>0</v>
      </c>
      <c r="GL1480" s="4">
        <f t="shared" si="1229"/>
        <v>0</v>
      </c>
      <c r="GM1480" s="4">
        <f t="shared" si="1229"/>
        <v>0</v>
      </c>
      <c r="GN1480" s="4">
        <f t="shared" si="1229"/>
        <v>0</v>
      </c>
      <c r="GO1480" s="4">
        <f t="shared" si="1229"/>
        <v>0</v>
      </c>
      <c r="GP1480" s="4">
        <f t="shared" si="1229"/>
        <v>0</v>
      </c>
      <c r="GQ1480" s="4">
        <f t="shared" si="1229"/>
        <v>0</v>
      </c>
      <c r="GR1480" s="4">
        <f t="shared" si="1229"/>
        <v>0</v>
      </c>
      <c r="GS1480" s="4">
        <f t="shared" si="1229"/>
        <v>0</v>
      </c>
      <c r="GT1480" s="4">
        <f t="shared" si="1229"/>
        <v>0</v>
      </c>
      <c r="GU1480" s="4">
        <f t="shared" si="1229"/>
        <v>0</v>
      </c>
      <c r="GV1480" s="4">
        <f t="shared" si="1229"/>
        <v>0</v>
      </c>
      <c r="GW1480" s="4">
        <f t="shared" si="1229"/>
        <v>0</v>
      </c>
      <c r="GX1480" s="4">
        <f t="shared" si="1229"/>
        <v>0</v>
      </c>
    </row>
    <row r="1482" spans="1:255" x14ac:dyDescent="0.2">
      <c r="A1482" s="2">
        <v>17</v>
      </c>
      <c r="B1482" s="2">
        <v>1</v>
      </c>
      <c r="C1482" s="2"/>
      <c r="D1482" s="2"/>
      <c r="E1482" s="2" t="s">
        <v>18</v>
      </c>
      <c r="F1482" s="2" t="s">
        <v>1077</v>
      </c>
      <c r="G1482" s="2" t="s">
        <v>1078</v>
      </c>
      <c r="H1482" s="2" t="s">
        <v>114</v>
      </c>
      <c r="I1482" s="2">
        <v>1.05</v>
      </c>
      <c r="J1482" s="2">
        <v>0</v>
      </c>
      <c r="K1482" s="2">
        <v>1.05</v>
      </c>
      <c r="L1482" s="2"/>
      <c r="M1482" s="2"/>
      <c r="N1482" s="2"/>
      <c r="O1482" s="2">
        <f>ROUND(CP1482*I1482,2)</f>
        <v>0</v>
      </c>
      <c r="P1482" s="2">
        <f>ROUND(CQ1482*I1482,2)</f>
        <v>0</v>
      </c>
      <c r="Q1482" s="2">
        <f>ROUND(CR1482*I1482,2)</f>
        <v>0</v>
      </c>
      <c r="R1482" s="2">
        <f>ROUND(CS1482*I1482,2)</f>
        <v>0</v>
      </c>
      <c r="S1482" s="2">
        <f>ROUND(CT1482*I1482,2)</f>
        <v>0</v>
      </c>
      <c r="T1482" s="2">
        <f>ROUND((ROUND((AC1482*I1482),2)*BC1482),2)</f>
        <v>1946.32</v>
      </c>
      <c r="U1482" s="2">
        <f>CV1482*I1482</f>
        <v>0</v>
      </c>
      <c r="V1482" s="2">
        <f>CW1482*I1482</f>
        <v>0</v>
      </c>
      <c r="W1482" s="2">
        <f>ROUND(CX1482*I1482,2)</f>
        <v>0</v>
      </c>
      <c r="X1482" s="2">
        <f>ROUND(CY1482,2)</f>
        <v>0</v>
      </c>
      <c r="Y1482" s="2">
        <f>ROUND(CZ1482,2)</f>
        <v>0</v>
      </c>
      <c r="Z1482" s="2"/>
      <c r="AA1482" s="2">
        <v>129761636</v>
      </c>
      <c r="AB1482" s="2">
        <f>ROUND(0,6)</f>
        <v>0</v>
      </c>
      <c r="AC1482" s="2">
        <f>ROUND((ES1482),6)</f>
        <v>1853.64</v>
      </c>
      <c r="AD1482" s="2">
        <f t="shared" ref="AD1482:AF1483" si="1230">ROUND(0,6)</f>
        <v>0</v>
      </c>
      <c r="AE1482" s="2">
        <f t="shared" si="1230"/>
        <v>0</v>
      </c>
      <c r="AF1482" s="2">
        <f t="shared" si="1230"/>
        <v>0</v>
      </c>
      <c r="AG1482" s="2">
        <f>ROUND((ES1482),6)</f>
        <v>1853.64</v>
      </c>
      <c r="AH1482" s="2">
        <f>0</f>
        <v>0</v>
      </c>
      <c r="AI1482" s="2">
        <f>0</f>
        <v>0</v>
      </c>
      <c r="AJ1482" s="2">
        <f>0</f>
        <v>0</v>
      </c>
      <c r="AK1482" s="2">
        <v>1853.64</v>
      </c>
      <c r="AL1482" s="2">
        <v>1853.64</v>
      </c>
      <c r="AM1482" s="2">
        <v>0</v>
      </c>
      <c r="AN1482" s="2">
        <v>0</v>
      </c>
      <c r="AO1482" s="2">
        <v>0</v>
      </c>
      <c r="AP1482" s="2">
        <v>0</v>
      </c>
      <c r="AQ1482" s="2">
        <v>0</v>
      </c>
      <c r="AR1482" s="2">
        <v>0</v>
      </c>
      <c r="AS1482" s="2">
        <v>0</v>
      </c>
      <c r="AT1482" s="2">
        <v>0</v>
      </c>
      <c r="AU1482" s="2">
        <v>0</v>
      </c>
      <c r="AV1482" s="2">
        <v>1</v>
      </c>
      <c r="AW1482" s="2">
        <v>1</v>
      </c>
      <c r="AX1482" s="2"/>
      <c r="AY1482" s="2"/>
      <c r="AZ1482" s="2">
        <v>1</v>
      </c>
      <c r="BA1482" s="2">
        <v>1</v>
      </c>
      <c r="BB1482" s="2">
        <v>1</v>
      </c>
      <c r="BC1482" s="2">
        <v>1</v>
      </c>
      <c r="BD1482" s="2" t="s">
        <v>3</v>
      </c>
      <c r="BE1482" s="2" t="s">
        <v>3</v>
      </c>
      <c r="BF1482" s="2" t="s">
        <v>3</v>
      </c>
      <c r="BG1482" s="2" t="s">
        <v>3</v>
      </c>
      <c r="BH1482" s="2">
        <v>3</v>
      </c>
      <c r="BI1482" s="2">
        <v>1</v>
      </c>
      <c r="BJ1482" s="2" t="s">
        <v>1079</v>
      </c>
      <c r="BK1482" s="2"/>
      <c r="BL1482" s="2"/>
      <c r="BM1482" s="2">
        <v>700000</v>
      </c>
      <c r="BN1482" s="2">
        <v>0</v>
      </c>
      <c r="BO1482" s="2" t="s">
        <v>3</v>
      </c>
      <c r="BP1482" s="2">
        <v>0</v>
      </c>
      <c r="BQ1482" s="2">
        <v>203</v>
      </c>
      <c r="BR1482" s="2">
        <v>0</v>
      </c>
      <c r="BS1482" s="2">
        <v>1</v>
      </c>
      <c r="BT1482" s="2">
        <v>1</v>
      </c>
      <c r="BU1482" s="2">
        <v>1</v>
      </c>
      <c r="BV1482" s="2">
        <v>1</v>
      </c>
      <c r="BW1482" s="2">
        <v>1</v>
      </c>
      <c r="BX1482" s="2">
        <v>1</v>
      </c>
      <c r="BY1482" s="2" t="s">
        <v>3</v>
      </c>
      <c r="BZ1482" s="2">
        <v>0</v>
      </c>
      <c r="CA1482" s="2">
        <v>0</v>
      </c>
      <c r="CB1482" s="2" t="s">
        <v>3</v>
      </c>
      <c r="CC1482" s="2"/>
      <c r="CD1482" s="2"/>
      <c r="CE1482" s="2">
        <v>32</v>
      </c>
      <c r="CF1482" s="2">
        <v>0</v>
      </c>
      <c r="CG1482" s="2">
        <v>0</v>
      </c>
      <c r="CH1482" s="2"/>
      <c r="CI1482" s="2"/>
      <c r="CJ1482" s="2"/>
      <c r="CK1482" s="2"/>
      <c r="CL1482" s="2"/>
      <c r="CM1482" s="2">
        <v>0</v>
      </c>
      <c r="CN1482" s="2" t="s">
        <v>3</v>
      </c>
      <c r="CO1482" s="2">
        <v>0</v>
      </c>
      <c r="CP1482" s="2">
        <f>0</f>
        <v>0</v>
      </c>
      <c r="CQ1482" s="2">
        <f>0</f>
        <v>0</v>
      </c>
      <c r="CR1482" s="2">
        <f>0</f>
        <v>0</v>
      </c>
      <c r="CS1482" s="2">
        <f>0</f>
        <v>0</v>
      </c>
      <c r="CT1482" s="2">
        <f>0</f>
        <v>0</v>
      </c>
      <c r="CU1482" s="2">
        <f>ROUND((ROUND((AC1482*1),2)*BC1482),2)</f>
        <v>1853.64</v>
      </c>
      <c r="CV1482" s="2">
        <f>0</f>
        <v>0</v>
      </c>
      <c r="CW1482" s="2">
        <f>0</f>
        <v>0</v>
      </c>
      <c r="CX1482" s="2">
        <f>0</f>
        <v>0</v>
      </c>
      <c r="CY1482" s="2">
        <f>0</f>
        <v>0</v>
      </c>
      <c r="CZ1482" s="2">
        <f>0</f>
        <v>0</v>
      </c>
      <c r="DA1482" s="2"/>
      <c r="DB1482" s="2"/>
      <c r="DC1482" s="2" t="s">
        <v>3</v>
      </c>
      <c r="DD1482" s="2" t="s">
        <v>3</v>
      </c>
      <c r="DE1482" s="2" t="s">
        <v>3</v>
      </c>
      <c r="DF1482" s="2" t="s">
        <v>3</v>
      </c>
      <c r="DG1482" s="2" t="s">
        <v>3</v>
      </c>
      <c r="DH1482" s="2" t="s">
        <v>3</v>
      </c>
      <c r="DI1482" s="2" t="s">
        <v>3</v>
      </c>
      <c r="DJ1482" s="2" t="s">
        <v>3</v>
      </c>
      <c r="DK1482" s="2" t="s">
        <v>3</v>
      </c>
      <c r="DL1482" s="2" t="s">
        <v>3</v>
      </c>
      <c r="DM1482" s="2" t="s">
        <v>3</v>
      </c>
      <c r="DN1482" s="2">
        <v>0</v>
      </c>
      <c r="DO1482" s="2">
        <v>0</v>
      </c>
      <c r="DP1482" s="2">
        <v>1</v>
      </c>
      <c r="DQ1482" s="2">
        <v>1</v>
      </c>
      <c r="DR1482" s="2"/>
      <c r="DS1482" s="2"/>
      <c r="DT1482" s="2"/>
      <c r="DU1482" s="2">
        <v>1009</v>
      </c>
      <c r="DV1482" s="2" t="s">
        <v>114</v>
      </c>
      <c r="DW1482" s="2" t="s">
        <v>114</v>
      </c>
      <c r="DX1482" s="2">
        <v>1000</v>
      </c>
      <c r="DY1482" s="2"/>
      <c r="DZ1482" s="2" t="s">
        <v>3</v>
      </c>
      <c r="EA1482" s="2" t="s">
        <v>3</v>
      </c>
      <c r="EB1482" s="2" t="s">
        <v>3</v>
      </c>
      <c r="EC1482" s="2" t="s">
        <v>3</v>
      </c>
      <c r="ED1482" s="2"/>
      <c r="EE1482" s="2">
        <v>126053498</v>
      </c>
      <c r="EF1482" s="2">
        <v>203</v>
      </c>
      <c r="EG1482" s="2" t="s">
        <v>1080</v>
      </c>
      <c r="EH1482" s="2">
        <v>0</v>
      </c>
      <c r="EI1482" s="2" t="s">
        <v>3</v>
      </c>
      <c r="EJ1482" s="2">
        <v>1</v>
      </c>
      <c r="EK1482" s="2">
        <v>700000</v>
      </c>
      <c r="EL1482" s="2" t="s">
        <v>1081</v>
      </c>
      <c r="EM1482" s="2" t="s">
        <v>1082</v>
      </c>
      <c r="EN1482" s="2"/>
      <c r="EO1482" s="2" t="s">
        <v>3</v>
      </c>
      <c r="EP1482" s="2"/>
      <c r="EQ1482" s="2">
        <v>131072</v>
      </c>
      <c r="ER1482" s="2">
        <v>1853.64</v>
      </c>
      <c r="ES1482" s="2">
        <v>1853.64</v>
      </c>
      <c r="ET1482" s="2">
        <v>0</v>
      </c>
      <c r="EU1482" s="2">
        <v>0</v>
      </c>
      <c r="EV1482" s="2">
        <v>0</v>
      </c>
      <c r="EW1482" s="2">
        <v>0</v>
      </c>
      <c r="EX1482" s="2">
        <v>0</v>
      </c>
      <c r="EY1482" s="2">
        <v>0</v>
      </c>
      <c r="EZ1482" s="2"/>
      <c r="FA1482" s="2"/>
      <c r="FB1482" s="2"/>
      <c r="FC1482" s="2"/>
      <c r="FD1482" s="2"/>
      <c r="FE1482" s="2"/>
      <c r="FF1482" s="2"/>
      <c r="FG1482" s="2"/>
      <c r="FH1482" s="2"/>
      <c r="FI1482" s="2"/>
      <c r="FJ1482" s="2"/>
      <c r="FK1482" s="2"/>
      <c r="FL1482" s="2"/>
      <c r="FM1482" s="2"/>
      <c r="FN1482" s="2"/>
      <c r="FO1482" s="2"/>
      <c r="FP1482" s="2"/>
      <c r="FQ1482" s="2">
        <v>0</v>
      </c>
      <c r="FR1482" s="2">
        <f>ROUND(IF(AND(BH1482=3,BI1482=3),P1482,0),2)</f>
        <v>0</v>
      </c>
      <c r="FS1482" s="2">
        <v>0</v>
      </c>
      <c r="FT1482" s="2"/>
      <c r="FU1482" s="2"/>
      <c r="FV1482" s="2"/>
      <c r="FW1482" s="2"/>
      <c r="FX1482" s="2">
        <v>0</v>
      </c>
      <c r="FY1482" s="2">
        <v>0</v>
      </c>
      <c r="FZ1482" s="2"/>
      <c r="GA1482" s="2" t="s">
        <v>3</v>
      </c>
      <c r="GB1482" s="2"/>
      <c r="GC1482" s="2"/>
      <c r="GD1482" s="2">
        <v>0</v>
      </c>
      <c r="GE1482" s="2"/>
      <c r="GF1482" s="2">
        <v>1128919494</v>
      </c>
      <c r="GG1482" s="2">
        <v>2</v>
      </c>
      <c r="GH1482" s="2">
        <v>1</v>
      </c>
      <c r="GI1482" s="2">
        <v>-2</v>
      </c>
      <c r="GJ1482" s="2">
        <v>0</v>
      </c>
      <c r="GK1482" s="2">
        <f>ROUND(R1482*(R12)/100,2)</f>
        <v>0</v>
      </c>
      <c r="GL1482" s="2">
        <f>ROUND(IF(AND(BH1482=3,BI1482=3,FS1482&lt;&gt;0),P1482,0),2)</f>
        <v>0</v>
      </c>
      <c r="GM1482" s="2">
        <f>ROUND(O1482+X1482+Y1482+GK1482,2)+GX1482</f>
        <v>0</v>
      </c>
      <c r="GN1482" s="2">
        <f>IF(OR(BI1482=0,BI1482=1),ROUND(O1482+X1482+Y1482+GK1482,2),0)</f>
        <v>0</v>
      </c>
      <c r="GO1482" s="2">
        <f>IF(BI1482=2,ROUND(O1482+X1482+Y1482+GK1482,2),0)</f>
        <v>0</v>
      </c>
      <c r="GP1482" s="2">
        <f>IF(BI1482=4,ROUND(O1482+X1482+Y1482+GK1482,2)+GX1482,0)</f>
        <v>0</v>
      </c>
      <c r="GQ1482" s="2"/>
      <c r="GR1482" s="2">
        <v>0</v>
      </c>
      <c r="GS1482" s="2">
        <v>0</v>
      </c>
      <c r="GT1482" s="2">
        <v>0</v>
      </c>
      <c r="GU1482" s="2" t="s">
        <v>3</v>
      </c>
      <c r="GV1482" s="2">
        <f>ROUND((GT1482),6)</f>
        <v>0</v>
      </c>
      <c r="GW1482" s="2">
        <v>1</v>
      </c>
      <c r="GX1482" s="2">
        <f>ROUND(HC1482*I1482,2)</f>
        <v>0</v>
      </c>
      <c r="GY1482" s="2"/>
      <c r="GZ1482" s="2"/>
      <c r="HA1482" s="2">
        <v>0</v>
      </c>
      <c r="HB1482" s="2">
        <v>0</v>
      </c>
      <c r="HC1482" s="2">
        <f>GV1482*GW1482</f>
        <v>0</v>
      </c>
      <c r="HD1482" s="2"/>
      <c r="HE1482" s="2" t="s">
        <v>3</v>
      </c>
      <c r="HF1482" s="2" t="s">
        <v>3</v>
      </c>
      <c r="HG1482" s="2"/>
      <c r="HH1482" s="2"/>
      <c r="HI1482" s="2"/>
      <c r="HJ1482" s="2"/>
      <c r="HK1482" s="2"/>
      <c r="HL1482" s="2"/>
      <c r="HM1482" s="2" t="s">
        <v>3</v>
      </c>
      <c r="HN1482" s="2" t="s">
        <v>3</v>
      </c>
      <c r="HO1482" s="2" t="s">
        <v>3</v>
      </c>
      <c r="HP1482" s="2" t="s">
        <v>3</v>
      </c>
      <c r="HQ1482" s="2" t="s">
        <v>3</v>
      </c>
      <c r="HR1482" s="2"/>
      <c r="HS1482" s="2"/>
      <c r="HT1482" s="2"/>
      <c r="HU1482" s="2"/>
      <c r="HV1482" s="2"/>
      <c r="HW1482" s="2"/>
      <c r="HX1482" s="2"/>
      <c r="HY1482" s="2"/>
      <c r="HZ1482" s="2"/>
      <c r="IA1482" s="2"/>
      <c r="IB1482" s="2"/>
      <c r="IC1482" s="2"/>
      <c r="ID1482" s="2"/>
      <c r="IE1482" s="2"/>
      <c r="IF1482" s="2"/>
      <c r="IG1482" s="2"/>
      <c r="IH1482" s="2"/>
      <c r="II1482" s="2"/>
      <c r="IJ1482" s="2"/>
      <c r="IK1482" s="2">
        <v>0</v>
      </c>
      <c r="IL1482" s="2"/>
      <c r="IM1482" s="2"/>
      <c r="IN1482" s="2"/>
      <c r="IO1482" s="2"/>
      <c r="IP1482" s="2"/>
      <c r="IQ1482" s="2"/>
      <c r="IR1482" s="2"/>
      <c r="IS1482" s="2"/>
      <c r="IT1482" s="2"/>
      <c r="IU1482" s="2"/>
    </row>
    <row r="1483" spans="1:255" x14ac:dyDescent="0.2">
      <c r="A1483">
        <v>17</v>
      </c>
      <c r="B1483">
        <v>1</v>
      </c>
      <c r="E1483" t="s">
        <v>18</v>
      </c>
      <c r="F1483" t="s">
        <v>1077</v>
      </c>
      <c r="G1483" t="s">
        <v>1078</v>
      </c>
      <c r="H1483" t="s">
        <v>114</v>
      </c>
      <c r="I1483">
        <v>1.05</v>
      </c>
      <c r="J1483">
        <v>0</v>
      </c>
      <c r="K1483">
        <v>1.05</v>
      </c>
      <c r="O1483">
        <f>ROUND(CP1483*I1483,2)</f>
        <v>0</v>
      </c>
      <c r="P1483">
        <f>ROUND(CQ1483*I1483,2)</f>
        <v>0</v>
      </c>
      <c r="Q1483">
        <f>ROUND(CR1483*I1483,2)</f>
        <v>0</v>
      </c>
      <c r="R1483">
        <f>ROUND(CS1483*I1483,2)</f>
        <v>0</v>
      </c>
      <c r="S1483">
        <f>ROUND(CT1483*I1483,2)</f>
        <v>0</v>
      </c>
      <c r="T1483">
        <f>ROUND((ROUND((AC1483*I1483),2)*BC1483),2)</f>
        <v>24056.52</v>
      </c>
      <c r="U1483">
        <f>CV1483*I1483</f>
        <v>0</v>
      </c>
      <c r="V1483">
        <f>CW1483*I1483</f>
        <v>0</v>
      </c>
      <c r="W1483">
        <f>ROUND(CX1483*I1483,2)</f>
        <v>0</v>
      </c>
      <c r="X1483">
        <f>ROUND(CY1483,2)</f>
        <v>0</v>
      </c>
      <c r="Y1483">
        <f>ROUND(CZ1483,2)</f>
        <v>0</v>
      </c>
      <c r="AA1483">
        <v>129761633</v>
      </c>
      <c r="AB1483">
        <f>ROUND(0,6)</f>
        <v>0</v>
      </c>
      <c r="AC1483">
        <f>ROUND((ES1483),6)</f>
        <v>1853.64</v>
      </c>
      <c r="AD1483">
        <f t="shared" si="1230"/>
        <v>0</v>
      </c>
      <c r="AE1483">
        <f t="shared" si="1230"/>
        <v>0</v>
      </c>
      <c r="AF1483">
        <f t="shared" si="1230"/>
        <v>0</v>
      </c>
      <c r="AG1483">
        <f>ROUND((ES1483),6)</f>
        <v>1853.64</v>
      </c>
      <c r="AH1483">
        <f>0</f>
        <v>0</v>
      </c>
      <c r="AI1483">
        <f>0</f>
        <v>0</v>
      </c>
      <c r="AJ1483">
        <f>0</f>
        <v>0</v>
      </c>
      <c r="AK1483">
        <v>1853.64</v>
      </c>
      <c r="AL1483">
        <v>1853.64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0</v>
      </c>
      <c r="AU1483">
        <v>0</v>
      </c>
      <c r="AV1483">
        <v>1</v>
      </c>
      <c r="AW1483">
        <v>1</v>
      </c>
      <c r="AZ1483">
        <v>1</v>
      </c>
      <c r="BA1483">
        <v>1</v>
      </c>
      <c r="BB1483">
        <v>1</v>
      </c>
      <c r="BC1483">
        <v>12.36</v>
      </c>
      <c r="BD1483" t="s">
        <v>3</v>
      </c>
      <c r="BE1483" t="s">
        <v>3</v>
      </c>
      <c r="BF1483" t="s">
        <v>3</v>
      </c>
      <c r="BG1483" t="s">
        <v>3</v>
      </c>
      <c r="BH1483">
        <v>3</v>
      </c>
      <c r="BI1483">
        <v>1</v>
      </c>
      <c r="BJ1483" t="s">
        <v>1079</v>
      </c>
      <c r="BM1483">
        <v>700000</v>
      </c>
      <c r="BN1483">
        <v>0</v>
      </c>
      <c r="BO1483" t="s">
        <v>1077</v>
      </c>
      <c r="BP1483">
        <v>1</v>
      </c>
      <c r="BQ1483">
        <v>203</v>
      </c>
      <c r="BR1483">
        <v>0</v>
      </c>
      <c r="BS1483">
        <v>1</v>
      </c>
      <c r="BT1483">
        <v>1</v>
      </c>
      <c r="BU1483">
        <v>1</v>
      </c>
      <c r="BV1483">
        <v>1</v>
      </c>
      <c r="BW1483">
        <v>1</v>
      </c>
      <c r="BX1483">
        <v>1</v>
      </c>
      <c r="BY1483" t="s">
        <v>3</v>
      </c>
      <c r="BZ1483">
        <v>0</v>
      </c>
      <c r="CA1483">
        <v>0</v>
      </c>
      <c r="CB1483" t="s">
        <v>3</v>
      </c>
      <c r="CE1483">
        <v>32</v>
      </c>
      <c r="CF1483">
        <v>0</v>
      </c>
      <c r="CG1483">
        <v>0</v>
      </c>
      <c r="CM1483">
        <v>0</v>
      </c>
      <c r="CN1483" t="s">
        <v>3</v>
      </c>
      <c r="CO1483">
        <v>0</v>
      </c>
      <c r="CP1483">
        <f>0</f>
        <v>0</v>
      </c>
      <c r="CQ1483">
        <f>0</f>
        <v>0</v>
      </c>
      <c r="CR1483">
        <f>0</f>
        <v>0</v>
      </c>
      <c r="CS1483">
        <f>0</f>
        <v>0</v>
      </c>
      <c r="CT1483">
        <f>0</f>
        <v>0</v>
      </c>
      <c r="CU1483">
        <f>ROUND((ROUND((AC1483*1),2)*BC1483),2)</f>
        <v>22910.99</v>
      </c>
      <c r="CV1483">
        <f>0</f>
        <v>0</v>
      </c>
      <c r="CW1483">
        <f>0</f>
        <v>0</v>
      </c>
      <c r="CX1483">
        <f>0</f>
        <v>0</v>
      </c>
      <c r="CY1483">
        <f>S1483*(BZ1483/100)</f>
        <v>0</v>
      </c>
      <c r="CZ1483">
        <f>S1483*(CA1483/100)</f>
        <v>0</v>
      </c>
      <c r="DC1483" t="s">
        <v>3</v>
      </c>
      <c r="DD1483" t="s">
        <v>3</v>
      </c>
      <c r="DE1483" t="s">
        <v>3</v>
      </c>
      <c r="DF1483" t="s">
        <v>3</v>
      </c>
      <c r="DG1483" t="s">
        <v>3</v>
      </c>
      <c r="DH1483" t="s">
        <v>3</v>
      </c>
      <c r="DI1483" t="s">
        <v>3</v>
      </c>
      <c r="DJ1483" t="s">
        <v>3</v>
      </c>
      <c r="DK1483" t="s">
        <v>3</v>
      </c>
      <c r="DL1483" t="s">
        <v>3</v>
      </c>
      <c r="DM1483" t="s">
        <v>3</v>
      </c>
      <c r="DN1483">
        <v>0</v>
      </c>
      <c r="DO1483">
        <v>0</v>
      </c>
      <c r="DP1483">
        <v>1</v>
      </c>
      <c r="DQ1483">
        <v>1</v>
      </c>
      <c r="DU1483">
        <v>1009</v>
      </c>
      <c r="DV1483" t="s">
        <v>114</v>
      </c>
      <c r="DW1483" t="s">
        <v>114</v>
      </c>
      <c r="DX1483">
        <v>1000</v>
      </c>
      <c r="DZ1483" t="s">
        <v>3</v>
      </c>
      <c r="EA1483" t="s">
        <v>3</v>
      </c>
      <c r="EB1483" t="s">
        <v>3</v>
      </c>
      <c r="EC1483" t="s">
        <v>3</v>
      </c>
      <c r="EE1483">
        <v>126053498</v>
      </c>
      <c r="EF1483">
        <v>203</v>
      </c>
      <c r="EG1483" t="s">
        <v>1080</v>
      </c>
      <c r="EH1483">
        <v>0</v>
      </c>
      <c r="EI1483" t="s">
        <v>3</v>
      </c>
      <c r="EJ1483">
        <v>1</v>
      </c>
      <c r="EK1483">
        <v>700000</v>
      </c>
      <c r="EL1483" t="s">
        <v>1081</v>
      </c>
      <c r="EM1483" t="s">
        <v>1082</v>
      </c>
      <c r="EO1483" t="s">
        <v>3</v>
      </c>
      <c r="EQ1483">
        <v>131072</v>
      </c>
      <c r="ER1483">
        <v>1853.64</v>
      </c>
      <c r="ES1483">
        <v>1853.64</v>
      </c>
      <c r="ET1483">
        <v>0</v>
      </c>
      <c r="EU1483">
        <v>0</v>
      </c>
      <c r="EV1483">
        <v>0</v>
      </c>
      <c r="EW1483">
        <v>0</v>
      </c>
      <c r="EX1483">
        <v>0</v>
      </c>
      <c r="EY1483">
        <v>0</v>
      </c>
      <c r="FQ1483">
        <v>0</v>
      </c>
      <c r="FR1483">
        <f>ROUND(IF(AND(BH1483=3,BI1483=3),P1483,0),2)</f>
        <v>0</v>
      </c>
      <c r="FS1483">
        <v>0</v>
      </c>
      <c r="FX1483">
        <v>0</v>
      </c>
      <c r="FY1483">
        <v>0</v>
      </c>
      <c r="GA1483" t="s">
        <v>3</v>
      </c>
      <c r="GD1483">
        <v>0</v>
      </c>
      <c r="GF1483">
        <v>1128919494</v>
      </c>
      <c r="GG1483">
        <v>2</v>
      </c>
      <c r="GH1483">
        <v>1</v>
      </c>
      <c r="GI1483">
        <v>2</v>
      </c>
      <c r="GJ1483">
        <v>0</v>
      </c>
      <c r="GK1483">
        <f>ROUND(R1483*(S12)/100,2)</f>
        <v>0</v>
      </c>
      <c r="GL1483">
        <f>ROUND(IF(AND(BH1483=3,BI1483=3,FS1483&lt;&gt;0),P1483,0),2)</f>
        <v>0</v>
      </c>
      <c r="GM1483">
        <f>ROUND(O1483+X1483+Y1483+GK1483,2)+GX1483</f>
        <v>0</v>
      </c>
      <c r="GN1483">
        <f>IF(OR(BI1483=0,BI1483=1),ROUND(O1483+X1483+Y1483+GK1483,2),0)</f>
        <v>0</v>
      </c>
      <c r="GO1483">
        <f>IF(BI1483=2,ROUND(O1483+X1483+Y1483+GK1483,2),0)</f>
        <v>0</v>
      </c>
      <c r="GP1483">
        <f>IF(BI1483=4,ROUND(O1483+X1483+Y1483+GK1483,2)+GX1483,0)</f>
        <v>0</v>
      </c>
      <c r="GR1483">
        <v>0</v>
      </c>
      <c r="GS1483">
        <v>3</v>
      </c>
      <c r="GT1483">
        <v>0</v>
      </c>
      <c r="GU1483" t="s">
        <v>3</v>
      </c>
      <c r="GV1483">
        <f>ROUND((GT1483),6)</f>
        <v>0</v>
      </c>
      <c r="GW1483">
        <v>1</v>
      </c>
      <c r="GX1483">
        <f>ROUND(HC1483*I1483,2)</f>
        <v>0</v>
      </c>
      <c r="HA1483">
        <v>0</v>
      </c>
      <c r="HB1483">
        <v>0</v>
      </c>
      <c r="HC1483">
        <f>GV1483*GW1483</f>
        <v>0</v>
      </c>
      <c r="HE1483" t="s">
        <v>3</v>
      </c>
      <c r="HF1483" t="s">
        <v>3</v>
      </c>
      <c r="HM1483" t="s">
        <v>3</v>
      </c>
      <c r="HN1483" t="s">
        <v>3</v>
      </c>
      <c r="HO1483" t="s">
        <v>3</v>
      </c>
      <c r="HP1483" t="s">
        <v>3</v>
      </c>
      <c r="HQ1483" t="s">
        <v>3</v>
      </c>
      <c r="IK1483">
        <v>0</v>
      </c>
    </row>
    <row r="1485" spans="1:255" x14ac:dyDescent="0.2">
      <c r="A1485" s="3">
        <v>51</v>
      </c>
      <c r="B1485" s="3">
        <f>B1478</f>
        <v>1</v>
      </c>
      <c r="C1485" s="3">
        <f>A1478</f>
        <v>3</v>
      </c>
      <c r="D1485" s="3">
        <f>ROW(A1478)</f>
        <v>1478</v>
      </c>
      <c r="E1485" s="3"/>
      <c r="F1485" s="3" t="str">
        <f>IF(F1478&lt;&gt;"",F1478,"")</f>
        <v>02-01-08</v>
      </c>
      <c r="G1485" s="3" t="str">
        <f>IF(G1478&lt;&gt;"",G1478,"")</f>
        <v>Возврат материалов</v>
      </c>
      <c r="H1485" s="3">
        <v>0</v>
      </c>
      <c r="I1485" s="3"/>
      <c r="J1485" s="3"/>
      <c r="K1485" s="3"/>
      <c r="L1485" s="3"/>
      <c r="M1485" s="3"/>
      <c r="N1485" s="3"/>
      <c r="O1485" s="3">
        <f t="shared" ref="O1485:T1485" si="1231">ROUND(AB1485,2)</f>
        <v>0</v>
      </c>
      <c r="P1485" s="3">
        <f t="shared" si="1231"/>
        <v>0</v>
      </c>
      <c r="Q1485" s="3">
        <f t="shared" si="1231"/>
        <v>0</v>
      </c>
      <c r="R1485" s="3">
        <f t="shared" si="1231"/>
        <v>0</v>
      </c>
      <c r="S1485" s="3">
        <f t="shared" si="1231"/>
        <v>0</v>
      </c>
      <c r="T1485" s="3">
        <f t="shared" si="1231"/>
        <v>1946.32</v>
      </c>
      <c r="U1485" s="3">
        <f>AH1485</f>
        <v>0</v>
      </c>
      <c r="V1485" s="3">
        <f>AI1485</f>
        <v>0</v>
      </c>
      <c r="W1485" s="3">
        <f>ROUND(AJ1485,2)</f>
        <v>0</v>
      </c>
      <c r="X1485" s="3">
        <f>ROUND(AK1485,2)</f>
        <v>0</v>
      </c>
      <c r="Y1485" s="3">
        <f>ROUND(AL1485,2)</f>
        <v>0</v>
      </c>
      <c r="Z1485" s="3"/>
      <c r="AA1485" s="3"/>
      <c r="AB1485" s="3">
        <f>ROUND(SUMIF(AA1482:AA1483,"=129761636",O1482:O1483),2)</f>
        <v>0</v>
      </c>
      <c r="AC1485" s="3">
        <f>ROUND(SUMIF(AA1482:AA1483,"=129761636",P1482:P1483),2)</f>
        <v>0</v>
      </c>
      <c r="AD1485" s="3">
        <f>ROUND(SUMIF(AA1482:AA1483,"=129761636",Q1482:Q1483),2)</f>
        <v>0</v>
      </c>
      <c r="AE1485" s="3">
        <f>ROUND(SUMIF(AA1482:AA1483,"=129761636",R1482:R1483),2)</f>
        <v>0</v>
      </c>
      <c r="AF1485" s="3">
        <f>ROUND(SUMIF(AA1482:AA1483,"=129761636",S1482:S1483),2)</f>
        <v>0</v>
      </c>
      <c r="AG1485" s="3">
        <f>ROUND(SUMIF(AA1482:AA1483,"=129761636",T1482:T1483),2)</f>
        <v>1946.32</v>
      </c>
      <c r="AH1485" s="3">
        <f>SUMIF(AA1482:AA1483,"=129761636",U1482:U1483)</f>
        <v>0</v>
      </c>
      <c r="AI1485" s="3">
        <f>SUMIF(AA1482:AA1483,"=129761636",V1482:V1483)</f>
        <v>0</v>
      </c>
      <c r="AJ1485" s="3">
        <f>ROUND(SUMIF(AA1482:AA1483,"=129761636",W1482:W1483),2)</f>
        <v>0</v>
      </c>
      <c r="AK1485" s="3">
        <f>ROUND(SUMIF(AA1482:AA1483,"=129761636",X1482:X1483),2)</f>
        <v>0</v>
      </c>
      <c r="AL1485" s="3">
        <f>ROUND(SUMIF(AA1482:AA1483,"=129761636",Y1482:Y1483),2)</f>
        <v>0</v>
      </c>
      <c r="AM1485" s="3"/>
      <c r="AN1485" s="3"/>
      <c r="AO1485" s="3">
        <f t="shared" ref="AO1485:BD1485" si="1232">ROUND(BX1485,2)</f>
        <v>0</v>
      </c>
      <c r="AP1485" s="3">
        <f t="shared" si="1232"/>
        <v>0</v>
      </c>
      <c r="AQ1485" s="3">
        <f t="shared" si="1232"/>
        <v>0</v>
      </c>
      <c r="AR1485" s="3">
        <f t="shared" si="1232"/>
        <v>0</v>
      </c>
      <c r="AS1485" s="3">
        <f t="shared" si="1232"/>
        <v>0</v>
      </c>
      <c r="AT1485" s="3">
        <f t="shared" si="1232"/>
        <v>0</v>
      </c>
      <c r="AU1485" s="3">
        <f t="shared" si="1232"/>
        <v>0</v>
      </c>
      <c r="AV1485" s="3">
        <f t="shared" si="1232"/>
        <v>0</v>
      </c>
      <c r="AW1485" s="3">
        <f t="shared" si="1232"/>
        <v>0</v>
      </c>
      <c r="AX1485" s="3">
        <f t="shared" si="1232"/>
        <v>0</v>
      </c>
      <c r="AY1485" s="3">
        <f t="shared" si="1232"/>
        <v>0</v>
      </c>
      <c r="AZ1485" s="3">
        <f t="shared" si="1232"/>
        <v>0</v>
      </c>
      <c r="BA1485" s="3">
        <f t="shared" si="1232"/>
        <v>0</v>
      </c>
      <c r="BB1485" s="3">
        <f t="shared" si="1232"/>
        <v>0</v>
      </c>
      <c r="BC1485" s="3">
        <f t="shared" si="1232"/>
        <v>0</v>
      </c>
      <c r="BD1485" s="3">
        <f t="shared" si="1232"/>
        <v>0</v>
      </c>
      <c r="BE1485" s="3"/>
      <c r="BF1485" s="3"/>
      <c r="BG1485" s="3"/>
      <c r="BH1485" s="3"/>
      <c r="BI1485" s="3"/>
      <c r="BJ1485" s="3"/>
      <c r="BK1485" s="3"/>
      <c r="BL1485" s="3"/>
      <c r="BM1485" s="3"/>
      <c r="BN1485" s="3"/>
      <c r="BO1485" s="3"/>
      <c r="BP1485" s="3"/>
      <c r="BQ1485" s="3"/>
      <c r="BR1485" s="3"/>
      <c r="BS1485" s="3"/>
      <c r="BT1485" s="3"/>
      <c r="BU1485" s="3"/>
      <c r="BV1485" s="3"/>
      <c r="BW1485" s="3"/>
      <c r="BX1485" s="3">
        <f>ROUND(SUMIF(AA1482:AA1483,"=129761636",FQ1482:FQ1483),2)</f>
        <v>0</v>
      </c>
      <c r="BY1485" s="3">
        <f>ROUND(SUMIF(AA1482:AA1483,"=129761636",FR1482:FR1483),2)</f>
        <v>0</v>
      </c>
      <c r="BZ1485" s="3">
        <f>ROUND(SUMIF(AA1482:AA1483,"=129761636",GL1482:GL1483),2)</f>
        <v>0</v>
      </c>
      <c r="CA1485" s="3">
        <f>ROUND(SUMIF(AA1482:AA1483,"=129761636",GM1482:GM1483),2)</f>
        <v>0</v>
      </c>
      <c r="CB1485" s="3">
        <f>ROUND(SUMIF(AA1482:AA1483,"=129761636",GN1482:GN1483),2)</f>
        <v>0</v>
      </c>
      <c r="CC1485" s="3">
        <f>ROUND(SUMIF(AA1482:AA1483,"=129761636",GO1482:GO1483),2)</f>
        <v>0</v>
      </c>
      <c r="CD1485" s="3">
        <f>ROUND(SUMIF(AA1482:AA1483,"=129761636",GP1482:GP1483),2)</f>
        <v>0</v>
      </c>
      <c r="CE1485" s="3">
        <f>AC1485-BX1485</f>
        <v>0</v>
      </c>
      <c r="CF1485" s="3">
        <f>AC1485-BY1485</f>
        <v>0</v>
      </c>
      <c r="CG1485" s="3">
        <f>BX1485-BZ1485</f>
        <v>0</v>
      </c>
      <c r="CH1485" s="3">
        <f>AC1485-BX1485-BY1485+BZ1485</f>
        <v>0</v>
      </c>
      <c r="CI1485" s="3">
        <f>BY1485-BZ1485</f>
        <v>0</v>
      </c>
      <c r="CJ1485" s="3">
        <f>ROUND(SUMIF(AA1482:AA1483,"=129761636",GX1482:GX1483),2)</f>
        <v>0</v>
      </c>
      <c r="CK1485" s="3">
        <f>ROUND(SUMIF(AA1482:AA1483,"=129761636",GY1482:GY1483),2)</f>
        <v>0</v>
      </c>
      <c r="CL1485" s="3">
        <f>ROUND(SUMIF(AA1482:AA1483,"=129761636",GZ1482:GZ1483),2)</f>
        <v>0</v>
      </c>
      <c r="CM1485" s="3">
        <f>ROUND(SUMIF(AA1482:AA1483,"=129761636",HD1482:HD1483),2)</f>
        <v>0</v>
      </c>
      <c r="CN1485" s="3"/>
      <c r="CO1485" s="3"/>
      <c r="CP1485" s="3"/>
      <c r="CQ1485" s="3"/>
      <c r="CR1485" s="3"/>
      <c r="CS1485" s="3"/>
      <c r="CT1485" s="3"/>
      <c r="CU1485" s="3"/>
      <c r="CV1485" s="3"/>
      <c r="CW1485" s="3"/>
      <c r="CX1485" s="3"/>
      <c r="CY1485" s="3"/>
      <c r="CZ1485" s="3"/>
      <c r="DA1485" s="3"/>
      <c r="DB1485" s="3"/>
      <c r="DC1485" s="3"/>
      <c r="DD1485" s="3"/>
      <c r="DE1485" s="3"/>
      <c r="DF1485" s="3"/>
      <c r="DG1485" s="4">
        <f t="shared" ref="DG1485:DL1485" si="1233">ROUND(DT1485,2)</f>
        <v>0</v>
      </c>
      <c r="DH1485" s="4">
        <f t="shared" si="1233"/>
        <v>0</v>
      </c>
      <c r="DI1485" s="4">
        <f t="shared" si="1233"/>
        <v>0</v>
      </c>
      <c r="DJ1485" s="4">
        <f t="shared" si="1233"/>
        <v>0</v>
      </c>
      <c r="DK1485" s="4">
        <f t="shared" si="1233"/>
        <v>0</v>
      </c>
      <c r="DL1485" s="4">
        <f t="shared" si="1233"/>
        <v>24056.52</v>
      </c>
      <c r="DM1485" s="4">
        <f>DZ1485</f>
        <v>0</v>
      </c>
      <c r="DN1485" s="4">
        <f>EA1485</f>
        <v>0</v>
      </c>
      <c r="DO1485" s="4">
        <f>ROUND(EB1485,2)</f>
        <v>0</v>
      </c>
      <c r="DP1485" s="4">
        <f>ROUND(EC1485,2)</f>
        <v>0</v>
      </c>
      <c r="DQ1485" s="4">
        <f>ROUND(ED1485,2)</f>
        <v>0</v>
      </c>
      <c r="DR1485" s="4"/>
      <c r="DS1485" s="4"/>
      <c r="DT1485" s="4">
        <f>ROUND(SUMIF(AA1482:AA1483,"=129761633",O1482:O1483),2)</f>
        <v>0</v>
      </c>
      <c r="DU1485" s="4">
        <f>ROUND(SUMIF(AA1482:AA1483,"=129761633",P1482:P1483),2)</f>
        <v>0</v>
      </c>
      <c r="DV1485" s="4">
        <f>ROUND(SUMIF(AA1482:AA1483,"=129761633",Q1482:Q1483),2)</f>
        <v>0</v>
      </c>
      <c r="DW1485" s="4">
        <f>ROUND(SUMIF(AA1482:AA1483,"=129761633",R1482:R1483),2)</f>
        <v>0</v>
      </c>
      <c r="DX1485" s="4">
        <f>ROUND(SUMIF(AA1482:AA1483,"=129761633",S1482:S1483),2)</f>
        <v>0</v>
      </c>
      <c r="DY1485" s="4">
        <f>ROUND(SUMIF(AA1482:AA1483,"=129761633",T1482:T1483),2)</f>
        <v>24056.52</v>
      </c>
      <c r="DZ1485" s="4">
        <f>SUMIF(AA1482:AA1483,"=129761633",U1482:U1483)</f>
        <v>0</v>
      </c>
      <c r="EA1485" s="4">
        <f>SUMIF(AA1482:AA1483,"=129761633",V1482:V1483)</f>
        <v>0</v>
      </c>
      <c r="EB1485" s="4">
        <f>ROUND(SUMIF(AA1482:AA1483,"=129761633",W1482:W1483),2)</f>
        <v>0</v>
      </c>
      <c r="EC1485" s="4">
        <f>ROUND(SUMIF(AA1482:AA1483,"=129761633",X1482:X1483),2)</f>
        <v>0</v>
      </c>
      <c r="ED1485" s="4">
        <f>ROUND(SUMIF(AA1482:AA1483,"=129761633",Y1482:Y1483),2)</f>
        <v>0</v>
      </c>
      <c r="EE1485" s="4"/>
      <c r="EF1485" s="4"/>
      <c r="EG1485" s="4">
        <f t="shared" ref="EG1485:EV1485" si="1234">ROUND(FP1485,2)</f>
        <v>0</v>
      </c>
      <c r="EH1485" s="4">
        <f t="shared" si="1234"/>
        <v>0</v>
      </c>
      <c r="EI1485" s="4">
        <f t="shared" si="1234"/>
        <v>0</v>
      </c>
      <c r="EJ1485" s="4">
        <f t="shared" si="1234"/>
        <v>0</v>
      </c>
      <c r="EK1485" s="4">
        <f t="shared" si="1234"/>
        <v>0</v>
      </c>
      <c r="EL1485" s="4">
        <f t="shared" si="1234"/>
        <v>0</v>
      </c>
      <c r="EM1485" s="4">
        <f t="shared" si="1234"/>
        <v>0</v>
      </c>
      <c r="EN1485" s="4">
        <f t="shared" si="1234"/>
        <v>0</v>
      </c>
      <c r="EO1485" s="4">
        <f t="shared" si="1234"/>
        <v>0</v>
      </c>
      <c r="EP1485" s="4">
        <f t="shared" si="1234"/>
        <v>0</v>
      </c>
      <c r="EQ1485" s="4">
        <f t="shared" si="1234"/>
        <v>0</v>
      </c>
      <c r="ER1485" s="4">
        <f t="shared" si="1234"/>
        <v>0</v>
      </c>
      <c r="ES1485" s="4">
        <f t="shared" si="1234"/>
        <v>0</v>
      </c>
      <c r="ET1485" s="4">
        <f t="shared" si="1234"/>
        <v>0</v>
      </c>
      <c r="EU1485" s="4">
        <f t="shared" si="1234"/>
        <v>0</v>
      </c>
      <c r="EV1485" s="4">
        <f t="shared" si="1234"/>
        <v>0</v>
      </c>
      <c r="EW1485" s="4"/>
      <c r="EX1485" s="4"/>
      <c r="EY1485" s="4"/>
      <c r="EZ1485" s="4"/>
      <c r="FA1485" s="4"/>
      <c r="FB1485" s="4"/>
      <c r="FC1485" s="4"/>
      <c r="FD1485" s="4"/>
      <c r="FE1485" s="4"/>
      <c r="FF1485" s="4"/>
      <c r="FG1485" s="4"/>
      <c r="FH1485" s="4"/>
      <c r="FI1485" s="4"/>
      <c r="FJ1485" s="4"/>
      <c r="FK1485" s="4"/>
      <c r="FL1485" s="4"/>
      <c r="FM1485" s="4"/>
      <c r="FN1485" s="4"/>
      <c r="FO1485" s="4"/>
      <c r="FP1485" s="4">
        <f>ROUND(SUMIF(AA1482:AA1483,"=129761633",FQ1482:FQ1483),2)</f>
        <v>0</v>
      </c>
      <c r="FQ1485" s="4">
        <f>ROUND(SUMIF(AA1482:AA1483,"=129761633",FR1482:FR1483),2)</f>
        <v>0</v>
      </c>
      <c r="FR1485" s="4">
        <f>ROUND(SUMIF(AA1482:AA1483,"=129761633",GL1482:GL1483),2)</f>
        <v>0</v>
      </c>
      <c r="FS1485" s="4">
        <f>ROUND(SUMIF(AA1482:AA1483,"=129761633",GM1482:GM1483),2)</f>
        <v>0</v>
      </c>
      <c r="FT1485" s="4">
        <f>ROUND(SUMIF(AA1482:AA1483,"=129761633",GN1482:GN1483),2)</f>
        <v>0</v>
      </c>
      <c r="FU1485" s="4">
        <f>ROUND(SUMIF(AA1482:AA1483,"=129761633",GO1482:GO1483),2)</f>
        <v>0</v>
      </c>
      <c r="FV1485" s="4">
        <f>ROUND(SUMIF(AA1482:AA1483,"=129761633",GP1482:GP1483),2)</f>
        <v>0</v>
      </c>
      <c r="FW1485" s="4">
        <f>DU1485-FP1485</f>
        <v>0</v>
      </c>
      <c r="FX1485" s="4">
        <f>DU1485-FQ1485</f>
        <v>0</v>
      </c>
      <c r="FY1485" s="4">
        <f>FP1485-FR1485</f>
        <v>0</v>
      </c>
      <c r="FZ1485" s="4">
        <f>DU1485-FP1485-FQ1485+FR1485</f>
        <v>0</v>
      </c>
      <c r="GA1485" s="4">
        <f>FQ1485-FR1485</f>
        <v>0</v>
      </c>
      <c r="GB1485" s="4">
        <f>ROUND(SUMIF(AA1482:AA1483,"=129761633",GX1482:GX1483),2)</f>
        <v>0</v>
      </c>
      <c r="GC1485" s="4">
        <f>ROUND(SUMIF(AA1482:AA1483,"=129761633",GY1482:GY1483),2)</f>
        <v>0</v>
      </c>
      <c r="GD1485" s="4">
        <f>ROUND(SUMIF(AA1482:AA1483,"=129761633",GZ1482:GZ1483),2)</f>
        <v>0</v>
      </c>
      <c r="GE1485" s="4">
        <f>ROUND(SUMIF(AA1482:AA1483,"=129761633",HD1482:HD1483),2)</f>
        <v>0</v>
      </c>
      <c r="GF1485" s="4"/>
      <c r="GG1485" s="4"/>
      <c r="GH1485" s="4"/>
      <c r="GI1485" s="4"/>
      <c r="GJ1485" s="4"/>
      <c r="GK1485" s="4"/>
      <c r="GL1485" s="4"/>
      <c r="GM1485" s="4"/>
      <c r="GN1485" s="4"/>
      <c r="GO1485" s="4"/>
      <c r="GP1485" s="4"/>
      <c r="GQ1485" s="4"/>
      <c r="GR1485" s="4"/>
      <c r="GS1485" s="4"/>
      <c r="GT1485" s="4"/>
      <c r="GU1485" s="4"/>
      <c r="GV1485" s="4"/>
      <c r="GW1485" s="4"/>
      <c r="GX1485" s="4">
        <v>0</v>
      </c>
    </row>
    <row r="1487" spans="1:255" x14ac:dyDescent="0.2">
      <c r="A1487" s="5">
        <v>50</v>
      </c>
      <c r="B1487" s="5">
        <v>0</v>
      </c>
      <c r="C1487" s="5">
        <v>0</v>
      </c>
      <c r="D1487" s="5">
        <v>1</v>
      </c>
      <c r="E1487" s="5">
        <v>201</v>
      </c>
      <c r="F1487" s="5">
        <f>ROUND(Source!O1485,O1487)</f>
        <v>0</v>
      </c>
      <c r="G1487" s="5" t="s">
        <v>26</v>
      </c>
      <c r="H1487" s="5" t="s">
        <v>27</v>
      </c>
      <c r="I1487" s="5"/>
      <c r="J1487" s="5"/>
      <c r="K1487" s="5">
        <v>201</v>
      </c>
      <c r="L1487" s="5">
        <v>1</v>
      </c>
      <c r="M1487" s="5">
        <v>3</v>
      </c>
      <c r="N1487" s="5" t="s">
        <v>3</v>
      </c>
      <c r="O1487" s="5">
        <v>2</v>
      </c>
      <c r="P1487" s="5">
        <f>ROUND(Source!DG1485,O1487)</f>
        <v>0</v>
      </c>
      <c r="Q1487" s="5"/>
      <c r="R1487" s="5"/>
      <c r="S1487" s="5"/>
      <c r="T1487" s="5"/>
      <c r="U1487" s="5"/>
      <c r="V1487" s="5"/>
      <c r="W1487" s="5">
        <v>0</v>
      </c>
      <c r="X1487" s="5">
        <v>1</v>
      </c>
      <c r="Y1487" s="5">
        <v>0</v>
      </c>
      <c r="Z1487" s="5">
        <v>0</v>
      </c>
      <c r="AA1487" s="5">
        <v>1</v>
      </c>
      <c r="AB1487" s="5">
        <v>0</v>
      </c>
    </row>
    <row r="1488" spans="1:255" x14ac:dyDescent="0.2">
      <c r="A1488" s="5">
        <v>50</v>
      </c>
      <c r="B1488" s="5">
        <v>0</v>
      </c>
      <c r="C1488" s="5">
        <v>0</v>
      </c>
      <c r="D1488" s="5">
        <v>1</v>
      </c>
      <c r="E1488" s="5">
        <v>202</v>
      </c>
      <c r="F1488" s="5">
        <f>ROUND(Source!P1485,O1488)</f>
        <v>0</v>
      </c>
      <c r="G1488" s="5" t="s">
        <v>28</v>
      </c>
      <c r="H1488" s="5" t="s">
        <v>29</v>
      </c>
      <c r="I1488" s="5"/>
      <c r="J1488" s="5"/>
      <c r="K1488" s="5">
        <v>202</v>
      </c>
      <c r="L1488" s="5">
        <v>2</v>
      </c>
      <c r="M1488" s="5">
        <v>3</v>
      </c>
      <c r="N1488" s="5" t="s">
        <v>3</v>
      </c>
      <c r="O1488" s="5">
        <v>2</v>
      </c>
      <c r="P1488" s="5">
        <f>ROUND(Source!DH1485,O1488)</f>
        <v>0</v>
      </c>
      <c r="Q1488" s="5"/>
      <c r="R1488" s="5"/>
      <c r="S1488" s="5"/>
      <c r="T1488" s="5"/>
      <c r="U1488" s="5"/>
      <c r="V1488" s="5"/>
      <c r="W1488" s="5">
        <v>0</v>
      </c>
      <c r="X1488" s="5">
        <v>1</v>
      </c>
      <c r="Y1488" s="5">
        <v>0</v>
      </c>
      <c r="Z1488" s="5">
        <v>0</v>
      </c>
      <c r="AA1488" s="5">
        <v>1</v>
      </c>
      <c r="AB1488" s="5">
        <v>0</v>
      </c>
    </row>
    <row r="1489" spans="1:28" x14ac:dyDescent="0.2">
      <c r="A1489" s="5">
        <v>50</v>
      </c>
      <c r="B1489" s="5">
        <v>0</v>
      </c>
      <c r="C1489" s="5">
        <v>0</v>
      </c>
      <c r="D1489" s="5">
        <v>1</v>
      </c>
      <c r="E1489" s="5">
        <v>222</v>
      </c>
      <c r="F1489" s="5">
        <f>ROUND(Source!AO1485,O1489)</f>
        <v>0</v>
      </c>
      <c r="G1489" s="5" t="s">
        <v>30</v>
      </c>
      <c r="H1489" s="5" t="s">
        <v>31</v>
      </c>
      <c r="I1489" s="5"/>
      <c r="J1489" s="5"/>
      <c r="K1489" s="5">
        <v>222</v>
      </c>
      <c r="L1489" s="5">
        <v>3</v>
      </c>
      <c r="M1489" s="5">
        <v>3</v>
      </c>
      <c r="N1489" s="5" t="s">
        <v>3</v>
      </c>
      <c r="O1489" s="5">
        <v>2</v>
      </c>
      <c r="P1489" s="5">
        <f>ROUND(Source!EG1485,O1489)</f>
        <v>0</v>
      </c>
      <c r="Q1489" s="5"/>
      <c r="R1489" s="5"/>
      <c r="S1489" s="5"/>
      <c r="T1489" s="5"/>
      <c r="U1489" s="5"/>
      <c r="V1489" s="5"/>
      <c r="W1489" s="5">
        <v>0</v>
      </c>
      <c r="X1489" s="5">
        <v>1</v>
      </c>
      <c r="Y1489" s="5">
        <v>0</v>
      </c>
      <c r="Z1489" s="5">
        <v>0</v>
      </c>
      <c r="AA1489" s="5">
        <v>1</v>
      </c>
      <c r="AB1489" s="5">
        <v>0</v>
      </c>
    </row>
    <row r="1490" spans="1:28" x14ac:dyDescent="0.2">
      <c r="A1490" s="5">
        <v>50</v>
      </c>
      <c r="B1490" s="5">
        <v>0</v>
      </c>
      <c r="C1490" s="5">
        <v>0</v>
      </c>
      <c r="D1490" s="5">
        <v>1</v>
      </c>
      <c r="E1490" s="5">
        <v>225</v>
      </c>
      <c r="F1490" s="5">
        <f>ROUND(Source!AV1485,O1490)</f>
        <v>0</v>
      </c>
      <c r="G1490" s="5" t="s">
        <v>32</v>
      </c>
      <c r="H1490" s="5" t="s">
        <v>33</v>
      </c>
      <c r="I1490" s="5"/>
      <c r="J1490" s="5"/>
      <c r="K1490" s="5">
        <v>225</v>
      </c>
      <c r="L1490" s="5">
        <v>4</v>
      </c>
      <c r="M1490" s="5">
        <v>3</v>
      </c>
      <c r="N1490" s="5" t="s">
        <v>3</v>
      </c>
      <c r="O1490" s="5">
        <v>2</v>
      </c>
      <c r="P1490" s="5">
        <f>ROUND(Source!EN1485,O1490)</f>
        <v>0</v>
      </c>
      <c r="Q1490" s="5"/>
      <c r="R1490" s="5"/>
      <c r="S1490" s="5"/>
      <c r="T1490" s="5"/>
      <c r="U1490" s="5"/>
      <c r="V1490" s="5"/>
      <c r="W1490" s="5">
        <v>0</v>
      </c>
      <c r="X1490" s="5">
        <v>1</v>
      </c>
      <c r="Y1490" s="5">
        <v>0</v>
      </c>
      <c r="Z1490" s="5">
        <v>0</v>
      </c>
      <c r="AA1490" s="5">
        <v>1</v>
      </c>
      <c r="AB1490" s="5">
        <v>0</v>
      </c>
    </row>
    <row r="1491" spans="1:28" x14ac:dyDescent="0.2">
      <c r="A1491" s="5">
        <v>50</v>
      </c>
      <c r="B1491" s="5">
        <v>0</v>
      </c>
      <c r="C1491" s="5">
        <v>0</v>
      </c>
      <c r="D1491" s="5">
        <v>1</v>
      </c>
      <c r="E1491" s="5">
        <v>226</v>
      </c>
      <c r="F1491" s="5">
        <f>ROUND(Source!AW1485,O1491)</f>
        <v>0</v>
      </c>
      <c r="G1491" s="5" t="s">
        <v>34</v>
      </c>
      <c r="H1491" s="5" t="s">
        <v>35</v>
      </c>
      <c r="I1491" s="5"/>
      <c r="J1491" s="5"/>
      <c r="K1491" s="5">
        <v>226</v>
      </c>
      <c r="L1491" s="5">
        <v>5</v>
      </c>
      <c r="M1491" s="5">
        <v>3</v>
      </c>
      <c r="N1491" s="5" t="s">
        <v>3</v>
      </c>
      <c r="O1491" s="5">
        <v>2</v>
      </c>
      <c r="P1491" s="5">
        <f>ROUND(Source!EO1485,O1491)</f>
        <v>0</v>
      </c>
      <c r="Q1491" s="5"/>
      <c r="R1491" s="5"/>
      <c r="S1491" s="5"/>
      <c r="T1491" s="5"/>
      <c r="U1491" s="5"/>
      <c r="V1491" s="5"/>
      <c r="W1491" s="5">
        <v>0</v>
      </c>
      <c r="X1491" s="5">
        <v>1</v>
      </c>
      <c r="Y1491" s="5">
        <v>0</v>
      </c>
      <c r="Z1491" s="5">
        <v>0</v>
      </c>
      <c r="AA1491" s="5">
        <v>1</v>
      </c>
      <c r="AB1491" s="5">
        <v>0</v>
      </c>
    </row>
    <row r="1492" spans="1:28" x14ac:dyDescent="0.2">
      <c r="A1492" s="5">
        <v>50</v>
      </c>
      <c r="B1492" s="5">
        <v>0</v>
      </c>
      <c r="C1492" s="5">
        <v>0</v>
      </c>
      <c r="D1492" s="5">
        <v>1</v>
      </c>
      <c r="E1492" s="5">
        <v>227</v>
      </c>
      <c r="F1492" s="5">
        <f>ROUND(Source!AX1485,O1492)</f>
        <v>0</v>
      </c>
      <c r="G1492" s="5" t="s">
        <v>36</v>
      </c>
      <c r="H1492" s="5" t="s">
        <v>37</v>
      </c>
      <c r="I1492" s="5"/>
      <c r="J1492" s="5"/>
      <c r="K1492" s="5">
        <v>227</v>
      </c>
      <c r="L1492" s="5">
        <v>6</v>
      </c>
      <c r="M1492" s="5">
        <v>3</v>
      </c>
      <c r="N1492" s="5" t="s">
        <v>3</v>
      </c>
      <c r="O1492" s="5">
        <v>2</v>
      </c>
      <c r="P1492" s="5">
        <f>ROUND(Source!EP1485,O1492)</f>
        <v>0</v>
      </c>
      <c r="Q1492" s="5"/>
      <c r="R1492" s="5"/>
      <c r="S1492" s="5"/>
      <c r="T1492" s="5"/>
      <c r="U1492" s="5"/>
      <c r="V1492" s="5"/>
      <c r="W1492" s="5">
        <v>0</v>
      </c>
      <c r="X1492" s="5">
        <v>1</v>
      </c>
      <c r="Y1492" s="5">
        <v>0</v>
      </c>
      <c r="Z1492" s="5">
        <v>0</v>
      </c>
      <c r="AA1492" s="5">
        <v>1</v>
      </c>
      <c r="AB1492" s="5">
        <v>0</v>
      </c>
    </row>
    <row r="1493" spans="1:28" x14ac:dyDescent="0.2">
      <c r="A1493" s="5">
        <v>50</v>
      </c>
      <c r="B1493" s="5">
        <v>0</v>
      </c>
      <c r="C1493" s="5">
        <v>0</v>
      </c>
      <c r="D1493" s="5">
        <v>1</v>
      </c>
      <c r="E1493" s="5">
        <v>228</v>
      </c>
      <c r="F1493" s="5">
        <f>ROUND(Source!AY1485,O1493)</f>
        <v>0</v>
      </c>
      <c r="G1493" s="5" t="s">
        <v>38</v>
      </c>
      <c r="H1493" s="5" t="s">
        <v>39</v>
      </c>
      <c r="I1493" s="5"/>
      <c r="J1493" s="5"/>
      <c r="K1493" s="5">
        <v>228</v>
      </c>
      <c r="L1493" s="5">
        <v>7</v>
      </c>
      <c r="M1493" s="5">
        <v>3</v>
      </c>
      <c r="N1493" s="5" t="s">
        <v>3</v>
      </c>
      <c r="O1493" s="5">
        <v>2</v>
      </c>
      <c r="P1493" s="5">
        <f>ROUND(Source!EQ1485,O1493)</f>
        <v>0</v>
      </c>
      <c r="Q1493" s="5"/>
      <c r="R1493" s="5"/>
      <c r="S1493" s="5"/>
      <c r="T1493" s="5"/>
      <c r="U1493" s="5"/>
      <c r="V1493" s="5"/>
      <c r="W1493" s="5">
        <v>0</v>
      </c>
      <c r="X1493" s="5">
        <v>1</v>
      </c>
      <c r="Y1493" s="5">
        <v>0</v>
      </c>
      <c r="Z1493" s="5">
        <v>0</v>
      </c>
      <c r="AA1493" s="5">
        <v>1</v>
      </c>
      <c r="AB1493" s="5">
        <v>0</v>
      </c>
    </row>
    <row r="1494" spans="1:28" x14ac:dyDescent="0.2">
      <c r="A1494" s="5">
        <v>50</v>
      </c>
      <c r="B1494" s="5">
        <v>0</v>
      </c>
      <c r="C1494" s="5">
        <v>0</v>
      </c>
      <c r="D1494" s="5">
        <v>1</v>
      </c>
      <c r="E1494" s="5">
        <v>216</v>
      </c>
      <c r="F1494" s="5">
        <f>ROUND(Source!AP1485,O1494)</f>
        <v>0</v>
      </c>
      <c r="G1494" s="5" t="s">
        <v>40</v>
      </c>
      <c r="H1494" s="5" t="s">
        <v>41</v>
      </c>
      <c r="I1494" s="5"/>
      <c r="J1494" s="5"/>
      <c r="K1494" s="5">
        <v>216</v>
      </c>
      <c r="L1494" s="5">
        <v>8</v>
      </c>
      <c r="M1494" s="5">
        <v>3</v>
      </c>
      <c r="N1494" s="5" t="s">
        <v>3</v>
      </c>
      <c r="O1494" s="5">
        <v>2</v>
      </c>
      <c r="P1494" s="5">
        <f>ROUND(Source!EH1485,O1494)</f>
        <v>0</v>
      </c>
      <c r="Q1494" s="5"/>
      <c r="R1494" s="5"/>
      <c r="S1494" s="5"/>
      <c r="T1494" s="5"/>
      <c r="U1494" s="5"/>
      <c r="V1494" s="5"/>
      <c r="W1494" s="5">
        <v>0</v>
      </c>
      <c r="X1494" s="5">
        <v>1</v>
      </c>
      <c r="Y1494" s="5">
        <v>0</v>
      </c>
      <c r="Z1494" s="5">
        <v>0</v>
      </c>
      <c r="AA1494" s="5">
        <v>1</v>
      </c>
      <c r="AB1494" s="5">
        <v>0</v>
      </c>
    </row>
    <row r="1495" spans="1:28" x14ac:dyDescent="0.2">
      <c r="A1495" s="5">
        <v>50</v>
      </c>
      <c r="B1495" s="5">
        <v>0</v>
      </c>
      <c r="C1495" s="5">
        <v>0</v>
      </c>
      <c r="D1495" s="5">
        <v>1</v>
      </c>
      <c r="E1495" s="5">
        <v>223</v>
      </c>
      <c r="F1495" s="5">
        <f>ROUND(Source!AQ1485,O1495)</f>
        <v>0</v>
      </c>
      <c r="G1495" s="5" t="s">
        <v>42</v>
      </c>
      <c r="H1495" s="5" t="s">
        <v>43</v>
      </c>
      <c r="I1495" s="5"/>
      <c r="J1495" s="5"/>
      <c r="K1495" s="5">
        <v>223</v>
      </c>
      <c r="L1495" s="5">
        <v>9</v>
      </c>
      <c r="M1495" s="5">
        <v>3</v>
      </c>
      <c r="N1495" s="5" t="s">
        <v>3</v>
      </c>
      <c r="O1495" s="5">
        <v>2</v>
      </c>
      <c r="P1495" s="5">
        <f>ROUND(Source!EI1485,O1495)</f>
        <v>0</v>
      </c>
      <c r="Q1495" s="5"/>
      <c r="R1495" s="5"/>
      <c r="S1495" s="5"/>
      <c r="T1495" s="5"/>
      <c r="U1495" s="5"/>
      <c r="V1495" s="5"/>
      <c r="W1495" s="5">
        <v>0</v>
      </c>
      <c r="X1495" s="5">
        <v>1</v>
      </c>
      <c r="Y1495" s="5">
        <v>0</v>
      </c>
      <c r="Z1495" s="5">
        <v>0</v>
      </c>
      <c r="AA1495" s="5">
        <v>1</v>
      </c>
      <c r="AB1495" s="5">
        <v>0</v>
      </c>
    </row>
    <row r="1496" spans="1:28" x14ac:dyDescent="0.2">
      <c r="A1496" s="5">
        <v>50</v>
      </c>
      <c r="B1496" s="5">
        <v>0</v>
      </c>
      <c r="C1496" s="5">
        <v>0</v>
      </c>
      <c r="D1496" s="5">
        <v>1</v>
      </c>
      <c r="E1496" s="5">
        <v>229</v>
      </c>
      <c r="F1496" s="5">
        <f>ROUND(Source!AZ1485,O1496)</f>
        <v>0</v>
      </c>
      <c r="G1496" s="5" t="s">
        <v>44</v>
      </c>
      <c r="H1496" s="5" t="s">
        <v>45</v>
      </c>
      <c r="I1496" s="5"/>
      <c r="J1496" s="5"/>
      <c r="K1496" s="5">
        <v>229</v>
      </c>
      <c r="L1496" s="5">
        <v>10</v>
      </c>
      <c r="M1496" s="5">
        <v>3</v>
      </c>
      <c r="N1496" s="5" t="s">
        <v>3</v>
      </c>
      <c r="O1496" s="5">
        <v>2</v>
      </c>
      <c r="P1496" s="5">
        <f>ROUND(Source!ER1485,O1496)</f>
        <v>0</v>
      </c>
      <c r="Q1496" s="5"/>
      <c r="R1496" s="5"/>
      <c r="S1496" s="5"/>
      <c r="T1496" s="5"/>
      <c r="U1496" s="5"/>
      <c r="V1496" s="5"/>
      <c r="W1496" s="5">
        <v>0</v>
      </c>
      <c r="X1496" s="5">
        <v>1</v>
      </c>
      <c r="Y1496" s="5">
        <v>0</v>
      </c>
      <c r="Z1496" s="5">
        <v>0</v>
      </c>
      <c r="AA1496" s="5">
        <v>1</v>
      </c>
      <c r="AB1496" s="5">
        <v>0</v>
      </c>
    </row>
    <row r="1497" spans="1:28" x14ac:dyDescent="0.2">
      <c r="A1497" s="5">
        <v>50</v>
      </c>
      <c r="B1497" s="5">
        <v>0</v>
      </c>
      <c r="C1497" s="5">
        <v>0</v>
      </c>
      <c r="D1497" s="5">
        <v>1</v>
      </c>
      <c r="E1497" s="5">
        <v>203</v>
      </c>
      <c r="F1497" s="5">
        <f>ROUND(Source!Q1485,O1497)</f>
        <v>0</v>
      </c>
      <c r="G1497" s="5" t="s">
        <v>46</v>
      </c>
      <c r="H1497" s="5" t="s">
        <v>47</v>
      </c>
      <c r="I1497" s="5"/>
      <c r="J1497" s="5"/>
      <c r="K1497" s="5">
        <v>203</v>
      </c>
      <c r="L1497" s="5">
        <v>11</v>
      </c>
      <c r="M1497" s="5">
        <v>3</v>
      </c>
      <c r="N1497" s="5" t="s">
        <v>3</v>
      </c>
      <c r="O1497" s="5">
        <v>2</v>
      </c>
      <c r="P1497" s="5">
        <f>ROUND(Source!DI1485,O1497)</f>
        <v>0</v>
      </c>
      <c r="Q1497" s="5"/>
      <c r="R1497" s="5"/>
      <c r="S1497" s="5"/>
      <c r="T1497" s="5"/>
      <c r="U1497" s="5"/>
      <c r="V1497" s="5"/>
      <c r="W1497" s="5">
        <v>0</v>
      </c>
      <c r="X1497" s="5">
        <v>1</v>
      </c>
      <c r="Y1497" s="5">
        <v>0</v>
      </c>
      <c r="Z1497" s="5">
        <v>0</v>
      </c>
      <c r="AA1497" s="5">
        <v>1</v>
      </c>
      <c r="AB1497" s="5">
        <v>0</v>
      </c>
    </row>
    <row r="1498" spans="1:28" x14ac:dyDescent="0.2">
      <c r="A1498" s="5">
        <v>50</v>
      </c>
      <c r="B1498" s="5">
        <v>0</v>
      </c>
      <c r="C1498" s="5">
        <v>0</v>
      </c>
      <c r="D1498" s="5">
        <v>1</v>
      </c>
      <c r="E1498" s="5">
        <v>231</v>
      </c>
      <c r="F1498" s="5">
        <f>ROUND(Source!BB1485,O1498)</f>
        <v>0</v>
      </c>
      <c r="G1498" s="5" t="s">
        <v>48</v>
      </c>
      <c r="H1498" s="5" t="s">
        <v>49</v>
      </c>
      <c r="I1498" s="5"/>
      <c r="J1498" s="5"/>
      <c r="K1498" s="5">
        <v>231</v>
      </c>
      <c r="L1498" s="5">
        <v>12</v>
      </c>
      <c r="M1498" s="5">
        <v>3</v>
      </c>
      <c r="N1498" s="5" t="s">
        <v>3</v>
      </c>
      <c r="O1498" s="5">
        <v>2</v>
      </c>
      <c r="P1498" s="5">
        <f>ROUND(Source!ET1485,O1498)</f>
        <v>0</v>
      </c>
      <c r="Q1498" s="5"/>
      <c r="R1498" s="5"/>
      <c r="S1498" s="5"/>
      <c r="T1498" s="5"/>
      <c r="U1498" s="5"/>
      <c r="V1498" s="5"/>
      <c r="W1498" s="5">
        <v>0</v>
      </c>
      <c r="X1498" s="5">
        <v>1</v>
      </c>
      <c r="Y1498" s="5">
        <v>0</v>
      </c>
      <c r="Z1498" s="5">
        <v>0</v>
      </c>
      <c r="AA1498" s="5">
        <v>1</v>
      </c>
      <c r="AB1498" s="5">
        <v>0</v>
      </c>
    </row>
    <row r="1499" spans="1:28" x14ac:dyDescent="0.2">
      <c r="A1499" s="5">
        <v>50</v>
      </c>
      <c r="B1499" s="5">
        <v>0</v>
      </c>
      <c r="C1499" s="5">
        <v>0</v>
      </c>
      <c r="D1499" s="5">
        <v>1</v>
      </c>
      <c r="E1499" s="5">
        <v>204</v>
      </c>
      <c r="F1499" s="5">
        <f>ROUND(Source!R1485,O1499)</f>
        <v>0</v>
      </c>
      <c r="G1499" s="5" t="s">
        <v>50</v>
      </c>
      <c r="H1499" s="5" t="s">
        <v>51</v>
      </c>
      <c r="I1499" s="5"/>
      <c r="J1499" s="5"/>
      <c r="K1499" s="5">
        <v>204</v>
      </c>
      <c r="L1499" s="5">
        <v>13</v>
      </c>
      <c r="M1499" s="5">
        <v>3</v>
      </c>
      <c r="N1499" s="5" t="s">
        <v>3</v>
      </c>
      <c r="O1499" s="5">
        <v>2</v>
      </c>
      <c r="P1499" s="5">
        <f>ROUND(Source!DJ1485,O1499)</f>
        <v>0</v>
      </c>
      <c r="Q1499" s="5"/>
      <c r="R1499" s="5"/>
      <c r="S1499" s="5"/>
      <c r="T1499" s="5"/>
      <c r="U1499" s="5"/>
      <c r="V1499" s="5"/>
      <c r="W1499" s="5">
        <v>0</v>
      </c>
      <c r="X1499" s="5">
        <v>1</v>
      </c>
      <c r="Y1499" s="5">
        <v>0</v>
      </c>
      <c r="Z1499" s="5">
        <v>0</v>
      </c>
      <c r="AA1499" s="5">
        <v>1</v>
      </c>
      <c r="AB1499" s="5">
        <v>0</v>
      </c>
    </row>
    <row r="1500" spans="1:28" x14ac:dyDescent="0.2">
      <c r="A1500" s="5">
        <v>50</v>
      </c>
      <c r="B1500" s="5">
        <v>0</v>
      </c>
      <c r="C1500" s="5">
        <v>0</v>
      </c>
      <c r="D1500" s="5">
        <v>1</v>
      </c>
      <c r="E1500" s="5">
        <v>205</v>
      </c>
      <c r="F1500" s="5">
        <f>ROUND(Source!S1485,O1500)</f>
        <v>0</v>
      </c>
      <c r="G1500" s="5" t="s">
        <v>52</v>
      </c>
      <c r="H1500" s="5" t="s">
        <v>53</v>
      </c>
      <c r="I1500" s="5"/>
      <c r="J1500" s="5"/>
      <c r="K1500" s="5">
        <v>205</v>
      </c>
      <c r="L1500" s="5">
        <v>14</v>
      </c>
      <c r="M1500" s="5">
        <v>3</v>
      </c>
      <c r="N1500" s="5" t="s">
        <v>3</v>
      </c>
      <c r="O1500" s="5">
        <v>2</v>
      </c>
      <c r="P1500" s="5">
        <f>ROUND(Source!DK1485,O1500)</f>
        <v>0</v>
      </c>
      <c r="Q1500" s="5"/>
      <c r="R1500" s="5"/>
      <c r="S1500" s="5"/>
      <c r="T1500" s="5"/>
      <c r="U1500" s="5"/>
      <c r="V1500" s="5"/>
      <c r="W1500" s="5">
        <v>0</v>
      </c>
      <c r="X1500" s="5">
        <v>1</v>
      </c>
      <c r="Y1500" s="5">
        <v>0</v>
      </c>
      <c r="Z1500" s="5">
        <v>0</v>
      </c>
      <c r="AA1500" s="5">
        <v>1</v>
      </c>
      <c r="AB1500" s="5">
        <v>0</v>
      </c>
    </row>
    <row r="1501" spans="1:28" x14ac:dyDescent="0.2">
      <c r="A1501" s="5">
        <v>50</v>
      </c>
      <c r="B1501" s="5">
        <v>0</v>
      </c>
      <c r="C1501" s="5">
        <v>0</v>
      </c>
      <c r="D1501" s="5">
        <v>1</v>
      </c>
      <c r="E1501" s="5">
        <v>232</v>
      </c>
      <c r="F1501" s="5">
        <f>ROUND(Source!BC1485,O1501)</f>
        <v>0</v>
      </c>
      <c r="G1501" s="5" t="s">
        <v>54</v>
      </c>
      <c r="H1501" s="5" t="s">
        <v>55</v>
      </c>
      <c r="I1501" s="5"/>
      <c r="J1501" s="5"/>
      <c r="K1501" s="5">
        <v>232</v>
      </c>
      <c r="L1501" s="5">
        <v>15</v>
      </c>
      <c r="M1501" s="5">
        <v>3</v>
      </c>
      <c r="N1501" s="5" t="s">
        <v>3</v>
      </c>
      <c r="O1501" s="5">
        <v>2</v>
      </c>
      <c r="P1501" s="5">
        <f>ROUND(Source!EU1485,O1501)</f>
        <v>0</v>
      </c>
      <c r="Q1501" s="5"/>
      <c r="R1501" s="5"/>
      <c r="S1501" s="5"/>
      <c r="T1501" s="5"/>
      <c r="U1501" s="5"/>
      <c r="V1501" s="5"/>
      <c r="W1501" s="5">
        <v>0</v>
      </c>
      <c r="X1501" s="5">
        <v>1</v>
      </c>
      <c r="Y1501" s="5">
        <v>0</v>
      </c>
      <c r="Z1501" s="5">
        <v>0</v>
      </c>
      <c r="AA1501" s="5">
        <v>1</v>
      </c>
      <c r="AB1501" s="5">
        <v>0</v>
      </c>
    </row>
    <row r="1502" spans="1:28" x14ac:dyDescent="0.2">
      <c r="A1502" s="5">
        <v>50</v>
      </c>
      <c r="B1502" s="5">
        <v>0</v>
      </c>
      <c r="C1502" s="5">
        <v>0</v>
      </c>
      <c r="D1502" s="5">
        <v>1</v>
      </c>
      <c r="E1502" s="5">
        <v>214</v>
      </c>
      <c r="F1502" s="5">
        <f>ROUND(Source!AS1485,O1502)</f>
        <v>0</v>
      </c>
      <c r="G1502" s="5" t="s">
        <v>56</v>
      </c>
      <c r="H1502" s="5" t="s">
        <v>57</v>
      </c>
      <c r="I1502" s="5"/>
      <c r="J1502" s="5"/>
      <c r="K1502" s="5">
        <v>214</v>
      </c>
      <c r="L1502" s="5">
        <v>16</v>
      </c>
      <c r="M1502" s="5">
        <v>3</v>
      </c>
      <c r="N1502" s="5" t="s">
        <v>3</v>
      </c>
      <c r="O1502" s="5">
        <v>2</v>
      </c>
      <c r="P1502" s="5">
        <f>ROUND(Source!EK1485,O1502)</f>
        <v>0</v>
      </c>
      <c r="Q1502" s="5"/>
      <c r="R1502" s="5"/>
      <c r="S1502" s="5"/>
      <c r="T1502" s="5"/>
      <c r="U1502" s="5"/>
      <c r="V1502" s="5"/>
      <c r="W1502" s="5">
        <v>0</v>
      </c>
      <c r="X1502" s="5">
        <v>1</v>
      </c>
      <c r="Y1502" s="5">
        <v>0</v>
      </c>
      <c r="Z1502" s="5">
        <v>0</v>
      </c>
      <c r="AA1502" s="5">
        <v>1</v>
      </c>
      <c r="AB1502" s="5">
        <v>0</v>
      </c>
    </row>
    <row r="1503" spans="1:28" x14ac:dyDescent="0.2">
      <c r="A1503" s="5">
        <v>50</v>
      </c>
      <c r="B1503" s="5">
        <v>0</v>
      </c>
      <c r="C1503" s="5">
        <v>0</v>
      </c>
      <c r="D1503" s="5">
        <v>1</v>
      </c>
      <c r="E1503" s="5">
        <v>215</v>
      </c>
      <c r="F1503" s="5">
        <f>ROUND(Source!AT1485,O1503)</f>
        <v>0</v>
      </c>
      <c r="G1503" s="5" t="s">
        <v>58</v>
      </c>
      <c r="H1503" s="5" t="s">
        <v>59</v>
      </c>
      <c r="I1503" s="5"/>
      <c r="J1503" s="5"/>
      <c r="K1503" s="5">
        <v>215</v>
      </c>
      <c r="L1503" s="5">
        <v>17</v>
      </c>
      <c r="M1503" s="5">
        <v>3</v>
      </c>
      <c r="N1503" s="5" t="s">
        <v>3</v>
      </c>
      <c r="O1503" s="5">
        <v>2</v>
      </c>
      <c r="P1503" s="5">
        <f>ROUND(Source!EL1485,O1503)</f>
        <v>0</v>
      </c>
      <c r="Q1503" s="5"/>
      <c r="R1503" s="5"/>
      <c r="S1503" s="5"/>
      <c r="T1503" s="5"/>
      <c r="U1503" s="5"/>
      <c r="V1503" s="5"/>
      <c r="W1503" s="5">
        <v>0</v>
      </c>
      <c r="X1503" s="5">
        <v>1</v>
      </c>
      <c r="Y1503" s="5">
        <v>0</v>
      </c>
      <c r="Z1503" s="5">
        <v>0</v>
      </c>
      <c r="AA1503" s="5">
        <v>1</v>
      </c>
      <c r="AB1503" s="5">
        <v>0</v>
      </c>
    </row>
    <row r="1504" spans="1:28" x14ac:dyDescent="0.2">
      <c r="A1504" s="5">
        <v>50</v>
      </c>
      <c r="B1504" s="5">
        <v>0</v>
      </c>
      <c r="C1504" s="5">
        <v>0</v>
      </c>
      <c r="D1504" s="5">
        <v>1</v>
      </c>
      <c r="E1504" s="5">
        <v>217</v>
      </c>
      <c r="F1504" s="5">
        <f>ROUND(Source!AU1485,O1504)</f>
        <v>0</v>
      </c>
      <c r="G1504" s="5" t="s">
        <v>60</v>
      </c>
      <c r="H1504" s="5" t="s">
        <v>61</v>
      </c>
      <c r="I1504" s="5"/>
      <c r="J1504" s="5"/>
      <c r="K1504" s="5">
        <v>217</v>
      </c>
      <c r="L1504" s="5">
        <v>18</v>
      </c>
      <c r="M1504" s="5">
        <v>3</v>
      </c>
      <c r="N1504" s="5" t="s">
        <v>3</v>
      </c>
      <c r="O1504" s="5">
        <v>2</v>
      </c>
      <c r="P1504" s="5">
        <f>ROUND(Source!EM1485,O1504)</f>
        <v>0</v>
      </c>
      <c r="Q1504" s="5"/>
      <c r="R1504" s="5"/>
      <c r="S1504" s="5"/>
      <c r="T1504" s="5"/>
      <c r="U1504" s="5"/>
      <c r="V1504" s="5"/>
      <c r="W1504" s="5">
        <v>0</v>
      </c>
      <c r="X1504" s="5">
        <v>1</v>
      </c>
      <c r="Y1504" s="5">
        <v>0</v>
      </c>
      <c r="Z1504" s="5">
        <v>0</v>
      </c>
      <c r="AA1504" s="5">
        <v>1</v>
      </c>
      <c r="AB1504" s="5">
        <v>0</v>
      </c>
    </row>
    <row r="1505" spans="1:206" x14ac:dyDescent="0.2">
      <c r="A1505" s="5">
        <v>50</v>
      </c>
      <c r="B1505" s="5">
        <v>0</v>
      </c>
      <c r="C1505" s="5">
        <v>0</v>
      </c>
      <c r="D1505" s="5">
        <v>1</v>
      </c>
      <c r="E1505" s="5">
        <v>230</v>
      </c>
      <c r="F1505" s="5">
        <f>ROUND(Source!BA1485,O1505)</f>
        <v>0</v>
      </c>
      <c r="G1505" s="5" t="s">
        <v>62</v>
      </c>
      <c r="H1505" s="5" t="s">
        <v>63</v>
      </c>
      <c r="I1505" s="5"/>
      <c r="J1505" s="5"/>
      <c r="K1505" s="5">
        <v>230</v>
      </c>
      <c r="L1505" s="5">
        <v>19</v>
      </c>
      <c r="M1505" s="5">
        <v>3</v>
      </c>
      <c r="N1505" s="5" t="s">
        <v>3</v>
      </c>
      <c r="O1505" s="5">
        <v>2</v>
      </c>
      <c r="P1505" s="5">
        <f>ROUND(Source!ES1485,O1505)</f>
        <v>0</v>
      </c>
      <c r="Q1505" s="5"/>
      <c r="R1505" s="5"/>
      <c r="S1505" s="5"/>
      <c r="T1505" s="5"/>
      <c r="U1505" s="5"/>
      <c r="V1505" s="5"/>
      <c r="W1505" s="5">
        <v>0</v>
      </c>
      <c r="X1505" s="5">
        <v>1</v>
      </c>
      <c r="Y1505" s="5">
        <v>0</v>
      </c>
      <c r="Z1505" s="5">
        <v>0</v>
      </c>
      <c r="AA1505" s="5">
        <v>1</v>
      </c>
      <c r="AB1505" s="5">
        <v>0</v>
      </c>
    </row>
    <row r="1506" spans="1:206" x14ac:dyDescent="0.2">
      <c r="A1506" s="5">
        <v>50</v>
      </c>
      <c r="B1506" s="5">
        <v>0</v>
      </c>
      <c r="C1506" s="5">
        <v>0</v>
      </c>
      <c r="D1506" s="5">
        <v>1</v>
      </c>
      <c r="E1506" s="5">
        <v>206</v>
      </c>
      <c r="F1506" s="5">
        <f>ROUND(Source!T1485,O1506)</f>
        <v>1946.32</v>
      </c>
      <c r="G1506" s="5" t="s">
        <v>64</v>
      </c>
      <c r="H1506" s="5" t="s">
        <v>65</v>
      </c>
      <c r="I1506" s="5"/>
      <c r="J1506" s="5"/>
      <c r="K1506" s="5">
        <v>206</v>
      </c>
      <c r="L1506" s="5">
        <v>20</v>
      </c>
      <c r="M1506" s="5">
        <v>3</v>
      </c>
      <c r="N1506" s="5" t="s">
        <v>3</v>
      </c>
      <c r="O1506" s="5">
        <v>2</v>
      </c>
      <c r="P1506" s="5">
        <f>ROUND(Source!DL1485,O1506)</f>
        <v>24056.52</v>
      </c>
      <c r="Q1506" s="5"/>
      <c r="R1506" s="5"/>
      <c r="S1506" s="5"/>
      <c r="T1506" s="5"/>
      <c r="U1506" s="5"/>
      <c r="V1506" s="5"/>
      <c r="W1506" s="5">
        <v>1946.32</v>
      </c>
      <c r="X1506" s="5">
        <v>1</v>
      </c>
      <c r="Y1506" s="5">
        <v>1946.32</v>
      </c>
      <c r="Z1506" s="5">
        <v>24056.52</v>
      </c>
      <c r="AA1506" s="5">
        <v>1</v>
      </c>
      <c r="AB1506" s="5">
        <v>24056.52</v>
      </c>
    </row>
    <row r="1507" spans="1:206" x14ac:dyDescent="0.2">
      <c r="A1507" s="5">
        <v>50</v>
      </c>
      <c r="B1507" s="5">
        <v>0</v>
      </c>
      <c r="C1507" s="5">
        <v>0</v>
      </c>
      <c r="D1507" s="5">
        <v>1</v>
      </c>
      <c r="E1507" s="5">
        <v>207</v>
      </c>
      <c r="F1507" s="5">
        <f>Source!U1485</f>
        <v>0</v>
      </c>
      <c r="G1507" s="5" t="s">
        <v>66</v>
      </c>
      <c r="H1507" s="5" t="s">
        <v>67</v>
      </c>
      <c r="I1507" s="5"/>
      <c r="J1507" s="5"/>
      <c r="K1507" s="5">
        <v>207</v>
      </c>
      <c r="L1507" s="5">
        <v>21</v>
      </c>
      <c r="M1507" s="5">
        <v>3</v>
      </c>
      <c r="N1507" s="5" t="s">
        <v>3</v>
      </c>
      <c r="O1507" s="5">
        <v>-1</v>
      </c>
      <c r="P1507" s="5">
        <f>Source!DM1485</f>
        <v>0</v>
      </c>
      <c r="Q1507" s="5"/>
      <c r="R1507" s="5"/>
      <c r="S1507" s="5"/>
      <c r="T1507" s="5"/>
      <c r="U1507" s="5"/>
      <c r="V1507" s="5"/>
      <c r="W1507" s="5">
        <v>0</v>
      </c>
      <c r="X1507" s="5">
        <v>1</v>
      </c>
      <c r="Y1507" s="5">
        <v>0</v>
      </c>
      <c r="Z1507" s="5">
        <v>0</v>
      </c>
      <c r="AA1507" s="5">
        <v>1</v>
      </c>
      <c r="AB1507" s="5">
        <v>0</v>
      </c>
    </row>
    <row r="1508" spans="1:206" x14ac:dyDescent="0.2">
      <c r="A1508" s="5">
        <v>50</v>
      </c>
      <c r="B1508" s="5">
        <v>0</v>
      </c>
      <c r="C1508" s="5">
        <v>0</v>
      </c>
      <c r="D1508" s="5">
        <v>1</v>
      </c>
      <c r="E1508" s="5">
        <v>208</v>
      </c>
      <c r="F1508" s="5">
        <f>Source!V1485</f>
        <v>0</v>
      </c>
      <c r="G1508" s="5" t="s">
        <v>68</v>
      </c>
      <c r="H1508" s="5" t="s">
        <v>69</v>
      </c>
      <c r="I1508" s="5"/>
      <c r="J1508" s="5"/>
      <c r="K1508" s="5">
        <v>208</v>
      </c>
      <c r="L1508" s="5">
        <v>22</v>
      </c>
      <c r="M1508" s="5">
        <v>3</v>
      </c>
      <c r="N1508" s="5" t="s">
        <v>3</v>
      </c>
      <c r="O1508" s="5">
        <v>-1</v>
      </c>
      <c r="P1508" s="5">
        <f>Source!DN1485</f>
        <v>0</v>
      </c>
      <c r="Q1508" s="5"/>
      <c r="R1508" s="5"/>
      <c r="S1508" s="5"/>
      <c r="T1508" s="5"/>
      <c r="U1508" s="5"/>
      <c r="V1508" s="5"/>
      <c r="W1508" s="5">
        <v>0</v>
      </c>
      <c r="X1508" s="5">
        <v>1</v>
      </c>
      <c r="Y1508" s="5">
        <v>0</v>
      </c>
      <c r="Z1508" s="5">
        <v>0</v>
      </c>
      <c r="AA1508" s="5">
        <v>1</v>
      </c>
      <c r="AB1508" s="5">
        <v>0</v>
      </c>
    </row>
    <row r="1509" spans="1:206" x14ac:dyDescent="0.2">
      <c r="A1509" s="5">
        <v>50</v>
      </c>
      <c r="B1509" s="5">
        <v>0</v>
      </c>
      <c r="C1509" s="5">
        <v>0</v>
      </c>
      <c r="D1509" s="5">
        <v>1</v>
      </c>
      <c r="E1509" s="5">
        <v>209</v>
      </c>
      <c r="F1509" s="5">
        <f>ROUND(Source!W1485,O1509)</f>
        <v>0</v>
      </c>
      <c r="G1509" s="5" t="s">
        <v>70</v>
      </c>
      <c r="H1509" s="5" t="s">
        <v>71</v>
      </c>
      <c r="I1509" s="5"/>
      <c r="J1509" s="5"/>
      <c r="K1509" s="5">
        <v>209</v>
      </c>
      <c r="L1509" s="5">
        <v>23</v>
      </c>
      <c r="M1509" s="5">
        <v>3</v>
      </c>
      <c r="N1509" s="5" t="s">
        <v>3</v>
      </c>
      <c r="O1509" s="5">
        <v>2</v>
      </c>
      <c r="P1509" s="5">
        <f>ROUND(Source!DO1485,O1509)</f>
        <v>0</v>
      </c>
      <c r="Q1509" s="5"/>
      <c r="R1509" s="5"/>
      <c r="S1509" s="5"/>
      <c r="T1509" s="5"/>
      <c r="U1509" s="5"/>
      <c r="V1509" s="5"/>
      <c r="W1509" s="5">
        <v>0</v>
      </c>
      <c r="X1509" s="5">
        <v>1</v>
      </c>
      <c r="Y1509" s="5">
        <v>0</v>
      </c>
      <c r="Z1509" s="5">
        <v>0</v>
      </c>
      <c r="AA1509" s="5">
        <v>1</v>
      </c>
      <c r="AB1509" s="5">
        <v>0</v>
      </c>
    </row>
    <row r="1510" spans="1:206" x14ac:dyDescent="0.2">
      <c r="A1510" s="5">
        <v>50</v>
      </c>
      <c r="B1510" s="5">
        <v>0</v>
      </c>
      <c r="C1510" s="5">
        <v>0</v>
      </c>
      <c r="D1510" s="5">
        <v>1</v>
      </c>
      <c r="E1510" s="5">
        <v>233</v>
      </c>
      <c r="F1510" s="5">
        <f>ROUND(Source!BD1485,O1510)</f>
        <v>0</v>
      </c>
      <c r="G1510" s="5" t="s">
        <v>72</v>
      </c>
      <c r="H1510" s="5" t="s">
        <v>73</v>
      </c>
      <c r="I1510" s="5"/>
      <c r="J1510" s="5"/>
      <c r="K1510" s="5">
        <v>233</v>
      </c>
      <c r="L1510" s="5">
        <v>24</v>
      </c>
      <c r="M1510" s="5">
        <v>3</v>
      </c>
      <c r="N1510" s="5" t="s">
        <v>3</v>
      </c>
      <c r="O1510" s="5">
        <v>2</v>
      </c>
      <c r="P1510" s="5">
        <f>ROUND(Source!EV1485,O1510)</f>
        <v>0</v>
      </c>
      <c r="Q1510" s="5"/>
      <c r="R1510" s="5"/>
      <c r="S1510" s="5"/>
      <c r="T1510" s="5"/>
      <c r="U1510" s="5"/>
      <c r="V1510" s="5"/>
      <c r="W1510" s="5">
        <v>0</v>
      </c>
      <c r="X1510" s="5">
        <v>1</v>
      </c>
      <c r="Y1510" s="5">
        <v>0</v>
      </c>
      <c r="Z1510" s="5">
        <v>0</v>
      </c>
      <c r="AA1510" s="5">
        <v>1</v>
      </c>
      <c r="AB1510" s="5">
        <v>0</v>
      </c>
    </row>
    <row r="1511" spans="1:206" x14ac:dyDescent="0.2">
      <c r="A1511" s="5">
        <v>50</v>
      </c>
      <c r="B1511" s="5">
        <v>0</v>
      </c>
      <c r="C1511" s="5">
        <v>0</v>
      </c>
      <c r="D1511" s="5">
        <v>1</v>
      </c>
      <c r="E1511" s="5">
        <v>210</v>
      </c>
      <c r="F1511" s="5">
        <f>ROUND(Source!X1485,O1511)</f>
        <v>0</v>
      </c>
      <c r="G1511" s="5" t="s">
        <v>74</v>
      </c>
      <c r="H1511" s="5" t="s">
        <v>75</v>
      </c>
      <c r="I1511" s="5"/>
      <c r="J1511" s="5"/>
      <c r="K1511" s="5">
        <v>210</v>
      </c>
      <c r="L1511" s="5">
        <v>25</v>
      </c>
      <c r="M1511" s="5">
        <v>3</v>
      </c>
      <c r="N1511" s="5" t="s">
        <v>3</v>
      </c>
      <c r="O1511" s="5">
        <v>2</v>
      </c>
      <c r="P1511" s="5">
        <f>ROUND(Source!DP1485,O1511)</f>
        <v>0</v>
      </c>
      <c r="Q1511" s="5"/>
      <c r="R1511" s="5"/>
      <c r="S1511" s="5"/>
      <c r="T1511" s="5"/>
      <c r="U1511" s="5"/>
      <c r="V1511" s="5"/>
      <c r="W1511" s="5">
        <v>0</v>
      </c>
      <c r="X1511" s="5">
        <v>1</v>
      </c>
      <c r="Y1511" s="5">
        <v>0</v>
      </c>
      <c r="Z1511" s="5">
        <v>0</v>
      </c>
      <c r="AA1511" s="5">
        <v>1</v>
      </c>
      <c r="AB1511" s="5">
        <v>0</v>
      </c>
    </row>
    <row r="1512" spans="1:206" x14ac:dyDescent="0.2">
      <c r="A1512" s="5">
        <v>50</v>
      </c>
      <c r="B1512" s="5">
        <v>0</v>
      </c>
      <c r="C1512" s="5">
        <v>0</v>
      </c>
      <c r="D1512" s="5">
        <v>1</v>
      </c>
      <c r="E1512" s="5">
        <v>211</v>
      </c>
      <c r="F1512" s="5">
        <f>ROUND(Source!Y1485,O1512)</f>
        <v>0</v>
      </c>
      <c r="G1512" s="5" t="s">
        <v>76</v>
      </c>
      <c r="H1512" s="5" t="s">
        <v>77</v>
      </c>
      <c r="I1512" s="5"/>
      <c r="J1512" s="5"/>
      <c r="K1512" s="5">
        <v>211</v>
      </c>
      <c r="L1512" s="5">
        <v>26</v>
      </c>
      <c r="M1512" s="5">
        <v>3</v>
      </c>
      <c r="N1512" s="5" t="s">
        <v>3</v>
      </c>
      <c r="O1512" s="5">
        <v>2</v>
      </c>
      <c r="P1512" s="5">
        <f>ROUND(Source!DQ1485,O1512)</f>
        <v>0</v>
      </c>
      <c r="Q1512" s="5"/>
      <c r="R1512" s="5"/>
      <c r="S1512" s="5"/>
      <c r="T1512" s="5"/>
      <c r="U1512" s="5"/>
      <c r="V1512" s="5"/>
      <c r="W1512" s="5">
        <v>0</v>
      </c>
      <c r="X1512" s="5">
        <v>1</v>
      </c>
      <c r="Y1512" s="5">
        <v>0</v>
      </c>
      <c r="Z1512" s="5">
        <v>0</v>
      </c>
      <c r="AA1512" s="5">
        <v>1</v>
      </c>
      <c r="AB1512" s="5">
        <v>0</v>
      </c>
    </row>
    <row r="1513" spans="1:206" x14ac:dyDescent="0.2">
      <c r="A1513" s="5">
        <v>50</v>
      </c>
      <c r="B1513" s="5">
        <v>0</v>
      </c>
      <c r="C1513" s="5">
        <v>0</v>
      </c>
      <c r="D1513" s="5">
        <v>1</v>
      </c>
      <c r="E1513" s="5">
        <v>224</v>
      </c>
      <c r="F1513" s="5">
        <f>ROUND(Source!AR1485,O1513)</f>
        <v>0</v>
      </c>
      <c r="G1513" s="5" t="s">
        <v>78</v>
      </c>
      <c r="H1513" s="5" t="s">
        <v>79</v>
      </c>
      <c r="I1513" s="5"/>
      <c r="J1513" s="5"/>
      <c r="K1513" s="5">
        <v>224</v>
      </c>
      <c r="L1513" s="5">
        <v>27</v>
      </c>
      <c r="M1513" s="5">
        <v>3</v>
      </c>
      <c r="N1513" s="5" t="s">
        <v>3</v>
      </c>
      <c r="O1513" s="5">
        <v>2</v>
      </c>
      <c r="P1513" s="5">
        <f>ROUND(Source!EJ1485,O1513)</f>
        <v>0</v>
      </c>
      <c r="Q1513" s="5"/>
      <c r="R1513" s="5"/>
      <c r="S1513" s="5"/>
      <c r="T1513" s="5"/>
      <c r="U1513" s="5"/>
      <c r="V1513" s="5"/>
      <c r="W1513" s="5">
        <v>0</v>
      </c>
      <c r="X1513" s="5">
        <v>1</v>
      </c>
      <c r="Y1513" s="5">
        <v>0</v>
      </c>
      <c r="Z1513" s="5">
        <v>0</v>
      </c>
      <c r="AA1513" s="5">
        <v>1</v>
      </c>
      <c r="AB1513" s="5">
        <v>0</v>
      </c>
    </row>
    <row r="1515" spans="1:206" x14ac:dyDescent="0.2">
      <c r="A1515" s="3">
        <v>51</v>
      </c>
      <c r="B1515" s="3">
        <f>B12</f>
        <v>1554</v>
      </c>
      <c r="C1515" s="3">
        <f>A12</f>
        <v>1</v>
      </c>
      <c r="D1515" s="3">
        <f>ROW(A12)</f>
        <v>12</v>
      </c>
      <c r="E1515" s="3"/>
      <c r="F1515" s="3" t="str">
        <f>IF(F12&lt;&gt;"",F12,"")</f>
        <v>Новый объект_(Копия)</v>
      </c>
      <c r="G1515" s="3" t="str">
        <f>IF(G12&lt;&gt;"",G12,"")</f>
        <v>Ерамешанцева_(Копия)</v>
      </c>
      <c r="H1515" s="3">
        <v>0</v>
      </c>
      <c r="I1515" s="3"/>
      <c r="J1515" s="3"/>
      <c r="K1515" s="3"/>
      <c r="L1515" s="3"/>
      <c r="M1515" s="3"/>
      <c r="N1515" s="3"/>
      <c r="O1515" s="3">
        <f t="shared" ref="O1515:T1515" si="1235">ROUND(O116+O421+O609+O789+O961+O1294+O1448+O1485,2)</f>
        <v>88262.99</v>
      </c>
      <c r="P1515" s="3">
        <f t="shared" si="1235"/>
        <v>66507.12</v>
      </c>
      <c r="Q1515" s="3">
        <f t="shared" si="1235"/>
        <v>7412.84</v>
      </c>
      <c r="R1515" s="3">
        <f t="shared" si="1235"/>
        <v>914.07</v>
      </c>
      <c r="S1515" s="3">
        <f t="shared" si="1235"/>
        <v>14343.03</v>
      </c>
      <c r="T1515" s="3">
        <f t="shared" si="1235"/>
        <v>1946.32</v>
      </c>
      <c r="U1515" s="3">
        <f>U116+U421+U609+U789+U961+U1294+U1448+U1485</f>
        <v>1169.17322975</v>
      </c>
      <c r="V1515" s="3">
        <f>V116+V421+V609+V789+V961+V1294+V1448+V1485</f>
        <v>0</v>
      </c>
      <c r="W1515" s="3">
        <f>ROUND(W116+W421+W609+W789+W961+W1294+W1448+W1485,2)</f>
        <v>0</v>
      </c>
      <c r="X1515" s="3">
        <f>ROUND(X116+X421+X609+X789+X961+X1294+X1448+X1485,2)</f>
        <v>13648.32</v>
      </c>
      <c r="Y1515" s="3">
        <f>ROUND(Y116+Y421+Y609+Y789+Y961+Y1294+Y1448+Y1485,2)</f>
        <v>9360.19</v>
      </c>
      <c r="Z1515" s="3"/>
      <c r="AA1515" s="3"/>
      <c r="AB1515" s="3"/>
      <c r="AC1515" s="3"/>
      <c r="AD1515" s="3"/>
      <c r="AE1515" s="3"/>
      <c r="AF1515" s="3"/>
      <c r="AG1515" s="3"/>
      <c r="AH1515" s="3"/>
      <c r="AI1515" s="3"/>
      <c r="AJ1515" s="3"/>
      <c r="AK1515" s="3"/>
      <c r="AL1515" s="3"/>
      <c r="AM1515" s="3"/>
      <c r="AN1515" s="3"/>
      <c r="AO1515" s="3">
        <f t="shared" ref="AO1515:BD1515" si="1236">ROUND(AO116+AO421+AO609+AO789+AO961+AO1294+AO1448+AO1485,2)</f>
        <v>0</v>
      </c>
      <c r="AP1515" s="3">
        <f t="shared" si="1236"/>
        <v>2325.66</v>
      </c>
      <c r="AQ1515" s="3">
        <f t="shared" si="1236"/>
        <v>0</v>
      </c>
      <c r="AR1515" s="3">
        <f t="shared" si="1236"/>
        <v>112871.21</v>
      </c>
      <c r="AS1515" s="3">
        <f t="shared" si="1236"/>
        <v>88274.44</v>
      </c>
      <c r="AT1515" s="3">
        <f t="shared" si="1236"/>
        <v>19841.22</v>
      </c>
      <c r="AU1515" s="3">
        <f t="shared" si="1236"/>
        <v>2429.89</v>
      </c>
      <c r="AV1515" s="3">
        <f t="shared" si="1236"/>
        <v>66507.12</v>
      </c>
      <c r="AW1515" s="3">
        <f t="shared" si="1236"/>
        <v>64181.46</v>
      </c>
      <c r="AX1515" s="3">
        <f t="shared" si="1236"/>
        <v>0</v>
      </c>
      <c r="AY1515" s="3">
        <f t="shared" si="1236"/>
        <v>64181.46</v>
      </c>
      <c r="AZ1515" s="3">
        <f t="shared" si="1236"/>
        <v>2325.66</v>
      </c>
      <c r="BA1515" s="3">
        <f t="shared" si="1236"/>
        <v>0</v>
      </c>
      <c r="BB1515" s="3">
        <f t="shared" si="1236"/>
        <v>0</v>
      </c>
      <c r="BC1515" s="3">
        <f t="shared" si="1236"/>
        <v>0</v>
      </c>
      <c r="BD1515" s="3">
        <f t="shared" si="1236"/>
        <v>0</v>
      </c>
      <c r="BE1515" s="3"/>
      <c r="BF1515" s="3"/>
      <c r="BG1515" s="3"/>
      <c r="BH1515" s="3"/>
      <c r="BI1515" s="3"/>
      <c r="BJ1515" s="3"/>
      <c r="BK1515" s="3"/>
      <c r="BL1515" s="3"/>
      <c r="BM1515" s="3"/>
      <c r="BN1515" s="3"/>
      <c r="BO1515" s="3"/>
      <c r="BP1515" s="3"/>
      <c r="BQ1515" s="3"/>
      <c r="BR1515" s="3"/>
      <c r="BS1515" s="3"/>
      <c r="BT1515" s="3"/>
      <c r="BU1515" s="3"/>
      <c r="BV1515" s="3"/>
      <c r="BW1515" s="3"/>
      <c r="BX1515" s="3"/>
      <c r="BY1515" s="3"/>
      <c r="BZ1515" s="3"/>
      <c r="CA1515" s="3"/>
      <c r="CB1515" s="3"/>
      <c r="CC1515" s="3"/>
      <c r="CD1515" s="3"/>
      <c r="CE1515" s="3"/>
      <c r="CF1515" s="3"/>
      <c r="CG1515" s="3"/>
      <c r="CH1515" s="3"/>
      <c r="CI1515" s="3"/>
      <c r="CJ1515" s="3"/>
      <c r="CK1515" s="3"/>
      <c r="CL1515" s="3"/>
      <c r="CM1515" s="3"/>
      <c r="CN1515" s="3"/>
      <c r="CO1515" s="3"/>
      <c r="CP1515" s="3"/>
      <c r="CQ1515" s="3"/>
      <c r="CR1515" s="3"/>
      <c r="CS1515" s="3"/>
      <c r="CT1515" s="3"/>
      <c r="CU1515" s="3"/>
      <c r="CV1515" s="3"/>
      <c r="CW1515" s="3"/>
      <c r="CX1515" s="3"/>
      <c r="CY1515" s="3"/>
      <c r="CZ1515" s="3"/>
      <c r="DA1515" s="3"/>
      <c r="DB1515" s="3"/>
      <c r="DC1515" s="3"/>
      <c r="DD1515" s="3"/>
      <c r="DE1515" s="3"/>
      <c r="DF1515" s="3"/>
      <c r="DG1515" s="4">
        <f t="shared" ref="DG1515:DL1515" si="1237">ROUND(DG116+DG421+DG609+DG789+DG961+DG1294+DG1448+DG1485,2)</f>
        <v>1776263.52</v>
      </c>
      <c r="DH1515" s="4">
        <f t="shared" si="1237"/>
        <v>1269656.77</v>
      </c>
      <c r="DI1515" s="4">
        <f t="shared" si="1237"/>
        <v>90228.54</v>
      </c>
      <c r="DJ1515" s="4">
        <f t="shared" si="1237"/>
        <v>26535.46</v>
      </c>
      <c r="DK1515" s="4">
        <f t="shared" si="1237"/>
        <v>416378.21</v>
      </c>
      <c r="DL1515" s="4">
        <f t="shared" si="1237"/>
        <v>24056.52</v>
      </c>
      <c r="DM1515" s="4">
        <f>DM116+DM421+DM609+DM789+DM961+DM1294+DM1448+DM1485</f>
        <v>1169.17322975</v>
      </c>
      <c r="DN1515" s="4">
        <f>DN116+DN421+DN609+DN789+DN961+DN1294+DN1448+DN1485</f>
        <v>0</v>
      </c>
      <c r="DO1515" s="4">
        <f>ROUND(DO116+DO421+DO609+DO789+DO961+DO1294+DO1448+DO1485,2)</f>
        <v>0</v>
      </c>
      <c r="DP1515" s="4">
        <f>ROUND(DP116+DP421+DP609+DP789+DP961+DP1294+DP1448+DP1485,2)</f>
        <v>323689.34999999998</v>
      </c>
      <c r="DQ1515" s="4">
        <f>ROUND(DQ116+DQ421+DQ609+DQ789+DQ961+DQ1294+DQ1448+DQ1485,2)</f>
        <v>170715.07</v>
      </c>
      <c r="DR1515" s="4"/>
      <c r="DS1515" s="4"/>
      <c r="DT1515" s="4"/>
      <c r="DU1515" s="4"/>
      <c r="DV1515" s="4"/>
      <c r="DW1515" s="4"/>
      <c r="DX1515" s="4"/>
      <c r="DY1515" s="4"/>
      <c r="DZ1515" s="4"/>
      <c r="EA1515" s="4"/>
      <c r="EB1515" s="4"/>
      <c r="EC1515" s="4"/>
      <c r="ED1515" s="4"/>
      <c r="EE1515" s="4"/>
      <c r="EF1515" s="4"/>
      <c r="EG1515" s="4">
        <f t="shared" ref="EG1515:EV1515" si="1238">ROUND(EG116+EG421+EG609+EG789+EG961+EG1294+EG1448+EG1485,2)</f>
        <v>0</v>
      </c>
      <c r="EH1515" s="4">
        <f t="shared" si="1238"/>
        <v>131714.82999999999</v>
      </c>
      <c r="EI1515" s="4">
        <f t="shared" si="1238"/>
        <v>0</v>
      </c>
      <c r="EJ1515" s="4">
        <f t="shared" si="1238"/>
        <v>2313124.65</v>
      </c>
      <c r="EK1515" s="4">
        <f t="shared" si="1238"/>
        <v>1847552.61</v>
      </c>
      <c r="EL1515" s="4">
        <f t="shared" si="1238"/>
        <v>305609.06</v>
      </c>
      <c r="EM1515" s="4">
        <f t="shared" si="1238"/>
        <v>28248.15</v>
      </c>
      <c r="EN1515" s="4">
        <f t="shared" si="1238"/>
        <v>1269656.77</v>
      </c>
      <c r="EO1515" s="4">
        <f t="shared" si="1238"/>
        <v>1137941.94</v>
      </c>
      <c r="EP1515" s="4">
        <f t="shared" si="1238"/>
        <v>0</v>
      </c>
      <c r="EQ1515" s="4">
        <f t="shared" si="1238"/>
        <v>1137941.94</v>
      </c>
      <c r="ER1515" s="4">
        <f t="shared" si="1238"/>
        <v>131714.82999999999</v>
      </c>
      <c r="ES1515" s="4">
        <f t="shared" si="1238"/>
        <v>0</v>
      </c>
      <c r="ET1515" s="4">
        <f t="shared" si="1238"/>
        <v>0</v>
      </c>
      <c r="EU1515" s="4">
        <f t="shared" si="1238"/>
        <v>0</v>
      </c>
      <c r="EV1515" s="4">
        <f t="shared" si="1238"/>
        <v>0</v>
      </c>
      <c r="EW1515" s="4"/>
      <c r="EX1515" s="4"/>
      <c r="EY1515" s="4"/>
      <c r="EZ1515" s="4"/>
      <c r="FA1515" s="4"/>
      <c r="FB1515" s="4"/>
      <c r="FC1515" s="4"/>
      <c r="FD1515" s="4"/>
      <c r="FE1515" s="4"/>
      <c r="FF1515" s="4"/>
      <c r="FG1515" s="4"/>
      <c r="FH1515" s="4"/>
      <c r="FI1515" s="4"/>
      <c r="FJ1515" s="4"/>
      <c r="FK1515" s="4"/>
      <c r="FL1515" s="4"/>
      <c r="FM1515" s="4"/>
      <c r="FN1515" s="4"/>
      <c r="FO1515" s="4"/>
      <c r="FP1515" s="4"/>
      <c r="FQ1515" s="4"/>
      <c r="FR1515" s="4"/>
      <c r="FS1515" s="4"/>
      <c r="FT1515" s="4"/>
      <c r="FU1515" s="4"/>
      <c r="FV1515" s="4"/>
      <c r="FW1515" s="4"/>
      <c r="FX1515" s="4"/>
      <c r="FY1515" s="4"/>
      <c r="FZ1515" s="4"/>
      <c r="GA1515" s="4"/>
      <c r="GB1515" s="4"/>
      <c r="GC1515" s="4"/>
      <c r="GD1515" s="4"/>
      <c r="GE1515" s="4"/>
      <c r="GF1515" s="4"/>
      <c r="GG1515" s="4"/>
      <c r="GH1515" s="4"/>
      <c r="GI1515" s="4"/>
      <c r="GJ1515" s="4"/>
      <c r="GK1515" s="4"/>
      <c r="GL1515" s="4"/>
      <c r="GM1515" s="4"/>
      <c r="GN1515" s="4"/>
      <c r="GO1515" s="4"/>
      <c r="GP1515" s="4"/>
      <c r="GQ1515" s="4"/>
      <c r="GR1515" s="4"/>
      <c r="GS1515" s="4"/>
      <c r="GT1515" s="4"/>
      <c r="GU1515" s="4"/>
      <c r="GV1515" s="4"/>
      <c r="GW1515" s="4"/>
      <c r="GX1515" s="4">
        <v>0</v>
      </c>
    </row>
    <row r="1517" spans="1:206" x14ac:dyDescent="0.2">
      <c r="A1517" s="5">
        <v>50</v>
      </c>
      <c r="B1517" s="5">
        <v>0</v>
      </c>
      <c r="C1517" s="5">
        <v>0</v>
      </c>
      <c r="D1517" s="5">
        <v>1</v>
      </c>
      <c r="E1517" s="5">
        <v>201</v>
      </c>
      <c r="F1517" s="5">
        <f>ROUND(Source!O1515,O1517)</f>
        <v>88262.99</v>
      </c>
      <c r="G1517" s="5" t="s">
        <v>26</v>
      </c>
      <c r="H1517" s="5" t="s">
        <v>27</v>
      </c>
      <c r="I1517" s="5"/>
      <c r="J1517" s="5"/>
      <c r="K1517" s="5">
        <v>201</v>
      </c>
      <c r="L1517" s="5">
        <v>1</v>
      </c>
      <c r="M1517" s="5">
        <v>3</v>
      </c>
      <c r="N1517" s="5" t="s">
        <v>3</v>
      </c>
      <c r="O1517" s="5">
        <v>2</v>
      </c>
      <c r="P1517" s="5">
        <f>ROUND(Source!DG1515,O1517)</f>
        <v>1776263.52</v>
      </c>
      <c r="Q1517" s="5"/>
      <c r="R1517" s="5"/>
      <c r="S1517" s="5"/>
      <c r="T1517" s="5"/>
      <c r="U1517" s="5"/>
      <c r="V1517" s="5"/>
      <c r="W1517" s="5">
        <v>88262.99</v>
      </c>
      <c r="X1517" s="5">
        <v>1</v>
      </c>
      <c r="Y1517" s="5">
        <v>88262.99</v>
      </c>
      <c r="Z1517" s="5">
        <v>1776263.52</v>
      </c>
      <c r="AA1517" s="5">
        <v>1</v>
      </c>
      <c r="AB1517" s="5">
        <v>1776263.52</v>
      </c>
    </row>
    <row r="1518" spans="1:206" x14ac:dyDescent="0.2">
      <c r="A1518" s="5">
        <v>50</v>
      </c>
      <c r="B1518" s="5">
        <v>0</v>
      </c>
      <c r="C1518" s="5">
        <v>0</v>
      </c>
      <c r="D1518" s="5">
        <v>1</v>
      </c>
      <c r="E1518" s="5">
        <v>202</v>
      </c>
      <c r="F1518" s="5">
        <f>ROUND(Source!P1515,O1518)</f>
        <v>66507.12</v>
      </c>
      <c r="G1518" s="5" t="s">
        <v>28</v>
      </c>
      <c r="H1518" s="5" t="s">
        <v>29</v>
      </c>
      <c r="I1518" s="5"/>
      <c r="J1518" s="5"/>
      <c r="K1518" s="5">
        <v>202</v>
      </c>
      <c r="L1518" s="5">
        <v>2</v>
      </c>
      <c r="M1518" s="5">
        <v>3</v>
      </c>
      <c r="N1518" s="5" t="s">
        <v>3</v>
      </c>
      <c r="O1518" s="5">
        <v>2</v>
      </c>
      <c r="P1518" s="5">
        <f>ROUND(Source!DH1515,O1518)</f>
        <v>1269656.77</v>
      </c>
      <c r="Q1518" s="5"/>
      <c r="R1518" s="5"/>
      <c r="S1518" s="5"/>
      <c r="T1518" s="5"/>
      <c r="U1518" s="5"/>
      <c r="V1518" s="5"/>
      <c r="W1518" s="5">
        <v>66507.12</v>
      </c>
      <c r="X1518" s="5">
        <v>1</v>
      </c>
      <c r="Y1518" s="5">
        <v>66507.12</v>
      </c>
      <c r="Z1518" s="5">
        <v>1269656.77</v>
      </c>
      <c r="AA1518" s="5">
        <v>1</v>
      </c>
      <c r="AB1518" s="5">
        <v>1269656.77</v>
      </c>
    </row>
    <row r="1519" spans="1:206" x14ac:dyDescent="0.2">
      <c r="A1519" s="5">
        <v>50</v>
      </c>
      <c r="B1519" s="5">
        <v>0</v>
      </c>
      <c r="C1519" s="5">
        <v>0</v>
      </c>
      <c r="D1519" s="5">
        <v>1</v>
      </c>
      <c r="E1519" s="5">
        <v>222</v>
      </c>
      <c r="F1519" s="5">
        <f>ROUND(Source!AO1515,O1519)</f>
        <v>0</v>
      </c>
      <c r="G1519" s="5" t="s">
        <v>30</v>
      </c>
      <c r="H1519" s="5" t="s">
        <v>31</v>
      </c>
      <c r="I1519" s="5"/>
      <c r="J1519" s="5"/>
      <c r="K1519" s="5">
        <v>222</v>
      </c>
      <c r="L1519" s="5">
        <v>3</v>
      </c>
      <c r="M1519" s="5">
        <v>3</v>
      </c>
      <c r="N1519" s="5" t="s">
        <v>3</v>
      </c>
      <c r="O1519" s="5">
        <v>2</v>
      </c>
      <c r="P1519" s="5">
        <f>ROUND(Source!EG1515,O1519)</f>
        <v>0</v>
      </c>
      <c r="Q1519" s="5"/>
      <c r="R1519" s="5"/>
      <c r="S1519" s="5"/>
      <c r="T1519" s="5"/>
      <c r="U1519" s="5"/>
      <c r="V1519" s="5"/>
      <c r="W1519" s="5">
        <v>0</v>
      </c>
      <c r="X1519" s="5">
        <v>1</v>
      </c>
      <c r="Y1519" s="5">
        <v>0</v>
      </c>
      <c r="Z1519" s="5">
        <v>0</v>
      </c>
      <c r="AA1519" s="5">
        <v>1</v>
      </c>
      <c r="AB1519" s="5">
        <v>0</v>
      </c>
    </row>
    <row r="1520" spans="1:206" x14ac:dyDescent="0.2">
      <c r="A1520" s="5">
        <v>50</v>
      </c>
      <c r="B1520" s="5">
        <v>0</v>
      </c>
      <c r="C1520" s="5">
        <v>0</v>
      </c>
      <c r="D1520" s="5">
        <v>1</v>
      </c>
      <c r="E1520" s="5">
        <v>225</v>
      </c>
      <c r="F1520" s="5">
        <f>ROUND(Source!AV1515,O1520)</f>
        <v>66507.12</v>
      </c>
      <c r="G1520" s="5" t="s">
        <v>32</v>
      </c>
      <c r="H1520" s="5" t="s">
        <v>33</v>
      </c>
      <c r="I1520" s="5"/>
      <c r="J1520" s="5"/>
      <c r="K1520" s="5">
        <v>225</v>
      </c>
      <c r="L1520" s="5">
        <v>4</v>
      </c>
      <c r="M1520" s="5">
        <v>3</v>
      </c>
      <c r="N1520" s="5" t="s">
        <v>3</v>
      </c>
      <c r="O1520" s="5">
        <v>2</v>
      </c>
      <c r="P1520" s="5">
        <f>ROUND(Source!EN1515,O1520)</f>
        <v>1269656.77</v>
      </c>
      <c r="Q1520" s="5"/>
      <c r="R1520" s="5"/>
      <c r="S1520" s="5"/>
      <c r="T1520" s="5"/>
      <c r="U1520" s="5"/>
      <c r="V1520" s="5"/>
      <c r="W1520" s="5">
        <v>66507.12</v>
      </c>
      <c r="X1520" s="5">
        <v>1</v>
      </c>
      <c r="Y1520" s="5">
        <v>66507.12</v>
      </c>
      <c r="Z1520" s="5">
        <v>1269656.77</v>
      </c>
      <c r="AA1520" s="5">
        <v>1</v>
      </c>
      <c r="AB1520" s="5">
        <v>1269656.77</v>
      </c>
    </row>
    <row r="1521" spans="1:28" x14ac:dyDescent="0.2">
      <c r="A1521" s="5">
        <v>50</v>
      </c>
      <c r="B1521" s="5">
        <v>0</v>
      </c>
      <c r="C1521" s="5">
        <v>0</v>
      </c>
      <c r="D1521" s="5">
        <v>1</v>
      </c>
      <c r="E1521" s="5">
        <v>226</v>
      </c>
      <c r="F1521" s="5">
        <f>ROUND(Source!AW1515,O1521)</f>
        <v>64181.46</v>
      </c>
      <c r="G1521" s="5" t="s">
        <v>34</v>
      </c>
      <c r="H1521" s="5" t="s">
        <v>35</v>
      </c>
      <c r="I1521" s="5"/>
      <c r="J1521" s="5"/>
      <c r="K1521" s="5">
        <v>226</v>
      </c>
      <c r="L1521" s="5">
        <v>5</v>
      </c>
      <c r="M1521" s="5">
        <v>3</v>
      </c>
      <c r="N1521" s="5" t="s">
        <v>3</v>
      </c>
      <c r="O1521" s="5">
        <v>2</v>
      </c>
      <c r="P1521" s="5">
        <f>ROUND(Source!EO1515,O1521)</f>
        <v>1137941.94</v>
      </c>
      <c r="Q1521" s="5"/>
      <c r="R1521" s="5"/>
      <c r="S1521" s="5"/>
      <c r="T1521" s="5"/>
      <c r="U1521" s="5"/>
      <c r="V1521" s="5"/>
      <c r="W1521" s="5">
        <v>64181.46</v>
      </c>
      <c r="X1521" s="5">
        <v>1</v>
      </c>
      <c r="Y1521" s="5">
        <v>64181.46</v>
      </c>
      <c r="Z1521" s="5">
        <v>1137941.94</v>
      </c>
      <c r="AA1521" s="5">
        <v>1</v>
      </c>
      <c r="AB1521" s="5">
        <v>1137941.94</v>
      </c>
    </row>
    <row r="1522" spans="1:28" x14ac:dyDescent="0.2">
      <c r="A1522" s="5">
        <v>50</v>
      </c>
      <c r="B1522" s="5">
        <v>0</v>
      </c>
      <c r="C1522" s="5">
        <v>0</v>
      </c>
      <c r="D1522" s="5">
        <v>1</v>
      </c>
      <c r="E1522" s="5">
        <v>227</v>
      </c>
      <c r="F1522" s="5">
        <f>ROUND(Source!AX1515,O1522)</f>
        <v>0</v>
      </c>
      <c r="G1522" s="5" t="s">
        <v>36</v>
      </c>
      <c r="H1522" s="5" t="s">
        <v>37</v>
      </c>
      <c r="I1522" s="5"/>
      <c r="J1522" s="5"/>
      <c r="K1522" s="5">
        <v>227</v>
      </c>
      <c r="L1522" s="5">
        <v>6</v>
      </c>
      <c r="M1522" s="5">
        <v>3</v>
      </c>
      <c r="N1522" s="5" t="s">
        <v>3</v>
      </c>
      <c r="O1522" s="5">
        <v>2</v>
      </c>
      <c r="P1522" s="5">
        <f>ROUND(Source!EP1515,O1522)</f>
        <v>0</v>
      </c>
      <c r="Q1522" s="5"/>
      <c r="R1522" s="5"/>
      <c r="S1522" s="5"/>
      <c r="T1522" s="5"/>
      <c r="U1522" s="5"/>
      <c r="V1522" s="5"/>
      <c r="W1522" s="5">
        <v>0</v>
      </c>
      <c r="X1522" s="5">
        <v>1</v>
      </c>
      <c r="Y1522" s="5">
        <v>0</v>
      </c>
      <c r="Z1522" s="5">
        <v>0</v>
      </c>
      <c r="AA1522" s="5">
        <v>1</v>
      </c>
      <c r="AB1522" s="5">
        <v>0</v>
      </c>
    </row>
    <row r="1523" spans="1:28" x14ac:dyDescent="0.2">
      <c r="A1523" s="5">
        <v>50</v>
      </c>
      <c r="B1523" s="5">
        <v>0</v>
      </c>
      <c r="C1523" s="5">
        <v>0</v>
      </c>
      <c r="D1523" s="5">
        <v>1</v>
      </c>
      <c r="E1523" s="5">
        <v>228</v>
      </c>
      <c r="F1523" s="5">
        <f>ROUND(Source!AY1515,O1523)</f>
        <v>64181.46</v>
      </c>
      <c r="G1523" s="5" t="s">
        <v>38</v>
      </c>
      <c r="H1523" s="5" t="s">
        <v>39</v>
      </c>
      <c r="I1523" s="5"/>
      <c r="J1523" s="5"/>
      <c r="K1523" s="5">
        <v>228</v>
      </c>
      <c r="L1523" s="5">
        <v>7</v>
      </c>
      <c r="M1523" s="5">
        <v>3</v>
      </c>
      <c r="N1523" s="5" t="s">
        <v>3</v>
      </c>
      <c r="O1523" s="5">
        <v>2</v>
      </c>
      <c r="P1523" s="5">
        <f>ROUND(Source!EQ1515,O1523)</f>
        <v>1137941.94</v>
      </c>
      <c r="Q1523" s="5"/>
      <c r="R1523" s="5"/>
      <c r="S1523" s="5"/>
      <c r="T1523" s="5"/>
      <c r="U1523" s="5"/>
      <c r="V1523" s="5"/>
      <c r="W1523" s="5">
        <v>64181.46</v>
      </c>
      <c r="X1523" s="5">
        <v>1</v>
      </c>
      <c r="Y1523" s="5">
        <v>64181.46</v>
      </c>
      <c r="Z1523" s="5">
        <v>1137941.94</v>
      </c>
      <c r="AA1523" s="5">
        <v>1</v>
      </c>
      <c r="AB1523" s="5">
        <v>1137941.94</v>
      </c>
    </row>
    <row r="1524" spans="1:28" x14ac:dyDescent="0.2">
      <c r="A1524" s="5">
        <v>50</v>
      </c>
      <c r="B1524" s="5">
        <v>0</v>
      </c>
      <c r="C1524" s="5">
        <v>0</v>
      </c>
      <c r="D1524" s="5">
        <v>1</v>
      </c>
      <c r="E1524" s="5">
        <v>216</v>
      </c>
      <c r="F1524" s="5">
        <f>ROUND(Source!AP1515,O1524)</f>
        <v>2325.66</v>
      </c>
      <c r="G1524" s="5" t="s">
        <v>40</v>
      </c>
      <c r="H1524" s="5" t="s">
        <v>41</v>
      </c>
      <c r="I1524" s="5"/>
      <c r="J1524" s="5"/>
      <c r="K1524" s="5">
        <v>216</v>
      </c>
      <c r="L1524" s="5">
        <v>8</v>
      </c>
      <c r="M1524" s="5">
        <v>3</v>
      </c>
      <c r="N1524" s="5" t="s">
        <v>3</v>
      </c>
      <c r="O1524" s="5">
        <v>2</v>
      </c>
      <c r="P1524" s="5">
        <f>ROUND(Source!EH1515,O1524)</f>
        <v>131714.82999999999</v>
      </c>
      <c r="Q1524" s="5"/>
      <c r="R1524" s="5"/>
      <c r="S1524" s="5"/>
      <c r="T1524" s="5"/>
      <c r="U1524" s="5"/>
      <c r="V1524" s="5"/>
      <c r="W1524" s="5">
        <v>2325.66</v>
      </c>
      <c r="X1524" s="5">
        <v>1</v>
      </c>
      <c r="Y1524" s="5">
        <v>2325.66</v>
      </c>
      <c r="Z1524" s="5">
        <v>131714.82999999999</v>
      </c>
      <c r="AA1524" s="5">
        <v>1</v>
      </c>
      <c r="AB1524" s="5">
        <v>131714.82999999999</v>
      </c>
    </row>
    <row r="1525" spans="1:28" x14ac:dyDescent="0.2">
      <c r="A1525" s="5">
        <v>50</v>
      </c>
      <c r="B1525" s="5">
        <v>0</v>
      </c>
      <c r="C1525" s="5">
        <v>0</v>
      </c>
      <c r="D1525" s="5">
        <v>1</v>
      </c>
      <c r="E1525" s="5">
        <v>223</v>
      </c>
      <c r="F1525" s="5">
        <f>ROUND(Source!AQ1515,O1525)</f>
        <v>0</v>
      </c>
      <c r="G1525" s="5" t="s">
        <v>42</v>
      </c>
      <c r="H1525" s="5" t="s">
        <v>43</v>
      </c>
      <c r="I1525" s="5"/>
      <c r="J1525" s="5"/>
      <c r="K1525" s="5">
        <v>223</v>
      </c>
      <c r="L1525" s="5">
        <v>9</v>
      </c>
      <c r="M1525" s="5">
        <v>3</v>
      </c>
      <c r="N1525" s="5" t="s">
        <v>3</v>
      </c>
      <c r="O1525" s="5">
        <v>2</v>
      </c>
      <c r="P1525" s="5">
        <f>ROUND(Source!EI1515,O1525)</f>
        <v>0</v>
      </c>
      <c r="Q1525" s="5"/>
      <c r="R1525" s="5"/>
      <c r="S1525" s="5"/>
      <c r="T1525" s="5"/>
      <c r="U1525" s="5"/>
      <c r="V1525" s="5"/>
      <c r="W1525" s="5">
        <v>0</v>
      </c>
      <c r="X1525" s="5">
        <v>1</v>
      </c>
      <c r="Y1525" s="5">
        <v>0</v>
      </c>
      <c r="Z1525" s="5">
        <v>0</v>
      </c>
      <c r="AA1525" s="5">
        <v>1</v>
      </c>
      <c r="AB1525" s="5">
        <v>0</v>
      </c>
    </row>
    <row r="1526" spans="1:28" x14ac:dyDescent="0.2">
      <c r="A1526" s="5">
        <v>50</v>
      </c>
      <c r="B1526" s="5">
        <v>0</v>
      </c>
      <c r="C1526" s="5">
        <v>0</v>
      </c>
      <c r="D1526" s="5">
        <v>1</v>
      </c>
      <c r="E1526" s="5">
        <v>229</v>
      </c>
      <c r="F1526" s="5">
        <f>ROUND(Source!AZ1515,O1526)</f>
        <v>2325.66</v>
      </c>
      <c r="G1526" s="5" t="s">
        <v>44</v>
      </c>
      <c r="H1526" s="5" t="s">
        <v>45</v>
      </c>
      <c r="I1526" s="5"/>
      <c r="J1526" s="5"/>
      <c r="K1526" s="5">
        <v>229</v>
      </c>
      <c r="L1526" s="5">
        <v>10</v>
      </c>
      <c r="M1526" s="5">
        <v>3</v>
      </c>
      <c r="N1526" s="5" t="s">
        <v>3</v>
      </c>
      <c r="O1526" s="5">
        <v>2</v>
      </c>
      <c r="P1526" s="5">
        <f>ROUND(Source!ER1515,O1526)</f>
        <v>131714.82999999999</v>
      </c>
      <c r="Q1526" s="5"/>
      <c r="R1526" s="5"/>
      <c r="S1526" s="5"/>
      <c r="T1526" s="5"/>
      <c r="U1526" s="5"/>
      <c r="V1526" s="5"/>
      <c r="W1526" s="5">
        <v>2325.66</v>
      </c>
      <c r="X1526" s="5">
        <v>1</v>
      </c>
      <c r="Y1526" s="5">
        <v>2325.66</v>
      </c>
      <c r="Z1526" s="5">
        <v>131714.82999999999</v>
      </c>
      <c r="AA1526" s="5">
        <v>1</v>
      </c>
      <c r="AB1526" s="5">
        <v>131714.82999999999</v>
      </c>
    </row>
    <row r="1527" spans="1:28" x14ac:dyDescent="0.2">
      <c r="A1527" s="5">
        <v>50</v>
      </c>
      <c r="B1527" s="5">
        <v>0</v>
      </c>
      <c r="C1527" s="5">
        <v>0</v>
      </c>
      <c r="D1527" s="5">
        <v>1</v>
      </c>
      <c r="E1527" s="5">
        <v>203</v>
      </c>
      <c r="F1527" s="5">
        <f>ROUND(Source!Q1515,O1527)</f>
        <v>7412.84</v>
      </c>
      <c r="G1527" s="5" t="s">
        <v>46</v>
      </c>
      <c r="H1527" s="5" t="s">
        <v>47</v>
      </c>
      <c r="I1527" s="5"/>
      <c r="J1527" s="5"/>
      <c r="K1527" s="5">
        <v>203</v>
      </c>
      <c r="L1527" s="5">
        <v>11</v>
      </c>
      <c r="M1527" s="5">
        <v>3</v>
      </c>
      <c r="N1527" s="5" t="s">
        <v>3</v>
      </c>
      <c r="O1527" s="5">
        <v>2</v>
      </c>
      <c r="P1527" s="5">
        <f>ROUND(Source!DI1515,O1527)</f>
        <v>90228.54</v>
      </c>
      <c r="Q1527" s="5"/>
      <c r="R1527" s="5"/>
      <c r="S1527" s="5"/>
      <c r="T1527" s="5"/>
      <c r="U1527" s="5"/>
      <c r="V1527" s="5"/>
      <c r="W1527" s="5">
        <v>7412.84</v>
      </c>
      <c r="X1527" s="5">
        <v>1</v>
      </c>
      <c r="Y1527" s="5">
        <v>7412.84</v>
      </c>
      <c r="Z1527" s="5">
        <v>90228.54</v>
      </c>
      <c r="AA1527" s="5">
        <v>1</v>
      </c>
      <c r="AB1527" s="5">
        <v>90228.54</v>
      </c>
    </row>
    <row r="1528" spans="1:28" x14ac:dyDescent="0.2">
      <c r="A1528" s="5">
        <v>50</v>
      </c>
      <c r="B1528" s="5">
        <v>0</v>
      </c>
      <c r="C1528" s="5">
        <v>0</v>
      </c>
      <c r="D1528" s="5">
        <v>1</v>
      </c>
      <c r="E1528" s="5">
        <v>231</v>
      </c>
      <c r="F1528" s="5">
        <f>ROUND(Source!BB1515,O1528)</f>
        <v>0</v>
      </c>
      <c r="G1528" s="5" t="s">
        <v>48</v>
      </c>
      <c r="H1528" s="5" t="s">
        <v>49</v>
      </c>
      <c r="I1528" s="5"/>
      <c r="J1528" s="5"/>
      <c r="K1528" s="5">
        <v>231</v>
      </c>
      <c r="L1528" s="5">
        <v>12</v>
      </c>
      <c r="M1528" s="5">
        <v>3</v>
      </c>
      <c r="N1528" s="5" t="s">
        <v>3</v>
      </c>
      <c r="O1528" s="5">
        <v>2</v>
      </c>
      <c r="P1528" s="5">
        <f>ROUND(Source!ET1515,O1528)</f>
        <v>0</v>
      </c>
      <c r="Q1528" s="5"/>
      <c r="R1528" s="5"/>
      <c r="S1528" s="5"/>
      <c r="T1528" s="5"/>
      <c r="U1528" s="5"/>
      <c r="V1528" s="5"/>
      <c r="W1528" s="5">
        <v>0</v>
      </c>
      <c r="X1528" s="5">
        <v>1</v>
      </c>
      <c r="Y1528" s="5">
        <v>0</v>
      </c>
      <c r="Z1528" s="5">
        <v>0</v>
      </c>
      <c r="AA1528" s="5">
        <v>1</v>
      </c>
      <c r="AB1528" s="5">
        <v>0</v>
      </c>
    </row>
    <row r="1529" spans="1:28" x14ac:dyDescent="0.2">
      <c r="A1529" s="5">
        <v>50</v>
      </c>
      <c r="B1529" s="5">
        <v>0</v>
      </c>
      <c r="C1529" s="5">
        <v>0</v>
      </c>
      <c r="D1529" s="5">
        <v>1</v>
      </c>
      <c r="E1529" s="5">
        <v>204</v>
      </c>
      <c r="F1529" s="5">
        <f>ROUND(Source!R1515,O1529)</f>
        <v>914.07</v>
      </c>
      <c r="G1529" s="5" t="s">
        <v>50</v>
      </c>
      <c r="H1529" s="5" t="s">
        <v>51</v>
      </c>
      <c r="I1529" s="5"/>
      <c r="J1529" s="5"/>
      <c r="K1529" s="5">
        <v>204</v>
      </c>
      <c r="L1529" s="5">
        <v>13</v>
      </c>
      <c r="M1529" s="5">
        <v>3</v>
      </c>
      <c r="N1529" s="5" t="s">
        <v>3</v>
      </c>
      <c r="O1529" s="5">
        <v>2</v>
      </c>
      <c r="P1529" s="5">
        <f>ROUND(Source!DJ1515,O1529)</f>
        <v>26535.46</v>
      </c>
      <c r="Q1529" s="5"/>
      <c r="R1529" s="5"/>
      <c r="S1529" s="5"/>
      <c r="T1529" s="5"/>
      <c r="U1529" s="5"/>
      <c r="V1529" s="5"/>
      <c r="W1529" s="5">
        <v>914.07</v>
      </c>
      <c r="X1529" s="5">
        <v>1</v>
      </c>
      <c r="Y1529" s="5">
        <v>914.07</v>
      </c>
      <c r="Z1529" s="5">
        <v>26535.46</v>
      </c>
      <c r="AA1529" s="5">
        <v>1</v>
      </c>
      <c r="AB1529" s="5">
        <v>26535.46</v>
      </c>
    </row>
    <row r="1530" spans="1:28" x14ac:dyDescent="0.2">
      <c r="A1530" s="5">
        <v>50</v>
      </c>
      <c r="B1530" s="5">
        <v>0</v>
      </c>
      <c r="C1530" s="5">
        <v>0</v>
      </c>
      <c r="D1530" s="5">
        <v>1</v>
      </c>
      <c r="E1530" s="5">
        <v>205</v>
      </c>
      <c r="F1530" s="5">
        <f>ROUND(Source!S1515,O1530)</f>
        <v>14343.03</v>
      </c>
      <c r="G1530" s="5" t="s">
        <v>52</v>
      </c>
      <c r="H1530" s="5" t="s">
        <v>53</v>
      </c>
      <c r="I1530" s="5"/>
      <c r="J1530" s="5"/>
      <c r="K1530" s="5">
        <v>205</v>
      </c>
      <c r="L1530" s="5">
        <v>14</v>
      </c>
      <c r="M1530" s="5">
        <v>3</v>
      </c>
      <c r="N1530" s="5" t="s">
        <v>3</v>
      </c>
      <c r="O1530" s="5">
        <v>2</v>
      </c>
      <c r="P1530" s="5">
        <f>ROUND(Source!DK1515,O1530)</f>
        <v>416378.21</v>
      </c>
      <c r="Q1530" s="5"/>
      <c r="R1530" s="5"/>
      <c r="S1530" s="5"/>
      <c r="T1530" s="5"/>
      <c r="U1530" s="5"/>
      <c r="V1530" s="5"/>
      <c r="W1530" s="5">
        <v>14343.03</v>
      </c>
      <c r="X1530" s="5">
        <v>1</v>
      </c>
      <c r="Y1530" s="5">
        <v>14343.03</v>
      </c>
      <c r="Z1530" s="5">
        <v>416378.21</v>
      </c>
      <c r="AA1530" s="5">
        <v>1</v>
      </c>
      <c r="AB1530" s="5">
        <v>416378.21</v>
      </c>
    </row>
    <row r="1531" spans="1:28" x14ac:dyDescent="0.2">
      <c r="A1531" s="5">
        <v>50</v>
      </c>
      <c r="B1531" s="5">
        <v>0</v>
      </c>
      <c r="C1531" s="5">
        <v>0</v>
      </c>
      <c r="D1531" s="5">
        <v>1</v>
      </c>
      <c r="E1531" s="5">
        <v>232</v>
      </c>
      <c r="F1531" s="5">
        <f>ROUND(Source!BC1515,O1531)</f>
        <v>0</v>
      </c>
      <c r="G1531" s="5" t="s">
        <v>54</v>
      </c>
      <c r="H1531" s="5" t="s">
        <v>55</v>
      </c>
      <c r="I1531" s="5"/>
      <c r="J1531" s="5"/>
      <c r="K1531" s="5">
        <v>232</v>
      </c>
      <c r="L1531" s="5">
        <v>15</v>
      </c>
      <c r="M1531" s="5">
        <v>3</v>
      </c>
      <c r="N1531" s="5" t="s">
        <v>3</v>
      </c>
      <c r="O1531" s="5">
        <v>2</v>
      </c>
      <c r="P1531" s="5">
        <f>ROUND(Source!EU1515,O1531)</f>
        <v>0</v>
      </c>
      <c r="Q1531" s="5"/>
      <c r="R1531" s="5"/>
      <c r="S1531" s="5"/>
      <c r="T1531" s="5"/>
      <c r="U1531" s="5"/>
      <c r="V1531" s="5"/>
      <c r="W1531" s="5">
        <v>0</v>
      </c>
      <c r="X1531" s="5">
        <v>1</v>
      </c>
      <c r="Y1531" s="5">
        <v>0</v>
      </c>
      <c r="Z1531" s="5">
        <v>0</v>
      </c>
      <c r="AA1531" s="5">
        <v>1</v>
      </c>
      <c r="AB1531" s="5">
        <v>0</v>
      </c>
    </row>
    <row r="1532" spans="1:28" x14ac:dyDescent="0.2">
      <c r="A1532" s="5">
        <v>50</v>
      </c>
      <c r="B1532" s="5">
        <v>0</v>
      </c>
      <c r="C1532" s="5">
        <v>0</v>
      </c>
      <c r="D1532" s="5">
        <v>1</v>
      </c>
      <c r="E1532" s="5">
        <v>214</v>
      </c>
      <c r="F1532" s="5">
        <f>ROUND(Source!AS1515,O1532)</f>
        <v>88274.44</v>
      </c>
      <c r="G1532" s="5" t="s">
        <v>56</v>
      </c>
      <c r="H1532" s="5" t="s">
        <v>57</v>
      </c>
      <c r="I1532" s="5"/>
      <c r="J1532" s="5"/>
      <c r="K1532" s="5">
        <v>214</v>
      </c>
      <c r="L1532" s="5">
        <v>16</v>
      </c>
      <c r="M1532" s="5">
        <v>3</v>
      </c>
      <c r="N1532" s="5" t="s">
        <v>3</v>
      </c>
      <c r="O1532" s="5">
        <v>2</v>
      </c>
      <c r="P1532" s="5">
        <f>ROUND(Source!EK1515,O1532)</f>
        <v>1847552.61</v>
      </c>
      <c r="Q1532" s="5"/>
      <c r="R1532" s="5"/>
      <c r="S1532" s="5"/>
      <c r="T1532" s="5"/>
      <c r="U1532" s="5"/>
      <c r="V1532" s="5"/>
      <c r="W1532" s="5">
        <v>88274.44</v>
      </c>
      <c r="X1532" s="5">
        <v>1</v>
      </c>
      <c r="Y1532" s="5">
        <v>88274.44</v>
      </c>
      <c r="Z1532" s="5">
        <v>1847552.61</v>
      </c>
      <c r="AA1532" s="5">
        <v>1</v>
      </c>
      <c r="AB1532" s="5">
        <v>1847552.61</v>
      </c>
    </row>
    <row r="1533" spans="1:28" x14ac:dyDescent="0.2">
      <c r="A1533" s="5">
        <v>50</v>
      </c>
      <c r="B1533" s="5">
        <v>0</v>
      </c>
      <c r="C1533" s="5">
        <v>0</v>
      </c>
      <c r="D1533" s="5">
        <v>1</v>
      </c>
      <c r="E1533" s="5">
        <v>215</v>
      </c>
      <c r="F1533" s="5">
        <f>ROUND(Source!AT1515,O1533)</f>
        <v>19841.22</v>
      </c>
      <c r="G1533" s="5" t="s">
        <v>58</v>
      </c>
      <c r="H1533" s="5" t="s">
        <v>59</v>
      </c>
      <c r="I1533" s="5"/>
      <c r="J1533" s="5"/>
      <c r="K1533" s="5">
        <v>215</v>
      </c>
      <c r="L1533" s="5">
        <v>17</v>
      </c>
      <c r="M1533" s="5">
        <v>3</v>
      </c>
      <c r="N1533" s="5" t="s">
        <v>3</v>
      </c>
      <c r="O1533" s="5">
        <v>2</v>
      </c>
      <c r="P1533" s="5">
        <f>ROUND(Source!EL1515,O1533)</f>
        <v>305609.06</v>
      </c>
      <c r="Q1533" s="5"/>
      <c r="R1533" s="5"/>
      <c r="S1533" s="5"/>
      <c r="T1533" s="5"/>
      <c r="U1533" s="5"/>
      <c r="V1533" s="5"/>
      <c r="W1533" s="5">
        <v>19841.22</v>
      </c>
      <c r="X1533" s="5">
        <v>1</v>
      </c>
      <c r="Y1533" s="5">
        <v>19841.22</v>
      </c>
      <c r="Z1533" s="5">
        <v>305609.06</v>
      </c>
      <c r="AA1533" s="5">
        <v>1</v>
      </c>
      <c r="AB1533" s="5">
        <v>305609.06</v>
      </c>
    </row>
    <row r="1534" spans="1:28" x14ac:dyDescent="0.2">
      <c r="A1534" s="5">
        <v>50</v>
      </c>
      <c r="B1534" s="5">
        <v>0</v>
      </c>
      <c r="C1534" s="5">
        <v>0</v>
      </c>
      <c r="D1534" s="5">
        <v>1</v>
      </c>
      <c r="E1534" s="5">
        <v>217</v>
      </c>
      <c r="F1534" s="5">
        <f>ROUND(Source!AU1515,O1534)</f>
        <v>2429.89</v>
      </c>
      <c r="G1534" s="5" t="s">
        <v>60</v>
      </c>
      <c r="H1534" s="5" t="s">
        <v>61</v>
      </c>
      <c r="I1534" s="5"/>
      <c r="J1534" s="5"/>
      <c r="K1534" s="5">
        <v>217</v>
      </c>
      <c r="L1534" s="5">
        <v>18</v>
      </c>
      <c r="M1534" s="5">
        <v>3</v>
      </c>
      <c r="N1534" s="5" t="s">
        <v>3</v>
      </c>
      <c r="O1534" s="5">
        <v>2</v>
      </c>
      <c r="P1534" s="5">
        <f>ROUND(Source!EM1515,O1534)</f>
        <v>28248.15</v>
      </c>
      <c r="Q1534" s="5"/>
      <c r="R1534" s="5"/>
      <c r="S1534" s="5"/>
      <c r="T1534" s="5"/>
      <c r="U1534" s="5"/>
      <c r="V1534" s="5"/>
      <c r="W1534" s="5">
        <v>2429.89</v>
      </c>
      <c r="X1534" s="5">
        <v>1</v>
      </c>
      <c r="Y1534" s="5">
        <v>2429.89</v>
      </c>
      <c r="Z1534" s="5">
        <v>28248.15</v>
      </c>
      <c r="AA1534" s="5">
        <v>1</v>
      </c>
      <c r="AB1534" s="5">
        <v>28248.15</v>
      </c>
    </row>
    <row r="1535" spans="1:28" x14ac:dyDescent="0.2">
      <c r="A1535" s="5">
        <v>50</v>
      </c>
      <c r="B1535" s="5">
        <v>0</v>
      </c>
      <c r="C1535" s="5">
        <v>0</v>
      </c>
      <c r="D1535" s="5">
        <v>1</v>
      </c>
      <c r="E1535" s="5">
        <v>230</v>
      </c>
      <c r="F1535" s="5">
        <f>ROUND(Source!BA1515,O1535)</f>
        <v>0</v>
      </c>
      <c r="G1535" s="5" t="s">
        <v>62</v>
      </c>
      <c r="H1535" s="5" t="s">
        <v>63</v>
      </c>
      <c r="I1535" s="5"/>
      <c r="J1535" s="5"/>
      <c r="K1535" s="5">
        <v>230</v>
      </c>
      <c r="L1535" s="5">
        <v>19</v>
      </c>
      <c r="M1535" s="5">
        <v>3</v>
      </c>
      <c r="N1535" s="5" t="s">
        <v>3</v>
      </c>
      <c r="O1535" s="5">
        <v>2</v>
      </c>
      <c r="P1535" s="5">
        <f>ROUND(Source!ES1515,O1535)</f>
        <v>0</v>
      </c>
      <c r="Q1535" s="5"/>
      <c r="R1535" s="5"/>
      <c r="S1535" s="5"/>
      <c r="T1535" s="5"/>
      <c r="U1535" s="5"/>
      <c r="V1535" s="5"/>
      <c r="W1535" s="5">
        <v>0</v>
      </c>
      <c r="X1535" s="5">
        <v>1</v>
      </c>
      <c r="Y1535" s="5">
        <v>0</v>
      </c>
      <c r="Z1535" s="5">
        <v>0</v>
      </c>
      <c r="AA1535" s="5">
        <v>1</v>
      </c>
      <c r="AB1535" s="5">
        <v>0</v>
      </c>
    </row>
    <row r="1536" spans="1:28" x14ac:dyDescent="0.2">
      <c r="A1536" s="5">
        <v>50</v>
      </c>
      <c r="B1536" s="5">
        <v>0</v>
      </c>
      <c r="C1536" s="5">
        <v>0</v>
      </c>
      <c r="D1536" s="5">
        <v>1</v>
      </c>
      <c r="E1536" s="5">
        <v>206</v>
      </c>
      <c r="F1536" s="5">
        <f>ROUND(Source!T1515,O1536)</f>
        <v>1946.32</v>
      </c>
      <c r="G1536" s="5" t="s">
        <v>64</v>
      </c>
      <c r="H1536" s="5" t="s">
        <v>65</v>
      </c>
      <c r="I1536" s="5"/>
      <c r="J1536" s="5"/>
      <c r="K1536" s="5">
        <v>206</v>
      </c>
      <c r="L1536" s="5">
        <v>20</v>
      </c>
      <c r="M1536" s="5">
        <v>3</v>
      </c>
      <c r="N1536" s="5" t="s">
        <v>3</v>
      </c>
      <c r="O1536" s="5">
        <v>2</v>
      </c>
      <c r="P1536" s="5">
        <f>ROUND(Source!DL1515,O1536)</f>
        <v>24056.52</v>
      </c>
      <c r="Q1536" s="5"/>
      <c r="R1536" s="5"/>
      <c r="S1536" s="5"/>
      <c r="T1536" s="5"/>
      <c r="U1536" s="5"/>
      <c r="V1536" s="5"/>
      <c r="W1536" s="5">
        <v>1946.32</v>
      </c>
      <c r="X1536" s="5">
        <v>1</v>
      </c>
      <c r="Y1536" s="5">
        <v>1946.32</v>
      </c>
      <c r="Z1536" s="5">
        <v>24056.52</v>
      </c>
      <c r="AA1536" s="5">
        <v>1</v>
      </c>
      <c r="AB1536" s="5">
        <v>24056.52</v>
      </c>
    </row>
    <row r="1537" spans="1:28" x14ac:dyDescent="0.2">
      <c r="A1537" s="5">
        <v>50</v>
      </c>
      <c r="B1537" s="5">
        <v>0</v>
      </c>
      <c r="C1537" s="5">
        <v>0</v>
      </c>
      <c r="D1537" s="5">
        <v>1</v>
      </c>
      <c r="E1537" s="5">
        <v>207</v>
      </c>
      <c r="F1537" s="5">
        <f>Source!U1515</f>
        <v>1169.17322975</v>
      </c>
      <c r="G1537" s="5" t="s">
        <v>66</v>
      </c>
      <c r="H1537" s="5" t="s">
        <v>67</v>
      </c>
      <c r="I1537" s="5"/>
      <c r="J1537" s="5"/>
      <c r="K1537" s="5">
        <v>207</v>
      </c>
      <c r="L1537" s="5">
        <v>21</v>
      </c>
      <c r="M1537" s="5">
        <v>3</v>
      </c>
      <c r="N1537" s="5" t="s">
        <v>3</v>
      </c>
      <c r="O1537" s="5">
        <v>-1</v>
      </c>
      <c r="P1537" s="5">
        <f>Source!DM1515</f>
        <v>1169.17322975</v>
      </c>
      <c r="Q1537" s="5"/>
      <c r="R1537" s="5"/>
      <c r="S1537" s="5"/>
      <c r="T1537" s="5"/>
      <c r="U1537" s="5"/>
      <c r="V1537" s="5"/>
      <c r="W1537" s="5">
        <v>1169.1732297499998</v>
      </c>
      <c r="X1537" s="5">
        <v>1</v>
      </c>
      <c r="Y1537" s="5">
        <v>1169.1732297499998</v>
      </c>
      <c r="Z1537" s="5">
        <v>1169.1732297499998</v>
      </c>
      <c r="AA1537" s="5">
        <v>1</v>
      </c>
      <c r="AB1537" s="5">
        <v>1169.1732297499998</v>
      </c>
    </row>
    <row r="1538" spans="1:28" x14ac:dyDescent="0.2">
      <c r="A1538" s="5">
        <v>50</v>
      </c>
      <c r="B1538" s="5">
        <v>0</v>
      </c>
      <c r="C1538" s="5">
        <v>0</v>
      </c>
      <c r="D1538" s="5">
        <v>1</v>
      </c>
      <c r="E1538" s="5">
        <v>208</v>
      </c>
      <c r="F1538" s="5">
        <f>Source!V1515</f>
        <v>0</v>
      </c>
      <c r="G1538" s="5" t="s">
        <v>68</v>
      </c>
      <c r="H1538" s="5" t="s">
        <v>69</v>
      </c>
      <c r="I1538" s="5"/>
      <c r="J1538" s="5"/>
      <c r="K1538" s="5">
        <v>208</v>
      </c>
      <c r="L1538" s="5">
        <v>22</v>
      </c>
      <c r="M1538" s="5">
        <v>3</v>
      </c>
      <c r="N1538" s="5" t="s">
        <v>3</v>
      </c>
      <c r="O1538" s="5">
        <v>-1</v>
      </c>
      <c r="P1538" s="5">
        <f>Source!DN1515</f>
        <v>0</v>
      </c>
      <c r="Q1538" s="5"/>
      <c r="R1538" s="5"/>
      <c r="S1538" s="5"/>
      <c r="T1538" s="5"/>
      <c r="U1538" s="5"/>
      <c r="V1538" s="5"/>
      <c r="W1538" s="5">
        <v>0</v>
      </c>
      <c r="X1538" s="5">
        <v>1</v>
      </c>
      <c r="Y1538" s="5">
        <v>0</v>
      </c>
      <c r="Z1538" s="5">
        <v>0</v>
      </c>
      <c r="AA1538" s="5">
        <v>1</v>
      </c>
      <c r="AB1538" s="5">
        <v>0</v>
      </c>
    </row>
    <row r="1539" spans="1:28" x14ac:dyDescent="0.2">
      <c r="A1539" s="5">
        <v>50</v>
      </c>
      <c r="B1539" s="5">
        <v>0</v>
      </c>
      <c r="C1539" s="5">
        <v>0</v>
      </c>
      <c r="D1539" s="5">
        <v>1</v>
      </c>
      <c r="E1539" s="5">
        <v>209</v>
      </c>
      <c r="F1539" s="5">
        <f>ROUND(Source!W1515,O1539)</f>
        <v>0</v>
      </c>
      <c r="G1539" s="5" t="s">
        <v>70</v>
      </c>
      <c r="H1539" s="5" t="s">
        <v>71</v>
      </c>
      <c r="I1539" s="5"/>
      <c r="J1539" s="5"/>
      <c r="K1539" s="5">
        <v>209</v>
      </c>
      <c r="L1539" s="5">
        <v>23</v>
      </c>
      <c r="M1539" s="5">
        <v>3</v>
      </c>
      <c r="N1539" s="5" t="s">
        <v>3</v>
      </c>
      <c r="O1539" s="5">
        <v>2</v>
      </c>
      <c r="P1539" s="5">
        <f>ROUND(Source!DO1515,O1539)</f>
        <v>0</v>
      </c>
      <c r="Q1539" s="5"/>
      <c r="R1539" s="5"/>
      <c r="S1539" s="5"/>
      <c r="T1539" s="5"/>
      <c r="U1539" s="5"/>
      <c r="V1539" s="5"/>
      <c r="W1539" s="5">
        <v>0</v>
      </c>
      <c r="X1539" s="5">
        <v>1</v>
      </c>
      <c r="Y1539" s="5">
        <v>0</v>
      </c>
      <c r="Z1539" s="5">
        <v>0</v>
      </c>
      <c r="AA1539" s="5">
        <v>1</v>
      </c>
      <c r="AB1539" s="5">
        <v>0</v>
      </c>
    </row>
    <row r="1540" spans="1:28" x14ac:dyDescent="0.2">
      <c r="A1540" s="5">
        <v>50</v>
      </c>
      <c r="B1540" s="5">
        <v>0</v>
      </c>
      <c r="C1540" s="5">
        <v>0</v>
      </c>
      <c r="D1540" s="5">
        <v>1</v>
      </c>
      <c r="E1540" s="5">
        <v>233</v>
      </c>
      <c r="F1540" s="5">
        <f>ROUND(Source!BD1515,O1540)</f>
        <v>0</v>
      </c>
      <c r="G1540" s="5" t="s">
        <v>72</v>
      </c>
      <c r="H1540" s="5" t="s">
        <v>73</v>
      </c>
      <c r="I1540" s="5"/>
      <c r="J1540" s="5"/>
      <c r="K1540" s="5">
        <v>233</v>
      </c>
      <c r="L1540" s="5">
        <v>24</v>
      </c>
      <c r="M1540" s="5">
        <v>3</v>
      </c>
      <c r="N1540" s="5" t="s">
        <v>3</v>
      </c>
      <c r="O1540" s="5">
        <v>2</v>
      </c>
      <c r="P1540" s="5">
        <f>ROUND(Source!EV1515,O1540)</f>
        <v>0</v>
      </c>
      <c r="Q1540" s="5"/>
      <c r="R1540" s="5"/>
      <c r="S1540" s="5"/>
      <c r="T1540" s="5"/>
      <c r="U1540" s="5"/>
      <c r="V1540" s="5"/>
      <c r="W1540" s="5">
        <v>0</v>
      </c>
      <c r="X1540" s="5">
        <v>1</v>
      </c>
      <c r="Y1540" s="5">
        <v>0</v>
      </c>
      <c r="Z1540" s="5">
        <v>0</v>
      </c>
      <c r="AA1540" s="5">
        <v>1</v>
      </c>
      <c r="AB1540" s="5">
        <v>0</v>
      </c>
    </row>
    <row r="1541" spans="1:28" x14ac:dyDescent="0.2">
      <c r="A1541" s="5">
        <v>50</v>
      </c>
      <c r="B1541" s="5">
        <v>0</v>
      </c>
      <c r="C1541" s="5">
        <v>0</v>
      </c>
      <c r="D1541" s="5">
        <v>1</v>
      </c>
      <c r="E1541" s="5">
        <v>210</v>
      </c>
      <c r="F1541" s="5">
        <f>ROUND(Source!X1515,O1541)</f>
        <v>13648.32</v>
      </c>
      <c r="G1541" s="5" t="s">
        <v>74</v>
      </c>
      <c r="H1541" s="5" t="s">
        <v>75</v>
      </c>
      <c r="I1541" s="5"/>
      <c r="J1541" s="5"/>
      <c r="K1541" s="5">
        <v>210</v>
      </c>
      <c r="L1541" s="5">
        <v>25</v>
      </c>
      <c r="M1541" s="5">
        <v>3</v>
      </c>
      <c r="N1541" s="5" t="s">
        <v>3</v>
      </c>
      <c r="O1541" s="5">
        <v>2</v>
      </c>
      <c r="P1541" s="5">
        <f>ROUND(Source!DP1515,O1541)</f>
        <v>323689.34999999998</v>
      </c>
      <c r="Q1541" s="5"/>
      <c r="R1541" s="5"/>
      <c r="S1541" s="5"/>
      <c r="T1541" s="5"/>
      <c r="U1541" s="5"/>
      <c r="V1541" s="5"/>
      <c r="W1541" s="5">
        <v>13648.32</v>
      </c>
      <c r="X1541" s="5">
        <v>1</v>
      </c>
      <c r="Y1541" s="5">
        <v>13648.32</v>
      </c>
      <c r="Z1541" s="5">
        <v>323689.34999999998</v>
      </c>
      <c r="AA1541" s="5">
        <v>1</v>
      </c>
      <c r="AB1541" s="5">
        <v>323689.34999999998</v>
      </c>
    </row>
    <row r="1542" spans="1:28" x14ac:dyDescent="0.2">
      <c r="A1542" s="5">
        <v>50</v>
      </c>
      <c r="B1542" s="5">
        <v>0</v>
      </c>
      <c r="C1542" s="5">
        <v>0</v>
      </c>
      <c r="D1542" s="5">
        <v>1</v>
      </c>
      <c r="E1542" s="5">
        <v>211</v>
      </c>
      <c r="F1542" s="5">
        <f>ROUND(Source!Y1515,O1542)</f>
        <v>9360.19</v>
      </c>
      <c r="G1542" s="5" t="s">
        <v>76</v>
      </c>
      <c r="H1542" s="5" t="s">
        <v>77</v>
      </c>
      <c r="I1542" s="5"/>
      <c r="J1542" s="5"/>
      <c r="K1542" s="5">
        <v>211</v>
      </c>
      <c r="L1542" s="5">
        <v>26</v>
      </c>
      <c r="M1542" s="5">
        <v>3</v>
      </c>
      <c r="N1542" s="5" t="s">
        <v>3</v>
      </c>
      <c r="O1542" s="5">
        <v>2</v>
      </c>
      <c r="P1542" s="5">
        <f>ROUND(Source!DQ1515,O1542)</f>
        <v>170715.07</v>
      </c>
      <c r="Q1542" s="5"/>
      <c r="R1542" s="5"/>
      <c r="S1542" s="5"/>
      <c r="T1542" s="5"/>
      <c r="U1542" s="5"/>
      <c r="V1542" s="5"/>
      <c r="W1542" s="5">
        <v>9360.19</v>
      </c>
      <c r="X1542" s="5">
        <v>1</v>
      </c>
      <c r="Y1542" s="5">
        <v>9360.19</v>
      </c>
      <c r="Z1542" s="5">
        <v>170715.07</v>
      </c>
      <c r="AA1542" s="5">
        <v>1</v>
      </c>
      <c r="AB1542" s="5">
        <v>170715.07</v>
      </c>
    </row>
    <row r="1543" spans="1:28" x14ac:dyDescent="0.2">
      <c r="A1543" s="5">
        <v>50</v>
      </c>
      <c r="B1543" s="5">
        <v>0</v>
      </c>
      <c r="C1543" s="5">
        <v>0</v>
      </c>
      <c r="D1543" s="5">
        <v>1</v>
      </c>
      <c r="E1543" s="5">
        <v>224</v>
      </c>
      <c r="F1543" s="5">
        <f>ROUND(Source!AR1515,O1543)</f>
        <v>112871.21</v>
      </c>
      <c r="G1543" s="5" t="s">
        <v>78</v>
      </c>
      <c r="H1543" s="5" t="s">
        <v>79</v>
      </c>
      <c r="I1543" s="5"/>
      <c r="J1543" s="5"/>
      <c r="K1543" s="5">
        <v>224</v>
      </c>
      <c r="L1543" s="5">
        <v>27</v>
      </c>
      <c r="M1543" s="5">
        <v>3</v>
      </c>
      <c r="N1543" s="5" t="s">
        <v>3</v>
      </c>
      <c r="O1543" s="5">
        <v>2</v>
      </c>
      <c r="P1543" s="5">
        <f>ROUND(Source!EJ1515,O1543)</f>
        <v>2313124.65</v>
      </c>
      <c r="Q1543" s="5"/>
      <c r="R1543" s="5"/>
      <c r="S1543" s="5"/>
      <c r="T1543" s="5"/>
      <c r="U1543" s="5"/>
      <c r="V1543" s="5"/>
      <c r="W1543" s="5">
        <v>112871.21</v>
      </c>
      <c r="X1543" s="5">
        <v>1</v>
      </c>
      <c r="Y1543" s="5">
        <v>112871.21</v>
      </c>
      <c r="Z1543" s="5">
        <v>2313124.65</v>
      </c>
      <c r="AA1543" s="5">
        <v>1</v>
      </c>
      <c r="AB1543" s="5">
        <v>2313124.65</v>
      </c>
    </row>
    <row r="1545" spans="1:28" x14ac:dyDescent="0.2">
      <c r="A1545" s="6">
        <v>61</v>
      </c>
      <c r="B1545" s="6"/>
      <c r="C1545" s="6"/>
      <c r="D1545" s="6"/>
      <c r="E1545" s="6"/>
      <c r="F1545" s="6">
        <v>3</v>
      </c>
      <c r="G1545" s="6" t="s">
        <v>1083</v>
      </c>
      <c r="H1545" s="6" t="s">
        <v>1084</v>
      </c>
    </row>
    <row r="1546" spans="1:28" x14ac:dyDescent="0.2">
      <c r="A1546" s="6">
        <v>61</v>
      </c>
      <c r="B1546" s="6"/>
      <c r="C1546" s="6"/>
      <c r="D1546" s="6"/>
      <c r="E1546" s="6"/>
      <c r="F1546" s="6">
        <v>12</v>
      </c>
      <c r="G1546" s="6" t="s">
        <v>1085</v>
      </c>
      <c r="H1546" s="6" t="s">
        <v>1084</v>
      </c>
    </row>
    <row r="1547" spans="1:28" x14ac:dyDescent="0.2">
      <c r="A1547" s="6">
        <v>61</v>
      </c>
      <c r="B1547" s="6"/>
      <c r="C1547" s="6"/>
      <c r="D1547" s="6"/>
      <c r="E1547" s="6"/>
      <c r="F1547" s="6">
        <v>0</v>
      </c>
      <c r="G1547" s="6" t="s">
        <v>1086</v>
      </c>
      <c r="H1547" s="6" t="s">
        <v>1084</v>
      </c>
    </row>
    <row r="1548" spans="1:28" x14ac:dyDescent="0.2">
      <c r="A1548" s="6">
        <v>61</v>
      </c>
      <c r="B1548" s="6"/>
      <c r="C1548" s="6"/>
      <c r="D1548" s="6"/>
      <c r="E1548" s="6"/>
      <c r="F1548" s="6">
        <v>2</v>
      </c>
      <c r="G1548" s="6" t="s">
        <v>1087</v>
      </c>
      <c r="H1548" s="6" t="s">
        <v>1084</v>
      </c>
    </row>
    <row r="1549" spans="1:28" x14ac:dyDescent="0.2">
      <c r="A1549" s="6">
        <v>61</v>
      </c>
      <c r="B1549" s="6"/>
      <c r="C1549" s="6"/>
      <c r="D1549" s="6"/>
      <c r="E1549" s="6"/>
      <c r="F1549" s="6">
        <v>1</v>
      </c>
      <c r="G1549" s="6" t="s">
        <v>1088</v>
      </c>
      <c r="H1549" s="6" t="s">
        <v>1084</v>
      </c>
    </row>
    <row r="1552" spans="1:28" x14ac:dyDescent="0.2">
      <c r="A1552">
        <v>-1</v>
      </c>
    </row>
    <row r="1554" spans="1:40" x14ac:dyDescent="0.2">
      <c r="A1554" s="4">
        <v>75</v>
      </c>
      <c r="B1554" s="4" t="s">
        <v>1089</v>
      </c>
      <c r="C1554" s="4">
        <v>2023</v>
      </c>
      <c r="D1554" s="4">
        <v>0</v>
      </c>
      <c r="E1554" s="4">
        <v>6</v>
      </c>
      <c r="F1554" s="4"/>
      <c r="G1554" s="4">
        <v>0</v>
      </c>
      <c r="H1554" s="4">
        <v>2</v>
      </c>
      <c r="I1554" s="4">
        <v>1</v>
      </c>
      <c r="J1554" s="4">
        <v>1</v>
      </c>
      <c r="K1554" s="4">
        <v>95</v>
      </c>
      <c r="L1554" s="4">
        <v>65</v>
      </c>
      <c r="M1554" s="4">
        <v>1</v>
      </c>
      <c r="N1554" s="4">
        <v>129761633</v>
      </c>
      <c r="O1554" s="4">
        <v>1</v>
      </c>
    </row>
    <row r="1555" spans="1:40" x14ac:dyDescent="0.2">
      <c r="A1555" s="7">
        <v>1</v>
      </c>
      <c r="B1555" s="7" t="s">
        <v>1090</v>
      </c>
      <c r="C1555" s="7" t="s">
        <v>1091</v>
      </c>
      <c r="D1555" s="7">
        <v>2023</v>
      </c>
      <c r="E1555" s="7">
        <v>6</v>
      </c>
      <c r="F1555" s="7">
        <v>1</v>
      </c>
      <c r="G1555" s="7">
        <v>1</v>
      </c>
      <c r="H1555" s="7">
        <v>0</v>
      </c>
      <c r="I1555" s="7">
        <v>2</v>
      </c>
      <c r="J1555" s="7">
        <v>1</v>
      </c>
      <c r="K1555" s="7">
        <v>8.65</v>
      </c>
      <c r="L1555" s="7">
        <v>6.4</v>
      </c>
      <c r="M1555" s="7">
        <v>1</v>
      </c>
      <c r="N1555" s="7">
        <v>1</v>
      </c>
      <c r="O1555" s="7">
        <v>8.65</v>
      </c>
      <c r="P1555" s="7">
        <v>6.4</v>
      </c>
      <c r="Q1555" s="7">
        <v>1</v>
      </c>
      <c r="R1555" s="7" t="s">
        <v>3</v>
      </c>
      <c r="S1555" s="7" t="s">
        <v>3</v>
      </c>
      <c r="T1555" s="7" t="s">
        <v>3</v>
      </c>
      <c r="U1555" s="7" t="s">
        <v>3</v>
      </c>
      <c r="V1555" s="7" t="s">
        <v>3</v>
      </c>
      <c r="W1555" s="7" t="s">
        <v>3</v>
      </c>
      <c r="X1555" s="7" t="s">
        <v>3</v>
      </c>
      <c r="Y1555" s="7" t="s">
        <v>3</v>
      </c>
      <c r="Z1555" s="7" t="s">
        <v>3</v>
      </c>
      <c r="AA1555" s="7" t="s">
        <v>1092</v>
      </c>
      <c r="AB1555" s="7"/>
      <c r="AC1555" s="7"/>
      <c r="AD1555" s="7"/>
      <c r="AE1555" s="7"/>
      <c r="AF1555" s="7"/>
      <c r="AG1555" s="7"/>
      <c r="AH1555" s="7"/>
      <c r="AI1555" s="7"/>
      <c r="AJ1555" s="7"/>
      <c r="AK1555" s="7"/>
      <c r="AL1555" s="7"/>
      <c r="AM1555" s="7"/>
      <c r="AN1555" s="7">
        <v>129761634</v>
      </c>
    </row>
    <row r="1556" spans="1:40" x14ac:dyDescent="0.2">
      <c r="A1556" s="7">
        <v>1</v>
      </c>
      <c r="B1556" s="7" t="s">
        <v>1090</v>
      </c>
      <c r="C1556" s="7" t="s">
        <v>1093</v>
      </c>
      <c r="D1556" s="7">
        <v>2023</v>
      </c>
      <c r="E1556" s="7">
        <v>6</v>
      </c>
      <c r="F1556" s="7">
        <v>1</v>
      </c>
      <c r="G1556" s="7">
        <v>1</v>
      </c>
      <c r="H1556" s="7">
        <v>0</v>
      </c>
      <c r="I1556" s="7">
        <v>2</v>
      </c>
      <c r="J1556" s="7">
        <v>1</v>
      </c>
      <c r="K1556" s="7">
        <v>1</v>
      </c>
      <c r="L1556" s="7">
        <v>1</v>
      </c>
      <c r="M1556" s="7">
        <v>1</v>
      </c>
      <c r="N1556" s="7">
        <v>1</v>
      </c>
      <c r="O1556" s="7">
        <v>1</v>
      </c>
      <c r="P1556" s="7">
        <v>1</v>
      </c>
      <c r="Q1556" s="7">
        <v>1</v>
      </c>
      <c r="R1556" s="7" t="s">
        <v>3</v>
      </c>
      <c r="S1556" s="7" t="s">
        <v>3</v>
      </c>
      <c r="T1556" s="7" t="s">
        <v>3</v>
      </c>
      <c r="U1556" s="7" t="s">
        <v>3</v>
      </c>
      <c r="V1556" s="7" t="s">
        <v>3</v>
      </c>
      <c r="W1556" s="7" t="s">
        <v>3</v>
      </c>
      <c r="X1556" s="7" t="s">
        <v>3</v>
      </c>
      <c r="Y1556" s="7" t="s">
        <v>3</v>
      </c>
      <c r="Z1556" s="7" t="s">
        <v>3</v>
      </c>
      <c r="AA1556" s="7" t="s">
        <v>3</v>
      </c>
      <c r="AB1556" s="7"/>
      <c r="AC1556" s="7"/>
      <c r="AD1556" s="7"/>
      <c r="AE1556" s="7"/>
      <c r="AF1556" s="7"/>
      <c r="AG1556" s="7"/>
      <c r="AH1556" s="7"/>
      <c r="AI1556" s="7"/>
      <c r="AJ1556" s="7"/>
      <c r="AK1556" s="7"/>
      <c r="AL1556" s="7"/>
      <c r="AM1556" s="7"/>
      <c r="AN1556" s="7">
        <v>129761635</v>
      </c>
    </row>
    <row r="1557" spans="1:40" x14ac:dyDescent="0.2">
      <c r="A1557" s="4">
        <v>75</v>
      </c>
      <c r="B1557" s="4" t="s">
        <v>1094</v>
      </c>
      <c r="C1557" s="4">
        <v>2000</v>
      </c>
      <c r="D1557" s="4">
        <v>0</v>
      </c>
      <c r="E1557" s="4">
        <v>1</v>
      </c>
      <c r="F1557" s="4"/>
      <c r="G1557" s="4">
        <v>0</v>
      </c>
      <c r="H1557" s="4">
        <v>1</v>
      </c>
      <c r="I1557" s="4">
        <v>0</v>
      </c>
      <c r="J1557" s="4">
        <v>1</v>
      </c>
      <c r="K1557" s="4">
        <v>98</v>
      </c>
      <c r="L1557" s="4">
        <v>77</v>
      </c>
      <c r="M1557" s="4">
        <v>0</v>
      </c>
      <c r="N1557" s="4">
        <v>129761636</v>
      </c>
      <c r="O1557" s="4">
        <v>2</v>
      </c>
    </row>
    <row r="1561" spans="1:40" x14ac:dyDescent="0.2">
      <c r="A1561">
        <v>65</v>
      </c>
      <c r="C1561">
        <v>1</v>
      </c>
      <c r="D1561">
        <v>0</v>
      </c>
      <c r="E1561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61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1095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1</v>
      </c>
      <c r="L1">
        <v>46812</v>
      </c>
      <c r="M1">
        <v>97460402</v>
      </c>
      <c r="N1">
        <v>11</v>
      </c>
      <c r="O1">
        <v>6</v>
      </c>
      <c r="P1">
        <v>2</v>
      </c>
      <c r="Q1">
        <v>0</v>
      </c>
    </row>
    <row r="12" spans="1:133" x14ac:dyDescent="0.2">
      <c r="A12" s="1">
        <v>1</v>
      </c>
      <c r="B12" s="1">
        <v>58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>
        <v>0</v>
      </c>
      <c r="M12" s="1">
        <v>2</v>
      </c>
      <c r="N12" s="1"/>
      <c r="O12" s="1">
        <v>0</v>
      </c>
      <c r="P12" s="1">
        <v>0</v>
      </c>
      <c r="Q12" s="1">
        <v>0</v>
      </c>
      <c r="R12" s="1">
        <v>175</v>
      </c>
      <c r="S12" s="1">
        <v>160</v>
      </c>
      <c r="T12" s="1">
        <v>1</v>
      </c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>
        <v>0</v>
      </c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11</v>
      </c>
      <c r="CF12" s="1">
        <v>0</v>
      </c>
      <c r="CG12" s="1">
        <v>0</v>
      </c>
      <c r="CH12" s="1">
        <v>16785416</v>
      </c>
      <c r="CI12" s="1" t="s">
        <v>3</v>
      </c>
      <c r="CJ12" s="1" t="s">
        <v>3</v>
      </c>
      <c r="CK12" s="1">
        <v>68</v>
      </c>
      <c r="CL12" s="1"/>
      <c r="CM12" s="1"/>
      <c r="CN12" s="1"/>
      <c r="CO12" s="1"/>
      <c r="CP12" s="1"/>
      <c r="CQ12" s="1" t="s">
        <v>12</v>
      </c>
      <c r="CR12" s="1" t="s">
        <v>13</v>
      </c>
      <c r="CS12" s="1">
        <v>41660</v>
      </c>
      <c r="CT12" s="1">
        <v>1</v>
      </c>
      <c r="CU12" s="1">
        <v>68</v>
      </c>
      <c r="CV12" s="1"/>
      <c r="CW12" s="1"/>
      <c r="CX12" s="1"/>
      <c r="CY12" s="1">
        <v>0</v>
      </c>
      <c r="CZ12" s="1" t="s">
        <v>3</v>
      </c>
      <c r="DA12" s="1" t="s">
        <v>3</v>
      </c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1</v>
      </c>
      <c r="C14" s="1">
        <v>0</v>
      </c>
      <c r="D14" s="1">
        <v>129761633</v>
      </c>
      <c r="E14" s="1">
        <v>129761636</v>
      </c>
      <c r="F14" s="1">
        <v>2</v>
      </c>
      <c r="G14" s="1">
        <v>1</v>
      </c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8">
        <v>3</v>
      </c>
      <c r="B16" s="8">
        <v>0</v>
      </c>
      <c r="C16" s="8" t="s">
        <v>14</v>
      </c>
      <c r="D16" s="8" t="s">
        <v>15</v>
      </c>
      <c r="E16" s="9">
        <f>ROUND((Source!P133)/1000,2)</f>
        <v>47.54</v>
      </c>
      <c r="F16" s="9">
        <f>ROUND((Source!P134)/1000,2)</f>
        <v>0</v>
      </c>
      <c r="G16" s="9">
        <f>ROUND((Source!P125)/1000,2)</f>
        <v>0</v>
      </c>
      <c r="H16" s="9">
        <f>ROUND((Source!P135)/1000+(Source!P136)/1000,2)</f>
        <v>0</v>
      </c>
      <c r="I16" s="9">
        <f t="shared" ref="I16:I23" si="0">E16+F16+G16+H16</f>
        <v>47.54</v>
      </c>
      <c r="J16" s="9">
        <f>ROUND((Source!P131+Source!P130)/1000,2)</f>
        <v>6.83</v>
      </c>
      <c r="T16" s="10">
        <f>ROUND((Source!F133)/1000,2)</f>
        <v>3.88</v>
      </c>
      <c r="U16" s="10">
        <f>ROUND((Source!F134)/1000,2)</f>
        <v>0</v>
      </c>
      <c r="V16" s="10">
        <f>ROUND((Source!F125)/1000,2)</f>
        <v>0</v>
      </c>
      <c r="W16" s="10">
        <f>ROUND((Source!F135)/1000+(Source!F136)/1000,2)</f>
        <v>0</v>
      </c>
      <c r="X16" s="10">
        <f t="shared" ref="X16:X23" si="1">T16+U16+V16+W16</f>
        <v>3.88</v>
      </c>
      <c r="Y16" s="10">
        <f>ROUND((Source!F131+Source!F130)/1000,2)</f>
        <v>0.24</v>
      </c>
      <c r="AI16" s="8">
        <v>0</v>
      </c>
      <c r="AJ16" s="8">
        <v>-1</v>
      </c>
      <c r="AK16" s="8" t="s">
        <v>3</v>
      </c>
      <c r="AL16" s="8" t="s">
        <v>3</v>
      </c>
      <c r="AM16" s="8" t="s">
        <v>3</v>
      </c>
      <c r="AN16" s="8">
        <v>0</v>
      </c>
      <c r="AO16" s="8" t="s">
        <v>3</v>
      </c>
      <c r="AP16" s="8" t="s">
        <v>3</v>
      </c>
      <c r="AT16" s="9">
        <v>37482</v>
      </c>
      <c r="AU16" s="9">
        <v>29329.89</v>
      </c>
      <c r="AV16" s="9">
        <v>0</v>
      </c>
      <c r="AW16" s="9">
        <v>0</v>
      </c>
      <c r="AX16" s="9">
        <v>0</v>
      </c>
      <c r="AY16" s="9">
        <v>1801.79</v>
      </c>
      <c r="AZ16" s="9">
        <v>477.26</v>
      </c>
      <c r="BA16" s="9">
        <v>6350.32</v>
      </c>
      <c r="BB16" s="9">
        <v>47535.4</v>
      </c>
      <c r="BC16" s="9">
        <v>0</v>
      </c>
      <c r="BD16" s="9">
        <v>0</v>
      </c>
      <c r="BE16" s="9">
        <v>0</v>
      </c>
      <c r="BF16" s="9">
        <v>19.610554</v>
      </c>
      <c r="BG16" s="9">
        <v>0</v>
      </c>
      <c r="BH16" s="9">
        <v>0</v>
      </c>
      <c r="BI16" s="9">
        <v>6686.15</v>
      </c>
      <c r="BJ16" s="9">
        <v>2603.63</v>
      </c>
      <c r="BK16" s="9">
        <v>47535.4</v>
      </c>
      <c r="BR16" s="10">
        <v>3407.53</v>
      </c>
      <c r="BS16" s="10">
        <v>3016.91</v>
      </c>
      <c r="BT16" s="10">
        <v>0</v>
      </c>
      <c r="BU16" s="10">
        <v>0</v>
      </c>
      <c r="BV16" s="10">
        <v>0</v>
      </c>
      <c r="BW16" s="10">
        <v>171.87</v>
      </c>
      <c r="BX16" s="10">
        <v>16.440000000000001</v>
      </c>
      <c r="BY16" s="10">
        <v>218.75</v>
      </c>
      <c r="BZ16" s="10">
        <v>3882.95</v>
      </c>
      <c r="CA16" s="10">
        <v>0</v>
      </c>
      <c r="CB16" s="10">
        <v>0</v>
      </c>
      <c r="CC16" s="10">
        <v>0</v>
      </c>
      <c r="CD16" s="10">
        <v>19.610554</v>
      </c>
      <c r="CE16" s="10">
        <v>0</v>
      </c>
      <c r="CF16" s="10">
        <v>0</v>
      </c>
      <c r="CG16" s="10">
        <v>280.22000000000003</v>
      </c>
      <c r="CH16" s="10">
        <v>166.43</v>
      </c>
      <c r="CI16" s="10">
        <v>3882.95</v>
      </c>
    </row>
    <row r="17" spans="1:87" x14ac:dyDescent="0.2">
      <c r="A17" s="8">
        <v>3</v>
      </c>
      <c r="B17" s="8">
        <v>0</v>
      </c>
      <c r="C17" s="8" t="s">
        <v>135</v>
      </c>
      <c r="D17" s="8" t="s">
        <v>136</v>
      </c>
      <c r="E17" s="9">
        <f>ROUND((Source!P438)/1000,2)</f>
        <v>1059.1099999999999</v>
      </c>
      <c r="F17" s="9">
        <f>ROUND((Source!P439)/1000,2)</f>
        <v>0</v>
      </c>
      <c r="G17" s="9">
        <f>ROUND((Source!P430)/1000,2)</f>
        <v>0</v>
      </c>
      <c r="H17" s="9">
        <f>ROUND((Source!P440)/1000+(Source!P441)/1000,2)</f>
        <v>28.16</v>
      </c>
      <c r="I17" s="9">
        <f t="shared" si="0"/>
        <v>1087.27</v>
      </c>
      <c r="J17" s="9">
        <f>ROUND((Source!P436+Source!P435)/1000,2)</f>
        <v>233.93</v>
      </c>
      <c r="T17" s="10">
        <f>ROUND((Source!F438)/1000,2)</f>
        <v>53.7</v>
      </c>
      <c r="U17" s="10">
        <f>ROUND((Source!F439)/1000,2)</f>
        <v>0</v>
      </c>
      <c r="V17" s="10">
        <f>ROUND((Source!F430)/1000,2)</f>
        <v>0</v>
      </c>
      <c r="W17" s="10">
        <f>ROUND((Source!F440)/1000+(Source!F441)/1000,2)</f>
        <v>2.4300000000000002</v>
      </c>
      <c r="X17" s="10">
        <f t="shared" si="1"/>
        <v>56.13</v>
      </c>
      <c r="Y17" s="10">
        <f>ROUND((Source!F436+Source!F435)/1000,2)</f>
        <v>8.06</v>
      </c>
      <c r="AI17" s="8">
        <v>0</v>
      </c>
      <c r="AJ17" s="8">
        <v>-1</v>
      </c>
      <c r="AK17" s="8" t="s">
        <v>3</v>
      </c>
      <c r="AL17" s="8" t="s">
        <v>3</v>
      </c>
      <c r="AM17" s="8" t="s">
        <v>3</v>
      </c>
      <c r="AN17" s="8">
        <v>0</v>
      </c>
      <c r="AO17" s="8" t="s">
        <v>3</v>
      </c>
      <c r="AP17" s="8" t="s">
        <v>3</v>
      </c>
      <c r="AT17" s="9">
        <v>804370.76</v>
      </c>
      <c r="AU17" s="9">
        <v>520744.63</v>
      </c>
      <c r="AV17" s="9">
        <v>0</v>
      </c>
      <c r="AW17" s="9">
        <v>0</v>
      </c>
      <c r="AX17" s="9">
        <v>0</v>
      </c>
      <c r="AY17" s="9">
        <v>66212.03</v>
      </c>
      <c r="AZ17" s="9">
        <v>16511.95</v>
      </c>
      <c r="BA17" s="9">
        <v>217414.1</v>
      </c>
      <c r="BB17" s="9">
        <v>1059109.8700000001</v>
      </c>
      <c r="BC17" s="9">
        <v>0</v>
      </c>
      <c r="BD17" s="9">
        <v>28155.200000000001</v>
      </c>
      <c r="BE17" s="9">
        <v>0</v>
      </c>
      <c r="BF17" s="9">
        <v>630.45396744999994</v>
      </c>
      <c r="BG17" s="9">
        <v>0</v>
      </c>
      <c r="BH17" s="9">
        <v>0</v>
      </c>
      <c r="BI17" s="9">
        <v>167335.43</v>
      </c>
      <c r="BJ17" s="9">
        <v>89139.77</v>
      </c>
      <c r="BK17" s="9">
        <v>1087265.07</v>
      </c>
      <c r="BR17" s="10">
        <v>43779.75</v>
      </c>
      <c r="BS17" s="10">
        <v>30799.61</v>
      </c>
      <c r="BT17" s="10">
        <v>0</v>
      </c>
      <c r="BU17" s="10">
        <v>0</v>
      </c>
      <c r="BV17" s="10">
        <v>0</v>
      </c>
      <c r="BW17" s="10">
        <v>5490.85</v>
      </c>
      <c r="BX17" s="10">
        <v>568.79</v>
      </c>
      <c r="BY17" s="10">
        <v>7489.29</v>
      </c>
      <c r="BZ17" s="10">
        <v>53704.94</v>
      </c>
      <c r="CA17" s="10">
        <v>0</v>
      </c>
      <c r="CB17" s="10">
        <v>2426.4699999999998</v>
      </c>
      <c r="CC17" s="10">
        <v>0</v>
      </c>
      <c r="CD17" s="10">
        <v>630.45396744999994</v>
      </c>
      <c r="CE17" s="10">
        <v>0</v>
      </c>
      <c r="CF17" s="10">
        <v>0</v>
      </c>
      <c r="CG17" s="10">
        <v>6804.42</v>
      </c>
      <c r="CH17" s="10">
        <v>4551.83</v>
      </c>
      <c r="CI17" s="10">
        <v>56131.41</v>
      </c>
    </row>
    <row r="18" spans="1:87" x14ac:dyDescent="0.2">
      <c r="A18" s="8">
        <v>3</v>
      </c>
      <c r="B18" s="8">
        <v>0</v>
      </c>
      <c r="C18" s="8" t="s">
        <v>498</v>
      </c>
      <c r="D18" s="8" t="s">
        <v>499</v>
      </c>
      <c r="E18" s="9">
        <f>ROUND((Source!P626)/1000,2)</f>
        <v>227.7</v>
      </c>
      <c r="F18" s="9">
        <f>ROUND((Source!P627)/1000,2)</f>
        <v>0</v>
      </c>
      <c r="G18" s="9">
        <f>ROUND((Source!P618)/1000,2)</f>
        <v>0</v>
      </c>
      <c r="H18" s="9">
        <f>ROUND((Source!P628)/1000+(Source!P629)/1000,2)</f>
        <v>0</v>
      </c>
      <c r="I18" s="9">
        <f t="shared" si="0"/>
        <v>227.7</v>
      </c>
      <c r="J18" s="9">
        <f>ROUND((Source!P624+Source!P623)/1000,2)</f>
        <v>47.45</v>
      </c>
      <c r="T18" s="10">
        <f>ROUND((Source!F626)/1000,2)</f>
        <v>8.15</v>
      </c>
      <c r="U18" s="10">
        <f>ROUND((Source!F627)/1000,2)</f>
        <v>0</v>
      </c>
      <c r="V18" s="10">
        <f>ROUND((Source!F618)/1000,2)</f>
        <v>0</v>
      </c>
      <c r="W18" s="10">
        <f>ROUND((Source!F628)/1000+(Source!F629)/1000,2)</f>
        <v>0</v>
      </c>
      <c r="X18" s="10">
        <f t="shared" si="1"/>
        <v>8.15</v>
      </c>
      <c r="Y18" s="10">
        <f>ROUND((Source!F624+Source!F623)/1000,2)</f>
        <v>1.63</v>
      </c>
      <c r="AI18" s="8">
        <v>0</v>
      </c>
      <c r="AJ18" s="8">
        <v>-1</v>
      </c>
      <c r="AK18" s="8" t="s">
        <v>3</v>
      </c>
      <c r="AL18" s="8" t="s">
        <v>3</v>
      </c>
      <c r="AM18" s="8" t="s">
        <v>3</v>
      </c>
      <c r="AN18" s="8">
        <v>0</v>
      </c>
      <c r="AO18" s="8" t="s">
        <v>3</v>
      </c>
      <c r="AP18" s="8" t="s">
        <v>3</v>
      </c>
      <c r="AT18" s="9">
        <v>171952.43</v>
      </c>
      <c r="AU18" s="9">
        <v>117105.18</v>
      </c>
      <c r="AV18" s="9">
        <v>0</v>
      </c>
      <c r="AW18" s="9">
        <v>0</v>
      </c>
      <c r="AX18" s="9">
        <v>0</v>
      </c>
      <c r="AY18" s="9">
        <v>13202.26</v>
      </c>
      <c r="AZ18" s="9">
        <v>5802.83</v>
      </c>
      <c r="BA18" s="9">
        <v>41644.99</v>
      </c>
      <c r="BB18" s="9">
        <v>227703.35</v>
      </c>
      <c r="BC18" s="9">
        <v>0</v>
      </c>
      <c r="BD18" s="9">
        <v>0</v>
      </c>
      <c r="BE18" s="9">
        <v>0</v>
      </c>
      <c r="BF18" s="9">
        <v>117.15504629999998</v>
      </c>
      <c r="BG18" s="9">
        <v>0</v>
      </c>
      <c r="BH18" s="9">
        <v>0</v>
      </c>
      <c r="BI18" s="9">
        <v>29391.94</v>
      </c>
      <c r="BJ18" s="9">
        <v>17074.46</v>
      </c>
      <c r="BK18" s="9">
        <v>227703.35</v>
      </c>
      <c r="BR18" s="10">
        <v>5620.64</v>
      </c>
      <c r="BS18" s="10">
        <v>3215.68</v>
      </c>
      <c r="BT18" s="10">
        <v>0</v>
      </c>
      <c r="BU18" s="10">
        <v>0</v>
      </c>
      <c r="BV18" s="10">
        <v>0</v>
      </c>
      <c r="BW18" s="10">
        <v>970.41</v>
      </c>
      <c r="BX18" s="10">
        <v>199.89</v>
      </c>
      <c r="BY18" s="10">
        <v>1434.55</v>
      </c>
      <c r="BZ18" s="10">
        <v>8151.56</v>
      </c>
      <c r="CA18" s="10">
        <v>0</v>
      </c>
      <c r="CB18" s="10">
        <v>0</v>
      </c>
      <c r="CC18" s="10">
        <v>0</v>
      </c>
      <c r="CD18" s="10">
        <v>117.15504629999998</v>
      </c>
      <c r="CE18" s="10">
        <v>0</v>
      </c>
      <c r="CF18" s="10">
        <v>0</v>
      </c>
      <c r="CG18" s="10">
        <v>1216.67</v>
      </c>
      <c r="CH18" s="10">
        <v>964.44</v>
      </c>
      <c r="CI18" s="10">
        <v>8151.56</v>
      </c>
    </row>
    <row r="19" spans="1:87" x14ac:dyDescent="0.2">
      <c r="A19" s="8">
        <v>3</v>
      </c>
      <c r="B19" s="8">
        <v>0</v>
      </c>
      <c r="C19" s="8" t="s">
        <v>615</v>
      </c>
      <c r="D19" s="8" t="s">
        <v>616</v>
      </c>
      <c r="E19" s="9">
        <f>ROUND((Source!P806)/1000,2)</f>
        <v>74.83</v>
      </c>
      <c r="F19" s="9">
        <f>ROUND((Source!P807)/1000,2)</f>
        <v>76.290000000000006</v>
      </c>
      <c r="G19" s="9">
        <f>ROUND((Source!P798)/1000,2)</f>
        <v>14.21</v>
      </c>
      <c r="H19" s="9">
        <f>ROUND((Source!P808)/1000+(Source!P809)/1000,2)</f>
        <v>0</v>
      </c>
      <c r="I19" s="9">
        <f t="shared" si="0"/>
        <v>165.33</v>
      </c>
      <c r="J19" s="9">
        <f>ROUND((Source!P804+Source!P803)/1000,2)</f>
        <v>26.84</v>
      </c>
      <c r="T19" s="10">
        <f>ROUND((Source!F806)/1000,2)</f>
        <v>11.53</v>
      </c>
      <c r="U19" s="10">
        <f>ROUND((Source!F807)/1000,2)</f>
        <v>4.63</v>
      </c>
      <c r="V19" s="10">
        <f>ROUND((Source!F798)/1000,2)</f>
        <v>1.75</v>
      </c>
      <c r="W19" s="10">
        <f>ROUND((Source!F808)/1000+(Source!F809)/1000,2)</f>
        <v>0</v>
      </c>
      <c r="X19" s="10">
        <f t="shared" si="1"/>
        <v>17.91</v>
      </c>
      <c r="Y19" s="10">
        <f>ROUND((Source!F804+Source!F803)/1000,2)</f>
        <v>0.92</v>
      </c>
      <c r="AI19" s="8">
        <v>0</v>
      </c>
      <c r="AJ19" s="8">
        <v>-1</v>
      </c>
      <c r="AK19" s="8" t="s">
        <v>3</v>
      </c>
      <c r="AL19" s="8" t="s">
        <v>3</v>
      </c>
      <c r="AM19" s="8" t="s">
        <v>3</v>
      </c>
      <c r="AN19" s="8">
        <v>0</v>
      </c>
      <c r="AO19" s="8" t="s">
        <v>3</v>
      </c>
      <c r="AP19" s="8" t="s">
        <v>3</v>
      </c>
      <c r="AT19" s="9">
        <v>132862.19</v>
      </c>
      <c r="AU19" s="9">
        <v>104969.87</v>
      </c>
      <c r="AV19" s="9">
        <v>0</v>
      </c>
      <c r="AW19" s="9">
        <v>14211.64</v>
      </c>
      <c r="AX19" s="9">
        <v>0</v>
      </c>
      <c r="AY19" s="9">
        <v>1748.47</v>
      </c>
      <c r="AZ19" s="9">
        <v>693.53</v>
      </c>
      <c r="BA19" s="9">
        <v>26143.85</v>
      </c>
      <c r="BB19" s="9">
        <v>74830.78</v>
      </c>
      <c r="BC19" s="9">
        <v>76292.94</v>
      </c>
      <c r="BD19" s="9">
        <v>0</v>
      </c>
      <c r="BE19" s="9">
        <v>0</v>
      </c>
      <c r="BF19" s="9">
        <v>69.082899999999995</v>
      </c>
      <c r="BG19" s="9">
        <v>0</v>
      </c>
      <c r="BH19" s="9">
        <v>0</v>
      </c>
      <c r="BI19" s="9">
        <v>20644.57</v>
      </c>
      <c r="BJ19" s="9">
        <v>10718.97</v>
      </c>
      <c r="BK19" s="9">
        <v>165335.35999999999</v>
      </c>
      <c r="BR19" s="10">
        <v>16240.55</v>
      </c>
      <c r="BS19" s="10">
        <v>15179.26</v>
      </c>
      <c r="BT19" s="10">
        <v>0</v>
      </c>
      <c r="BU19" s="10">
        <v>1752.36</v>
      </c>
      <c r="BV19" s="10">
        <v>0</v>
      </c>
      <c r="BW19" s="10">
        <v>160.71</v>
      </c>
      <c r="BX19" s="10">
        <v>23.89</v>
      </c>
      <c r="BY19" s="10">
        <v>900.58</v>
      </c>
      <c r="BZ19" s="10">
        <v>11529.32</v>
      </c>
      <c r="CA19" s="10">
        <v>4629.8500000000004</v>
      </c>
      <c r="CB19" s="10">
        <v>0</v>
      </c>
      <c r="CC19" s="10">
        <v>0</v>
      </c>
      <c r="CD19" s="10">
        <v>69.082899999999995</v>
      </c>
      <c r="CE19" s="10">
        <v>0</v>
      </c>
      <c r="CF19" s="10">
        <v>0</v>
      </c>
      <c r="CG19" s="10">
        <v>1025.6500000000001</v>
      </c>
      <c r="CH19" s="10">
        <v>603.5</v>
      </c>
      <c r="CI19" s="10">
        <v>17911.53</v>
      </c>
    </row>
    <row r="20" spans="1:87" x14ac:dyDescent="0.2">
      <c r="A20" s="8">
        <v>3</v>
      </c>
      <c r="B20" s="8">
        <v>0</v>
      </c>
      <c r="C20" s="8" t="s">
        <v>729</v>
      </c>
      <c r="D20" s="8" t="s">
        <v>730</v>
      </c>
      <c r="E20" s="9">
        <f>ROUND((Source!P978)/1000,2)</f>
        <v>2.13</v>
      </c>
      <c r="F20" s="9">
        <f>ROUND((Source!P979)/1000,2)</f>
        <v>114.56</v>
      </c>
      <c r="G20" s="9">
        <f>ROUND((Source!P970)/1000,2)</f>
        <v>0</v>
      </c>
      <c r="H20" s="9">
        <f>ROUND((Source!P980)/1000+(Source!P981)/1000,2)</f>
        <v>0</v>
      </c>
      <c r="I20" s="9">
        <f t="shared" si="0"/>
        <v>116.69</v>
      </c>
      <c r="J20" s="9">
        <f>ROUND((Source!P976+Source!P975)/1000,2)</f>
        <v>21.1</v>
      </c>
      <c r="T20" s="10">
        <f>ROUND((Source!F978)/1000,2)</f>
        <v>0.08</v>
      </c>
      <c r="U20" s="10">
        <f>ROUND((Source!F979)/1000,2)</f>
        <v>10.63</v>
      </c>
      <c r="V20" s="10">
        <f>ROUND((Source!F970)/1000,2)</f>
        <v>0</v>
      </c>
      <c r="W20" s="10">
        <f>ROUND((Source!F980)/1000+(Source!F981)/1000,2)</f>
        <v>0</v>
      </c>
      <c r="X20" s="10">
        <f t="shared" si="1"/>
        <v>10.71</v>
      </c>
      <c r="Y20" s="10">
        <f>ROUND((Source!F976+Source!F975)/1000,2)</f>
        <v>0.73</v>
      </c>
      <c r="AI20" s="8">
        <v>0</v>
      </c>
      <c r="AJ20" s="8">
        <v>-1</v>
      </c>
      <c r="AK20" s="8" t="s">
        <v>3</v>
      </c>
      <c r="AL20" s="8" t="s">
        <v>3</v>
      </c>
      <c r="AM20" s="8" t="s">
        <v>3</v>
      </c>
      <c r="AN20" s="8">
        <v>0</v>
      </c>
      <c r="AO20" s="8" t="s">
        <v>3</v>
      </c>
      <c r="AP20" s="8" t="s">
        <v>3</v>
      </c>
      <c r="AT20" s="9">
        <v>91344.88</v>
      </c>
      <c r="AU20" s="9">
        <v>69620.45</v>
      </c>
      <c r="AV20" s="9">
        <v>0</v>
      </c>
      <c r="AW20" s="9">
        <v>0</v>
      </c>
      <c r="AX20" s="9">
        <v>0</v>
      </c>
      <c r="AY20" s="9">
        <v>881.75</v>
      </c>
      <c r="AZ20" s="9">
        <v>261.85000000000002</v>
      </c>
      <c r="BA20" s="9">
        <v>20842.68</v>
      </c>
      <c r="BB20" s="9">
        <v>2127.34</v>
      </c>
      <c r="BC20" s="9">
        <v>114556.99</v>
      </c>
      <c r="BD20" s="9">
        <v>0</v>
      </c>
      <c r="BE20" s="9">
        <v>0</v>
      </c>
      <c r="BF20" s="9">
        <v>58.990299999999991</v>
      </c>
      <c r="BG20" s="9">
        <v>0</v>
      </c>
      <c r="BH20" s="9">
        <v>0</v>
      </c>
      <c r="BI20" s="9">
        <v>16374.98</v>
      </c>
      <c r="BJ20" s="9">
        <v>8545.51</v>
      </c>
      <c r="BK20" s="9">
        <v>116684.33</v>
      </c>
      <c r="BR20" s="10">
        <v>9407.77</v>
      </c>
      <c r="BS20" s="10">
        <v>8608.2099999999991</v>
      </c>
      <c r="BT20" s="10">
        <v>0</v>
      </c>
      <c r="BU20" s="10">
        <v>0</v>
      </c>
      <c r="BV20" s="10">
        <v>0</v>
      </c>
      <c r="BW20" s="10">
        <v>81.59</v>
      </c>
      <c r="BX20" s="10">
        <v>9.02</v>
      </c>
      <c r="BY20" s="10">
        <v>717.97</v>
      </c>
      <c r="BZ20" s="10">
        <v>81.62</v>
      </c>
      <c r="CA20" s="10">
        <v>10625.5</v>
      </c>
      <c r="CB20" s="10">
        <v>0</v>
      </c>
      <c r="CC20" s="10">
        <v>0</v>
      </c>
      <c r="CD20" s="10">
        <v>58.990299999999991</v>
      </c>
      <c r="CE20" s="10">
        <v>0</v>
      </c>
      <c r="CF20" s="10">
        <v>0</v>
      </c>
      <c r="CG20" s="10">
        <v>806.67</v>
      </c>
      <c r="CH20" s="10">
        <v>476.88</v>
      </c>
      <c r="CI20" s="10">
        <v>10707.12</v>
      </c>
    </row>
    <row r="21" spans="1:87" x14ac:dyDescent="0.2">
      <c r="A21" s="8">
        <v>3</v>
      </c>
      <c r="B21" s="8">
        <v>0</v>
      </c>
      <c r="C21" s="8" t="s">
        <v>807</v>
      </c>
      <c r="D21" s="8" t="s">
        <v>808</v>
      </c>
      <c r="E21" s="9">
        <f>ROUND((Source!P1311)/1000,2)</f>
        <v>177.28</v>
      </c>
      <c r="F21" s="9">
        <f>ROUND((Source!P1312)/1000,2)</f>
        <v>0</v>
      </c>
      <c r="G21" s="9">
        <f>ROUND((Source!P1303)/1000,2)</f>
        <v>0</v>
      </c>
      <c r="H21" s="9">
        <f>ROUND((Source!P1313)/1000+(Source!P1314)/1000,2)</f>
        <v>0.09</v>
      </c>
      <c r="I21" s="9">
        <f t="shared" si="0"/>
        <v>177.37</v>
      </c>
      <c r="J21" s="9">
        <f>ROUND((Source!P1309+Source!P1308)/1000,2)</f>
        <v>28.41</v>
      </c>
      <c r="T21" s="10">
        <f>ROUND((Source!F1311)/1000,2)</f>
        <v>6.12</v>
      </c>
      <c r="U21" s="10">
        <f>ROUND((Source!F1312)/1000,2)</f>
        <v>0</v>
      </c>
      <c r="V21" s="10">
        <f>ROUND((Source!F1303)/1000,2)</f>
        <v>0</v>
      </c>
      <c r="W21" s="10">
        <f>ROUND((Source!F1313)/1000+(Source!F1314)/1000,2)</f>
        <v>0</v>
      </c>
      <c r="X21" s="10">
        <f t="shared" si="1"/>
        <v>6.12</v>
      </c>
      <c r="Y21" s="10">
        <f>ROUND((Source!F1309+Source!F1308)/1000,2)</f>
        <v>0.98</v>
      </c>
      <c r="AI21" s="8">
        <v>0</v>
      </c>
      <c r="AJ21" s="8">
        <v>-1</v>
      </c>
      <c r="AK21" s="8" t="s">
        <v>3</v>
      </c>
      <c r="AL21" s="8" t="s">
        <v>3</v>
      </c>
      <c r="AM21" s="8" t="s">
        <v>3</v>
      </c>
      <c r="AN21" s="8">
        <v>0</v>
      </c>
      <c r="AO21" s="8" t="s">
        <v>3</v>
      </c>
      <c r="AP21" s="8" t="s">
        <v>3</v>
      </c>
      <c r="AT21" s="9">
        <v>140417.38</v>
      </c>
      <c r="AU21" s="9">
        <v>111416.79</v>
      </c>
      <c r="AV21" s="9">
        <v>0</v>
      </c>
      <c r="AW21" s="9">
        <v>0</v>
      </c>
      <c r="AX21" s="9">
        <v>0</v>
      </c>
      <c r="AY21" s="9">
        <v>964.28</v>
      </c>
      <c r="AZ21" s="9">
        <v>374.77</v>
      </c>
      <c r="BA21" s="9">
        <v>28036.31</v>
      </c>
      <c r="BB21" s="9">
        <v>177284.4</v>
      </c>
      <c r="BC21" s="9">
        <v>0</v>
      </c>
      <c r="BD21" s="9">
        <v>92.95</v>
      </c>
      <c r="BE21" s="9">
        <v>0</v>
      </c>
      <c r="BF21" s="9">
        <v>76.808025000000001</v>
      </c>
      <c r="BG21" s="9">
        <v>0</v>
      </c>
      <c r="BH21" s="9">
        <v>0</v>
      </c>
      <c r="BI21" s="9">
        <v>24865.439999999999</v>
      </c>
      <c r="BJ21" s="9">
        <v>11494.9</v>
      </c>
      <c r="BK21" s="9">
        <v>177377.35</v>
      </c>
      <c r="BR21" s="10">
        <v>4343.41</v>
      </c>
      <c r="BS21" s="10">
        <v>3301.78</v>
      </c>
      <c r="BT21" s="10">
        <v>0</v>
      </c>
      <c r="BU21" s="10">
        <v>0</v>
      </c>
      <c r="BV21" s="10">
        <v>0</v>
      </c>
      <c r="BW21" s="10">
        <v>75.86</v>
      </c>
      <c r="BX21" s="10">
        <v>12.91</v>
      </c>
      <c r="BY21" s="10">
        <v>965.77</v>
      </c>
      <c r="BZ21" s="10">
        <v>6115.85</v>
      </c>
      <c r="CA21" s="10">
        <v>0</v>
      </c>
      <c r="CB21" s="10">
        <v>3.42</v>
      </c>
      <c r="CC21" s="10">
        <v>0</v>
      </c>
      <c r="CD21" s="10">
        <v>76.808025000000001</v>
      </c>
      <c r="CE21" s="10">
        <v>0</v>
      </c>
      <c r="CF21" s="10">
        <v>0</v>
      </c>
      <c r="CG21" s="10">
        <v>1045.23</v>
      </c>
      <c r="CH21" s="10">
        <v>708.02</v>
      </c>
      <c r="CI21" s="10">
        <v>6119.27</v>
      </c>
    </row>
    <row r="22" spans="1:87" x14ac:dyDescent="0.2">
      <c r="A22" s="8">
        <v>3</v>
      </c>
      <c r="B22" s="8">
        <v>0</v>
      </c>
      <c r="C22" s="8" t="s">
        <v>1004</v>
      </c>
      <c r="D22" s="8" t="s">
        <v>1005</v>
      </c>
      <c r="E22" s="9">
        <f>ROUND((Source!P1465)/1000,2)</f>
        <v>258.95999999999998</v>
      </c>
      <c r="F22" s="9">
        <f>ROUND((Source!P1466)/1000,2)</f>
        <v>114.76</v>
      </c>
      <c r="G22" s="9">
        <f>ROUND((Source!P1457)/1000,2)</f>
        <v>117.5</v>
      </c>
      <c r="H22" s="9">
        <f>ROUND((Source!P1467)/1000+(Source!P1468)/1000,2)</f>
        <v>0</v>
      </c>
      <c r="I22" s="9">
        <f t="shared" si="0"/>
        <v>491.21999999999997</v>
      </c>
      <c r="J22" s="9">
        <f>ROUND((Source!P1463+Source!P1462)/1000,2)</f>
        <v>78.36</v>
      </c>
      <c r="T22" s="10">
        <f>ROUND((Source!F1465)/1000,2)</f>
        <v>4.8099999999999996</v>
      </c>
      <c r="U22" s="10">
        <f>ROUND((Source!F1466)/1000,2)</f>
        <v>4.59</v>
      </c>
      <c r="V22" s="10">
        <f>ROUND((Source!F1457)/1000,2)</f>
        <v>0.56999999999999995</v>
      </c>
      <c r="W22" s="10">
        <f>ROUND((Source!F1467)/1000+(Source!F1468)/1000,2)</f>
        <v>0</v>
      </c>
      <c r="X22" s="10">
        <f t="shared" si="1"/>
        <v>9.9699999999999989</v>
      </c>
      <c r="Y22" s="10">
        <f>ROUND((Source!F1463+Source!F1462)/1000,2)</f>
        <v>2.7</v>
      </c>
      <c r="AI22" s="8">
        <v>0</v>
      </c>
      <c r="AJ22" s="8">
        <v>-1</v>
      </c>
      <c r="AK22" s="8" t="s">
        <v>3</v>
      </c>
      <c r="AL22" s="8" t="s">
        <v>3</v>
      </c>
      <c r="AM22" s="8" t="s">
        <v>3</v>
      </c>
      <c r="AN22" s="8">
        <v>0</v>
      </c>
      <c r="AO22" s="8" t="s">
        <v>3</v>
      </c>
      <c r="AP22" s="8" t="s">
        <v>3</v>
      </c>
      <c r="AT22" s="9">
        <v>397833.88</v>
      </c>
      <c r="AU22" s="9">
        <v>316469.96000000002</v>
      </c>
      <c r="AV22" s="9">
        <v>0</v>
      </c>
      <c r="AW22" s="9">
        <v>117503.19</v>
      </c>
      <c r="AX22" s="9">
        <v>0</v>
      </c>
      <c r="AY22" s="9">
        <v>5417.96</v>
      </c>
      <c r="AZ22" s="9">
        <v>2413.27</v>
      </c>
      <c r="BA22" s="9">
        <v>75945.960000000006</v>
      </c>
      <c r="BB22" s="9">
        <v>258961.47</v>
      </c>
      <c r="BC22" s="9">
        <v>114759.13</v>
      </c>
      <c r="BD22" s="9">
        <v>0</v>
      </c>
      <c r="BE22" s="9">
        <v>0</v>
      </c>
      <c r="BF22" s="9">
        <v>197.07243700000001</v>
      </c>
      <c r="BG22" s="9">
        <v>0</v>
      </c>
      <c r="BH22" s="9">
        <v>0</v>
      </c>
      <c r="BI22" s="9">
        <v>58390.84</v>
      </c>
      <c r="BJ22" s="9">
        <v>31137.83</v>
      </c>
      <c r="BK22" s="9">
        <v>491223.79</v>
      </c>
      <c r="BR22" s="10">
        <v>5463.34</v>
      </c>
      <c r="BS22" s="10">
        <v>2385.67</v>
      </c>
      <c r="BT22" s="10">
        <v>0</v>
      </c>
      <c r="BU22" s="10">
        <v>573.29999999999995</v>
      </c>
      <c r="BV22" s="10">
        <v>0</v>
      </c>
      <c r="BW22" s="10">
        <v>461.55</v>
      </c>
      <c r="BX22" s="10">
        <v>83.13</v>
      </c>
      <c r="BY22" s="10">
        <v>2616.12</v>
      </c>
      <c r="BZ22" s="10">
        <v>4808.2</v>
      </c>
      <c r="CA22" s="10">
        <v>4585.87</v>
      </c>
      <c r="CB22" s="10">
        <v>0</v>
      </c>
      <c r="CC22" s="10">
        <v>0</v>
      </c>
      <c r="CD22" s="10">
        <v>197.07243700000001</v>
      </c>
      <c r="CE22" s="10">
        <v>0</v>
      </c>
      <c r="CF22" s="10">
        <v>0</v>
      </c>
      <c r="CG22" s="10">
        <v>2469.46</v>
      </c>
      <c r="CH22" s="10">
        <v>1889.09</v>
      </c>
      <c r="CI22" s="10">
        <v>9967.3700000000008</v>
      </c>
    </row>
    <row r="23" spans="1:87" x14ac:dyDescent="0.2">
      <c r="A23" s="8">
        <v>3</v>
      </c>
      <c r="B23" s="8">
        <v>0</v>
      </c>
      <c r="C23" s="8" t="s">
        <v>1076</v>
      </c>
      <c r="D23" s="8" t="s">
        <v>65</v>
      </c>
      <c r="E23" s="9">
        <f>ROUND((Source!P1502)/1000,2)</f>
        <v>0</v>
      </c>
      <c r="F23" s="9">
        <f>ROUND((Source!P1503)/1000,2)</f>
        <v>0</v>
      </c>
      <c r="G23" s="9">
        <f>ROUND((Source!P1494)/1000,2)</f>
        <v>0</v>
      </c>
      <c r="H23" s="9">
        <f>ROUND((Source!P1504)/1000+(Source!P1505)/1000,2)</f>
        <v>0</v>
      </c>
      <c r="I23" s="9">
        <f t="shared" si="0"/>
        <v>0</v>
      </c>
      <c r="J23" s="9">
        <f>ROUND((Source!P1500+Source!P1499)/1000,2)</f>
        <v>0</v>
      </c>
      <c r="T23" s="10">
        <f>ROUND((Source!F1502)/1000,2)</f>
        <v>0</v>
      </c>
      <c r="U23" s="10">
        <f>ROUND((Source!F1503)/1000,2)</f>
        <v>0</v>
      </c>
      <c r="V23" s="10">
        <f>ROUND((Source!F1494)/1000,2)</f>
        <v>0</v>
      </c>
      <c r="W23" s="10">
        <f>ROUND((Source!F1504)/1000+(Source!F1505)/1000,2)</f>
        <v>0</v>
      </c>
      <c r="X23" s="10">
        <f t="shared" si="1"/>
        <v>0</v>
      </c>
      <c r="Y23" s="10">
        <f>ROUND((Source!F1500+Source!F1499)/1000,2)</f>
        <v>0</v>
      </c>
      <c r="AI23" s="8">
        <v>0</v>
      </c>
      <c r="AJ23" s="8">
        <v>-1</v>
      </c>
      <c r="AK23" s="8" t="s">
        <v>3</v>
      </c>
      <c r="AL23" s="8" t="s">
        <v>3</v>
      </c>
      <c r="AM23" s="8" t="s">
        <v>3</v>
      </c>
      <c r="AN23" s="8">
        <v>0</v>
      </c>
      <c r="AO23" s="8" t="s">
        <v>3</v>
      </c>
      <c r="AP23" s="8" t="s">
        <v>3</v>
      </c>
      <c r="AT23" s="9">
        <v>0</v>
      </c>
      <c r="AU23" s="9">
        <v>0</v>
      </c>
      <c r="AV23" s="9">
        <v>0</v>
      </c>
      <c r="AW23" s="9">
        <v>0</v>
      </c>
      <c r="AX23" s="9">
        <v>0</v>
      </c>
      <c r="AY23" s="9">
        <v>0</v>
      </c>
      <c r="AZ23" s="9">
        <v>0</v>
      </c>
      <c r="BA23" s="9">
        <v>0</v>
      </c>
      <c r="BB23" s="9">
        <v>0</v>
      </c>
      <c r="BC23" s="9">
        <v>0</v>
      </c>
      <c r="BD23" s="9">
        <v>0</v>
      </c>
      <c r="BE23" s="9">
        <v>24056.52</v>
      </c>
      <c r="BF23" s="9">
        <v>0</v>
      </c>
      <c r="BG23" s="9">
        <v>0</v>
      </c>
      <c r="BH23" s="9">
        <v>0</v>
      </c>
      <c r="BI23" s="9">
        <v>0</v>
      </c>
      <c r="BJ23" s="9">
        <v>0</v>
      </c>
      <c r="BK23" s="9">
        <v>0</v>
      </c>
      <c r="BR23" s="10">
        <v>0</v>
      </c>
      <c r="BS23" s="10">
        <v>0</v>
      </c>
      <c r="BT23" s="10">
        <v>0</v>
      </c>
      <c r="BU23" s="10">
        <v>0</v>
      </c>
      <c r="BV23" s="10">
        <v>0</v>
      </c>
      <c r="BW23" s="10">
        <v>0</v>
      </c>
      <c r="BX23" s="10">
        <v>0</v>
      </c>
      <c r="BY23" s="10">
        <v>0</v>
      </c>
      <c r="BZ23" s="10">
        <v>0</v>
      </c>
      <c r="CA23" s="10">
        <v>0</v>
      </c>
      <c r="CB23" s="10">
        <v>0</v>
      </c>
      <c r="CC23" s="10">
        <v>1946.32</v>
      </c>
      <c r="CD23" s="10">
        <v>0</v>
      </c>
      <c r="CE23" s="10">
        <v>0</v>
      </c>
      <c r="CF23" s="10">
        <v>0</v>
      </c>
      <c r="CG23" s="10">
        <v>0</v>
      </c>
      <c r="CH23" s="10">
        <v>0</v>
      </c>
      <c r="CI23" s="10">
        <v>0</v>
      </c>
    </row>
    <row r="25" spans="1:87" x14ac:dyDescent="0.2">
      <c r="A25">
        <v>51</v>
      </c>
      <c r="E25" s="6">
        <f>SUMIF(A16:A24,3,E16:E24)</f>
        <v>1847.55</v>
      </c>
      <c r="F25" s="6">
        <f>SUMIF(A16:A24,3,F16:F24)</f>
        <v>305.61</v>
      </c>
      <c r="G25" s="6">
        <f>SUMIF(A16:A24,3,G16:G24)</f>
        <v>131.71</v>
      </c>
      <c r="H25" s="6">
        <f>SUMIF(A16:A24,3,H16:H24)</f>
        <v>28.25</v>
      </c>
      <c r="I25" s="6">
        <f>SUMIF(A16:A24,3,I16:I24)</f>
        <v>2313.12</v>
      </c>
      <c r="J25" s="6">
        <f>SUMIF(A16:A24,3,J16:J24)</f>
        <v>442.92000000000007</v>
      </c>
      <c r="K25" s="6"/>
      <c r="L25" s="6"/>
      <c r="M25" s="6"/>
      <c r="N25" s="6"/>
      <c r="O25" s="6"/>
      <c r="P25" s="6"/>
      <c r="Q25" s="6"/>
      <c r="R25" s="6"/>
      <c r="S25" s="6"/>
      <c r="T25" s="3">
        <f>SUMIF(A16:A24,3,T16:T24)</f>
        <v>88.27000000000001</v>
      </c>
      <c r="U25" s="3">
        <f>SUMIF(A16:A24,3,U16:U24)</f>
        <v>19.850000000000001</v>
      </c>
      <c r="V25" s="3">
        <f>SUMIF(A16:A24,3,V16:V24)</f>
        <v>2.3199999999999998</v>
      </c>
      <c r="W25" s="3">
        <f>SUMIF(A16:A24,3,W16:W24)</f>
        <v>2.4300000000000002</v>
      </c>
      <c r="X25" s="3">
        <f>SUMIF(A16:A24,3,X16:X24)</f>
        <v>112.87</v>
      </c>
      <c r="Y25" s="3">
        <f>SUMIF(A16:A24,3,Y16:Y24)</f>
        <v>15.260000000000002</v>
      </c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7" spans="1:87" x14ac:dyDescent="0.2">
      <c r="A27" s="5">
        <v>50</v>
      </c>
      <c r="B27" s="5">
        <v>0</v>
      </c>
      <c r="C27" s="5">
        <v>0</v>
      </c>
      <c r="D27" s="5">
        <v>1</v>
      </c>
      <c r="E27" s="5">
        <v>201</v>
      </c>
      <c r="F27" s="5">
        <v>1776263.52</v>
      </c>
      <c r="G27" s="5" t="s">
        <v>26</v>
      </c>
      <c r="H27" s="5" t="s">
        <v>27</v>
      </c>
      <c r="I27" s="5"/>
      <c r="J27" s="5"/>
      <c r="K27" s="5">
        <v>201</v>
      </c>
      <c r="L27" s="5">
        <v>1</v>
      </c>
      <c r="M27" s="5">
        <v>3</v>
      </c>
      <c r="N27" s="5" t="s">
        <v>3</v>
      </c>
      <c r="O27" s="5">
        <v>2</v>
      </c>
      <c r="P27" s="5">
        <v>88262.99</v>
      </c>
    </row>
    <row r="28" spans="1:87" x14ac:dyDescent="0.2">
      <c r="A28" s="5">
        <v>50</v>
      </c>
      <c r="B28" s="5">
        <v>0</v>
      </c>
      <c r="C28" s="5">
        <v>0</v>
      </c>
      <c r="D28" s="5">
        <v>1</v>
      </c>
      <c r="E28" s="5">
        <v>202</v>
      </c>
      <c r="F28" s="5">
        <v>1269656.77</v>
      </c>
      <c r="G28" s="5" t="s">
        <v>28</v>
      </c>
      <c r="H28" s="5" t="s">
        <v>29</v>
      </c>
      <c r="I28" s="5"/>
      <c r="J28" s="5"/>
      <c r="K28" s="5">
        <v>202</v>
      </c>
      <c r="L28" s="5">
        <v>2</v>
      </c>
      <c r="M28" s="5">
        <v>3</v>
      </c>
      <c r="N28" s="5" t="s">
        <v>3</v>
      </c>
      <c r="O28" s="5">
        <v>2</v>
      </c>
      <c r="P28" s="5">
        <v>66507.12</v>
      </c>
    </row>
    <row r="29" spans="1:87" x14ac:dyDescent="0.2">
      <c r="A29" s="5">
        <v>50</v>
      </c>
      <c r="B29" s="5">
        <v>0</v>
      </c>
      <c r="C29" s="5">
        <v>0</v>
      </c>
      <c r="D29" s="5">
        <v>1</v>
      </c>
      <c r="E29" s="5">
        <v>222</v>
      </c>
      <c r="F29" s="5">
        <v>0</v>
      </c>
      <c r="G29" s="5" t="s">
        <v>30</v>
      </c>
      <c r="H29" s="5" t="s">
        <v>31</v>
      </c>
      <c r="I29" s="5"/>
      <c r="J29" s="5"/>
      <c r="K29" s="5">
        <v>222</v>
      </c>
      <c r="L29" s="5">
        <v>3</v>
      </c>
      <c r="M29" s="5">
        <v>3</v>
      </c>
      <c r="N29" s="5" t="s">
        <v>3</v>
      </c>
      <c r="O29" s="5">
        <v>2</v>
      </c>
      <c r="P29" s="5">
        <v>0</v>
      </c>
    </row>
    <row r="30" spans="1:87" x14ac:dyDescent="0.2">
      <c r="A30" s="5">
        <v>50</v>
      </c>
      <c r="B30" s="5">
        <v>0</v>
      </c>
      <c r="C30" s="5">
        <v>0</v>
      </c>
      <c r="D30" s="5">
        <v>1</v>
      </c>
      <c r="E30" s="5">
        <v>225</v>
      </c>
      <c r="F30" s="5">
        <v>1269656.77</v>
      </c>
      <c r="G30" s="5" t="s">
        <v>32</v>
      </c>
      <c r="H30" s="5" t="s">
        <v>33</v>
      </c>
      <c r="I30" s="5"/>
      <c r="J30" s="5"/>
      <c r="K30" s="5">
        <v>225</v>
      </c>
      <c r="L30" s="5">
        <v>4</v>
      </c>
      <c r="M30" s="5">
        <v>3</v>
      </c>
      <c r="N30" s="5" t="s">
        <v>3</v>
      </c>
      <c r="O30" s="5">
        <v>2</v>
      </c>
      <c r="P30" s="5">
        <v>66507.12</v>
      </c>
    </row>
    <row r="31" spans="1:87" x14ac:dyDescent="0.2">
      <c r="A31" s="5">
        <v>50</v>
      </c>
      <c r="B31" s="5">
        <v>0</v>
      </c>
      <c r="C31" s="5">
        <v>0</v>
      </c>
      <c r="D31" s="5">
        <v>1</v>
      </c>
      <c r="E31" s="5">
        <v>226</v>
      </c>
      <c r="F31" s="5">
        <v>1137941.94</v>
      </c>
      <c r="G31" s="5" t="s">
        <v>34</v>
      </c>
      <c r="H31" s="5" t="s">
        <v>35</v>
      </c>
      <c r="I31" s="5"/>
      <c r="J31" s="5"/>
      <c r="K31" s="5">
        <v>226</v>
      </c>
      <c r="L31" s="5">
        <v>5</v>
      </c>
      <c r="M31" s="5">
        <v>3</v>
      </c>
      <c r="N31" s="5" t="s">
        <v>3</v>
      </c>
      <c r="O31" s="5">
        <v>2</v>
      </c>
      <c r="P31" s="5">
        <v>64181.46</v>
      </c>
    </row>
    <row r="32" spans="1:87" x14ac:dyDescent="0.2">
      <c r="A32" s="5">
        <v>50</v>
      </c>
      <c r="B32" s="5">
        <v>0</v>
      </c>
      <c r="C32" s="5">
        <v>0</v>
      </c>
      <c r="D32" s="5">
        <v>1</v>
      </c>
      <c r="E32" s="5">
        <v>227</v>
      </c>
      <c r="F32" s="5">
        <v>0</v>
      </c>
      <c r="G32" s="5" t="s">
        <v>36</v>
      </c>
      <c r="H32" s="5" t="s">
        <v>37</v>
      </c>
      <c r="I32" s="5"/>
      <c r="J32" s="5"/>
      <c r="K32" s="5">
        <v>227</v>
      </c>
      <c r="L32" s="5">
        <v>6</v>
      </c>
      <c r="M32" s="5">
        <v>3</v>
      </c>
      <c r="N32" s="5" t="s">
        <v>3</v>
      </c>
      <c r="O32" s="5">
        <v>2</v>
      </c>
      <c r="P32" s="5">
        <v>0</v>
      </c>
    </row>
    <row r="33" spans="1:16" x14ac:dyDescent="0.2">
      <c r="A33" s="5">
        <v>50</v>
      </c>
      <c r="B33" s="5">
        <v>0</v>
      </c>
      <c r="C33" s="5">
        <v>0</v>
      </c>
      <c r="D33" s="5">
        <v>1</v>
      </c>
      <c r="E33" s="5">
        <v>228</v>
      </c>
      <c r="F33" s="5">
        <v>1137941.94</v>
      </c>
      <c r="G33" s="5" t="s">
        <v>38</v>
      </c>
      <c r="H33" s="5" t="s">
        <v>39</v>
      </c>
      <c r="I33" s="5"/>
      <c r="J33" s="5"/>
      <c r="K33" s="5">
        <v>228</v>
      </c>
      <c r="L33" s="5">
        <v>7</v>
      </c>
      <c r="M33" s="5">
        <v>3</v>
      </c>
      <c r="N33" s="5" t="s">
        <v>3</v>
      </c>
      <c r="O33" s="5">
        <v>2</v>
      </c>
      <c r="P33" s="5">
        <v>64181.46</v>
      </c>
    </row>
    <row r="34" spans="1:16" x14ac:dyDescent="0.2">
      <c r="A34" s="5">
        <v>50</v>
      </c>
      <c r="B34" s="5">
        <v>0</v>
      </c>
      <c r="C34" s="5">
        <v>0</v>
      </c>
      <c r="D34" s="5">
        <v>1</v>
      </c>
      <c r="E34" s="5">
        <v>216</v>
      </c>
      <c r="F34" s="5">
        <v>131714.82999999999</v>
      </c>
      <c r="G34" s="5" t="s">
        <v>40</v>
      </c>
      <c r="H34" s="5" t="s">
        <v>41</v>
      </c>
      <c r="I34" s="5"/>
      <c r="J34" s="5"/>
      <c r="K34" s="5">
        <v>216</v>
      </c>
      <c r="L34" s="5">
        <v>8</v>
      </c>
      <c r="M34" s="5">
        <v>3</v>
      </c>
      <c r="N34" s="5" t="s">
        <v>3</v>
      </c>
      <c r="O34" s="5">
        <v>2</v>
      </c>
      <c r="P34" s="5">
        <v>2325.66</v>
      </c>
    </row>
    <row r="35" spans="1:16" x14ac:dyDescent="0.2">
      <c r="A35" s="5">
        <v>50</v>
      </c>
      <c r="B35" s="5">
        <v>0</v>
      </c>
      <c r="C35" s="5">
        <v>0</v>
      </c>
      <c r="D35" s="5">
        <v>1</v>
      </c>
      <c r="E35" s="5">
        <v>223</v>
      </c>
      <c r="F35" s="5">
        <v>0</v>
      </c>
      <c r="G35" s="5" t="s">
        <v>42</v>
      </c>
      <c r="H35" s="5" t="s">
        <v>43</v>
      </c>
      <c r="I35" s="5"/>
      <c r="J35" s="5"/>
      <c r="K35" s="5">
        <v>223</v>
      </c>
      <c r="L35" s="5">
        <v>9</v>
      </c>
      <c r="M35" s="5">
        <v>3</v>
      </c>
      <c r="N35" s="5" t="s">
        <v>3</v>
      </c>
      <c r="O35" s="5">
        <v>2</v>
      </c>
      <c r="P35" s="5">
        <v>0</v>
      </c>
    </row>
    <row r="36" spans="1:16" x14ac:dyDescent="0.2">
      <c r="A36" s="5">
        <v>50</v>
      </c>
      <c r="B36" s="5">
        <v>0</v>
      </c>
      <c r="C36" s="5">
        <v>0</v>
      </c>
      <c r="D36" s="5">
        <v>1</v>
      </c>
      <c r="E36" s="5">
        <v>229</v>
      </c>
      <c r="F36" s="5">
        <v>131714.82999999999</v>
      </c>
      <c r="G36" s="5" t="s">
        <v>44</v>
      </c>
      <c r="H36" s="5" t="s">
        <v>45</v>
      </c>
      <c r="I36" s="5"/>
      <c r="J36" s="5"/>
      <c r="K36" s="5">
        <v>229</v>
      </c>
      <c r="L36" s="5">
        <v>10</v>
      </c>
      <c r="M36" s="5">
        <v>3</v>
      </c>
      <c r="N36" s="5" t="s">
        <v>3</v>
      </c>
      <c r="O36" s="5">
        <v>2</v>
      </c>
      <c r="P36" s="5">
        <v>2325.66</v>
      </c>
    </row>
    <row r="37" spans="1:16" x14ac:dyDescent="0.2">
      <c r="A37" s="5">
        <v>50</v>
      </c>
      <c r="B37" s="5">
        <v>0</v>
      </c>
      <c r="C37" s="5">
        <v>0</v>
      </c>
      <c r="D37" s="5">
        <v>1</v>
      </c>
      <c r="E37" s="5">
        <v>203</v>
      </c>
      <c r="F37" s="5">
        <v>90228.54</v>
      </c>
      <c r="G37" s="5" t="s">
        <v>46</v>
      </c>
      <c r="H37" s="5" t="s">
        <v>47</v>
      </c>
      <c r="I37" s="5"/>
      <c r="J37" s="5"/>
      <c r="K37" s="5">
        <v>203</v>
      </c>
      <c r="L37" s="5">
        <v>11</v>
      </c>
      <c r="M37" s="5">
        <v>3</v>
      </c>
      <c r="N37" s="5" t="s">
        <v>3</v>
      </c>
      <c r="O37" s="5">
        <v>2</v>
      </c>
      <c r="P37" s="5">
        <v>7412.84</v>
      </c>
    </row>
    <row r="38" spans="1:16" x14ac:dyDescent="0.2">
      <c r="A38" s="5">
        <v>50</v>
      </c>
      <c r="B38" s="5">
        <v>0</v>
      </c>
      <c r="C38" s="5">
        <v>0</v>
      </c>
      <c r="D38" s="5">
        <v>1</v>
      </c>
      <c r="E38" s="5">
        <v>231</v>
      </c>
      <c r="F38" s="5">
        <v>0</v>
      </c>
      <c r="G38" s="5" t="s">
        <v>48</v>
      </c>
      <c r="H38" s="5" t="s">
        <v>49</v>
      </c>
      <c r="I38" s="5"/>
      <c r="J38" s="5"/>
      <c r="K38" s="5">
        <v>231</v>
      </c>
      <c r="L38" s="5">
        <v>12</v>
      </c>
      <c r="M38" s="5">
        <v>3</v>
      </c>
      <c r="N38" s="5" t="s">
        <v>3</v>
      </c>
      <c r="O38" s="5">
        <v>2</v>
      </c>
      <c r="P38" s="5">
        <v>0</v>
      </c>
    </row>
    <row r="39" spans="1:16" x14ac:dyDescent="0.2">
      <c r="A39" s="5">
        <v>50</v>
      </c>
      <c r="B39" s="5">
        <v>0</v>
      </c>
      <c r="C39" s="5">
        <v>0</v>
      </c>
      <c r="D39" s="5">
        <v>1</v>
      </c>
      <c r="E39" s="5">
        <v>204</v>
      </c>
      <c r="F39" s="5">
        <v>26535.46</v>
      </c>
      <c r="G39" s="5" t="s">
        <v>50</v>
      </c>
      <c r="H39" s="5" t="s">
        <v>51</v>
      </c>
      <c r="I39" s="5"/>
      <c r="J39" s="5"/>
      <c r="K39" s="5">
        <v>204</v>
      </c>
      <c r="L39" s="5">
        <v>13</v>
      </c>
      <c r="M39" s="5">
        <v>3</v>
      </c>
      <c r="N39" s="5" t="s">
        <v>3</v>
      </c>
      <c r="O39" s="5">
        <v>2</v>
      </c>
      <c r="P39" s="5">
        <v>914.07</v>
      </c>
    </row>
    <row r="40" spans="1:16" x14ac:dyDescent="0.2">
      <c r="A40" s="5">
        <v>50</v>
      </c>
      <c r="B40" s="5">
        <v>0</v>
      </c>
      <c r="C40" s="5">
        <v>0</v>
      </c>
      <c r="D40" s="5">
        <v>1</v>
      </c>
      <c r="E40" s="5">
        <v>205</v>
      </c>
      <c r="F40" s="5">
        <v>416378.21</v>
      </c>
      <c r="G40" s="5" t="s">
        <v>52</v>
      </c>
      <c r="H40" s="5" t="s">
        <v>53</v>
      </c>
      <c r="I40" s="5"/>
      <c r="J40" s="5"/>
      <c r="K40" s="5">
        <v>205</v>
      </c>
      <c r="L40" s="5">
        <v>14</v>
      </c>
      <c r="M40" s="5">
        <v>3</v>
      </c>
      <c r="N40" s="5" t="s">
        <v>3</v>
      </c>
      <c r="O40" s="5">
        <v>2</v>
      </c>
      <c r="P40" s="5">
        <v>14343.03</v>
      </c>
    </row>
    <row r="41" spans="1:16" x14ac:dyDescent="0.2">
      <c r="A41" s="5">
        <v>50</v>
      </c>
      <c r="B41" s="5">
        <v>0</v>
      </c>
      <c r="C41" s="5">
        <v>0</v>
      </c>
      <c r="D41" s="5">
        <v>1</v>
      </c>
      <c r="E41" s="5">
        <v>232</v>
      </c>
      <c r="F41" s="5">
        <v>0</v>
      </c>
      <c r="G41" s="5" t="s">
        <v>54</v>
      </c>
      <c r="H41" s="5" t="s">
        <v>55</v>
      </c>
      <c r="I41" s="5"/>
      <c r="J41" s="5"/>
      <c r="K41" s="5">
        <v>232</v>
      </c>
      <c r="L41" s="5">
        <v>15</v>
      </c>
      <c r="M41" s="5">
        <v>3</v>
      </c>
      <c r="N41" s="5" t="s">
        <v>3</v>
      </c>
      <c r="O41" s="5">
        <v>2</v>
      </c>
      <c r="P41" s="5">
        <v>0</v>
      </c>
    </row>
    <row r="42" spans="1:16" x14ac:dyDescent="0.2">
      <c r="A42" s="5">
        <v>50</v>
      </c>
      <c r="B42" s="5">
        <v>0</v>
      </c>
      <c r="C42" s="5">
        <v>0</v>
      </c>
      <c r="D42" s="5">
        <v>1</v>
      </c>
      <c r="E42" s="5">
        <v>214</v>
      </c>
      <c r="F42" s="5">
        <v>1847552.61</v>
      </c>
      <c r="G42" s="5" t="s">
        <v>56</v>
      </c>
      <c r="H42" s="5" t="s">
        <v>57</v>
      </c>
      <c r="I42" s="5"/>
      <c r="J42" s="5"/>
      <c r="K42" s="5">
        <v>214</v>
      </c>
      <c r="L42" s="5">
        <v>16</v>
      </c>
      <c r="M42" s="5">
        <v>3</v>
      </c>
      <c r="N42" s="5" t="s">
        <v>3</v>
      </c>
      <c r="O42" s="5">
        <v>2</v>
      </c>
      <c r="P42" s="5">
        <v>88274.44</v>
      </c>
    </row>
    <row r="43" spans="1:16" x14ac:dyDescent="0.2">
      <c r="A43" s="5">
        <v>50</v>
      </c>
      <c r="B43" s="5">
        <v>0</v>
      </c>
      <c r="C43" s="5">
        <v>0</v>
      </c>
      <c r="D43" s="5">
        <v>1</v>
      </c>
      <c r="E43" s="5">
        <v>215</v>
      </c>
      <c r="F43" s="5">
        <v>305609.06</v>
      </c>
      <c r="G43" s="5" t="s">
        <v>58</v>
      </c>
      <c r="H43" s="5" t="s">
        <v>59</v>
      </c>
      <c r="I43" s="5"/>
      <c r="J43" s="5"/>
      <c r="K43" s="5">
        <v>215</v>
      </c>
      <c r="L43" s="5">
        <v>17</v>
      </c>
      <c r="M43" s="5">
        <v>3</v>
      </c>
      <c r="N43" s="5" t="s">
        <v>3</v>
      </c>
      <c r="O43" s="5">
        <v>2</v>
      </c>
      <c r="P43" s="5">
        <v>19841.22</v>
      </c>
    </row>
    <row r="44" spans="1:16" x14ac:dyDescent="0.2">
      <c r="A44" s="5">
        <v>50</v>
      </c>
      <c r="B44" s="5">
        <v>0</v>
      </c>
      <c r="C44" s="5">
        <v>0</v>
      </c>
      <c r="D44" s="5">
        <v>1</v>
      </c>
      <c r="E44" s="5">
        <v>217</v>
      </c>
      <c r="F44" s="5">
        <v>28248.15</v>
      </c>
      <c r="G44" s="5" t="s">
        <v>60</v>
      </c>
      <c r="H44" s="5" t="s">
        <v>61</v>
      </c>
      <c r="I44" s="5"/>
      <c r="J44" s="5"/>
      <c r="K44" s="5">
        <v>217</v>
      </c>
      <c r="L44" s="5">
        <v>18</v>
      </c>
      <c r="M44" s="5">
        <v>3</v>
      </c>
      <c r="N44" s="5" t="s">
        <v>3</v>
      </c>
      <c r="O44" s="5">
        <v>2</v>
      </c>
      <c r="P44" s="5">
        <v>2429.89</v>
      </c>
    </row>
    <row r="45" spans="1:16" x14ac:dyDescent="0.2">
      <c r="A45" s="5">
        <v>50</v>
      </c>
      <c r="B45" s="5">
        <v>0</v>
      </c>
      <c r="C45" s="5">
        <v>0</v>
      </c>
      <c r="D45" s="5">
        <v>1</v>
      </c>
      <c r="E45" s="5">
        <v>230</v>
      </c>
      <c r="F45" s="5">
        <v>0</v>
      </c>
      <c r="G45" s="5" t="s">
        <v>62</v>
      </c>
      <c r="H45" s="5" t="s">
        <v>63</v>
      </c>
      <c r="I45" s="5"/>
      <c r="J45" s="5"/>
      <c r="K45" s="5">
        <v>230</v>
      </c>
      <c r="L45" s="5">
        <v>19</v>
      </c>
      <c r="M45" s="5">
        <v>3</v>
      </c>
      <c r="N45" s="5" t="s">
        <v>3</v>
      </c>
      <c r="O45" s="5">
        <v>2</v>
      </c>
      <c r="P45" s="5">
        <v>0</v>
      </c>
    </row>
    <row r="46" spans="1:16" x14ac:dyDescent="0.2">
      <c r="A46" s="5">
        <v>50</v>
      </c>
      <c r="B46" s="5">
        <v>0</v>
      </c>
      <c r="C46" s="5">
        <v>0</v>
      </c>
      <c r="D46" s="5">
        <v>1</v>
      </c>
      <c r="E46" s="5">
        <v>206</v>
      </c>
      <c r="F46" s="5">
        <v>24056.52</v>
      </c>
      <c r="G46" s="5" t="s">
        <v>64</v>
      </c>
      <c r="H46" s="5" t="s">
        <v>65</v>
      </c>
      <c r="I46" s="5"/>
      <c r="J46" s="5"/>
      <c r="K46" s="5">
        <v>206</v>
      </c>
      <c r="L46" s="5">
        <v>20</v>
      </c>
      <c r="M46" s="5">
        <v>3</v>
      </c>
      <c r="N46" s="5" t="s">
        <v>3</v>
      </c>
      <c r="O46" s="5">
        <v>2</v>
      </c>
      <c r="P46" s="5">
        <v>1946.32</v>
      </c>
    </row>
    <row r="47" spans="1:16" x14ac:dyDescent="0.2">
      <c r="A47" s="5">
        <v>50</v>
      </c>
      <c r="B47" s="5">
        <v>0</v>
      </c>
      <c r="C47" s="5">
        <v>0</v>
      </c>
      <c r="D47" s="5">
        <v>1</v>
      </c>
      <c r="E47" s="5">
        <v>207</v>
      </c>
      <c r="F47" s="5">
        <v>1169.1732297499998</v>
      </c>
      <c r="G47" s="5" t="s">
        <v>66</v>
      </c>
      <c r="H47" s="5" t="s">
        <v>67</v>
      </c>
      <c r="I47" s="5"/>
      <c r="J47" s="5"/>
      <c r="K47" s="5">
        <v>207</v>
      </c>
      <c r="L47" s="5">
        <v>21</v>
      </c>
      <c r="M47" s="5">
        <v>3</v>
      </c>
      <c r="N47" s="5" t="s">
        <v>3</v>
      </c>
      <c r="O47" s="5">
        <v>-1</v>
      </c>
      <c r="P47" s="5">
        <v>1169.1732297499998</v>
      </c>
    </row>
    <row r="48" spans="1:16" x14ac:dyDescent="0.2">
      <c r="A48" s="5">
        <v>50</v>
      </c>
      <c r="B48" s="5">
        <v>0</v>
      </c>
      <c r="C48" s="5">
        <v>0</v>
      </c>
      <c r="D48" s="5">
        <v>1</v>
      </c>
      <c r="E48" s="5">
        <v>208</v>
      </c>
      <c r="F48" s="5">
        <v>0</v>
      </c>
      <c r="G48" s="5" t="s">
        <v>68</v>
      </c>
      <c r="H48" s="5" t="s">
        <v>69</v>
      </c>
      <c r="I48" s="5"/>
      <c r="J48" s="5"/>
      <c r="K48" s="5">
        <v>208</v>
      </c>
      <c r="L48" s="5">
        <v>22</v>
      </c>
      <c r="M48" s="5">
        <v>3</v>
      </c>
      <c r="N48" s="5" t="s">
        <v>3</v>
      </c>
      <c r="O48" s="5">
        <v>-1</v>
      </c>
      <c r="P48" s="5">
        <v>0</v>
      </c>
    </row>
    <row r="49" spans="1:40" x14ac:dyDescent="0.2">
      <c r="A49" s="5">
        <v>50</v>
      </c>
      <c r="B49" s="5">
        <v>0</v>
      </c>
      <c r="C49" s="5">
        <v>0</v>
      </c>
      <c r="D49" s="5">
        <v>1</v>
      </c>
      <c r="E49" s="5">
        <v>209</v>
      </c>
      <c r="F49" s="5">
        <v>0</v>
      </c>
      <c r="G49" s="5" t="s">
        <v>70</v>
      </c>
      <c r="H49" s="5" t="s">
        <v>71</v>
      </c>
      <c r="I49" s="5"/>
      <c r="J49" s="5"/>
      <c r="K49" s="5">
        <v>209</v>
      </c>
      <c r="L49" s="5">
        <v>23</v>
      </c>
      <c r="M49" s="5">
        <v>3</v>
      </c>
      <c r="N49" s="5" t="s">
        <v>3</v>
      </c>
      <c r="O49" s="5">
        <v>2</v>
      </c>
      <c r="P49" s="5">
        <v>0</v>
      </c>
    </row>
    <row r="50" spans="1:40" x14ac:dyDescent="0.2">
      <c r="A50" s="5">
        <v>50</v>
      </c>
      <c r="B50" s="5">
        <v>0</v>
      </c>
      <c r="C50" s="5">
        <v>0</v>
      </c>
      <c r="D50" s="5">
        <v>1</v>
      </c>
      <c r="E50" s="5">
        <v>233</v>
      </c>
      <c r="F50" s="5">
        <v>0</v>
      </c>
      <c r="G50" s="5" t="s">
        <v>72</v>
      </c>
      <c r="H50" s="5" t="s">
        <v>73</v>
      </c>
      <c r="I50" s="5"/>
      <c r="J50" s="5"/>
      <c r="K50" s="5">
        <v>233</v>
      </c>
      <c r="L50" s="5">
        <v>24</v>
      </c>
      <c r="M50" s="5">
        <v>3</v>
      </c>
      <c r="N50" s="5" t="s">
        <v>3</v>
      </c>
      <c r="O50" s="5">
        <v>2</v>
      </c>
      <c r="P50" s="5">
        <v>0</v>
      </c>
    </row>
    <row r="51" spans="1:40" x14ac:dyDescent="0.2">
      <c r="A51" s="5">
        <v>50</v>
      </c>
      <c r="B51" s="5">
        <v>0</v>
      </c>
      <c r="C51" s="5">
        <v>0</v>
      </c>
      <c r="D51" s="5">
        <v>1</v>
      </c>
      <c r="E51" s="5">
        <v>210</v>
      </c>
      <c r="F51" s="5">
        <v>323689.34999999998</v>
      </c>
      <c r="G51" s="5" t="s">
        <v>74</v>
      </c>
      <c r="H51" s="5" t="s">
        <v>75</v>
      </c>
      <c r="I51" s="5"/>
      <c r="J51" s="5"/>
      <c r="K51" s="5">
        <v>210</v>
      </c>
      <c r="L51" s="5">
        <v>25</v>
      </c>
      <c r="M51" s="5">
        <v>3</v>
      </c>
      <c r="N51" s="5" t="s">
        <v>3</v>
      </c>
      <c r="O51" s="5">
        <v>2</v>
      </c>
      <c r="P51" s="5">
        <v>13648.32</v>
      </c>
    </row>
    <row r="52" spans="1:40" x14ac:dyDescent="0.2">
      <c r="A52" s="5">
        <v>50</v>
      </c>
      <c r="B52" s="5">
        <v>0</v>
      </c>
      <c r="C52" s="5">
        <v>0</v>
      </c>
      <c r="D52" s="5">
        <v>1</v>
      </c>
      <c r="E52" s="5">
        <v>211</v>
      </c>
      <c r="F52" s="5">
        <v>170715.07</v>
      </c>
      <c r="G52" s="5" t="s">
        <v>76</v>
      </c>
      <c r="H52" s="5" t="s">
        <v>77</v>
      </c>
      <c r="I52" s="5"/>
      <c r="J52" s="5"/>
      <c r="K52" s="5">
        <v>211</v>
      </c>
      <c r="L52" s="5">
        <v>26</v>
      </c>
      <c r="M52" s="5">
        <v>3</v>
      </c>
      <c r="N52" s="5" t="s">
        <v>3</v>
      </c>
      <c r="O52" s="5">
        <v>2</v>
      </c>
      <c r="P52" s="5">
        <v>9360.19</v>
      </c>
    </row>
    <row r="53" spans="1:40" x14ac:dyDescent="0.2">
      <c r="A53" s="5">
        <v>50</v>
      </c>
      <c r="B53" s="5">
        <v>0</v>
      </c>
      <c r="C53" s="5">
        <v>0</v>
      </c>
      <c r="D53" s="5">
        <v>1</v>
      </c>
      <c r="E53" s="5">
        <v>224</v>
      </c>
      <c r="F53" s="5">
        <v>2313124.65</v>
      </c>
      <c r="G53" s="5" t="s">
        <v>78</v>
      </c>
      <c r="H53" s="5" t="s">
        <v>79</v>
      </c>
      <c r="I53" s="5"/>
      <c r="J53" s="5"/>
      <c r="K53" s="5">
        <v>224</v>
      </c>
      <c r="L53" s="5">
        <v>27</v>
      </c>
      <c r="M53" s="5">
        <v>3</v>
      </c>
      <c r="N53" s="5" t="s">
        <v>3</v>
      </c>
      <c r="O53" s="5">
        <v>2</v>
      </c>
      <c r="P53" s="5">
        <v>112871.21</v>
      </c>
    </row>
    <row r="55" spans="1:40" x14ac:dyDescent="0.2">
      <c r="A55">
        <v>-1</v>
      </c>
    </row>
    <row r="58" spans="1:40" x14ac:dyDescent="0.2">
      <c r="A58" s="4">
        <v>75</v>
      </c>
      <c r="B58" s="4" t="s">
        <v>1089</v>
      </c>
      <c r="C58" s="4">
        <v>2023</v>
      </c>
      <c r="D58" s="4">
        <v>0</v>
      </c>
      <c r="E58" s="4">
        <v>6</v>
      </c>
      <c r="F58" s="4"/>
      <c r="G58" s="4">
        <v>0</v>
      </c>
      <c r="H58" s="4">
        <v>2</v>
      </c>
      <c r="I58" s="4">
        <v>1</v>
      </c>
      <c r="J58" s="4">
        <v>1</v>
      </c>
      <c r="K58" s="4">
        <v>95</v>
      </c>
      <c r="L58" s="4">
        <v>65</v>
      </c>
      <c r="M58" s="4">
        <v>1</v>
      </c>
      <c r="N58" s="4">
        <v>129761633</v>
      </c>
      <c r="O58" s="4">
        <v>1</v>
      </c>
    </row>
    <row r="59" spans="1:40" x14ac:dyDescent="0.2">
      <c r="A59" s="7">
        <v>1</v>
      </c>
      <c r="B59" s="7" t="s">
        <v>1090</v>
      </c>
      <c r="C59" s="7" t="s">
        <v>1091</v>
      </c>
      <c r="D59" s="7">
        <v>2023</v>
      </c>
      <c r="E59" s="7">
        <v>6</v>
      </c>
      <c r="F59" s="7">
        <v>1</v>
      </c>
      <c r="G59" s="7">
        <v>1</v>
      </c>
      <c r="H59" s="7">
        <v>0</v>
      </c>
      <c r="I59" s="7">
        <v>2</v>
      </c>
      <c r="J59" s="7">
        <v>1</v>
      </c>
      <c r="K59" s="7">
        <v>8.65</v>
      </c>
      <c r="L59" s="7">
        <v>6.4</v>
      </c>
      <c r="M59" s="7">
        <v>1</v>
      </c>
      <c r="N59" s="7">
        <v>1</v>
      </c>
      <c r="O59" s="7">
        <v>8.65</v>
      </c>
      <c r="P59" s="7">
        <v>6.4</v>
      </c>
      <c r="Q59" s="7">
        <v>1</v>
      </c>
      <c r="R59" s="7" t="s">
        <v>3</v>
      </c>
      <c r="S59" s="7" t="s">
        <v>3</v>
      </c>
      <c r="T59" s="7" t="s">
        <v>3</v>
      </c>
      <c r="U59" s="7" t="s">
        <v>3</v>
      </c>
      <c r="V59" s="7" t="s">
        <v>3</v>
      </c>
      <c r="W59" s="7" t="s">
        <v>3</v>
      </c>
      <c r="X59" s="7" t="s">
        <v>3</v>
      </c>
      <c r="Y59" s="7" t="s">
        <v>3</v>
      </c>
      <c r="Z59" s="7" t="s">
        <v>3</v>
      </c>
      <c r="AA59" s="7" t="s">
        <v>1092</v>
      </c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>
        <v>129761634</v>
      </c>
    </row>
    <row r="60" spans="1:40" x14ac:dyDescent="0.2">
      <c r="A60" s="7">
        <v>1</v>
      </c>
      <c r="B60" s="7" t="s">
        <v>1090</v>
      </c>
      <c r="C60" s="7" t="s">
        <v>1093</v>
      </c>
      <c r="D60" s="7">
        <v>2023</v>
      </c>
      <c r="E60" s="7">
        <v>6</v>
      </c>
      <c r="F60" s="7">
        <v>1</v>
      </c>
      <c r="G60" s="7">
        <v>1</v>
      </c>
      <c r="H60" s="7">
        <v>0</v>
      </c>
      <c r="I60" s="7">
        <v>2</v>
      </c>
      <c r="J60" s="7">
        <v>1</v>
      </c>
      <c r="K60" s="7">
        <v>1</v>
      </c>
      <c r="L60" s="7">
        <v>1</v>
      </c>
      <c r="M60" s="7">
        <v>1</v>
      </c>
      <c r="N60" s="7">
        <v>1</v>
      </c>
      <c r="O60" s="7">
        <v>1</v>
      </c>
      <c r="P60" s="7">
        <v>1</v>
      </c>
      <c r="Q60" s="7">
        <v>1</v>
      </c>
      <c r="R60" s="7" t="s">
        <v>3</v>
      </c>
      <c r="S60" s="7" t="s">
        <v>3</v>
      </c>
      <c r="T60" s="7" t="s">
        <v>3</v>
      </c>
      <c r="U60" s="7" t="s">
        <v>3</v>
      </c>
      <c r="V60" s="7" t="s">
        <v>3</v>
      </c>
      <c r="W60" s="7" t="s">
        <v>3</v>
      </c>
      <c r="X60" s="7" t="s">
        <v>3</v>
      </c>
      <c r="Y60" s="7" t="s">
        <v>3</v>
      </c>
      <c r="Z60" s="7" t="s">
        <v>3</v>
      </c>
      <c r="AA60" s="7" t="s">
        <v>3</v>
      </c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>
        <v>129761635</v>
      </c>
    </row>
    <row r="61" spans="1:40" x14ac:dyDescent="0.2">
      <c r="A61" s="4">
        <v>75</v>
      </c>
      <c r="B61" s="4" t="s">
        <v>1094</v>
      </c>
      <c r="C61" s="4">
        <v>2000</v>
      </c>
      <c r="D61" s="4">
        <v>0</v>
      </c>
      <c r="E61" s="4">
        <v>1</v>
      </c>
      <c r="F61" s="4"/>
      <c r="G61" s="4">
        <v>0</v>
      </c>
      <c r="H61" s="4">
        <v>1</v>
      </c>
      <c r="I61" s="4">
        <v>0</v>
      </c>
      <c r="J61" s="4">
        <v>1</v>
      </c>
      <c r="K61" s="4">
        <v>98</v>
      </c>
      <c r="L61" s="4">
        <v>77</v>
      </c>
      <c r="M61" s="4">
        <v>0</v>
      </c>
      <c r="N61" s="4">
        <v>129761636</v>
      </c>
      <c r="O61" s="4">
        <v>2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K1112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15" x14ac:dyDescent="0.2">
      <c r="A1">
        <f>ROW(Source!A28)</f>
        <v>28</v>
      </c>
      <c r="B1">
        <v>129761636</v>
      </c>
      <c r="C1">
        <v>129763163</v>
      </c>
      <c r="D1">
        <v>37345142</v>
      </c>
      <c r="E1">
        <v>37345137</v>
      </c>
      <c r="F1">
        <v>1</v>
      </c>
      <c r="G1">
        <v>37345137</v>
      </c>
      <c r="H1">
        <v>1</v>
      </c>
      <c r="I1" t="s">
        <v>1096</v>
      </c>
      <c r="J1" t="s">
        <v>3</v>
      </c>
      <c r="K1" t="s">
        <v>1097</v>
      </c>
      <c r="L1">
        <v>1191</v>
      </c>
      <c r="N1">
        <v>1013</v>
      </c>
      <c r="O1" t="s">
        <v>1098</v>
      </c>
      <c r="P1" t="s">
        <v>1098</v>
      </c>
      <c r="Q1">
        <v>1</v>
      </c>
      <c r="W1">
        <v>0</v>
      </c>
      <c r="X1">
        <v>476480486</v>
      </c>
      <c r="Y1">
        <f>AT1</f>
        <v>192.7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3</v>
      </c>
      <c r="AT1">
        <v>192.7</v>
      </c>
      <c r="AU1" t="s">
        <v>3</v>
      </c>
      <c r="AV1">
        <v>1</v>
      </c>
      <c r="AW1">
        <v>2</v>
      </c>
      <c r="AX1">
        <v>129763165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ROUND(Y1*Source!I28,9)</f>
        <v>5.0102000000000002</v>
      </c>
      <c r="CY1">
        <f>AD1</f>
        <v>0</v>
      </c>
      <c r="CZ1">
        <f>AH1</f>
        <v>0</v>
      </c>
      <c r="DA1">
        <f>AL1</f>
        <v>1</v>
      </c>
      <c r="DB1">
        <f>ROUND(ROUND(AT1*CZ1,2),6)</f>
        <v>0</v>
      </c>
      <c r="DC1">
        <f>ROUND(ROUND(AT1*AG1,2),6)</f>
        <v>0</v>
      </c>
      <c r="DD1" t="s">
        <v>3</v>
      </c>
      <c r="DE1" t="s">
        <v>3</v>
      </c>
      <c r="DF1">
        <f t="shared" ref="DF1:DF16" si="0">ROUND(AE1*CX1,2)</f>
        <v>0</v>
      </c>
      <c r="DG1">
        <f t="shared" ref="DG1:DG11" si="1">ROUND(AF1*CX1,2)</f>
        <v>0</v>
      </c>
      <c r="DH1">
        <f t="shared" ref="DH1:DH11" si="2">ROUND(AG1*CX1,2)</f>
        <v>0</v>
      </c>
      <c r="DI1">
        <f t="shared" ref="DI1:DI64" si="3">ROUND(AH1*CX1,2)</f>
        <v>0</v>
      </c>
      <c r="DJ1">
        <f>DI1</f>
        <v>0</v>
      </c>
      <c r="DK1">
        <v>0</v>
      </c>
    </row>
    <row r="2" spans="1:115" x14ac:dyDescent="0.2">
      <c r="A2">
        <f>ROW(Source!A29)</f>
        <v>29</v>
      </c>
      <c r="B2">
        <v>129761633</v>
      </c>
      <c r="C2">
        <v>129763163</v>
      </c>
      <c r="D2">
        <v>37345142</v>
      </c>
      <c r="E2">
        <v>37345137</v>
      </c>
      <c r="F2">
        <v>1</v>
      </c>
      <c r="G2">
        <v>37345137</v>
      </c>
      <c r="H2">
        <v>1</v>
      </c>
      <c r="I2" t="s">
        <v>1096</v>
      </c>
      <c r="J2" t="s">
        <v>3</v>
      </c>
      <c r="K2" t="s">
        <v>1097</v>
      </c>
      <c r="L2">
        <v>1191</v>
      </c>
      <c r="N2">
        <v>1013</v>
      </c>
      <c r="O2" t="s">
        <v>1098</v>
      </c>
      <c r="P2" t="s">
        <v>1098</v>
      </c>
      <c r="Q2">
        <v>1</v>
      </c>
      <c r="W2">
        <v>0</v>
      </c>
      <c r="X2">
        <v>476480486</v>
      </c>
      <c r="Y2">
        <f>AT2</f>
        <v>192.7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1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3</v>
      </c>
      <c r="AT2">
        <v>192.7</v>
      </c>
      <c r="AU2" t="s">
        <v>3</v>
      </c>
      <c r="AV2">
        <v>1</v>
      </c>
      <c r="AW2">
        <v>2</v>
      </c>
      <c r="AX2">
        <v>129763165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ROUND(Y2*Source!I29,9)</f>
        <v>5.0102000000000002</v>
      </c>
      <c r="CY2">
        <f>AD2</f>
        <v>0</v>
      </c>
      <c r="CZ2">
        <f>AH2</f>
        <v>0</v>
      </c>
      <c r="DA2">
        <f>AL2</f>
        <v>1</v>
      </c>
      <c r="DB2">
        <f>ROUND(ROUND(AT2*CZ2,2),6)</f>
        <v>0</v>
      </c>
      <c r="DC2">
        <f>ROUND(ROUND(AT2*AG2,2),6)</f>
        <v>0</v>
      </c>
      <c r="DD2" t="s">
        <v>3</v>
      </c>
      <c r="DE2" t="s">
        <v>3</v>
      </c>
      <c r="DF2">
        <f t="shared" si="0"/>
        <v>0</v>
      </c>
      <c r="DG2">
        <f t="shared" si="1"/>
        <v>0</v>
      </c>
      <c r="DH2">
        <f t="shared" si="2"/>
        <v>0</v>
      </c>
      <c r="DI2">
        <f t="shared" si="3"/>
        <v>0</v>
      </c>
      <c r="DJ2">
        <f>DI2</f>
        <v>0</v>
      </c>
      <c r="DK2">
        <v>0</v>
      </c>
    </row>
    <row r="3" spans="1:115" x14ac:dyDescent="0.2">
      <c r="A3">
        <f>ROW(Source!A65)</f>
        <v>65</v>
      </c>
      <c r="B3">
        <v>129761636</v>
      </c>
      <c r="C3">
        <v>129763166</v>
      </c>
      <c r="D3">
        <v>37345142</v>
      </c>
      <c r="E3">
        <v>37345137</v>
      </c>
      <c r="F3">
        <v>1</v>
      </c>
      <c r="G3">
        <v>37345137</v>
      </c>
      <c r="H3">
        <v>1</v>
      </c>
      <c r="I3" t="s">
        <v>1096</v>
      </c>
      <c r="J3" t="s">
        <v>3</v>
      </c>
      <c r="K3" t="s">
        <v>1097</v>
      </c>
      <c r="L3">
        <v>1191</v>
      </c>
      <c r="N3">
        <v>1013</v>
      </c>
      <c r="O3" t="s">
        <v>1098</v>
      </c>
      <c r="P3" t="s">
        <v>1098</v>
      </c>
      <c r="Q3">
        <v>1</v>
      </c>
      <c r="W3">
        <v>0</v>
      </c>
      <c r="X3">
        <v>476480486</v>
      </c>
      <c r="Y3">
        <f>(AT3*1.15)</f>
        <v>16.559999999999999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1</v>
      </c>
      <c r="AQ3">
        <v>0</v>
      </c>
      <c r="AR3">
        <v>0</v>
      </c>
      <c r="AS3" t="s">
        <v>3</v>
      </c>
      <c r="AT3">
        <v>14.4</v>
      </c>
      <c r="AU3" t="s">
        <v>87</v>
      </c>
      <c r="AV3">
        <v>1</v>
      </c>
      <c r="AW3">
        <v>2</v>
      </c>
      <c r="AX3">
        <v>129763175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ROUND(Y3*Source!I65,9)</f>
        <v>0.43718400000000002</v>
      </c>
      <c r="CY3">
        <f>AD3</f>
        <v>0</v>
      </c>
      <c r="CZ3">
        <f>AH3</f>
        <v>0</v>
      </c>
      <c r="DA3">
        <f>AL3</f>
        <v>1</v>
      </c>
      <c r="DB3">
        <f>ROUND((ROUND(AT3*CZ3,2)*1.15),6)</f>
        <v>0</v>
      </c>
      <c r="DC3">
        <f>ROUND((ROUND(AT3*AG3,2)*1.15),6)</f>
        <v>0</v>
      </c>
      <c r="DD3" t="s">
        <v>3</v>
      </c>
      <c r="DE3" t="s">
        <v>3</v>
      </c>
      <c r="DF3">
        <f t="shared" si="0"/>
        <v>0</v>
      </c>
      <c r="DG3">
        <f t="shared" si="1"/>
        <v>0</v>
      </c>
      <c r="DH3">
        <f t="shared" si="2"/>
        <v>0</v>
      </c>
      <c r="DI3">
        <f t="shared" si="3"/>
        <v>0</v>
      </c>
      <c r="DJ3">
        <f>DI3</f>
        <v>0</v>
      </c>
      <c r="DK3">
        <v>0</v>
      </c>
    </row>
    <row r="4" spans="1:115" x14ac:dyDescent="0.2">
      <c r="A4">
        <f>ROW(Source!A65)</f>
        <v>65</v>
      </c>
      <c r="B4">
        <v>129761636</v>
      </c>
      <c r="C4">
        <v>129763166</v>
      </c>
      <c r="D4">
        <v>37417645</v>
      </c>
      <c r="E4">
        <v>1</v>
      </c>
      <c r="F4">
        <v>1</v>
      </c>
      <c r="G4">
        <v>37345137</v>
      </c>
      <c r="H4">
        <v>2</v>
      </c>
      <c r="I4" t="s">
        <v>1099</v>
      </c>
      <c r="J4" t="s">
        <v>1100</v>
      </c>
      <c r="K4" t="s">
        <v>1101</v>
      </c>
      <c r="L4">
        <v>1367</v>
      </c>
      <c r="N4">
        <v>1011</v>
      </c>
      <c r="O4" t="s">
        <v>1102</v>
      </c>
      <c r="P4" t="s">
        <v>1102</v>
      </c>
      <c r="Q4">
        <v>1</v>
      </c>
      <c r="W4">
        <v>0</v>
      </c>
      <c r="X4">
        <v>1928543733</v>
      </c>
      <c r="Y4">
        <f>(AT4*1.25)</f>
        <v>2.0749999999999997</v>
      </c>
      <c r="AA4">
        <v>0</v>
      </c>
      <c r="AB4">
        <v>116.89</v>
      </c>
      <c r="AC4">
        <v>23.41</v>
      </c>
      <c r="AD4">
        <v>0</v>
      </c>
      <c r="AE4">
        <v>0</v>
      </c>
      <c r="AF4">
        <v>116.89</v>
      </c>
      <c r="AG4">
        <v>23.41</v>
      </c>
      <c r="AH4">
        <v>0</v>
      </c>
      <c r="AI4">
        <v>1</v>
      </c>
      <c r="AJ4">
        <v>1</v>
      </c>
      <c r="AK4">
        <v>1</v>
      </c>
      <c r="AL4">
        <v>1</v>
      </c>
      <c r="AN4">
        <v>0</v>
      </c>
      <c r="AO4">
        <v>1</v>
      </c>
      <c r="AP4">
        <v>1</v>
      </c>
      <c r="AQ4">
        <v>0</v>
      </c>
      <c r="AR4">
        <v>0</v>
      </c>
      <c r="AS4" t="s">
        <v>3</v>
      </c>
      <c r="AT4">
        <v>1.66</v>
      </c>
      <c r="AU4" t="s">
        <v>86</v>
      </c>
      <c r="AV4">
        <v>0</v>
      </c>
      <c r="AW4">
        <v>2</v>
      </c>
      <c r="AX4">
        <v>129763176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ROUND(Y4*Source!I65,9)</f>
        <v>5.4780000000000002E-2</v>
      </c>
      <c r="CY4">
        <f>AB4</f>
        <v>116.89</v>
      </c>
      <c r="CZ4">
        <f>AF4</f>
        <v>116.89</v>
      </c>
      <c r="DA4">
        <f>AJ4</f>
        <v>1</v>
      </c>
      <c r="DB4">
        <f>ROUND((ROUND(AT4*CZ4,2)*1.25),6)</f>
        <v>242.55</v>
      </c>
      <c r="DC4">
        <f>ROUND((ROUND(AT4*AG4,2)*1.25),6)</f>
        <v>48.575000000000003</v>
      </c>
      <c r="DD4" t="s">
        <v>3</v>
      </c>
      <c r="DE4" t="s">
        <v>3</v>
      </c>
      <c r="DF4">
        <f t="shared" si="0"/>
        <v>0</v>
      </c>
      <c r="DG4">
        <f t="shared" si="1"/>
        <v>6.4</v>
      </c>
      <c r="DH4">
        <f t="shared" si="2"/>
        <v>1.28</v>
      </c>
      <c r="DI4">
        <f t="shared" si="3"/>
        <v>0</v>
      </c>
      <c r="DJ4">
        <f>DG4</f>
        <v>6.4</v>
      </c>
      <c r="DK4">
        <v>0</v>
      </c>
    </row>
    <row r="5" spans="1:115" x14ac:dyDescent="0.2">
      <c r="A5">
        <f>ROW(Source!A65)</f>
        <v>65</v>
      </c>
      <c r="B5">
        <v>129761636</v>
      </c>
      <c r="C5">
        <v>129763166</v>
      </c>
      <c r="D5">
        <v>37417868</v>
      </c>
      <c r="E5">
        <v>1</v>
      </c>
      <c r="F5">
        <v>1</v>
      </c>
      <c r="G5">
        <v>37345137</v>
      </c>
      <c r="H5">
        <v>2</v>
      </c>
      <c r="I5" t="s">
        <v>1103</v>
      </c>
      <c r="J5" t="s">
        <v>1104</v>
      </c>
      <c r="K5" t="s">
        <v>1105</v>
      </c>
      <c r="L5">
        <v>1367</v>
      </c>
      <c r="N5">
        <v>1011</v>
      </c>
      <c r="O5" t="s">
        <v>1102</v>
      </c>
      <c r="P5" t="s">
        <v>1102</v>
      </c>
      <c r="Q5">
        <v>1</v>
      </c>
      <c r="W5">
        <v>0</v>
      </c>
      <c r="X5">
        <v>142191915</v>
      </c>
      <c r="Y5">
        <f>(AT5*1.25)</f>
        <v>2.0749999999999997</v>
      </c>
      <c r="AA5">
        <v>0</v>
      </c>
      <c r="AB5">
        <v>62.97</v>
      </c>
      <c r="AC5">
        <v>6.64</v>
      </c>
      <c r="AD5">
        <v>0</v>
      </c>
      <c r="AE5">
        <v>0</v>
      </c>
      <c r="AF5">
        <v>62.97</v>
      </c>
      <c r="AG5">
        <v>6.64</v>
      </c>
      <c r="AH5">
        <v>0</v>
      </c>
      <c r="AI5">
        <v>1</v>
      </c>
      <c r="AJ5">
        <v>1</v>
      </c>
      <c r="AK5">
        <v>1</v>
      </c>
      <c r="AL5">
        <v>1</v>
      </c>
      <c r="AN5">
        <v>0</v>
      </c>
      <c r="AO5">
        <v>1</v>
      </c>
      <c r="AP5">
        <v>1</v>
      </c>
      <c r="AQ5">
        <v>0</v>
      </c>
      <c r="AR5">
        <v>0</v>
      </c>
      <c r="AS5" t="s">
        <v>3</v>
      </c>
      <c r="AT5">
        <v>1.66</v>
      </c>
      <c r="AU5" t="s">
        <v>86</v>
      </c>
      <c r="AV5">
        <v>0</v>
      </c>
      <c r="AW5">
        <v>2</v>
      </c>
      <c r="AX5">
        <v>129763177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ROUND(Y5*Source!I65,9)</f>
        <v>5.4780000000000002E-2</v>
      </c>
      <c r="CY5">
        <f>AB5</f>
        <v>62.97</v>
      </c>
      <c r="CZ5">
        <f>AF5</f>
        <v>62.97</v>
      </c>
      <c r="DA5">
        <f>AJ5</f>
        <v>1</v>
      </c>
      <c r="DB5">
        <f>ROUND((ROUND(AT5*CZ5,2)*1.25),6)</f>
        <v>130.66249999999999</v>
      </c>
      <c r="DC5">
        <f>ROUND((ROUND(AT5*AG5,2)*1.25),6)</f>
        <v>13.775</v>
      </c>
      <c r="DD5" t="s">
        <v>3</v>
      </c>
      <c r="DE5" t="s">
        <v>3</v>
      </c>
      <c r="DF5">
        <f t="shared" si="0"/>
        <v>0</v>
      </c>
      <c r="DG5">
        <f t="shared" si="1"/>
        <v>3.45</v>
      </c>
      <c r="DH5">
        <f t="shared" si="2"/>
        <v>0.36</v>
      </c>
      <c r="DI5">
        <f t="shared" si="3"/>
        <v>0</v>
      </c>
      <c r="DJ5">
        <f>DG5</f>
        <v>3.45</v>
      </c>
      <c r="DK5">
        <v>0</v>
      </c>
    </row>
    <row r="6" spans="1:115" x14ac:dyDescent="0.2">
      <c r="A6">
        <f>ROW(Source!A65)</f>
        <v>65</v>
      </c>
      <c r="B6">
        <v>129761636</v>
      </c>
      <c r="C6">
        <v>129763166</v>
      </c>
      <c r="D6">
        <v>37417871</v>
      </c>
      <c r="E6">
        <v>1</v>
      </c>
      <c r="F6">
        <v>1</v>
      </c>
      <c r="G6">
        <v>37345137</v>
      </c>
      <c r="H6">
        <v>2</v>
      </c>
      <c r="I6" t="s">
        <v>1106</v>
      </c>
      <c r="J6" t="s">
        <v>1107</v>
      </c>
      <c r="K6" t="s">
        <v>1108</v>
      </c>
      <c r="L6">
        <v>1367</v>
      </c>
      <c r="N6">
        <v>1011</v>
      </c>
      <c r="O6" t="s">
        <v>1102</v>
      </c>
      <c r="P6" t="s">
        <v>1102</v>
      </c>
      <c r="Q6">
        <v>1</v>
      </c>
      <c r="W6">
        <v>0</v>
      </c>
      <c r="X6">
        <v>366114799</v>
      </c>
      <c r="Y6">
        <f>(AT6*1.25)</f>
        <v>0.8125</v>
      </c>
      <c r="AA6">
        <v>0</v>
      </c>
      <c r="AB6">
        <v>246.68</v>
      </c>
      <c r="AC6">
        <v>13.37</v>
      </c>
      <c r="AD6">
        <v>0</v>
      </c>
      <c r="AE6">
        <v>0</v>
      </c>
      <c r="AF6">
        <v>246.68</v>
      </c>
      <c r="AG6">
        <v>13.37</v>
      </c>
      <c r="AH6">
        <v>0</v>
      </c>
      <c r="AI6">
        <v>1</v>
      </c>
      <c r="AJ6">
        <v>1</v>
      </c>
      <c r="AK6">
        <v>1</v>
      </c>
      <c r="AL6">
        <v>1</v>
      </c>
      <c r="AN6">
        <v>0</v>
      </c>
      <c r="AO6">
        <v>1</v>
      </c>
      <c r="AP6">
        <v>1</v>
      </c>
      <c r="AQ6">
        <v>0</v>
      </c>
      <c r="AR6">
        <v>0</v>
      </c>
      <c r="AS6" t="s">
        <v>3</v>
      </c>
      <c r="AT6">
        <v>0.65</v>
      </c>
      <c r="AU6" t="s">
        <v>86</v>
      </c>
      <c r="AV6">
        <v>0</v>
      </c>
      <c r="AW6">
        <v>2</v>
      </c>
      <c r="AX6">
        <v>129763178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ROUND(Y6*Source!I65,9)</f>
        <v>2.145E-2</v>
      </c>
      <c r="CY6">
        <f>AB6</f>
        <v>246.68</v>
      </c>
      <c r="CZ6">
        <f>AF6</f>
        <v>246.68</v>
      </c>
      <c r="DA6">
        <f>AJ6</f>
        <v>1</v>
      </c>
      <c r="DB6">
        <f>ROUND((ROUND(AT6*CZ6,2)*1.25),6)</f>
        <v>200.42500000000001</v>
      </c>
      <c r="DC6">
        <f>ROUND((ROUND(AT6*AG6,2)*1.25),6)</f>
        <v>10.862500000000001</v>
      </c>
      <c r="DD6" t="s">
        <v>3</v>
      </c>
      <c r="DE6" t="s">
        <v>3</v>
      </c>
      <c r="DF6">
        <f t="shared" si="0"/>
        <v>0</v>
      </c>
      <c r="DG6">
        <f t="shared" si="1"/>
        <v>5.29</v>
      </c>
      <c r="DH6">
        <f t="shared" si="2"/>
        <v>0.28999999999999998</v>
      </c>
      <c r="DI6">
        <f t="shared" si="3"/>
        <v>0</v>
      </c>
      <c r="DJ6">
        <f>DG6</f>
        <v>5.29</v>
      </c>
      <c r="DK6">
        <v>0</v>
      </c>
    </row>
    <row r="7" spans="1:115" x14ac:dyDescent="0.2">
      <c r="A7">
        <f>ROW(Source!A65)</f>
        <v>65</v>
      </c>
      <c r="B7">
        <v>129761636</v>
      </c>
      <c r="C7">
        <v>129763166</v>
      </c>
      <c r="D7">
        <v>37417899</v>
      </c>
      <c r="E7">
        <v>1</v>
      </c>
      <c r="F7">
        <v>1</v>
      </c>
      <c r="G7">
        <v>37345137</v>
      </c>
      <c r="H7">
        <v>2</v>
      </c>
      <c r="I7" t="s">
        <v>1109</v>
      </c>
      <c r="J7" t="s">
        <v>1110</v>
      </c>
      <c r="K7" t="s">
        <v>1111</v>
      </c>
      <c r="L7">
        <v>1367</v>
      </c>
      <c r="N7">
        <v>1011</v>
      </c>
      <c r="O7" t="s">
        <v>1102</v>
      </c>
      <c r="P7" t="s">
        <v>1102</v>
      </c>
      <c r="Q7">
        <v>1</v>
      </c>
      <c r="W7">
        <v>0</v>
      </c>
      <c r="X7">
        <v>856318566</v>
      </c>
      <c r="Y7">
        <f>(AT7*1.25)</f>
        <v>1.9375</v>
      </c>
      <c r="AA7">
        <v>0</v>
      </c>
      <c r="AB7">
        <v>125.13</v>
      </c>
      <c r="AC7">
        <v>24.74</v>
      </c>
      <c r="AD7">
        <v>0</v>
      </c>
      <c r="AE7">
        <v>0</v>
      </c>
      <c r="AF7">
        <v>125.13</v>
      </c>
      <c r="AG7">
        <v>24.74</v>
      </c>
      <c r="AH7">
        <v>0</v>
      </c>
      <c r="AI7">
        <v>1</v>
      </c>
      <c r="AJ7">
        <v>1</v>
      </c>
      <c r="AK7">
        <v>1</v>
      </c>
      <c r="AL7">
        <v>1</v>
      </c>
      <c r="AN7">
        <v>0</v>
      </c>
      <c r="AO7">
        <v>1</v>
      </c>
      <c r="AP7">
        <v>1</v>
      </c>
      <c r="AQ7">
        <v>0</v>
      </c>
      <c r="AR7">
        <v>0</v>
      </c>
      <c r="AS7" t="s">
        <v>3</v>
      </c>
      <c r="AT7">
        <v>1.55</v>
      </c>
      <c r="AU7" t="s">
        <v>86</v>
      </c>
      <c r="AV7">
        <v>0</v>
      </c>
      <c r="AW7">
        <v>2</v>
      </c>
      <c r="AX7">
        <v>129763179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ROUND(Y7*Source!I65,9)</f>
        <v>5.1150000000000001E-2</v>
      </c>
      <c r="CY7">
        <f>AB7</f>
        <v>125.13</v>
      </c>
      <c r="CZ7">
        <f>AF7</f>
        <v>125.13</v>
      </c>
      <c r="DA7">
        <f>AJ7</f>
        <v>1</v>
      </c>
      <c r="DB7">
        <f>ROUND((ROUND(AT7*CZ7,2)*1.25),6)</f>
        <v>242.4375</v>
      </c>
      <c r="DC7">
        <f>ROUND((ROUND(AT7*AG7,2)*1.25),6)</f>
        <v>47.9375</v>
      </c>
      <c r="DD7" t="s">
        <v>3</v>
      </c>
      <c r="DE7" t="s">
        <v>3</v>
      </c>
      <c r="DF7">
        <f t="shared" si="0"/>
        <v>0</v>
      </c>
      <c r="DG7">
        <f t="shared" si="1"/>
        <v>6.4</v>
      </c>
      <c r="DH7">
        <f t="shared" si="2"/>
        <v>1.27</v>
      </c>
      <c r="DI7">
        <f t="shared" si="3"/>
        <v>0</v>
      </c>
      <c r="DJ7">
        <f>DG7</f>
        <v>6.4</v>
      </c>
      <c r="DK7">
        <v>0</v>
      </c>
    </row>
    <row r="8" spans="1:115" x14ac:dyDescent="0.2">
      <c r="A8">
        <f>ROW(Source!A65)</f>
        <v>65</v>
      </c>
      <c r="B8">
        <v>129761636</v>
      </c>
      <c r="C8">
        <v>129763166</v>
      </c>
      <c r="D8">
        <v>37417861</v>
      </c>
      <c r="E8">
        <v>1</v>
      </c>
      <c r="F8">
        <v>1</v>
      </c>
      <c r="G8">
        <v>37345137</v>
      </c>
      <c r="H8">
        <v>2</v>
      </c>
      <c r="I8" t="s">
        <v>1112</v>
      </c>
      <c r="J8" t="s">
        <v>1113</v>
      </c>
      <c r="K8" t="s">
        <v>1114</v>
      </c>
      <c r="L8">
        <v>1367</v>
      </c>
      <c r="N8">
        <v>1011</v>
      </c>
      <c r="O8" t="s">
        <v>1102</v>
      </c>
      <c r="P8" t="s">
        <v>1102</v>
      </c>
      <c r="Q8">
        <v>1</v>
      </c>
      <c r="W8">
        <v>0</v>
      </c>
      <c r="X8">
        <v>-646811103</v>
      </c>
      <c r="Y8">
        <f>(AT8*1.25)</f>
        <v>0.65</v>
      </c>
      <c r="AA8">
        <v>0</v>
      </c>
      <c r="AB8">
        <v>177.54</v>
      </c>
      <c r="AC8">
        <v>17.420000000000002</v>
      </c>
      <c r="AD8">
        <v>0</v>
      </c>
      <c r="AE8">
        <v>0</v>
      </c>
      <c r="AF8">
        <v>177.54</v>
      </c>
      <c r="AG8">
        <v>17.420000000000002</v>
      </c>
      <c r="AH8">
        <v>0</v>
      </c>
      <c r="AI8">
        <v>1</v>
      </c>
      <c r="AJ8">
        <v>1</v>
      </c>
      <c r="AK8">
        <v>1</v>
      </c>
      <c r="AL8">
        <v>1</v>
      </c>
      <c r="AN8">
        <v>0</v>
      </c>
      <c r="AO8">
        <v>1</v>
      </c>
      <c r="AP8">
        <v>1</v>
      </c>
      <c r="AQ8">
        <v>0</v>
      </c>
      <c r="AR8">
        <v>0</v>
      </c>
      <c r="AS8" t="s">
        <v>3</v>
      </c>
      <c r="AT8">
        <v>0.52</v>
      </c>
      <c r="AU8" t="s">
        <v>86</v>
      </c>
      <c r="AV8">
        <v>0</v>
      </c>
      <c r="AW8">
        <v>2</v>
      </c>
      <c r="AX8">
        <v>129763180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ROUND(Y8*Source!I65,9)</f>
        <v>1.7160000000000002E-2</v>
      </c>
      <c r="CY8">
        <f>AB8</f>
        <v>177.54</v>
      </c>
      <c r="CZ8">
        <f>AF8</f>
        <v>177.54</v>
      </c>
      <c r="DA8">
        <f>AJ8</f>
        <v>1</v>
      </c>
      <c r="DB8">
        <f>ROUND((ROUND(AT8*CZ8,2)*1.25),6)</f>
        <v>115.4</v>
      </c>
      <c r="DC8">
        <f>ROUND((ROUND(AT8*AG8,2)*1.25),6)</f>
        <v>11.324999999999999</v>
      </c>
      <c r="DD8" t="s">
        <v>3</v>
      </c>
      <c r="DE8" t="s">
        <v>3</v>
      </c>
      <c r="DF8">
        <f t="shared" si="0"/>
        <v>0</v>
      </c>
      <c r="DG8">
        <f t="shared" si="1"/>
        <v>3.05</v>
      </c>
      <c r="DH8">
        <f t="shared" si="2"/>
        <v>0.3</v>
      </c>
      <c r="DI8">
        <f t="shared" si="3"/>
        <v>0</v>
      </c>
      <c r="DJ8">
        <f>DG8</f>
        <v>3.05</v>
      </c>
      <c r="DK8">
        <v>0</v>
      </c>
    </row>
    <row r="9" spans="1:115" x14ac:dyDescent="0.2">
      <c r="A9">
        <f>ROW(Source!A65)</f>
        <v>65</v>
      </c>
      <c r="B9">
        <v>129761636</v>
      </c>
      <c r="C9">
        <v>129763166</v>
      </c>
      <c r="D9">
        <v>37393552</v>
      </c>
      <c r="E9">
        <v>1</v>
      </c>
      <c r="F9">
        <v>1</v>
      </c>
      <c r="G9">
        <v>37345137</v>
      </c>
      <c r="H9">
        <v>3</v>
      </c>
      <c r="I9" t="s">
        <v>348</v>
      </c>
      <c r="J9" t="s">
        <v>350</v>
      </c>
      <c r="K9" t="s">
        <v>349</v>
      </c>
      <c r="L9">
        <v>1339</v>
      </c>
      <c r="N9">
        <v>1007</v>
      </c>
      <c r="O9" t="s">
        <v>94</v>
      </c>
      <c r="P9" t="s">
        <v>94</v>
      </c>
      <c r="Q9">
        <v>1</v>
      </c>
      <c r="W9">
        <v>0</v>
      </c>
      <c r="X9">
        <v>-862991314</v>
      </c>
      <c r="Y9">
        <f>AT9</f>
        <v>5</v>
      </c>
      <c r="AA9">
        <v>7.07</v>
      </c>
      <c r="AB9">
        <v>0</v>
      </c>
      <c r="AC9">
        <v>0</v>
      </c>
      <c r="AD9">
        <v>0</v>
      </c>
      <c r="AE9">
        <v>7.07</v>
      </c>
      <c r="AF9">
        <v>0</v>
      </c>
      <c r="AG9">
        <v>0</v>
      </c>
      <c r="AH9">
        <v>0</v>
      </c>
      <c r="AI9">
        <v>1</v>
      </c>
      <c r="AJ9">
        <v>1</v>
      </c>
      <c r="AK9">
        <v>1</v>
      </c>
      <c r="AL9">
        <v>1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3</v>
      </c>
      <c r="AT9">
        <v>5</v>
      </c>
      <c r="AU9" t="s">
        <v>3</v>
      </c>
      <c r="AV9">
        <v>0</v>
      </c>
      <c r="AW9">
        <v>2</v>
      </c>
      <c r="AX9">
        <v>129763181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ROUND(Y9*Source!I65,9)</f>
        <v>0.13200000000000001</v>
      </c>
      <c r="CY9">
        <f>AA9</f>
        <v>7.07</v>
      </c>
      <c r="CZ9">
        <f>AE9</f>
        <v>7.07</v>
      </c>
      <c r="DA9">
        <f>AI9</f>
        <v>1</v>
      </c>
      <c r="DB9">
        <f>ROUND(ROUND(AT9*CZ9,2),6)</f>
        <v>35.35</v>
      </c>
      <c r="DC9">
        <f>ROUND(ROUND(AT9*AG9,2),6)</f>
        <v>0</v>
      </c>
      <c r="DD9" t="s">
        <v>3</v>
      </c>
      <c r="DE9" t="s">
        <v>3</v>
      </c>
      <c r="DF9">
        <f t="shared" si="0"/>
        <v>0.93</v>
      </c>
      <c r="DG9">
        <f t="shared" si="1"/>
        <v>0</v>
      </c>
      <c r="DH9">
        <f t="shared" si="2"/>
        <v>0</v>
      </c>
      <c r="DI9">
        <f t="shared" si="3"/>
        <v>0</v>
      </c>
      <c r="DJ9">
        <f>DF9</f>
        <v>0.93</v>
      </c>
      <c r="DK9">
        <v>0</v>
      </c>
    </row>
    <row r="10" spans="1:115" x14ac:dyDescent="0.2">
      <c r="A10">
        <f>ROW(Source!A65)</f>
        <v>65</v>
      </c>
      <c r="B10">
        <v>129761636</v>
      </c>
      <c r="C10">
        <v>129763166</v>
      </c>
      <c r="D10">
        <v>37394111</v>
      </c>
      <c r="E10">
        <v>1</v>
      </c>
      <c r="F10">
        <v>1</v>
      </c>
      <c r="G10">
        <v>37345137</v>
      </c>
      <c r="H10">
        <v>3</v>
      </c>
      <c r="I10" t="s">
        <v>92</v>
      </c>
      <c r="J10" t="s">
        <v>95</v>
      </c>
      <c r="K10" t="s">
        <v>93</v>
      </c>
      <c r="L10">
        <v>1339</v>
      </c>
      <c r="N10">
        <v>1007</v>
      </c>
      <c r="O10" t="s">
        <v>94</v>
      </c>
      <c r="P10" t="s">
        <v>94</v>
      </c>
      <c r="Q10">
        <v>1</v>
      </c>
      <c r="W10">
        <v>0</v>
      </c>
      <c r="X10">
        <v>2069056849</v>
      </c>
      <c r="Y10">
        <f>AT10</f>
        <v>110</v>
      </c>
      <c r="AA10">
        <v>104.99</v>
      </c>
      <c r="AB10">
        <v>0</v>
      </c>
      <c r="AC10">
        <v>0</v>
      </c>
      <c r="AD10">
        <v>0</v>
      </c>
      <c r="AE10">
        <v>104.99</v>
      </c>
      <c r="AF10">
        <v>0</v>
      </c>
      <c r="AG10">
        <v>0</v>
      </c>
      <c r="AH10">
        <v>0</v>
      </c>
      <c r="AI10">
        <v>1</v>
      </c>
      <c r="AJ10">
        <v>1</v>
      </c>
      <c r="AK10">
        <v>1</v>
      </c>
      <c r="AL10">
        <v>1</v>
      </c>
      <c r="AN10">
        <v>0</v>
      </c>
      <c r="AO10">
        <v>0</v>
      </c>
      <c r="AP10">
        <v>0</v>
      </c>
      <c r="AQ10">
        <v>0</v>
      </c>
      <c r="AR10">
        <v>0</v>
      </c>
      <c r="AS10" t="s">
        <v>3</v>
      </c>
      <c r="AT10">
        <v>110</v>
      </c>
      <c r="AU10" t="s">
        <v>3</v>
      </c>
      <c r="AV10">
        <v>0</v>
      </c>
      <c r="AW10">
        <v>1</v>
      </c>
      <c r="AX10">
        <v>-1</v>
      </c>
      <c r="AY10">
        <v>0</v>
      </c>
      <c r="AZ10">
        <v>0</v>
      </c>
      <c r="BA10" t="s">
        <v>3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ROUND(Y10*Source!I65,9)</f>
        <v>2.9039999999999999</v>
      </c>
      <c r="CY10">
        <f>AA10</f>
        <v>104.99</v>
      </c>
      <c r="CZ10">
        <f>AE10</f>
        <v>104.99</v>
      </c>
      <c r="DA10">
        <f>AI10</f>
        <v>1</v>
      </c>
      <c r="DB10">
        <f>ROUND(ROUND(AT10*CZ10,2),6)</f>
        <v>11548.9</v>
      </c>
      <c r="DC10">
        <f>ROUND(ROUND(AT10*AG10,2),6)</f>
        <v>0</v>
      </c>
      <c r="DD10" t="s">
        <v>3</v>
      </c>
      <c r="DE10" t="s">
        <v>3</v>
      </c>
      <c r="DF10">
        <f t="shared" si="0"/>
        <v>304.89</v>
      </c>
      <c r="DG10">
        <f t="shared" si="1"/>
        <v>0</v>
      </c>
      <c r="DH10">
        <f t="shared" si="2"/>
        <v>0</v>
      </c>
      <c r="DI10">
        <f t="shared" si="3"/>
        <v>0</v>
      </c>
      <c r="DJ10">
        <f>DF10</f>
        <v>304.89</v>
      </c>
      <c r="DK10">
        <v>0</v>
      </c>
    </row>
    <row r="11" spans="1:115" x14ac:dyDescent="0.2">
      <c r="A11">
        <f>ROW(Source!A66)</f>
        <v>66</v>
      </c>
      <c r="B11">
        <v>129761633</v>
      </c>
      <c r="C11">
        <v>129763166</v>
      </c>
      <c r="D11">
        <v>37345142</v>
      </c>
      <c r="E11">
        <v>37345137</v>
      </c>
      <c r="F11">
        <v>1</v>
      </c>
      <c r="G11">
        <v>37345137</v>
      </c>
      <c r="H11">
        <v>1</v>
      </c>
      <c r="I11" t="s">
        <v>1096</v>
      </c>
      <c r="J11" t="s">
        <v>3</v>
      </c>
      <c r="K11" t="s">
        <v>1097</v>
      </c>
      <c r="L11">
        <v>1191</v>
      </c>
      <c r="N11">
        <v>1013</v>
      </c>
      <c r="O11" t="s">
        <v>1098</v>
      </c>
      <c r="P11" t="s">
        <v>1098</v>
      </c>
      <c r="Q11">
        <v>1</v>
      </c>
      <c r="W11">
        <v>0</v>
      </c>
      <c r="X11">
        <v>476480486</v>
      </c>
      <c r="Y11">
        <f>(AT11*1.15)</f>
        <v>16.559999999999999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1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1</v>
      </c>
      <c r="AQ11">
        <v>0</v>
      </c>
      <c r="AR11">
        <v>0</v>
      </c>
      <c r="AS11" t="s">
        <v>3</v>
      </c>
      <c r="AT11">
        <v>14.4</v>
      </c>
      <c r="AU11" t="s">
        <v>87</v>
      </c>
      <c r="AV11">
        <v>1</v>
      </c>
      <c r="AW11">
        <v>2</v>
      </c>
      <c r="AX11">
        <v>129763175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ROUND(Y11*Source!I66,9)</f>
        <v>0.43718400000000002</v>
      </c>
      <c r="CY11">
        <f>AD11</f>
        <v>0</v>
      </c>
      <c r="CZ11">
        <f>AH11</f>
        <v>0</v>
      </c>
      <c r="DA11">
        <f>AL11</f>
        <v>1</v>
      </c>
      <c r="DB11">
        <f>ROUND((ROUND(AT11*CZ11,2)*1.15),6)</f>
        <v>0</v>
      </c>
      <c r="DC11">
        <f>ROUND((ROUND(AT11*AG11,2)*1.15),6)</f>
        <v>0</v>
      </c>
      <c r="DD11" t="s">
        <v>3</v>
      </c>
      <c r="DE11" t="s">
        <v>3</v>
      </c>
      <c r="DF11">
        <f t="shared" si="0"/>
        <v>0</v>
      </c>
      <c r="DG11">
        <f t="shared" si="1"/>
        <v>0</v>
      </c>
      <c r="DH11">
        <f t="shared" si="2"/>
        <v>0</v>
      </c>
      <c r="DI11">
        <f t="shared" si="3"/>
        <v>0</v>
      </c>
      <c r="DJ11">
        <f>DI11</f>
        <v>0</v>
      </c>
      <c r="DK11">
        <v>0</v>
      </c>
    </row>
    <row r="12" spans="1:115" x14ac:dyDescent="0.2">
      <c r="A12">
        <f>ROW(Source!A66)</f>
        <v>66</v>
      </c>
      <c r="B12">
        <v>129761633</v>
      </c>
      <c r="C12">
        <v>129763166</v>
      </c>
      <c r="D12">
        <v>37417645</v>
      </c>
      <c r="E12">
        <v>1</v>
      </c>
      <c r="F12">
        <v>1</v>
      </c>
      <c r="G12">
        <v>37345137</v>
      </c>
      <c r="H12">
        <v>2</v>
      </c>
      <c r="I12" t="s">
        <v>1099</v>
      </c>
      <c r="J12" t="s">
        <v>1100</v>
      </c>
      <c r="K12" t="s">
        <v>1101</v>
      </c>
      <c r="L12">
        <v>1367</v>
      </c>
      <c r="N12">
        <v>1011</v>
      </c>
      <c r="O12" t="s">
        <v>1102</v>
      </c>
      <c r="P12" t="s">
        <v>1102</v>
      </c>
      <c r="Q12">
        <v>1</v>
      </c>
      <c r="W12">
        <v>0</v>
      </c>
      <c r="X12">
        <v>1928543733</v>
      </c>
      <c r="Y12">
        <f>(AT12*1.25)</f>
        <v>2.0749999999999997</v>
      </c>
      <c r="AA12">
        <v>0</v>
      </c>
      <c r="AB12">
        <v>1335.21</v>
      </c>
      <c r="AC12">
        <v>711.53</v>
      </c>
      <c r="AD12">
        <v>0</v>
      </c>
      <c r="AE12">
        <v>0</v>
      </c>
      <c r="AF12">
        <v>116.89</v>
      </c>
      <c r="AG12">
        <v>23.41</v>
      </c>
      <c r="AH12">
        <v>0</v>
      </c>
      <c r="AI12">
        <v>1</v>
      </c>
      <c r="AJ12">
        <v>10.91</v>
      </c>
      <c r="AK12">
        <v>29.03</v>
      </c>
      <c r="AL12">
        <v>1</v>
      </c>
      <c r="AN12">
        <v>0</v>
      </c>
      <c r="AO12">
        <v>1</v>
      </c>
      <c r="AP12">
        <v>1</v>
      </c>
      <c r="AQ12">
        <v>0</v>
      </c>
      <c r="AR12">
        <v>0</v>
      </c>
      <c r="AS12" t="s">
        <v>3</v>
      </c>
      <c r="AT12">
        <v>1.66</v>
      </c>
      <c r="AU12" t="s">
        <v>86</v>
      </c>
      <c r="AV12">
        <v>0</v>
      </c>
      <c r="AW12">
        <v>2</v>
      </c>
      <c r="AX12">
        <v>129763176</v>
      </c>
      <c r="AY12">
        <v>1</v>
      </c>
      <c r="AZ12">
        <v>0</v>
      </c>
      <c r="BA12">
        <v>12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ROUND(Y12*Source!I66,9)</f>
        <v>5.4780000000000002E-2</v>
      </c>
      <c r="CY12">
        <f>AB12</f>
        <v>1335.21</v>
      </c>
      <c r="CZ12">
        <f>AF12</f>
        <v>116.89</v>
      </c>
      <c r="DA12">
        <f>AJ12</f>
        <v>10.91</v>
      </c>
      <c r="DB12">
        <f>ROUND((ROUND(AT12*CZ12,2)*1.25),6)</f>
        <v>242.55</v>
      </c>
      <c r="DC12">
        <f>ROUND((ROUND(AT12*AG12,2)*1.25),6)</f>
        <v>48.575000000000003</v>
      </c>
      <c r="DD12" t="s">
        <v>3</v>
      </c>
      <c r="DE12" t="s">
        <v>3</v>
      </c>
      <c r="DF12">
        <f t="shared" si="0"/>
        <v>0</v>
      </c>
      <c r="DG12">
        <f>ROUND(ROUND(AF12*CX12,2)*AJ12,2)</f>
        <v>69.819999999999993</v>
      </c>
      <c r="DH12">
        <f>ROUND(ROUND(AG12*CX12,2)*AK12,2)</f>
        <v>37.159999999999997</v>
      </c>
      <c r="DI12">
        <f t="shared" si="3"/>
        <v>0</v>
      </c>
      <c r="DJ12">
        <f>DG12</f>
        <v>69.819999999999993</v>
      </c>
      <c r="DK12">
        <v>0</v>
      </c>
    </row>
    <row r="13" spans="1:115" x14ac:dyDescent="0.2">
      <c r="A13">
        <f>ROW(Source!A66)</f>
        <v>66</v>
      </c>
      <c r="B13">
        <v>129761633</v>
      </c>
      <c r="C13">
        <v>129763166</v>
      </c>
      <c r="D13">
        <v>37417868</v>
      </c>
      <c r="E13">
        <v>1</v>
      </c>
      <c r="F13">
        <v>1</v>
      </c>
      <c r="G13">
        <v>37345137</v>
      </c>
      <c r="H13">
        <v>2</v>
      </c>
      <c r="I13" t="s">
        <v>1103</v>
      </c>
      <c r="J13" t="s">
        <v>1104</v>
      </c>
      <c r="K13" t="s">
        <v>1105</v>
      </c>
      <c r="L13">
        <v>1367</v>
      </c>
      <c r="N13">
        <v>1011</v>
      </c>
      <c r="O13" t="s">
        <v>1102</v>
      </c>
      <c r="P13" t="s">
        <v>1102</v>
      </c>
      <c r="Q13">
        <v>1</v>
      </c>
      <c r="W13">
        <v>0</v>
      </c>
      <c r="X13">
        <v>142191915</v>
      </c>
      <c r="Y13">
        <f>(AT13*1.25)</f>
        <v>2.0749999999999997</v>
      </c>
      <c r="AA13">
        <v>0</v>
      </c>
      <c r="AB13">
        <v>65.930000000000007</v>
      </c>
      <c r="AC13">
        <v>6.95</v>
      </c>
      <c r="AD13">
        <v>0</v>
      </c>
      <c r="AE13">
        <v>0</v>
      </c>
      <c r="AF13">
        <v>62.97</v>
      </c>
      <c r="AG13">
        <v>6.64</v>
      </c>
      <c r="AH13">
        <v>0</v>
      </c>
      <c r="AI13">
        <v>1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1</v>
      </c>
      <c r="AQ13">
        <v>0</v>
      </c>
      <c r="AR13">
        <v>0</v>
      </c>
      <c r="AS13" t="s">
        <v>3</v>
      </c>
      <c r="AT13">
        <v>1.66</v>
      </c>
      <c r="AU13" t="s">
        <v>86</v>
      </c>
      <c r="AV13">
        <v>0</v>
      </c>
      <c r="AW13">
        <v>2</v>
      </c>
      <c r="AX13">
        <v>129763177</v>
      </c>
      <c r="AY13">
        <v>1</v>
      </c>
      <c r="AZ13">
        <v>0</v>
      </c>
      <c r="BA13">
        <v>13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ROUND(Y13*Source!I66,9)</f>
        <v>5.4780000000000002E-2</v>
      </c>
      <c r="CY13">
        <f>AB13</f>
        <v>65.930000000000007</v>
      </c>
      <c r="CZ13">
        <f>AF13</f>
        <v>62.97</v>
      </c>
      <c r="DA13">
        <f>AJ13</f>
        <v>1</v>
      </c>
      <c r="DB13">
        <f>ROUND((ROUND(AT13*CZ13,2)*1.25),6)</f>
        <v>130.66249999999999</v>
      </c>
      <c r="DC13">
        <f>ROUND((ROUND(AT13*AG13,2)*1.25),6)</f>
        <v>13.775</v>
      </c>
      <c r="DD13" t="s">
        <v>3</v>
      </c>
      <c r="DE13" t="s">
        <v>3</v>
      </c>
      <c r="DF13">
        <f t="shared" si="0"/>
        <v>0</v>
      </c>
      <c r="DG13">
        <f>ROUND(AF13*CX13,2)</f>
        <v>3.45</v>
      </c>
      <c r="DH13">
        <f>ROUND(AG13*CX13,2)</f>
        <v>0.36</v>
      </c>
      <c r="DI13">
        <f t="shared" si="3"/>
        <v>0</v>
      </c>
      <c r="DJ13">
        <f>DG13</f>
        <v>3.45</v>
      </c>
      <c r="DK13">
        <v>0</v>
      </c>
    </row>
    <row r="14" spans="1:115" x14ac:dyDescent="0.2">
      <c r="A14">
        <f>ROW(Source!A66)</f>
        <v>66</v>
      </c>
      <c r="B14">
        <v>129761633</v>
      </c>
      <c r="C14">
        <v>129763166</v>
      </c>
      <c r="D14">
        <v>37417871</v>
      </c>
      <c r="E14">
        <v>1</v>
      </c>
      <c r="F14">
        <v>1</v>
      </c>
      <c r="G14">
        <v>37345137</v>
      </c>
      <c r="H14">
        <v>2</v>
      </c>
      <c r="I14" t="s">
        <v>1106</v>
      </c>
      <c r="J14" t="s">
        <v>1107</v>
      </c>
      <c r="K14" t="s">
        <v>1108</v>
      </c>
      <c r="L14">
        <v>1367</v>
      </c>
      <c r="N14">
        <v>1011</v>
      </c>
      <c r="O14" t="s">
        <v>1102</v>
      </c>
      <c r="P14" t="s">
        <v>1102</v>
      </c>
      <c r="Q14">
        <v>1</v>
      </c>
      <c r="W14">
        <v>0</v>
      </c>
      <c r="X14">
        <v>366114799</v>
      </c>
      <c r="Y14">
        <f>(AT14*1.25)</f>
        <v>0.8125</v>
      </c>
      <c r="AA14">
        <v>0</v>
      </c>
      <c r="AB14">
        <v>2693.8</v>
      </c>
      <c r="AC14">
        <v>406.37</v>
      </c>
      <c r="AD14">
        <v>0</v>
      </c>
      <c r="AE14">
        <v>0</v>
      </c>
      <c r="AF14">
        <v>246.68</v>
      </c>
      <c r="AG14">
        <v>13.37</v>
      </c>
      <c r="AH14">
        <v>0</v>
      </c>
      <c r="AI14">
        <v>1</v>
      </c>
      <c r="AJ14">
        <v>10.43</v>
      </c>
      <c r="AK14">
        <v>29.03</v>
      </c>
      <c r="AL14">
        <v>1</v>
      </c>
      <c r="AN14">
        <v>0</v>
      </c>
      <c r="AO14">
        <v>1</v>
      </c>
      <c r="AP14">
        <v>1</v>
      </c>
      <c r="AQ14">
        <v>0</v>
      </c>
      <c r="AR14">
        <v>0</v>
      </c>
      <c r="AS14" t="s">
        <v>3</v>
      </c>
      <c r="AT14">
        <v>0.65</v>
      </c>
      <c r="AU14" t="s">
        <v>86</v>
      </c>
      <c r="AV14">
        <v>0</v>
      </c>
      <c r="AW14">
        <v>2</v>
      </c>
      <c r="AX14">
        <v>129763178</v>
      </c>
      <c r="AY14">
        <v>1</v>
      </c>
      <c r="AZ14">
        <v>0</v>
      </c>
      <c r="BA14">
        <v>14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ROUND(Y14*Source!I66,9)</f>
        <v>2.145E-2</v>
      </c>
      <c r="CY14">
        <f>AB14</f>
        <v>2693.8</v>
      </c>
      <c r="CZ14">
        <f>AF14</f>
        <v>246.68</v>
      </c>
      <c r="DA14">
        <f>AJ14</f>
        <v>10.43</v>
      </c>
      <c r="DB14">
        <f>ROUND((ROUND(AT14*CZ14,2)*1.25),6)</f>
        <v>200.42500000000001</v>
      </c>
      <c r="DC14">
        <f>ROUND((ROUND(AT14*AG14,2)*1.25),6)</f>
        <v>10.862500000000001</v>
      </c>
      <c r="DD14" t="s">
        <v>3</v>
      </c>
      <c r="DE14" t="s">
        <v>3</v>
      </c>
      <c r="DF14">
        <f t="shared" si="0"/>
        <v>0</v>
      </c>
      <c r="DG14">
        <f>ROUND(ROUND(AF14*CX14,2)*AJ14,2)</f>
        <v>55.17</v>
      </c>
      <c r="DH14">
        <f>ROUND(ROUND(AG14*CX14,2)*AK14,2)</f>
        <v>8.42</v>
      </c>
      <c r="DI14">
        <f t="shared" si="3"/>
        <v>0</v>
      </c>
      <c r="DJ14">
        <f>DG14</f>
        <v>55.17</v>
      </c>
      <c r="DK14">
        <v>0</v>
      </c>
    </row>
    <row r="15" spans="1:115" x14ac:dyDescent="0.2">
      <c r="A15">
        <f>ROW(Source!A66)</f>
        <v>66</v>
      </c>
      <c r="B15">
        <v>129761633</v>
      </c>
      <c r="C15">
        <v>129763166</v>
      </c>
      <c r="D15">
        <v>37417899</v>
      </c>
      <c r="E15">
        <v>1</v>
      </c>
      <c r="F15">
        <v>1</v>
      </c>
      <c r="G15">
        <v>37345137</v>
      </c>
      <c r="H15">
        <v>2</v>
      </c>
      <c r="I15" t="s">
        <v>1109</v>
      </c>
      <c r="J15" t="s">
        <v>1110</v>
      </c>
      <c r="K15" t="s">
        <v>1111</v>
      </c>
      <c r="L15">
        <v>1367</v>
      </c>
      <c r="N15">
        <v>1011</v>
      </c>
      <c r="O15" t="s">
        <v>1102</v>
      </c>
      <c r="P15" t="s">
        <v>1102</v>
      </c>
      <c r="Q15">
        <v>1</v>
      </c>
      <c r="W15">
        <v>0</v>
      </c>
      <c r="X15">
        <v>856318566</v>
      </c>
      <c r="Y15">
        <f>(AT15*1.25)</f>
        <v>1.9375</v>
      </c>
      <c r="AA15">
        <v>0</v>
      </c>
      <c r="AB15">
        <v>1407.06</v>
      </c>
      <c r="AC15">
        <v>751.96</v>
      </c>
      <c r="AD15">
        <v>0</v>
      </c>
      <c r="AE15">
        <v>0</v>
      </c>
      <c r="AF15">
        <v>125.13</v>
      </c>
      <c r="AG15">
        <v>24.74</v>
      </c>
      <c r="AH15">
        <v>0</v>
      </c>
      <c r="AI15">
        <v>1</v>
      </c>
      <c r="AJ15">
        <v>10.74</v>
      </c>
      <c r="AK15">
        <v>29.03</v>
      </c>
      <c r="AL15">
        <v>1</v>
      </c>
      <c r="AN15">
        <v>0</v>
      </c>
      <c r="AO15">
        <v>1</v>
      </c>
      <c r="AP15">
        <v>1</v>
      </c>
      <c r="AQ15">
        <v>0</v>
      </c>
      <c r="AR15">
        <v>0</v>
      </c>
      <c r="AS15" t="s">
        <v>3</v>
      </c>
      <c r="AT15">
        <v>1.55</v>
      </c>
      <c r="AU15" t="s">
        <v>86</v>
      </c>
      <c r="AV15">
        <v>0</v>
      </c>
      <c r="AW15">
        <v>2</v>
      </c>
      <c r="AX15">
        <v>129763179</v>
      </c>
      <c r="AY15">
        <v>1</v>
      </c>
      <c r="AZ15">
        <v>0</v>
      </c>
      <c r="BA15">
        <v>15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ROUND(Y15*Source!I66,9)</f>
        <v>5.1150000000000001E-2</v>
      </c>
      <c r="CY15">
        <f>AB15</f>
        <v>1407.06</v>
      </c>
      <c r="CZ15">
        <f>AF15</f>
        <v>125.13</v>
      </c>
      <c r="DA15">
        <f>AJ15</f>
        <v>10.74</v>
      </c>
      <c r="DB15">
        <f>ROUND((ROUND(AT15*CZ15,2)*1.25),6)</f>
        <v>242.4375</v>
      </c>
      <c r="DC15">
        <f>ROUND((ROUND(AT15*AG15,2)*1.25),6)</f>
        <v>47.9375</v>
      </c>
      <c r="DD15" t="s">
        <v>3</v>
      </c>
      <c r="DE15" t="s">
        <v>3</v>
      </c>
      <c r="DF15">
        <f t="shared" si="0"/>
        <v>0</v>
      </c>
      <c r="DG15">
        <f>ROUND(ROUND(AF15*CX15,2)*AJ15,2)</f>
        <v>68.739999999999995</v>
      </c>
      <c r="DH15">
        <f>ROUND(ROUND(AG15*CX15,2)*AK15,2)</f>
        <v>36.869999999999997</v>
      </c>
      <c r="DI15">
        <f t="shared" si="3"/>
        <v>0</v>
      </c>
      <c r="DJ15">
        <f>DG15</f>
        <v>68.739999999999995</v>
      </c>
      <c r="DK15">
        <v>0</v>
      </c>
    </row>
    <row r="16" spans="1:115" x14ac:dyDescent="0.2">
      <c r="A16">
        <f>ROW(Source!A66)</f>
        <v>66</v>
      </c>
      <c r="B16">
        <v>129761633</v>
      </c>
      <c r="C16">
        <v>129763166</v>
      </c>
      <c r="D16">
        <v>37417861</v>
      </c>
      <c r="E16">
        <v>1</v>
      </c>
      <c r="F16">
        <v>1</v>
      </c>
      <c r="G16">
        <v>37345137</v>
      </c>
      <c r="H16">
        <v>2</v>
      </c>
      <c r="I16" t="s">
        <v>1112</v>
      </c>
      <c r="J16" t="s">
        <v>1113</v>
      </c>
      <c r="K16" t="s">
        <v>1114</v>
      </c>
      <c r="L16">
        <v>1367</v>
      </c>
      <c r="N16">
        <v>1011</v>
      </c>
      <c r="O16" t="s">
        <v>1102</v>
      </c>
      <c r="P16" t="s">
        <v>1102</v>
      </c>
      <c r="Q16">
        <v>1</v>
      </c>
      <c r="W16">
        <v>0</v>
      </c>
      <c r="X16">
        <v>-646811103</v>
      </c>
      <c r="Y16">
        <f>(AT16*1.25)</f>
        <v>0.65</v>
      </c>
      <c r="AA16">
        <v>0</v>
      </c>
      <c r="AB16">
        <v>2026.14</v>
      </c>
      <c r="AC16">
        <v>529.47</v>
      </c>
      <c r="AD16">
        <v>0</v>
      </c>
      <c r="AE16">
        <v>0</v>
      </c>
      <c r="AF16">
        <v>177.54</v>
      </c>
      <c r="AG16">
        <v>17.420000000000002</v>
      </c>
      <c r="AH16">
        <v>0</v>
      </c>
      <c r="AI16">
        <v>1</v>
      </c>
      <c r="AJ16">
        <v>10.9</v>
      </c>
      <c r="AK16">
        <v>29.03</v>
      </c>
      <c r="AL16">
        <v>1</v>
      </c>
      <c r="AN16">
        <v>0</v>
      </c>
      <c r="AO16">
        <v>1</v>
      </c>
      <c r="AP16">
        <v>1</v>
      </c>
      <c r="AQ16">
        <v>0</v>
      </c>
      <c r="AR16">
        <v>0</v>
      </c>
      <c r="AS16" t="s">
        <v>3</v>
      </c>
      <c r="AT16">
        <v>0.52</v>
      </c>
      <c r="AU16" t="s">
        <v>86</v>
      </c>
      <c r="AV16">
        <v>0</v>
      </c>
      <c r="AW16">
        <v>2</v>
      </c>
      <c r="AX16">
        <v>129763180</v>
      </c>
      <c r="AY16">
        <v>1</v>
      </c>
      <c r="AZ16">
        <v>0</v>
      </c>
      <c r="BA16">
        <v>16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ROUND(Y16*Source!I66,9)</f>
        <v>1.7160000000000002E-2</v>
      </c>
      <c r="CY16">
        <f>AB16</f>
        <v>2026.14</v>
      </c>
      <c r="CZ16">
        <f>AF16</f>
        <v>177.54</v>
      </c>
      <c r="DA16">
        <f>AJ16</f>
        <v>10.9</v>
      </c>
      <c r="DB16">
        <f>ROUND((ROUND(AT16*CZ16,2)*1.25),6)</f>
        <v>115.4</v>
      </c>
      <c r="DC16">
        <f>ROUND((ROUND(AT16*AG16,2)*1.25),6)</f>
        <v>11.324999999999999</v>
      </c>
      <c r="DD16" t="s">
        <v>3</v>
      </c>
      <c r="DE16" t="s">
        <v>3</v>
      </c>
      <c r="DF16">
        <f t="shared" si="0"/>
        <v>0</v>
      </c>
      <c r="DG16">
        <f>ROUND(ROUND(AF16*CX16,2)*AJ16,2)</f>
        <v>33.25</v>
      </c>
      <c r="DH16">
        <f>ROUND(ROUND(AG16*CX16,2)*AK16,2)</f>
        <v>8.7100000000000009</v>
      </c>
      <c r="DI16">
        <f t="shared" si="3"/>
        <v>0</v>
      </c>
      <c r="DJ16">
        <f>DG16</f>
        <v>33.25</v>
      </c>
      <c r="DK16">
        <v>0</v>
      </c>
    </row>
    <row r="17" spans="1:115" x14ac:dyDescent="0.2">
      <c r="A17">
        <f>ROW(Source!A66)</f>
        <v>66</v>
      </c>
      <c r="B17">
        <v>129761633</v>
      </c>
      <c r="C17">
        <v>129763166</v>
      </c>
      <c r="D17">
        <v>37393552</v>
      </c>
      <c r="E17">
        <v>1</v>
      </c>
      <c r="F17">
        <v>1</v>
      </c>
      <c r="G17">
        <v>37345137</v>
      </c>
      <c r="H17">
        <v>3</v>
      </c>
      <c r="I17" t="s">
        <v>348</v>
      </c>
      <c r="J17" t="s">
        <v>350</v>
      </c>
      <c r="K17" t="s">
        <v>349</v>
      </c>
      <c r="L17">
        <v>1339</v>
      </c>
      <c r="N17">
        <v>1007</v>
      </c>
      <c r="O17" t="s">
        <v>94</v>
      </c>
      <c r="P17" t="s">
        <v>94</v>
      </c>
      <c r="Q17">
        <v>1</v>
      </c>
      <c r="W17">
        <v>0</v>
      </c>
      <c r="X17">
        <v>-862991314</v>
      </c>
      <c r="Y17">
        <f>AT17</f>
        <v>5</v>
      </c>
      <c r="AA17">
        <v>42.5</v>
      </c>
      <c r="AB17">
        <v>0</v>
      </c>
      <c r="AC17">
        <v>0</v>
      </c>
      <c r="AD17">
        <v>0</v>
      </c>
      <c r="AE17">
        <v>7.07</v>
      </c>
      <c r="AF17">
        <v>0</v>
      </c>
      <c r="AG17">
        <v>0</v>
      </c>
      <c r="AH17">
        <v>0</v>
      </c>
      <c r="AI17">
        <v>6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0</v>
      </c>
      <c r="AQ17">
        <v>0</v>
      </c>
      <c r="AR17">
        <v>0</v>
      </c>
      <c r="AS17" t="s">
        <v>3</v>
      </c>
      <c r="AT17">
        <v>5</v>
      </c>
      <c r="AU17" t="s">
        <v>3</v>
      </c>
      <c r="AV17">
        <v>0</v>
      </c>
      <c r="AW17">
        <v>2</v>
      </c>
      <c r="AX17">
        <v>129763181</v>
      </c>
      <c r="AY17">
        <v>1</v>
      </c>
      <c r="AZ17">
        <v>0</v>
      </c>
      <c r="BA17">
        <v>17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ROUND(Y17*Source!I66,9)</f>
        <v>0.13200000000000001</v>
      </c>
      <c r="CY17">
        <f>AA17</f>
        <v>42.5</v>
      </c>
      <c r="CZ17">
        <f>AE17</f>
        <v>7.07</v>
      </c>
      <c r="DA17">
        <f>AI17</f>
        <v>6</v>
      </c>
      <c r="DB17">
        <f>ROUND(ROUND(AT17*CZ17,2),6)</f>
        <v>35.35</v>
      </c>
      <c r="DC17">
        <f>ROUND(ROUND(AT17*AG17,2),6)</f>
        <v>0</v>
      </c>
      <c r="DD17" t="s">
        <v>3</v>
      </c>
      <c r="DE17" t="s">
        <v>3</v>
      </c>
      <c r="DF17">
        <f>ROUND(ROUND(AE17*CX17,2)*AI17,2)</f>
        <v>5.58</v>
      </c>
      <c r="DG17">
        <f t="shared" ref="DG17:DG28" si="4">ROUND(AF17*CX17,2)</f>
        <v>0</v>
      </c>
      <c r="DH17">
        <f t="shared" ref="DH17:DH28" si="5">ROUND(AG17*CX17,2)</f>
        <v>0</v>
      </c>
      <c r="DI17">
        <f t="shared" si="3"/>
        <v>0</v>
      </c>
      <c r="DJ17">
        <f>DF17</f>
        <v>5.58</v>
      </c>
      <c r="DK17">
        <v>0</v>
      </c>
    </row>
    <row r="18" spans="1:115" x14ac:dyDescent="0.2">
      <c r="A18">
        <f>ROW(Source!A66)</f>
        <v>66</v>
      </c>
      <c r="B18">
        <v>129761633</v>
      </c>
      <c r="C18">
        <v>129763166</v>
      </c>
      <c r="D18">
        <v>37394111</v>
      </c>
      <c r="E18">
        <v>1</v>
      </c>
      <c r="F18">
        <v>1</v>
      </c>
      <c r="G18">
        <v>37345137</v>
      </c>
      <c r="H18">
        <v>3</v>
      </c>
      <c r="I18" t="s">
        <v>92</v>
      </c>
      <c r="J18" t="s">
        <v>95</v>
      </c>
      <c r="K18" t="s">
        <v>93</v>
      </c>
      <c r="L18">
        <v>1339</v>
      </c>
      <c r="N18">
        <v>1007</v>
      </c>
      <c r="O18" t="s">
        <v>94</v>
      </c>
      <c r="P18" t="s">
        <v>94</v>
      </c>
      <c r="Q18">
        <v>1</v>
      </c>
      <c r="W18">
        <v>0</v>
      </c>
      <c r="X18">
        <v>2069056849</v>
      </c>
      <c r="Y18">
        <f>AT18</f>
        <v>110</v>
      </c>
      <c r="AA18">
        <v>723.78</v>
      </c>
      <c r="AB18">
        <v>0</v>
      </c>
      <c r="AC18">
        <v>0</v>
      </c>
      <c r="AD18">
        <v>0</v>
      </c>
      <c r="AE18">
        <v>104.99</v>
      </c>
      <c r="AF18">
        <v>0</v>
      </c>
      <c r="AG18">
        <v>0</v>
      </c>
      <c r="AH18">
        <v>0</v>
      </c>
      <c r="AI18">
        <v>6.88</v>
      </c>
      <c r="AJ18">
        <v>1</v>
      </c>
      <c r="AK18">
        <v>1</v>
      </c>
      <c r="AL18">
        <v>1</v>
      </c>
      <c r="AN18">
        <v>0</v>
      </c>
      <c r="AO18">
        <v>0</v>
      </c>
      <c r="AP18">
        <v>0</v>
      </c>
      <c r="AQ18">
        <v>0</v>
      </c>
      <c r="AR18">
        <v>0</v>
      </c>
      <c r="AS18" t="s">
        <v>3</v>
      </c>
      <c r="AT18">
        <v>110</v>
      </c>
      <c r="AU18" t="s">
        <v>3</v>
      </c>
      <c r="AV18">
        <v>0</v>
      </c>
      <c r="AW18">
        <v>1</v>
      </c>
      <c r="AX18">
        <v>-1</v>
      </c>
      <c r="AY18">
        <v>0</v>
      </c>
      <c r="AZ18">
        <v>0</v>
      </c>
      <c r="BA18" t="s">
        <v>3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ROUND(Y18*Source!I66,9)</f>
        <v>2.9039999999999999</v>
      </c>
      <c r="CY18">
        <f>AA18</f>
        <v>723.78</v>
      </c>
      <c r="CZ18">
        <f>AE18</f>
        <v>104.99</v>
      </c>
      <c r="DA18">
        <f>AI18</f>
        <v>6.88</v>
      </c>
      <c r="DB18">
        <f>ROUND(ROUND(AT18*CZ18,2),6)</f>
        <v>11548.9</v>
      </c>
      <c r="DC18">
        <f>ROUND(ROUND(AT18*AG18,2),6)</f>
        <v>0</v>
      </c>
      <c r="DD18" t="s">
        <v>3</v>
      </c>
      <c r="DE18" t="s">
        <v>3</v>
      </c>
      <c r="DF18">
        <f>ROUND(ROUND(AE18*CX18,2)*AI18,2)</f>
        <v>2097.64</v>
      </c>
      <c r="DG18">
        <f t="shared" si="4"/>
        <v>0</v>
      </c>
      <c r="DH18">
        <f t="shared" si="5"/>
        <v>0</v>
      </c>
      <c r="DI18">
        <f t="shared" si="3"/>
        <v>0</v>
      </c>
      <c r="DJ18">
        <f>DF18</f>
        <v>2097.64</v>
      </c>
      <c r="DK18">
        <v>0</v>
      </c>
    </row>
    <row r="19" spans="1:115" x14ac:dyDescent="0.2">
      <c r="A19">
        <f>ROW(Source!A69)</f>
        <v>69</v>
      </c>
      <c r="B19">
        <v>129761636</v>
      </c>
      <c r="C19">
        <v>129763184</v>
      </c>
      <c r="D19">
        <v>37345142</v>
      </c>
      <c r="E19">
        <v>37345137</v>
      </c>
      <c r="F19">
        <v>1</v>
      </c>
      <c r="G19">
        <v>37345137</v>
      </c>
      <c r="H19">
        <v>1</v>
      </c>
      <c r="I19" t="s">
        <v>1096</v>
      </c>
      <c r="J19" t="s">
        <v>3</v>
      </c>
      <c r="K19" t="s">
        <v>1097</v>
      </c>
      <c r="L19">
        <v>1191</v>
      </c>
      <c r="N19">
        <v>1013</v>
      </c>
      <c r="O19" t="s">
        <v>1098</v>
      </c>
      <c r="P19" t="s">
        <v>1098</v>
      </c>
      <c r="Q19">
        <v>1</v>
      </c>
      <c r="W19">
        <v>0</v>
      </c>
      <c r="X19">
        <v>476480486</v>
      </c>
      <c r="Y19">
        <f>(AT19*1.15)</f>
        <v>24.84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1</v>
      </c>
      <c r="AJ19">
        <v>1</v>
      </c>
      <c r="AK19">
        <v>1</v>
      </c>
      <c r="AL19">
        <v>1</v>
      </c>
      <c r="AN19">
        <v>0</v>
      </c>
      <c r="AO19">
        <v>1</v>
      </c>
      <c r="AP19">
        <v>1</v>
      </c>
      <c r="AQ19">
        <v>0</v>
      </c>
      <c r="AR19">
        <v>0</v>
      </c>
      <c r="AS19" t="s">
        <v>3</v>
      </c>
      <c r="AT19">
        <v>21.6</v>
      </c>
      <c r="AU19" t="s">
        <v>87</v>
      </c>
      <c r="AV19">
        <v>1</v>
      </c>
      <c r="AW19">
        <v>2</v>
      </c>
      <c r="AX19">
        <v>129763194</v>
      </c>
      <c r="AY19">
        <v>1</v>
      </c>
      <c r="AZ19">
        <v>0</v>
      </c>
      <c r="BA19">
        <v>19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ROUND(Y19*Source!I69,9)</f>
        <v>0.49183199999999999</v>
      </c>
      <c r="CY19">
        <f>AD19</f>
        <v>0</v>
      </c>
      <c r="CZ19">
        <f>AH19</f>
        <v>0</v>
      </c>
      <c r="DA19">
        <f>AL19</f>
        <v>1</v>
      </c>
      <c r="DB19">
        <f>ROUND((ROUND(AT19*CZ19,2)*1.15),6)</f>
        <v>0</v>
      </c>
      <c r="DC19">
        <f>ROUND((ROUND(AT19*AG19,2)*1.15),6)</f>
        <v>0</v>
      </c>
      <c r="DD19" t="s">
        <v>3</v>
      </c>
      <c r="DE19" t="s">
        <v>3</v>
      </c>
      <c r="DF19">
        <f t="shared" ref="DF19:DF34" si="6">ROUND(AE19*CX19,2)</f>
        <v>0</v>
      </c>
      <c r="DG19">
        <f t="shared" si="4"/>
        <v>0</v>
      </c>
      <c r="DH19">
        <f t="shared" si="5"/>
        <v>0</v>
      </c>
      <c r="DI19">
        <f t="shared" si="3"/>
        <v>0</v>
      </c>
      <c r="DJ19">
        <f>DI19</f>
        <v>0</v>
      </c>
      <c r="DK19">
        <v>0</v>
      </c>
    </row>
    <row r="20" spans="1:115" x14ac:dyDescent="0.2">
      <c r="A20">
        <f>ROW(Source!A69)</f>
        <v>69</v>
      </c>
      <c r="B20">
        <v>129761636</v>
      </c>
      <c r="C20">
        <v>129763184</v>
      </c>
      <c r="D20">
        <v>37417624</v>
      </c>
      <c r="E20">
        <v>1</v>
      </c>
      <c r="F20">
        <v>1</v>
      </c>
      <c r="G20">
        <v>37345137</v>
      </c>
      <c r="H20">
        <v>2</v>
      </c>
      <c r="I20" t="s">
        <v>1115</v>
      </c>
      <c r="J20" t="s">
        <v>1116</v>
      </c>
      <c r="K20" t="s">
        <v>1117</v>
      </c>
      <c r="L20">
        <v>1367</v>
      </c>
      <c r="N20">
        <v>1011</v>
      </c>
      <c r="O20" t="s">
        <v>1102</v>
      </c>
      <c r="P20" t="s">
        <v>1102</v>
      </c>
      <c r="Q20">
        <v>1</v>
      </c>
      <c r="W20">
        <v>0</v>
      </c>
      <c r="X20">
        <v>-1500897512</v>
      </c>
      <c r="Y20">
        <f t="shared" ref="Y20:Y25" si="7">(AT20*1.25)</f>
        <v>2.9375</v>
      </c>
      <c r="AA20">
        <v>0</v>
      </c>
      <c r="AB20">
        <v>163.47999999999999</v>
      </c>
      <c r="AC20">
        <v>15.47</v>
      </c>
      <c r="AD20">
        <v>0</v>
      </c>
      <c r="AE20">
        <v>0</v>
      </c>
      <c r="AF20">
        <v>163.47999999999999</v>
      </c>
      <c r="AG20">
        <v>15.47</v>
      </c>
      <c r="AH20">
        <v>0</v>
      </c>
      <c r="AI20">
        <v>1</v>
      </c>
      <c r="AJ20">
        <v>1</v>
      </c>
      <c r="AK20">
        <v>1</v>
      </c>
      <c r="AL20">
        <v>1</v>
      </c>
      <c r="AN20">
        <v>0</v>
      </c>
      <c r="AO20">
        <v>1</v>
      </c>
      <c r="AP20">
        <v>1</v>
      </c>
      <c r="AQ20">
        <v>0</v>
      </c>
      <c r="AR20">
        <v>0</v>
      </c>
      <c r="AS20" t="s">
        <v>3</v>
      </c>
      <c r="AT20">
        <v>2.35</v>
      </c>
      <c r="AU20" t="s">
        <v>86</v>
      </c>
      <c r="AV20">
        <v>0</v>
      </c>
      <c r="AW20">
        <v>2</v>
      </c>
      <c r="AX20">
        <v>129763195</v>
      </c>
      <c r="AY20">
        <v>1</v>
      </c>
      <c r="AZ20">
        <v>0</v>
      </c>
      <c r="BA20">
        <v>20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ROUND(Y20*Source!I69,9)</f>
        <v>5.8162499999999999E-2</v>
      </c>
      <c r="CY20">
        <f t="shared" ref="CY20:CY25" si="8">AB20</f>
        <v>163.47999999999999</v>
      </c>
      <c r="CZ20">
        <f t="shared" ref="CZ20:CZ25" si="9">AF20</f>
        <v>163.47999999999999</v>
      </c>
      <c r="DA20">
        <f t="shared" ref="DA20:DA25" si="10">AJ20</f>
        <v>1</v>
      </c>
      <c r="DB20">
        <f t="shared" ref="DB20:DB25" si="11">ROUND((ROUND(AT20*CZ20,2)*1.25),6)</f>
        <v>480.22500000000002</v>
      </c>
      <c r="DC20">
        <f t="shared" ref="DC20:DC25" si="12">ROUND((ROUND(AT20*AG20,2)*1.25),6)</f>
        <v>45.4375</v>
      </c>
      <c r="DD20" t="s">
        <v>3</v>
      </c>
      <c r="DE20" t="s">
        <v>3</v>
      </c>
      <c r="DF20">
        <f t="shared" si="6"/>
        <v>0</v>
      </c>
      <c r="DG20">
        <f t="shared" si="4"/>
        <v>9.51</v>
      </c>
      <c r="DH20">
        <f t="shared" si="5"/>
        <v>0.9</v>
      </c>
      <c r="DI20">
        <f t="shared" si="3"/>
        <v>0</v>
      </c>
      <c r="DJ20">
        <f t="shared" ref="DJ20:DJ25" si="13">DG20</f>
        <v>9.51</v>
      </c>
      <c r="DK20">
        <v>0</v>
      </c>
    </row>
    <row r="21" spans="1:115" x14ac:dyDescent="0.2">
      <c r="A21">
        <f>ROW(Source!A69)</f>
        <v>69</v>
      </c>
      <c r="B21">
        <v>129761636</v>
      </c>
      <c r="C21">
        <v>129763184</v>
      </c>
      <c r="D21">
        <v>37417871</v>
      </c>
      <c r="E21">
        <v>1</v>
      </c>
      <c r="F21">
        <v>1</v>
      </c>
      <c r="G21">
        <v>37345137</v>
      </c>
      <c r="H21">
        <v>2</v>
      </c>
      <c r="I21" t="s">
        <v>1106</v>
      </c>
      <c r="J21" t="s">
        <v>1107</v>
      </c>
      <c r="K21" t="s">
        <v>1108</v>
      </c>
      <c r="L21">
        <v>1367</v>
      </c>
      <c r="N21">
        <v>1011</v>
      </c>
      <c r="O21" t="s">
        <v>1102</v>
      </c>
      <c r="P21" t="s">
        <v>1102</v>
      </c>
      <c r="Q21">
        <v>1</v>
      </c>
      <c r="W21">
        <v>0</v>
      </c>
      <c r="X21">
        <v>366114799</v>
      </c>
      <c r="Y21">
        <f t="shared" si="7"/>
        <v>1.1375</v>
      </c>
      <c r="AA21">
        <v>0</v>
      </c>
      <c r="AB21">
        <v>246.68</v>
      </c>
      <c r="AC21">
        <v>13.37</v>
      </c>
      <c r="AD21">
        <v>0</v>
      </c>
      <c r="AE21">
        <v>0</v>
      </c>
      <c r="AF21">
        <v>246.68</v>
      </c>
      <c r="AG21">
        <v>13.37</v>
      </c>
      <c r="AH21">
        <v>0</v>
      </c>
      <c r="AI21">
        <v>1</v>
      </c>
      <c r="AJ21">
        <v>1</v>
      </c>
      <c r="AK21">
        <v>1</v>
      </c>
      <c r="AL21">
        <v>1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3</v>
      </c>
      <c r="AT21">
        <v>0.91</v>
      </c>
      <c r="AU21" t="s">
        <v>86</v>
      </c>
      <c r="AV21">
        <v>0</v>
      </c>
      <c r="AW21">
        <v>2</v>
      </c>
      <c r="AX21">
        <v>129763196</v>
      </c>
      <c r="AY21">
        <v>1</v>
      </c>
      <c r="AZ21">
        <v>0</v>
      </c>
      <c r="BA21">
        <v>21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ROUND(Y21*Source!I69,9)</f>
        <v>2.2522500000000001E-2</v>
      </c>
      <c r="CY21">
        <f t="shared" si="8"/>
        <v>246.68</v>
      </c>
      <c r="CZ21">
        <f t="shared" si="9"/>
        <v>246.68</v>
      </c>
      <c r="DA21">
        <f t="shared" si="10"/>
        <v>1</v>
      </c>
      <c r="DB21">
        <f t="shared" si="11"/>
        <v>280.60000000000002</v>
      </c>
      <c r="DC21">
        <f t="shared" si="12"/>
        <v>15.2125</v>
      </c>
      <c r="DD21" t="s">
        <v>3</v>
      </c>
      <c r="DE21" t="s">
        <v>3</v>
      </c>
      <c r="DF21">
        <f t="shared" si="6"/>
        <v>0</v>
      </c>
      <c r="DG21">
        <f t="shared" si="4"/>
        <v>5.56</v>
      </c>
      <c r="DH21">
        <f t="shared" si="5"/>
        <v>0.3</v>
      </c>
      <c r="DI21">
        <f t="shared" si="3"/>
        <v>0</v>
      </c>
      <c r="DJ21">
        <f t="shared" si="13"/>
        <v>5.56</v>
      </c>
      <c r="DK21">
        <v>0</v>
      </c>
    </row>
    <row r="22" spans="1:115" x14ac:dyDescent="0.2">
      <c r="A22">
        <f>ROW(Source!A69)</f>
        <v>69</v>
      </c>
      <c r="B22">
        <v>129761636</v>
      </c>
      <c r="C22">
        <v>129763184</v>
      </c>
      <c r="D22">
        <v>37417856</v>
      </c>
      <c r="E22">
        <v>1</v>
      </c>
      <c r="F22">
        <v>1</v>
      </c>
      <c r="G22">
        <v>37345137</v>
      </c>
      <c r="H22">
        <v>2</v>
      </c>
      <c r="I22" t="s">
        <v>1118</v>
      </c>
      <c r="J22" t="s">
        <v>1119</v>
      </c>
      <c r="K22" t="s">
        <v>1120</v>
      </c>
      <c r="L22">
        <v>1367</v>
      </c>
      <c r="N22">
        <v>1011</v>
      </c>
      <c r="O22" t="s">
        <v>1102</v>
      </c>
      <c r="P22" t="s">
        <v>1102</v>
      </c>
      <c r="Q22">
        <v>1</v>
      </c>
      <c r="W22">
        <v>0</v>
      </c>
      <c r="X22">
        <v>-1882480599</v>
      </c>
      <c r="Y22">
        <f t="shared" si="7"/>
        <v>8.9625000000000004</v>
      </c>
      <c r="AA22">
        <v>0</v>
      </c>
      <c r="AB22">
        <v>169.44</v>
      </c>
      <c r="AC22">
        <v>15.02</v>
      </c>
      <c r="AD22">
        <v>0</v>
      </c>
      <c r="AE22">
        <v>0</v>
      </c>
      <c r="AF22">
        <v>169.44</v>
      </c>
      <c r="AG22">
        <v>15.02</v>
      </c>
      <c r="AH22">
        <v>0</v>
      </c>
      <c r="AI22">
        <v>1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1</v>
      </c>
      <c r="AQ22">
        <v>0</v>
      </c>
      <c r="AR22">
        <v>0</v>
      </c>
      <c r="AS22" t="s">
        <v>3</v>
      </c>
      <c r="AT22">
        <v>7.17</v>
      </c>
      <c r="AU22" t="s">
        <v>86</v>
      </c>
      <c r="AV22">
        <v>0</v>
      </c>
      <c r="AW22">
        <v>2</v>
      </c>
      <c r="AX22">
        <v>129763197</v>
      </c>
      <c r="AY22">
        <v>1</v>
      </c>
      <c r="AZ22">
        <v>0</v>
      </c>
      <c r="BA22">
        <v>22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ROUND(Y22*Source!I69,9)</f>
        <v>0.17745749999999999</v>
      </c>
      <c r="CY22">
        <f t="shared" si="8"/>
        <v>169.44</v>
      </c>
      <c r="CZ22">
        <f t="shared" si="9"/>
        <v>169.44</v>
      </c>
      <c r="DA22">
        <f t="shared" si="10"/>
        <v>1</v>
      </c>
      <c r="DB22">
        <f t="shared" si="11"/>
        <v>1518.6</v>
      </c>
      <c r="DC22">
        <f t="shared" si="12"/>
        <v>134.61250000000001</v>
      </c>
      <c r="DD22" t="s">
        <v>3</v>
      </c>
      <c r="DE22" t="s">
        <v>3</v>
      </c>
      <c r="DF22">
        <f t="shared" si="6"/>
        <v>0</v>
      </c>
      <c r="DG22">
        <f t="shared" si="4"/>
        <v>30.07</v>
      </c>
      <c r="DH22">
        <f t="shared" si="5"/>
        <v>2.67</v>
      </c>
      <c r="DI22">
        <f t="shared" si="3"/>
        <v>0</v>
      </c>
      <c r="DJ22">
        <f t="shared" si="13"/>
        <v>30.07</v>
      </c>
      <c r="DK22">
        <v>0</v>
      </c>
    </row>
    <row r="23" spans="1:115" x14ac:dyDescent="0.2">
      <c r="A23">
        <f>ROW(Source!A69)</f>
        <v>69</v>
      </c>
      <c r="B23">
        <v>129761636</v>
      </c>
      <c r="C23">
        <v>129763184</v>
      </c>
      <c r="D23">
        <v>37417857</v>
      </c>
      <c r="E23">
        <v>1</v>
      </c>
      <c r="F23">
        <v>1</v>
      </c>
      <c r="G23">
        <v>37345137</v>
      </c>
      <c r="H23">
        <v>2</v>
      </c>
      <c r="I23" t="s">
        <v>1121</v>
      </c>
      <c r="J23" t="s">
        <v>1122</v>
      </c>
      <c r="K23" t="s">
        <v>1123</v>
      </c>
      <c r="L23">
        <v>1367</v>
      </c>
      <c r="N23">
        <v>1011</v>
      </c>
      <c r="O23" t="s">
        <v>1102</v>
      </c>
      <c r="P23" t="s">
        <v>1102</v>
      </c>
      <c r="Q23">
        <v>1</v>
      </c>
      <c r="W23">
        <v>0</v>
      </c>
      <c r="X23">
        <v>-1920329426</v>
      </c>
      <c r="Y23">
        <f t="shared" si="7"/>
        <v>18.25</v>
      </c>
      <c r="AA23">
        <v>0</v>
      </c>
      <c r="AB23">
        <v>219.5</v>
      </c>
      <c r="AC23">
        <v>17.510000000000002</v>
      </c>
      <c r="AD23">
        <v>0</v>
      </c>
      <c r="AE23">
        <v>0</v>
      </c>
      <c r="AF23">
        <v>219.5</v>
      </c>
      <c r="AG23">
        <v>17.510000000000002</v>
      </c>
      <c r="AH23">
        <v>0</v>
      </c>
      <c r="AI23">
        <v>1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1</v>
      </c>
      <c r="AQ23">
        <v>0</v>
      </c>
      <c r="AR23">
        <v>0</v>
      </c>
      <c r="AS23" t="s">
        <v>3</v>
      </c>
      <c r="AT23">
        <v>14.6</v>
      </c>
      <c r="AU23" t="s">
        <v>86</v>
      </c>
      <c r="AV23">
        <v>0</v>
      </c>
      <c r="AW23">
        <v>2</v>
      </c>
      <c r="AX23">
        <v>129763198</v>
      </c>
      <c r="AY23">
        <v>1</v>
      </c>
      <c r="AZ23">
        <v>0</v>
      </c>
      <c r="BA23">
        <v>23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ROUND(Y23*Source!I69,9)</f>
        <v>0.36135</v>
      </c>
      <c r="CY23">
        <f t="shared" si="8"/>
        <v>219.5</v>
      </c>
      <c r="CZ23">
        <f t="shared" si="9"/>
        <v>219.5</v>
      </c>
      <c r="DA23">
        <f t="shared" si="10"/>
        <v>1</v>
      </c>
      <c r="DB23">
        <f t="shared" si="11"/>
        <v>4005.875</v>
      </c>
      <c r="DC23">
        <f t="shared" si="12"/>
        <v>319.5625</v>
      </c>
      <c r="DD23" t="s">
        <v>3</v>
      </c>
      <c r="DE23" t="s">
        <v>3</v>
      </c>
      <c r="DF23">
        <f t="shared" si="6"/>
        <v>0</v>
      </c>
      <c r="DG23">
        <f t="shared" si="4"/>
        <v>79.319999999999993</v>
      </c>
      <c r="DH23">
        <f t="shared" si="5"/>
        <v>6.33</v>
      </c>
      <c r="DI23">
        <f t="shared" si="3"/>
        <v>0</v>
      </c>
      <c r="DJ23">
        <f t="shared" si="13"/>
        <v>79.319999999999993</v>
      </c>
      <c r="DK23">
        <v>0</v>
      </c>
    </row>
    <row r="24" spans="1:115" x14ac:dyDescent="0.2">
      <c r="A24">
        <f>ROW(Source!A69)</f>
        <v>69</v>
      </c>
      <c r="B24">
        <v>129761636</v>
      </c>
      <c r="C24">
        <v>129763184</v>
      </c>
      <c r="D24">
        <v>37417899</v>
      </c>
      <c r="E24">
        <v>1</v>
      </c>
      <c r="F24">
        <v>1</v>
      </c>
      <c r="G24">
        <v>37345137</v>
      </c>
      <c r="H24">
        <v>2</v>
      </c>
      <c r="I24" t="s">
        <v>1109</v>
      </c>
      <c r="J24" t="s">
        <v>1110</v>
      </c>
      <c r="K24" t="s">
        <v>1111</v>
      </c>
      <c r="L24">
        <v>1367</v>
      </c>
      <c r="N24">
        <v>1011</v>
      </c>
      <c r="O24" t="s">
        <v>1102</v>
      </c>
      <c r="P24" t="s">
        <v>1102</v>
      </c>
      <c r="Q24">
        <v>1</v>
      </c>
      <c r="W24">
        <v>0</v>
      </c>
      <c r="X24">
        <v>856318566</v>
      </c>
      <c r="Y24">
        <f t="shared" si="7"/>
        <v>2.2374999999999998</v>
      </c>
      <c r="AA24">
        <v>0</v>
      </c>
      <c r="AB24">
        <v>125.13</v>
      </c>
      <c r="AC24">
        <v>24.74</v>
      </c>
      <c r="AD24">
        <v>0</v>
      </c>
      <c r="AE24">
        <v>0</v>
      </c>
      <c r="AF24">
        <v>125.13</v>
      </c>
      <c r="AG24">
        <v>24.74</v>
      </c>
      <c r="AH24">
        <v>0</v>
      </c>
      <c r="AI24">
        <v>1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1</v>
      </c>
      <c r="AQ24">
        <v>0</v>
      </c>
      <c r="AR24">
        <v>0</v>
      </c>
      <c r="AS24" t="s">
        <v>3</v>
      </c>
      <c r="AT24">
        <v>1.79</v>
      </c>
      <c r="AU24" t="s">
        <v>86</v>
      </c>
      <c r="AV24">
        <v>0</v>
      </c>
      <c r="AW24">
        <v>2</v>
      </c>
      <c r="AX24">
        <v>129763199</v>
      </c>
      <c r="AY24">
        <v>1</v>
      </c>
      <c r="AZ24">
        <v>0</v>
      </c>
      <c r="BA24">
        <v>24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ROUND(Y24*Source!I69,9)</f>
        <v>4.4302500000000002E-2</v>
      </c>
      <c r="CY24">
        <f t="shared" si="8"/>
        <v>125.13</v>
      </c>
      <c r="CZ24">
        <f t="shared" si="9"/>
        <v>125.13</v>
      </c>
      <c r="DA24">
        <f t="shared" si="10"/>
        <v>1</v>
      </c>
      <c r="DB24">
        <f t="shared" si="11"/>
        <v>279.97500000000002</v>
      </c>
      <c r="DC24">
        <f t="shared" si="12"/>
        <v>55.35</v>
      </c>
      <c r="DD24" t="s">
        <v>3</v>
      </c>
      <c r="DE24" t="s">
        <v>3</v>
      </c>
      <c r="DF24">
        <f t="shared" si="6"/>
        <v>0</v>
      </c>
      <c r="DG24">
        <f t="shared" si="4"/>
        <v>5.54</v>
      </c>
      <c r="DH24">
        <f t="shared" si="5"/>
        <v>1.1000000000000001</v>
      </c>
      <c r="DI24">
        <f t="shared" si="3"/>
        <v>0</v>
      </c>
      <c r="DJ24">
        <f t="shared" si="13"/>
        <v>5.54</v>
      </c>
      <c r="DK24">
        <v>0</v>
      </c>
    </row>
    <row r="25" spans="1:115" x14ac:dyDescent="0.2">
      <c r="A25">
        <f>ROW(Source!A69)</f>
        <v>69</v>
      </c>
      <c r="B25">
        <v>129761636</v>
      </c>
      <c r="C25">
        <v>129763184</v>
      </c>
      <c r="D25">
        <v>37417861</v>
      </c>
      <c r="E25">
        <v>1</v>
      </c>
      <c r="F25">
        <v>1</v>
      </c>
      <c r="G25">
        <v>37345137</v>
      </c>
      <c r="H25">
        <v>2</v>
      </c>
      <c r="I25" t="s">
        <v>1112</v>
      </c>
      <c r="J25" t="s">
        <v>1113</v>
      </c>
      <c r="K25" t="s">
        <v>1114</v>
      </c>
      <c r="L25">
        <v>1367</v>
      </c>
      <c r="N25">
        <v>1011</v>
      </c>
      <c r="O25" t="s">
        <v>1102</v>
      </c>
      <c r="P25" t="s">
        <v>1102</v>
      </c>
      <c r="Q25">
        <v>1</v>
      </c>
      <c r="W25">
        <v>0</v>
      </c>
      <c r="X25">
        <v>-646811103</v>
      </c>
      <c r="Y25">
        <f t="shared" si="7"/>
        <v>0.65</v>
      </c>
      <c r="AA25">
        <v>0</v>
      </c>
      <c r="AB25">
        <v>177.54</v>
      </c>
      <c r="AC25">
        <v>17.420000000000002</v>
      </c>
      <c r="AD25">
        <v>0</v>
      </c>
      <c r="AE25">
        <v>0</v>
      </c>
      <c r="AF25">
        <v>177.54</v>
      </c>
      <c r="AG25">
        <v>17.420000000000002</v>
      </c>
      <c r="AH25">
        <v>0</v>
      </c>
      <c r="AI25">
        <v>1</v>
      </c>
      <c r="AJ25">
        <v>1</v>
      </c>
      <c r="AK25">
        <v>1</v>
      </c>
      <c r="AL25">
        <v>1</v>
      </c>
      <c r="AN25">
        <v>0</v>
      </c>
      <c r="AO25">
        <v>1</v>
      </c>
      <c r="AP25">
        <v>1</v>
      </c>
      <c r="AQ25">
        <v>0</v>
      </c>
      <c r="AR25">
        <v>0</v>
      </c>
      <c r="AS25" t="s">
        <v>3</v>
      </c>
      <c r="AT25">
        <v>0.52</v>
      </c>
      <c r="AU25" t="s">
        <v>86</v>
      </c>
      <c r="AV25">
        <v>0</v>
      </c>
      <c r="AW25">
        <v>2</v>
      </c>
      <c r="AX25">
        <v>129763200</v>
      </c>
      <c r="AY25">
        <v>1</v>
      </c>
      <c r="AZ25">
        <v>0</v>
      </c>
      <c r="BA25">
        <v>25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ROUND(Y25*Source!I69,9)</f>
        <v>1.2869999999999999E-2</v>
      </c>
      <c r="CY25">
        <f t="shared" si="8"/>
        <v>177.54</v>
      </c>
      <c r="CZ25">
        <f t="shared" si="9"/>
        <v>177.54</v>
      </c>
      <c r="DA25">
        <f t="shared" si="10"/>
        <v>1</v>
      </c>
      <c r="DB25">
        <f t="shared" si="11"/>
        <v>115.4</v>
      </c>
      <c r="DC25">
        <f t="shared" si="12"/>
        <v>11.324999999999999</v>
      </c>
      <c r="DD25" t="s">
        <v>3</v>
      </c>
      <c r="DE25" t="s">
        <v>3</v>
      </c>
      <c r="DF25">
        <f t="shared" si="6"/>
        <v>0</v>
      </c>
      <c r="DG25">
        <f t="shared" si="4"/>
        <v>2.2799999999999998</v>
      </c>
      <c r="DH25">
        <f t="shared" si="5"/>
        <v>0.22</v>
      </c>
      <c r="DI25">
        <f t="shared" si="3"/>
        <v>0</v>
      </c>
      <c r="DJ25">
        <f t="shared" si="13"/>
        <v>2.2799999999999998</v>
      </c>
      <c r="DK25">
        <v>0</v>
      </c>
    </row>
    <row r="26" spans="1:115" x14ac:dyDescent="0.2">
      <c r="A26">
        <f>ROW(Source!A69)</f>
        <v>69</v>
      </c>
      <c r="B26">
        <v>129761636</v>
      </c>
      <c r="C26">
        <v>129763184</v>
      </c>
      <c r="D26">
        <v>37393552</v>
      </c>
      <c r="E26">
        <v>1</v>
      </c>
      <c r="F26">
        <v>1</v>
      </c>
      <c r="G26">
        <v>37345137</v>
      </c>
      <c r="H26">
        <v>3</v>
      </c>
      <c r="I26" t="s">
        <v>348</v>
      </c>
      <c r="J26" t="s">
        <v>350</v>
      </c>
      <c r="K26" t="s">
        <v>349</v>
      </c>
      <c r="L26">
        <v>1339</v>
      </c>
      <c r="N26">
        <v>1007</v>
      </c>
      <c r="O26" t="s">
        <v>94</v>
      </c>
      <c r="P26" t="s">
        <v>94</v>
      </c>
      <c r="Q26">
        <v>1</v>
      </c>
      <c r="W26">
        <v>0</v>
      </c>
      <c r="X26">
        <v>-862991314</v>
      </c>
      <c r="Y26">
        <f>AT26</f>
        <v>7</v>
      </c>
      <c r="AA26">
        <v>7.07</v>
      </c>
      <c r="AB26">
        <v>0</v>
      </c>
      <c r="AC26">
        <v>0</v>
      </c>
      <c r="AD26">
        <v>0</v>
      </c>
      <c r="AE26">
        <v>7.07</v>
      </c>
      <c r="AF26">
        <v>0</v>
      </c>
      <c r="AG26">
        <v>0</v>
      </c>
      <c r="AH26">
        <v>0</v>
      </c>
      <c r="AI26">
        <v>1</v>
      </c>
      <c r="AJ26">
        <v>1</v>
      </c>
      <c r="AK26">
        <v>1</v>
      </c>
      <c r="AL26">
        <v>1</v>
      </c>
      <c r="AN26">
        <v>0</v>
      </c>
      <c r="AO26">
        <v>1</v>
      </c>
      <c r="AP26">
        <v>0</v>
      </c>
      <c r="AQ26">
        <v>0</v>
      </c>
      <c r="AR26">
        <v>0</v>
      </c>
      <c r="AS26" t="s">
        <v>3</v>
      </c>
      <c r="AT26">
        <v>7</v>
      </c>
      <c r="AU26" t="s">
        <v>3</v>
      </c>
      <c r="AV26">
        <v>0</v>
      </c>
      <c r="AW26">
        <v>2</v>
      </c>
      <c r="AX26">
        <v>129763201</v>
      </c>
      <c r="AY26">
        <v>1</v>
      </c>
      <c r="AZ26">
        <v>0</v>
      </c>
      <c r="BA26">
        <v>26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ROUND(Y26*Source!I69,9)</f>
        <v>0.1386</v>
      </c>
      <c r="CY26">
        <f>AA26</f>
        <v>7.07</v>
      </c>
      <c r="CZ26">
        <f>AE26</f>
        <v>7.07</v>
      </c>
      <c r="DA26">
        <f>AI26</f>
        <v>1</v>
      </c>
      <c r="DB26">
        <f>ROUND(ROUND(AT26*CZ26,2),6)</f>
        <v>49.49</v>
      </c>
      <c r="DC26">
        <f>ROUND(ROUND(AT26*AG26,2),6)</f>
        <v>0</v>
      </c>
      <c r="DD26" t="s">
        <v>3</v>
      </c>
      <c r="DE26" t="s">
        <v>3</v>
      </c>
      <c r="DF26">
        <f t="shared" si="6"/>
        <v>0.98</v>
      </c>
      <c r="DG26">
        <f t="shared" si="4"/>
        <v>0</v>
      </c>
      <c r="DH26">
        <f t="shared" si="5"/>
        <v>0</v>
      </c>
      <c r="DI26">
        <f t="shared" si="3"/>
        <v>0</v>
      </c>
      <c r="DJ26">
        <f>DF26</f>
        <v>0.98</v>
      </c>
      <c r="DK26">
        <v>0</v>
      </c>
    </row>
    <row r="27" spans="1:115" x14ac:dyDescent="0.2">
      <c r="A27">
        <f>ROW(Source!A69)</f>
        <v>69</v>
      </c>
      <c r="B27">
        <v>129761636</v>
      </c>
      <c r="C27">
        <v>129763184</v>
      </c>
      <c r="D27">
        <v>37394852</v>
      </c>
      <c r="E27">
        <v>1</v>
      </c>
      <c r="F27">
        <v>1</v>
      </c>
      <c r="G27">
        <v>37345137</v>
      </c>
      <c r="H27">
        <v>3</v>
      </c>
      <c r="I27" t="s">
        <v>101</v>
      </c>
      <c r="J27" t="s">
        <v>103</v>
      </c>
      <c r="K27" t="s">
        <v>102</v>
      </c>
      <c r="L27">
        <v>1339</v>
      </c>
      <c r="N27">
        <v>1007</v>
      </c>
      <c r="O27" t="s">
        <v>94</v>
      </c>
      <c r="P27" t="s">
        <v>94</v>
      </c>
      <c r="Q27">
        <v>1</v>
      </c>
      <c r="W27">
        <v>0</v>
      </c>
      <c r="X27">
        <v>489817369</v>
      </c>
      <c r="Y27">
        <f>AT27</f>
        <v>126</v>
      </c>
      <c r="AA27">
        <v>165.8</v>
      </c>
      <c r="AB27">
        <v>0</v>
      </c>
      <c r="AC27">
        <v>0</v>
      </c>
      <c r="AD27">
        <v>0</v>
      </c>
      <c r="AE27">
        <v>165.8</v>
      </c>
      <c r="AF27">
        <v>0</v>
      </c>
      <c r="AG27">
        <v>0</v>
      </c>
      <c r="AH27">
        <v>0</v>
      </c>
      <c r="AI27">
        <v>1</v>
      </c>
      <c r="AJ27">
        <v>1</v>
      </c>
      <c r="AK27">
        <v>1</v>
      </c>
      <c r="AL27">
        <v>1</v>
      </c>
      <c r="AN27">
        <v>0</v>
      </c>
      <c r="AO27">
        <v>0</v>
      </c>
      <c r="AP27">
        <v>0</v>
      </c>
      <c r="AQ27">
        <v>0</v>
      </c>
      <c r="AR27">
        <v>0</v>
      </c>
      <c r="AS27" t="s">
        <v>3</v>
      </c>
      <c r="AT27">
        <v>126</v>
      </c>
      <c r="AU27" t="s">
        <v>3</v>
      </c>
      <c r="AV27">
        <v>0</v>
      </c>
      <c r="AW27">
        <v>1</v>
      </c>
      <c r="AX27">
        <v>-1</v>
      </c>
      <c r="AY27">
        <v>0</v>
      </c>
      <c r="AZ27">
        <v>0</v>
      </c>
      <c r="BA27" t="s">
        <v>3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ROUND(Y27*Source!I69,9)</f>
        <v>2.4948000000000001</v>
      </c>
      <c r="CY27">
        <f>AA27</f>
        <v>165.8</v>
      </c>
      <c r="CZ27">
        <f>AE27</f>
        <v>165.8</v>
      </c>
      <c r="DA27">
        <f>AI27</f>
        <v>1</v>
      </c>
      <c r="DB27">
        <f>ROUND(ROUND(AT27*CZ27,2),6)</f>
        <v>20890.8</v>
      </c>
      <c r="DC27">
        <f>ROUND(ROUND(AT27*AG27,2),6)</f>
        <v>0</v>
      </c>
      <c r="DD27" t="s">
        <v>3</v>
      </c>
      <c r="DE27" t="s">
        <v>3</v>
      </c>
      <c r="DF27">
        <f t="shared" si="6"/>
        <v>413.64</v>
      </c>
      <c r="DG27">
        <f t="shared" si="4"/>
        <v>0</v>
      </c>
      <c r="DH27">
        <f t="shared" si="5"/>
        <v>0</v>
      </c>
      <c r="DI27">
        <f t="shared" si="3"/>
        <v>0</v>
      </c>
      <c r="DJ27">
        <f>DF27</f>
        <v>413.64</v>
      </c>
      <c r="DK27">
        <v>0</v>
      </c>
    </row>
    <row r="28" spans="1:115" x14ac:dyDescent="0.2">
      <c r="A28">
        <f>ROW(Source!A70)</f>
        <v>70</v>
      </c>
      <c r="B28">
        <v>129761633</v>
      </c>
      <c r="C28">
        <v>129763184</v>
      </c>
      <c r="D28">
        <v>37345142</v>
      </c>
      <c r="E28">
        <v>37345137</v>
      </c>
      <c r="F28">
        <v>1</v>
      </c>
      <c r="G28">
        <v>37345137</v>
      </c>
      <c r="H28">
        <v>1</v>
      </c>
      <c r="I28" t="s">
        <v>1096</v>
      </c>
      <c r="J28" t="s">
        <v>3</v>
      </c>
      <c r="K28" t="s">
        <v>1097</v>
      </c>
      <c r="L28">
        <v>1191</v>
      </c>
      <c r="N28">
        <v>1013</v>
      </c>
      <c r="O28" t="s">
        <v>1098</v>
      </c>
      <c r="P28" t="s">
        <v>1098</v>
      </c>
      <c r="Q28">
        <v>1</v>
      </c>
      <c r="W28">
        <v>0</v>
      </c>
      <c r="X28">
        <v>476480486</v>
      </c>
      <c r="Y28">
        <f>(AT28*1.15)</f>
        <v>24.84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1</v>
      </c>
      <c r="AJ28">
        <v>1</v>
      </c>
      <c r="AK28">
        <v>1</v>
      </c>
      <c r="AL28">
        <v>1</v>
      </c>
      <c r="AN28">
        <v>0</v>
      </c>
      <c r="AO28">
        <v>1</v>
      </c>
      <c r="AP28">
        <v>1</v>
      </c>
      <c r="AQ28">
        <v>0</v>
      </c>
      <c r="AR28">
        <v>0</v>
      </c>
      <c r="AS28" t="s">
        <v>3</v>
      </c>
      <c r="AT28">
        <v>21.6</v>
      </c>
      <c r="AU28" t="s">
        <v>87</v>
      </c>
      <c r="AV28">
        <v>1</v>
      </c>
      <c r="AW28">
        <v>2</v>
      </c>
      <c r="AX28">
        <v>129763194</v>
      </c>
      <c r="AY28">
        <v>1</v>
      </c>
      <c r="AZ28">
        <v>0</v>
      </c>
      <c r="BA28">
        <v>28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ROUND(Y28*Source!I70,9)</f>
        <v>0.49183199999999999</v>
      </c>
      <c r="CY28">
        <f>AD28</f>
        <v>0</v>
      </c>
      <c r="CZ28">
        <f>AH28</f>
        <v>0</v>
      </c>
      <c r="DA28">
        <f>AL28</f>
        <v>1</v>
      </c>
      <c r="DB28">
        <f>ROUND((ROUND(AT28*CZ28,2)*1.15),6)</f>
        <v>0</v>
      </c>
      <c r="DC28">
        <f>ROUND((ROUND(AT28*AG28,2)*1.15),6)</f>
        <v>0</v>
      </c>
      <c r="DD28" t="s">
        <v>3</v>
      </c>
      <c r="DE28" t="s">
        <v>3</v>
      </c>
      <c r="DF28">
        <f t="shared" si="6"/>
        <v>0</v>
      </c>
      <c r="DG28">
        <f t="shared" si="4"/>
        <v>0</v>
      </c>
      <c r="DH28">
        <f t="shared" si="5"/>
        <v>0</v>
      </c>
      <c r="DI28">
        <f t="shared" si="3"/>
        <v>0</v>
      </c>
      <c r="DJ28">
        <f>DI28</f>
        <v>0</v>
      </c>
      <c r="DK28">
        <v>0</v>
      </c>
    </row>
    <row r="29" spans="1:115" x14ac:dyDescent="0.2">
      <c r="A29">
        <f>ROW(Source!A70)</f>
        <v>70</v>
      </c>
      <c r="B29">
        <v>129761633</v>
      </c>
      <c r="C29">
        <v>129763184</v>
      </c>
      <c r="D29">
        <v>37417624</v>
      </c>
      <c r="E29">
        <v>1</v>
      </c>
      <c r="F29">
        <v>1</v>
      </c>
      <c r="G29">
        <v>37345137</v>
      </c>
      <c r="H29">
        <v>2</v>
      </c>
      <c r="I29" t="s">
        <v>1115</v>
      </c>
      <c r="J29" t="s">
        <v>1116</v>
      </c>
      <c r="K29" t="s">
        <v>1117</v>
      </c>
      <c r="L29">
        <v>1367</v>
      </c>
      <c r="N29">
        <v>1011</v>
      </c>
      <c r="O29" t="s">
        <v>1102</v>
      </c>
      <c r="P29" t="s">
        <v>1102</v>
      </c>
      <c r="Q29">
        <v>1</v>
      </c>
      <c r="W29">
        <v>0</v>
      </c>
      <c r="X29">
        <v>-1500897512</v>
      </c>
      <c r="Y29">
        <f t="shared" ref="Y29:Y34" si="14">(AT29*1.25)</f>
        <v>2.9375</v>
      </c>
      <c r="AA29">
        <v>0</v>
      </c>
      <c r="AB29">
        <v>1857.12</v>
      </c>
      <c r="AC29">
        <v>470.2</v>
      </c>
      <c r="AD29">
        <v>0</v>
      </c>
      <c r="AE29">
        <v>0</v>
      </c>
      <c r="AF29">
        <v>163.47999999999999</v>
      </c>
      <c r="AG29">
        <v>15.47</v>
      </c>
      <c r="AH29">
        <v>0</v>
      </c>
      <c r="AI29">
        <v>1</v>
      </c>
      <c r="AJ29">
        <v>10.85</v>
      </c>
      <c r="AK29">
        <v>29.03</v>
      </c>
      <c r="AL29">
        <v>1</v>
      </c>
      <c r="AN29">
        <v>0</v>
      </c>
      <c r="AO29">
        <v>1</v>
      </c>
      <c r="AP29">
        <v>1</v>
      </c>
      <c r="AQ29">
        <v>0</v>
      </c>
      <c r="AR29">
        <v>0</v>
      </c>
      <c r="AS29" t="s">
        <v>3</v>
      </c>
      <c r="AT29">
        <v>2.35</v>
      </c>
      <c r="AU29" t="s">
        <v>86</v>
      </c>
      <c r="AV29">
        <v>0</v>
      </c>
      <c r="AW29">
        <v>2</v>
      </c>
      <c r="AX29">
        <v>129763195</v>
      </c>
      <c r="AY29">
        <v>1</v>
      </c>
      <c r="AZ29">
        <v>0</v>
      </c>
      <c r="BA29">
        <v>29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ROUND(Y29*Source!I70,9)</f>
        <v>5.8162499999999999E-2</v>
      </c>
      <c r="CY29">
        <f t="shared" ref="CY29:CY34" si="15">AB29</f>
        <v>1857.12</v>
      </c>
      <c r="CZ29">
        <f t="shared" ref="CZ29:CZ34" si="16">AF29</f>
        <v>163.47999999999999</v>
      </c>
      <c r="DA29">
        <f t="shared" ref="DA29:DA34" si="17">AJ29</f>
        <v>10.85</v>
      </c>
      <c r="DB29">
        <f t="shared" ref="DB29:DB34" si="18">ROUND((ROUND(AT29*CZ29,2)*1.25),6)</f>
        <v>480.22500000000002</v>
      </c>
      <c r="DC29">
        <f t="shared" ref="DC29:DC34" si="19">ROUND((ROUND(AT29*AG29,2)*1.25),6)</f>
        <v>45.4375</v>
      </c>
      <c r="DD29" t="s">
        <v>3</v>
      </c>
      <c r="DE29" t="s">
        <v>3</v>
      </c>
      <c r="DF29">
        <f t="shared" si="6"/>
        <v>0</v>
      </c>
      <c r="DG29">
        <f t="shared" ref="DG29:DG34" si="20">ROUND(ROUND(AF29*CX29,2)*AJ29,2)</f>
        <v>103.18</v>
      </c>
      <c r="DH29">
        <f t="shared" ref="DH29:DH34" si="21">ROUND(ROUND(AG29*CX29,2)*AK29,2)</f>
        <v>26.13</v>
      </c>
      <c r="DI29">
        <f t="shared" si="3"/>
        <v>0</v>
      </c>
      <c r="DJ29">
        <f t="shared" ref="DJ29:DJ34" si="22">DG29</f>
        <v>103.18</v>
      </c>
      <c r="DK29">
        <v>0</v>
      </c>
    </row>
    <row r="30" spans="1:115" x14ac:dyDescent="0.2">
      <c r="A30">
        <f>ROW(Source!A70)</f>
        <v>70</v>
      </c>
      <c r="B30">
        <v>129761633</v>
      </c>
      <c r="C30">
        <v>129763184</v>
      </c>
      <c r="D30">
        <v>37417871</v>
      </c>
      <c r="E30">
        <v>1</v>
      </c>
      <c r="F30">
        <v>1</v>
      </c>
      <c r="G30">
        <v>37345137</v>
      </c>
      <c r="H30">
        <v>2</v>
      </c>
      <c r="I30" t="s">
        <v>1106</v>
      </c>
      <c r="J30" t="s">
        <v>1107</v>
      </c>
      <c r="K30" t="s">
        <v>1108</v>
      </c>
      <c r="L30">
        <v>1367</v>
      </c>
      <c r="N30">
        <v>1011</v>
      </c>
      <c r="O30" t="s">
        <v>1102</v>
      </c>
      <c r="P30" t="s">
        <v>1102</v>
      </c>
      <c r="Q30">
        <v>1</v>
      </c>
      <c r="W30">
        <v>0</v>
      </c>
      <c r="X30">
        <v>366114799</v>
      </c>
      <c r="Y30">
        <f t="shared" si="14"/>
        <v>1.1375</v>
      </c>
      <c r="AA30">
        <v>0</v>
      </c>
      <c r="AB30">
        <v>2693.8</v>
      </c>
      <c r="AC30">
        <v>406.37</v>
      </c>
      <c r="AD30">
        <v>0</v>
      </c>
      <c r="AE30">
        <v>0</v>
      </c>
      <c r="AF30">
        <v>246.68</v>
      </c>
      <c r="AG30">
        <v>13.37</v>
      </c>
      <c r="AH30">
        <v>0</v>
      </c>
      <c r="AI30">
        <v>1</v>
      </c>
      <c r="AJ30">
        <v>10.43</v>
      </c>
      <c r="AK30">
        <v>29.03</v>
      </c>
      <c r="AL30">
        <v>1</v>
      </c>
      <c r="AN30">
        <v>0</v>
      </c>
      <c r="AO30">
        <v>1</v>
      </c>
      <c r="AP30">
        <v>1</v>
      </c>
      <c r="AQ30">
        <v>0</v>
      </c>
      <c r="AR30">
        <v>0</v>
      </c>
      <c r="AS30" t="s">
        <v>3</v>
      </c>
      <c r="AT30">
        <v>0.91</v>
      </c>
      <c r="AU30" t="s">
        <v>86</v>
      </c>
      <c r="AV30">
        <v>0</v>
      </c>
      <c r="AW30">
        <v>2</v>
      </c>
      <c r="AX30">
        <v>129763196</v>
      </c>
      <c r="AY30">
        <v>1</v>
      </c>
      <c r="AZ30">
        <v>0</v>
      </c>
      <c r="BA30">
        <v>30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ROUND(Y30*Source!I70,9)</f>
        <v>2.2522500000000001E-2</v>
      </c>
      <c r="CY30">
        <f t="shared" si="15"/>
        <v>2693.8</v>
      </c>
      <c r="CZ30">
        <f t="shared" si="16"/>
        <v>246.68</v>
      </c>
      <c r="DA30">
        <f t="shared" si="17"/>
        <v>10.43</v>
      </c>
      <c r="DB30">
        <f t="shared" si="18"/>
        <v>280.60000000000002</v>
      </c>
      <c r="DC30">
        <f t="shared" si="19"/>
        <v>15.2125</v>
      </c>
      <c r="DD30" t="s">
        <v>3</v>
      </c>
      <c r="DE30" t="s">
        <v>3</v>
      </c>
      <c r="DF30">
        <f t="shared" si="6"/>
        <v>0</v>
      </c>
      <c r="DG30">
        <f t="shared" si="20"/>
        <v>57.99</v>
      </c>
      <c r="DH30">
        <f t="shared" si="21"/>
        <v>8.7100000000000009</v>
      </c>
      <c r="DI30">
        <f t="shared" si="3"/>
        <v>0</v>
      </c>
      <c r="DJ30">
        <f t="shared" si="22"/>
        <v>57.99</v>
      </c>
      <c r="DK30">
        <v>0</v>
      </c>
    </row>
    <row r="31" spans="1:115" x14ac:dyDescent="0.2">
      <c r="A31">
        <f>ROW(Source!A70)</f>
        <v>70</v>
      </c>
      <c r="B31">
        <v>129761633</v>
      </c>
      <c r="C31">
        <v>129763184</v>
      </c>
      <c r="D31">
        <v>37417856</v>
      </c>
      <c r="E31">
        <v>1</v>
      </c>
      <c r="F31">
        <v>1</v>
      </c>
      <c r="G31">
        <v>37345137</v>
      </c>
      <c r="H31">
        <v>2</v>
      </c>
      <c r="I31" t="s">
        <v>1118</v>
      </c>
      <c r="J31" t="s">
        <v>1119</v>
      </c>
      <c r="K31" t="s">
        <v>1120</v>
      </c>
      <c r="L31">
        <v>1367</v>
      </c>
      <c r="N31">
        <v>1011</v>
      </c>
      <c r="O31" t="s">
        <v>1102</v>
      </c>
      <c r="P31" t="s">
        <v>1102</v>
      </c>
      <c r="Q31">
        <v>1</v>
      </c>
      <c r="W31">
        <v>0</v>
      </c>
      <c r="X31">
        <v>-1882480599</v>
      </c>
      <c r="Y31">
        <f t="shared" si="14"/>
        <v>8.9625000000000004</v>
      </c>
      <c r="AA31">
        <v>0</v>
      </c>
      <c r="AB31">
        <v>1899.99</v>
      </c>
      <c r="AC31">
        <v>456.52</v>
      </c>
      <c r="AD31">
        <v>0</v>
      </c>
      <c r="AE31">
        <v>0</v>
      </c>
      <c r="AF31">
        <v>169.44</v>
      </c>
      <c r="AG31">
        <v>15.02</v>
      </c>
      <c r="AH31">
        <v>0</v>
      </c>
      <c r="AI31">
        <v>1</v>
      </c>
      <c r="AJ31">
        <v>10.71</v>
      </c>
      <c r="AK31">
        <v>29.03</v>
      </c>
      <c r="AL31">
        <v>1</v>
      </c>
      <c r="AN31">
        <v>0</v>
      </c>
      <c r="AO31">
        <v>1</v>
      </c>
      <c r="AP31">
        <v>1</v>
      </c>
      <c r="AQ31">
        <v>0</v>
      </c>
      <c r="AR31">
        <v>0</v>
      </c>
      <c r="AS31" t="s">
        <v>3</v>
      </c>
      <c r="AT31">
        <v>7.17</v>
      </c>
      <c r="AU31" t="s">
        <v>86</v>
      </c>
      <c r="AV31">
        <v>0</v>
      </c>
      <c r="AW31">
        <v>2</v>
      </c>
      <c r="AX31">
        <v>129763197</v>
      </c>
      <c r="AY31">
        <v>1</v>
      </c>
      <c r="AZ31">
        <v>0</v>
      </c>
      <c r="BA31">
        <v>31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ROUND(Y31*Source!I70,9)</f>
        <v>0.17745749999999999</v>
      </c>
      <c r="CY31">
        <f t="shared" si="15"/>
        <v>1899.99</v>
      </c>
      <c r="CZ31">
        <f t="shared" si="16"/>
        <v>169.44</v>
      </c>
      <c r="DA31">
        <f t="shared" si="17"/>
        <v>10.71</v>
      </c>
      <c r="DB31">
        <f t="shared" si="18"/>
        <v>1518.6</v>
      </c>
      <c r="DC31">
        <f t="shared" si="19"/>
        <v>134.61250000000001</v>
      </c>
      <c r="DD31" t="s">
        <v>3</v>
      </c>
      <c r="DE31" t="s">
        <v>3</v>
      </c>
      <c r="DF31">
        <f t="shared" si="6"/>
        <v>0</v>
      </c>
      <c r="DG31">
        <f t="shared" si="20"/>
        <v>322.05</v>
      </c>
      <c r="DH31">
        <f t="shared" si="21"/>
        <v>77.510000000000005</v>
      </c>
      <c r="DI31">
        <f t="shared" si="3"/>
        <v>0</v>
      </c>
      <c r="DJ31">
        <f t="shared" si="22"/>
        <v>322.05</v>
      </c>
      <c r="DK31">
        <v>0</v>
      </c>
    </row>
    <row r="32" spans="1:115" x14ac:dyDescent="0.2">
      <c r="A32">
        <f>ROW(Source!A70)</f>
        <v>70</v>
      </c>
      <c r="B32">
        <v>129761633</v>
      </c>
      <c r="C32">
        <v>129763184</v>
      </c>
      <c r="D32">
        <v>37417857</v>
      </c>
      <c r="E32">
        <v>1</v>
      </c>
      <c r="F32">
        <v>1</v>
      </c>
      <c r="G32">
        <v>37345137</v>
      </c>
      <c r="H32">
        <v>2</v>
      </c>
      <c r="I32" t="s">
        <v>1121</v>
      </c>
      <c r="J32" t="s">
        <v>1122</v>
      </c>
      <c r="K32" t="s">
        <v>1123</v>
      </c>
      <c r="L32">
        <v>1367</v>
      </c>
      <c r="N32">
        <v>1011</v>
      </c>
      <c r="O32" t="s">
        <v>1102</v>
      </c>
      <c r="P32" t="s">
        <v>1102</v>
      </c>
      <c r="Q32">
        <v>1</v>
      </c>
      <c r="W32">
        <v>0</v>
      </c>
      <c r="X32">
        <v>-1920329426</v>
      </c>
      <c r="Y32">
        <f t="shared" si="14"/>
        <v>18.25</v>
      </c>
      <c r="AA32">
        <v>0</v>
      </c>
      <c r="AB32">
        <v>2376.3000000000002</v>
      </c>
      <c r="AC32">
        <v>532.21</v>
      </c>
      <c r="AD32">
        <v>0</v>
      </c>
      <c r="AE32">
        <v>0</v>
      </c>
      <c r="AF32">
        <v>219.5</v>
      </c>
      <c r="AG32">
        <v>17.510000000000002</v>
      </c>
      <c r="AH32">
        <v>0</v>
      </c>
      <c r="AI32">
        <v>1</v>
      </c>
      <c r="AJ32">
        <v>10.34</v>
      </c>
      <c r="AK32">
        <v>29.03</v>
      </c>
      <c r="AL32">
        <v>1</v>
      </c>
      <c r="AN32">
        <v>0</v>
      </c>
      <c r="AO32">
        <v>1</v>
      </c>
      <c r="AP32">
        <v>1</v>
      </c>
      <c r="AQ32">
        <v>0</v>
      </c>
      <c r="AR32">
        <v>0</v>
      </c>
      <c r="AS32" t="s">
        <v>3</v>
      </c>
      <c r="AT32">
        <v>14.6</v>
      </c>
      <c r="AU32" t="s">
        <v>86</v>
      </c>
      <c r="AV32">
        <v>0</v>
      </c>
      <c r="AW32">
        <v>2</v>
      </c>
      <c r="AX32">
        <v>129763198</v>
      </c>
      <c r="AY32">
        <v>1</v>
      </c>
      <c r="AZ32">
        <v>0</v>
      </c>
      <c r="BA32">
        <v>32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ROUND(Y32*Source!I70,9)</f>
        <v>0.36135</v>
      </c>
      <c r="CY32">
        <f t="shared" si="15"/>
        <v>2376.3000000000002</v>
      </c>
      <c r="CZ32">
        <f t="shared" si="16"/>
        <v>219.5</v>
      </c>
      <c r="DA32">
        <f t="shared" si="17"/>
        <v>10.34</v>
      </c>
      <c r="DB32">
        <f t="shared" si="18"/>
        <v>4005.875</v>
      </c>
      <c r="DC32">
        <f t="shared" si="19"/>
        <v>319.5625</v>
      </c>
      <c r="DD32" t="s">
        <v>3</v>
      </c>
      <c r="DE32" t="s">
        <v>3</v>
      </c>
      <c r="DF32">
        <f t="shared" si="6"/>
        <v>0</v>
      </c>
      <c r="DG32">
        <f t="shared" si="20"/>
        <v>820.17</v>
      </c>
      <c r="DH32">
        <f t="shared" si="21"/>
        <v>183.76</v>
      </c>
      <c r="DI32">
        <f t="shared" si="3"/>
        <v>0</v>
      </c>
      <c r="DJ32">
        <f t="shared" si="22"/>
        <v>820.17</v>
      </c>
      <c r="DK32">
        <v>0</v>
      </c>
    </row>
    <row r="33" spans="1:115" x14ac:dyDescent="0.2">
      <c r="A33">
        <f>ROW(Source!A70)</f>
        <v>70</v>
      </c>
      <c r="B33">
        <v>129761633</v>
      </c>
      <c r="C33">
        <v>129763184</v>
      </c>
      <c r="D33">
        <v>37417899</v>
      </c>
      <c r="E33">
        <v>1</v>
      </c>
      <c r="F33">
        <v>1</v>
      </c>
      <c r="G33">
        <v>37345137</v>
      </c>
      <c r="H33">
        <v>2</v>
      </c>
      <c r="I33" t="s">
        <v>1109</v>
      </c>
      <c r="J33" t="s">
        <v>1110</v>
      </c>
      <c r="K33" t="s">
        <v>1111</v>
      </c>
      <c r="L33">
        <v>1367</v>
      </c>
      <c r="N33">
        <v>1011</v>
      </c>
      <c r="O33" t="s">
        <v>1102</v>
      </c>
      <c r="P33" t="s">
        <v>1102</v>
      </c>
      <c r="Q33">
        <v>1</v>
      </c>
      <c r="W33">
        <v>0</v>
      </c>
      <c r="X33">
        <v>856318566</v>
      </c>
      <c r="Y33">
        <f t="shared" si="14"/>
        <v>2.2374999999999998</v>
      </c>
      <c r="AA33">
        <v>0</v>
      </c>
      <c r="AB33">
        <v>1407.06</v>
      </c>
      <c r="AC33">
        <v>751.96</v>
      </c>
      <c r="AD33">
        <v>0</v>
      </c>
      <c r="AE33">
        <v>0</v>
      </c>
      <c r="AF33">
        <v>125.13</v>
      </c>
      <c r="AG33">
        <v>24.74</v>
      </c>
      <c r="AH33">
        <v>0</v>
      </c>
      <c r="AI33">
        <v>1</v>
      </c>
      <c r="AJ33">
        <v>10.74</v>
      </c>
      <c r="AK33">
        <v>29.03</v>
      </c>
      <c r="AL33">
        <v>1</v>
      </c>
      <c r="AN33">
        <v>0</v>
      </c>
      <c r="AO33">
        <v>1</v>
      </c>
      <c r="AP33">
        <v>1</v>
      </c>
      <c r="AQ33">
        <v>0</v>
      </c>
      <c r="AR33">
        <v>0</v>
      </c>
      <c r="AS33" t="s">
        <v>3</v>
      </c>
      <c r="AT33">
        <v>1.79</v>
      </c>
      <c r="AU33" t="s">
        <v>86</v>
      </c>
      <c r="AV33">
        <v>0</v>
      </c>
      <c r="AW33">
        <v>2</v>
      </c>
      <c r="AX33">
        <v>129763199</v>
      </c>
      <c r="AY33">
        <v>1</v>
      </c>
      <c r="AZ33">
        <v>0</v>
      </c>
      <c r="BA33">
        <v>33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ROUND(Y33*Source!I70,9)</f>
        <v>4.4302500000000002E-2</v>
      </c>
      <c r="CY33">
        <f t="shared" si="15"/>
        <v>1407.06</v>
      </c>
      <c r="CZ33">
        <f t="shared" si="16"/>
        <v>125.13</v>
      </c>
      <c r="DA33">
        <f t="shared" si="17"/>
        <v>10.74</v>
      </c>
      <c r="DB33">
        <f t="shared" si="18"/>
        <v>279.97500000000002</v>
      </c>
      <c r="DC33">
        <f t="shared" si="19"/>
        <v>55.35</v>
      </c>
      <c r="DD33" t="s">
        <v>3</v>
      </c>
      <c r="DE33" t="s">
        <v>3</v>
      </c>
      <c r="DF33">
        <f t="shared" si="6"/>
        <v>0</v>
      </c>
      <c r="DG33">
        <f t="shared" si="20"/>
        <v>59.5</v>
      </c>
      <c r="DH33">
        <f t="shared" si="21"/>
        <v>31.93</v>
      </c>
      <c r="DI33">
        <f t="shared" si="3"/>
        <v>0</v>
      </c>
      <c r="DJ33">
        <f t="shared" si="22"/>
        <v>59.5</v>
      </c>
      <c r="DK33">
        <v>0</v>
      </c>
    </row>
    <row r="34" spans="1:115" x14ac:dyDescent="0.2">
      <c r="A34">
        <f>ROW(Source!A70)</f>
        <v>70</v>
      </c>
      <c r="B34">
        <v>129761633</v>
      </c>
      <c r="C34">
        <v>129763184</v>
      </c>
      <c r="D34">
        <v>37417861</v>
      </c>
      <c r="E34">
        <v>1</v>
      </c>
      <c r="F34">
        <v>1</v>
      </c>
      <c r="G34">
        <v>37345137</v>
      </c>
      <c r="H34">
        <v>2</v>
      </c>
      <c r="I34" t="s">
        <v>1112</v>
      </c>
      <c r="J34" t="s">
        <v>1113</v>
      </c>
      <c r="K34" t="s">
        <v>1114</v>
      </c>
      <c r="L34">
        <v>1367</v>
      </c>
      <c r="N34">
        <v>1011</v>
      </c>
      <c r="O34" t="s">
        <v>1102</v>
      </c>
      <c r="P34" t="s">
        <v>1102</v>
      </c>
      <c r="Q34">
        <v>1</v>
      </c>
      <c r="W34">
        <v>0</v>
      </c>
      <c r="X34">
        <v>-646811103</v>
      </c>
      <c r="Y34">
        <f t="shared" si="14"/>
        <v>0.65</v>
      </c>
      <c r="AA34">
        <v>0</v>
      </c>
      <c r="AB34">
        <v>2026.14</v>
      </c>
      <c r="AC34">
        <v>529.47</v>
      </c>
      <c r="AD34">
        <v>0</v>
      </c>
      <c r="AE34">
        <v>0</v>
      </c>
      <c r="AF34">
        <v>177.54</v>
      </c>
      <c r="AG34">
        <v>17.420000000000002</v>
      </c>
      <c r="AH34">
        <v>0</v>
      </c>
      <c r="AI34">
        <v>1</v>
      </c>
      <c r="AJ34">
        <v>10.9</v>
      </c>
      <c r="AK34">
        <v>29.03</v>
      </c>
      <c r="AL34">
        <v>1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3</v>
      </c>
      <c r="AT34">
        <v>0.52</v>
      </c>
      <c r="AU34" t="s">
        <v>86</v>
      </c>
      <c r="AV34">
        <v>0</v>
      </c>
      <c r="AW34">
        <v>2</v>
      </c>
      <c r="AX34">
        <v>129763200</v>
      </c>
      <c r="AY34">
        <v>1</v>
      </c>
      <c r="AZ34">
        <v>0</v>
      </c>
      <c r="BA34">
        <v>34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ROUND(Y34*Source!I70,9)</f>
        <v>1.2869999999999999E-2</v>
      </c>
      <c r="CY34">
        <f t="shared" si="15"/>
        <v>2026.14</v>
      </c>
      <c r="CZ34">
        <f t="shared" si="16"/>
        <v>177.54</v>
      </c>
      <c r="DA34">
        <f t="shared" si="17"/>
        <v>10.9</v>
      </c>
      <c r="DB34">
        <f t="shared" si="18"/>
        <v>115.4</v>
      </c>
      <c r="DC34">
        <f t="shared" si="19"/>
        <v>11.324999999999999</v>
      </c>
      <c r="DD34" t="s">
        <v>3</v>
      </c>
      <c r="DE34" t="s">
        <v>3</v>
      </c>
      <c r="DF34">
        <f t="shared" si="6"/>
        <v>0</v>
      </c>
      <c r="DG34">
        <f t="shared" si="20"/>
        <v>24.85</v>
      </c>
      <c r="DH34">
        <f t="shared" si="21"/>
        <v>6.39</v>
      </c>
      <c r="DI34">
        <f t="shared" si="3"/>
        <v>0</v>
      </c>
      <c r="DJ34">
        <f t="shared" si="22"/>
        <v>24.85</v>
      </c>
      <c r="DK34">
        <v>0</v>
      </c>
    </row>
    <row r="35" spans="1:115" x14ac:dyDescent="0.2">
      <c r="A35">
        <f>ROW(Source!A70)</f>
        <v>70</v>
      </c>
      <c r="B35">
        <v>129761633</v>
      </c>
      <c r="C35">
        <v>129763184</v>
      </c>
      <c r="D35">
        <v>37393552</v>
      </c>
      <c r="E35">
        <v>1</v>
      </c>
      <c r="F35">
        <v>1</v>
      </c>
      <c r="G35">
        <v>37345137</v>
      </c>
      <c r="H35">
        <v>3</v>
      </c>
      <c r="I35" t="s">
        <v>348</v>
      </c>
      <c r="J35" t="s">
        <v>350</v>
      </c>
      <c r="K35" t="s">
        <v>349</v>
      </c>
      <c r="L35">
        <v>1339</v>
      </c>
      <c r="N35">
        <v>1007</v>
      </c>
      <c r="O35" t="s">
        <v>94</v>
      </c>
      <c r="P35" t="s">
        <v>94</v>
      </c>
      <c r="Q35">
        <v>1</v>
      </c>
      <c r="W35">
        <v>0</v>
      </c>
      <c r="X35">
        <v>-862991314</v>
      </c>
      <c r="Y35">
        <f>AT35</f>
        <v>7</v>
      </c>
      <c r="AA35">
        <v>42.5</v>
      </c>
      <c r="AB35">
        <v>0</v>
      </c>
      <c r="AC35">
        <v>0</v>
      </c>
      <c r="AD35">
        <v>0</v>
      </c>
      <c r="AE35">
        <v>7.07</v>
      </c>
      <c r="AF35">
        <v>0</v>
      </c>
      <c r="AG35">
        <v>0</v>
      </c>
      <c r="AH35">
        <v>0</v>
      </c>
      <c r="AI35">
        <v>6</v>
      </c>
      <c r="AJ35">
        <v>1</v>
      </c>
      <c r="AK35">
        <v>1</v>
      </c>
      <c r="AL35">
        <v>1</v>
      </c>
      <c r="AN35">
        <v>0</v>
      </c>
      <c r="AO35">
        <v>1</v>
      </c>
      <c r="AP35">
        <v>0</v>
      </c>
      <c r="AQ35">
        <v>0</v>
      </c>
      <c r="AR35">
        <v>0</v>
      </c>
      <c r="AS35" t="s">
        <v>3</v>
      </c>
      <c r="AT35">
        <v>7</v>
      </c>
      <c r="AU35" t="s">
        <v>3</v>
      </c>
      <c r="AV35">
        <v>0</v>
      </c>
      <c r="AW35">
        <v>2</v>
      </c>
      <c r="AX35">
        <v>129763201</v>
      </c>
      <c r="AY35">
        <v>1</v>
      </c>
      <c r="AZ35">
        <v>0</v>
      </c>
      <c r="BA35">
        <v>35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ROUND(Y35*Source!I70,9)</f>
        <v>0.1386</v>
      </c>
      <c r="CY35">
        <f>AA35</f>
        <v>42.5</v>
      </c>
      <c r="CZ35">
        <f>AE35</f>
        <v>7.07</v>
      </c>
      <c r="DA35">
        <f>AI35</f>
        <v>6</v>
      </c>
      <c r="DB35">
        <f>ROUND(ROUND(AT35*CZ35,2),6)</f>
        <v>49.49</v>
      </c>
      <c r="DC35">
        <f>ROUND(ROUND(AT35*AG35,2),6)</f>
        <v>0</v>
      </c>
      <c r="DD35" t="s">
        <v>3</v>
      </c>
      <c r="DE35" t="s">
        <v>3</v>
      </c>
      <c r="DF35">
        <f>ROUND(ROUND(AE35*CX35,2)*AI35,2)</f>
        <v>5.88</v>
      </c>
      <c r="DG35">
        <f t="shared" ref="DG35:DG55" si="23">ROUND(AF35*CX35,2)</f>
        <v>0</v>
      </c>
      <c r="DH35">
        <f t="shared" ref="DH35:DH55" si="24">ROUND(AG35*CX35,2)</f>
        <v>0</v>
      </c>
      <c r="DI35">
        <f t="shared" si="3"/>
        <v>0</v>
      </c>
      <c r="DJ35">
        <f>DF35</f>
        <v>5.88</v>
      </c>
      <c r="DK35">
        <v>0</v>
      </c>
    </row>
    <row r="36" spans="1:115" x14ac:dyDescent="0.2">
      <c r="A36">
        <f>ROW(Source!A70)</f>
        <v>70</v>
      </c>
      <c r="B36">
        <v>129761633</v>
      </c>
      <c r="C36">
        <v>129763184</v>
      </c>
      <c r="D36">
        <v>37394852</v>
      </c>
      <c r="E36">
        <v>1</v>
      </c>
      <c r="F36">
        <v>1</v>
      </c>
      <c r="G36">
        <v>37345137</v>
      </c>
      <c r="H36">
        <v>3</v>
      </c>
      <c r="I36" t="s">
        <v>101</v>
      </c>
      <c r="J36" t="s">
        <v>103</v>
      </c>
      <c r="K36" t="s">
        <v>102</v>
      </c>
      <c r="L36">
        <v>1339</v>
      </c>
      <c r="N36">
        <v>1007</v>
      </c>
      <c r="O36" t="s">
        <v>94</v>
      </c>
      <c r="P36" t="s">
        <v>94</v>
      </c>
      <c r="Q36">
        <v>1</v>
      </c>
      <c r="W36">
        <v>0</v>
      </c>
      <c r="X36">
        <v>489817369</v>
      </c>
      <c r="Y36">
        <f>AT36</f>
        <v>126</v>
      </c>
      <c r="AA36">
        <v>3485.44</v>
      </c>
      <c r="AB36">
        <v>0</v>
      </c>
      <c r="AC36">
        <v>0</v>
      </c>
      <c r="AD36">
        <v>0</v>
      </c>
      <c r="AE36">
        <v>165.8</v>
      </c>
      <c r="AF36">
        <v>0</v>
      </c>
      <c r="AG36">
        <v>0</v>
      </c>
      <c r="AH36">
        <v>0</v>
      </c>
      <c r="AI36">
        <v>20.98</v>
      </c>
      <c r="AJ36">
        <v>1</v>
      </c>
      <c r="AK36">
        <v>1</v>
      </c>
      <c r="AL36">
        <v>1</v>
      </c>
      <c r="AN36">
        <v>0</v>
      </c>
      <c r="AO36">
        <v>0</v>
      </c>
      <c r="AP36">
        <v>0</v>
      </c>
      <c r="AQ36">
        <v>0</v>
      </c>
      <c r="AR36">
        <v>0</v>
      </c>
      <c r="AS36" t="s">
        <v>3</v>
      </c>
      <c r="AT36">
        <v>126</v>
      </c>
      <c r="AU36" t="s">
        <v>3</v>
      </c>
      <c r="AV36">
        <v>0</v>
      </c>
      <c r="AW36">
        <v>1</v>
      </c>
      <c r="AX36">
        <v>-1</v>
      </c>
      <c r="AY36">
        <v>0</v>
      </c>
      <c r="AZ36">
        <v>0</v>
      </c>
      <c r="BA36" t="s">
        <v>3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ROUND(Y36*Source!I70,9)</f>
        <v>2.4948000000000001</v>
      </c>
      <c r="CY36">
        <f>AA36</f>
        <v>3485.44</v>
      </c>
      <c r="CZ36">
        <f>AE36</f>
        <v>165.8</v>
      </c>
      <c r="DA36">
        <f>AI36</f>
        <v>20.98</v>
      </c>
      <c r="DB36">
        <f>ROUND(ROUND(AT36*CZ36,2),6)</f>
        <v>20890.8</v>
      </c>
      <c r="DC36">
        <f>ROUND(ROUND(AT36*AG36,2),6)</f>
        <v>0</v>
      </c>
      <c r="DD36" t="s">
        <v>3</v>
      </c>
      <c r="DE36" t="s">
        <v>3</v>
      </c>
      <c r="DF36">
        <f>ROUND(ROUND(AE36*CX36,2)*AI36,2)</f>
        <v>8678.17</v>
      </c>
      <c r="DG36">
        <f t="shared" si="23"/>
        <v>0</v>
      </c>
      <c r="DH36">
        <f t="shared" si="24"/>
        <v>0</v>
      </c>
      <c r="DI36">
        <f t="shared" si="3"/>
        <v>0</v>
      </c>
      <c r="DJ36">
        <f>DF36</f>
        <v>8678.17</v>
      </c>
      <c r="DK36">
        <v>0</v>
      </c>
    </row>
    <row r="37" spans="1:115" x14ac:dyDescent="0.2">
      <c r="A37">
        <f>ROW(Source!A73)</f>
        <v>73</v>
      </c>
      <c r="B37">
        <v>129761636</v>
      </c>
      <c r="C37">
        <v>129763204</v>
      </c>
      <c r="D37">
        <v>37345142</v>
      </c>
      <c r="E37">
        <v>37345137</v>
      </c>
      <c r="F37">
        <v>1</v>
      </c>
      <c r="G37">
        <v>37345137</v>
      </c>
      <c r="H37">
        <v>1</v>
      </c>
      <c r="I37" t="s">
        <v>1096</v>
      </c>
      <c r="J37" t="s">
        <v>3</v>
      </c>
      <c r="K37" t="s">
        <v>1097</v>
      </c>
      <c r="L37">
        <v>1191</v>
      </c>
      <c r="N37">
        <v>1013</v>
      </c>
      <c r="O37" t="s">
        <v>1098</v>
      </c>
      <c r="P37" t="s">
        <v>1098</v>
      </c>
      <c r="Q37">
        <v>1</v>
      </c>
      <c r="W37">
        <v>0</v>
      </c>
      <c r="X37">
        <v>476480486</v>
      </c>
      <c r="Y37">
        <f>(AT37*1.15)</f>
        <v>16.559999999999999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1</v>
      </c>
      <c r="AJ37">
        <v>1</v>
      </c>
      <c r="AK37">
        <v>1</v>
      </c>
      <c r="AL37">
        <v>1</v>
      </c>
      <c r="AN37">
        <v>0</v>
      </c>
      <c r="AO37">
        <v>1</v>
      </c>
      <c r="AP37">
        <v>1</v>
      </c>
      <c r="AQ37">
        <v>0</v>
      </c>
      <c r="AR37">
        <v>0</v>
      </c>
      <c r="AS37" t="s">
        <v>3</v>
      </c>
      <c r="AT37">
        <v>14.4</v>
      </c>
      <c r="AU37" t="s">
        <v>87</v>
      </c>
      <c r="AV37">
        <v>1</v>
      </c>
      <c r="AW37">
        <v>2</v>
      </c>
      <c r="AX37">
        <v>129763209</v>
      </c>
      <c r="AY37">
        <v>1</v>
      </c>
      <c r="AZ37">
        <v>0</v>
      </c>
      <c r="BA37">
        <v>37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ROUND(Y37*Source!I73,9)</f>
        <v>2.1859199999999999</v>
      </c>
      <c r="CY37">
        <f>AD37</f>
        <v>0</v>
      </c>
      <c r="CZ37">
        <f>AH37</f>
        <v>0</v>
      </c>
      <c r="DA37">
        <f>AL37</f>
        <v>1</v>
      </c>
      <c r="DB37">
        <f>ROUND((ROUND(AT37*CZ37,2)*1.15),6)</f>
        <v>0</v>
      </c>
      <c r="DC37">
        <f>ROUND((ROUND(AT37*AG37,2)*1.15),6)</f>
        <v>0</v>
      </c>
      <c r="DD37" t="s">
        <v>3</v>
      </c>
      <c r="DE37" t="s">
        <v>3</v>
      </c>
      <c r="DF37">
        <f>ROUND(AE37*CX37,2)</f>
        <v>0</v>
      </c>
      <c r="DG37">
        <f t="shared" si="23"/>
        <v>0</v>
      </c>
      <c r="DH37">
        <f t="shared" si="24"/>
        <v>0</v>
      </c>
      <c r="DI37">
        <f t="shared" si="3"/>
        <v>0</v>
      </c>
      <c r="DJ37">
        <f>DI37</f>
        <v>0</v>
      </c>
      <c r="DK37">
        <v>0</v>
      </c>
    </row>
    <row r="38" spans="1:115" x14ac:dyDescent="0.2">
      <c r="A38">
        <f>ROW(Source!A73)</f>
        <v>73</v>
      </c>
      <c r="B38">
        <v>129761636</v>
      </c>
      <c r="C38">
        <v>129763204</v>
      </c>
      <c r="D38">
        <v>37393487</v>
      </c>
      <c r="E38">
        <v>1</v>
      </c>
      <c r="F38">
        <v>1</v>
      </c>
      <c r="G38">
        <v>37345137</v>
      </c>
      <c r="H38">
        <v>3</v>
      </c>
      <c r="I38" t="s">
        <v>1124</v>
      </c>
      <c r="J38" t="s">
        <v>1125</v>
      </c>
      <c r="K38" t="s">
        <v>1126</v>
      </c>
      <c r="L38">
        <v>1348</v>
      </c>
      <c r="N38">
        <v>1009</v>
      </c>
      <c r="O38" t="s">
        <v>114</v>
      </c>
      <c r="P38" t="s">
        <v>114</v>
      </c>
      <c r="Q38">
        <v>1000</v>
      </c>
      <c r="W38">
        <v>0</v>
      </c>
      <c r="X38">
        <v>435343267</v>
      </c>
      <c r="Y38">
        <f>AT38</f>
        <v>0.06</v>
      </c>
      <c r="AA38">
        <v>3501.78</v>
      </c>
      <c r="AB38">
        <v>0</v>
      </c>
      <c r="AC38">
        <v>0</v>
      </c>
      <c r="AD38">
        <v>0</v>
      </c>
      <c r="AE38">
        <v>3501.78</v>
      </c>
      <c r="AF38">
        <v>0</v>
      </c>
      <c r="AG38">
        <v>0</v>
      </c>
      <c r="AH38">
        <v>0</v>
      </c>
      <c r="AI38">
        <v>1</v>
      </c>
      <c r="AJ38">
        <v>1</v>
      </c>
      <c r="AK38">
        <v>1</v>
      </c>
      <c r="AL38">
        <v>1</v>
      </c>
      <c r="AN38">
        <v>0</v>
      </c>
      <c r="AO38">
        <v>1</v>
      </c>
      <c r="AP38">
        <v>0</v>
      </c>
      <c r="AQ38">
        <v>0</v>
      </c>
      <c r="AR38">
        <v>0</v>
      </c>
      <c r="AS38" t="s">
        <v>3</v>
      </c>
      <c r="AT38">
        <v>0.06</v>
      </c>
      <c r="AU38" t="s">
        <v>3</v>
      </c>
      <c r="AV38">
        <v>0</v>
      </c>
      <c r="AW38">
        <v>2</v>
      </c>
      <c r="AX38">
        <v>129763210</v>
      </c>
      <c r="AY38">
        <v>1</v>
      </c>
      <c r="AZ38">
        <v>0</v>
      </c>
      <c r="BA38">
        <v>38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ROUND(Y38*Source!I73,9)</f>
        <v>7.92E-3</v>
      </c>
      <c r="CY38">
        <f>AA38</f>
        <v>3501.78</v>
      </c>
      <c r="CZ38">
        <f>AE38</f>
        <v>3501.78</v>
      </c>
      <c r="DA38">
        <f>AI38</f>
        <v>1</v>
      </c>
      <c r="DB38">
        <f>ROUND(ROUND(AT38*CZ38,2),6)</f>
        <v>210.11</v>
      </c>
      <c r="DC38">
        <f>ROUND(ROUND(AT38*AG38,2),6)</f>
        <v>0</v>
      </c>
      <c r="DD38" t="s">
        <v>3</v>
      </c>
      <c r="DE38" t="s">
        <v>3</v>
      </c>
      <c r="DF38">
        <f>ROUND(AE38*CX38,2)</f>
        <v>27.73</v>
      </c>
      <c r="DG38">
        <f t="shared" si="23"/>
        <v>0</v>
      </c>
      <c r="DH38">
        <f t="shared" si="24"/>
        <v>0</v>
      </c>
      <c r="DI38">
        <f t="shared" si="3"/>
        <v>0</v>
      </c>
      <c r="DJ38">
        <f>DF38</f>
        <v>27.73</v>
      </c>
      <c r="DK38">
        <v>0</v>
      </c>
    </row>
    <row r="39" spans="1:115" x14ac:dyDescent="0.2">
      <c r="A39">
        <f>ROW(Source!A73)</f>
        <v>73</v>
      </c>
      <c r="B39">
        <v>129761636</v>
      </c>
      <c r="C39">
        <v>129763204</v>
      </c>
      <c r="D39">
        <v>37394111</v>
      </c>
      <c r="E39">
        <v>1</v>
      </c>
      <c r="F39">
        <v>1</v>
      </c>
      <c r="G39">
        <v>37345137</v>
      </c>
      <c r="H39">
        <v>3</v>
      </c>
      <c r="I39" t="s">
        <v>92</v>
      </c>
      <c r="J39" t="s">
        <v>95</v>
      </c>
      <c r="K39" t="s">
        <v>93</v>
      </c>
      <c r="L39">
        <v>1339</v>
      </c>
      <c r="N39">
        <v>1007</v>
      </c>
      <c r="O39" t="s">
        <v>94</v>
      </c>
      <c r="P39" t="s">
        <v>94</v>
      </c>
      <c r="Q39">
        <v>1</v>
      </c>
      <c r="W39">
        <v>0</v>
      </c>
      <c r="X39">
        <v>2069056849</v>
      </c>
      <c r="Y39">
        <f>AT39</f>
        <v>0.5</v>
      </c>
      <c r="AA39">
        <v>104.99</v>
      </c>
      <c r="AB39">
        <v>0</v>
      </c>
      <c r="AC39">
        <v>0</v>
      </c>
      <c r="AD39">
        <v>0</v>
      </c>
      <c r="AE39">
        <v>104.99</v>
      </c>
      <c r="AF39">
        <v>0</v>
      </c>
      <c r="AG39">
        <v>0</v>
      </c>
      <c r="AH39">
        <v>0</v>
      </c>
      <c r="AI39">
        <v>1</v>
      </c>
      <c r="AJ39">
        <v>1</v>
      </c>
      <c r="AK39">
        <v>1</v>
      </c>
      <c r="AL39">
        <v>1</v>
      </c>
      <c r="AN39">
        <v>0</v>
      </c>
      <c r="AO39">
        <v>1</v>
      </c>
      <c r="AP39">
        <v>0</v>
      </c>
      <c r="AQ39">
        <v>0</v>
      </c>
      <c r="AR39">
        <v>0</v>
      </c>
      <c r="AS39" t="s">
        <v>3</v>
      </c>
      <c r="AT39">
        <v>0.5</v>
      </c>
      <c r="AU39" t="s">
        <v>3</v>
      </c>
      <c r="AV39">
        <v>0</v>
      </c>
      <c r="AW39">
        <v>2</v>
      </c>
      <c r="AX39">
        <v>129763211</v>
      </c>
      <c r="AY39">
        <v>1</v>
      </c>
      <c r="AZ39">
        <v>0</v>
      </c>
      <c r="BA39">
        <v>39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ROUND(Y39*Source!I73,9)</f>
        <v>6.6000000000000003E-2</v>
      </c>
      <c r="CY39">
        <f>AA39</f>
        <v>104.99</v>
      </c>
      <c r="CZ39">
        <f>AE39</f>
        <v>104.99</v>
      </c>
      <c r="DA39">
        <f>AI39</f>
        <v>1</v>
      </c>
      <c r="DB39">
        <f>ROUND(ROUND(AT39*CZ39,2),6)</f>
        <v>52.5</v>
      </c>
      <c r="DC39">
        <f>ROUND(ROUND(AT39*AG39,2),6)</f>
        <v>0</v>
      </c>
      <c r="DD39" t="s">
        <v>3</v>
      </c>
      <c r="DE39" t="s">
        <v>3</v>
      </c>
      <c r="DF39">
        <f>ROUND(AE39*CX39,2)</f>
        <v>6.93</v>
      </c>
      <c r="DG39">
        <f t="shared" si="23"/>
        <v>0</v>
      </c>
      <c r="DH39">
        <f t="shared" si="24"/>
        <v>0</v>
      </c>
      <c r="DI39">
        <f t="shared" si="3"/>
        <v>0</v>
      </c>
      <c r="DJ39">
        <f>DF39</f>
        <v>6.93</v>
      </c>
      <c r="DK39">
        <v>0</v>
      </c>
    </row>
    <row r="40" spans="1:115" x14ac:dyDescent="0.2">
      <c r="A40">
        <f>ROW(Source!A73)</f>
        <v>73</v>
      </c>
      <c r="B40">
        <v>129761636</v>
      </c>
      <c r="C40">
        <v>129763204</v>
      </c>
      <c r="D40">
        <v>37412238</v>
      </c>
      <c r="E40">
        <v>1</v>
      </c>
      <c r="F40">
        <v>1</v>
      </c>
      <c r="G40">
        <v>37345137</v>
      </c>
      <c r="H40">
        <v>3</v>
      </c>
      <c r="I40" t="s">
        <v>112</v>
      </c>
      <c r="J40" t="s">
        <v>115</v>
      </c>
      <c r="K40" t="s">
        <v>113</v>
      </c>
      <c r="L40">
        <v>1348</v>
      </c>
      <c r="N40">
        <v>1009</v>
      </c>
      <c r="O40" t="s">
        <v>114</v>
      </c>
      <c r="P40" t="s">
        <v>114</v>
      </c>
      <c r="Q40">
        <v>1000</v>
      </c>
      <c r="W40">
        <v>0</v>
      </c>
      <c r="X40">
        <v>164969463</v>
      </c>
      <c r="Y40">
        <f>AT40</f>
        <v>7.14</v>
      </c>
      <c r="AA40">
        <v>317.29000000000002</v>
      </c>
      <c r="AB40">
        <v>0</v>
      </c>
      <c r="AC40">
        <v>0</v>
      </c>
      <c r="AD40">
        <v>0</v>
      </c>
      <c r="AE40">
        <v>317.29000000000002</v>
      </c>
      <c r="AF40">
        <v>0</v>
      </c>
      <c r="AG40">
        <v>0</v>
      </c>
      <c r="AH40">
        <v>0</v>
      </c>
      <c r="AI40">
        <v>1</v>
      </c>
      <c r="AJ40">
        <v>1</v>
      </c>
      <c r="AK40">
        <v>1</v>
      </c>
      <c r="AL40">
        <v>1</v>
      </c>
      <c r="AN40">
        <v>0</v>
      </c>
      <c r="AO40">
        <v>0</v>
      </c>
      <c r="AP40">
        <v>0</v>
      </c>
      <c r="AQ40">
        <v>0</v>
      </c>
      <c r="AR40">
        <v>0</v>
      </c>
      <c r="AS40" t="s">
        <v>3</v>
      </c>
      <c r="AT40">
        <v>7.14</v>
      </c>
      <c r="AU40" t="s">
        <v>3</v>
      </c>
      <c r="AV40">
        <v>0</v>
      </c>
      <c r="AW40">
        <v>1</v>
      </c>
      <c r="AX40">
        <v>-1</v>
      </c>
      <c r="AY40">
        <v>0</v>
      </c>
      <c r="AZ40">
        <v>0</v>
      </c>
      <c r="BA40" t="s">
        <v>3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ROUND(Y40*Source!I73,9)</f>
        <v>0.94247999999999998</v>
      </c>
      <c r="CY40">
        <f>AA40</f>
        <v>317.29000000000002</v>
      </c>
      <c r="CZ40">
        <f>AE40</f>
        <v>317.29000000000002</v>
      </c>
      <c r="DA40">
        <f>AI40</f>
        <v>1</v>
      </c>
      <c r="DB40">
        <f>ROUND(ROUND(AT40*CZ40,2),6)</f>
        <v>2265.4499999999998</v>
      </c>
      <c r="DC40">
        <f>ROUND(ROUND(AT40*AG40,2),6)</f>
        <v>0</v>
      </c>
      <c r="DD40" t="s">
        <v>3</v>
      </c>
      <c r="DE40" t="s">
        <v>3</v>
      </c>
      <c r="DF40">
        <f>ROUND(AE40*CX40,2)</f>
        <v>299.04000000000002</v>
      </c>
      <c r="DG40">
        <f t="shared" si="23"/>
        <v>0</v>
      </c>
      <c r="DH40">
        <f t="shared" si="24"/>
        <v>0</v>
      </c>
      <c r="DI40">
        <f t="shared" si="3"/>
        <v>0</v>
      </c>
      <c r="DJ40">
        <f>DF40</f>
        <v>299.04000000000002</v>
      </c>
      <c r="DK40">
        <v>0</v>
      </c>
    </row>
    <row r="41" spans="1:115" x14ac:dyDescent="0.2">
      <c r="A41">
        <f>ROW(Source!A74)</f>
        <v>74</v>
      </c>
      <c r="B41">
        <v>129761633</v>
      </c>
      <c r="C41">
        <v>129763204</v>
      </c>
      <c r="D41">
        <v>37345142</v>
      </c>
      <c r="E41">
        <v>37345137</v>
      </c>
      <c r="F41">
        <v>1</v>
      </c>
      <c r="G41">
        <v>37345137</v>
      </c>
      <c r="H41">
        <v>1</v>
      </c>
      <c r="I41" t="s">
        <v>1096</v>
      </c>
      <c r="J41" t="s">
        <v>3</v>
      </c>
      <c r="K41" t="s">
        <v>1097</v>
      </c>
      <c r="L41">
        <v>1191</v>
      </c>
      <c r="N41">
        <v>1013</v>
      </c>
      <c r="O41" t="s">
        <v>1098</v>
      </c>
      <c r="P41" t="s">
        <v>1098</v>
      </c>
      <c r="Q41">
        <v>1</v>
      </c>
      <c r="W41">
        <v>0</v>
      </c>
      <c r="X41">
        <v>476480486</v>
      </c>
      <c r="Y41">
        <f>(AT41*1.15)</f>
        <v>16.559999999999999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1</v>
      </c>
      <c r="AJ41">
        <v>1</v>
      </c>
      <c r="AK41">
        <v>1</v>
      </c>
      <c r="AL41">
        <v>1</v>
      </c>
      <c r="AN41">
        <v>0</v>
      </c>
      <c r="AO41">
        <v>1</v>
      </c>
      <c r="AP41">
        <v>1</v>
      </c>
      <c r="AQ41">
        <v>0</v>
      </c>
      <c r="AR41">
        <v>0</v>
      </c>
      <c r="AS41" t="s">
        <v>3</v>
      </c>
      <c r="AT41">
        <v>14.4</v>
      </c>
      <c r="AU41" t="s">
        <v>87</v>
      </c>
      <c r="AV41">
        <v>1</v>
      </c>
      <c r="AW41">
        <v>2</v>
      </c>
      <c r="AX41">
        <v>129763209</v>
      </c>
      <c r="AY41">
        <v>1</v>
      </c>
      <c r="AZ41">
        <v>0</v>
      </c>
      <c r="BA41">
        <v>41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ROUND(Y41*Source!I74,9)</f>
        <v>2.1859199999999999</v>
      </c>
      <c r="CY41">
        <f>AD41</f>
        <v>0</v>
      </c>
      <c r="CZ41">
        <f>AH41</f>
        <v>0</v>
      </c>
      <c r="DA41">
        <f>AL41</f>
        <v>1</v>
      </c>
      <c r="DB41">
        <f>ROUND((ROUND(AT41*CZ41,2)*1.15),6)</f>
        <v>0</v>
      </c>
      <c r="DC41">
        <f>ROUND((ROUND(AT41*AG41,2)*1.15),6)</f>
        <v>0</v>
      </c>
      <c r="DD41" t="s">
        <v>3</v>
      </c>
      <c r="DE41" t="s">
        <v>3</v>
      </c>
      <c r="DF41">
        <f>ROUND(AE41*CX41,2)</f>
        <v>0</v>
      </c>
      <c r="DG41">
        <f t="shared" si="23"/>
        <v>0</v>
      </c>
      <c r="DH41">
        <f t="shared" si="24"/>
        <v>0</v>
      </c>
      <c r="DI41">
        <f t="shared" si="3"/>
        <v>0</v>
      </c>
      <c r="DJ41">
        <f>DI41</f>
        <v>0</v>
      </c>
      <c r="DK41">
        <v>0</v>
      </c>
    </row>
    <row r="42" spans="1:115" x14ac:dyDescent="0.2">
      <c r="A42">
        <f>ROW(Source!A74)</f>
        <v>74</v>
      </c>
      <c r="B42">
        <v>129761633</v>
      </c>
      <c r="C42">
        <v>129763204</v>
      </c>
      <c r="D42">
        <v>37393487</v>
      </c>
      <c r="E42">
        <v>1</v>
      </c>
      <c r="F42">
        <v>1</v>
      </c>
      <c r="G42">
        <v>37345137</v>
      </c>
      <c r="H42">
        <v>3</v>
      </c>
      <c r="I42" t="s">
        <v>1124</v>
      </c>
      <c r="J42" t="s">
        <v>1125</v>
      </c>
      <c r="K42" t="s">
        <v>1126</v>
      </c>
      <c r="L42">
        <v>1348</v>
      </c>
      <c r="N42">
        <v>1009</v>
      </c>
      <c r="O42" t="s">
        <v>114</v>
      </c>
      <c r="P42" t="s">
        <v>114</v>
      </c>
      <c r="Q42">
        <v>1000</v>
      </c>
      <c r="W42">
        <v>0</v>
      </c>
      <c r="X42">
        <v>435343267</v>
      </c>
      <c r="Y42">
        <f>AT42</f>
        <v>0.06</v>
      </c>
      <c r="AA42">
        <v>37258.94</v>
      </c>
      <c r="AB42">
        <v>0</v>
      </c>
      <c r="AC42">
        <v>0</v>
      </c>
      <c r="AD42">
        <v>0</v>
      </c>
      <c r="AE42">
        <v>3501.78</v>
      </c>
      <c r="AF42">
        <v>0</v>
      </c>
      <c r="AG42">
        <v>0</v>
      </c>
      <c r="AH42">
        <v>0</v>
      </c>
      <c r="AI42">
        <v>10.64</v>
      </c>
      <c r="AJ42">
        <v>1</v>
      </c>
      <c r="AK42">
        <v>1</v>
      </c>
      <c r="AL42">
        <v>1</v>
      </c>
      <c r="AN42">
        <v>0</v>
      </c>
      <c r="AO42">
        <v>1</v>
      </c>
      <c r="AP42">
        <v>0</v>
      </c>
      <c r="AQ42">
        <v>0</v>
      </c>
      <c r="AR42">
        <v>0</v>
      </c>
      <c r="AS42" t="s">
        <v>3</v>
      </c>
      <c r="AT42">
        <v>0.06</v>
      </c>
      <c r="AU42" t="s">
        <v>3</v>
      </c>
      <c r="AV42">
        <v>0</v>
      </c>
      <c r="AW42">
        <v>2</v>
      </c>
      <c r="AX42">
        <v>129763210</v>
      </c>
      <c r="AY42">
        <v>1</v>
      </c>
      <c r="AZ42">
        <v>0</v>
      </c>
      <c r="BA42">
        <v>42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ROUND(Y42*Source!I74,9)</f>
        <v>7.92E-3</v>
      </c>
      <c r="CY42">
        <f>AA42</f>
        <v>37258.94</v>
      </c>
      <c r="CZ42">
        <f>AE42</f>
        <v>3501.78</v>
      </c>
      <c r="DA42">
        <f>AI42</f>
        <v>10.64</v>
      </c>
      <c r="DB42">
        <f>ROUND(ROUND(AT42*CZ42,2),6)</f>
        <v>210.11</v>
      </c>
      <c r="DC42">
        <f>ROUND(ROUND(AT42*AG42,2),6)</f>
        <v>0</v>
      </c>
      <c r="DD42" t="s">
        <v>3</v>
      </c>
      <c r="DE42" t="s">
        <v>3</v>
      </c>
      <c r="DF42">
        <f>ROUND(ROUND(AE42*CX42,2)*AI42,2)</f>
        <v>295.05</v>
      </c>
      <c r="DG42">
        <f t="shared" si="23"/>
        <v>0</v>
      </c>
      <c r="DH42">
        <f t="shared" si="24"/>
        <v>0</v>
      </c>
      <c r="DI42">
        <f t="shared" si="3"/>
        <v>0</v>
      </c>
      <c r="DJ42">
        <f>DF42</f>
        <v>295.05</v>
      </c>
      <c r="DK42">
        <v>0</v>
      </c>
    </row>
    <row r="43" spans="1:115" x14ac:dyDescent="0.2">
      <c r="A43">
        <f>ROW(Source!A74)</f>
        <v>74</v>
      </c>
      <c r="B43">
        <v>129761633</v>
      </c>
      <c r="C43">
        <v>129763204</v>
      </c>
      <c r="D43">
        <v>37394111</v>
      </c>
      <c r="E43">
        <v>1</v>
      </c>
      <c r="F43">
        <v>1</v>
      </c>
      <c r="G43">
        <v>37345137</v>
      </c>
      <c r="H43">
        <v>3</v>
      </c>
      <c r="I43" t="s">
        <v>92</v>
      </c>
      <c r="J43" t="s">
        <v>95</v>
      </c>
      <c r="K43" t="s">
        <v>93</v>
      </c>
      <c r="L43">
        <v>1339</v>
      </c>
      <c r="N43">
        <v>1007</v>
      </c>
      <c r="O43" t="s">
        <v>94</v>
      </c>
      <c r="P43" t="s">
        <v>94</v>
      </c>
      <c r="Q43">
        <v>1</v>
      </c>
      <c r="W43">
        <v>0</v>
      </c>
      <c r="X43">
        <v>2069056849</v>
      </c>
      <c r="Y43">
        <f>AT43</f>
        <v>0.5</v>
      </c>
      <c r="AA43">
        <v>722.33</v>
      </c>
      <c r="AB43">
        <v>0</v>
      </c>
      <c r="AC43">
        <v>0</v>
      </c>
      <c r="AD43">
        <v>0</v>
      </c>
      <c r="AE43">
        <v>104.99</v>
      </c>
      <c r="AF43">
        <v>0</v>
      </c>
      <c r="AG43">
        <v>0</v>
      </c>
      <c r="AH43">
        <v>0</v>
      </c>
      <c r="AI43">
        <v>6.88</v>
      </c>
      <c r="AJ43">
        <v>1</v>
      </c>
      <c r="AK43">
        <v>1</v>
      </c>
      <c r="AL43">
        <v>1</v>
      </c>
      <c r="AN43">
        <v>0</v>
      </c>
      <c r="AO43">
        <v>1</v>
      </c>
      <c r="AP43">
        <v>0</v>
      </c>
      <c r="AQ43">
        <v>0</v>
      </c>
      <c r="AR43">
        <v>0</v>
      </c>
      <c r="AS43" t="s">
        <v>3</v>
      </c>
      <c r="AT43">
        <v>0.5</v>
      </c>
      <c r="AU43" t="s">
        <v>3</v>
      </c>
      <c r="AV43">
        <v>0</v>
      </c>
      <c r="AW43">
        <v>2</v>
      </c>
      <c r="AX43">
        <v>129763211</v>
      </c>
      <c r="AY43">
        <v>1</v>
      </c>
      <c r="AZ43">
        <v>0</v>
      </c>
      <c r="BA43">
        <v>43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ROUND(Y43*Source!I74,9)</f>
        <v>6.6000000000000003E-2</v>
      </c>
      <c r="CY43">
        <f>AA43</f>
        <v>722.33</v>
      </c>
      <c r="CZ43">
        <f>AE43</f>
        <v>104.99</v>
      </c>
      <c r="DA43">
        <f>AI43</f>
        <v>6.88</v>
      </c>
      <c r="DB43">
        <f>ROUND(ROUND(AT43*CZ43,2),6)</f>
        <v>52.5</v>
      </c>
      <c r="DC43">
        <f>ROUND(ROUND(AT43*AG43,2),6)</f>
        <v>0</v>
      </c>
      <c r="DD43" t="s">
        <v>3</v>
      </c>
      <c r="DE43" t="s">
        <v>3</v>
      </c>
      <c r="DF43">
        <f>ROUND(ROUND(AE43*CX43,2)*AI43,2)</f>
        <v>47.68</v>
      </c>
      <c r="DG43">
        <f t="shared" si="23"/>
        <v>0</v>
      </c>
      <c r="DH43">
        <f t="shared" si="24"/>
        <v>0</v>
      </c>
      <c r="DI43">
        <f t="shared" si="3"/>
        <v>0</v>
      </c>
      <c r="DJ43">
        <f>DF43</f>
        <v>47.68</v>
      </c>
      <c r="DK43">
        <v>0</v>
      </c>
    </row>
    <row r="44" spans="1:115" x14ac:dyDescent="0.2">
      <c r="A44">
        <f>ROW(Source!A74)</f>
        <v>74</v>
      </c>
      <c r="B44">
        <v>129761633</v>
      </c>
      <c r="C44">
        <v>129763204</v>
      </c>
      <c r="D44">
        <v>37412238</v>
      </c>
      <c r="E44">
        <v>1</v>
      </c>
      <c r="F44">
        <v>1</v>
      </c>
      <c r="G44">
        <v>37345137</v>
      </c>
      <c r="H44">
        <v>3</v>
      </c>
      <c r="I44" t="s">
        <v>112</v>
      </c>
      <c r="J44" t="s">
        <v>115</v>
      </c>
      <c r="K44" t="s">
        <v>113</v>
      </c>
      <c r="L44">
        <v>1348</v>
      </c>
      <c r="N44">
        <v>1009</v>
      </c>
      <c r="O44" t="s">
        <v>114</v>
      </c>
      <c r="P44" t="s">
        <v>114</v>
      </c>
      <c r="Q44">
        <v>1000</v>
      </c>
      <c r="W44">
        <v>0</v>
      </c>
      <c r="X44">
        <v>164969463</v>
      </c>
      <c r="Y44">
        <f>AT44</f>
        <v>7.14</v>
      </c>
      <c r="AA44">
        <v>3772.58</v>
      </c>
      <c r="AB44">
        <v>0</v>
      </c>
      <c r="AC44">
        <v>0</v>
      </c>
      <c r="AD44">
        <v>0</v>
      </c>
      <c r="AE44">
        <v>317.29000000000002</v>
      </c>
      <c r="AF44">
        <v>0</v>
      </c>
      <c r="AG44">
        <v>0</v>
      </c>
      <c r="AH44">
        <v>0</v>
      </c>
      <c r="AI44">
        <v>11.89</v>
      </c>
      <c r="AJ44">
        <v>1</v>
      </c>
      <c r="AK44">
        <v>1</v>
      </c>
      <c r="AL44">
        <v>1</v>
      </c>
      <c r="AN44">
        <v>0</v>
      </c>
      <c r="AO44">
        <v>0</v>
      </c>
      <c r="AP44">
        <v>0</v>
      </c>
      <c r="AQ44">
        <v>0</v>
      </c>
      <c r="AR44">
        <v>0</v>
      </c>
      <c r="AS44" t="s">
        <v>3</v>
      </c>
      <c r="AT44">
        <v>7.14</v>
      </c>
      <c r="AU44" t="s">
        <v>3</v>
      </c>
      <c r="AV44">
        <v>0</v>
      </c>
      <c r="AW44">
        <v>1</v>
      </c>
      <c r="AX44">
        <v>-1</v>
      </c>
      <c r="AY44">
        <v>0</v>
      </c>
      <c r="AZ44">
        <v>0</v>
      </c>
      <c r="BA44" t="s">
        <v>3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ROUND(Y44*Source!I74,9)</f>
        <v>0.94247999999999998</v>
      </c>
      <c r="CY44">
        <f>AA44</f>
        <v>3772.58</v>
      </c>
      <c r="CZ44">
        <f>AE44</f>
        <v>317.29000000000002</v>
      </c>
      <c r="DA44">
        <f>AI44</f>
        <v>11.89</v>
      </c>
      <c r="DB44">
        <f>ROUND(ROUND(AT44*CZ44,2),6)</f>
        <v>2265.4499999999998</v>
      </c>
      <c r="DC44">
        <f>ROUND(ROUND(AT44*AG44,2),6)</f>
        <v>0</v>
      </c>
      <c r="DD44" t="s">
        <v>3</v>
      </c>
      <c r="DE44" t="s">
        <v>3</v>
      </c>
      <c r="DF44">
        <f>ROUND(ROUND(AE44*CX44,2)*AI44,2)</f>
        <v>3555.59</v>
      </c>
      <c r="DG44">
        <f t="shared" si="23"/>
        <v>0</v>
      </c>
      <c r="DH44">
        <f t="shared" si="24"/>
        <v>0</v>
      </c>
      <c r="DI44">
        <f t="shared" si="3"/>
        <v>0</v>
      </c>
      <c r="DJ44">
        <f>DF44</f>
        <v>3555.59</v>
      </c>
      <c r="DK44">
        <v>0</v>
      </c>
    </row>
    <row r="45" spans="1:115" x14ac:dyDescent="0.2">
      <c r="A45">
        <f>ROW(Source!A77)</f>
        <v>77</v>
      </c>
      <c r="B45">
        <v>129761636</v>
      </c>
      <c r="C45">
        <v>129763214</v>
      </c>
      <c r="D45">
        <v>37345142</v>
      </c>
      <c r="E45">
        <v>37345137</v>
      </c>
      <c r="F45">
        <v>1</v>
      </c>
      <c r="G45">
        <v>37345137</v>
      </c>
      <c r="H45">
        <v>1</v>
      </c>
      <c r="I45" t="s">
        <v>1096</v>
      </c>
      <c r="J45" t="s">
        <v>3</v>
      </c>
      <c r="K45" t="s">
        <v>1097</v>
      </c>
      <c r="L45">
        <v>1191</v>
      </c>
      <c r="N45">
        <v>1013</v>
      </c>
      <c r="O45" t="s">
        <v>1098</v>
      </c>
      <c r="P45" t="s">
        <v>1098</v>
      </c>
      <c r="Q45">
        <v>1</v>
      </c>
      <c r="W45">
        <v>0</v>
      </c>
      <c r="X45">
        <v>476480486</v>
      </c>
      <c r="Y45">
        <f>((AT45*1.15)*9)</f>
        <v>24.011999999999997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1</v>
      </c>
      <c r="AJ45">
        <v>1</v>
      </c>
      <c r="AK45">
        <v>1</v>
      </c>
      <c r="AL45">
        <v>1</v>
      </c>
      <c r="AN45">
        <v>0</v>
      </c>
      <c r="AO45">
        <v>1</v>
      </c>
      <c r="AP45">
        <v>1</v>
      </c>
      <c r="AQ45">
        <v>0</v>
      </c>
      <c r="AR45">
        <v>0</v>
      </c>
      <c r="AS45" t="s">
        <v>3</v>
      </c>
      <c r="AT45">
        <v>2.3199999999999998</v>
      </c>
      <c r="AU45" t="s">
        <v>122</v>
      </c>
      <c r="AV45">
        <v>1</v>
      </c>
      <c r="AW45">
        <v>2</v>
      </c>
      <c r="AX45">
        <v>129763217</v>
      </c>
      <c r="AY45">
        <v>1</v>
      </c>
      <c r="AZ45">
        <v>0</v>
      </c>
      <c r="BA45">
        <v>45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ROUND(Y45*Source!I77,9)</f>
        <v>3.2176079999999998</v>
      </c>
      <c r="CY45">
        <f>AD45</f>
        <v>0</v>
      </c>
      <c r="CZ45">
        <f>AH45</f>
        <v>0</v>
      </c>
      <c r="DA45">
        <f>AL45</f>
        <v>1</v>
      </c>
      <c r="DB45">
        <f>ROUND(((ROUND(AT45*CZ45,2)*1.15)*9),6)</f>
        <v>0</v>
      </c>
      <c r="DC45">
        <f>ROUND(((ROUND(AT45*AG45,2)*1.15)*9),6)</f>
        <v>0</v>
      </c>
      <c r="DD45" t="s">
        <v>3</v>
      </c>
      <c r="DE45" t="s">
        <v>3</v>
      </c>
      <c r="DF45">
        <f>ROUND(AE45*CX45,2)</f>
        <v>0</v>
      </c>
      <c r="DG45">
        <f t="shared" si="23"/>
        <v>0</v>
      </c>
      <c r="DH45">
        <f t="shared" si="24"/>
        <v>0</v>
      </c>
      <c r="DI45">
        <f t="shared" si="3"/>
        <v>0</v>
      </c>
      <c r="DJ45">
        <f>DI45</f>
        <v>0</v>
      </c>
      <c r="DK45">
        <v>0</v>
      </c>
    </row>
    <row r="46" spans="1:115" x14ac:dyDescent="0.2">
      <c r="A46">
        <f>ROW(Source!A77)</f>
        <v>77</v>
      </c>
      <c r="B46">
        <v>129761636</v>
      </c>
      <c r="C46">
        <v>129763214</v>
      </c>
      <c r="D46">
        <v>37412238</v>
      </c>
      <c r="E46">
        <v>1</v>
      </c>
      <c r="F46">
        <v>1</v>
      </c>
      <c r="G46">
        <v>37345137</v>
      </c>
      <c r="H46">
        <v>3</v>
      </c>
      <c r="I46" t="s">
        <v>112</v>
      </c>
      <c r="J46" t="s">
        <v>115</v>
      </c>
      <c r="K46" t="s">
        <v>113</v>
      </c>
      <c r="L46">
        <v>1348</v>
      </c>
      <c r="N46">
        <v>1009</v>
      </c>
      <c r="O46" t="s">
        <v>114</v>
      </c>
      <c r="P46" t="s">
        <v>114</v>
      </c>
      <c r="Q46">
        <v>1000</v>
      </c>
      <c r="W46">
        <v>0</v>
      </c>
      <c r="X46">
        <v>164969463</v>
      </c>
      <c r="Y46">
        <f>(AT46*9)</f>
        <v>10.89</v>
      </c>
      <c r="AA46">
        <v>317.29000000000002</v>
      </c>
      <c r="AB46">
        <v>0</v>
      </c>
      <c r="AC46">
        <v>0</v>
      </c>
      <c r="AD46">
        <v>0</v>
      </c>
      <c r="AE46">
        <v>317.29000000000002</v>
      </c>
      <c r="AF46">
        <v>0</v>
      </c>
      <c r="AG46">
        <v>0</v>
      </c>
      <c r="AH46">
        <v>0</v>
      </c>
      <c r="AI46">
        <v>1</v>
      </c>
      <c r="AJ46">
        <v>1</v>
      </c>
      <c r="AK46">
        <v>1</v>
      </c>
      <c r="AL46">
        <v>1</v>
      </c>
      <c r="AN46">
        <v>0</v>
      </c>
      <c r="AO46">
        <v>0</v>
      </c>
      <c r="AP46">
        <v>1</v>
      </c>
      <c r="AQ46">
        <v>0</v>
      </c>
      <c r="AR46">
        <v>0</v>
      </c>
      <c r="AS46" t="s">
        <v>3</v>
      </c>
      <c r="AT46">
        <v>1.21</v>
      </c>
      <c r="AU46" t="s">
        <v>120</v>
      </c>
      <c r="AV46">
        <v>0</v>
      </c>
      <c r="AW46">
        <v>1</v>
      </c>
      <c r="AX46">
        <v>-1</v>
      </c>
      <c r="AY46">
        <v>0</v>
      </c>
      <c r="AZ46">
        <v>0</v>
      </c>
      <c r="BA46" t="s">
        <v>3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ROUND(Y46*Source!I77,9)</f>
        <v>1.45926</v>
      </c>
      <c r="CY46">
        <f>AA46</f>
        <v>317.29000000000002</v>
      </c>
      <c r="CZ46">
        <f>AE46</f>
        <v>317.29000000000002</v>
      </c>
      <c r="DA46">
        <f>AI46</f>
        <v>1</v>
      </c>
      <c r="DB46">
        <f>ROUND((ROUND(AT46*CZ46,2)*9),6)</f>
        <v>3455.28</v>
      </c>
      <c r="DC46">
        <f>ROUND((ROUND(AT46*AG46,2)*9),6)</f>
        <v>0</v>
      </c>
      <c r="DD46" t="s">
        <v>3</v>
      </c>
      <c r="DE46" t="s">
        <v>3</v>
      </c>
      <c r="DF46">
        <f>ROUND(AE46*CX46,2)</f>
        <v>463.01</v>
      </c>
      <c r="DG46">
        <f t="shared" si="23"/>
        <v>0</v>
      </c>
      <c r="DH46">
        <f t="shared" si="24"/>
        <v>0</v>
      </c>
      <c r="DI46">
        <f t="shared" si="3"/>
        <v>0</v>
      </c>
      <c r="DJ46">
        <f>DF46</f>
        <v>463.01</v>
      </c>
      <c r="DK46">
        <v>0</v>
      </c>
    </row>
    <row r="47" spans="1:115" x14ac:dyDescent="0.2">
      <c r="A47">
        <f>ROW(Source!A78)</f>
        <v>78</v>
      </c>
      <c r="B47">
        <v>129761633</v>
      </c>
      <c r="C47">
        <v>129763214</v>
      </c>
      <c r="D47">
        <v>37345142</v>
      </c>
      <c r="E47">
        <v>37345137</v>
      </c>
      <c r="F47">
        <v>1</v>
      </c>
      <c r="G47">
        <v>37345137</v>
      </c>
      <c r="H47">
        <v>1</v>
      </c>
      <c r="I47" t="s">
        <v>1096</v>
      </c>
      <c r="J47" t="s">
        <v>3</v>
      </c>
      <c r="K47" t="s">
        <v>1097</v>
      </c>
      <c r="L47">
        <v>1191</v>
      </c>
      <c r="N47">
        <v>1013</v>
      </c>
      <c r="O47" t="s">
        <v>1098</v>
      </c>
      <c r="P47" t="s">
        <v>1098</v>
      </c>
      <c r="Q47">
        <v>1</v>
      </c>
      <c r="W47">
        <v>0</v>
      </c>
      <c r="X47">
        <v>476480486</v>
      </c>
      <c r="Y47">
        <f>((AT47*1.15)*9)</f>
        <v>24.011999999999997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1</v>
      </c>
      <c r="AJ47">
        <v>1</v>
      </c>
      <c r="AK47">
        <v>1</v>
      </c>
      <c r="AL47">
        <v>1</v>
      </c>
      <c r="AN47">
        <v>0</v>
      </c>
      <c r="AO47">
        <v>1</v>
      </c>
      <c r="AP47">
        <v>1</v>
      </c>
      <c r="AQ47">
        <v>0</v>
      </c>
      <c r="AR47">
        <v>0</v>
      </c>
      <c r="AS47" t="s">
        <v>3</v>
      </c>
      <c r="AT47">
        <v>2.3199999999999998</v>
      </c>
      <c r="AU47" t="s">
        <v>122</v>
      </c>
      <c r="AV47">
        <v>1</v>
      </c>
      <c r="AW47">
        <v>2</v>
      </c>
      <c r="AX47">
        <v>129763217</v>
      </c>
      <c r="AY47">
        <v>1</v>
      </c>
      <c r="AZ47">
        <v>0</v>
      </c>
      <c r="BA47">
        <v>47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ROUND(Y47*Source!I78,9)</f>
        <v>3.2176079999999998</v>
      </c>
      <c r="CY47">
        <f>AD47</f>
        <v>0</v>
      </c>
      <c r="CZ47">
        <f>AH47</f>
        <v>0</v>
      </c>
      <c r="DA47">
        <f>AL47</f>
        <v>1</v>
      </c>
      <c r="DB47">
        <f>ROUND(((ROUND(AT47*CZ47,2)*1.15)*9),6)</f>
        <v>0</v>
      </c>
      <c r="DC47">
        <f>ROUND(((ROUND(AT47*AG47,2)*1.15)*9),6)</f>
        <v>0</v>
      </c>
      <c r="DD47" t="s">
        <v>3</v>
      </c>
      <c r="DE47" t="s">
        <v>3</v>
      </c>
      <c r="DF47">
        <f>ROUND(AE47*CX47,2)</f>
        <v>0</v>
      </c>
      <c r="DG47">
        <f t="shared" si="23"/>
        <v>0</v>
      </c>
      <c r="DH47">
        <f t="shared" si="24"/>
        <v>0</v>
      </c>
      <c r="DI47">
        <f t="shared" si="3"/>
        <v>0</v>
      </c>
      <c r="DJ47">
        <f>DI47</f>
        <v>0</v>
      </c>
      <c r="DK47">
        <v>0</v>
      </c>
    </row>
    <row r="48" spans="1:115" x14ac:dyDescent="0.2">
      <c r="A48">
        <f>ROW(Source!A78)</f>
        <v>78</v>
      </c>
      <c r="B48">
        <v>129761633</v>
      </c>
      <c r="C48">
        <v>129763214</v>
      </c>
      <c r="D48">
        <v>37412238</v>
      </c>
      <c r="E48">
        <v>1</v>
      </c>
      <c r="F48">
        <v>1</v>
      </c>
      <c r="G48">
        <v>37345137</v>
      </c>
      <c r="H48">
        <v>3</v>
      </c>
      <c r="I48" t="s">
        <v>112</v>
      </c>
      <c r="J48" t="s">
        <v>115</v>
      </c>
      <c r="K48" t="s">
        <v>113</v>
      </c>
      <c r="L48">
        <v>1348</v>
      </c>
      <c r="N48">
        <v>1009</v>
      </c>
      <c r="O48" t="s">
        <v>114</v>
      </c>
      <c r="P48" t="s">
        <v>114</v>
      </c>
      <c r="Q48">
        <v>1000</v>
      </c>
      <c r="W48">
        <v>0</v>
      </c>
      <c r="X48">
        <v>164969463</v>
      </c>
      <c r="Y48">
        <f>(AT48*9)</f>
        <v>10.89</v>
      </c>
      <c r="AA48">
        <v>3772.58</v>
      </c>
      <c r="AB48">
        <v>0</v>
      </c>
      <c r="AC48">
        <v>0</v>
      </c>
      <c r="AD48">
        <v>0</v>
      </c>
      <c r="AE48">
        <v>317.29000000000002</v>
      </c>
      <c r="AF48">
        <v>0</v>
      </c>
      <c r="AG48">
        <v>0</v>
      </c>
      <c r="AH48">
        <v>0</v>
      </c>
      <c r="AI48">
        <v>11.89</v>
      </c>
      <c r="AJ48">
        <v>1</v>
      </c>
      <c r="AK48">
        <v>1</v>
      </c>
      <c r="AL48">
        <v>1</v>
      </c>
      <c r="AN48">
        <v>0</v>
      </c>
      <c r="AO48">
        <v>0</v>
      </c>
      <c r="AP48">
        <v>1</v>
      </c>
      <c r="AQ48">
        <v>0</v>
      </c>
      <c r="AR48">
        <v>0</v>
      </c>
      <c r="AS48" t="s">
        <v>3</v>
      </c>
      <c r="AT48">
        <v>1.21</v>
      </c>
      <c r="AU48" t="s">
        <v>120</v>
      </c>
      <c r="AV48">
        <v>0</v>
      </c>
      <c r="AW48">
        <v>1</v>
      </c>
      <c r="AX48">
        <v>-1</v>
      </c>
      <c r="AY48">
        <v>0</v>
      </c>
      <c r="AZ48">
        <v>0</v>
      </c>
      <c r="BA48" t="s">
        <v>3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ROUND(Y48*Source!I78,9)</f>
        <v>1.45926</v>
      </c>
      <c r="CY48">
        <f>AA48</f>
        <v>3772.58</v>
      </c>
      <c r="CZ48">
        <f>AE48</f>
        <v>317.29000000000002</v>
      </c>
      <c r="DA48">
        <f>AI48</f>
        <v>11.89</v>
      </c>
      <c r="DB48">
        <f>ROUND((ROUND(AT48*CZ48,2)*9),6)</f>
        <v>3455.28</v>
      </c>
      <c r="DC48">
        <f>ROUND((ROUND(AT48*AG48,2)*9),6)</f>
        <v>0</v>
      </c>
      <c r="DD48" t="s">
        <v>3</v>
      </c>
      <c r="DE48" t="s">
        <v>3</v>
      </c>
      <c r="DF48">
        <f>ROUND(ROUND(AE48*CX48,2)*AI48,2)</f>
        <v>5505.19</v>
      </c>
      <c r="DG48">
        <f t="shared" si="23"/>
        <v>0</v>
      </c>
      <c r="DH48">
        <f t="shared" si="24"/>
        <v>0</v>
      </c>
      <c r="DI48">
        <f t="shared" si="3"/>
        <v>0</v>
      </c>
      <c r="DJ48">
        <f>DF48</f>
        <v>5505.19</v>
      </c>
      <c r="DK48">
        <v>0</v>
      </c>
    </row>
    <row r="49" spans="1:115" x14ac:dyDescent="0.2">
      <c r="A49">
        <f>ROW(Source!A81)</f>
        <v>81</v>
      </c>
      <c r="B49">
        <v>129761636</v>
      </c>
      <c r="C49">
        <v>129763220</v>
      </c>
      <c r="D49">
        <v>37345142</v>
      </c>
      <c r="E49">
        <v>37345137</v>
      </c>
      <c r="F49">
        <v>1</v>
      </c>
      <c r="G49">
        <v>37345137</v>
      </c>
      <c r="H49">
        <v>1</v>
      </c>
      <c r="I49" t="s">
        <v>1096</v>
      </c>
      <c r="J49" t="s">
        <v>3</v>
      </c>
      <c r="K49" t="s">
        <v>1097</v>
      </c>
      <c r="L49">
        <v>1191</v>
      </c>
      <c r="N49">
        <v>1013</v>
      </c>
      <c r="O49" t="s">
        <v>1098</v>
      </c>
      <c r="P49" t="s">
        <v>1098</v>
      </c>
      <c r="Q49">
        <v>1</v>
      </c>
      <c r="W49">
        <v>0</v>
      </c>
      <c r="X49">
        <v>476480486</v>
      </c>
      <c r="Y49">
        <f>(AT49*1.15)</f>
        <v>80.27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1</v>
      </c>
      <c r="AJ49">
        <v>1</v>
      </c>
      <c r="AK49">
        <v>1</v>
      </c>
      <c r="AL49">
        <v>1</v>
      </c>
      <c r="AN49">
        <v>0</v>
      </c>
      <c r="AO49">
        <v>1</v>
      </c>
      <c r="AP49">
        <v>1</v>
      </c>
      <c r="AQ49">
        <v>0</v>
      </c>
      <c r="AR49">
        <v>0</v>
      </c>
      <c r="AS49" t="s">
        <v>3</v>
      </c>
      <c r="AT49">
        <v>69.8</v>
      </c>
      <c r="AU49" t="s">
        <v>87</v>
      </c>
      <c r="AV49">
        <v>1</v>
      </c>
      <c r="AW49">
        <v>2</v>
      </c>
      <c r="AX49">
        <v>129763227</v>
      </c>
      <c r="AY49">
        <v>1</v>
      </c>
      <c r="AZ49">
        <v>0</v>
      </c>
      <c r="BA49">
        <v>49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ROUND(Y49*Source!I81,9)</f>
        <v>8.2678100000000008</v>
      </c>
      <c r="CY49">
        <f>AD49</f>
        <v>0</v>
      </c>
      <c r="CZ49">
        <f>AH49</f>
        <v>0</v>
      </c>
      <c r="DA49">
        <f>AL49</f>
        <v>1</v>
      </c>
      <c r="DB49">
        <f>ROUND((ROUND(AT49*CZ49,2)*1.15),6)</f>
        <v>0</v>
      </c>
      <c r="DC49">
        <f>ROUND((ROUND(AT49*AG49,2)*1.15),6)</f>
        <v>0</v>
      </c>
      <c r="DD49" t="s">
        <v>3</v>
      </c>
      <c r="DE49" t="s">
        <v>3</v>
      </c>
      <c r="DF49">
        <f t="shared" ref="DF49:DF56" si="25">ROUND(AE49*CX49,2)</f>
        <v>0</v>
      </c>
      <c r="DG49">
        <f t="shared" si="23"/>
        <v>0</v>
      </c>
      <c r="DH49">
        <f t="shared" si="24"/>
        <v>0</v>
      </c>
      <c r="DI49">
        <f t="shared" si="3"/>
        <v>0</v>
      </c>
      <c r="DJ49">
        <f>DI49</f>
        <v>0</v>
      </c>
      <c r="DK49">
        <v>0</v>
      </c>
    </row>
    <row r="50" spans="1:115" x14ac:dyDescent="0.2">
      <c r="A50">
        <f>ROW(Source!A81)</f>
        <v>81</v>
      </c>
      <c r="B50">
        <v>129761636</v>
      </c>
      <c r="C50">
        <v>129763220</v>
      </c>
      <c r="D50">
        <v>37417692</v>
      </c>
      <c r="E50">
        <v>1</v>
      </c>
      <c r="F50">
        <v>1</v>
      </c>
      <c r="G50">
        <v>37345137</v>
      </c>
      <c r="H50">
        <v>2</v>
      </c>
      <c r="I50" t="s">
        <v>1127</v>
      </c>
      <c r="J50" t="s">
        <v>1128</v>
      </c>
      <c r="K50" t="s">
        <v>1129</v>
      </c>
      <c r="L50">
        <v>1367</v>
      </c>
      <c r="N50">
        <v>1011</v>
      </c>
      <c r="O50" t="s">
        <v>1102</v>
      </c>
      <c r="P50" t="s">
        <v>1102</v>
      </c>
      <c r="Q50">
        <v>1</v>
      </c>
      <c r="W50">
        <v>0</v>
      </c>
      <c r="X50">
        <v>-266174272</v>
      </c>
      <c r="Y50">
        <f>(AT50*1.25)</f>
        <v>0.76249999999999996</v>
      </c>
      <c r="AA50">
        <v>0</v>
      </c>
      <c r="AB50">
        <v>190.93</v>
      </c>
      <c r="AC50">
        <v>18.149999999999999</v>
      </c>
      <c r="AD50">
        <v>0</v>
      </c>
      <c r="AE50">
        <v>0</v>
      </c>
      <c r="AF50">
        <v>190.93</v>
      </c>
      <c r="AG50">
        <v>18.149999999999999</v>
      </c>
      <c r="AH50">
        <v>0</v>
      </c>
      <c r="AI50">
        <v>1</v>
      </c>
      <c r="AJ50">
        <v>1</v>
      </c>
      <c r="AK50">
        <v>1</v>
      </c>
      <c r="AL50">
        <v>1</v>
      </c>
      <c r="AN50">
        <v>0</v>
      </c>
      <c r="AO50">
        <v>1</v>
      </c>
      <c r="AP50">
        <v>1</v>
      </c>
      <c r="AQ50">
        <v>0</v>
      </c>
      <c r="AR50">
        <v>0</v>
      </c>
      <c r="AS50" t="s">
        <v>3</v>
      </c>
      <c r="AT50">
        <v>0.61</v>
      </c>
      <c r="AU50" t="s">
        <v>86</v>
      </c>
      <c r="AV50">
        <v>0</v>
      </c>
      <c r="AW50">
        <v>2</v>
      </c>
      <c r="AX50">
        <v>129763228</v>
      </c>
      <c r="AY50">
        <v>1</v>
      </c>
      <c r="AZ50">
        <v>0</v>
      </c>
      <c r="BA50">
        <v>50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ROUND(Y50*Source!I81,9)</f>
        <v>7.8537499999999996E-2</v>
      </c>
      <c r="CY50">
        <f>AB50</f>
        <v>190.93</v>
      </c>
      <c r="CZ50">
        <f>AF50</f>
        <v>190.93</v>
      </c>
      <c r="DA50">
        <f>AJ50</f>
        <v>1</v>
      </c>
      <c r="DB50">
        <f>ROUND((ROUND(AT50*CZ50,2)*1.25),6)</f>
        <v>145.58750000000001</v>
      </c>
      <c r="DC50">
        <f>ROUND((ROUND(AT50*AG50,2)*1.25),6)</f>
        <v>13.8375</v>
      </c>
      <c r="DD50" t="s">
        <v>3</v>
      </c>
      <c r="DE50" t="s">
        <v>3</v>
      </c>
      <c r="DF50">
        <f t="shared" si="25"/>
        <v>0</v>
      </c>
      <c r="DG50">
        <f t="shared" si="23"/>
        <v>15</v>
      </c>
      <c r="DH50">
        <f t="shared" si="24"/>
        <v>1.43</v>
      </c>
      <c r="DI50">
        <f t="shared" si="3"/>
        <v>0</v>
      </c>
      <c r="DJ50">
        <f>DG50</f>
        <v>15</v>
      </c>
      <c r="DK50">
        <v>0</v>
      </c>
    </row>
    <row r="51" spans="1:115" x14ac:dyDescent="0.2">
      <c r="A51">
        <f>ROW(Source!A81)</f>
        <v>81</v>
      </c>
      <c r="B51">
        <v>129761636</v>
      </c>
      <c r="C51">
        <v>129763220</v>
      </c>
      <c r="D51">
        <v>37411928</v>
      </c>
      <c r="E51">
        <v>1</v>
      </c>
      <c r="F51">
        <v>1</v>
      </c>
      <c r="G51">
        <v>37345137</v>
      </c>
      <c r="H51">
        <v>3</v>
      </c>
      <c r="I51" t="s">
        <v>1130</v>
      </c>
      <c r="J51" t="s">
        <v>1131</v>
      </c>
      <c r="K51" t="s">
        <v>1132</v>
      </c>
      <c r="L51">
        <v>1339</v>
      </c>
      <c r="N51">
        <v>1007</v>
      </c>
      <c r="O51" t="s">
        <v>94</v>
      </c>
      <c r="P51" t="s">
        <v>94</v>
      </c>
      <c r="Q51">
        <v>1</v>
      </c>
      <c r="W51">
        <v>0</v>
      </c>
      <c r="X51">
        <v>-758282629</v>
      </c>
      <c r="Y51">
        <f>AT51</f>
        <v>5.9</v>
      </c>
      <c r="AA51">
        <v>704.89</v>
      </c>
      <c r="AB51">
        <v>0</v>
      </c>
      <c r="AC51">
        <v>0</v>
      </c>
      <c r="AD51">
        <v>0</v>
      </c>
      <c r="AE51">
        <v>704.89</v>
      </c>
      <c r="AF51">
        <v>0</v>
      </c>
      <c r="AG51">
        <v>0</v>
      </c>
      <c r="AH51">
        <v>0</v>
      </c>
      <c r="AI51">
        <v>1</v>
      </c>
      <c r="AJ51">
        <v>1</v>
      </c>
      <c r="AK51">
        <v>1</v>
      </c>
      <c r="AL51">
        <v>1</v>
      </c>
      <c r="AN51">
        <v>0</v>
      </c>
      <c r="AO51">
        <v>1</v>
      </c>
      <c r="AP51">
        <v>0</v>
      </c>
      <c r="AQ51">
        <v>0</v>
      </c>
      <c r="AR51">
        <v>0</v>
      </c>
      <c r="AS51" t="s">
        <v>3</v>
      </c>
      <c r="AT51">
        <v>5.9</v>
      </c>
      <c r="AU51" t="s">
        <v>3</v>
      </c>
      <c r="AV51">
        <v>0</v>
      </c>
      <c r="AW51">
        <v>2</v>
      </c>
      <c r="AX51">
        <v>129763229</v>
      </c>
      <c r="AY51">
        <v>1</v>
      </c>
      <c r="AZ51">
        <v>0</v>
      </c>
      <c r="BA51">
        <v>51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ROUND(Y51*Source!I81,9)</f>
        <v>0.60770000000000002</v>
      </c>
      <c r="CY51">
        <f>AA51</f>
        <v>704.89</v>
      </c>
      <c r="CZ51">
        <f>AE51</f>
        <v>704.89</v>
      </c>
      <c r="DA51">
        <f>AI51</f>
        <v>1</v>
      </c>
      <c r="DB51">
        <f>ROUND(ROUND(AT51*CZ51,2),6)</f>
        <v>4158.8500000000004</v>
      </c>
      <c r="DC51">
        <f>ROUND(ROUND(AT51*AG51,2),6)</f>
        <v>0</v>
      </c>
      <c r="DD51" t="s">
        <v>3</v>
      </c>
      <c r="DE51" t="s">
        <v>3</v>
      </c>
      <c r="DF51">
        <f t="shared" si="25"/>
        <v>428.36</v>
      </c>
      <c r="DG51">
        <f t="shared" si="23"/>
        <v>0</v>
      </c>
      <c r="DH51">
        <f t="shared" si="24"/>
        <v>0</v>
      </c>
      <c r="DI51">
        <f t="shared" si="3"/>
        <v>0</v>
      </c>
      <c r="DJ51">
        <f>DF51</f>
        <v>428.36</v>
      </c>
      <c r="DK51">
        <v>0</v>
      </c>
    </row>
    <row r="52" spans="1:115" x14ac:dyDescent="0.2">
      <c r="A52">
        <f>ROW(Source!A81)</f>
        <v>81</v>
      </c>
      <c r="B52">
        <v>129761636</v>
      </c>
      <c r="C52">
        <v>129763220</v>
      </c>
      <c r="D52">
        <v>37412062</v>
      </c>
      <c r="E52">
        <v>1</v>
      </c>
      <c r="F52">
        <v>1</v>
      </c>
      <c r="G52">
        <v>37345137</v>
      </c>
      <c r="H52">
        <v>3</v>
      </c>
      <c r="I52" t="s">
        <v>1133</v>
      </c>
      <c r="J52" t="s">
        <v>1134</v>
      </c>
      <c r="K52" t="s">
        <v>1135</v>
      </c>
      <c r="L52">
        <v>1339</v>
      </c>
      <c r="N52">
        <v>1007</v>
      </c>
      <c r="O52" t="s">
        <v>94</v>
      </c>
      <c r="P52" t="s">
        <v>94</v>
      </c>
      <c r="Q52">
        <v>1</v>
      </c>
      <c r="W52">
        <v>0</v>
      </c>
      <c r="X52">
        <v>-718781615</v>
      </c>
      <c r="Y52">
        <f>AT52</f>
        <v>0.06</v>
      </c>
      <c r="AA52">
        <v>451.14</v>
      </c>
      <c r="AB52">
        <v>0</v>
      </c>
      <c r="AC52">
        <v>0</v>
      </c>
      <c r="AD52">
        <v>0</v>
      </c>
      <c r="AE52">
        <v>451.14</v>
      </c>
      <c r="AF52">
        <v>0</v>
      </c>
      <c r="AG52">
        <v>0</v>
      </c>
      <c r="AH52">
        <v>0</v>
      </c>
      <c r="AI52">
        <v>1</v>
      </c>
      <c r="AJ52">
        <v>1</v>
      </c>
      <c r="AK52">
        <v>1</v>
      </c>
      <c r="AL52">
        <v>1</v>
      </c>
      <c r="AN52">
        <v>0</v>
      </c>
      <c r="AO52">
        <v>1</v>
      </c>
      <c r="AP52">
        <v>0</v>
      </c>
      <c r="AQ52">
        <v>0</v>
      </c>
      <c r="AR52">
        <v>0</v>
      </c>
      <c r="AS52" t="s">
        <v>3</v>
      </c>
      <c r="AT52">
        <v>0.06</v>
      </c>
      <c r="AU52" t="s">
        <v>3</v>
      </c>
      <c r="AV52">
        <v>0</v>
      </c>
      <c r="AW52">
        <v>2</v>
      </c>
      <c r="AX52">
        <v>129763230</v>
      </c>
      <c r="AY52">
        <v>1</v>
      </c>
      <c r="AZ52">
        <v>0</v>
      </c>
      <c r="BA52">
        <v>52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ROUND(Y52*Source!I81,9)</f>
        <v>6.1799999999999997E-3</v>
      </c>
      <c r="CY52">
        <f>AA52</f>
        <v>451.14</v>
      </c>
      <c r="CZ52">
        <f>AE52</f>
        <v>451.14</v>
      </c>
      <c r="DA52">
        <f>AI52</f>
        <v>1</v>
      </c>
      <c r="DB52">
        <f>ROUND(ROUND(AT52*CZ52,2),6)</f>
        <v>27.07</v>
      </c>
      <c r="DC52">
        <f>ROUND(ROUND(AT52*AG52,2),6)</f>
        <v>0</v>
      </c>
      <c r="DD52" t="s">
        <v>3</v>
      </c>
      <c r="DE52" t="s">
        <v>3</v>
      </c>
      <c r="DF52">
        <f t="shared" si="25"/>
        <v>2.79</v>
      </c>
      <c r="DG52">
        <f t="shared" si="23"/>
        <v>0</v>
      </c>
      <c r="DH52">
        <f t="shared" si="24"/>
        <v>0</v>
      </c>
      <c r="DI52">
        <f t="shared" si="3"/>
        <v>0</v>
      </c>
      <c r="DJ52">
        <f>DF52</f>
        <v>2.79</v>
      </c>
      <c r="DK52">
        <v>0</v>
      </c>
    </row>
    <row r="53" spans="1:115" x14ac:dyDescent="0.2">
      <c r="A53">
        <f>ROW(Source!A81)</f>
        <v>81</v>
      </c>
      <c r="B53">
        <v>129761636</v>
      </c>
      <c r="C53">
        <v>129763220</v>
      </c>
      <c r="D53">
        <v>37413363</v>
      </c>
      <c r="E53">
        <v>1</v>
      </c>
      <c r="F53">
        <v>1</v>
      </c>
      <c r="G53">
        <v>37345137</v>
      </c>
      <c r="H53">
        <v>3</v>
      </c>
      <c r="I53" t="s">
        <v>132</v>
      </c>
      <c r="J53" t="s">
        <v>134</v>
      </c>
      <c r="K53" t="s">
        <v>133</v>
      </c>
      <c r="L53">
        <v>1339</v>
      </c>
      <c r="N53">
        <v>1007</v>
      </c>
      <c r="O53" t="s">
        <v>94</v>
      </c>
      <c r="P53" t="s">
        <v>94</v>
      </c>
      <c r="Q53">
        <v>1</v>
      </c>
      <c r="W53">
        <v>0</v>
      </c>
      <c r="X53">
        <v>889553512</v>
      </c>
      <c r="Y53">
        <f>AT53</f>
        <v>4.3</v>
      </c>
      <c r="AA53">
        <v>2385.71</v>
      </c>
      <c r="AB53">
        <v>0</v>
      </c>
      <c r="AC53">
        <v>0</v>
      </c>
      <c r="AD53">
        <v>0</v>
      </c>
      <c r="AE53">
        <v>2385.71</v>
      </c>
      <c r="AF53">
        <v>0</v>
      </c>
      <c r="AG53">
        <v>0</v>
      </c>
      <c r="AH53">
        <v>0</v>
      </c>
      <c r="AI53">
        <v>1</v>
      </c>
      <c r="AJ53">
        <v>1</v>
      </c>
      <c r="AK53">
        <v>1</v>
      </c>
      <c r="AL53">
        <v>1</v>
      </c>
      <c r="AN53">
        <v>0</v>
      </c>
      <c r="AO53">
        <v>0</v>
      </c>
      <c r="AP53">
        <v>0</v>
      </c>
      <c r="AQ53">
        <v>0</v>
      </c>
      <c r="AR53">
        <v>0</v>
      </c>
      <c r="AS53" t="s">
        <v>3</v>
      </c>
      <c r="AT53">
        <v>4.3</v>
      </c>
      <c r="AU53" t="s">
        <v>3</v>
      </c>
      <c r="AV53">
        <v>0</v>
      </c>
      <c r="AW53">
        <v>1</v>
      </c>
      <c r="AX53">
        <v>-1</v>
      </c>
      <c r="AY53">
        <v>0</v>
      </c>
      <c r="AZ53">
        <v>0</v>
      </c>
      <c r="BA53" t="s">
        <v>3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ROUND(Y53*Source!I81,9)</f>
        <v>0.44290000000000002</v>
      </c>
      <c r="CY53">
        <f>AA53</f>
        <v>2385.71</v>
      </c>
      <c r="CZ53">
        <f>AE53</f>
        <v>2385.71</v>
      </c>
      <c r="DA53">
        <f>AI53</f>
        <v>1</v>
      </c>
      <c r="DB53">
        <f>ROUND(ROUND(AT53*CZ53,2),6)</f>
        <v>10258.549999999999</v>
      </c>
      <c r="DC53">
        <f>ROUND(ROUND(AT53*AG53,2),6)</f>
        <v>0</v>
      </c>
      <c r="DD53" t="s">
        <v>3</v>
      </c>
      <c r="DE53" t="s">
        <v>3</v>
      </c>
      <c r="DF53">
        <f t="shared" si="25"/>
        <v>1056.6300000000001</v>
      </c>
      <c r="DG53">
        <f t="shared" si="23"/>
        <v>0</v>
      </c>
      <c r="DH53">
        <f t="shared" si="24"/>
        <v>0</v>
      </c>
      <c r="DI53">
        <f t="shared" si="3"/>
        <v>0</v>
      </c>
      <c r="DJ53">
        <f>DF53</f>
        <v>1056.6300000000001</v>
      </c>
      <c r="DK53">
        <v>0</v>
      </c>
    </row>
    <row r="54" spans="1:115" x14ac:dyDescent="0.2">
      <c r="A54">
        <f>ROW(Source!A81)</f>
        <v>81</v>
      </c>
      <c r="B54">
        <v>129761636</v>
      </c>
      <c r="C54">
        <v>129763220</v>
      </c>
      <c r="D54">
        <v>37367082</v>
      </c>
      <c r="E54">
        <v>37345137</v>
      </c>
      <c r="F54">
        <v>1</v>
      </c>
      <c r="G54">
        <v>37345137</v>
      </c>
      <c r="H54">
        <v>3</v>
      </c>
      <c r="I54" t="s">
        <v>1136</v>
      </c>
      <c r="J54" t="s">
        <v>3</v>
      </c>
      <c r="K54" t="s">
        <v>1137</v>
      </c>
      <c r="L54">
        <v>1344</v>
      </c>
      <c r="N54">
        <v>1008</v>
      </c>
      <c r="O54" t="s">
        <v>1138</v>
      </c>
      <c r="P54" t="s">
        <v>1138</v>
      </c>
      <c r="Q54">
        <v>1</v>
      </c>
      <c r="W54">
        <v>0</v>
      </c>
      <c r="X54">
        <v>-94250534</v>
      </c>
      <c r="Y54">
        <f>AT54</f>
        <v>116.34</v>
      </c>
      <c r="AA54">
        <v>1</v>
      </c>
      <c r="AB54">
        <v>0</v>
      </c>
      <c r="AC54">
        <v>0</v>
      </c>
      <c r="AD54">
        <v>0</v>
      </c>
      <c r="AE54">
        <v>1</v>
      </c>
      <c r="AF54">
        <v>0</v>
      </c>
      <c r="AG54">
        <v>0</v>
      </c>
      <c r="AH54">
        <v>0</v>
      </c>
      <c r="AI54">
        <v>1</v>
      </c>
      <c r="AJ54">
        <v>1</v>
      </c>
      <c r="AK54">
        <v>1</v>
      </c>
      <c r="AL54">
        <v>1</v>
      </c>
      <c r="AN54">
        <v>0</v>
      </c>
      <c r="AO54">
        <v>1</v>
      </c>
      <c r="AP54">
        <v>0</v>
      </c>
      <c r="AQ54">
        <v>0</v>
      </c>
      <c r="AR54">
        <v>0</v>
      </c>
      <c r="AS54" t="s">
        <v>3</v>
      </c>
      <c r="AT54">
        <v>116.34</v>
      </c>
      <c r="AU54" t="s">
        <v>3</v>
      </c>
      <c r="AV54">
        <v>0</v>
      </c>
      <c r="AW54">
        <v>2</v>
      </c>
      <c r="AX54">
        <v>129763232</v>
      </c>
      <c r="AY54">
        <v>1</v>
      </c>
      <c r="AZ54">
        <v>0</v>
      </c>
      <c r="BA54">
        <v>54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ROUND(Y54*Source!I81,9)</f>
        <v>11.98302</v>
      </c>
      <c r="CY54">
        <f>AA54</f>
        <v>1</v>
      </c>
      <c r="CZ54">
        <f>AE54</f>
        <v>1</v>
      </c>
      <c r="DA54">
        <f>AI54</f>
        <v>1</v>
      </c>
      <c r="DB54">
        <f>ROUND(ROUND(AT54*CZ54,2),6)</f>
        <v>116.34</v>
      </c>
      <c r="DC54">
        <f>ROUND(ROUND(AT54*AG54,2),6)</f>
        <v>0</v>
      </c>
      <c r="DD54" t="s">
        <v>3</v>
      </c>
      <c r="DE54" t="s">
        <v>3</v>
      </c>
      <c r="DF54">
        <f t="shared" si="25"/>
        <v>11.98</v>
      </c>
      <c r="DG54">
        <f t="shared" si="23"/>
        <v>0</v>
      </c>
      <c r="DH54">
        <f t="shared" si="24"/>
        <v>0</v>
      </c>
      <c r="DI54">
        <f t="shared" si="3"/>
        <v>0</v>
      </c>
      <c r="DJ54">
        <f>DF54</f>
        <v>11.98</v>
      </c>
      <c r="DK54">
        <v>0</v>
      </c>
    </row>
    <row r="55" spans="1:115" x14ac:dyDescent="0.2">
      <c r="A55">
        <f>ROW(Source!A82)</f>
        <v>82</v>
      </c>
      <c r="B55">
        <v>129761633</v>
      </c>
      <c r="C55">
        <v>129763220</v>
      </c>
      <c r="D55">
        <v>37345142</v>
      </c>
      <c r="E55">
        <v>37345137</v>
      </c>
      <c r="F55">
        <v>1</v>
      </c>
      <c r="G55">
        <v>37345137</v>
      </c>
      <c r="H55">
        <v>1</v>
      </c>
      <c r="I55" t="s">
        <v>1096</v>
      </c>
      <c r="J55" t="s">
        <v>3</v>
      </c>
      <c r="K55" t="s">
        <v>1097</v>
      </c>
      <c r="L55">
        <v>1191</v>
      </c>
      <c r="N55">
        <v>1013</v>
      </c>
      <c r="O55" t="s">
        <v>1098</v>
      </c>
      <c r="P55" t="s">
        <v>1098</v>
      </c>
      <c r="Q55">
        <v>1</v>
      </c>
      <c r="W55">
        <v>0</v>
      </c>
      <c r="X55">
        <v>476480486</v>
      </c>
      <c r="Y55">
        <f>(AT55*1.15)</f>
        <v>80.27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1</v>
      </c>
      <c r="AJ55">
        <v>1</v>
      </c>
      <c r="AK55">
        <v>1</v>
      </c>
      <c r="AL55">
        <v>1</v>
      </c>
      <c r="AN55">
        <v>0</v>
      </c>
      <c r="AO55">
        <v>1</v>
      </c>
      <c r="AP55">
        <v>1</v>
      </c>
      <c r="AQ55">
        <v>0</v>
      </c>
      <c r="AR55">
        <v>0</v>
      </c>
      <c r="AS55" t="s">
        <v>3</v>
      </c>
      <c r="AT55">
        <v>69.8</v>
      </c>
      <c r="AU55" t="s">
        <v>87</v>
      </c>
      <c r="AV55">
        <v>1</v>
      </c>
      <c r="AW55">
        <v>2</v>
      </c>
      <c r="AX55">
        <v>129763227</v>
      </c>
      <c r="AY55">
        <v>1</v>
      </c>
      <c r="AZ55">
        <v>0</v>
      </c>
      <c r="BA55">
        <v>55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ROUND(Y55*Source!I82,9)</f>
        <v>8.2678100000000008</v>
      </c>
      <c r="CY55">
        <f>AD55</f>
        <v>0</v>
      </c>
      <c r="CZ55">
        <f>AH55</f>
        <v>0</v>
      </c>
      <c r="DA55">
        <f>AL55</f>
        <v>1</v>
      </c>
      <c r="DB55">
        <f>ROUND((ROUND(AT55*CZ55,2)*1.15),6)</f>
        <v>0</v>
      </c>
      <c r="DC55">
        <f>ROUND((ROUND(AT55*AG55,2)*1.15),6)</f>
        <v>0</v>
      </c>
      <c r="DD55" t="s">
        <v>3</v>
      </c>
      <c r="DE55" t="s">
        <v>3</v>
      </c>
      <c r="DF55">
        <f t="shared" si="25"/>
        <v>0</v>
      </c>
      <c r="DG55">
        <f t="shared" si="23"/>
        <v>0</v>
      </c>
      <c r="DH55">
        <f t="shared" si="24"/>
        <v>0</v>
      </c>
      <c r="DI55">
        <f t="shared" si="3"/>
        <v>0</v>
      </c>
      <c r="DJ55">
        <f>DI55</f>
        <v>0</v>
      </c>
      <c r="DK55">
        <v>0</v>
      </c>
    </row>
    <row r="56" spans="1:115" x14ac:dyDescent="0.2">
      <c r="A56">
        <f>ROW(Source!A82)</f>
        <v>82</v>
      </c>
      <c r="B56">
        <v>129761633</v>
      </c>
      <c r="C56">
        <v>129763220</v>
      </c>
      <c r="D56">
        <v>37417692</v>
      </c>
      <c r="E56">
        <v>1</v>
      </c>
      <c r="F56">
        <v>1</v>
      </c>
      <c r="G56">
        <v>37345137</v>
      </c>
      <c r="H56">
        <v>2</v>
      </c>
      <c r="I56" t="s">
        <v>1127</v>
      </c>
      <c r="J56" t="s">
        <v>1128</v>
      </c>
      <c r="K56" t="s">
        <v>1129</v>
      </c>
      <c r="L56">
        <v>1367</v>
      </c>
      <c r="N56">
        <v>1011</v>
      </c>
      <c r="O56" t="s">
        <v>1102</v>
      </c>
      <c r="P56" t="s">
        <v>1102</v>
      </c>
      <c r="Q56">
        <v>1</v>
      </c>
      <c r="W56">
        <v>0</v>
      </c>
      <c r="X56">
        <v>-266174272</v>
      </c>
      <c r="Y56">
        <f>(AT56*1.25)</f>
        <v>0.76249999999999996</v>
      </c>
      <c r="AA56">
        <v>0</v>
      </c>
      <c r="AB56">
        <v>2059.0100000000002</v>
      </c>
      <c r="AC56">
        <v>551.66</v>
      </c>
      <c r="AD56">
        <v>0</v>
      </c>
      <c r="AE56">
        <v>0</v>
      </c>
      <c r="AF56">
        <v>190.93</v>
      </c>
      <c r="AG56">
        <v>18.149999999999999</v>
      </c>
      <c r="AH56">
        <v>0</v>
      </c>
      <c r="AI56">
        <v>1</v>
      </c>
      <c r="AJ56">
        <v>10.3</v>
      </c>
      <c r="AK56">
        <v>29.03</v>
      </c>
      <c r="AL56">
        <v>1</v>
      </c>
      <c r="AN56">
        <v>0</v>
      </c>
      <c r="AO56">
        <v>1</v>
      </c>
      <c r="AP56">
        <v>1</v>
      </c>
      <c r="AQ56">
        <v>0</v>
      </c>
      <c r="AR56">
        <v>0</v>
      </c>
      <c r="AS56" t="s">
        <v>3</v>
      </c>
      <c r="AT56">
        <v>0.61</v>
      </c>
      <c r="AU56" t="s">
        <v>86</v>
      </c>
      <c r="AV56">
        <v>0</v>
      </c>
      <c r="AW56">
        <v>2</v>
      </c>
      <c r="AX56">
        <v>129763228</v>
      </c>
      <c r="AY56">
        <v>1</v>
      </c>
      <c r="AZ56">
        <v>0</v>
      </c>
      <c r="BA56">
        <v>56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ROUND(Y56*Source!I82,9)</f>
        <v>7.8537499999999996E-2</v>
      </c>
      <c r="CY56">
        <f>AB56</f>
        <v>2059.0100000000002</v>
      </c>
      <c r="CZ56">
        <f>AF56</f>
        <v>190.93</v>
      </c>
      <c r="DA56">
        <f>AJ56</f>
        <v>10.3</v>
      </c>
      <c r="DB56">
        <f>ROUND((ROUND(AT56*CZ56,2)*1.25),6)</f>
        <v>145.58750000000001</v>
      </c>
      <c r="DC56">
        <f>ROUND((ROUND(AT56*AG56,2)*1.25),6)</f>
        <v>13.8375</v>
      </c>
      <c r="DD56" t="s">
        <v>3</v>
      </c>
      <c r="DE56" t="s">
        <v>3</v>
      </c>
      <c r="DF56">
        <f t="shared" si="25"/>
        <v>0</v>
      </c>
      <c r="DG56">
        <f>ROUND(ROUND(AF56*CX56,2)*AJ56,2)</f>
        <v>154.5</v>
      </c>
      <c r="DH56">
        <f>ROUND(ROUND(AG56*CX56,2)*AK56,2)</f>
        <v>41.51</v>
      </c>
      <c r="DI56">
        <f t="shared" si="3"/>
        <v>0</v>
      </c>
      <c r="DJ56">
        <f>DG56</f>
        <v>154.5</v>
      </c>
      <c r="DK56">
        <v>0</v>
      </c>
    </row>
    <row r="57" spans="1:115" x14ac:dyDescent="0.2">
      <c r="A57">
        <f>ROW(Source!A82)</f>
        <v>82</v>
      </c>
      <c r="B57">
        <v>129761633</v>
      </c>
      <c r="C57">
        <v>129763220</v>
      </c>
      <c r="D57">
        <v>37411928</v>
      </c>
      <c r="E57">
        <v>1</v>
      </c>
      <c r="F57">
        <v>1</v>
      </c>
      <c r="G57">
        <v>37345137</v>
      </c>
      <c r="H57">
        <v>3</v>
      </c>
      <c r="I57" t="s">
        <v>1130</v>
      </c>
      <c r="J57" t="s">
        <v>1131</v>
      </c>
      <c r="K57" t="s">
        <v>1132</v>
      </c>
      <c r="L57">
        <v>1339</v>
      </c>
      <c r="N57">
        <v>1007</v>
      </c>
      <c r="O57" t="s">
        <v>94</v>
      </c>
      <c r="P57" t="s">
        <v>94</v>
      </c>
      <c r="Q57">
        <v>1</v>
      </c>
      <c r="W57">
        <v>0</v>
      </c>
      <c r="X57">
        <v>-758282629</v>
      </c>
      <c r="Y57">
        <f>AT57</f>
        <v>5.9</v>
      </c>
      <c r="AA57">
        <v>5899.87</v>
      </c>
      <c r="AB57">
        <v>0</v>
      </c>
      <c r="AC57">
        <v>0</v>
      </c>
      <c r="AD57">
        <v>0</v>
      </c>
      <c r="AE57">
        <v>704.89</v>
      </c>
      <c r="AF57">
        <v>0</v>
      </c>
      <c r="AG57">
        <v>0</v>
      </c>
      <c r="AH57">
        <v>0</v>
      </c>
      <c r="AI57">
        <v>8.32</v>
      </c>
      <c r="AJ57">
        <v>1</v>
      </c>
      <c r="AK57">
        <v>1</v>
      </c>
      <c r="AL57">
        <v>1</v>
      </c>
      <c r="AN57">
        <v>0</v>
      </c>
      <c r="AO57">
        <v>1</v>
      </c>
      <c r="AP57">
        <v>0</v>
      </c>
      <c r="AQ57">
        <v>0</v>
      </c>
      <c r="AR57">
        <v>0</v>
      </c>
      <c r="AS57" t="s">
        <v>3</v>
      </c>
      <c r="AT57">
        <v>5.9</v>
      </c>
      <c r="AU57" t="s">
        <v>3</v>
      </c>
      <c r="AV57">
        <v>0</v>
      </c>
      <c r="AW57">
        <v>2</v>
      </c>
      <c r="AX57">
        <v>129763229</v>
      </c>
      <c r="AY57">
        <v>1</v>
      </c>
      <c r="AZ57">
        <v>0</v>
      </c>
      <c r="BA57">
        <v>57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ROUND(Y57*Source!I82,9)</f>
        <v>0.60770000000000002</v>
      </c>
      <c r="CY57">
        <f>AA57</f>
        <v>5899.87</v>
      </c>
      <c r="CZ57">
        <f>AE57</f>
        <v>704.89</v>
      </c>
      <c r="DA57">
        <f>AI57</f>
        <v>8.32</v>
      </c>
      <c r="DB57">
        <f>ROUND(ROUND(AT57*CZ57,2),6)</f>
        <v>4158.8500000000004</v>
      </c>
      <c r="DC57">
        <f>ROUND(ROUND(AT57*AG57,2),6)</f>
        <v>0</v>
      </c>
      <c r="DD57" t="s">
        <v>3</v>
      </c>
      <c r="DE57" t="s">
        <v>3</v>
      </c>
      <c r="DF57">
        <f>ROUND(ROUND(AE57*CX57,2)*AI57,2)</f>
        <v>3563.96</v>
      </c>
      <c r="DG57">
        <f t="shared" ref="DG57:DG67" si="26">ROUND(AF57*CX57,2)</f>
        <v>0</v>
      </c>
      <c r="DH57">
        <f t="shared" ref="DH57:DH67" si="27">ROUND(AG57*CX57,2)</f>
        <v>0</v>
      </c>
      <c r="DI57">
        <f t="shared" si="3"/>
        <v>0</v>
      </c>
      <c r="DJ57">
        <f>DF57</f>
        <v>3563.96</v>
      </c>
      <c r="DK57">
        <v>0</v>
      </c>
    </row>
    <row r="58" spans="1:115" x14ac:dyDescent="0.2">
      <c r="A58">
        <f>ROW(Source!A82)</f>
        <v>82</v>
      </c>
      <c r="B58">
        <v>129761633</v>
      </c>
      <c r="C58">
        <v>129763220</v>
      </c>
      <c r="D58">
        <v>37412062</v>
      </c>
      <c r="E58">
        <v>1</v>
      </c>
      <c r="F58">
        <v>1</v>
      </c>
      <c r="G58">
        <v>37345137</v>
      </c>
      <c r="H58">
        <v>3</v>
      </c>
      <c r="I58" t="s">
        <v>1133</v>
      </c>
      <c r="J58" t="s">
        <v>1134</v>
      </c>
      <c r="K58" t="s">
        <v>1135</v>
      </c>
      <c r="L58">
        <v>1339</v>
      </c>
      <c r="N58">
        <v>1007</v>
      </c>
      <c r="O58" t="s">
        <v>94</v>
      </c>
      <c r="P58" t="s">
        <v>94</v>
      </c>
      <c r="Q58">
        <v>1</v>
      </c>
      <c r="W58">
        <v>0</v>
      </c>
      <c r="X58">
        <v>-718781615</v>
      </c>
      <c r="Y58">
        <f>AT58</f>
        <v>0.06</v>
      </c>
      <c r="AA58">
        <v>3953.01</v>
      </c>
      <c r="AB58">
        <v>0</v>
      </c>
      <c r="AC58">
        <v>0</v>
      </c>
      <c r="AD58">
        <v>0</v>
      </c>
      <c r="AE58">
        <v>451.14</v>
      </c>
      <c r="AF58">
        <v>0</v>
      </c>
      <c r="AG58">
        <v>0</v>
      </c>
      <c r="AH58">
        <v>0</v>
      </c>
      <c r="AI58">
        <v>8.7100000000000009</v>
      </c>
      <c r="AJ58">
        <v>1</v>
      </c>
      <c r="AK58">
        <v>1</v>
      </c>
      <c r="AL58">
        <v>1</v>
      </c>
      <c r="AN58">
        <v>0</v>
      </c>
      <c r="AO58">
        <v>1</v>
      </c>
      <c r="AP58">
        <v>0</v>
      </c>
      <c r="AQ58">
        <v>0</v>
      </c>
      <c r="AR58">
        <v>0</v>
      </c>
      <c r="AS58" t="s">
        <v>3</v>
      </c>
      <c r="AT58">
        <v>0.06</v>
      </c>
      <c r="AU58" t="s">
        <v>3</v>
      </c>
      <c r="AV58">
        <v>0</v>
      </c>
      <c r="AW58">
        <v>2</v>
      </c>
      <c r="AX58">
        <v>129763230</v>
      </c>
      <c r="AY58">
        <v>1</v>
      </c>
      <c r="AZ58">
        <v>0</v>
      </c>
      <c r="BA58">
        <v>58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ROUND(Y58*Source!I82,9)</f>
        <v>6.1799999999999997E-3</v>
      </c>
      <c r="CY58">
        <f>AA58</f>
        <v>3953.01</v>
      </c>
      <c r="CZ58">
        <f>AE58</f>
        <v>451.14</v>
      </c>
      <c r="DA58">
        <f>AI58</f>
        <v>8.7100000000000009</v>
      </c>
      <c r="DB58">
        <f>ROUND(ROUND(AT58*CZ58,2),6)</f>
        <v>27.07</v>
      </c>
      <c r="DC58">
        <f>ROUND(ROUND(AT58*AG58,2),6)</f>
        <v>0</v>
      </c>
      <c r="DD58" t="s">
        <v>3</v>
      </c>
      <c r="DE58" t="s">
        <v>3</v>
      </c>
      <c r="DF58">
        <f>ROUND(ROUND(AE58*CX58,2)*AI58,2)</f>
        <v>24.3</v>
      </c>
      <c r="DG58">
        <f t="shared" si="26"/>
        <v>0</v>
      </c>
      <c r="DH58">
        <f t="shared" si="27"/>
        <v>0</v>
      </c>
      <c r="DI58">
        <f t="shared" si="3"/>
        <v>0</v>
      </c>
      <c r="DJ58">
        <f>DF58</f>
        <v>24.3</v>
      </c>
      <c r="DK58">
        <v>0</v>
      </c>
    </row>
    <row r="59" spans="1:115" x14ac:dyDescent="0.2">
      <c r="A59">
        <f>ROW(Source!A82)</f>
        <v>82</v>
      </c>
      <c r="B59">
        <v>129761633</v>
      </c>
      <c r="C59">
        <v>129763220</v>
      </c>
      <c r="D59">
        <v>37413363</v>
      </c>
      <c r="E59">
        <v>1</v>
      </c>
      <c r="F59">
        <v>1</v>
      </c>
      <c r="G59">
        <v>37345137</v>
      </c>
      <c r="H59">
        <v>3</v>
      </c>
      <c r="I59" t="s">
        <v>132</v>
      </c>
      <c r="J59" t="s">
        <v>134</v>
      </c>
      <c r="K59" t="s">
        <v>133</v>
      </c>
      <c r="L59">
        <v>1339</v>
      </c>
      <c r="N59">
        <v>1007</v>
      </c>
      <c r="O59" t="s">
        <v>94</v>
      </c>
      <c r="P59" t="s">
        <v>94</v>
      </c>
      <c r="Q59">
        <v>1</v>
      </c>
      <c r="W59">
        <v>0</v>
      </c>
      <c r="X59">
        <v>889553512</v>
      </c>
      <c r="Y59">
        <f>AT59</f>
        <v>4.3</v>
      </c>
      <c r="AA59">
        <v>12384.13</v>
      </c>
      <c r="AB59">
        <v>0</v>
      </c>
      <c r="AC59">
        <v>0</v>
      </c>
      <c r="AD59">
        <v>0</v>
      </c>
      <c r="AE59">
        <v>2385.71</v>
      </c>
      <c r="AF59">
        <v>0</v>
      </c>
      <c r="AG59">
        <v>0</v>
      </c>
      <c r="AH59">
        <v>0</v>
      </c>
      <c r="AI59">
        <v>5.16</v>
      </c>
      <c r="AJ59">
        <v>1</v>
      </c>
      <c r="AK59">
        <v>1</v>
      </c>
      <c r="AL59">
        <v>1</v>
      </c>
      <c r="AN59">
        <v>0</v>
      </c>
      <c r="AO59">
        <v>0</v>
      </c>
      <c r="AP59">
        <v>0</v>
      </c>
      <c r="AQ59">
        <v>0</v>
      </c>
      <c r="AR59">
        <v>0</v>
      </c>
      <c r="AS59" t="s">
        <v>3</v>
      </c>
      <c r="AT59">
        <v>4.3</v>
      </c>
      <c r="AU59" t="s">
        <v>3</v>
      </c>
      <c r="AV59">
        <v>0</v>
      </c>
      <c r="AW59">
        <v>1</v>
      </c>
      <c r="AX59">
        <v>-1</v>
      </c>
      <c r="AY59">
        <v>0</v>
      </c>
      <c r="AZ59">
        <v>0</v>
      </c>
      <c r="BA59" t="s">
        <v>3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ROUND(Y59*Source!I82,9)</f>
        <v>0.44290000000000002</v>
      </c>
      <c r="CY59">
        <f>AA59</f>
        <v>12384.13</v>
      </c>
      <c r="CZ59">
        <f>AE59</f>
        <v>2385.71</v>
      </c>
      <c r="DA59">
        <f>AI59</f>
        <v>5.16</v>
      </c>
      <c r="DB59">
        <f>ROUND(ROUND(AT59*CZ59,2),6)</f>
        <v>10258.549999999999</v>
      </c>
      <c r="DC59">
        <f>ROUND(ROUND(AT59*AG59,2),6)</f>
        <v>0</v>
      </c>
      <c r="DD59" t="s">
        <v>3</v>
      </c>
      <c r="DE59" t="s">
        <v>3</v>
      </c>
      <c r="DF59">
        <f>ROUND(ROUND(AE59*CX59,2)*AI59,2)</f>
        <v>5452.21</v>
      </c>
      <c r="DG59">
        <f t="shared" si="26"/>
        <v>0</v>
      </c>
      <c r="DH59">
        <f t="shared" si="27"/>
        <v>0</v>
      </c>
      <c r="DI59">
        <f t="shared" si="3"/>
        <v>0</v>
      </c>
      <c r="DJ59">
        <f>DF59</f>
        <v>5452.21</v>
      </c>
      <c r="DK59">
        <v>0</v>
      </c>
    </row>
    <row r="60" spans="1:115" x14ac:dyDescent="0.2">
      <c r="A60">
        <f>ROW(Source!A82)</f>
        <v>82</v>
      </c>
      <c r="B60">
        <v>129761633</v>
      </c>
      <c r="C60">
        <v>129763220</v>
      </c>
      <c r="D60">
        <v>37367082</v>
      </c>
      <c r="E60">
        <v>37345137</v>
      </c>
      <c r="F60">
        <v>1</v>
      </c>
      <c r="G60">
        <v>37345137</v>
      </c>
      <c r="H60">
        <v>3</v>
      </c>
      <c r="I60" t="s">
        <v>1136</v>
      </c>
      <c r="J60" t="s">
        <v>3</v>
      </c>
      <c r="K60" t="s">
        <v>1137</v>
      </c>
      <c r="L60">
        <v>1344</v>
      </c>
      <c r="N60">
        <v>1008</v>
      </c>
      <c r="O60" t="s">
        <v>1138</v>
      </c>
      <c r="P60" t="s">
        <v>1138</v>
      </c>
      <c r="Q60">
        <v>1</v>
      </c>
      <c r="W60">
        <v>0</v>
      </c>
      <c r="X60">
        <v>-94250534</v>
      </c>
      <c r="Y60">
        <f>AT60</f>
        <v>116.34</v>
      </c>
      <c r="AA60">
        <v>8.6999999999999993</v>
      </c>
      <c r="AB60">
        <v>0</v>
      </c>
      <c r="AC60">
        <v>0</v>
      </c>
      <c r="AD60">
        <v>0</v>
      </c>
      <c r="AE60">
        <v>1</v>
      </c>
      <c r="AF60">
        <v>0</v>
      </c>
      <c r="AG60">
        <v>0</v>
      </c>
      <c r="AH60">
        <v>0</v>
      </c>
      <c r="AI60">
        <v>8.65</v>
      </c>
      <c r="AJ60">
        <v>1</v>
      </c>
      <c r="AK60">
        <v>1</v>
      </c>
      <c r="AL60">
        <v>1</v>
      </c>
      <c r="AN60">
        <v>0</v>
      </c>
      <c r="AO60">
        <v>1</v>
      </c>
      <c r="AP60">
        <v>0</v>
      </c>
      <c r="AQ60">
        <v>0</v>
      </c>
      <c r="AR60">
        <v>0</v>
      </c>
      <c r="AS60" t="s">
        <v>3</v>
      </c>
      <c r="AT60">
        <v>116.34</v>
      </c>
      <c r="AU60" t="s">
        <v>3</v>
      </c>
      <c r="AV60">
        <v>0</v>
      </c>
      <c r="AW60">
        <v>2</v>
      </c>
      <c r="AX60">
        <v>129763232</v>
      </c>
      <c r="AY60">
        <v>1</v>
      </c>
      <c r="AZ60">
        <v>0</v>
      </c>
      <c r="BA60">
        <v>60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ROUND(Y60*Source!I82,9)</f>
        <v>11.98302</v>
      </c>
      <c r="CY60">
        <f>AA60</f>
        <v>8.6999999999999993</v>
      </c>
      <c r="CZ60">
        <f>AE60</f>
        <v>1</v>
      </c>
      <c r="DA60">
        <f>AI60</f>
        <v>8.65</v>
      </c>
      <c r="DB60">
        <f>ROUND(ROUND(AT60*CZ60,2),6)</f>
        <v>116.34</v>
      </c>
      <c r="DC60">
        <f>ROUND(ROUND(AT60*AG60,2),6)</f>
        <v>0</v>
      </c>
      <c r="DD60" t="s">
        <v>3</v>
      </c>
      <c r="DE60" t="s">
        <v>3</v>
      </c>
      <c r="DF60">
        <f>ROUND(ROUND(AE60*CX60,2)*AI60,2)</f>
        <v>103.63</v>
      </c>
      <c r="DG60">
        <f t="shared" si="26"/>
        <v>0</v>
      </c>
      <c r="DH60">
        <f t="shared" si="27"/>
        <v>0</v>
      </c>
      <c r="DI60">
        <f t="shared" si="3"/>
        <v>0</v>
      </c>
      <c r="DJ60">
        <f>DF60</f>
        <v>103.63</v>
      </c>
      <c r="DK60">
        <v>0</v>
      </c>
    </row>
    <row r="61" spans="1:115" x14ac:dyDescent="0.2">
      <c r="A61">
        <f>ROW(Source!A154)</f>
        <v>154</v>
      </c>
      <c r="B61">
        <v>129761636</v>
      </c>
      <c r="C61">
        <v>129763234</v>
      </c>
      <c r="D61">
        <v>37345142</v>
      </c>
      <c r="E61">
        <v>37345137</v>
      </c>
      <c r="F61">
        <v>1</v>
      </c>
      <c r="G61">
        <v>37345137</v>
      </c>
      <c r="H61">
        <v>1</v>
      </c>
      <c r="I61" t="s">
        <v>1096</v>
      </c>
      <c r="J61" t="s">
        <v>3</v>
      </c>
      <c r="K61" t="s">
        <v>1097</v>
      </c>
      <c r="L61">
        <v>1191</v>
      </c>
      <c r="N61">
        <v>1013</v>
      </c>
      <c r="O61" t="s">
        <v>1098</v>
      </c>
      <c r="P61" t="s">
        <v>1098</v>
      </c>
      <c r="Q61">
        <v>1</v>
      </c>
      <c r="W61">
        <v>0</v>
      </c>
      <c r="X61">
        <v>476480486</v>
      </c>
      <c r="Y61">
        <f t="shared" ref="Y61:Y72" si="28">(AT61*0.6)</f>
        <v>49.26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1</v>
      </c>
      <c r="AJ61">
        <v>1</v>
      </c>
      <c r="AK61">
        <v>1</v>
      </c>
      <c r="AL61">
        <v>1</v>
      </c>
      <c r="AN61">
        <v>0</v>
      </c>
      <c r="AO61">
        <v>1</v>
      </c>
      <c r="AP61">
        <v>1</v>
      </c>
      <c r="AQ61">
        <v>0</v>
      </c>
      <c r="AR61">
        <v>0</v>
      </c>
      <c r="AS61" t="s">
        <v>3</v>
      </c>
      <c r="AT61">
        <v>82.1</v>
      </c>
      <c r="AU61" t="s">
        <v>142</v>
      </c>
      <c r="AV61">
        <v>1</v>
      </c>
      <c r="AW61">
        <v>2</v>
      </c>
      <c r="AX61">
        <v>129763241</v>
      </c>
      <c r="AY61">
        <v>1</v>
      </c>
      <c r="AZ61">
        <v>0</v>
      </c>
      <c r="BA61">
        <v>61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ROUND(Y61*Source!I154,9)</f>
        <v>8.5515360000000005</v>
      </c>
      <c r="CY61">
        <f>AD61</f>
        <v>0</v>
      </c>
      <c r="CZ61">
        <f>AH61</f>
        <v>0</v>
      </c>
      <c r="DA61">
        <f>AL61</f>
        <v>1</v>
      </c>
      <c r="DB61">
        <f t="shared" ref="DB61:DB72" si="29">ROUND((ROUND(AT61*CZ61,2)*0.6),6)</f>
        <v>0</v>
      </c>
      <c r="DC61">
        <f t="shared" ref="DC61:DC72" si="30">ROUND((ROUND(AT61*AG61,2)*0.6),6)</f>
        <v>0</v>
      </c>
      <c r="DD61" t="s">
        <v>3</v>
      </c>
      <c r="DE61" t="s">
        <v>3</v>
      </c>
      <c r="DF61">
        <f t="shared" ref="DF61:DF70" si="31">ROUND(AE61*CX61,2)</f>
        <v>0</v>
      </c>
      <c r="DG61">
        <f t="shared" si="26"/>
        <v>0</v>
      </c>
      <c r="DH61">
        <f t="shared" si="27"/>
        <v>0</v>
      </c>
      <c r="DI61">
        <f t="shared" si="3"/>
        <v>0</v>
      </c>
      <c r="DJ61">
        <f>DI61</f>
        <v>0</v>
      </c>
      <c r="DK61">
        <v>0</v>
      </c>
    </row>
    <row r="62" spans="1:115" x14ac:dyDescent="0.2">
      <c r="A62">
        <f>ROW(Source!A154)</f>
        <v>154</v>
      </c>
      <c r="B62">
        <v>129761636</v>
      </c>
      <c r="C62">
        <v>129763234</v>
      </c>
      <c r="D62">
        <v>37418168</v>
      </c>
      <c r="E62">
        <v>1</v>
      </c>
      <c r="F62">
        <v>1</v>
      </c>
      <c r="G62">
        <v>37345137</v>
      </c>
      <c r="H62">
        <v>2</v>
      </c>
      <c r="I62" t="s">
        <v>1139</v>
      </c>
      <c r="J62" t="s">
        <v>1140</v>
      </c>
      <c r="K62" t="s">
        <v>1141</v>
      </c>
      <c r="L62">
        <v>1367</v>
      </c>
      <c r="N62">
        <v>1011</v>
      </c>
      <c r="O62" t="s">
        <v>1102</v>
      </c>
      <c r="P62" t="s">
        <v>1102</v>
      </c>
      <c r="Q62">
        <v>1</v>
      </c>
      <c r="W62">
        <v>0</v>
      </c>
      <c r="X62">
        <v>-1260721122</v>
      </c>
      <c r="Y62">
        <f t="shared" si="28"/>
        <v>3.5999999999999997E-2</v>
      </c>
      <c r="AA62">
        <v>0</v>
      </c>
      <c r="AB62">
        <v>6.39</v>
      </c>
      <c r="AC62">
        <v>0.32</v>
      </c>
      <c r="AD62">
        <v>0</v>
      </c>
      <c r="AE62">
        <v>0</v>
      </c>
      <c r="AF62">
        <v>6.39</v>
      </c>
      <c r="AG62">
        <v>0.32</v>
      </c>
      <c r="AH62">
        <v>0</v>
      </c>
      <c r="AI62">
        <v>1</v>
      </c>
      <c r="AJ62">
        <v>1</v>
      </c>
      <c r="AK62">
        <v>1</v>
      </c>
      <c r="AL62">
        <v>1</v>
      </c>
      <c r="AN62">
        <v>0</v>
      </c>
      <c r="AO62">
        <v>1</v>
      </c>
      <c r="AP62">
        <v>1</v>
      </c>
      <c r="AQ62">
        <v>0</v>
      </c>
      <c r="AR62">
        <v>0</v>
      </c>
      <c r="AS62" t="s">
        <v>3</v>
      </c>
      <c r="AT62">
        <v>0.06</v>
      </c>
      <c r="AU62" t="s">
        <v>142</v>
      </c>
      <c r="AV62">
        <v>0</v>
      </c>
      <c r="AW62">
        <v>2</v>
      </c>
      <c r="AX62">
        <v>129763242</v>
      </c>
      <c r="AY62">
        <v>1</v>
      </c>
      <c r="AZ62">
        <v>0</v>
      </c>
      <c r="BA62">
        <v>62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ROUND(Y62*Source!I154,9)</f>
        <v>6.2496000000000001E-3</v>
      </c>
      <c r="CY62">
        <f>AB62</f>
        <v>6.39</v>
      </c>
      <c r="CZ62">
        <f>AF62</f>
        <v>6.39</v>
      </c>
      <c r="DA62">
        <f>AJ62</f>
        <v>1</v>
      </c>
      <c r="DB62">
        <f t="shared" si="29"/>
        <v>0.22800000000000001</v>
      </c>
      <c r="DC62">
        <f t="shared" si="30"/>
        <v>1.2E-2</v>
      </c>
      <c r="DD62" t="s">
        <v>3</v>
      </c>
      <c r="DE62" t="s">
        <v>3</v>
      </c>
      <c r="DF62">
        <f t="shared" si="31"/>
        <v>0</v>
      </c>
      <c r="DG62">
        <f t="shared" si="26"/>
        <v>0.04</v>
      </c>
      <c r="DH62">
        <f t="shared" si="27"/>
        <v>0</v>
      </c>
      <c r="DI62">
        <f t="shared" si="3"/>
        <v>0</v>
      </c>
      <c r="DJ62">
        <f>DG62</f>
        <v>0.04</v>
      </c>
      <c r="DK62">
        <v>0</v>
      </c>
    </row>
    <row r="63" spans="1:115" x14ac:dyDescent="0.2">
      <c r="A63">
        <f>ROW(Source!A154)</f>
        <v>154</v>
      </c>
      <c r="B63">
        <v>129761636</v>
      </c>
      <c r="C63">
        <v>129763234</v>
      </c>
      <c r="D63">
        <v>37418517</v>
      </c>
      <c r="E63">
        <v>1</v>
      </c>
      <c r="F63">
        <v>1</v>
      </c>
      <c r="G63">
        <v>37345137</v>
      </c>
      <c r="H63">
        <v>2</v>
      </c>
      <c r="I63" t="s">
        <v>1142</v>
      </c>
      <c r="J63" t="s">
        <v>1143</v>
      </c>
      <c r="K63" t="s">
        <v>1144</v>
      </c>
      <c r="L63">
        <v>1367</v>
      </c>
      <c r="N63">
        <v>1011</v>
      </c>
      <c r="O63" t="s">
        <v>1102</v>
      </c>
      <c r="P63" t="s">
        <v>1102</v>
      </c>
      <c r="Q63">
        <v>1</v>
      </c>
      <c r="W63">
        <v>0</v>
      </c>
      <c r="X63">
        <v>-840546339</v>
      </c>
      <c r="Y63">
        <f t="shared" si="28"/>
        <v>0.45599999999999996</v>
      </c>
      <c r="AA63">
        <v>0</v>
      </c>
      <c r="AB63">
        <v>2.58</v>
      </c>
      <c r="AC63">
        <v>0.04</v>
      </c>
      <c r="AD63">
        <v>0</v>
      </c>
      <c r="AE63">
        <v>0</v>
      </c>
      <c r="AF63">
        <v>2.58</v>
      </c>
      <c r="AG63">
        <v>0.04</v>
      </c>
      <c r="AH63">
        <v>0</v>
      </c>
      <c r="AI63">
        <v>1</v>
      </c>
      <c r="AJ63">
        <v>1</v>
      </c>
      <c r="AK63">
        <v>1</v>
      </c>
      <c r="AL63">
        <v>1</v>
      </c>
      <c r="AN63">
        <v>0</v>
      </c>
      <c r="AO63">
        <v>1</v>
      </c>
      <c r="AP63">
        <v>1</v>
      </c>
      <c r="AQ63">
        <v>0</v>
      </c>
      <c r="AR63">
        <v>0</v>
      </c>
      <c r="AS63" t="s">
        <v>3</v>
      </c>
      <c r="AT63">
        <v>0.76</v>
      </c>
      <c r="AU63" t="s">
        <v>142</v>
      </c>
      <c r="AV63">
        <v>0</v>
      </c>
      <c r="AW63">
        <v>2</v>
      </c>
      <c r="AX63">
        <v>129763243</v>
      </c>
      <c r="AY63">
        <v>1</v>
      </c>
      <c r="AZ63">
        <v>0</v>
      </c>
      <c r="BA63">
        <v>63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ROUND(Y63*Source!I154,9)</f>
        <v>7.9161599999999999E-2</v>
      </c>
      <c r="CY63">
        <f>AB63</f>
        <v>2.58</v>
      </c>
      <c r="CZ63">
        <f>AF63</f>
        <v>2.58</v>
      </c>
      <c r="DA63">
        <f>AJ63</f>
        <v>1</v>
      </c>
      <c r="DB63">
        <f t="shared" si="29"/>
        <v>1.1759999999999999</v>
      </c>
      <c r="DC63">
        <f t="shared" si="30"/>
        <v>1.7999999999999999E-2</v>
      </c>
      <c r="DD63" t="s">
        <v>3</v>
      </c>
      <c r="DE63" t="s">
        <v>3</v>
      </c>
      <c r="DF63">
        <f t="shared" si="31"/>
        <v>0</v>
      </c>
      <c r="DG63">
        <f t="shared" si="26"/>
        <v>0.2</v>
      </c>
      <c r="DH63">
        <f t="shared" si="27"/>
        <v>0</v>
      </c>
      <c r="DI63">
        <f t="shared" si="3"/>
        <v>0</v>
      </c>
      <c r="DJ63">
        <f>DG63</f>
        <v>0.2</v>
      </c>
      <c r="DK63">
        <v>0</v>
      </c>
    </row>
    <row r="64" spans="1:115" x14ac:dyDescent="0.2">
      <c r="A64">
        <f>ROW(Source!A154)</f>
        <v>154</v>
      </c>
      <c r="B64">
        <v>129761636</v>
      </c>
      <c r="C64">
        <v>129763234</v>
      </c>
      <c r="D64">
        <v>37345890</v>
      </c>
      <c r="E64">
        <v>37345137</v>
      </c>
      <c r="F64">
        <v>1</v>
      </c>
      <c r="G64">
        <v>37345137</v>
      </c>
      <c r="H64">
        <v>2</v>
      </c>
      <c r="I64" t="s">
        <v>1145</v>
      </c>
      <c r="J64" t="s">
        <v>3</v>
      </c>
      <c r="K64" t="s">
        <v>1146</v>
      </c>
      <c r="L64">
        <v>1344</v>
      </c>
      <c r="N64">
        <v>1008</v>
      </c>
      <c r="O64" t="s">
        <v>1138</v>
      </c>
      <c r="P64" t="s">
        <v>1138</v>
      </c>
      <c r="Q64">
        <v>1</v>
      </c>
      <c r="W64">
        <v>0</v>
      </c>
      <c r="X64">
        <v>-1180195794</v>
      </c>
      <c r="Y64">
        <f t="shared" si="28"/>
        <v>139.35</v>
      </c>
      <c r="AA64">
        <v>0</v>
      </c>
      <c r="AB64">
        <v>1</v>
      </c>
      <c r="AC64">
        <v>0</v>
      </c>
      <c r="AD64">
        <v>0</v>
      </c>
      <c r="AE64">
        <v>0</v>
      </c>
      <c r="AF64">
        <v>1</v>
      </c>
      <c r="AG64">
        <v>0</v>
      </c>
      <c r="AH64">
        <v>0</v>
      </c>
      <c r="AI64">
        <v>1</v>
      </c>
      <c r="AJ64">
        <v>1</v>
      </c>
      <c r="AK64">
        <v>1</v>
      </c>
      <c r="AL64">
        <v>1</v>
      </c>
      <c r="AN64">
        <v>0</v>
      </c>
      <c r="AO64">
        <v>1</v>
      </c>
      <c r="AP64">
        <v>1</v>
      </c>
      <c r="AQ64">
        <v>0</v>
      </c>
      <c r="AR64">
        <v>0</v>
      </c>
      <c r="AS64" t="s">
        <v>3</v>
      </c>
      <c r="AT64">
        <v>232.25</v>
      </c>
      <c r="AU64" t="s">
        <v>142</v>
      </c>
      <c r="AV64">
        <v>0</v>
      </c>
      <c r="AW64">
        <v>2</v>
      </c>
      <c r="AX64">
        <v>129763244</v>
      </c>
      <c r="AY64">
        <v>1</v>
      </c>
      <c r="AZ64">
        <v>0</v>
      </c>
      <c r="BA64">
        <v>64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ROUND(Y64*Source!I154,9)</f>
        <v>24.19116</v>
      </c>
      <c r="CY64">
        <f>AB64</f>
        <v>1</v>
      </c>
      <c r="CZ64">
        <f>AF64</f>
        <v>1</v>
      </c>
      <c r="DA64">
        <f>AJ64</f>
        <v>1</v>
      </c>
      <c r="DB64">
        <f t="shared" si="29"/>
        <v>139.35</v>
      </c>
      <c r="DC64">
        <f t="shared" si="30"/>
        <v>0</v>
      </c>
      <c r="DD64" t="s">
        <v>3</v>
      </c>
      <c r="DE64" t="s">
        <v>3</v>
      </c>
      <c r="DF64">
        <f t="shared" si="31"/>
        <v>0</v>
      </c>
      <c r="DG64">
        <f t="shared" si="26"/>
        <v>24.19</v>
      </c>
      <c r="DH64">
        <f t="shared" si="27"/>
        <v>0</v>
      </c>
      <c r="DI64">
        <f t="shared" si="3"/>
        <v>0</v>
      </c>
      <c r="DJ64">
        <f>DG64</f>
        <v>24.19</v>
      </c>
      <c r="DK64">
        <v>0</v>
      </c>
    </row>
    <row r="65" spans="1:115" x14ac:dyDescent="0.2">
      <c r="A65">
        <f>ROW(Source!A154)</f>
        <v>154</v>
      </c>
      <c r="B65">
        <v>129761636</v>
      </c>
      <c r="C65">
        <v>129763234</v>
      </c>
      <c r="D65">
        <v>37394864</v>
      </c>
      <c r="E65">
        <v>1</v>
      </c>
      <c r="F65">
        <v>1</v>
      </c>
      <c r="G65">
        <v>37345137</v>
      </c>
      <c r="H65">
        <v>3</v>
      </c>
      <c r="I65" t="s">
        <v>1147</v>
      </c>
      <c r="J65" t="s">
        <v>1148</v>
      </c>
      <c r="K65" t="s">
        <v>1149</v>
      </c>
      <c r="L65">
        <v>1348</v>
      </c>
      <c r="N65">
        <v>1009</v>
      </c>
      <c r="O65" t="s">
        <v>114</v>
      </c>
      <c r="P65" t="s">
        <v>114</v>
      </c>
      <c r="Q65">
        <v>1000</v>
      </c>
      <c r="W65">
        <v>0</v>
      </c>
      <c r="X65">
        <v>1310716689</v>
      </c>
      <c r="Y65">
        <f t="shared" si="28"/>
        <v>4.1999999999999996E-4</v>
      </c>
      <c r="AA65">
        <v>7191.81</v>
      </c>
      <c r="AB65">
        <v>0</v>
      </c>
      <c r="AC65">
        <v>0</v>
      </c>
      <c r="AD65">
        <v>0</v>
      </c>
      <c r="AE65">
        <v>7191.81</v>
      </c>
      <c r="AF65">
        <v>0</v>
      </c>
      <c r="AG65">
        <v>0</v>
      </c>
      <c r="AH65">
        <v>0</v>
      </c>
      <c r="AI65">
        <v>1</v>
      </c>
      <c r="AJ65">
        <v>1</v>
      </c>
      <c r="AK65">
        <v>1</v>
      </c>
      <c r="AL65">
        <v>1</v>
      </c>
      <c r="AN65">
        <v>0</v>
      </c>
      <c r="AO65">
        <v>1</v>
      </c>
      <c r="AP65">
        <v>1</v>
      </c>
      <c r="AQ65">
        <v>0</v>
      </c>
      <c r="AR65">
        <v>0</v>
      </c>
      <c r="AS65" t="s">
        <v>3</v>
      </c>
      <c r="AT65">
        <v>6.9999999999999999E-4</v>
      </c>
      <c r="AU65" t="s">
        <v>142</v>
      </c>
      <c r="AV65">
        <v>0</v>
      </c>
      <c r="AW65">
        <v>2</v>
      </c>
      <c r="AX65">
        <v>129763245</v>
      </c>
      <c r="AY65">
        <v>1</v>
      </c>
      <c r="AZ65">
        <v>0</v>
      </c>
      <c r="BA65">
        <v>65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ROUND(Y65*Source!I154,9)</f>
        <v>7.2911999999999996E-5</v>
      </c>
      <c r="CY65">
        <f>AA65</f>
        <v>7191.81</v>
      </c>
      <c r="CZ65">
        <f>AE65</f>
        <v>7191.81</v>
      </c>
      <c r="DA65">
        <f>AI65</f>
        <v>1</v>
      </c>
      <c r="DB65">
        <f t="shared" si="29"/>
        <v>3.0179999999999998</v>
      </c>
      <c r="DC65">
        <f t="shared" si="30"/>
        <v>0</v>
      </c>
      <c r="DD65" t="s">
        <v>3</v>
      </c>
      <c r="DE65" t="s">
        <v>3</v>
      </c>
      <c r="DF65">
        <f t="shared" si="31"/>
        <v>0.52</v>
      </c>
      <c r="DG65">
        <f t="shared" si="26"/>
        <v>0</v>
      </c>
      <c r="DH65">
        <f t="shared" si="27"/>
        <v>0</v>
      </c>
      <c r="DI65">
        <f t="shared" ref="DI65:DI128" si="32">ROUND(AH65*CX65,2)</f>
        <v>0</v>
      </c>
      <c r="DJ65">
        <f>DF65</f>
        <v>0.52</v>
      </c>
      <c r="DK65">
        <v>0</v>
      </c>
    </row>
    <row r="66" spans="1:115" x14ac:dyDescent="0.2">
      <c r="A66">
        <f>ROW(Source!A154)</f>
        <v>154</v>
      </c>
      <c r="B66">
        <v>129761636</v>
      </c>
      <c r="C66">
        <v>129763234</v>
      </c>
      <c r="D66">
        <v>37367082</v>
      </c>
      <c r="E66">
        <v>37345137</v>
      </c>
      <c r="F66">
        <v>1</v>
      </c>
      <c r="G66">
        <v>37345137</v>
      </c>
      <c r="H66">
        <v>3</v>
      </c>
      <c r="I66" t="s">
        <v>1136</v>
      </c>
      <c r="J66" t="s">
        <v>3</v>
      </c>
      <c r="K66" t="s">
        <v>1137</v>
      </c>
      <c r="L66">
        <v>1344</v>
      </c>
      <c r="N66">
        <v>1008</v>
      </c>
      <c r="O66" t="s">
        <v>1138</v>
      </c>
      <c r="P66" t="s">
        <v>1138</v>
      </c>
      <c r="Q66">
        <v>1</v>
      </c>
      <c r="W66">
        <v>0</v>
      </c>
      <c r="X66">
        <v>-94250534</v>
      </c>
      <c r="Y66">
        <f t="shared" si="28"/>
        <v>23.687999999999999</v>
      </c>
      <c r="AA66">
        <v>1</v>
      </c>
      <c r="AB66">
        <v>0</v>
      </c>
      <c r="AC66">
        <v>0</v>
      </c>
      <c r="AD66">
        <v>0</v>
      </c>
      <c r="AE66">
        <v>1</v>
      </c>
      <c r="AF66">
        <v>0</v>
      </c>
      <c r="AG66">
        <v>0</v>
      </c>
      <c r="AH66">
        <v>0</v>
      </c>
      <c r="AI66">
        <v>1</v>
      </c>
      <c r="AJ66">
        <v>1</v>
      </c>
      <c r="AK66">
        <v>1</v>
      </c>
      <c r="AL66">
        <v>1</v>
      </c>
      <c r="AN66">
        <v>0</v>
      </c>
      <c r="AO66">
        <v>1</v>
      </c>
      <c r="AP66">
        <v>1</v>
      </c>
      <c r="AQ66">
        <v>0</v>
      </c>
      <c r="AR66">
        <v>0</v>
      </c>
      <c r="AS66" t="s">
        <v>3</v>
      </c>
      <c r="AT66">
        <v>39.479999999999997</v>
      </c>
      <c r="AU66" t="s">
        <v>142</v>
      </c>
      <c r="AV66">
        <v>0</v>
      </c>
      <c r="AW66">
        <v>2</v>
      </c>
      <c r="AX66">
        <v>129763247</v>
      </c>
      <c r="AY66">
        <v>1</v>
      </c>
      <c r="AZ66">
        <v>0</v>
      </c>
      <c r="BA66">
        <v>67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ROUND(Y66*Source!I154,9)</f>
        <v>4.1122367999999998</v>
      </c>
      <c r="CY66">
        <f>AA66</f>
        <v>1</v>
      </c>
      <c r="CZ66">
        <f>AE66</f>
        <v>1</v>
      </c>
      <c r="DA66">
        <f>AI66</f>
        <v>1</v>
      </c>
      <c r="DB66">
        <f t="shared" si="29"/>
        <v>23.687999999999999</v>
      </c>
      <c r="DC66">
        <f t="shared" si="30"/>
        <v>0</v>
      </c>
      <c r="DD66" t="s">
        <v>3</v>
      </c>
      <c r="DE66" t="s">
        <v>3</v>
      </c>
      <c r="DF66">
        <f t="shared" si="31"/>
        <v>4.1100000000000003</v>
      </c>
      <c r="DG66">
        <f t="shared" si="26"/>
        <v>0</v>
      </c>
      <c r="DH66">
        <f t="shared" si="27"/>
        <v>0</v>
      </c>
      <c r="DI66">
        <f t="shared" si="32"/>
        <v>0</v>
      </c>
      <c r="DJ66">
        <f>DF66</f>
        <v>4.1100000000000003</v>
      </c>
      <c r="DK66">
        <v>0</v>
      </c>
    </row>
    <row r="67" spans="1:115" x14ac:dyDescent="0.2">
      <c r="A67">
        <f>ROW(Source!A155)</f>
        <v>155</v>
      </c>
      <c r="B67">
        <v>129761633</v>
      </c>
      <c r="C67">
        <v>129763234</v>
      </c>
      <c r="D67">
        <v>37345142</v>
      </c>
      <c r="E67">
        <v>37345137</v>
      </c>
      <c r="F67">
        <v>1</v>
      </c>
      <c r="G67">
        <v>37345137</v>
      </c>
      <c r="H67">
        <v>1</v>
      </c>
      <c r="I67" t="s">
        <v>1096</v>
      </c>
      <c r="J67" t="s">
        <v>3</v>
      </c>
      <c r="K67" t="s">
        <v>1097</v>
      </c>
      <c r="L67">
        <v>1191</v>
      </c>
      <c r="N67">
        <v>1013</v>
      </c>
      <c r="O67" t="s">
        <v>1098</v>
      </c>
      <c r="P67" t="s">
        <v>1098</v>
      </c>
      <c r="Q67">
        <v>1</v>
      </c>
      <c r="W67">
        <v>0</v>
      </c>
      <c r="X67">
        <v>476480486</v>
      </c>
      <c r="Y67">
        <f t="shared" si="28"/>
        <v>49.26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1</v>
      </c>
      <c r="AJ67">
        <v>1</v>
      </c>
      <c r="AK67">
        <v>1</v>
      </c>
      <c r="AL67">
        <v>1</v>
      </c>
      <c r="AN67">
        <v>0</v>
      </c>
      <c r="AO67">
        <v>1</v>
      </c>
      <c r="AP67">
        <v>1</v>
      </c>
      <c r="AQ67">
        <v>0</v>
      </c>
      <c r="AR67">
        <v>0</v>
      </c>
      <c r="AS67" t="s">
        <v>3</v>
      </c>
      <c r="AT67">
        <v>82.1</v>
      </c>
      <c r="AU67" t="s">
        <v>142</v>
      </c>
      <c r="AV67">
        <v>1</v>
      </c>
      <c r="AW67">
        <v>2</v>
      </c>
      <c r="AX67">
        <v>129763241</v>
      </c>
      <c r="AY67">
        <v>1</v>
      </c>
      <c r="AZ67">
        <v>0</v>
      </c>
      <c r="BA67">
        <v>68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ROUND(Y67*Source!I155,9)</f>
        <v>8.5515360000000005</v>
      </c>
      <c r="CY67">
        <f>AD67</f>
        <v>0</v>
      </c>
      <c r="CZ67">
        <f>AH67</f>
        <v>0</v>
      </c>
      <c r="DA67">
        <f>AL67</f>
        <v>1</v>
      </c>
      <c r="DB67">
        <f t="shared" si="29"/>
        <v>0</v>
      </c>
      <c r="DC67">
        <f t="shared" si="30"/>
        <v>0</v>
      </c>
      <c r="DD67" t="s">
        <v>3</v>
      </c>
      <c r="DE67" t="s">
        <v>3</v>
      </c>
      <c r="DF67">
        <f t="shared" si="31"/>
        <v>0</v>
      </c>
      <c r="DG67">
        <f t="shared" si="26"/>
        <v>0</v>
      </c>
      <c r="DH67">
        <f t="shared" si="27"/>
        <v>0</v>
      </c>
      <c r="DI67">
        <f t="shared" si="32"/>
        <v>0</v>
      </c>
      <c r="DJ67">
        <f>DI67</f>
        <v>0</v>
      </c>
      <c r="DK67">
        <v>0</v>
      </c>
    </row>
    <row r="68" spans="1:115" x14ac:dyDescent="0.2">
      <c r="A68">
        <f>ROW(Source!A155)</f>
        <v>155</v>
      </c>
      <c r="B68">
        <v>129761633</v>
      </c>
      <c r="C68">
        <v>129763234</v>
      </c>
      <c r="D68">
        <v>37418168</v>
      </c>
      <c r="E68">
        <v>1</v>
      </c>
      <c r="F68">
        <v>1</v>
      </c>
      <c r="G68">
        <v>37345137</v>
      </c>
      <c r="H68">
        <v>2</v>
      </c>
      <c r="I68" t="s">
        <v>1139</v>
      </c>
      <c r="J68" t="s">
        <v>1140</v>
      </c>
      <c r="K68" t="s">
        <v>1141</v>
      </c>
      <c r="L68">
        <v>1367</v>
      </c>
      <c r="N68">
        <v>1011</v>
      </c>
      <c r="O68" t="s">
        <v>1102</v>
      </c>
      <c r="P68" t="s">
        <v>1102</v>
      </c>
      <c r="Q68">
        <v>1</v>
      </c>
      <c r="W68">
        <v>0</v>
      </c>
      <c r="X68">
        <v>-1260721122</v>
      </c>
      <c r="Y68">
        <f t="shared" si="28"/>
        <v>3.5999999999999997E-2</v>
      </c>
      <c r="AA68">
        <v>0</v>
      </c>
      <c r="AB68">
        <v>77.03</v>
      </c>
      <c r="AC68">
        <v>10.1</v>
      </c>
      <c r="AD68">
        <v>0</v>
      </c>
      <c r="AE68">
        <v>0</v>
      </c>
      <c r="AF68">
        <v>6.39</v>
      </c>
      <c r="AG68">
        <v>0.32</v>
      </c>
      <c r="AH68">
        <v>0</v>
      </c>
      <c r="AI68">
        <v>1</v>
      </c>
      <c r="AJ68">
        <v>11.09</v>
      </c>
      <c r="AK68">
        <v>29.03</v>
      </c>
      <c r="AL68">
        <v>1</v>
      </c>
      <c r="AN68">
        <v>0</v>
      </c>
      <c r="AO68">
        <v>1</v>
      </c>
      <c r="AP68">
        <v>1</v>
      </c>
      <c r="AQ68">
        <v>0</v>
      </c>
      <c r="AR68">
        <v>0</v>
      </c>
      <c r="AS68" t="s">
        <v>3</v>
      </c>
      <c r="AT68">
        <v>0.06</v>
      </c>
      <c r="AU68" t="s">
        <v>142</v>
      </c>
      <c r="AV68">
        <v>0</v>
      </c>
      <c r="AW68">
        <v>2</v>
      </c>
      <c r="AX68">
        <v>129763242</v>
      </c>
      <c r="AY68">
        <v>1</v>
      </c>
      <c r="AZ68">
        <v>0</v>
      </c>
      <c r="BA68">
        <v>69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ROUND(Y68*Source!I155,9)</f>
        <v>6.2496000000000001E-3</v>
      </c>
      <c r="CY68">
        <f>AB68</f>
        <v>77.03</v>
      </c>
      <c r="CZ68">
        <f>AF68</f>
        <v>6.39</v>
      </c>
      <c r="DA68">
        <f>AJ68</f>
        <v>11.09</v>
      </c>
      <c r="DB68">
        <f t="shared" si="29"/>
        <v>0.22800000000000001</v>
      </c>
      <c r="DC68">
        <f t="shared" si="30"/>
        <v>1.2E-2</v>
      </c>
      <c r="DD68" t="s">
        <v>3</v>
      </c>
      <c r="DE68" t="s">
        <v>3</v>
      </c>
      <c r="DF68">
        <f t="shared" si="31"/>
        <v>0</v>
      </c>
      <c r="DG68">
        <f>ROUND(ROUND(AF68*CX68,2)*AJ68,2)</f>
        <v>0.44</v>
      </c>
      <c r="DH68">
        <f>ROUND(ROUND(AG68*CX68,2)*AK68,2)</f>
        <v>0</v>
      </c>
      <c r="DI68">
        <f t="shared" si="32"/>
        <v>0</v>
      </c>
      <c r="DJ68">
        <f>DG68</f>
        <v>0.44</v>
      </c>
      <c r="DK68">
        <v>0</v>
      </c>
    </row>
    <row r="69" spans="1:115" x14ac:dyDescent="0.2">
      <c r="A69">
        <f>ROW(Source!A155)</f>
        <v>155</v>
      </c>
      <c r="B69">
        <v>129761633</v>
      </c>
      <c r="C69">
        <v>129763234</v>
      </c>
      <c r="D69">
        <v>37418517</v>
      </c>
      <c r="E69">
        <v>1</v>
      </c>
      <c r="F69">
        <v>1</v>
      </c>
      <c r="G69">
        <v>37345137</v>
      </c>
      <c r="H69">
        <v>2</v>
      </c>
      <c r="I69" t="s">
        <v>1142</v>
      </c>
      <c r="J69" t="s">
        <v>1143</v>
      </c>
      <c r="K69" t="s">
        <v>1144</v>
      </c>
      <c r="L69">
        <v>1367</v>
      </c>
      <c r="N69">
        <v>1011</v>
      </c>
      <c r="O69" t="s">
        <v>1102</v>
      </c>
      <c r="P69" t="s">
        <v>1102</v>
      </c>
      <c r="Q69">
        <v>1</v>
      </c>
      <c r="W69">
        <v>0</v>
      </c>
      <c r="X69">
        <v>-840546339</v>
      </c>
      <c r="Y69">
        <f t="shared" si="28"/>
        <v>0.45599999999999996</v>
      </c>
      <c r="AA69">
        <v>0</v>
      </c>
      <c r="AB69">
        <v>33.54</v>
      </c>
      <c r="AC69">
        <v>1.26</v>
      </c>
      <c r="AD69">
        <v>0</v>
      </c>
      <c r="AE69">
        <v>0</v>
      </c>
      <c r="AF69">
        <v>2.58</v>
      </c>
      <c r="AG69">
        <v>0.04</v>
      </c>
      <c r="AH69">
        <v>0</v>
      </c>
      <c r="AI69">
        <v>1</v>
      </c>
      <c r="AJ69">
        <v>11.96</v>
      </c>
      <c r="AK69">
        <v>29.03</v>
      </c>
      <c r="AL69">
        <v>1</v>
      </c>
      <c r="AN69">
        <v>0</v>
      </c>
      <c r="AO69">
        <v>1</v>
      </c>
      <c r="AP69">
        <v>1</v>
      </c>
      <c r="AQ69">
        <v>0</v>
      </c>
      <c r="AR69">
        <v>0</v>
      </c>
      <c r="AS69" t="s">
        <v>3</v>
      </c>
      <c r="AT69">
        <v>0.76</v>
      </c>
      <c r="AU69" t="s">
        <v>142</v>
      </c>
      <c r="AV69">
        <v>0</v>
      </c>
      <c r="AW69">
        <v>2</v>
      </c>
      <c r="AX69">
        <v>129763243</v>
      </c>
      <c r="AY69">
        <v>1</v>
      </c>
      <c r="AZ69">
        <v>0</v>
      </c>
      <c r="BA69">
        <v>70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ROUND(Y69*Source!I155,9)</f>
        <v>7.9161599999999999E-2</v>
      </c>
      <c r="CY69">
        <f>AB69</f>
        <v>33.54</v>
      </c>
      <c r="CZ69">
        <f>AF69</f>
        <v>2.58</v>
      </c>
      <c r="DA69">
        <f>AJ69</f>
        <v>11.96</v>
      </c>
      <c r="DB69">
        <f t="shared" si="29"/>
        <v>1.1759999999999999</v>
      </c>
      <c r="DC69">
        <f t="shared" si="30"/>
        <v>1.7999999999999999E-2</v>
      </c>
      <c r="DD69" t="s">
        <v>3</v>
      </c>
      <c r="DE69" t="s">
        <v>3</v>
      </c>
      <c r="DF69">
        <f t="shared" si="31"/>
        <v>0</v>
      </c>
      <c r="DG69">
        <f>ROUND(ROUND(AF69*CX69,2)*AJ69,2)</f>
        <v>2.39</v>
      </c>
      <c r="DH69">
        <f>ROUND(ROUND(AG69*CX69,2)*AK69,2)</f>
        <v>0</v>
      </c>
      <c r="DI69">
        <f t="shared" si="32"/>
        <v>0</v>
      </c>
      <c r="DJ69">
        <f>DG69</f>
        <v>2.39</v>
      </c>
      <c r="DK69">
        <v>0</v>
      </c>
    </row>
    <row r="70" spans="1:115" x14ac:dyDescent="0.2">
      <c r="A70">
        <f>ROW(Source!A155)</f>
        <v>155</v>
      </c>
      <c r="B70">
        <v>129761633</v>
      </c>
      <c r="C70">
        <v>129763234</v>
      </c>
      <c r="D70">
        <v>37345890</v>
      </c>
      <c r="E70">
        <v>37345137</v>
      </c>
      <c r="F70">
        <v>1</v>
      </c>
      <c r="G70">
        <v>37345137</v>
      </c>
      <c r="H70">
        <v>2</v>
      </c>
      <c r="I70" t="s">
        <v>1145</v>
      </c>
      <c r="J70" t="s">
        <v>3</v>
      </c>
      <c r="K70" t="s">
        <v>1146</v>
      </c>
      <c r="L70">
        <v>1344</v>
      </c>
      <c r="N70">
        <v>1008</v>
      </c>
      <c r="O70" t="s">
        <v>1138</v>
      </c>
      <c r="P70" t="s">
        <v>1138</v>
      </c>
      <c r="Q70">
        <v>1</v>
      </c>
      <c r="W70">
        <v>0</v>
      </c>
      <c r="X70">
        <v>-1180195794</v>
      </c>
      <c r="Y70">
        <f t="shared" si="28"/>
        <v>139.35</v>
      </c>
      <c r="AA70">
        <v>0</v>
      </c>
      <c r="AB70">
        <v>1.0900000000000001</v>
      </c>
      <c r="AC70">
        <v>0</v>
      </c>
      <c r="AD70">
        <v>0</v>
      </c>
      <c r="AE70">
        <v>0</v>
      </c>
      <c r="AF70">
        <v>1</v>
      </c>
      <c r="AG70">
        <v>0</v>
      </c>
      <c r="AH70">
        <v>0</v>
      </c>
      <c r="AI70">
        <v>1</v>
      </c>
      <c r="AJ70">
        <v>1</v>
      </c>
      <c r="AK70">
        <v>1</v>
      </c>
      <c r="AL70">
        <v>1</v>
      </c>
      <c r="AN70">
        <v>0</v>
      </c>
      <c r="AO70">
        <v>1</v>
      </c>
      <c r="AP70">
        <v>1</v>
      </c>
      <c r="AQ70">
        <v>0</v>
      </c>
      <c r="AR70">
        <v>0</v>
      </c>
      <c r="AS70" t="s">
        <v>3</v>
      </c>
      <c r="AT70">
        <v>232.25</v>
      </c>
      <c r="AU70" t="s">
        <v>142</v>
      </c>
      <c r="AV70">
        <v>0</v>
      </c>
      <c r="AW70">
        <v>2</v>
      </c>
      <c r="AX70">
        <v>129763244</v>
      </c>
      <c r="AY70">
        <v>1</v>
      </c>
      <c r="AZ70">
        <v>0</v>
      </c>
      <c r="BA70">
        <v>71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ROUND(Y70*Source!I155,9)</f>
        <v>24.19116</v>
      </c>
      <c r="CY70">
        <f>AB70</f>
        <v>1.0900000000000001</v>
      </c>
      <c r="CZ70">
        <f>AF70</f>
        <v>1</v>
      </c>
      <c r="DA70">
        <f>AJ70</f>
        <v>1</v>
      </c>
      <c r="DB70">
        <f t="shared" si="29"/>
        <v>139.35</v>
      </c>
      <c r="DC70">
        <f t="shared" si="30"/>
        <v>0</v>
      </c>
      <c r="DD70" t="s">
        <v>3</v>
      </c>
      <c r="DE70" t="s">
        <v>3</v>
      </c>
      <c r="DF70">
        <f t="shared" si="31"/>
        <v>0</v>
      </c>
      <c r="DG70">
        <f t="shared" ref="DG70:DG97" si="33">ROUND(AF70*CX70,2)</f>
        <v>24.19</v>
      </c>
      <c r="DH70">
        <f t="shared" ref="DH70:DH97" si="34">ROUND(AG70*CX70,2)</f>
        <v>0</v>
      </c>
      <c r="DI70">
        <f t="shared" si="32"/>
        <v>0</v>
      </c>
      <c r="DJ70">
        <f>DG70</f>
        <v>24.19</v>
      </c>
      <c r="DK70">
        <v>0</v>
      </c>
    </row>
    <row r="71" spans="1:115" x14ac:dyDescent="0.2">
      <c r="A71">
        <f>ROW(Source!A155)</f>
        <v>155</v>
      </c>
      <c r="B71">
        <v>129761633</v>
      </c>
      <c r="C71">
        <v>129763234</v>
      </c>
      <c r="D71">
        <v>37394864</v>
      </c>
      <c r="E71">
        <v>1</v>
      </c>
      <c r="F71">
        <v>1</v>
      </c>
      <c r="G71">
        <v>37345137</v>
      </c>
      <c r="H71">
        <v>3</v>
      </c>
      <c r="I71" t="s">
        <v>1147</v>
      </c>
      <c r="J71" t="s">
        <v>1148</v>
      </c>
      <c r="K71" t="s">
        <v>1149</v>
      </c>
      <c r="L71">
        <v>1348</v>
      </c>
      <c r="N71">
        <v>1009</v>
      </c>
      <c r="O71" t="s">
        <v>114</v>
      </c>
      <c r="P71" t="s">
        <v>114</v>
      </c>
      <c r="Q71">
        <v>1000</v>
      </c>
      <c r="W71">
        <v>0</v>
      </c>
      <c r="X71">
        <v>1310716689</v>
      </c>
      <c r="Y71">
        <f t="shared" si="28"/>
        <v>4.1999999999999996E-4</v>
      </c>
      <c r="AA71">
        <v>145777.99</v>
      </c>
      <c r="AB71">
        <v>0</v>
      </c>
      <c r="AC71">
        <v>0</v>
      </c>
      <c r="AD71">
        <v>0</v>
      </c>
      <c r="AE71">
        <v>7191.81</v>
      </c>
      <c r="AF71">
        <v>0</v>
      </c>
      <c r="AG71">
        <v>0</v>
      </c>
      <c r="AH71">
        <v>0</v>
      </c>
      <c r="AI71">
        <v>20.27</v>
      </c>
      <c r="AJ71">
        <v>1</v>
      </c>
      <c r="AK71">
        <v>1</v>
      </c>
      <c r="AL71">
        <v>1</v>
      </c>
      <c r="AN71">
        <v>0</v>
      </c>
      <c r="AO71">
        <v>1</v>
      </c>
      <c r="AP71">
        <v>1</v>
      </c>
      <c r="AQ71">
        <v>0</v>
      </c>
      <c r="AR71">
        <v>0</v>
      </c>
      <c r="AS71" t="s">
        <v>3</v>
      </c>
      <c r="AT71">
        <v>6.9999999999999999E-4</v>
      </c>
      <c r="AU71" t="s">
        <v>142</v>
      </c>
      <c r="AV71">
        <v>0</v>
      </c>
      <c r="AW71">
        <v>2</v>
      </c>
      <c r="AX71">
        <v>129763245</v>
      </c>
      <c r="AY71">
        <v>1</v>
      </c>
      <c r="AZ71">
        <v>0</v>
      </c>
      <c r="BA71">
        <v>72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ROUND(Y71*Source!I155,9)</f>
        <v>7.2911999999999996E-5</v>
      </c>
      <c r="CY71">
        <f>AA71</f>
        <v>145777.99</v>
      </c>
      <c r="CZ71">
        <f>AE71</f>
        <v>7191.81</v>
      </c>
      <c r="DA71">
        <f>AI71</f>
        <v>20.27</v>
      </c>
      <c r="DB71">
        <f t="shared" si="29"/>
        <v>3.0179999999999998</v>
      </c>
      <c r="DC71">
        <f t="shared" si="30"/>
        <v>0</v>
      </c>
      <c r="DD71" t="s">
        <v>3</v>
      </c>
      <c r="DE71" t="s">
        <v>3</v>
      </c>
      <c r="DF71">
        <f>ROUND(ROUND(AE71*CX71,2)*AI71,2)</f>
        <v>10.54</v>
      </c>
      <c r="DG71">
        <f t="shared" si="33"/>
        <v>0</v>
      </c>
      <c r="DH71">
        <f t="shared" si="34"/>
        <v>0</v>
      </c>
      <c r="DI71">
        <f t="shared" si="32"/>
        <v>0</v>
      </c>
      <c r="DJ71">
        <f>DF71</f>
        <v>10.54</v>
      </c>
      <c r="DK71">
        <v>0</v>
      </c>
    </row>
    <row r="72" spans="1:115" x14ac:dyDescent="0.2">
      <c r="A72">
        <f>ROW(Source!A155)</f>
        <v>155</v>
      </c>
      <c r="B72">
        <v>129761633</v>
      </c>
      <c r="C72">
        <v>129763234</v>
      </c>
      <c r="D72">
        <v>37367082</v>
      </c>
      <c r="E72">
        <v>37345137</v>
      </c>
      <c r="F72">
        <v>1</v>
      </c>
      <c r="G72">
        <v>37345137</v>
      </c>
      <c r="H72">
        <v>3</v>
      </c>
      <c r="I72" t="s">
        <v>1136</v>
      </c>
      <c r="J72" t="s">
        <v>3</v>
      </c>
      <c r="K72" t="s">
        <v>1137</v>
      </c>
      <c r="L72">
        <v>1344</v>
      </c>
      <c r="N72">
        <v>1008</v>
      </c>
      <c r="O72" t="s">
        <v>1138</v>
      </c>
      <c r="P72" t="s">
        <v>1138</v>
      </c>
      <c r="Q72">
        <v>1</v>
      </c>
      <c r="W72">
        <v>0</v>
      </c>
      <c r="X72">
        <v>-94250534</v>
      </c>
      <c r="Y72">
        <f t="shared" si="28"/>
        <v>23.687999999999999</v>
      </c>
      <c r="AA72">
        <v>8.65</v>
      </c>
      <c r="AB72">
        <v>0</v>
      </c>
      <c r="AC72">
        <v>0</v>
      </c>
      <c r="AD72">
        <v>0</v>
      </c>
      <c r="AE72">
        <v>1</v>
      </c>
      <c r="AF72">
        <v>0</v>
      </c>
      <c r="AG72">
        <v>0</v>
      </c>
      <c r="AH72">
        <v>0</v>
      </c>
      <c r="AI72">
        <v>8.65</v>
      </c>
      <c r="AJ72">
        <v>1</v>
      </c>
      <c r="AK72">
        <v>1</v>
      </c>
      <c r="AL72">
        <v>1</v>
      </c>
      <c r="AN72">
        <v>0</v>
      </c>
      <c r="AO72">
        <v>1</v>
      </c>
      <c r="AP72">
        <v>1</v>
      </c>
      <c r="AQ72">
        <v>0</v>
      </c>
      <c r="AR72">
        <v>0</v>
      </c>
      <c r="AS72" t="s">
        <v>3</v>
      </c>
      <c r="AT72">
        <v>39.479999999999997</v>
      </c>
      <c r="AU72" t="s">
        <v>142</v>
      </c>
      <c r="AV72">
        <v>0</v>
      </c>
      <c r="AW72">
        <v>2</v>
      </c>
      <c r="AX72">
        <v>129763247</v>
      </c>
      <c r="AY72">
        <v>1</v>
      </c>
      <c r="AZ72">
        <v>0</v>
      </c>
      <c r="BA72">
        <v>74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ROUND(Y72*Source!I155,9)</f>
        <v>4.1122367999999998</v>
      </c>
      <c r="CY72">
        <f>AA72</f>
        <v>8.65</v>
      </c>
      <c r="CZ72">
        <f>AE72</f>
        <v>1</v>
      </c>
      <c r="DA72">
        <f>AI72</f>
        <v>8.65</v>
      </c>
      <c r="DB72">
        <f t="shared" si="29"/>
        <v>23.687999999999999</v>
      </c>
      <c r="DC72">
        <f t="shared" si="30"/>
        <v>0</v>
      </c>
      <c r="DD72" t="s">
        <v>3</v>
      </c>
      <c r="DE72" t="s">
        <v>3</v>
      </c>
      <c r="DF72">
        <f>ROUND(ROUND(AE72*CX72,2)*AI72,2)</f>
        <v>35.549999999999997</v>
      </c>
      <c r="DG72">
        <f t="shared" si="33"/>
        <v>0</v>
      </c>
      <c r="DH72">
        <f t="shared" si="34"/>
        <v>0</v>
      </c>
      <c r="DI72">
        <f t="shared" si="32"/>
        <v>0</v>
      </c>
      <c r="DJ72">
        <f>DF72</f>
        <v>35.549999999999997</v>
      </c>
      <c r="DK72">
        <v>0</v>
      </c>
    </row>
    <row r="73" spans="1:115" x14ac:dyDescent="0.2">
      <c r="A73">
        <f>ROW(Source!A156)</f>
        <v>156</v>
      </c>
      <c r="B73">
        <v>129761636</v>
      </c>
      <c r="C73">
        <v>129763248</v>
      </c>
      <c r="D73">
        <v>37345142</v>
      </c>
      <c r="E73">
        <v>37345137</v>
      </c>
      <c r="F73">
        <v>1</v>
      </c>
      <c r="G73">
        <v>37345137</v>
      </c>
      <c r="H73">
        <v>1</v>
      </c>
      <c r="I73" t="s">
        <v>1096</v>
      </c>
      <c r="J73" t="s">
        <v>3</v>
      </c>
      <c r="K73" t="s">
        <v>1097</v>
      </c>
      <c r="L73">
        <v>1191</v>
      </c>
      <c r="N73">
        <v>1013</v>
      </c>
      <c r="O73" t="s">
        <v>1098</v>
      </c>
      <c r="P73" t="s">
        <v>1098</v>
      </c>
      <c r="Q73">
        <v>1</v>
      </c>
      <c r="W73">
        <v>0</v>
      </c>
      <c r="X73">
        <v>476480486</v>
      </c>
      <c r="Y73">
        <f t="shared" ref="Y73:Y92" si="35">AT73</f>
        <v>91.15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1</v>
      </c>
      <c r="AJ73">
        <v>1</v>
      </c>
      <c r="AK73">
        <v>1</v>
      </c>
      <c r="AL73">
        <v>1</v>
      </c>
      <c r="AN73">
        <v>0</v>
      </c>
      <c r="AO73">
        <v>1</v>
      </c>
      <c r="AP73">
        <v>0</v>
      </c>
      <c r="AQ73">
        <v>0</v>
      </c>
      <c r="AR73">
        <v>0</v>
      </c>
      <c r="AS73" t="s">
        <v>3</v>
      </c>
      <c r="AT73">
        <v>91.15</v>
      </c>
      <c r="AU73" t="s">
        <v>3</v>
      </c>
      <c r="AV73">
        <v>1</v>
      </c>
      <c r="AW73">
        <v>2</v>
      </c>
      <c r="AX73">
        <v>129763250</v>
      </c>
      <c r="AY73">
        <v>1</v>
      </c>
      <c r="AZ73">
        <v>0</v>
      </c>
      <c r="BA73">
        <v>75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ROUND(Y73*Source!I156,9)</f>
        <v>7.3740350000000001</v>
      </c>
      <c r="CY73">
        <f>AD73</f>
        <v>0</v>
      </c>
      <c r="CZ73">
        <f>AH73</f>
        <v>0</v>
      </c>
      <c r="DA73">
        <f>AL73</f>
        <v>1</v>
      </c>
      <c r="DB73">
        <f t="shared" ref="DB73:DB92" si="36">ROUND(ROUND(AT73*CZ73,2),6)</f>
        <v>0</v>
      </c>
      <c r="DC73">
        <f t="shared" ref="DC73:DC92" si="37">ROUND(ROUND(AT73*AG73,2),6)</f>
        <v>0</v>
      </c>
      <c r="DD73" t="s">
        <v>3</v>
      </c>
      <c r="DE73" t="s">
        <v>3</v>
      </c>
      <c r="DF73">
        <f t="shared" ref="DF73:DF79" si="38">ROUND(AE73*CX73,2)</f>
        <v>0</v>
      </c>
      <c r="DG73">
        <f t="shared" si="33"/>
        <v>0</v>
      </c>
      <c r="DH73">
        <f t="shared" si="34"/>
        <v>0</v>
      </c>
      <c r="DI73">
        <f t="shared" si="32"/>
        <v>0</v>
      </c>
      <c r="DJ73">
        <f>DI73</f>
        <v>0</v>
      </c>
      <c r="DK73">
        <v>0</v>
      </c>
    </row>
    <row r="74" spans="1:115" x14ac:dyDescent="0.2">
      <c r="A74">
        <f>ROW(Source!A157)</f>
        <v>157</v>
      </c>
      <c r="B74">
        <v>129761633</v>
      </c>
      <c r="C74">
        <v>129763248</v>
      </c>
      <c r="D74">
        <v>37345142</v>
      </c>
      <c r="E74">
        <v>37345137</v>
      </c>
      <c r="F74">
        <v>1</v>
      </c>
      <c r="G74">
        <v>37345137</v>
      </c>
      <c r="H74">
        <v>1</v>
      </c>
      <c r="I74" t="s">
        <v>1096</v>
      </c>
      <c r="J74" t="s">
        <v>3</v>
      </c>
      <c r="K74" t="s">
        <v>1097</v>
      </c>
      <c r="L74">
        <v>1191</v>
      </c>
      <c r="N74">
        <v>1013</v>
      </c>
      <c r="O74" t="s">
        <v>1098</v>
      </c>
      <c r="P74" t="s">
        <v>1098</v>
      </c>
      <c r="Q74">
        <v>1</v>
      </c>
      <c r="W74">
        <v>0</v>
      </c>
      <c r="X74">
        <v>476480486</v>
      </c>
      <c r="Y74">
        <f t="shared" si="35"/>
        <v>91.15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1</v>
      </c>
      <c r="AJ74">
        <v>1</v>
      </c>
      <c r="AK74">
        <v>1</v>
      </c>
      <c r="AL74">
        <v>1</v>
      </c>
      <c r="AN74">
        <v>0</v>
      </c>
      <c r="AO74">
        <v>1</v>
      </c>
      <c r="AP74">
        <v>0</v>
      </c>
      <c r="AQ74">
        <v>0</v>
      </c>
      <c r="AR74">
        <v>0</v>
      </c>
      <c r="AS74" t="s">
        <v>3</v>
      </c>
      <c r="AT74">
        <v>91.15</v>
      </c>
      <c r="AU74" t="s">
        <v>3</v>
      </c>
      <c r="AV74">
        <v>1</v>
      </c>
      <c r="AW74">
        <v>2</v>
      </c>
      <c r="AX74">
        <v>129763250</v>
      </c>
      <c r="AY74">
        <v>1</v>
      </c>
      <c r="AZ74">
        <v>0</v>
      </c>
      <c r="BA74">
        <v>76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ROUND(Y74*Source!I157,9)</f>
        <v>7.3740350000000001</v>
      </c>
      <c r="CY74">
        <f>AD74</f>
        <v>0</v>
      </c>
      <c r="CZ74">
        <f>AH74</f>
        <v>0</v>
      </c>
      <c r="DA74">
        <f>AL74</f>
        <v>1</v>
      </c>
      <c r="DB74">
        <f t="shared" si="36"/>
        <v>0</v>
      </c>
      <c r="DC74">
        <f t="shared" si="37"/>
        <v>0</v>
      </c>
      <c r="DD74" t="s">
        <v>3</v>
      </c>
      <c r="DE74" t="s">
        <v>3</v>
      </c>
      <c r="DF74">
        <f t="shared" si="38"/>
        <v>0</v>
      </c>
      <c r="DG74">
        <f t="shared" si="33"/>
        <v>0</v>
      </c>
      <c r="DH74">
        <f t="shared" si="34"/>
        <v>0</v>
      </c>
      <c r="DI74">
        <f t="shared" si="32"/>
        <v>0</v>
      </c>
      <c r="DJ74">
        <f>DI74</f>
        <v>0</v>
      </c>
      <c r="DK74">
        <v>0</v>
      </c>
    </row>
    <row r="75" spans="1:115" x14ac:dyDescent="0.2">
      <c r="A75">
        <f>ROW(Source!A158)</f>
        <v>158</v>
      </c>
      <c r="B75">
        <v>129761636</v>
      </c>
      <c r="C75">
        <v>129763251</v>
      </c>
      <c r="D75">
        <v>37345142</v>
      </c>
      <c r="E75">
        <v>37345137</v>
      </c>
      <c r="F75">
        <v>1</v>
      </c>
      <c r="G75">
        <v>37345137</v>
      </c>
      <c r="H75">
        <v>1</v>
      </c>
      <c r="I75" t="s">
        <v>1096</v>
      </c>
      <c r="J75" t="s">
        <v>3</v>
      </c>
      <c r="K75" t="s">
        <v>1097</v>
      </c>
      <c r="L75">
        <v>1191</v>
      </c>
      <c r="N75">
        <v>1013</v>
      </c>
      <c r="O75" t="s">
        <v>1098</v>
      </c>
      <c r="P75" t="s">
        <v>1098</v>
      </c>
      <c r="Q75">
        <v>1</v>
      </c>
      <c r="W75">
        <v>0</v>
      </c>
      <c r="X75">
        <v>476480486</v>
      </c>
      <c r="Y75">
        <f t="shared" si="35"/>
        <v>151.54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1</v>
      </c>
      <c r="AJ75">
        <v>1</v>
      </c>
      <c r="AK75">
        <v>1</v>
      </c>
      <c r="AL75">
        <v>1</v>
      </c>
      <c r="AN75">
        <v>0</v>
      </c>
      <c r="AO75">
        <v>1</v>
      </c>
      <c r="AP75">
        <v>0</v>
      </c>
      <c r="AQ75">
        <v>0</v>
      </c>
      <c r="AR75">
        <v>0</v>
      </c>
      <c r="AS75" t="s">
        <v>3</v>
      </c>
      <c r="AT75">
        <v>151.54</v>
      </c>
      <c r="AU75" t="s">
        <v>3</v>
      </c>
      <c r="AV75">
        <v>1</v>
      </c>
      <c r="AW75">
        <v>2</v>
      </c>
      <c r="AX75">
        <v>129763253</v>
      </c>
      <c r="AY75">
        <v>1</v>
      </c>
      <c r="AZ75">
        <v>0</v>
      </c>
      <c r="BA75">
        <v>77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ROUND(Y75*Source!I158,9)</f>
        <v>3.303572</v>
      </c>
      <c r="CY75">
        <f>AD75</f>
        <v>0</v>
      </c>
      <c r="CZ75">
        <f>AH75</f>
        <v>0</v>
      </c>
      <c r="DA75">
        <f>AL75</f>
        <v>1</v>
      </c>
      <c r="DB75">
        <f t="shared" si="36"/>
        <v>0</v>
      </c>
      <c r="DC75">
        <f t="shared" si="37"/>
        <v>0</v>
      </c>
      <c r="DD75" t="s">
        <v>3</v>
      </c>
      <c r="DE75" t="s">
        <v>3</v>
      </c>
      <c r="DF75">
        <f t="shared" si="38"/>
        <v>0</v>
      </c>
      <c r="DG75">
        <f t="shared" si="33"/>
        <v>0</v>
      </c>
      <c r="DH75">
        <f t="shared" si="34"/>
        <v>0</v>
      </c>
      <c r="DI75">
        <f t="shared" si="32"/>
        <v>0</v>
      </c>
      <c r="DJ75">
        <f>DI75</f>
        <v>0</v>
      </c>
      <c r="DK75">
        <v>0</v>
      </c>
    </row>
    <row r="76" spans="1:115" x14ac:dyDescent="0.2">
      <c r="A76">
        <f>ROW(Source!A159)</f>
        <v>159</v>
      </c>
      <c r="B76">
        <v>129761633</v>
      </c>
      <c r="C76">
        <v>129763251</v>
      </c>
      <c r="D76">
        <v>37345142</v>
      </c>
      <c r="E76">
        <v>37345137</v>
      </c>
      <c r="F76">
        <v>1</v>
      </c>
      <c r="G76">
        <v>37345137</v>
      </c>
      <c r="H76">
        <v>1</v>
      </c>
      <c r="I76" t="s">
        <v>1096</v>
      </c>
      <c r="J76" t="s">
        <v>3</v>
      </c>
      <c r="K76" t="s">
        <v>1097</v>
      </c>
      <c r="L76">
        <v>1191</v>
      </c>
      <c r="N76">
        <v>1013</v>
      </c>
      <c r="O76" t="s">
        <v>1098</v>
      </c>
      <c r="P76" t="s">
        <v>1098</v>
      </c>
      <c r="Q76">
        <v>1</v>
      </c>
      <c r="W76">
        <v>0</v>
      </c>
      <c r="X76">
        <v>476480486</v>
      </c>
      <c r="Y76">
        <f t="shared" si="35"/>
        <v>151.54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1</v>
      </c>
      <c r="AJ76">
        <v>1</v>
      </c>
      <c r="AK76">
        <v>1</v>
      </c>
      <c r="AL76">
        <v>1</v>
      </c>
      <c r="AN76">
        <v>0</v>
      </c>
      <c r="AO76">
        <v>1</v>
      </c>
      <c r="AP76">
        <v>0</v>
      </c>
      <c r="AQ76">
        <v>0</v>
      </c>
      <c r="AR76">
        <v>0</v>
      </c>
      <c r="AS76" t="s">
        <v>3</v>
      </c>
      <c r="AT76">
        <v>151.54</v>
      </c>
      <c r="AU76" t="s">
        <v>3</v>
      </c>
      <c r="AV76">
        <v>1</v>
      </c>
      <c r="AW76">
        <v>2</v>
      </c>
      <c r="AX76">
        <v>129763253</v>
      </c>
      <c r="AY76">
        <v>1</v>
      </c>
      <c r="AZ76">
        <v>0</v>
      </c>
      <c r="BA76">
        <v>78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ROUND(Y76*Source!I159,9)</f>
        <v>3.303572</v>
      </c>
      <c r="CY76">
        <f>AD76</f>
        <v>0</v>
      </c>
      <c r="CZ76">
        <f>AH76</f>
        <v>0</v>
      </c>
      <c r="DA76">
        <f>AL76</f>
        <v>1</v>
      </c>
      <c r="DB76">
        <f t="shared" si="36"/>
        <v>0</v>
      </c>
      <c r="DC76">
        <f t="shared" si="37"/>
        <v>0</v>
      </c>
      <c r="DD76" t="s">
        <v>3</v>
      </c>
      <c r="DE76" t="s">
        <v>3</v>
      </c>
      <c r="DF76">
        <f t="shared" si="38"/>
        <v>0</v>
      </c>
      <c r="DG76">
        <f t="shared" si="33"/>
        <v>0</v>
      </c>
      <c r="DH76">
        <f t="shared" si="34"/>
        <v>0</v>
      </c>
      <c r="DI76">
        <f t="shared" si="32"/>
        <v>0</v>
      </c>
      <c r="DJ76">
        <f>DI76</f>
        <v>0</v>
      </c>
      <c r="DK76">
        <v>0</v>
      </c>
    </row>
    <row r="77" spans="1:115" x14ac:dyDescent="0.2">
      <c r="A77">
        <f>ROW(Source!A160)</f>
        <v>160</v>
      </c>
      <c r="B77">
        <v>129761636</v>
      </c>
      <c r="C77">
        <v>129763254</v>
      </c>
      <c r="D77">
        <v>37345142</v>
      </c>
      <c r="E77">
        <v>37345137</v>
      </c>
      <c r="F77">
        <v>1</v>
      </c>
      <c r="G77">
        <v>37345137</v>
      </c>
      <c r="H77">
        <v>1</v>
      </c>
      <c r="I77" t="s">
        <v>1096</v>
      </c>
      <c r="J77" t="s">
        <v>3</v>
      </c>
      <c r="K77" t="s">
        <v>1097</v>
      </c>
      <c r="L77">
        <v>1191</v>
      </c>
      <c r="N77">
        <v>1013</v>
      </c>
      <c r="O77" t="s">
        <v>1098</v>
      </c>
      <c r="P77" t="s">
        <v>1098</v>
      </c>
      <c r="Q77">
        <v>1</v>
      </c>
      <c r="W77">
        <v>0</v>
      </c>
      <c r="X77">
        <v>476480486</v>
      </c>
      <c r="Y77">
        <f t="shared" si="35"/>
        <v>15.88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1</v>
      </c>
      <c r="AJ77">
        <v>1</v>
      </c>
      <c r="AK77">
        <v>1</v>
      </c>
      <c r="AL77">
        <v>1</v>
      </c>
      <c r="AN77">
        <v>0</v>
      </c>
      <c r="AO77">
        <v>1</v>
      </c>
      <c r="AP77">
        <v>0</v>
      </c>
      <c r="AQ77">
        <v>0</v>
      </c>
      <c r="AR77">
        <v>0</v>
      </c>
      <c r="AS77" t="s">
        <v>3</v>
      </c>
      <c r="AT77">
        <v>15.88</v>
      </c>
      <c r="AU77" t="s">
        <v>3</v>
      </c>
      <c r="AV77">
        <v>1</v>
      </c>
      <c r="AW77">
        <v>2</v>
      </c>
      <c r="AX77">
        <v>129763257</v>
      </c>
      <c r="AY77">
        <v>1</v>
      </c>
      <c r="AZ77">
        <v>0</v>
      </c>
      <c r="BA77">
        <v>79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ROUND(Y77*Source!I160,9)</f>
        <v>98.456000000000003</v>
      </c>
      <c r="CY77">
        <f>AD77</f>
        <v>0</v>
      </c>
      <c r="CZ77">
        <f>AH77</f>
        <v>0</v>
      </c>
      <c r="DA77">
        <f>AL77</f>
        <v>1</v>
      </c>
      <c r="DB77">
        <f t="shared" si="36"/>
        <v>0</v>
      </c>
      <c r="DC77">
        <f t="shared" si="37"/>
        <v>0</v>
      </c>
      <c r="DD77" t="s">
        <v>3</v>
      </c>
      <c r="DE77" t="s">
        <v>3</v>
      </c>
      <c r="DF77">
        <f t="shared" si="38"/>
        <v>0</v>
      </c>
      <c r="DG77">
        <f t="shared" si="33"/>
        <v>0</v>
      </c>
      <c r="DH77">
        <f t="shared" si="34"/>
        <v>0</v>
      </c>
      <c r="DI77">
        <f t="shared" si="32"/>
        <v>0</v>
      </c>
      <c r="DJ77">
        <f>DI77</f>
        <v>0</v>
      </c>
      <c r="DK77">
        <v>0</v>
      </c>
    </row>
    <row r="78" spans="1:115" x14ac:dyDescent="0.2">
      <c r="A78">
        <f>ROW(Source!A160)</f>
        <v>160</v>
      </c>
      <c r="B78">
        <v>129761636</v>
      </c>
      <c r="C78">
        <v>129763254</v>
      </c>
      <c r="D78">
        <v>37367068</v>
      </c>
      <c r="E78">
        <v>37345137</v>
      </c>
      <c r="F78">
        <v>1</v>
      </c>
      <c r="G78">
        <v>37345137</v>
      </c>
      <c r="H78">
        <v>3</v>
      </c>
      <c r="I78" t="s">
        <v>162</v>
      </c>
      <c r="J78" t="s">
        <v>3</v>
      </c>
      <c r="K78" t="s">
        <v>163</v>
      </c>
      <c r="L78">
        <v>1348</v>
      </c>
      <c r="N78">
        <v>1009</v>
      </c>
      <c r="O78" t="s">
        <v>114</v>
      </c>
      <c r="P78" t="s">
        <v>114</v>
      </c>
      <c r="Q78">
        <v>1000</v>
      </c>
      <c r="W78">
        <v>1</v>
      </c>
      <c r="X78">
        <v>1489638031</v>
      </c>
      <c r="Y78">
        <f t="shared" si="35"/>
        <v>-2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1</v>
      </c>
      <c r="AJ78">
        <v>1</v>
      </c>
      <c r="AK78">
        <v>1</v>
      </c>
      <c r="AL78">
        <v>1</v>
      </c>
      <c r="AN78">
        <v>0</v>
      </c>
      <c r="AO78">
        <v>1</v>
      </c>
      <c r="AP78">
        <v>0</v>
      </c>
      <c r="AQ78">
        <v>0</v>
      </c>
      <c r="AR78">
        <v>0</v>
      </c>
      <c r="AS78" t="s">
        <v>3</v>
      </c>
      <c r="AT78">
        <v>-2</v>
      </c>
      <c r="AU78" t="s">
        <v>3</v>
      </c>
      <c r="AV78">
        <v>0</v>
      </c>
      <c r="AW78">
        <v>2</v>
      </c>
      <c r="AX78">
        <v>129763258</v>
      </c>
      <c r="AY78">
        <v>1</v>
      </c>
      <c r="AZ78">
        <v>6144</v>
      </c>
      <c r="BA78">
        <v>80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ROUND(Y78*Source!I160,9)</f>
        <v>-12.4</v>
      </c>
      <c r="CY78">
        <f>AA78</f>
        <v>0</v>
      </c>
      <c r="CZ78">
        <f>AE78</f>
        <v>0</v>
      </c>
      <c r="DA78">
        <f>AI78</f>
        <v>1</v>
      </c>
      <c r="DB78">
        <f t="shared" si="36"/>
        <v>0</v>
      </c>
      <c r="DC78">
        <f t="shared" si="37"/>
        <v>0</v>
      </c>
      <c r="DD78" t="s">
        <v>3</v>
      </c>
      <c r="DE78" t="s">
        <v>3</v>
      </c>
      <c r="DF78">
        <f t="shared" si="38"/>
        <v>0</v>
      </c>
      <c r="DG78">
        <f t="shared" si="33"/>
        <v>0</v>
      </c>
      <c r="DH78">
        <f t="shared" si="34"/>
        <v>0</v>
      </c>
      <c r="DI78">
        <f t="shared" si="32"/>
        <v>0</v>
      </c>
      <c r="DJ78">
        <f>DF78</f>
        <v>0</v>
      </c>
      <c r="DK78">
        <v>0</v>
      </c>
    </row>
    <row r="79" spans="1:115" x14ac:dyDescent="0.2">
      <c r="A79">
        <f>ROW(Source!A161)</f>
        <v>161</v>
      </c>
      <c r="B79">
        <v>129761633</v>
      </c>
      <c r="C79">
        <v>129763254</v>
      </c>
      <c r="D79">
        <v>37345142</v>
      </c>
      <c r="E79">
        <v>37345137</v>
      </c>
      <c r="F79">
        <v>1</v>
      </c>
      <c r="G79">
        <v>37345137</v>
      </c>
      <c r="H79">
        <v>1</v>
      </c>
      <c r="I79" t="s">
        <v>1096</v>
      </c>
      <c r="J79" t="s">
        <v>3</v>
      </c>
      <c r="K79" t="s">
        <v>1097</v>
      </c>
      <c r="L79">
        <v>1191</v>
      </c>
      <c r="N79">
        <v>1013</v>
      </c>
      <c r="O79" t="s">
        <v>1098</v>
      </c>
      <c r="P79" t="s">
        <v>1098</v>
      </c>
      <c r="Q79">
        <v>1</v>
      </c>
      <c r="W79">
        <v>0</v>
      </c>
      <c r="X79">
        <v>476480486</v>
      </c>
      <c r="Y79">
        <f t="shared" si="35"/>
        <v>15.88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1</v>
      </c>
      <c r="AJ79">
        <v>1</v>
      </c>
      <c r="AK79">
        <v>1</v>
      </c>
      <c r="AL79">
        <v>1</v>
      </c>
      <c r="AN79">
        <v>0</v>
      </c>
      <c r="AO79">
        <v>1</v>
      </c>
      <c r="AP79">
        <v>0</v>
      </c>
      <c r="AQ79">
        <v>0</v>
      </c>
      <c r="AR79">
        <v>0</v>
      </c>
      <c r="AS79" t="s">
        <v>3</v>
      </c>
      <c r="AT79">
        <v>15.88</v>
      </c>
      <c r="AU79" t="s">
        <v>3</v>
      </c>
      <c r="AV79">
        <v>1</v>
      </c>
      <c r="AW79">
        <v>2</v>
      </c>
      <c r="AX79">
        <v>129763257</v>
      </c>
      <c r="AY79">
        <v>1</v>
      </c>
      <c r="AZ79">
        <v>0</v>
      </c>
      <c r="BA79">
        <v>81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ROUND(Y79*Source!I161,9)</f>
        <v>98.456000000000003</v>
      </c>
      <c r="CY79">
        <f>AD79</f>
        <v>0</v>
      </c>
      <c r="CZ79">
        <f>AH79</f>
        <v>0</v>
      </c>
      <c r="DA79">
        <f>AL79</f>
        <v>1</v>
      </c>
      <c r="DB79">
        <f t="shared" si="36"/>
        <v>0</v>
      </c>
      <c r="DC79">
        <f t="shared" si="37"/>
        <v>0</v>
      </c>
      <c r="DD79" t="s">
        <v>3</v>
      </c>
      <c r="DE79" t="s">
        <v>3</v>
      </c>
      <c r="DF79">
        <f t="shared" si="38"/>
        <v>0</v>
      </c>
      <c r="DG79">
        <f t="shared" si="33"/>
        <v>0</v>
      </c>
      <c r="DH79">
        <f t="shared" si="34"/>
        <v>0</v>
      </c>
      <c r="DI79">
        <f t="shared" si="32"/>
        <v>0</v>
      </c>
      <c r="DJ79">
        <f>DI79</f>
        <v>0</v>
      </c>
      <c r="DK79">
        <v>0</v>
      </c>
    </row>
    <row r="80" spans="1:115" x14ac:dyDescent="0.2">
      <c r="A80">
        <f>ROW(Source!A161)</f>
        <v>161</v>
      </c>
      <c r="B80">
        <v>129761633</v>
      </c>
      <c r="C80">
        <v>129763254</v>
      </c>
      <c r="D80">
        <v>37367068</v>
      </c>
      <c r="E80">
        <v>37345137</v>
      </c>
      <c r="F80">
        <v>1</v>
      </c>
      <c r="G80">
        <v>37345137</v>
      </c>
      <c r="H80">
        <v>3</v>
      </c>
      <c r="I80" t="s">
        <v>162</v>
      </c>
      <c r="J80" t="s">
        <v>3</v>
      </c>
      <c r="K80" t="s">
        <v>163</v>
      </c>
      <c r="L80">
        <v>1348</v>
      </c>
      <c r="N80">
        <v>1009</v>
      </c>
      <c r="O80" t="s">
        <v>114</v>
      </c>
      <c r="P80" t="s">
        <v>114</v>
      </c>
      <c r="Q80">
        <v>1000</v>
      </c>
      <c r="W80">
        <v>1</v>
      </c>
      <c r="X80">
        <v>1489638031</v>
      </c>
      <c r="Y80">
        <f t="shared" si="35"/>
        <v>-2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8.65</v>
      </c>
      <c r="AJ80">
        <v>1</v>
      </c>
      <c r="AK80">
        <v>1</v>
      </c>
      <c r="AL80">
        <v>1</v>
      </c>
      <c r="AN80">
        <v>0</v>
      </c>
      <c r="AO80">
        <v>1</v>
      </c>
      <c r="AP80">
        <v>0</v>
      </c>
      <c r="AQ80">
        <v>0</v>
      </c>
      <c r="AR80">
        <v>0</v>
      </c>
      <c r="AS80" t="s">
        <v>3</v>
      </c>
      <c r="AT80">
        <v>-2</v>
      </c>
      <c r="AU80" t="s">
        <v>3</v>
      </c>
      <c r="AV80">
        <v>0</v>
      </c>
      <c r="AW80">
        <v>2</v>
      </c>
      <c r="AX80">
        <v>129763258</v>
      </c>
      <c r="AY80">
        <v>1</v>
      </c>
      <c r="AZ80">
        <v>6144</v>
      </c>
      <c r="BA80">
        <v>82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ROUND(Y80*Source!I161,9)</f>
        <v>-12.4</v>
      </c>
      <c r="CY80">
        <f>AA80</f>
        <v>0</v>
      </c>
      <c r="CZ80">
        <f>AE80</f>
        <v>0</v>
      </c>
      <c r="DA80">
        <f>AI80</f>
        <v>8.65</v>
      </c>
      <c r="DB80">
        <f t="shared" si="36"/>
        <v>0</v>
      </c>
      <c r="DC80">
        <f t="shared" si="37"/>
        <v>0</v>
      </c>
      <c r="DD80" t="s">
        <v>3</v>
      </c>
      <c r="DE80" t="s">
        <v>3</v>
      </c>
      <c r="DF80">
        <f>ROUND(ROUND(AE80*CX80,2)*AI80,2)</f>
        <v>0</v>
      </c>
      <c r="DG80">
        <f t="shared" si="33"/>
        <v>0</v>
      </c>
      <c r="DH80">
        <f t="shared" si="34"/>
        <v>0</v>
      </c>
      <c r="DI80">
        <f t="shared" si="32"/>
        <v>0</v>
      </c>
      <c r="DJ80">
        <f>DF80</f>
        <v>0</v>
      </c>
      <c r="DK80">
        <v>0</v>
      </c>
    </row>
    <row r="81" spans="1:115" x14ac:dyDescent="0.2">
      <c r="A81">
        <f>ROW(Source!A164)</f>
        <v>164</v>
      </c>
      <c r="B81">
        <v>129761636</v>
      </c>
      <c r="C81">
        <v>129763260</v>
      </c>
      <c r="D81">
        <v>37345142</v>
      </c>
      <c r="E81">
        <v>37345137</v>
      </c>
      <c r="F81">
        <v>1</v>
      </c>
      <c r="G81">
        <v>37345137</v>
      </c>
      <c r="H81">
        <v>1</v>
      </c>
      <c r="I81" t="s">
        <v>1096</v>
      </c>
      <c r="J81" t="s">
        <v>3</v>
      </c>
      <c r="K81" t="s">
        <v>1097</v>
      </c>
      <c r="L81">
        <v>1191</v>
      </c>
      <c r="N81">
        <v>1013</v>
      </c>
      <c r="O81" t="s">
        <v>1098</v>
      </c>
      <c r="P81" t="s">
        <v>1098</v>
      </c>
      <c r="Q81">
        <v>1</v>
      </c>
      <c r="W81">
        <v>0</v>
      </c>
      <c r="X81">
        <v>476480486</v>
      </c>
      <c r="Y81">
        <f t="shared" si="35"/>
        <v>13.32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1</v>
      </c>
      <c r="AJ81">
        <v>1</v>
      </c>
      <c r="AK81">
        <v>1</v>
      </c>
      <c r="AL81">
        <v>1</v>
      </c>
      <c r="AN81">
        <v>0</v>
      </c>
      <c r="AO81">
        <v>1</v>
      </c>
      <c r="AP81">
        <v>0</v>
      </c>
      <c r="AQ81">
        <v>0</v>
      </c>
      <c r="AR81">
        <v>0</v>
      </c>
      <c r="AS81" t="s">
        <v>3</v>
      </c>
      <c r="AT81">
        <v>13.32</v>
      </c>
      <c r="AU81" t="s">
        <v>3</v>
      </c>
      <c r="AV81">
        <v>1</v>
      </c>
      <c r="AW81">
        <v>2</v>
      </c>
      <c r="AX81">
        <v>129763264</v>
      </c>
      <c r="AY81">
        <v>1</v>
      </c>
      <c r="AZ81">
        <v>0</v>
      </c>
      <c r="BA81">
        <v>83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ROUND(Y81*Source!I164,9)</f>
        <v>99.9</v>
      </c>
      <c r="CY81">
        <f>AD81</f>
        <v>0</v>
      </c>
      <c r="CZ81">
        <f>AH81</f>
        <v>0</v>
      </c>
      <c r="DA81">
        <f>AL81</f>
        <v>1</v>
      </c>
      <c r="DB81">
        <f t="shared" si="36"/>
        <v>0</v>
      </c>
      <c r="DC81">
        <f t="shared" si="37"/>
        <v>0</v>
      </c>
      <c r="DD81" t="s">
        <v>3</v>
      </c>
      <c r="DE81" t="s">
        <v>3</v>
      </c>
      <c r="DF81">
        <f>ROUND(AE81*CX81,2)</f>
        <v>0</v>
      </c>
      <c r="DG81">
        <f t="shared" si="33"/>
        <v>0</v>
      </c>
      <c r="DH81">
        <f t="shared" si="34"/>
        <v>0</v>
      </c>
      <c r="DI81">
        <f t="shared" si="32"/>
        <v>0</v>
      </c>
      <c r="DJ81">
        <f>DI81</f>
        <v>0</v>
      </c>
      <c r="DK81">
        <v>0</v>
      </c>
    </row>
    <row r="82" spans="1:115" x14ac:dyDescent="0.2">
      <c r="A82">
        <f>ROW(Source!A164)</f>
        <v>164</v>
      </c>
      <c r="B82">
        <v>129761636</v>
      </c>
      <c r="C82">
        <v>129763260</v>
      </c>
      <c r="D82">
        <v>37345890</v>
      </c>
      <c r="E82">
        <v>37345137</v>
      </c>
      <c r="F82">
        <v>1</v>
      </c>
      <c r="G82">
        <v>37345137</v>
      </c>
      <c r="H82">
        <v>2</v>
      </c>
      <c r="I82" t="s">
        <v>1145</v>
      </c>
      <c r="J82" t="s">
        <v>3</v>
      </c>
      <c r="K82" t="s">
        <v>1146</v>
      </c>
      <c r="L82">
        <v>1344</v>
      </c>
      <c r="N82">
        <v>1008</v>
      </c>
      <c r="O82" t="s">
        <v>1138</v>
      </c>
      <c r="P82" t="s">
        <v>1138</v>
      </c>
      <c r="Q82">
        <v>1</v>
      </c>
      <c r="W82">
        <v>0</v>
      </c>
      <c r="X82">
        <v>-1180195794</v>
      </c>
      <c r="Y82">
        <f t="shared" si="35"/>
        <v>323.45</v>
      </c>
      <c r="AA82">
        <v>0</v>
      </c>
      <c r="AB82">
        <v>1</v>
      </c>
      <c r="AC82">
        <v>0</v>
      </c>
      <c r="AD82">
        <v>0</v>
      </c>
      <c r="AE82">
        <v>0</v>
      </c>
      <c r="AF82">
        <v>1</v>
      </c>
      <c r="AG82">
        <v>0</v>
      </c>
      <c r="AH82">
        <v>0</v>
      </c>
      <c r="AI82">
        <v>1</v>
      </c>
      <c r="AJ82">
        <v>1</v>
      </c>
      <c r="AK82">
        <v>1</v>
      </c>
      <c r="AL82">
        <v>1</v>
      </c>
      <c r="AN82">
        <v>0</v>
      </c>
      <c r="AO82">
        <v>1</v>
      </c>
      <c r="AP82">
        <v>0</v>
      </c>
      <c r="AQ82">
        <v>0</v>
      </c>
      <c r="AR82">
        <v>0</v>
      </c>
      <c r="AS82" t="s">
        <v>3</v>
      </c>
      <c r="AT82">
        <v>323.45</v>
      </c>
      <c r="AU82" t="s">
        <v>3</v>
      </c>
      <c r="AV82">
        <v>0</v>
      </c>
      <c r="AW82">
        <v>2</v>
      </c>
      <c r="AX82">
        <v>129763265</v>
      </c>
      <c r="AY82">
        <v>1</v>
      </c>
      <c r="AZ82">
        <v>0</v>
      </c>
      <c r="BA82">
        <v>84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ROUND(Y82*Source!I164,9)</f>
        <v>2425.875</v>
      </c>
      <c r="CY82">
        <f>AB82</f>
        <v>1</v>
      </c>
      <c r="CZ82">
        <f>AF82</f>
        <v>1</v>
      </c>
      <c r="DA82">
        <f>AJ82</f>
        <v>1</v>
      </c>
      <c r="DB82">
        <f t="shared" si="36"/>
        <v>323.45</v>
      </c>
      <c r="DC82">
        <f t="shared" si="37"/>
        <v>0</v>
      </c>
      <c r="DD82" t="s">
        <v>3</v>
      </c>
      <c r="DE82" t="s">
        <v>3</v>
      </c>
      <c r="DF82">
        <f>ROUND(AE82*CX82,2)</f>
        <v>0</v>
      </c>
      <c r="DG82">
        <f t="shared" si="33"/>
        <v>2425.88</v>
      </c>
      <c r="DH82">
        <f t="shared" si="34"/>
        <v>0</v>
      </c>
      <c r="DI82">
        <f t="shared" si="32"/>
        <v>0</v>
      </c>
      <c r="DJ82">
        <f>DG82</f>
        <v>2425.88</v>
      </c>
      <c r="DK82">
        <v>0</v>
      </c>
    </row>
    <row r="83" spans="1:115" x14ac:dyDescent="0.2">
      <c r="A83">
        <f>ROW(Source!A164)</f>
        <v>164</v>
      </c>
      <c r="B83">
        <v>129761636</v>
      </c>
      <c r="C83">
        <v>129763260</v>
      </c>
      <c r="D83">
        <v>37367068</v>
      </c>
      <c r="E83">
        <v>37345137</v>
      </c>
      <c r="F83">
        <v>1</v>
      </c>
      <c r="G83">
        <v>37345137</v>
      </c>
      <c r="H83">
        <v>3</v>
      </c>
      <c r="I83" t="s">
        <v>162</v>
      </c>
      <c r="J83" t="s">
        <v>3</v>
      </c>
      <c r="K83" t="s">
        <v>163</v>
      </c>
      <c r="L83">
        <v>1348</v>
      </c>
      <c r="N83">
        <v>1009</v>
      </c>
      <c r="O83" t="s">
        <v>114</v>
      </c>
      <c r="P83" t="s">
        <v>114</v>
      </c>
      <c r="Q83">
        <v>1000</v>
      </c>
      <c r="W83">
        <v>1</v>
      </c>
      <c r="X83">
        <v>1489638031</v>
      </c>
      <c r="Y83">
        <f t="shared" si="35"/>
        <v>-2.5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1</v>
      </c>
      <c r="AJ83">
        <v>1</v>
      </c>
      <c r="AK83">
        <v>1</v>
      </c>
      <c r="AL83">
        <v>1</v>
      </c>
      <c r="AN83">
        <v>0</v>
      </c>
      <c r="AO83">
        <v>1</v>
      </c>
      <c r="AP83">
        <v>0</v>
      </c>
      <c r="AQ83">
        <v>0</v>
      </c>
      <c r="AR83">
        <v>0</v>
      </c>
      <c r="AS83" t="s">
        <v>3</v>
      </c>
      <c r="AT83">
        <v>-2.5</v>
      </c>
      <c r="AU83" t="s">
        <v>3</v>
      </c>
      <c r="AV83">
        <v>0</v>
      </c>
      <c r="AW83">
        <v>2</v>
      </c>
      <c r="AX83">
        <v>129763266</v>
      </c>
      <c r="AY83">
        <v>1</v>
      </c>
      <c r="AZ83">
        <v>6144</v>
      </c>
      <c r="BA83">
        <v>85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ROUND(Y83*Source!I164,9)</f>
        <v>-18.75</v>
      </c>
      <c r="CY83">
        <f>AA83</f>
        <v>0</v>
      </c>
      <c r="CZ83">
        <f>AE83</f>
        <v>0</v>
      </c>
      <c r="DA83">
        <f>AI83</f>
        <v>1</v>
      </c>
      <c r="DB83">
        <f t="shared" si="36"/>
        <v>0</v>
      </c>
      <c r="DC83">
        <f t="shared" si="37"/>
        <v>0</v>
      </c>
      <c r="DD83" t="s">
        <v>3</v>
      </c>
      <c r="DE83" t="s">
        <v>3</v>
      </c>
      <c r="DF83">
        <f>ROUND(AE83*CX83,2)</f>
        <v>0</v>
      </c>
      <c r="DG83">
        <f t="shared" si="33"/>
        <v>0</v>
      </c>
      <c r="DH83">
        <f t="shared" si="34"/>
        <v>0</v>
      </c>
      <c r="DI83">
        <f t="shared" si="32"/>
        <v>0</v>
      </c>
      <c r="DJ83">
        <f>DF83</f>
        <v>0</v>
      </c>
      <c r="DK83">
        <v>0</v>
      </c>
    </row>
    <row r="84" spans="1:115" x14ac:dyDescent="0.2">
      <c r="A84">
        <f>ROW(Source!A165)</f>
        <v>165</v>
      </c>
      <c r="B84">
        <v>129761633</v>
      </c>
      <c r="C84">
        <v>129763260</v>
      </c>
      <c r="D84">
        <v>37345142</v>
      </c>
      <c r="E84">
        <v>37345137</v>
      </c>
      <c r="F84">
        <v>1</v>
      </c>
      <c r="G84">
        <v>37345137</v>
      </c>
      <c r="H84">
        <v>1</v>
      </c>
      <c r="I84" t="s">
        <v>1096</v>
      </c>
      <c r="J84" t="s">
        <v>3</v>
      </c>
      <c r="K84" t="s">
        <v>1097</v>
      </c>
      <c r="L84">
        <v>1191</v>
      </c>
      <c r="N84">
        <v>1013</v>
      </c>
      <c r="O84" t="s">
        <v>1098</v>
      </c>
      <c r="P84" t="s">
        <v>1098</v>
      </c>
      <c r="Q84">
        <v>1</v>
      </c>
      <c r="W84">
        <v>0</v>
      </c>
      <c r="X84">
        <v>476480486</v>
      </c>
      <c r="Y84">
        <f t="shared" si="35"/>
        <v>13.32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1</v>
      </c>
      <c r="AJ84">
        <v>1</v>
      </c>
      <c r="AK84">
        <v>1</v>
      </c>
      <c r="AL84">
        <v>1</v>
      </c>
      <c r="AN84">
        <v>0</v>
      </c>
      <c r="AO84">
        <v>1</v>
      </c>
      <c r="AP84">
        <v>0</v>
      </c>
      <c r="AQ84">
        <v>0</v>
      </c>
      <c r="AR84">
        <v>0</v>
      </c>
      <c r="AS84" t="s">
        <v>3</v>
      </c>
      <c r="AT84">
        <v>13.32</v>
      </c>
      <c r="AU84" t="s">
        <v>3</v>
      </c>
      <c r="AV84">
        <v>1</v>
      </c>
      <c r="AW84">
        <v>2</v>
      </c>
      <c r="AX84">
        <v>129763264</v>
      </c>
      <c r="AY84">
        <v>1</v>
      </c>
      <c r="AZ84">
        <v>0</v>
      </c>
      <c r="BA84">
        <v>86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ROUND(Y84*Source!I165,9)</f>
        <v>99.9</v>
      </c>
      <c r="CY84">
        <f>AD84</f>
        <v>0</v>
      </c>
      <c r="CZ84">
        <f>AH84</f>
        <v>0</v>
      </c>
      <c r="DA84">
        <f>AL84</f>
        <v>1</v>
      </c>
      <c r="DB84">
        <f t="shared" si="36"/>
        <v>0</v>
      </c>
      <c r="DC84">
        <f t="shared" si="37"/>
        <v>0</v>
      </c>
      <c r="DD84" t="s">
        <v>3</v>
      </c>
      <c r="DE84" t="s">
        <v>3</v>
      </c>
      <c r="DF84">
        <f>ROUND(AE84*CX84,2)</f>
        <v>0</v>
      </c>
      <c r="DG84">
        <f t="shared" si="33"/>
        <v>0</v>
      </c>
      <c r="DH84">
        <f t="shared" si="34"/>
        <v>0</v>
      </c>
      <c r="DI84">
        <f t="shared" si="32"/>
        <v>0</v>
      </c>
      <c r="DJ84">
        <f>DI84</f>
        <v>0</v>
      </c>
      <c r="DK84">
        <v>0</v>
      </c>
    </row>
    <row r="85" spans="1:115" x14ac:dyDescent="0.2">
      <c r="A85">
        <f>ROW(Source!A165)</f>
        <v>165</v>
      </c>
      <c r="B85">
        <v>129761633</v>
      </c>
      <c r="C85">
        <v>129763260</v>
      </c>
      <c r="D85">
        <v>37345890</v>
      </c>
      <c r="E85">
        <v>37345137</v>
      </c>
      <c r="F85">
        <v>1</v>
      </c>
      <c r="G85">
        <v>37345137</v>
      </c>
      <c r="H85">
        <v>2</v>
      </c>
      <c r="I85" t="s">
        <v>1145</v>
      </c>
      <c r="J85" t="s">
        <v>3</v>
      </c>
      <c r="K85" t="s">
        <v>1146</v>
      </c>
      <c r="L85">
        <v>1344</v>
      </c>
      <c r="N85">
        <v>1008</v>
      </c>
      <c r="O85" t="s">
        <v>1138</v>
      </c>
      <c r="P85" t="s">
        <v>1138</v>
      </c>
      <c r="Q85">
        <v>1</v>
      </c>
      <c r="W85">
        <v>0</v>
      </c>
      <c r="X85">
        <v>-1180195794</v>
      </c>
      <c r="Y85">
        <f t="shared" si="35"/>
        <v>323.45</v>
      </c>
      <c r="AA85">
        <v>0</v>
      </c>
      <c r="AB85">
        <v>1.05</v>
      </c>
      <c r="AC85">
        <v>0</v>
      </c>
      <c r="AD85">
        <v>0</v>
      </c>
      <c r="AE85">
        <v>0</v>
      </c>
      <c r="AF85">
        <v>1</v>
      </c>
      <c r="AG85">
        <v>0</v>
      </c>
      <c r="AH85">
        <v>0</v>
      </c>
      <c r="AI85">
        <v>1</v>
      </c>
      <c r="AJ85">
        <v>1</v>
      </c>
      <c r="AK85">
        <v>1</v>
      </c>
      <c r="AL85">
        <v>1</v>
      </c>
      <c r="AN85">
        <v>0</v>
      </c>
      <c r="AO85">
        <v>1</v>
      </c>
      <c r="AP85">
        <v>0</v>
      </c>
      <c r="AQ85">
        <v>0</v>
      </c>
      <c r="AR85">
        <v>0</v>
      </c>
      <c r="AS85" t="s">
        <v>3</v>
      </c>
      <c r="AT85">
        <v>323.45</v>
      </c>
      <c r="AU85" t="s">
        <v>3</v>
      </c>
      <c r="AV85">
        <v>0</v>
      </c>
      <c r="AW85">
        <v>2</v>
      </c>
      <c r="AX85">
        <v>129763265</v>
      </c>
      <c r="AY85">
        <v>1</v>
      </c>
      <c r="AZ85">
        <v>0</v>
      </c>
      <c r="BA85">
        <v>87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ROUND(Y85*Source!I165,9)</f>
        <v>2425.875</v>
      </c>
      <c r="CY85">
        <f>AB85</f>
        <v>1.05</v>
      </c>
      <c r="CZ85">
        <f>AF85</f>
        <v>1</v>
      </c>
      <c r="DA85">
        <f>AJ85</f>
        <v>1</v>
      </c>
      <c r="DB85">
        <f t="shared" si="36"/>
        <v>323.45</v>
      </c>
      <c r="DC85">
        <f t="shared" si="37"/>
        <v>0</v>
      </c>
      <c r="DD85" t="s">
        <v>3</v>
      </c>
      <c r="DE85" t="s">
        <v>3</v>
      </c>
      <c r="DF85">
        <f>ROUND(AE85*CX85,2)</f>
        <v>0</v>
      </c>
      <c r="DG85">
        <f t="shared" si="33"/>
        <v>2425.88</v>
      </c>
      <c r="DH85">
        <f t="shared" si="34"/>
        <v>0</v>
      </c>
      <c r="DI85">
        <f t="shared" si="32"/>
        <v>0</v>
      </c>
      <c r="DJ85">
        <f>DG85</f>
        <v>2425.88</v>
      </c>
      <c r="DK85">
        <v>0</v>
      </c>
    </row>
    <row r="86" spans="1:115" x14ac:dyDescent="0.2">
      <c r="A86">
        <f>ROW(Source!A165)</f>
        <v>165</v>
      </c>
      <c r="B86">
        <v>129761633</v>
      </c>
      <c r="C86">
        <v>129763260</v>
      </c>
      <c r="D86">
        <v>37367068</v>
      </c>
      <c r="E86">
        <v>37345137</v>
      </c>
      <c r="F86">
        <v>1</v>
      </c>
      <c r="G86">
        <v>37345137</v>
      </c>
      <c r="H86">
        <v>3</v>
      </c>
      <c r="I86" t="s">
        <v>162</v>
      </c>
      <c r="J86" t="s">
        <v>3</v>
      </c>
      <c r="K86" t="s">
        <v>163</v>
      </c>
      <c r="L86">
        <v>1348</v>
      </c>
      <c r="N86">
        <v>1009</v>
      </c>
      <c r="O86" t="s">
        <v>114</v>
      </c>
      <c r="P86" t="s">
        <v>114</v>
      </c>
      <c r="Q86">
        <v>1000</v>
      </c>
      <c r="W86">
        <v>1</v>
      </c>
      <c r="X86">
        <v>1489638031</v>
      </c>
      <c r="Y86">
        <f t="shared" si="35"/>
        <v>-2.5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8.65</v>
      </c>
      <c r="AJ86">
        <v>1</v>
      </c>
      <c r="AK86">
        <v>1</v>
      </c>
      <c r="AL86">
        <v>1</v>
      </c>
      <c r="AN86">
        <v>0</v>
      </c>
      <c r="AO86">
        <v>1</v>
      </c>
      <c r="AP86">
        <v>0</v>
      </c>
      <c r="AQ86">
        <v>0</v>
      </c>
      <c r="AR86">
        <v>0</v>
      </c>
      <c r="AS86" t="s">
        <v>3</v>
      </c>
      <c r="AT86">
        <v>-2.5</v>
      </c>
      <c r="AU86" t="s">
        <v>3</v>
      </c>
      <c r="AV86">
        <v>0</v>
      </c>
      <c r="AW86">
        <v>2</v>
      </c>
      <c r="AX86">
        <v>129763266</v>
      </c>
      <c r="AY86">
        <v>1</v>
      </c>
      <c r="AZ86">
        <v>6144</v>
      </c>
      <c r="BA86">
        <v>88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ROUND(Y86*Source!I165,9)</f>
        <v>-18.75</v>
      </c>
      <c r="CY86">
        <f>AA86</f>
        <v>0</v>
      </c>
      <c r="CZ86">
        <f>AE86</f>
        <v>0</v>
      </c>
      <c r="DA86">
        <f>AI86</f>
        <v>8.65</v>
      </c>
      <c r="DB86">
        <f t="shared" si="36"/>
        <v>0</v>
      </c>
      <c r="DC86">
        <f t="shared" si="37"/>
        <v>0</v>
      </c>
      <c r="DD86" t="s">
        <v>3</v>
      </c>
      <c r="DE86" t="s">
        <v>3</v>
      </c>
      <c r="DF86">
        <f>ROUND(ROUND(AE86*CX86,2)*AI86,2)</f>
        <v>0</v>
      </c>
      <c r="DG86">
        <f t="shared" si="33"/>
        <v>0</v>
      </c>
      <c r="DH86">
        <f t="shared" si="34"/>
        <v>0</v>
      </c>
      <c r="DI86">
        <f t="shared" si="32"/>
        <v>0</v>
      </c>
      <c r="DJ86">
        <f>DF86</f>
        <v>0</v>
      </c>
      <c r="DK86">
        <v>0</v>
      </c>
    </row>
    <row r="87" spans="1:115" x14ac:dyDescent="0.2">
      <c r="A87">
        <f>ROW(Source!A168)</f>
        <v>168</v>
      </c>
      <c r="B87">
        <v>129761636</v>
      </c>
      <c r="C87">
        <v>129763268</v>
      </c>
      <c r="D87">
        <v>37345142</v>
      </c>
      <c r="E87">
        <v>37345137</v>
      </c>
      <c r="F87">
        <v>1</v>
      </c>
      <c r="G87">
        <v>37345137</v>
      </c>
      <c r="H87">
        <v>1</v>
      </c>
      <c r="I87" t="s">
        <v>1096</v>
      </c>
      <c r="J87" t="s">
        <v>3</v>
      </c>
      <c r="K87" t="s">
        <v>1097</v>
      </c>
      <c r="L87">
        <v>1191</v>
      </c>
      <c r="N87">
        <v>1013</v>
      </c>
      <c r="O87" t="s">
        <v>1098</v>
      </c>
      <c r="P87" t="s">
        <v>1098</v>
      </c>
      <c r="Q87">
        <v>1</v>
      </c>
      <c r="W87">
        <v>0</v>
      </c>
      <c r="X87">
        <v>476480486</v>
      </c>
      <c r="Y87">
        <f t="shared" si="35"/>
        <v>47.3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1</v>
      </c>
      <c r="AJ87">
        <v>1</v>
      </c>
      <c r="AK87">
        <v>1</v>
      </c>
      <c r="AL87">
        <v>1</v>
      </c>
      <c r="AN87">
        <v>0</v>
      </c>
      <c r="AO87">
        <v>1</v>
      </c>
      <c r="AP87">
        <v>0</v>
      </c>
      <c r="AQ87">
        <v>0</v>
      </c>
      <c r="AR87">
        <v>0</v>
      </c>
      <c r="AS87" t="s">
        <v>3</v>
      </c>
      <c r="AT87">
        <v>47.3</v>
      </c>
      <c r="AU87" t="s">
        <v>3</v>
      </c>
      <c r="AV87">
        <v>1</v>
      </c>
      <c r="AW87">
        <v>2</v>
      </c>
      <c r="AX87">
        <v>129763272</v>
      </c>
      <c r="AY87">
        <v>1</v>
      </c>
      <c r="AZ87">
        <v>0</v>
      </c>
      <c r="BA87">
        <v>89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ROUND(Y87*Source!I168,9)</f>
        <v>0.47299999999999998</v>
      </c>
      <c r="CY87">
        <f>AD87</f>
        <v>0</v>
      </c>
      <c r="CZ87">
        <f>AH87</f>
        <v>0</v>
      </c>
      <c r="DA87">
        <f>AL87</f>
        <v>1</v>
      </c>
      <c r="DB87">
        <f t="shared" si="36"/>
        <v>0</v>
      </c>
      <c r="DC87">
        <f t="shared" si="37"/>
        <v>0</v>
      </c>
      <c r="DD87" t="s">
        <v>3</v>
      </c>
      <c r="DE87" t="s">
        <v>3</v>
      </c>
      <c r="DF87">
        <f>ROUND(AE87*CX87,2)</f>
        <v>0</v>
      </c>
      <c r="DG87">
        <f t="shared" si="33"/>
        <v>0</v>
      </c>
      <c r="DH87">
        <f t="shared" si="34"/>
        <v>0</v>
      </c>
      <c r="DI87">
        <f t="shared" si="32"/>
        <v>0</v>
      </c>
      <c r="DJ87">
        <f>DI87</f>
        <v>0</v>
      </c>
      <c r="DK87">
        <v>0</v>
      </c>
    </row>
    <row r="88" spans="1:115" x14ac:dyDescent="0.2">
      <c r="A88">
        <f>ROW(Source!A168)</f>
        <v>168</v>
      </c>
      <c r="B88">
        <v>129761636</v>
      </c>
      <c r="C88">
        <v>129763268</v>
      </c>
      <c r="D88">
        <v>37345890</v>
      </c>
      <c r="E88">
        <v>37345137</v>
      </c>
      <c r="F88">
        <v>1</v>
      </c>
      <c r="G88">
        <v>37345137</v>
      </c>
      <c r="H88">
        <v>2</v>
      </c>
      <c r="I88" t="s">
        <v>1145</v>
      </c>
      <c r="J88" t="s">
        <v>3</v>
      </c>
      <c r="K88" t="s">
        <v>1146</v>
      </c>
      <c r="L88">
        <v>1344</v>
      </c>
      <c r="N88">
        <v>1008</v>
      </c>
      <c r="O88" t="s">
        <v>1138</v>
      </c>
      <c r="P88" t="s">
        <v>1138</v>
      </c>
      <c r="Q88">
        <v>1</v>
      </c>
      <c r="W88">
        <v>0</v>
      </c>
      <c r="X88">
        <v>-1180195794</v>
      </c>
      <c r="Y88">
        <f t="shared" si="35"/>
        <v>203.98</v>
      </c>
      <c r="AA88">
        <v>0</v>
      </c>
      <c r="AB88">
        <v>1</v>
      </c>
      <c r="AC88">
        <v>0</v>
      </c>
      <c r="AD88">
        <v>0</v>
      </c>
      <c r="AE88">
        <v>0</v>
      </c>
      <c r="AF88">
        <v>1</v>
      </c>
      <c r="AG88">
        <v>0</v>
      </c>
      <c r="AH88">
        <v>0</v>
      </c>
      <c r="AI88">
        <v>1</v>
      </c>
      <c r="AJ88">
        <v>1</v>
      </c>
      <c r="AK88">
        <v>1</v>
      </c>
      <c r="AL88">
        <v>1</v>
      </c>
      <c r="AN88">
        <v>0</v>
      </c>
      <c r="AO88">
        <v>1</v>
      </c>
      <c r="AP88">
        <v>0</v>
      </c>
      <c r="AQ88">
        <v>0</v>
      </c>
      <c r="AR88">
        <v>0</v>
      </c>
      <c r="AS88" t="s">
        <v>3</v>
      </c>
      <c r="AT88">
        <v>203.98</v>
      </c>
      <c r="AU88" t="s">
        <v>3</v>
      </c>
      <c r="AV88">
        <v>0</v>
      </c>
      <c r="AW88">
        <v>2</v>
      </c>
      <c r="AX88">
        <v>129763273</v>
      </c>
      <c r="AY88">
        <v>1</v>
      </c>
      <c r="AZ88">
        <v>0</v>
      </c>
      <c r="BA88">
        <v>90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ROUND(Y88*Source!I168,9)</f>
        <v>2.0398000000000001</v>
      </c>
      <c r="CY88">
        <f>AB88</f>
        <v>1</v>
      </c>
      <c r="CZ88">
        <f>AF88</f>
        <v>1</v>
      </c>
      <c r="DA88">
        <f>AJ88</f>
        <v>1</v>
      </c>
      <c r="DB88">
        <f t="shared" si="36"/>
        <v>203.98</v>
      </c>
      <c r="DC88">
        <f t="shared" si="37"/>
        <v>0</v>
      </c>
      <c r="DD88" t="s">
        <v>3</v>
      </c>
      <c r="DE88" t="s">
        <v>3</v>
      </c>
      <c r="DF88">
        <f>ROUND(AE88*CX88,2)</f>
        <v>0</v>
      </c>
      <c r="DG88">
        <f t="shared" si="33"/>
        <v>2.04</v>
      </c>
      <c r="DH88">
        <f t="shared" si="34"/>
        <v>0</v>
      </c>
      <c r="DI88">
        <f t="shared" si="32"/>
        <v>0</v>
      </c>
      <c r="DJ88">
        <f>DG88</f>
        <v>2.04</v>
      </c>
      <c r="DK88">
        <v>0</v>
      </c>
    </row>
    <row r="89" spans="1:115" x14ac:dyDescent="0.2">
      <c r="A89">
        <f>ROW(Source!A168)</f>
        <v>168</v>
      </c>
      <c r="B89">
        <v>129761636</v>
      </c>
      <c r="C89">
        <v>129763268</v>
      </c>
      <c r="D89">
        <v>37367068</v>
      </c>
      <c r="E89">
        <v>37345137</v>
      </c>
      <c r="F89">
        <v>1</v>
      </c>
      <c r="G89">
        <v>37345137</v>
      </c>
      <c r="H89">
        <v>3</v>
      </c>
      <c r="I89" t="s">
        <v>162</v>
      </c>
      <c r="J89" t="s">
        <v>3</v>
      </c>
      <c r="K89" t="s">
        <v>163</v>
      </c>
      <c r="L89">
        <v>1348</v>
      </c>
      <c r="N89">
        <v>1009</v>
      </c>
      <c r="O89" t="s">
        <v>114</v>
      </c>
      <c r="P89" t="s">
        <v>114</v>
      </c>
      <c r="Q89">
        <v>1000</v>
      </c>
      <c r="W89">
        <v>1</v>
      </c>
      <c r="X89">
        <v>1489638031</v>
      </c>
      <c r="Y89">
        <f t="shared" si="35"/>
        <v>-2.5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1</v>
      </c>
      <c r="AJ89">
        <v>1</v>
      </c>
      <c r="AK89">
        <v>1</v>
      </c>
      <c r="AL89">
        <v>1</v>
      </c>
      <c r="AN89">
        <v>0</v>
      </c>
      <c r="AO89">
        <v>1</v>
      </c>
      <c r="AP89">
        <v>0</v>
      </c>
      <c r="AQ89">
        <v>0</v>
      </c>
      <c r="AR89">
        <v>0</v>
      </c>
      <c r="AS89" t="s">
        <v>3</v>
      </c>
      <c r="AT89">
        <v>-2.5</v>
      </c>
      <c r="AU89" t="s">
        <v>3</v>
      </c>
      <c r="AV89">
        <v>0</v>
      </c>
      <c r="AW89">
        <v>2</v>
      </c>
      <c r="AX89">
        <v>129763274</v>
      </c>
      <c r="AY89">
        <v>1</v>
      </c>
      <c r="AZ89">
        <v>6144</v>
      </c>
      <c r="BA89">
        <v>91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ROUND(Y89*Source!I168,9)</f>
        <v>-2.5000000000000001E-2</v>
      </c>
      <c r="CY89">
        <f>AA89</f>
        <v>0</v>
      </c>
      <c r="CZ89">
        <f>AE89</f>
        <v>0</v>
      </c>
      <c r="DA89">
        <f>AI89</f>
        <v>1</v>
      </c>
      <c r="DB89">
        <f t="shared" si="36"/>
        <v>0</v>
      </c>
      <c r="DC89">
        <f t="shared" si="37"/>
        <v>0</v>
      </c>
      <c r="DD89" t="s">
        <v>3</v>
      </c>
      <c r="DE89" t="s">
        <v>3</v>
      </c>
      <c r="DF89">
        <f>ROUND(AE89*CX89,2)</f>
        <v>0</v>
      </c>
      <c r="DG89">
        <f t="shared" si="33"/>
        <v>0</v>
      </c>
      <c r="DH89">
        <f t="shared" si="34"/>
        <v>0</v>
      </c>
      <c r="DI89">
        <f t="shared" si="32"/>
        <v>0</v>
      </c>
      <c r="DJ89">
        <f>DF89</f>
        <v>0</v>
      </c>
      <c r="DK89">
        <v>0</v>
      </c>
    </row>
    <row r="90" spans="1:115" x14ac:dyDescent="0.2">
      <c r="A90">
        <f>ROW(Source!A169)</f>
        <v>169</v>
      </c>
      <c r="B90">
        <v>129761633</v>
      </c>
      <c r="C90">
        <v>129763268</v>
      </c>
      <c r="D90">
        <v>37345142</v>
      </c>
      <c r="E90">
        <v>37345137</v>
      </c>
      <c r="F90">
        <v>1</v>
      </c>
      <c r="G90">
        <v>37345137</v>
      </c>
      <c r="H90">
        <v>1</v>
      </c>
      <c r="I90" t="s">
        <v>1096</v>
      </c>
      <c r="J90" t="s">
        <v>3</v>
      </c>
      <c r="K90" t="s">
        <v>1097</v>
      </c>
      <c r="L90">
        <v>1191</v>
      </c>
      <c r="N90">
        <v>1013</v>
      </c>
      <c r="O90" t="s">
        <v>1098</v>
      </c>
      <c r="P90" t="s">
        <v>1098</v>
      </c>
      <c r="Q90">
        <v>1</v>
      </c>
      <c r="W90">
        <v>0</v>
      </c>
      <c r="X90">
        <v>476480486</v>
      </c>
      <c r="Y90">
        <f t="shared" si="35"/>
        <v>47.3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1</v>
      </c>
      <c r="AJ90">
        <v>1</v>
      </c>
      <c r="AK90">
        <v>1</v>
      </c>
      <c r="AL90">
        <v>1</v>
      </c>
      <c r="AN90">
        <v>0</v>
      </c>
      <c r="AO90">
        <v>1</v>
      </c>
      <c r="AP90">
        <v>0</v>
      </c>
      <c r="AQ90">
        <v>0</v>
      </c>
      <c r="AR90">
        <v>0</v>
      </c>
      <c r="AS90" t="s">
        <v>3</v>
      </c>
      <c r="AT90">
        <v>47.3</v>
      </c>
      <c r="AU90" t="s">
        <v>3</v>
      </c>
      <c r="AV90">
        <v>1</v>
      </c>
      <c r="AW90">
        <v>2</v>
      </c>
      <c r="AX90">
        <v>129763272</v>
      </c>
      <c r="AY90">
        <v>1</v>
      </c>
      <c r="AZ90">
        <v>0</v>
      </c>
      <c r="BA90">
        <v>92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ROUND(Y90*Source!I169,9)</f>
        <v>0.47299999999999998</v>
      </c>
      <c r="CY90">
        <f>AD90</f>
        <v>0</v>
      </c>
      <c r="CZ90">
        <f>AH90</f>
        <v>0</v>
      </c>
      <c r="DA90">
        <f>AL90</f>
        <v>1</v>
      </c>
      <c r="DB90">
        <f t="shared" si="36"/>
        <v>0</v>
      </c>
      <c r="DC90">
        <f t="shared" si="37"/>
        <v>0</v>
      </c>
      <c r="DD90" t="s">
        <v>3</v>
      </c>
      <c r="DE90" t="s">
        <v>3</v>
      </c>
      <c r="DF90">
        <f>ROUND(AE90*CX90,2)</f>
        <v>0</v>
      </c>
      <c r="DG90">
        <f t="shared" si="33"/>
        <v>0</v>
      </c>
      <c r="DH90">
        <f t="shared" si="34"/>
        <v>0</v>
      </c>
      <c r="DI90">
        <f t="shared" si="32"/>
        <v>0</v>
      </c>
      <c r="DJ90">
        <f>DI90</f>
        <v>0</v>
      </c>
      <c r="DK90">
        <v>0</v>
      </c>
    </row>
    <row r="91" spans="1:115" x14ac:dyDescent="0.2">
      <c r="A91">
        <f>ROW(Source!A169)</f>
        <v>169</v>
      </c>
      <c r="B91">
        <v>129761633</v>
      </c>
      <c r="C91">
        <v>129763268</v>
      </c>
      <c r="D91">
        <v>37345890</v>
      </c>
      <c r="E91">
        <v>37345137</v>
      </c>
      <c r="F91">
        <v>1</v>
      </c>
      <c r="G91">
        <v>37345137</v>
      </c>
      <c r="H91">
        <v>2</v>
      </c>
      <c r="I91" t="s">
        <v>1145</v>
      </c>
      <c r="J91" t="s">
        <v>3</v>
      </c>
      <c r="K91" t="s">
        <v>1146</v>
      </c>
      <c r="L91">
        <v>1344</v>
      </c>
      <c r="N91">
        <v>1008</v>
      </c>
      <c r="O91" t="s">
        <v>1138</v>
      </c>
      <c r="P91" t="s">
        <v>1138</v>
      </c>
      <c r="Q91">
        <v>1</v>
      </c>
      <c r="W91">
        <v>0</v>
      </c>
      <c r="X91">
        <v>-1180195794</v>
      </c>
      <c r="Y91">
        <f t="shared" si="35"/>
        <v>203.98</v>
      </c>
      <c r="AA91">
        <v>0</v>
      </c>
      <c r="AB91">
        <v>1.05</v>
      </c>
      <c r="AC91">
        <v>0</v>
      </c>
      <c r="AD91">
        <v>0</v>
      </c>
      <c r="AE91">
        <v>0</v>
      </c>
      <c r="AF91">
        <v>1</v>
      </c>
      <c r="AG91">
        <v>0</v>
      </c>
      <c r="AH91">
        <v>0</v>
      </c>
      <c r="AI91">
        <v>1</v>
      </c>
      <c r="AJ91">
        <v>1</v>
      </c>
      <c r="AK91">
        <v>1</v>
      </c>
      <c r="AL91">
        <v>1</v>
      </c>
      <c r="AN91">
        <v>0</v>
      </c>
      <c r="AO91">
        <v>1</v>
      </c>
      <c r="AP91">
        <v>0</v>
      </c>
      <c r="AQ91">
        <v>0</v>
      </c>
      <c r="AR91">
        <v>0</v>
      </c>
      <c r="AS91" t="s">
        <v>3</v>
      </c>
      <c r="AT91">
        <v>203.98</v>
      </c>
      <c r="AU91" t="s">
        <v>3</v>
      </c>
      <c r="AV91">
        <v>0</v>
      </c>
      <c r="AW91">
        <v>2</v>
      </c>
      <c r="AX91">
        <v>129763273</v>
      </c>
      <c r="AY91">
        <v>1</v>
      </c>
      <c r="AZ91">
        <v>0</v>
      </c>
      <c r="BA91">
        <v>93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ROUND(Y91*Source!I169,9)</f>
        <v>2.0398000000000001</v>
      </c>
      <c r="CY91">
        <f>AB91</f>
        <v>1.05</v>
      </c>
      <c r="CZ91">
        <f>AF91</f>
        <v>1</v>
      </c>
      <c r="DA91">
        <f>AJ91</f>
        <v>1</v>
      </c>
      <c r="DB91">
        <f t="shared" si="36"/>
        <v>203.98</v>
      </c>
      <c r="DC91">
        <f t="shared" si="37"/>
        <v>0</v>
      </c>
      <c r="DD91" t="s">
        <v>3</v>
      </c>
      <c r="DE91" t="s">
        <v>3</v>
      </c>
      <c r="DF91">
        <f>ROUND(AE91*CX91,2)</f>
        <v>0</v>
      </c>
      <c r="DG91">
        <f t="shared" si="33"/>
        <v>2.04</v>
      </c>
      <c r="DH91">
        <f t="shared" si="34"/>
        <v>0</v>
      </c>
      <c r="DI91">
        <f t="shared" si="32"/>
        <v>0</v>
      </c>
      <c r="DJ91">
        <f>DG91</f>
        <v>2.04</v>
      </c>
      <c r="DK91">
        <v>0</v>
      </c>
    </row>
    <row r="92" spans="1:115" x14ac:dyDescent="0.2">
      <c r="A92">
        <f>ROW(Source!A169)</f>
        <v>169</v>
      </c>
      <c r="B92">
        <v>129761633</v>
      </c>
      <c r="C92">
        <v>129763268</v>
      </c>
      <c r="D92">
        <v>37367068</v>
      </c>
      <c r="E92">
        <v>37345137</v>
      </c>
      <c r="F92">
        <v>1</v>
      </c>
      <c r="G92">
        <v>37345137</v>
      </c>
      <c r="H92">
        <v>3</v>
      </c>
      <c r="I92" t="s">
        <v>162</v>
      </c>
      <c r="J92" t="s">
        <v>3</v>
      </c>
      <c r="K92" t="s">
        <v>163</v>
      </c>
      <c r="L92">
        <v>1348</v>
      </c>
      <c r="N92">
        <v>1009</v>
      </c>
      <c r="O92" t="s">
        <v>114</v>
      </c>
      <c r="P92" t="s">
        <v>114</v>
      </c>
      <c r="Q92">
        <v>1000</v>
      </c>
      <c r="W92">
        <v>1</v>
      </c>
      <c r="X92">
        <v>1489638031</v>
      </c>
      <c r="Y92">
        <f t="shared" si="35"/>
        <v>-2.5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8.65</v>
      </c>
      <c r="AJ92">
        <v>1</v>
      </c>
      <c r="AK92">
        <v>1</v>
      </c>
      <c r="AL92">
        <v>1</v>
      </c>
      <c r="AN92">
        <v>0</v>
      </c>
      <c r="AO92">
        <v>1</v>
      </c>
      <c r="AP92">
        <v>0</v>
      </c>
      <c r="AQ92">
        <v>0</v>
      </c>
      <c r="AR92">
        <v>0</v>
      </c>
      <c r="AS92" t="s">
        <v>3</v>
      </c>
      <c r="AT92">
        <v>-2.5</v>
      </c>
      <c r="AU92" t="s">
        <v>3</v>
      </c>
      <c r="AV92">
        <v>0</v>
      </c>
      <c r="AW92">
        <v>2</v>
      </c>
      <c r="AX92">
        <v>129763274</v>
      </c>
      <c r="AY92">
        <v>1</v>
      </c>
      <c r="AZ92">
        <v>6144</v>
      </c>
      <c r="BA92">
        <v>94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ROUND(Y92*Source!I169,9)</f>
        <v>-2.5000000000000001E-2</v>
      </c>
      <c r="CY92">
        <f>AA92</f>
        <v>0</v>
      </c>
      <c r="CZ92">
        <f>AE92</f>
        <v>0</v>
      </c>
      <c r="DA92">
        <f>AI92</f>
        <v>8.65</v>
      </c>
      <c r="DB92">
        <f t="shared" si="36"/>
        <v>0</v>
      </c>
      <c r="DC92">
        <f t="shared" si="37"/>
        <v>0</v>
      </c>
      <c r="DD92" t="s">
        <v>3</v>
      </c>
      <c r="DE92" t="s">
        <v>3</v>
      </c>
      <c r="DF92">
        <f>ROUND(ROUND(AE92*CX92,2)*AI92,2)</f>
        <v>0</v>
      </c>
      <c r="DG92">
        <f t="shared" si="33"/>
        <v>0</v>
      </c>
      <c r="DH92">
        <f t="shared" si="34"/>
        <v>0</v>
      </c>
      <c r="DI92">
        <f t="shared" si="32"/>
        <v>0</v>
      </c>
      <c r="DJ92">
        <f>DF92</f>
        <v>0</v>
      </c>
      <c r="DK92">
        <v>0</v>
      </c>
    </row>
    <row r="93" spans="1:115" x14ac:dyDescent="0.2">
      <c r="A93">
        <f>ROW(Source!A172)</f>
        <v>172</v>
      </c>
      <c r="B93">
        <v>129761636</v>
      </c>
      <c r="C93">
        <v>129763276</v>
      </c>
      <c r="D93">
        <v>37345142</v>
      </c>
      <c r="E93">
        <v>37345137</v>
      </c>
      <c r="F93">
        <v>1</v>
      </c>
      <c r="G93">
        <v>37345137</v>
      </c>
      <c r="H93">
        <v>1</v>
      </c>
      <c r="I93" t="s">
        <v>1096</v>
      </c>
      <c r="J93" t="s">
        <v>3</v>
      </c>
      <c r="K93" t="s">
        <v>1097</v>
      </c>
      <c r="L93">
        <v>1191</v>
      </c>
      <c r="N93">
        <v>1013</v>
      </c>
      <c r="O93" t="s">
        <v>1098</v>
      </c>
      <c r="P93" t="s">
        <v>1098</v>
      </c>
      <c r="Q93">
        <v>1</v>
      </c>
      <c r="W93">
        <v>0</v>
      </c>
      <c r="X93">
        <v>476480486</v>
      </c>
      <c r="Y93">
        <f t="shared" ref="Y93:Y100" si="39">(AT93*0.6)</f>
        <v>69.599999999999994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1</v>
      </c>
      <c r="AJ93">
        <v>1</v>
      </c>
      <c r="AK93">
        <v>1</v>
      </c>
      <c r="AL93">
        <v>1</v>
      </c>
      <c r="AN93">
        <v>0</v>
      </c>
      <c r="AO93">
        <v>1</v>
      </c>
      <c r="AP93">
        <v>1</v>
      </c>
      <c r="AQ93">
        <v>0</v>
      </c>
      <c r="AR93">
        <v>0</v>
      </c>
      <c r="AS93" t="s">
        <v>3</v>
      </c>
      <c r="AT93">
        <v>116</v>
      </c>
      <c r="AU93" t="s">
        <v>142</v>
      </c>
      <c r="AV93">
        <v>1</v>
      </c>
      <c r="AW93">
        <v>2</v>
      </c>
      <c r="AX93">
        <v>129763281</v>
      </c>
      <c r="AY93">
        <v>1</v>
      </c>
      <c r="AZ93">
        <v>0</v>
      </c>
      <c r="BA93">
        <v>95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ROUND(Y93*Source!I172,9)</f>
        <v>3.48</v>
      </c>
      <c r="CY93">
        <f>AD93</f>
        <v>0</v>
      </c>
      <c r="CZ93">
        <f>AH93</f>
        <v>0</v>
      </c>
      <c r="DA93">
        <f>AL93</f>
        <v>1</v>
      </c>
      <c r="DB93">
        <f t="shared" ref="DB93:DB100" si="40">ROUND((ROUND(AT93*CZ93,2)*0.6),6)</f>
        <v>0</v>
      </c>
      <c r="DC93">
        <f t="shared" ref="DC93:DC100" si="41">ROUND((ROUND(AT93*AG93,2)*0.6),6)</f>
        <v>0</v>
      </c>
      <c r="DD93" t="s">
        <v>3</v>
      </c>
      <c r="DE93" t="s">
        <v>3</v>
      </c>
      <c r="DF93">
        <f t="shared" ref="DF93:DF98" si="42">ROUND(AE93*CX93,2)</f>
        <v>0</v>
      </c>
      <c r="DG93">
        <f t="shared" si="33"/>
        <v>0</v>
      </c>
      <c r="DH93">
        <f t="shared" si="34"/>
        <v>0</v>
      </c>
      <c r="DI93">
        <f t="shared" si="32"/>
        <v>0</v>
      </c>
      <c r="DJ93">
        <f>DI93</f>
        <v>0</v>
      </c>
      <c r="DK93">
        <v>0</v>
      </c>
    </row>
    <row r="94" spans="1:115" x14ac:dyDescent="0.2">
      <c r="A94">
        <f>ROW(Source!A172)</f>
        <v>172</v>
      </c>
      <c r="B94">
        <v>129761636</v>
      </c>
      <c r="C94">
        <v>129763276</v>
      </c>
      <c r="D94">
        <v>37417800</v>
      </c>
      <c r="E94">
        <v>1</v>
      </c>
      <c r="F94">
        <v>1</v>
      </c>
      <c r="G94">
        <v>37345137</v>
      </c>
      <c r="H94">
        <v>2</v>
      </c>
      <c r="I94" t="s">
        <v>1150</v>
      </c>
      <c r="J94" t="s">
        <v>1151</v>
      </c>
      <c r="K94" t="s">
        <v>1152</v>
      </c>
      <c r="L94">
        <v>1367</v>
      </c>
      <c r="N94">
        <v>1011</v>
      </c>
      <c r="O94" t="s">
        <v>1102</v>
      </c>
      <c r="P94" t="s">
        <v>1102</v>
      </c>
      <c r="Q94">
        <v>1</v>
      </c>
      <c r="W94">
        <v>0</v>
      </c>
      <c r="X94">
        <v>1116621208</v>
      </c>
      <c r="Y94">
        <f t="shared" si="39"/>
        <v>13.92</v>
      </c>
      <c r="AA94">
        <v>0</v>
      </c>
      <c r="AB94">
        <v>2.78</v>
      </c>
      <c r="AC94">
        <v>0.19</v>
      </c>
      <c r="AD94">
        <v>0</v>
      </c>
      <c r="AE94">
        <v>0</v>
      </c>
      <c r="AF94">
        <v>2.78</v>
      </c>
      <c r="AG94">
        <v>0.19</v>
      </c>
      <c r="AH94">
        <v>0</v>
      </c>
      <c r="AI94">
        <v>1</v>
      </c>
      <c r="AJ94">
        <v>1</v>
      </c>
      <c r="AK94">
        <v>1</v>
      </c>
      <c r="AL94">
        <v>1</v>
      </c>
      <c r="AN94">
        <v>0</v>
      </c>
      <c r="AO94">
        <v>1</v>
      </c>
      <c r="AP94">
        <v>1</v>
      </c>
      <c r="AQ94">
        <v>0</v>
      </c>
      <c r="AR94">
        <v>0</v>
      </c>
      <c r="AS94" t="s">
        <v>3</v>
      </c>
      <c r="AT94">
        <v>23.2</v>
      </c>
      <c r="AU94" t="s">
        <v>142</v>
      </c>
      <c r="AV94">
        <v>0</v>
      </c>
      <c r="AW94">
        <v>2</v>
      </c>
      <c r="AX94">
        <v>129763282</v>
      </c>
      <c r="AY94">
        <v>1</v>
      </c>
      <c r="AZ94">
        <v>0</v>
      </c>
      <c r="BA94">
        <v>96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ROUND(Y94*Source!I172,9)</f>
        <v>0.69599999999999995</v>
      </c>
      <c r="CY94">
        <f>AB94</f>
        <v>2.78</v>
      </c>
      <c r="CZ94">
        <f>AF94</f>
        <v>2.78</v>
      </c>
      <c r="DA94">
        <f>AJ94</f>
        <v>1</v>
      </c>
      <c r="DB94">
        <f t="shared" si="40"/>
        <v>38.700000000000003</v>
      </c>
      <c r="DC94">
        <f t="shared" si="41"/>
        <v>2.6459999999999999</v>
      </c>
      <c r="DD94" t="s">
        <v>3</v>
      </c>
      <c r="DE94" t="s">
        <v>3</v>
      </c>
      <c r="DF94">
        <f t="shared" si="42"/>
        <v>0</v>
      </c>
      <c r="DG94">
        <f t="shared" si="33"/>
        <v>1.93</v>
      </c>
      <c r="DH94">
        <f t="shared" si="34"/>
        <v>0.13</v>
      </c>
      <c r="DI94">
        <f t="shared" si="32"/>
        <v>0</v>
      </c>
      <c r="DJ94">
        <f>DG94</f>
        <v>1.93</v>
      </c>
      <c r="DK94">
        <v>0</v>
      </c>
    </row>
    <row r="95" spans="1:115" x14ac:dyDescent="0.2">
      <c r="A95">
        <f>ROW(Source!A172)</f>
        <v>172</v>
      </c>
      <c r="B95">
        <v>129761636</v>
      </c>
      <c r="C95">
        <v>129763276</v>
      </c>
      <c r="D95">
        <v>37394864</v>
      </c>
      <c r="E95">
        <v>1</v>
      </c>
      <c r="F95">
        <v>1</v>
      </c>
      <c r="G95">
        <v>37345137</v>
      </c>
      <c r="H95">
        <v>3</v>
      </c>
      <c r="I95" t="s">
        <v>1147</v>
      </c>
      <c r="J95" t="s">
        <v>1148</v>
      </c>
      <c r="K95" t="s">
        <v>1149</v>
      </c>
      <c r="L95">
        <v>1348</v>
      </c>
      <c r="N95">
        <v>1009</v>
      </c>
      <c r="O95" t="s">
        <v>114</v>
      </c>
      <c r="P95" t="s">
        <v>114</v>
      </c>
      <c r="Q95">
        <v>1000</v>
      </c>
      <c r="W95">
        <v>0</v>
      </c>
      <c r="X95">
        <v>1310716689</v>
      </c>
      <c r="Y95">
        <f t="shared" si="39"/>
        <v>1.8E-3</v>
      </c>
      <c r="AA95">
        <v>7191.81</v>
      </c>
      <c r="AB95">
        <v>0</v>
      </c>
      <c r="AC95">
        <v>0</v>
      </c>
      <c r="AD95">
        <v>0</v>
      </c>
      <c r="AE95">
        <v>7191.81</v>
      </c>
      <c r="AF95">
        <v>0</v>
      </c>
      <c r="AG95">
        <v>0</v>
      </c>
      <c r="AH95">
        <v>0</v>
      </c>
      <c r="AI95">
        <v>1</v>
      </c>
      <c r="AJ95">
        <v>1</v>
      </c>
      <c r="AK95">
        <v>1</v>
      </c>
      <c r="AL95">
        <v>1</v>
      </c>
      <c r="AN95">
        <v>0</v>
      </c>
      <c r="AO95">
        <v>1</v>
      </c>
      <c r="AP95">
        <v>1</v>
      </c>
      <c r="AQ95">
        <v>0</v>
      </c>
      <c r="AR95">
        <v>0</v>
      </c>
      <c r="AS95" t="s">
        <v>3</v>
      </c>
      <c r="AT95">
        <v>3.0000000000000001E-3</v>
      </c>
      <c r="AU95" t="s">
        <v>142</v>
      </c>
      <c r="AV95">
        <v>0</v>
      </c>
      <c r="AW95">
        <v>2</v>
      </c>
      <c r="AX95">
        <v>129763283</v>
      </c>
      <c r="AY95">
        <v>1</v>
      </c>
      <c r="AZ95">
        <v>0</v>
      </c>
      <c r="BA95">
        <v>97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ROUND(Y95*Source!I172,9)</f>
        <v>9.0000000000000006E-5</v>
      </c>
      <c r="CY95">
        <f>AA95</f>
        <v>7191.81</v>
      </c>
      <c r="CZ95">
        <f>AE95</f>
        <v>7191.81</v>
      </c>
      <c r="DA95">
        <f>AI95</f>
        <v>1</v>
      </c>
      <c r="DB95">
        <f t="shared" si="40"/>
        <v>12.948</v>
      </c>
      <c r="DC95">
        <f t="shared" si="41"/>
        <v>0</v>
      </c>
      <c r="DD95" t="s">
        <v>3</v>
      </c>
      <c r="DE95" t="s">
        <v>3</v>
      </c>
      <c r="DF95">
        <f t="shared" si="42"/>
        <v>0.65</v>
      </c>
      <c r="DG95">
        <f t="shared" si="33"/>
        <v>0</v>
      </c>
      <c r="DH95">
        <f t="shared" si="34"/>
        <v>0</v>
      </c>
      <c r="DI95">
        <f t="shared" si="32"/>
        <v>0</v>
      </c>
      <c r="DJ95">
        <f>DF95</f>
        <v>0.65</v>
      </c>
      <c r="DK95">
        <v>0</v>
      </c>
    </row>
    <row r="96" spans="1:115" x14ac:dyDescent="0.2">
      <c r="A96">
        <f>ROW(Source!A172)</f>
        <v>172</v>
      </c>
      <c r="B96">
        <v>129761636</v>
      </c>
      <c r="C96">
        <v>129763276</v>
      </c>
      <c r="D96">
        <v>37367082</v>
      </c>
      <c r="E96">
        <v>37345137</v>
      </c>
      <c r="F96">
        <v>1</v>
      </c>
      <c r="G96">
        <v>37345137</v>
      </c>
      <c r="H96">
        <v>3</v>
      </c>
      <c r="I96" t="s">
        <v>1136</v>
      </c>
      <c r="J96" t="s">
        <v>3</v>
      </c>
      <c r="K96" t="s">
        <v>1137</v>
      </c>
      <c r="L96">
        <v>1344</v>
      </c>
      <c r="N96">
        <v>1008</v>
      </c>
      <c r="O96" t="s">
        <v>1138</v>
      </c>
      <c r="P96" t="s">
        <v>1138</v>
      </c>
      <c r="Q96">
        <v>1</v>
      </c>
      <c r="W96">
        <v>0</v>
      </c>
      <c r="X96">
        <v>-94250534</v>
      </c>
      <c r="Y96">
        <f t="shared" si="39"/>
        <v>23.687999999999999</v>
      </c>
      <c r="AA96">
        <v>1</v>
      </c>
      <c r="AB96">
        <v>0</v>
      </c>
      <c r="AC96">
        <v>0</v>
      </c>
      <c r="AD96">
        <v>0</v>
      </c>
      <c r="AE96">
        <v>1</v>
      </c>
      <c r="AF96">
        <v>0</v>
      </c>
      <c r="AG96">
        <v>0</v>
      </c>
      <c r="AH96">
        <v>0</v>
      </c>
      <c r="AI96">
        <v>1</v>
      </c>
      <c r="AJ96">
        <v>1</v>
      </c>
      <c r="AK96">
        <v>1</v>
      </c>
      <c r="AL96">
        <v>1</v>
      </c>
      <c r="AN96">
        <v>0</v>
      </c>
      <c r="AO96">
        <v>1</v>
      </c>
      <c r="AP96">
        <v>1</v>
      </c>
      <c r="AQ96">
        <v>0</v>
      </c>
      <c r="AR96">
        <v>0</v>
      </c>
      <c r="AS96" t="s">
        <v>3</v>
      </c>
      <c r="AT96">
        <v>39.479999999999997</v>
      </c>
      <c r="AU96" t="s">
        <v>142</v>
      </c>
      <c r="AV96">
        <v>0</v>
      </c>
      <c r="AW96">
        <v>2</v>
      </c>
      <c r="AX96">
        <v>129763286</v>
      </c>
      <c r="AY96">
        <v>1</v>
      </c>
      <c r="AZ96">
        <v>0</v>
      </c>
      <c r="BA96">
        <v>100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ROUND(Y96*Source!I172,9)</f>
        <v>1.1843999999999999</v>
      </c>
      <c r="CY96">
        <f>AA96</f>
        <v>1</v>
      </c>
      <c r="CZ96">
        <f>AE96</f>
        <v>1</v>
      </c>
      <c r="DA96">
        <f>AI96</f>
        <v>1</v>
      </c>
      <c r="DB96">
        <f t="shared" si="40"/>
        <v>23.687999999999999</v>
      </c>
      <c r="DC96">
        <f t="shared" si="41"/>
        <v>0</v>
      </c>
      <c r="DD96" t="s">
        <v>3</v>
      </c>
      <c r="DE96" t="s">
        <v>3</v>
      </c>
      <c r="DF96">
        <f t="shared" si="42"/>
        <v>1.18</v>
      </c>
      <c r="DG96">
        <f t="shared" si="33"/>
        <v>0</v>
      </c>
      <c r="DH96">
        <f t="shared" si="34"/>
        <v>0</v>
      </c>
      <c r="DI96">
        <f t="shared" si="32"/>
        <v>0</v>
      </c>
      <c r="DJ96">
        <f>DF96</f>
        <v>1.18</v>
      </c>
      <c r="DK96">
        <v>0</v>
      </c>
    </row>
    <row r="97" spans="1:115" x14ac:dyDescent="0.2">
      <c r="A97">
        <f>ROW(Source!A173)</f>
        <v>173</v>
      </c>
      <c r="B97">
        <v>129761633</v>
      </c>
      <c r="C97">
        <v>129763276</v>
      </c>
      <c r="D97">
        <v>37345142</v>
      </c>
      <c r="E97">
        <v>37345137</v>
      </c>
      <c r="F97">
        <v>1</v>
      </c>
      <c r="G97">
        <v>37345137</v>
      </c>
      <c r="H97">
        <v>1</v>
      </c>
      <c r="I97" t="s">
        <v>1096</v>
      </c>
      <c r="J97" t="s">
        <v>3</v>
      </c>
      <c r="K97" t="s">
        <v>1097</v>
      </c>
      <c r="L97">
        <v>1191</v>
      </c>
      <c r="N97">
        <v>1013</v>
      </c>
      <c r="O97" t="s">
        <v>1098</v>
      </c>
      <c r="P97" t="s">
        <v>1098</v>
      </c>
      <c r="Q97">
        <v>1</v>
      </c>
      <c r="W97">
        <v>0</v>
      </c>
      <c r="X97">
        <v>476480486</v>
      </c>
      <c r="Y97">
        <f t="shared" si="39"/>
        <v>69.599999999999994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1</v>
      </c>
      <c r="AJ97">
        <v>1</v>
      </c>
      <c r="AK97">
        <v>1</v>
      </c>
      <c r="AL97">
        <v>1</v>
      </c>
      <c r="AN97">
        <v>0</v>
      </c>
      <c r="AO97">
        <v>1</v>
      </c>
      <c r="AP97">
        <v>1</v>
      </c>
      <c r="AQ97">
        <v>0</v>
      </c>
      <c r="AR97">
        <v>0</v>
      </c>
      <c r="AS97" t="s">
        <v>3</v>
      </c>
      <c r="AT97">
        <v>116</v>
      </c>
      <c r="AU97" t="s">
        <v>142</v>
      </c>
      <c r="AV97">
        <v>1</v>
      </c>
      <c r="AW97">
        <v>2</v>
      </c>
      <c r="AX97">
        <v>129763281</v>
      </c>
      <c r="AY97">
        <v>1</v>
      </c>
      <c r="AZ97">
        <v>0</v>
      </c>
      <c r="BA97">
        <v>101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ROUND(Y97*Source!I173,9)</f>
        <v>3.48</v>
      </c>
      <c r="CY97">
        <f>AD97</f>
        <v>0</v>
      </c>
      <c r="CZ97">
        <f>AH97</f>
        <v>0</v>
      </c>
      <c r="DA97">
        <f>AL97</f>
        <v>1</v>
      </c>
      <c r="DB97">
        <f t="shared" si="40"/>
        <v>0</v>
      </c>
      <c r="DC97">
        <f t="shared" si="41"/>
        <v>0</v>
      </c>
      <c r="DD97" t="s">
        <v>3</v>
      </c>
      <c r="DE97" t="s">
        <v>3</v>
      </c>
      <c r="DF97">
        <f t="shared" si="42"/>
        <v>0</v>
      </c>
      <c r="DG97">
        <f t="shared" si="33"/>
        <v>0</v>
      </c>
      <c r="DH97">
        <f t="shared" si="34"/>
        <v>0</v>
      </c>
      <c r="DI97">
        <f t="shared" si="32"/>
        <v>0</v>
      </c>
      <c r="DJ97">
        <f>DI97</f>
        <v>0</v>
      </c>
      <c r="DK97">
        <v>0</v>
      </c>
    </row>
    <row r="98" spans="1:115" x14ac:dyDescent="0.2">
      <c r="A98">
        <f>ROW(Source!A173)</f>
        <v>173</v>
      </c>
      <c r="B98">
        <v>129761633</v>
      </c>
      <c r="C98">
        <v>129763276</v>
      </c>
      <c r="D98">
        <v>37417800</v>
      </c>
      <c r="E98">
        <v>1</v>
      </c>
      <c r="F98">
        <v>1</v>
      </c>
      <c r="G98">
        <v>37345137</v>
      </c>
      <c r="H98">
        <v>2</v>
      </c>
      <c r="I98" t="s">
        <v>1150</v>
      </c>
      <c r="J98" t="s">
        <v>1151</v>
      </c>
      <c r="K98" t="s">
        <v>1152</v>
      </c>
      <c r="L98">
        <v>1367</v>
      </c>
      <c r="N98">
        <v>1011</v>
      </c>
      <c r="O98" t="s">
        <v>1102</v>
      </c>
      <c r="P98" t="s">
        <v>1102</v>
      </c>
      <c r="Q98">
        <v>1</v>
      </c>
      <c r="W98">
        <v>0</v>
      </c>
      <c r="X98">
        <v>1116621208</v>
      </c>
      <c r="Y98">
        <f t="shared" si="39"/>
        <v>13.92</v>
      </c>
      <c r="AA98">
        <v>0</v>
      </c>
      <c r="AB98">
        <v>24.96</v>
      </c>
      <c r="AC98">
        <v>6</v>
      </c>
      <c r="AD98">
        <v>0</v>
      </c>
      <c r="AE98">
        <v>0</v>
      </c>
      <c r="AF98">
        <v>2.78</v>
      </c>
      <c r="AG98">
        <v>0.19</v>
      </c>
      <c r="AH98">
        <v>0</v>
      </c>
      <c r="AI98">
        <v>1</v>
      </c>
      <c r="AJ98">
        <v>8.26</v>
      </c>
      <c r="AK98">
        <v>29.03</v>
      </c>
      <c r="AL98">
        <v>1</v>
      </c>
      <c r="AN98">
        <v>0</v>
      </c>
      <c r="AO98">
        <v>1</v>
      </c>
      <c r="AP98">
        <v>1</v>
      </c>
      <c r="AQ98">
        <v>0</v>
      </c>
      <c r="AR98">
        <v>0</v>
      </c>
      <c r="AS98" t="s">
        <v>3</v>
      </c>
      <c r="AT98">
        <v>23.2</v>
      </c>
      <c r="AU98" t="s">
        <v>142</v>
      </c>
      <c r="AV98">
        <v>0</v>
      </c>
      <c r="AW98">
        <v>2</v>
      </c>
      <c r="AX98">
        <v>129763282</v>
      </c>
      <c r="AY98">
        <v>1</v>
      </c>
      <c r="AZ98">
        <v>0</v>
      </c>
      <c r="BA98">
        <v>102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ROUND(Y98*Source!I173,9)</f>
        <v>0.69599999999999995</v>
      </c>
      <c r="CY98">
        <f>AB98</f>
        <v>24.96</v>
      </c>
      <c r="CZ98">
        <f>AF98</f>
        <v>2.78</v>
      </c>
      <c r="DA98">
        <f>AJ98</f>
        <v>8.26</v>
      </c>
      <c r="DB98">
        <f t="shared" si="40"/>
        <v>38.700000000000003</v>
      </c>
      <c r="DC98">
        <f t="shared" si="41"/>
        <v>2.6459999999999999</v>
      </c>
      <c r="DD98" t="s">
        <v>3</v>
      </c>
      <c r="DE98" t="s">
        <v>3</v>
      </c>
      <c r="DF98">
        <f t="shared" si="42"/>
        <v>0</v>
      </c>
      <c r="DG98">
        <f>ROUND(ROUND(AF98*CX98,2)*AJ98,2)</f>
        <v>15.94</v>
      </c>
      <c r="DH98">
        <f>ROUND(ROUND(AG98*CX98,2)*AK98,2)</f>
        <v>3.77</v>
      </c>
      <c r="DI98">
        <f t="shared" si="32"/>
        <v>0</v>
      </c>
      <c r="DJ98">
        <f>DG98</f>
        <v>15.94</v>
      </c>
      <c r="DK98">
        <v>0</v>
      </c>
    </row>
    <row r="99" spans="1:115" x14ac:dyDescent="0.2">
      <c r="A99">
        <f>ROW(Source!A173)</f>
        <v>173</v>
      </c>
      <c r="B99">
        <v>129761633</v>
      </c>
      <c r="C99">
        <v>129763276</v>
      </c>
      <c r="D99">
        <v>37394864</v>
      </c>
      <c r="E99">
        <v>1</v>
      </c>
      <c r="F99">
        <v>1</v>
      </c>
      <c r="G99">
        <v>37345137</v>
      </c>
      <c r="H99">
        <v>3</v>
      </c>
      <c r="I99" t="s">
        <v>1147</v>
      </c>
      <c r="J99" t="s">
        <v>1148</v>
      </c>
      <c r="K99" t="s">
        <v>1149</v>
      </c>
      <c r="L99">
        <v>1348</v>
      </c>
      <c r="N99">
        <v>1009</v>
      </c>
      <c r="O99" t="s">
        <v>114</v>
      </c>
      <c r="P99" t="s">
        <v>114</v>
      </c>
      <c r="Q99">
        <v>1000</v>
      </c>
      <c r="W99">
        <v>0</v>
      </c>
      <c r="X99">
        <v>1310716689</v>
      </c>
      <c r="Y99">
        <f t="shared" si="39"/>
        <v>1.8E-3</v>
      </c>
      <c r="AA99">
        <v>145777.99</v>
      </c>
      <c r="AB99">
        <v>0</v>
      </c>
      <c r="AC99">
        <v>0</v>
      </c>
      <c r="AD99">
        <v>0</v>
      </c>
      <c r="AE99">
        <v>7191.81</v>
      </c>
      <c r="AF99">
        <v>0</v>
      </c>
      <c r="AG99">
        <v>0</v>
      </c>
      <c r="AH99">
        <v>0</v>
      </c>
      <c r="AI99">
        <v>20.27</v>
      </c>
      <c r="AJ99">
        <v>1</v>
      </c>
      <c r="AK99">
        <v>1</v>
      </c>
      <c r="AL99">
        <v>1</v>
      </c>
      <c r="AN99">
        <v>0</v>
      </c>
      <c r="AO99">
        <v>1</v>
      </c>
      <c r="AP99">
        <v>1</v>
      </c>
      <c r="AQ99">
        <v>0</v>
      </c>
      <c r="AR99">
        <v>0</v>
      </c>
      <c r="AS99" t="s">
        <v>3</v>
      </c>
      <c r="AT99">
        <v>3.0000000000000001E-3</v>
      </c>
      <c r="AU99" t="s">
        <v>142</v>
      </c>
      <c r="AV99">
        <v>0</v>
      </c>
      <c r="AW99">
        <v>2</v>
      </c>
      <c r="AX99">
        <v>129763283</v>
      </c>
      <c r="AY99">
        <v>1</v>
      </c>
      <c r="AZ99">
        <v>0</v>
      </c>
      <c r="BA99">
        <v>103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ROUND(Y99*Source!I173,9)</f>
        <v>9.0000000000000006E-5</v>
      </c>
      <c r="CY99">
        <f>AA99</f>
        <v>145777.99</v>
      </c>
      <c r="CZ99">
        <f>AE99</f>
        <v>7191.81</v>
      </c>
      <c r="DA99">
        <f>AI99</f>
        <v>20.27</v>
      </c>
      <c r="DB99">
        <f t="shared" si="40"/>
        <v>12.948</v>
      </c>
      <c r="DC99">
        <f t="shared" si="41"/>
        <v>0</v>
      </c>
      <c r="DD99" t="s">
        <v>3</v>
      </c>
      <c r="DE99" t="s">
        <v>3</v>
      </c>
      <c r="DF99">
        <f>ROUND(ROUND(AE99*CX99,2)*AI99,2)</f>
        <v>13.18</v>
      </c>
      <c r="DG99">
        <f t="shared" ref="DG99:DG105" si="43">ROUND(AF99*CX99,2)</f>
        <v>0</v>
      </c>
      <c r="DH99">
        <f t="shared" ref="DH99:DH105" si="44">ROUND(AG99*CX99,2)</f>
        <v>0</v>
      </c>
      <c r="DI99">
        <f t="shared" si="32"/>
        <v>0</v>
      </c>
      <c r="DJ99">
        <f>DF99</f>
        <v>13.18</v>
      </c>
      <c r="DK99">
        <v>0</v>
      </c>
    </row>
    <row r="100" spans="1:115" x14ac:dyDescent="0.2">
      <c r="A100">
        <f>ROW(Source!A173)</f>
        <v>173</v>
      </c>
      <c r="B100">
        <v>129761633</v>
      </c>
      <c r="C100">
        <v>129763276</v>
      </c>
      <c r="D100">
        <v>37367082</v>
      </c>
      <c r="E100">
        <v>37345137</v>
      </c>
      <c r="F100">
        <v>1</v>
      </c>
      <c r="G100">
        <v>37345137</v>
      </c>
      <c r="H100">
        <v>3</v>
      </c>
      <c r="I100" t="s">
        <v>1136</v>
      </c>
      <c r="J100" t="s">
        <v>3</v>
      </c>
      <c r="K100" t="s">
        <v>1137</v>
      </c>
      <c r="L100">
        <v>1344</v>
      </c>
      <c r="N100">
        <v>1008</v>
      </c>
      <c r="O100" t="s">
        <v>1138</v>
      </c>
      <c r="P100" t="s">
        <v>1138</v>
      </c>
      <c r="Q100">
        <v>1</v>
      </c>
      <c r="W100">
        <v>0</v>
      </c>
      <c r="X100">
        <v>-94250534</v>
      </c>
      <c r="Y100">
        <f t="shared" si="39"/>
        <v>23.687999999999999</v>
      </c>
      <c r="AA100">
        <v>8.65</v>
      </c>
      <c r="AB100">
        <v>0</v>
      </c>
      <c r="AC100">
        <v>0</v>
      </c>
      <c r="AD100">
        <v>0</v>
      </c>
      <c r="AE100">
        <v>1</v>
      </c>
      <c r="AF100">
        <v>0</v>
      </c>
      <c r="AG100">
        <v>0</v>
      </c>
      <c r="AH100">
        <v>0</v>
      </c>
      <c r="AI100">
        <v>8.65</v>
      </c>
      <c r="AJ100">
        <v>1</v>
      </c>
      <c r="AK100">
        <v>1</v>
      </c>
      <c r="AL100">
        <v>1</v>
      </c>
      <c r="AN100">
        <v>0</v>
      </c>
      <c r="AO100">
        <v>1</v>
      </c>
      <c r="AP100">
        <v>1</v>
      </c>
      <c r="AQ100">
        <v>0</v>
      </c>
      <c r="AR100">
        <v>0</v>
      </c>
      <c r="AS100" t="s">
        <v>3</v>
      </c>
      <c r="AT100">
        <v>39.479999999999997</v>
      </c>
      <c r="AU100" t="s">
        <v>142</v>
      </c>
      <c r="AV100">
        <v>0</v>
      </c>
      <c r="AW100">
        <v>2</v>
      </c>
      <c r="AX100">
        <v>129763286</v>
      </c>
      <c r="AY100">
        <v>1</v>
      </c>
      <c r="AZ100">
        <v>0</v>
      </c>
      <c r="BA100">
        <v>106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ROUND(Y100*Source!I173,9)</f>
        <v>1.1843999999999999</v>
      </c>
      <c r="CY100">
        <f>AA100</f>
        <v>8.65</v>
      </c>
      <c r="CZ100">
        <f>AE100</f>
        <v>1</v>
      </c>
      <c r="DA100">
        <f>AI100</f>
        <v>8.65</v>
      </c>
      <c r="DB100">
        <f t="shared" si="40"/>
        <v>23.687999999999999</v>
      </c>
      <c r="DC100">
        <f t="shared" si="41"/>
        <v>0</v>
      </c>
      <c r="DD100" t="s">
        <v>3</v>
      </c>
      <c r="DE100" t="s">
        <v>3</v>
      </c>
      <c r="DF100">
        <f>ROUND(ROUND(AE100*CX100,2)*AI100,2)</f>
        <v>10.210000000000001</v>
      </c>
      <c r="DG100">
        <f t="shared" si="43"/>
        <v>0</v>
      </c>
      <c r="DH100">
        <f t="shared" si="44"/>
        <v>0</v>
      </c>
      <c r="DI100">
        <f t="shared" si="32"/>
        <v>0</v>
      </c>
      <c r="DJ100">
        <f>DF100</f>
        <v>10.210000000000001</v>
      </c>
      <c r="DK100">
        <v>0</v>
      </c>
    </row>
    <row r="101" spans="1:115" x14ac:dyDescent="0.2">
      <c r="A101">
        <f>ROW(Source!A174)</f>
        <v>174</v>
      </c>
      <c r="B101">
        <v>129761636</v>
      </c>
      <c r="C101">
        <v>129763287</v>
      </c>
      <c r="D101">
        <v>37345142</v>
      </c>
      <c r="E101">
        <v>37345137</v>
      </c>
      <c r="F101">
        <v>1</v>
      </c>
      <c r="G101">
        <v>37345137</v>
      </c>
      <c r="H101">
        <v>1</v>
      </c>
      <c r="I101" t="s">
        <v>1096</v>
      </c>
      <c r="J101" t="s">
        <v>3</v>
      </c>
      <c r="K101" t="s">
        <v>1097</v>
      </c>
      <c r="L101">
        <v>1191</v>
      </c>
      <c r="N101">
        <v>1013</v>
      </c>
      <c r="O101" t="s">
        <v>1098</v>
      </c>
      <c r="P101" t="s">
        <v>1098</v>
      </c>
      <c r="Q101">
        <v>1</v>
      </c>
      <c r="W101">
        <v>0</v>
      </c>
      <c r="X101">
        <v>476480486</v>
      </c>
      <c r="Y101">
        <f>(AT101*0.5)</f>
        <v>34.935000000000002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1</v>
      </c>
      <c r="AJ101">
        <v>1</v>
      </c>
      <c r="AK101">
        <v>1</v>
      </c>
      <c r="AL101">
        <v>1</v>
      </c>
      <c r="AN101">
        <v>0</v>
      </c>
      <c r="AO101">
        <v>1</v>
      </c>
      <c r="AP101">
        <v>1</v>
      </c>
      <c r="AQ101">
        <v>0</v>
      </c>
      <c r="AR101">
        <v>0</v>
      </c>
      <c r="AS101" t="s">
        <v>3</v>
      </c>
      <c r="AT101">
        <v>69.87</v>
      </c>
      <c r="AU101" t="s">
        <v>186</v>
      </c>
      <c r="AV101">
        <v>1</v>
      </c>
      <c r="AW101">
        <v>2</v>
      </c>
      <c r="AX101">
        <v>129763292</v>
      </c>
      <c r="AY101">
        <v>1</v>
      </c>
      <c r="AZ101">
        <v>0</v>
      </c>
      <c r="BA101">
        <v>107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ROUND(Y101*Source!I174,9)</f>
        <v>2.1310349999999998</v>
      </c>
      <c r="CY101">
        <f>AD101</f>
        <v>0</v>
      </c>
      <c r="CZ101">
        <f>AH101</f>
        <v>0</v>
      </c>
      <c r="DA101">
        <f>AL101</f>
        <v>1</v>
      </c>
      <c r="DB101">
        <f>ROUND((ROUND(AT101*CZ101,2)*0.5),6)</f>
        <v>0</v>
      </c>
      <c r="DC101">
        <f>ROUND((ROUND(AT101*AG101,2)*0.5),6)</f>
        <v>0</v>
      </c>
      <c r="DD101" t="s">
        <v>3</v>
      </c>
      <c r="DE101" t="s">
        <v>3</v>
      </c>
      <c r="DF101">
        <f t="shared" ref="DF101:DF107" si="45">ROUND(AE101*CX101,2)</f>
        <v>0</v>
      </c>
      <c r="DG101">
        <f t="shared" si="43"/>
        <v>0</v>
      </c>
      <c r="DH101">
        <f t="shared" si="44"/>
        <v>0</v>
      </c>
      <c r="DI101">
        <f t="shared" si="32"/>
        <v>0</v>
      </c>
      <c r="DJ101">
        <f>DI101</f>
        <v>0</v>
      </c>
      <c r="DK101">
        <v>0</v>
      </c>
    </row>
    <row r="102" spans="1:115" x14ac:dyDescent="0.2">
      <c r="A102">
        <f>ROW(Source!A174)</f>
        <v>174</v>
      </c>
      <c r="B102">
        <v>129761636</v>
      </c>
      <c r="C102">
        <v>129763287</v>
      </c>
      <c r="D102">
        <v>37418063</v>
      </c>
      <c r="E102">
        <v>1</v>
      </c>
      <c r="F102">
        <v>1</v>
      </c>
      <c r="G102">
        <v>37345137</v>
      </c>
      <c r="H102">
        <v>2</v>
      </c>
      <c r="I102" t="s">
        <v>1153</v>
      </c>
      <c r="J102" t="s">
        <v>1154</v>
      </c>
      <c r="K102" t="s">
        <v>1155</v>
      </c>
      <c r="L102">
        <v>1367</v>
      </c>
      <c r="N102">
        <v>1011</v>
      </c>
      <c r="O102" t="s">
        <v>1102</v>
      </c>
      <c r="P102" t="s">
        <v>1102</v>
      </c>
      <c r="Q102">
        <v>1</v>
      </c>
      <c r="W102">
        <v>0</v>
      </c>
      <c r="X102">
        <v>-668768829</v>
      </c>
      <c r="Y102">
        <f>(AT102*0.5)</f>
        <v>0.72</v>
      </c>
      <c r="AA102">
        <v>0</v>
      </c>
      <c r="AB102">
        <v>41.62</v>
      </c>
      <c r="AC102">
        <v>13.33</v>
      </c>
      <c r="AD102">
        <v>0</v>
      </c>
      <c r="AE102">
        <v>0</v>
      </c>
      <c r="AF102">
        <v>41.62</v>
      </c>
      <c r="AG102">
        <v>13.33</v>
      </c>
      <c r="AH102">
        <v>0</v>
      </c>
      <c r="AI102">
        <v>1</v>
      </c>
      <c r="AJ102">
        <v>1</v>
      </c>
      <c r="AK102">
        <v>1</v>
      </c>
      <c r="AL102">
        <v>1</v>
      </c>
      <c r="AN102">
        <v>0</v>
      </c>
      <c r="AO102">
        <v>1</v>
      </c>
      <c r="AP102">
        <v>1</v>
      </c>
      <c r="AQ102">
        <v>0</v>
      </c>
      <c r="AR102">
        <v>0</v>
      </c>
      <c r="AS102" t="s">
        <v>3</v>
      </c>
      <c r="AT102">
        <v>1.44</v>
      </c>
      <c r="AU102" t="s">
        <v>186</v>
      </c>
      <c r="AV102">
        <v>0</v>
      </c>
      <c r="AW102">
        <v>2</v>
      </c>
      <c r="AX102">
        <v>129763293</v>
      </c>
      <c r="AY102">
        <v>1</v>
      </c>
      <c r="AZ102">
        <v>0</v>
      </c>
      <c r="BA102">
        <v>108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ROUND(Y102*Source!I174,9)</f>
        <v>4.3920000000000001E-2</v>
      </c>
      <c r="CY102">
        <f>AB102</f>
        <v>41.62</v>
      </c>
      <c r="CZ102">
        <f>AF102</f>
        <v>41.62</v>
      </c>
      <c r="DA102">
        <f>AJ102</f>
        <v>1</v>
      </c>
      <c r="DB102">
        <f>ROUND((ROUND(AT102*CZ102,2)*0.5),6)</f>
        <v>29.965</v>
      </c>
      <c r="DC102">
        <f>ROUND((ROUND(AT102*AG102,2)*0.5),6)</f>
        <v>9.6</v>
      </c>
      <c r="DD102" t="s">
        <v>3</v>
      </c>
      <c r="DE102" t="s">
        <v>3</v>
      </c>
      <c r="DF102">
        <f t="shared" si="45"/>
        <v>0</v>
      </c>
      <c r="DG102">
        <f t="shared" si="43"/>
        <v>1.83</v>
      </c>
      <c r="DH102">
        <f t="shared" si="44"/>
        <v>0.59</v>
      </c>
      <c r="DI102">
        <f t="shared" si="32"/>
        <v>0</v>
      </c>
      <c r="DJ102">
        <f>DG102</f>
        <v>1.83</v>
      </c>
      <c r="DK102">
        <v>0</v>
      </c>
    </row>
    <row r="103" spans="1:115" x14ac:dyDescent="0.2">
      <c r="A103">
        <f>ROW(Source!A174)</f>
        <v>174</v>
      </c>
      <c r="B103">
        <v>129761636</v>
      </c>
      <c r="C103">
        <v>129763287</v>
      </c>
      <c r="D103">
        <v>37418523</v>
      </c>
      <c r="E103">
        <v>1</v>
      </c>
      <c r="F103">
        <v>1</v>
      </c>
      <c r="G103">
        <v>37345137</v>
      </c>
      <c r="H103">
        <v>2</v>
      </c>
      <c r="I103" t="s">
        <v>1156</v>
      </c>
      <c r="J103" t="s">
        <v>1157</v>
      </c>
      <c r="K103" t="s">
        <v>1158</v>
      </c>
      <c r="L103">
        <v>1367</v>
      </c>
      <c r="N103">
        <v>1011</v>
      </c>
      <c r="O103" t="s">
        <v>1102</v>
      </c>
      <c r="P103" t="s">
        <v>1102</v>
      </c>
      <c r="Q103">
        <v>1</v>
      </c>
      <c r="W103">
        <v>0</v>
      </c>
      <c r="X103">
        <v>-48163219</v>
      </c>
      <c r="Y103">
        <f>(AT103*0.5)</f>
        <v>0.72</v>
      </c>
      <c r="AA103">
        <v>0</v>
      </c>
      <c r="AB103">
        <v>3.16</v>
      </c>
      <c r="AC103">
        <v>0.04</v>
      </c>
      <c r="AD103">
        <v>0</v>
      </c>
      <c r="AE103">
        <v>0</v>
      </c>
      <c r="AF103">
        <v>3.16</v>
      </c>
      <c r="AG103">
        <v>0.04</v>
      </c>
      <c r="AH103">
        <v>0</v>
      </c>
      <c r="AI103">
        <v>1</v>
      </c>
      <c r="AJ103">
        <v>1</v>
      </c>
      <c r="AK103">
        <v>1</v>
      </c>
      <c r="AL103">
        <v>1</v>
      </c>
      <c r="AN103">
        <v>0</v>
      </c>
      <c r="AO103">
        <v>1</v>
      </c>
      <c r="AP103">
        <v>1</v>
      </c>
      <c r="AQ103">
        <v>0</v>
      </c>
      <c r="AR103">
        <v>0</v>
      </c>
      <c r="AS103" t="s">
        <v>3</v>
      </c>
      <c r="AT103">
        <v>1.44</v>
      </c>
      <c r="AU103" t="s">
        <v>186</v>
      </c>
      <c r="AV103">
        <v>0</v>
      </c>
      <c r="AW103">
        <v>2</v>
      </c>
      <c r="AX103">
        <v>129763294</v>
      </c>
      <c r="AY103">
        <v>1</v>
      </c>
      <c r="AZ103">
        <v>0</v>
      </c>
      <c r="BA103">
        <v>109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ROUND(Y103*Source!I174,9)</f>
        <v>4.3920000000000001E-2</v>
      </c>
      <c r="CY103">
        <f>AB103</f>
        <v>3.16</v>
      </c>
      <c r="CZ103">
        <f>AF103</f>
        <v>3.16</v>
      </c>
      <c r="DA103">
        <f>AJ103</f>
        <v>1</v>
      </c>
      <c r="DB103">
        <f>ROUND((ROUND(AT103*CZ103,2)*0.5),6)</f>
        <v>2.2749999999999999</v>
      </c>
      <c r="DC103">
        <f>ROUND((ROUND(AT103*AG103,2)*0.5),6)</f>
        <v>0.03</v>
      </c>
      <c r="DD103" t="s">
        <v>3</v>
      </c>
      <c r="DE103" t="s">
        <v>3</v>
      </c>
      <c r="DF103">
        <f t="shared" si="45"/>
        <v>0</v>
      </c>
      <c r="DG103">
        <f t="shared" si="43"/>
        <v>0.14000000000000001</v>
      </c>
      <c r="DH103">
        <f t="shared" si="44"/>
        <v>0</v>
      </c>
      <c r="DI103">
        <f t="shared" si="32"/>
        <v>0</v>
      </c>
      <c r="DJ103">
        <f>DG103</f>
        <v>0.14000000000000001</v>
      </c>
      <c r="DK103">
        <v>0</v>
      </c>
    </row>
    <row r="104" spans="1:115" x14ac:dyDescent="0.2">
      <c r="A104">
        <f>ROW(Source!A174)</f>
        <v>174</v>
      </c>
      <c r="B104">
        <v>129761636</v>
      </c>
      <c r="C104">
        <v>129763287</v>
      </c>
      <c r="D104">
        <v>37367068</v>
      </c>
      <c r="E104">
        <v>37345137</v>
      </c>
      <c r="F104">
        <v>1</v>
      </c>
      <c r="G104">
        <v>37345137</v>
      </c>
      <c r="H104">
        <v>3</v>
      </c>
      <c r="I104" t="s">
        <v>162</v>
      </c>
      <c r="J104" t="s">
        <v>3</v>
      </c>
      <c r="K104" t="s">
        <v>163</v>
      </c>
      <c r="L104">
        <v>1348</v>
      </c>
      <c r="N104">
        <v>1009</v>
      </c>
      <c r="O104" t="s">
        <v>114</v>
      </c>
      <c r="P104" t="s">
        <v>114</v>
      </c>
      <c r="Q104">
        <v>1000</v>
      </c>
      <c r="W104">
        <v>1</v>
      </c>
      <c r="X104">
        <v>1489638031</v>
      </c>
      <c r="Y104">
        <f>AT104</f>
        <v>-5.2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1</v>
      </c>
      <c r="AJ104">
        <v>1</v>
      </c>
      <c r="AK104">
        <v>1</v>
      </c>
      <c r="AL104">
        <v>1</v>
      </c>
      <c r="AN104">
        <v>0</v>
      </c>
      <c r="AO104">
        <v>1</v>
      </c>
      <c r="AP104">
        <v>0</v>
      </c>
      <c r="AQ104">
        <v>0</v>
      </c>
      <c r="AR104">
        <v>0</v>
      </c>
      <c r="AS104" t="s">
        <v>3</v>
      </c>
      <c r="AT104">
        <v>-5.2</v>
      </c>
      <c r="AU104" t="s">
        <v>3</v>
      </c>
      <c r="AV104">
        <v>0</v>
      </c>
      <c r="AW104">
        <v>2</v>
      </c>
      <c r="AX104">
        <v>129763295</v>
      </c>
      <c r="AY104">
        <v>1</v>
      </c>
      <c r="AZ104">
        <v>6144</v>
      </c>
      <c r="BA104">
        <v>110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ROUND(Y104*Source!I174,9)</f>
        <v>-0.31719999999999998</v>
      </c>
      <c r="CY104">
        <f>AA104</f>
        <v>0</v>
      </c>
      <c r="CZ104">
        <f>AE104</f>
        <v>0</v>
      </c>
      <c r="DA104">
        <f>AI104</f>
        <v>1</v>
      </c>
      <c r="DB104">
        <f>ROUND(ROUND(AT104*CZ104,2),6)</f>
        <v>0</v>
      </c>
      <c r="DC104">
        <f>ROUND(ROUND(AT104*AG104,2),6)</f>
        <v>0</v>
      </c>
      <c r="DD104" t="s">
        <v>3</v>
      </c>
      <c r="DE104" t="s">
        <v>3</v>
      </c>
      <c r="DF104">
        <f t="shared" si="45"/>
        <v>0</v>
      </c>
      <c r="DG104">
        <f t="shared" si="43"/>
        <v>0</v>
      </c>
      <c r="DH104">
        <f t="shared" si="44"/>
        <v>0</v>
      </c>
      <c r="DI104">
        <f t="shared" si="32"/>
        <v>0</v>
      </c>
      <c r="DJ104">
        <f>DF104</f>
        <v>0</v>
      </c>
      <c r="DK104">
        <v>0</v>
      </c>
    </row>
    <row r="105" spans="1:115" x14ac:dyDescent="0.2">
      <c r="A105">
        <f>ROW(Source!A175)</f>
        <v>175</v>
      </c>
      <c r="B105">
        <v>129761633</v>
      </c>
      <c r="C105">
        <v>129763287</v>
      </c>
      <c r="D105">
        <v>37345142</v>
      </c>
      <c r="E105">
        <v>37345137</v>
      </c>
      <c r="F105">
        <v>1</v>
      </c>
      <c r="G105">
        <v>37345137</v>
      </c>
      <c r="H105">
        <v>1</v>
      </c>
      <c r="I105" t="s">
        <v>1096</v>
      </c>
      <c r="J105" t="s">
        <v>3</v>
      </c>
      <c r="K105" t="s">
        <v>1097</v>
      </c>
      <c r="L105">
        <v>1191</v>
      </c>
      <c r="N105">
        <v>1013</v>
      </c>
      <c r="O105" t="s">
        <v>1098</v>
      </c>
      <c r="P105" t="s">
        <v>1098</v>
      </c>
      <c r="Q105">
        <v>1</v>
      </c>
      <c r="W105">
        <v>0</v>
      </c>
      <c r="X105">
        <v>476480486</v>
      </c>
      <c r="Y105">
        <f>(AT105*0.5)</f>
        <v>34.935000000000002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1</v>
      </c>
      <c r="AJ105">
        <v>1</v>
      </c>
      <c r="AK105">
        <v>1</v>
      </c>
      <c r="AL105">
        <v>1</v>
      </c>
      <c r="AN105">
        <v>0</v>
      </c>
      <c r="AO105">
        <v>1</v>
      </c>
      <c r="AP105">
        <v>1</v>
      </c>
      <c r="AQ105">
        <v>0</v>
      </c>
      <c r="AR105">
        <v>0</v>
      </c>
      <c r="AS105" t="s">
        <v>3</v>
      </c>
      <c r="AT105">
        <v>69.87</v>
      </c>
      <c r="AU105" t="s">
        <v>186</v>
      </c>
      <c r="AV105">
        <v>1</v>
      </c>
      <c r="AW105">
        <v>2</v>
      </c>
      <c r="AX105">
        <v>129763292</v>
      </c>
      <c r="AY105">
        <v>1</v>
      </c>
      <c r="AZ105">
        <v>0</v>
      </c>
      <c r="BA105">
        <v>111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ROUND(Y105*Source!I175,9)</f>
        <v>2.1310349999999998</v>
      </c>
      <c r="CY105">
        <f>AD105</f>
        <v>0</v>
      </c>
      <c r="CZ105">
        <f>AH105</f>
        <v>0</v>
      </c>
      <c r="DA105">
        <f>AL105</f>
        <v>1</v>
      </c>
      <c r="DB105">
        <f>ROUND((ROUND(AT105*CZ105,2)*0.5),6)</f>
        <v>0</v>
      </c>
      <c r="DC105">
        <f>ROUND((ROUND(AT105*AG105,2)*0.5),6)</f>
        <v>0</v>
      </c>
      <c r="DD105" t="s">
        <v>3</v>
      </c>
      <c r="DE105" t="s">
        <v>3</v>
      </c>
      <c r="DF105">
        <f t="shared" si="45"/>
        <v>0</v>
      </c>
      <c r="DG105">
        <f t="shared" si="43"/>
        <v>0</v>
      </c>
      <c r="DH105">
        <f t="shared" si="44"/>
        <v>0</v>
      </c>
      <c r="DI105">
        <f t="shared" si="32"/>
        <v>0</v>
      </c>
      <c r="DJ105">
        <f>DI105</f>
        <v>0</v>
      </c>
      <c r="DK105">
        <v>0</v>
      </c>
    </row>
    <row r="106" spans="1:115" x14ac:dyDescent="0.2">
      <c r="A106">
        <f>ROW(Source!A175)</f>
        <v>175</v>
      </c>
      <c r="B106">
        <v>129761633</v>
      </c>
      <c r="C106">
        <v>129763287</v>
      </c>
      <c r="D106">
        <v>37418063</v>
      </c>
      <c r="E106">
        <v>1</v>
      </c>
      <c r="F106">
        <v>1</v>
      </c>
      <c r="G106">
        <v>37345137</v>
      </c>
      <c r="H106">
        <v>2</v>
      </c>
      <c r="I106" t="s">
        <v>1153</v>
      </c>
      <c r="J106" t="s">
        <v>1154</v>
      </c>
      <c r="K106" t="s">
        <v>1155</v>
      </c>
      <c r="L106">
        <v>1367</v>
      </c>
      <c r="N106">
        <v>1011</v>
      </c>
      <c r="O106" t="s">
        <v>1102</v>
      </c>
      <c r="P106" t="s">
        <v>1102</v>
      </c>
      <c r="Q106">
        <v>1</v>
      </c>
      <c r="W106">
        <v>0</v>
      </c>
      <c r="X106">
        <v>-668768829</v>
      </c>
      <c r="Y106">
        <f>(AT106*0.5)</f>
        <v>0.72</v>
      </c>
      <c r="AA106">
        <v>0</v>
      </c>
      <c r="AB106">
        <v>721.62</v>
      </c>
      <c r="AC106">
        <v>405.16</v>
      </c>
      <c r="AD106">
        <v>0</v>
      </c>
      <c r="AE106">
        <v>0</v>
      </c>
      <c r="AF106">
        <v>41.62</v>
      </c>
      <c r="AG106">
        <v>13.33</v>
      </c>
      <c r="AH106">
        <v>0</v>
      </c>
      <c r="AI106">
        <v>1</v>
      </c>
      <c r="AJ106">
        <v>16.559999999999999</v>
      </c>
      <c r="AK106">
        <v>29.03</v>
      </c>
      <c r="AL106">
        <v>1</v>
      </c>
      <c r="AN106">
        <v>0</v>
      </c>
      <c r="AO106">
        <v>1</v>
      </c>
      <c r="AP106">
        <v>1</v>
      </c>
      <c r="AQ106">
        <v>0</v>
      </c>
      <c r="AR106">
        <v>0</v>
      </c>
      <c r="AS106" t="s">
        <v>3</v>
      </c>
      <c r="AT106">
        <v>1.44</v>
      </c>
      <c r="AU106" t="s">
        <v>186</v>
      </c>
      <c r="AV106">
        <v>0</v>
      </c>
      <c r="AW106">
        <v>2</v>
      </c>
      <c r="AX106">
        <v>129763293</v>
      </c>
      <c r="AY106">
        <v>1</v>
      </c>
      <c r="AZ106">
        <v>0</v>
      </c>
      <c r="BA106">
        <v>112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ROUND(Y106*Source!I175,9)</f>
        <v>4.3920000000000001E-2</v>
      </c>
      <c r="CY106">
        <f>AB106</f>
        <v>721.62</v>
      </c>
      <c r="CZ106">
        <f>AF106</f>
        <v>41.62</v>
      </c>
      <c r="DA106">
        <f>AJ106</f>
        <v>16.559999999999999</v>
      </c>
      <c r="DB106">
        <f>ROUND((ROUND(AT106*CZ106,2)*0.5),6)</f>
        <v>29.965</v>
      </c>
      <c r="DC106">
        <f>ROUND((ROUND(AT106*AG106,2)*0.5),6)</f>
        <v>9.6</v>
      </c>
      <c r="DD106" t="s">
        <v>3</v>
      </c>
      <c r="DE106" t="s">
        <v>3</v>
      </c>
      <c r="DF106">
        <f t="shared" si="45"/>
        <v>0</v>
      </c>
      <c r="DG106">
        <f>ROUND(ROUND(AF106*CX106,2)*AJ106,2)</f>
        <v>30.3</v>
      </c>
      <c r="DH106">
        <f>ROUND(ROUND(AG106*CX106,2)*AK106,2)</f>
        <v>17.13</v>
      </c>
      <c r="DI106">
        <f t="shared" si="32"/>
        <v>0</v>
      </c>
      <c r="DJ106">
        <f>DG106</f>
        <v>30.3</v>
      </c>
      <c r="DK106">
        <v>0</v>
      </c>
    </row>
    <row r="107" spans="1:115" x14ac:dyDescent="0.2">
      <c r="A107">
        <f>ROW(Source!A175)</f>
        <v>175</v>
      </c>
      <c r="B107">
        <v>129761633</v>
      </c>
      <c r="C107">
        <v>129763287</v>
      </c>
      <c r="D107">
        <v>37418523</v>
      </c>
      <c r="E107">
        <v>1</v>
      </c>
      <c r="F107">
        <v>1</v>
      </c>
      <c r="G107">
        <v>37345137</v>
      </c>
      <c r="H107">
        <v>2</v>
      </c>
      <c r="I107" t="s">
        <v>1156</v>
      </c>
      <c r="J107" t="s">
        <v>1157</v>
      </c>
      <c r="K107" t="s">
        <v>1158</v>
      </c>
      <c r="L107">
        <v>1367</v>
      </c>
      <c r="N107">
        <v>1011</v>
      </c>
      <c r="O107" t="s">
        <v>1102</v>
      </c>
      <c r="P107" t="s">
        <v>1102</v>
      </c>
      <c r="Q107">
        <v>1</v>
      </c>
      <c r="W107">
        <v>0</v>
      </c>
      <c r="X107">
        <v>-48163219</v>
      </c>
      <c r="Y107">
        <f>(AT107*0.5)</f>
        <v>0.72</v>
      </c>
      <c r="AA107">
        <v>0</v>
      </c>
      <c r="AB107">
        <v>25.61</v>
      </c>
      <c r="AC107">
        <v>1.22</v>
      </c>
      <c r="AD107">
        <v>0</v>
      </c>
      <c r="AE107">
        <v>0</v>
      </c>
      <c r="AF107">
        <v>3.16</v>
      </c>
      <c r="AG107">
        <v>0.04</v>
      </c>
      <c r="AH107">
        <v>0</v>
      </c>
      <c r="AI107">
        <v>1</v>
      </c>
      <c r="AJ107">
        <v>7.74</v>
      </c>
      <c r="AK107">
        <v>29.03</v>
      </c>
      <c r="AL107">
        <v>1</v>
      </c>
      <c r="AN107">
        <v>0</v>
      </c>
      <c r="AO107">
        <v>1</v>
      </c>
      <c r="AP107">
        <v>1</v>
      </c>
      <c r="AQ107">
        <v>0</v>
      </c>
      <c r="AR107">
        <v>0</v>
      </c>
      <c r="AS107" t="s">
        <v>3</v>
      </c>
      <c r="AT107">
        <v>1.44</v>
      </c>
      <c r="AU107" t="s">
        <v>186</v>
      </c>
      <c r="AV107">
        <v>0</v>
      </c>
      <c r="AW107">
        <v>2</v>
      </c>
      <c r="AX107">
        <v>129763294</v>
      </c>
      <c r="AY107">
        <v>1</v>
      </c>
      <c r="AZ107">
        <v>0</v>
      </c>
      <c r="BA107">
        <v>113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ROUND(Y107*Source!I175,9)</f>
        <v>4.3920000000000001E-2</v>
      </c>
      <c r="CY107">
        <f>AB107</f>
        <v>25.61</v>
      </c>
      <c r="CZ107">
        <f>AF107</f>
        <v>3.16</v>
      </c>
      <c r="DA107">
        <f>AJ107</f>
        <v>7.74</v>
      </c>
      <c r="DB107">
        <f>ROUND((ROUND(AT107*CZ107,2)*0.5),6)</f>
        <v>2.2749999999999999</v>
      </c>
      <c r="DC107">
        <f>ROUND((ROUND(AT107*AG107,2)*0.5),6)</f>
        <v>0.03</v>
      </c>
      <c r="DD107" t="s">
        <v>3</v>
      </c>
      <c r="DE107" t="s">
        <v>3</v>
      </c>
      <c r="DF107">
        <f t="shared" si="45"/>
        <v>0</v>
      </c>
      <c r="DG107">
        <f>ROUND(ROUND(AF107*CX107,2)*AJ107,2)</f>
        <v>1.08</v>
      </c>
      <c r="DH107">
        <f>ROUND(ROUND(AG107*CX107,2)*AK107,2)</f>
        <v>0</v>
      </c>
      <c r="DI107">
        <f t="shared" si="32"/>
        <v>0</v>
      </c>
      <c r="DJ107">
        <f>DG107</f>
        <v>1.08</v>
      </c>
      <c r="DK107">
        <v>0</v>
      </c>
    </row>
    <row r="108" spans="1:115" x14ac:dyDescent="0.2">
      <c r="A108">
        <f>ROW(Source!A175)</f>
        <v>175</v>
      </c>
      <c r="B108">
        <v>129761633</v>
      </c>
      <c r="C108">
        <v>129763287</v>
      </c>
      <c r="D108">
        <v>37367068</v>
      </c>
      <c r="E108">
        <v>37345137</v>
      </c>
      <c r="F108">
        <v>1</v>
      </c>
      <c r="G108">
        <v>37345137</v>
      </c>
      <c r="H108">
        <v>3</v>
      </c>
      <c r="I108" t="s">
        <v>162</v>
      </c>
      <c r="J108" t="s">
        <v>3</v>
      </c>
      <c r="K108" t="s">
        <v>163</v>
      </c>
      <c r="L108">
        <v>1348</v>
      </c>
      <c r="N108">
        <v>1009</v>
      </c>
      <c r="O108" t="s">
        <v>114</v>
      </c>
      <c r="P108" t="s">
        <v>114</v>
      </c>
      <c r="Q108">
        <v>1000</v>
      </c>
      <c r="W108">
        <v>1</v>
      </c>
      <c r="X108">
        <v>1489638031</v>
      </c>
      <c r="Y108">
        <f t="shared" ref="Y108:Y116" si="46">AT108</f>
        <v>-5.2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8.65</v>
      </c>
      <c r="AJ108">
        <v>1</v>
      </c>
      <c r="AK108">
        <v>1</v>
      </c>
      <c r="AL108">
        <v>1</v>
      </c>
      <c r="AN108">
        <v>0</v>
      </c>
      <c r="AO108">
        <v>1</v>
      </c>
      <c r="AP108">
        <v>0</v>
      </c>
      <c r="AQ108">
        <v>0</v>
      </c>
      <c r="AR108">
        <v>0</v>
      </c>
      <c r="AS108" t="s">
        <v>3</v>
      </c>
      <c r="AT108">
        <v>-5.2</v>
      </c>
      <c r="AU108" t="s">
        <v>3</v>
      </c>
      <c r="AV108">
        <v>0</v>
      </c>
      <c r="AW108">
        <v>2</v>
      </c>
      <c r="AX108">
        <v>129763295</v>
      </c>
      <c r="AY108">
        <v>1</v>
      </c>
      <c r="AZ108">
        <v>6144</v>
      </c>
      <c r="BA108">
        <v>114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ROUND(Y108*Source!I175,9)</f>
        <v>-0.31719999999999998</v>
      </c>
      <c r="CY108">
        <f>AA108</f>
        <v>0</v>
      </c>
      <c r="CZ108">
        <f>AE108</f>
        <v>0</v>
      </c>
      <c r="DA108">
        <f>AI108</f>
        <v>8.65</v>
      </c>
      <c r="DB108">
        <f t="shared" ref="DB108:DB116" si="47">ROUND(ROUND(AT108*CZ108,2),6)</f>
        <v>0</v>
      </c>
      <c r="DC108">
        <f t="shared" ref="DC108:DC116" si="48">ROUND(ROUND(AT108*AG108,2),6)</f>
        <v>0</v>
      </c>
      <c r="DD108" t="s">
        <v>3</v>
      </c>
      <c r="DE108" t="s">
        <v>3</v>
      </c>
      <c r="DF108">
        <f>ROUND(ROUND(AE108*CX108,2)*AI108,2)</f>
        <v>0</v>
      </c>
      <c r="DG108">
        <f t="shared" ref="DG108:DG113" si="49">ROUND(AF108*CX108,2)</f>
        <v>0</v>
      </c>
      <c r="DH108">
        <f t="shared" ref="DH108:DH113" si="50">ROUND(AG108*CX108,2)</f>
        <v>0</v>
      </c>
      <c r="DI108">
        <f t="shared" si="32"/>
        <v>0</v>
      </c>
      <c r="DJ108">
        <f>DF108</f>
        <v>0</v>
      </c>
      <c r="DK108">
        <v>0</v>
      </c>
    </row>
    <row r="109" spans="1:115" x14ac:dyDescent="0.2">
      <c r="A109">
        <f>ROW(Source!A178)</f>
        <v>178</v>
      </c>
      <c r="B109">
        <v>129761636</v>
      </c>
      <c r="C109">
        <v>129763297</v>
      </c>
      <c r="D109">
        <v>37345142</v>
      </c>
      <c r="E109">
        <v>37345137</v>
      </c>
      <c r="F109">
        <v>1</v>
      </c>
      <c r="G109">
        <v>37345137</v>
      </c>
      <c r="H109">
        <v>1</v>
      </c>
      <c r="I109" t="s">
        <v>1096</v>
      </c>
      <c r="J109" t="s">
        <v>3</v>
      </c>
      <c r="K109" t="s">
        <v>1097</v>
      </c>
      <c r="L109">
        <v>1191</v>
      </c>
      <c r="N109">
        <v>1013</v>
      </c>
      <c r="O109" t="s">
        <v>1098</v>
      </c>
      <c r="P109" t="s">
        <v>1098</v>
      </c>
      <c r="Q109">
        <v>1</v>
      </c>
      <c r="W109">
        <v>0</v>
      </c>
      <c r="X109">
        <v>476480486</v>
      </c>
      <c r="Y109">
        <f t="shared" si="46"/>
        <v>24.6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1</v>
      </c>
      <c r="AJ109">
        <v>1</v>
      </c>
      <c r="AK109">
        <v>1</v>
      </c>
      <c r="AL109">
        <v>1</v>
      </c>
      <c r="AN109">
        <v>0</v>
      </c>
      <c r="AO109">
        <v>1</v>
      </c>
      <c r="AP109">
        <v>0</v>
      </c>
      <c r="AQ109">
        <v>0</v>
      </c>
      <c r="AR109">
        <v>0</v>
      </c>
      <c r="AS109" t="s">
        <v>3</v>
      </c>
      <c r="AT109">
        <v>24.6</v>
      </c>
      <c r="AU109" t="s">
        <v>3</v>
      </c>
      <c r="AV109">
        <v>1</v>
      </c>
      <c r="AW109">
        <v>2</v>
      </c>
      <c r="AX109">
        <v>129763302</v>
      </c>
      <c r="AY109">
        <v>1</v>
      </c>
      <c r="AZ109">
        <v>0</v>
      </c>
      <c r="BA109">
        <v>115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ROUND(Y109*Source!I178,9)</f>
        <v>1.599</v>
      </c>
      <c r="CY109">
        <f>AD109</f>
        <v>0</v>
      </c>
      <c r="CZ109">
        <f>AH109</f>
        <v>0</v>
      </c>
      <c r="DA109">
        <f>AL109</f>
        <v>1</v>
      </c>
      <c r="DB109">
        <f t="shared" si="47"/>
        <v>0</v>
      </c>
      <c r="DC109">
        <f t="shared" si="48"/>
        <v>0</v>
      </c>
      <c r="DD109" t="s">
        <v>3</v>
      </c>
      <c r="DE109" t="s">
        <v>3</v>
      </c>
      <c r="DF109">
        <f t="shared" ref="DF109:DF115" si="51">ROUND(AE109*CX109,2)</f>
        <v>0</v>
      </c>
      <c r="DG109">
        <f t="shared" si="49"/>
        <v>0</v>
      </c>
      <c r="DH109">
        <f t="shared" si="50"/>
        <v>0</v>
      </c>
      <c r="DI109">
        <f t="shared" si="32"/>
        <v>0</v>
      </c>
      <c r="DJ109">
        <f>DI109</f>
        <v>0</v>
      </c>
      <c r="DK109">
        <v>0</v>
      </c>
    </row>
    <row r="110" spans="1:115" x14ac:dyDescent="0.2">
      <c r="A110">
        <f>ROW(Source!A178)</f>
        <v>178</v>
      </c>
      <c r="B110">
        <v>129761636</v>
      </c>
      <c r="C110">
        <v>129763297</v>
      </c>
      <c r="D110">
        <v>37418063</v>
      </c>
      <c r="E110">
        <v>1</v>
      </c>
      <c r="F110">
        <v>1</v>
      </c>
      <c r="G110">
        <v>37345137</v>
      </c>
      <c r="H110">
        <v>2</v>
      </c>
      <c r="I110" t="s">
        <v>1153</v>
      </c>
      <c r="J110" t="s">
        <v>1154</v>
      </c>
      <c r="K110" t="s">
        <v>1155</v>
      </c>
      <c r="L110">
        <v>1367</v>
      </c>
      <c r="N110">
        <v>1011</v>
      </c>
      <c r="O110" t="s">
        <v>1102</v>
      </c>
      <c r="P110" t="s">
        <v>1102</v>
      </c>
      <c r="Q110">
        <v>1</v>
      </c>
      <c r="W110">
        <v>0</v>
      </c>
      <c r="X110">
        <v>-668768829</v>
      </c>
      <c r="Y110">
        <f t="shared" si="46"/>
        <v>10.4</v>
      </c>
      <c r="AA110">
        <v>0</v>
      </c>
      <c r="AB110">
        <v>41.62</v>
      </c>
      <c r="AC110">
        <v>13.33</v>
      </c>
      <c r="AD110">
        <v>0</v>
      </c>
      <c r="AE110">
        <v>0</v>
      </c>
      <c r="AF110">
        <v>41.62</v>
      </c>
      <c r="AG110">
        <v>13.33</v>
      </c>
      <c r="AH110">
        <v>0</v>
      </c>
      <c r="AI110">
        <v>1</v>
      </c>
      <c r="AJ110">
        <v>1</v>
      </c>
      <c r="AK110">
        <v>1</v>
      </c>
      <c r="AL110">
        <v>1</v>
      </c>
      <c r="AN110">
        <v>0</v>
      </c>
      <c r="AO110">
        <v>1</v>
      </c>
      <c r="AP110">
        <v>0</v>
      </c>
      <c r="AQ110">
        <v>0</v>
      </c>
      <c r="AR110">
        <v>0</v>
      </c>
      <c r="AS110" t="s">
        <v>3</v>
      </c>
      <c r="AT110">
        <v>10.4</v>
      </c>
      <c r="AU110" t="s">
        <v>3</v>
      </c>
      <c r="AV110">
        <v>0</v>
      </c>
      <c r="AW110">
        <v>2</v>
      </c>
      <c r="AX110">
        <v>129763303</v>
      </c>
      <c r="AY110">
        <v>1</v>
      </c>
      <c r="AZ110">
        <v>0</v>
      </c>
      <c r="BA110">
        <v>116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ROUND(Y110*Source!I178,9)</f>
        <v>0.67600000000000005</v>
      </c>
      <c r="CY110">
        <f>AB110</f>
        <v>41.62</v>
      </c>
      <c r="CZ110">
        <f>AF110</f>
        <v>41.62</v>
      </c>
      <c r="DA110">
        <f>AJ110</f>
        <v>1</v>
      </c>
      <c r="DB110">
        <f t="shared" si="47"/>
        <v>432.85</v>
      </c>
      <c r="DC110">
        <f t="shared" si="48"/>
        <v>138.63</v>
      </c>
      <c r="DD110" t="s">
        <v>3</v>
      </c>
      <c r="DE110" t="s">
        <v>3</v>
      </c>
      <c r="DF110">
        <f t="shared" si="51"/>
        <v>0</v>
      </c>
      <c r="DG110">
        <f t="shared" si="49"/>
        <v>28.14</v>
      </c>
      <c r="DH110">
        <f t="shared" si="50"/>
        <v>9.01</v>
      </c>
      <c r="DI110">
        <f t="shared" si="32"/>
        <v>0</v>
      </c>
      <c r="DJ110">
        <f>DG110</f>
        <v>28.14</v>
      </c>
      <c r="DK110">
        <v>0</v>
      </c>
    </row>
    <row r="111" spans="1:115" x14ac:dyDescent="0.2">
      <c r="A111">
        <f>ROW(Source!A178)</f>
        <v>178</v>
      </c>
      <c r="B111">
        <v>129761636</v>
      </c>
      <c r="C111">
        <v>129763297</v>
      </c>
      <c r="D111">
        <v>37418523</v>
      </c>
      <c r="E111">
        <v>1</v>
      </c>
      <c r="F111">
        <v>1</v>
      </c>
      <c r="G111">
        <v>37345137</v>
      </c>
      <c r="H111">
        <v>2</v>
      </c>
      <c r="I111" t="s">
        <v>1156</v>
      </c>
      <c r="J111" t="s">
        <v>1157</v>
      </c>
      <c r="K111" t="s">
        <v>1158</v>
      </c>
      <c r="L111">
        <v>1367</v>
      </c>
      <c r="N111">
        <v>1011</v>
      </c>
      <c r="O111" t="s">
        <v>1102</v>
      </c>
      <c r="P111" t="s">
        <v>1102</v>
      </c>
      <c r="Q111">
        <v>1</v>
      </c>
      <c r="W111">
        <v>0</v>
      </c>
      <c r="X111">
        <v>-48163219</v>
      </c>
      <c r="Y111">
        <f t="shared" si="46"/>
        <v>10.4</v>
      </c>
      <c r="AA111">
        <v>0</v>
      </c>
      <c r="AB111">
        <v>3.16</v>
      </c>
      <c r="AC111">
        <v>0.04</v>
      </c>
      <c r="AD111">
        <v>0</v>
      </c>
      <c r="AE111">
        <v>0</v>
      </c>
      <c r="AF111">
        <v>3.16</v>
      </c>
      <c r="AG111">
        <v>0.04</v>
      </c>
      <c r="AH111">
        <v>0</v>
      </c>
      <c r="AI111">
        <v>1</v>
      </c>
      <c r="AJ111">
        <v>1</v>
      </c>
      <c r="AK111">
        <v>1</v>
      </c>
      <c r="AL111">
        <v>1</v>
      </c>
      <c r="AN111">
        <v>0</v>
      </c>
      <c r="AO111">
        <v>1</v>
      </c>
      <c r="AP111">
        <v>0</v>
      </c>
      <c r="AQ111">
        <v>0</v>
      </c>
      <c r="AR111">
        <v>0</v>
      </c>
      <c r="AS111" t="s">
        <v>3</v>
      </c>
      <c r="AT111">
        <v>10.4</v>
      </c>
      <c r="AU111" t="s">
        <v>3</v>
      </c>
      <c r="AV111">
        <v>0</v>
      </c>
      <c r="AW111">
        <v>2</v>
      </c>
      <c r="AX111">
        <v>129763304</v>
      </c>
      <c r="AY111">
        <v>1</v>
      </c>
      <c r="AZ111">
        <v>0</v>
      </c>
      <c r="BA111">
        <v>117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ROUND(Y111*Source!I178,9)</f>
        <v>0.67600000000000005</v>
      </c>
      <c r="CY111">
        <f>AB111</f>
        <v>3.16</v>
      </c>
      <c r="CZ111">
        <f>AF111</f>
        <v>3.16</v>
      </c>
      <c r="DA111">
        <f>AJ111</f>
        <v>1</v>
      </c>
      <c r="DB111">
        <f t="shared" si="47"/>
        <v>32.86</v>
      </c>
      <c r="DC111">
        <f t="shared" si="48"/>
        <v>0.42</v>
      </c>
      <c r="DD111" t="s">
        <v>3</v>
      </c>
      <c r="DE111" t="s">
        <v>3</v>
      </c>
      <c r="DF111">
        <f t="shared" si="51"/>
        <v>0</v>
      </c>
      <c r="DG111">
        <f t="shared" si="49"/>
        <v>2.14</v>
      </c>
      <c r="DH111">
        <f t="shared" si="50"/>
        <v>0.03</v>
      </c>
      <c r="DI111">
        <f t="shared" si="32"/>
        <v>0</v>
      </c>
      <c r="DJ111">
        <f>DG111</f>
        <v>2.14</v>
      </c>
      <c r="DK111">
        <v>0</v>
      </c>
    </row>
    <row r="112" spans="1:115" x14ac:dyDescent="0.2">
      <c r="A112">
        <f>ROW(Source!A178)</f>
        <v>178</v>
      </c>
      <c r="B112">
        <v>129761636</v>
      </c>
      <c r="C112">
        <v>129763297</v>
      </c>
      <c r="D112">
        <v>37367068</v>
      </c>
      <c r="E112">
        <v>37345137</v>
      </c>
      <c r="F112">
        <v>1</v>
      </c>
      <c r="G112">
        <v>37345137</v>
      </c>
      <c r="H112">
        <v>3</v>
      </c>
      <c r="I112" t="s">
        <v>162</v>
      </c>
      <c r="J112" t="s">
        <v>3</v>
      </c>
      <c r="K112" t="s">
        <v>163</v>
      </c>
      <c r="L112">
        <v>1348</v>
      </c>
      <c r="N112">
        <v>1009</v>
      </c>
      <c r="O112" t="s">
        <v>114</v>
      </c>
      <c r="P112" t="s">
        <v>114</v>
      </c>
      <c r="Q112">
        <v>1000</v>
      </c>
      <c r="W112">
        <v>1</v>
      </c>
      <c r="X112">
        <v>1489638031</v>
      </c>
      <c r="Y112">
        <f t="shared" si="46"/>
        <v>-6.6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1</v>
      </c>
      <c r="AJ112">
        <v>1</v>
      </c>
      <c r="AK112">
        <v>1</v>
      </c>
      <c r="AL112">
        <v>1</v>
      </c>
      <c r="AN112">
        <v>0</v>
      </c>
      <c r="AO112">
        <v>1</v>
      </c>
      <c r="AP112">
        <v>0</v>
      </c>
      <c r="AQ112">
        <v>0</v>
      </c>
      <c r="AR112">
        <v>0</v>
      </c>
      <c r="AS112" t="s">
        <v>3</v>
      </c>
      <c r="AT112">
        <v>-6.6</v>
      </c>
      <c r="AU112" t="s">
        <v>3</v>
      </c>
      <c r="AV112">
        <v>0</v>
      </c>
      <c r="AW112">
        <v>2</v>
      </c>
      <c r="AX112">
        <v>129763305</v>
      </c>
      <c r="AY112">
        <v>1</v>
      </c>
      <c r="AZ112">
        <v>6144</v>
      </c>
      <c r="BA112">
        <v>118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ROUND(Y112*Source!I178,9)</f>
        <v>-0.42899999999999999</v>
      </c>
      <c r="CY112">
        <f>AA112</f>
        <v>0</v>
      </c>
      <c r="CZ112">
        <f>AE112</f>
        <v>0</v>
      </c>
      <c r="DA112">
        <f>AI112</f>
        <v>1</v>
      </c>
      <c r="DB112">
        <f t="shared" si="47"/>
        <v>0</v>
      </c>
      <c r="DC112">
        <f t="shared" si="48"/>
        <v>0</v>
      </c>
      <c r="DD112" t="s">
        <v>3</v>
      </c>
      <c r="DE112" t="s">
        <v>3</v>
      </c>
      <c r="DF112">
        <f t="shared" si="51"/>
        <v>0</v>
      </c>
      <c r="DG112">
        <f t="shared" si="49"/>
        <v>0</v>
      </c>
      <c r="DH112">
        <f t="shared" si="50"/>
        <v>0</v>
      </c>
      <c r="DI112">
        <f t="shared" si="32"/>
        <v>0</v>
      </c>
      <c r="DJ112">
        <f>DF112</f>
        <v>0</v>
      </c>
      <c r="DK112">
        <v>0</v>
      </c>
    </row>
    <row r="113" spans="1:115" x14ac:dyDescent="0.2">
      <c r="A113">
        <f>ROW(Source!A179)</f>
        <v>179</v>
      </c>
      <c r="B113">
        <v>129761633</v>
      </c>
      <c r="C113">
        <v>129763297</v>
      </c>
      <c r="D113">
        <v>37345142</v>
      </c>
      <c r="E113">
        <v>37345137</v>
      </c>
      <c r="F113">
        <v>1</v>
      </c>
      <c r="G113">
        <v>37345137</v>
      </c>
      <c r="H113">
        <v>1</v>
      </c>
      <c r="I113" t="s">
        <v>1096</v>
      </c>
      <c r="J113" t="s">
        <v>3</v>
      </c>
      <c r="K113" t="s">
        <v>1097</v>
      </c>
      <c r="L113">
        <v>1191</v>
      </c>
      <c r="N113">
        <v>1013</v>
      </c>
      <c r="O113" t="s">
        <v>1098</v>
      </c>
      <c r="P113" t="s">
        <v>1098</v>
      </c>
      <c r="Q113">
        <v>1</v>
      </c>
      <c r="W113">
        <v>0</v>
      </c>
      <c r="X113">
        <v>476480486</v>
      </c>
      <c r="Y113">
        <f t="shared" si="46"/>
        <v>24.6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1</v>
      </c>
      <c r="AJ113">
        <v>1</v>
      </c>
      <c r="AK113">
        <v>1</v>
      </c>
      <c r="AL113">
        <v>1</v>
      </c>
      <c r="AN113">
        <v>0</v>
      </c>
      <c r="AO113">
        <v>1</v>
      </c>
      <c r="AP113">
        <v>0</v>
      </c>
      <c r="AQ113">
        <v>0</v>
      </c>
      <c r="AR113">
        <v>0</v>
      </c>
      <c r="AS113" t="s">
        <v>3</v>
      </c>
      <c r="AT113">
        <v>24.6</v>
      </c>
      <c r="AU113" t="s">
        <v>3</v>
      </c>
      <c r="AV113">
        <v>1</v>
      </c>
      <c r="AW113">
        <v>2</v>
      </c>
      <c r="AX113">
        <v>129763302</v>
      </c>
      <c r="AY113">
        <v>1</v>
      </c>
      <c r="AZ113">
        <v>0</v>
      </c>
      <c r="BA113">
        <v>119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ROUND(Y113*Source!I179,9)</f>
        <v>1.599</v>
      </c>
      <c r="CY113">
        <f>AD113</f>
        <v>0</v>
      </c>
      <c r="CZ113">
        <f>AH113</f>
        <v>0</v>
      </c>
      <c r="DA113">
        <f>AL113</f>
        <v>1</v>
      </c>
      <c r="DB113">
        <f t="shared" si="47"/>
        <v>0</v>
      </c>
      <c r="DC113">
        <f t="shared" si="48"/>
        <v>0</v>
      </c>
      <c r="DD113" t="s">
        <v>3</v>
      </c>
      <c r="DE113" t="s">
        <v>3</v>
      </c>
      <c r="DF113">
        <f t="shared" si="51"/>
        <v>0</v>
      </c>
      <c r="DG113">
        <f t="shared" si="49"/>
        <v>0</v>
      </c>
      <c r="DH113">
        <f t="shared" si="50"/>
        <v>0</v>
      </c>
      <c r="DI113">
        <f t="shared" si="32"/>
        <v>0</v>
      </c>
      <c r="DJ113">
        <f>DI113</f>
        <v>0</v>
      </c>
      <c r="DK113">
        <v>0</v>
      </c>
    </row>
    <row r="114" spans="1:115" x14ac:dyDescent="0.2">
      <c r="A114">
        <f>ROW(Source!A179)</f>
        <v>179</v>
      </c>
      <c r="B114">
        <v>129761633</v>
      </c>
      <c r="C114">
        <v>129763297</v>
      </c>
      <c r="D114">
        <v>37418063</v>
      </c>
      <c r="E114">
        <v>1</v>
      </c>
      <c r="F114">
        <v>1</v>
      </c>
      <c r="G114">
        <v>37345137</v>
      </c>
      <c r="H114">
        <v>2</v>
      </c>
      <c r="I114" t="s">
        <v>1153</v>
      </c>
      <c r="J114" t="s">
        <v>1154</v>
      </c>
      <c r="K114" t="s">
        <v>1155</v>
      </c>
      <c r="L114">
        <v>1367</v>
      </c>
      <c r="N114">
        <v>1011</v>
      </c>
      <c r="O114" t="s">
        <v>1102</v>
      </c>
      <c r="P114" t="s">
        <v>1102</v>
      </c>
      <c r="Q114">
        <v>1</v>
      </c>
      <c r="W114">
        <v>0</v>
      </c>
      <c r="X114">
        <v>-668768829</v>
      </c>
      <c r="Y114">
        <f t="shared" si="46"/>
        <v>10.4</v>
      </c>
      <c r="AA114">
        <v>0</v>
      </c>
      <c r="AB114">
        <v>721.62</v>
      </c>
      <c r="AC114">
        <v>405.16</v>
      </c>
      <c r="AD114">
        <v>0</v>
      </c>
      <c r="AE114">
        <v>0</v>
      </c>
      <c r="AF114">
        <v>41.62</v>
      </c>
      <c r="AG114">
        <v>13.33</v>
      </c>
      <c r="AH114">
        <v>0</v>
      </c>
      <c r="AI114">
        <v>1</v>
      </c>
      <c r="AJ114">
        <v>16.559999999999999</v>
      </c>
      <c r="AK114">
        <v>29.03</v>
      </c>
      <c r="AL114">
        <v>1</v>
      </c>
      <c r="AN114">
        <v>0</v>
      </c>
      <c r="AO114">
        <v>1</v>
      </c>
      <c r="AP114">
        <v>0</v>
      </c>
      <c r="AQ114">
        <v>0</v>
      </c>
      <c r="AR114">
        <v>0</v>
      </c>
      <c r="AS114" t="s">
        <v>3</v>
      </c>
      <c r="AT114">
        <v>10.4</v>
      </c>
      <c r="AU114" t="s">
        <v>3</v>
      </c>
      <c r="AV114">
        <v>0</v>
      </c>
      <c r="AW114">
        <v>2</v>
      </c>
      <c r="AX114">
        <v>129763303</v>
      </c>
      <c r="AY114">
        <v>1</v>
      </c>
      <c r="AZ114">
        <v>0</v>
      </c>
      <c r="BA114">
        <v>120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ROUND(Y114*Source!I179,9)</f>
        <v>0.67600000000000005</v>
      </c>
      <c r="CY114">
        <f>AB114</f>
        <v>721.62</v>
      </c>
      <c r="CZ114">
        <f>AF114</f>
        <v>41.62</v>
      </c>
      <c r="DA114">
        <f>AJ114</f>
        <v>16.559999999999999</v>
      </c>
      <c r="DB114">
        <f t="shared" si="47"/>
        <v>432.85</v>
      </c>
      <c r="DC114">
        <f t="shared" si="48"/>
        <v>138.63</v>
      </c>
      <c r="DD114" t="s">
        <v>3</v>
      </c>
      <c r="DE114" t="s">
        <v>3</v>
      </c>
      <c r="DF114">
        <f t="shared" si="51"/>
        <v>0</v>
      </c>
      <c r="DG114">
        <f>ROUND(ROUND(AF114*CX114,2)*AJ114,2)</f>
        <v>466</v>
      </c>
      <c r="DH114">
        <f>ROUND(ROUND(AG114*CX114,2)*AK114,2)</f>
        <v>261.56</v>
      </c>
      <c r="DI114">
        <f t="shared" si="32"/>
        <v>0</v>
      </c>
      <c r="DJ114">
        <f>DG114</f>
        <v>466</v>
      </c>
      <c r="DK114">
        <v>0</v>
      </c>
    </row>
    <row r="115" spans="1:115" x14ac:dyDescent="0.2">
      <c r="A115">
        <f>ROW(Source!A179)</f>
        <v>179</v>
      </c>
      <c r="B115">
        <v>129761633</v>
      </c>
      <c r="C115">
        <v>129763297</v>
      </c>
      <c r="D115">
        <v>37418523</v>
      </c>
      <c r="E115">
        <v>1</v>
      </c>
      <c r="F115">
        <v>1</v>
      </c>
      <c r="G115">
        <v>37345137</v>
      </c>
      <c r="H115">
        <v>2</v>
      </c>
      <c r="I115" t="s">
        <v>1156</v>
      </c>
      <c r="J115" t="s">
        <v>1157</v>
      </c>
      <c r="K115" t="s">
        <v>1158</v>
      </c>
      <c r="L115">
        <v>1367</v>
      </c>
      <c r="N115">
        <v>1011</v>
      </c>
      <c r="O115" t="s">
        <v>1102</v>
      </c>
      <c r="P115" t="s">
        <v>1102</v>
      </c>
      <c r="Q115">
        <v>1</v>
      </c>
      <c r="W115">
        <v>0</v>
      </c>
      <c r="X115">
        <v>-48163219</v>
      </c>
      <c r="Y115">
        <f t="shared" si="46"/>
        <v>10.4</v>
      </c>
      <c r="AA115">
        <v>0</v>
      </c>
      <c r="AB115">
        <v>25.61</v>
      </c>
      <c r="AC115">
        <v>1.22</v>
      </c>
      <c r="AD115">
        <v>0</v>
      </c>
      <c r="AE115">
        <v>0</v>
      </c>
      <c r="AF115">
        <v>3.16</v>
      </c>
      <c r="AG115">
        <v>0.04</v>
      </c>
      <c r="AH115">
        <v>0</v>
      </c>
      <c r="AI115">
        <v>1</v>
      </c>
      <c r="AJ115">
        <v>7.74</v>
      </c>
      <c r="AK115">
        <v>29.03</v>
      </c>
      <c r="AL115">
        <v>1</v>
      </c>
      <c r="AN115">
        <v>0</v>
      </c>
      <c r="AO115">
        <v>1</v>
      </c>
      <c r="AP115">
        <v>0</v>
      </c>
      <c r="AQ115">
        <v>0</v>
      </c>
      <c r="AR115">
        <v>0</v>
      </c>
      <c r="AS115" t="s">
        <v>3</v>
      </c>
      <c r="AT115">
        <v>10.4</v>
      </c>
      <c r="AU115" t="s">
        <v>3</v>
      </c>
      <c r="AV115">
        <v>0</v>
      </c>
      <c r="AW115">
        <v>2</v>
      </c>
      <c r="AX115">
        <v>129763304</v>
      </c>
      <c r="AY115">
        <v>1</v>
      </c>
      <c r="AZ115">
        <v>0</v>
      </c>
      <c r="BA115">
        <v>121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ROUND(Y115*Source!I179,9)</f>
        <v>0.67600000000000005</v>
      </c>
      <c r="CY115">
        <f>AB115</f>
        <v>25.61</v>
      </c>
      <c r="CZ115">
        <f>AF115</f>
        <v>3.16</v>
      </c>
      <c r="DA115">
        <f>AJ115</f>
        <v>7.74</v>
      </c>
      <c r="DB115">
        <f t="shared" si="47"/>
        <v>32.86</v>
      </c>
      <c r="DC115">
        <f t="shared" si="48"/>
        <v>0.42</v>
      </c>
      <c r="DD115" t="s">
        <v>3</v>
      </c>
      <c r="DE115" t="s">
        <v>3</v>
      </c>
      <c r="DF115">
        <f t="shared" si="51"/>
        <v>0</v>
      </c>
      <c r="DG115">
        <f>ROUND(ROUND(AF115*CX115,2)*AJ115,2)</f>
        <v>16.559999999999999</v>
      </c>
      <c r="DH115">
        <f>ROUND(ROUND(AG115*CX115,2)*AK115,2)</f>
        <v>0.87</v>
      </c>
      <c r="DI115">
        <f t="shared" si="32"/>
        <v>0</v>
      </c>
      <c r="DJ115">
        <f>DG115</f>
        <v>16.559999999999999</v>
      </c>
      <c r="DK115">
        <v>0</v>
      </c>
    </row>
    <row r="116" spans="1:115" x14ac:dyDescent="0.2">
      <c r="A116">
        <f>ROW(Source!A179)</f>
        <v>179</v>
      </c>
      <c r="B116">
        <v>129761633</v>
      </c>
      <c r="C116">
        <v>129763297</v>
      </c>
      <c r="D116">
        <v>37367068</v>
      </c>
      <c r="E116">
        <v>37345137</v>
      </c>
      <c r="F116">
        <v>1</v>
      </c>
      <c r="G116">
        <v>37345137</v>
      </c>
      <c r="H116">
        <v>3</v>
      </c>
      <c r="I116" t="s">
        <v>162</v>
      </c>
      <c r="J116" t="s">
        <v>3</v>
      </c>
      <c r="K116" t="s">
        <v>163</v>
      </c>
      <c r="L116">
        <v>1348</v>
      </c>
      <c r="N116">
        <v>1009</v>
      </c>
      <c r="O116" t="s">
        <v>114</v>
      </c>
      <c r="P116" t="s">
        <v>114</v>
      </c>
      <c r="Q116">
        <v>1000</v>
      </c>
      <c r="W116">
        <v>1</v>
      </c>
      <c r="X116">
        <v>1489638031</v>
      </c>
      <c r="Y116">
        <f t="shared" si="46"/>
        <v>-6.6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8.65</v>
      </c>
      <c r="AJ116">
        <v>1</v>
      </c>
      <c r="AK116">
        <v>1</v>
      </c>
      <c r="AL116">
        <v>1</v>
      </c>
      <c r="AN116">
        <v>0</v>
      </c>
      <c r="AO116">
        <v>1</v>
      </c>
      <c r="AP116">
        <v>0</v>
      </c>
      <c r="AQ116">
        <v>0</v>
      </c>
      <c r="AR116">
        <v>0</v>
      </c>
      <c r="AS116" t="s">
        <v>3</v>
      </c>
      <c r="AT116">
        <v>-6.6</v>
      </c>
      <c r="AU116" t="s">
        <v>3</v>
      </c>
      <c r="AV116">
        <v>0</v>
      </c>
      <c r="AW116">
        <v>2</v>
      </c>
      <c r="AX116">
        <v>129763305</v>
      </c>
      <c r="AY116">
        <v>1</v>
      </c>
      <c r="AZ116">
        <v>6144</v>
      </c>
      <c r="BA116">
        <v>122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ROUND(Y116*Source!I179,9)</f>
        <v>-0.42899999999999999</v>
      </c>
      <c r="CY116">
        <f>AA116</f>
        <v>0</v>
      </c>
      <c r="CZ116">
        <f>AE116</f>
        <v>0</v>
      </c>
      <c r="DA116">
        <f>AI116</f>
        <v>8.65</v>
      </c>
      <c r="DB116">
        <f t="shared" si="47"/>
        <v>0</v>
      </c>
      <c r="DC116">
        <f t="shared" si="48"/>
        <v>0</v>
      </c>
      <c r="DD116" t="s">
        <v>3</v>
      </c>
      <c r="DE116" t="s">
        <v>3</v>
      </c>
      <c r="DF116">
        <f>ROUND(ROUND(AE116*CX116,2)*AI116,2)</f>
        <v>0</v>
      </c>
      <c r="DG116">
        <f t="shared" ref="DG116:DG137" si="52">ROUND(AF116*CX116,2)</f>
        <v>0</v>
      </c>
      <c r="DH116">
        <f t="shared" ref="DH116:DH137" si="53">ROUND(AG116*CX116,2)</f>
        <v>0</v>
      </c>
      <c r="DI116">
        <f t="shared" si="32"/>
        <v>0</v>
      </c>
      <c r="DJ116">
        <f>DF116</f>
        <v>0</v>
      </c>
      <c r="DK116">
        <v>0</v>
      </c>
    </row>
    <row r="117" spans="1:115" x14ac:dyDescent="0.2">
      <c r="A117">
        <f>ROW(Source!A182)</f>
        <v>182</v>
      </c>
      <c r="B117">
        <v>129761636</v>
      </c>
      <c r="C117">
        <v>129763307</v>
      </c>
      <c r="D117">
        <v>37345142</v>
      </c>
      <c r="E117">
        <v>37345137</v>
      </c>
      <c r="F117">
        <v>1</v>
      </c>
      <c r="G117">
        <v>37345137</v>
      </c>
      <c r="H117">
        <v>1</v>
      </c>
      <c r="I117" t="s">
        <v>1096</v>
      </c>
      <c r="J117" t="s">
        <v>3</v>
      </c>
      <c r="K117" t="s">
        <v>1097</v>
      </c>
      <c r="L117">
        <v>1191</v>
      </c>
      <c r="N117">
        <v>1013</v>
      </c>
      <c r="O117" t="s">
        <v>1098</v>
      </c>
      <c r="P117" t="s">
        <v>1098</v>
      </c>
      <c r="Q117">
        <v>1</v>
      </c>
      <c r="W117">
        <v>0</v>
      </c>
      <c r="X117">
        <v>476480486</v>
      </c>
      <c r="Y117">
        <f>(AT117*4)</f>
        <v>12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1</v>
      </c>
      <c r="AJ117">
        <v>1</v>
      </c>
      <c r="AK117">
        <v>1</v>
      </c>
      <c r="AL117">
        <v>1</v>
      </c>
      <c r="AN117">
        <v>0</v>
      </c>
      <c r="AO117">
        <v>1</v>
      </c>
      <c r="AP117">
        <v>1</v>
      </c>
      <c r="AQ117">
        <v>0</v>
      </c>
      <c r="AR117">
        <v>0</v>
      </c>
      <c r="AS117" t="s">
        <v>3</v>
      </c>
      <c r="AT117">
        <v>3</v>
      </c>
      <c r="AU117" t="s">
        <v>200</v>
      </c>
      <c r="AV117">
        <v>1</v>
      </c>
      <c r="AW117">
        <v>2</v>
      </c>
      <c r="AX117">
        <v>129763310</v>
      </c>
      <c r="AY117">
        <v>1</v>
      </c>
      <c r="AZ117">
        <v>0</v>
      </c>
      <c r="BA117">
        <v>123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ROUND(Y117*Source!I182,9)</f>
        <v>0.68400000000000005</v>
      </c>
      <c r="CY117">
        <f>AD117</f>
        <v>0</v>
      </c>
      <c r="CZ117">
        <f>AH117</f>
        <v>0</v>
      </c>
      <c r="DA117">
        <f>AL117</f>
        <v>1</v>
      </c>
      <c r="DB117">
        <f>ROUND((ROUND(AT117*CZ117,2)*4),6)</f>
        <v>0</v>
      </c>
      <c r="DC117">
        <f>ROUND((ROUND(AT117*AG117,2)*4),6)</f>
        <v>0</v>
      </c>
      <c r="DD117" t="s">
        <v>3</v>
      </c>
      <c r="DE117" t="s">
        <v>3</v>
      </c>
      <c r="DF117">
        <f>ROUND(AE117*CX117,2)</f>
        <v>0</v>
      </c>
      <c r="DG117">
        <f t="shared" si="52"/>
        <v>0</v>
      </c>
      <c r="DH117">
        <f t="shared" si="53"/>
        <v>0</v>
      </c>
      <c r="DI117">
        <f t="shared" si="32"/>
        <v>0</v>
      </c>
      <c r="DJ117">
        <f>DI117</f>
        <v>0</v>
      </c>
      <c r="DK117">
        <v>0</v>
      </c>
    </row>
    <row r="118" spans="1:115" x14ac:dyDescent="0.2">
      <c r="A118">
        <f>ROW(Source!A182)</f>
        <v>182</v>
      </c>
      <c r="B118">
        <v>129761636</v>
      </c>
      <c r="C118">
        <v>129763307</v>
      </c>
      <c r="D118">
        <v>37367068</v>
      </c>
      <c r="E118">
        <v>37345137</v>
      </c>
      <c r="F118">
        <v>1</v>
      </c>
      <c r="G118">
        <v>37345137</v>
      </c>
      <c r="H118">
        <v>3</v>
      </c>
      <c r="I118" t="s">
        <v>162</v>
      </c>
      <c r="J118" t="s">
        <v>3</v>
      </c>
      <c r="K118" t="s">
        <v>163</v>
      </c>
      <c r="L118">
        <v>1348</v>
      </c>
      <c r="N118">
        <v>1009</v>
      </c>
      <c r="O118" t="s">
        <v>114</v>
      </c>
      <c r="P118" t="s">
        <v>114</v>
      </c>
      <c r="Q118">
        <v>1000</v>
      </c>
      <c r="W118">
        <v>1</v>
      </c>
      <c r="X118">
        <v>1489638031</v>
      </c>
      <c r="Y118">
        <f>(AT118*4)</f>
        <v>-4.4000000000000004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1</v>
      </c>
      <c r="AJ118">
        <v>1</v>
      </c>
      <c r="AK118">
        <v>1</v>
      </c>
      <c r="AL118">
        <v>1</v>
      </c>
      <c r="AN118">
        <v>0</v>
      </c>
      <c r="AO118">
        <v>1</v>
      </c>
      <c r="AP118">
        <v>1</v>
      </c>
      <c r="AQ118">
        <v>0</v>
      </c>
      <c r="AR118">
        <v>0</v>
      </c>
      <c r="AS118" t="s">
        <v>3</v>
      </c>
      <c r="AT118">
        <v>-1.1000000000000001</v>
      </c>
      <c r="AU118" t="s">
        <v>200</v>
      </c>
      <c r="AV118">
        <v>0</v>
      </c>
      <c r="AW118">
        <v>2</v>
      </c>
      <c r="AX118">
        <v>129763311</v>
      </c>
      <c r="AY118">
        <v>1</v>
      </c>
      <c r="AZ118">
        <v>6144</v>
      </c>
      <c r="BA118">
        <v>124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ROUND(Y118*Source!I182,9)</f>
        <v>-0.25080000000000002</v>
      </c>
      <c r="CY118">
        <f>AA118</f>
        <v>0</v>
      </c>
      <c r="CZ118">
        <f>AE118</f>
        <v>0</v>
      </c>
      <c r="DA118">
        <f>AI118</f>
        <v>1</v>
      </c>
      <c r="DB118">
        <f>ROUND((ROUND(AT118*CZ118,2)*4),6)</f>
        <v>0</v>
      </c>
      <c r="DC118">
        <f>ROUND((ROUND(AT118*AG118,2)*4),6)</f>
        <v>0</v>
      </c>
      <c r="DD118" t="s">
        <v>3</v>
      </c>
      <c r="DE118" t="s">
        <v>3</v>
      </c>
      <c r="DF118">
        <f>ROUND(AE118*CX118,2)</f>
        <v>0</v>
      </c>
      <c r="DG118">
        <f t="shared" si="52"/>
        <v>0</v>
      </c>
      <c r="DH118">
        <f t="shared" si="53"/>
        <v>0</v>
      </c>
      <c r="DI118">
        <f t="shared" si="32"/>
        <v>0</v>
      </c>
      <c r="DJ118">
        <f>DF118</f>
        <v>0</v>
      </c>
      <c r="DK118">
        <v>0</v>
      </c>
    </row>
    <row r="119" spans="1:115" x14ac:dyDescent="0.2">
      <c r="A119">
        <f>ROW(Source!A183)</f>
        <v>183</v>
      </c>
      <c r="B119">
        <v>129761633</v>
      </c>
      <c r="C119">
        <v>129763307</v>
      </c>
      <c r="D119">
        <v>37345142</v>
      </c>
      <c r="E119">
        <v>37345137</v>
      </c>
      <c r="F119">
        <v>1</v>
      </c>
      <c r="G119">
        <v>37345137</v>
      </c>
      <c r="H119">
        <v>1</v>
      </c>
      <c r="I119" t="s">
        <v>1096</v>
      </c>
      <c r="J119" t="s">
        <v>3</v>
      </c>
      <c r="K119" t="s">
        <v>1097</v>
      </c>
      <c r="L119">
        <v>1191</v>
      </c>
      <c r="N119">
        <v>1013</v>
      </c>
      <c r="O119" t="s">
        <v>1098</v>
      </c>
      <c r="P119" t="s">
        <v>1098</v>
      </c>
      <c r="Q119">
        <v>1</v>
      </c>
      <c r="W119">
        <v>0</v>
      </c>
      <c r="X119">
        <v>476480486</v>
      </c>
      <c r="Y119">
        <f>(AT119*4)</f>
        <v>12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1</v>
      </c>
      <c r="AJ119">
        <v>1</v>
      </c>
      <c r="AK119">
        <v>1</v>
      </c>
      <c r="AL119">
        <v>1</v>
      </c>
      <c r="AN119">
        <v>0</v>
      </c>
      <c r="AO119">
        <v>1</v>
      </c>
      <c r="AP119">
        <v>1</v>
      </c>
      <c r="AQ119">
        <v>0</v>
      </c>
      <c r="AR119">
        <v>0</v>
      </c>
      <c r="AS119" t="s">
        <v>3</v>
      </c>
      <c r="AT119">
        <v>3</v>
      </c>
      <c r="AU119" t="s">
        <v>200</v>
      </c>
      <c r="AV119">
        <v>1</v>
      </c>
      <c r="AW119">
        <v>2</v>
      </c>
      <c r="AX119">
        <v>129763310</v>
      </c>
      <c r="AY119">
        <v>1</v>
      </c>
      <c r="AZ119">
        <v>0</v>
      </c>
      <c r="BA119">
        <v>125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ROUND(Y119*Source!I183,9)</f>
        <v>0.68400000000000005</v>
      </c>
      <c r="CY119">
        <f>AD119</f>
        <v>0</v>
      </c>
      <c r="CZ119">
        <f>AH119</f>
        <v>0</v>
      </c>
      <c r="DA119">
        <f>AL119</f>
        <v>1</v>
      </c>
      <c r="DB119">
        <f>ROUND((ROUND(AT119*CZ119,2)*4),6)</f>
        <v>0</v>
      </c>
      <c r="DC119">
        <f>ROUND((ROUND(AT119*AG119,2)*4),6)</f>
        <v>0</v>
      </c>
      <c r="DD119" t="s">
        <v>3</v>
      </c>
      <c r="DE119" t="s">
        <v>3</v>
      </c>
      <c r="DF119">
        <f>ROUND(AE119*CX119,2)</f>
        <v>0</v>
      </c>
      <c r="DG119">
        <f t="shared" si="52"/>
        <v>0</v>
      </c>
      <c r="DH119">
        <f t="shared" si="53"/>
        <v>0</v>
      </c>
      <c r="DI119">
        <f t="shared" si="32"/>
        <v>0</v>
      </c>
      <c r="DJ119">
        <f>DI119</f>
        <v>0</v>
      </c>
      <c r="DK119">
        <v>0</v>
      </c>
    </row>
    <row r="120" spans="1:115" x14ac:dyDescent="0.2">
      <c r="A120">
        <f>ROW(Source!A183)</f>
        <v>183</v>
      </c>
      <c r="B120">
        <v>129761633</v>
      </c>
      <c r="C120">
        <v>129763307</v>
      </c>
      <c r="D120">
        <v>37367068</v>
      </c>
      <c r="E120">
        <v>37345137</v>
      </c>
      <c r="F120">
        <v>1</v>
      </c>
      <c r="G120">
        <v>37345137</v>
      </c>
      <c r="H120">
        <v>3</v>
      </c>
      <c r="I120" t="s">
        <v>162</v>
      </c>
      <c r="J120" t="s">
        <v>3</v>
      </c>
      <c r="K120" t="s">
        <v>163</v>
      </c>
      <c r="L120">
        <v>1348</v>
      </c>
      <c r="N120">
        <v>1009</v>
      </c>
      <c r="O120" t="s">
        <v>114</v>
      </c>
      <c r="P120" t="s">
        <v>114</v>
      </c>
      <c r="Q120">
        <v>1000</v>
      </c>
      <c r="W120">
        <v>1</v>
      </c>
      <c r="X120">
        <v>1489638031</v>
      </c>
      <c r="Y120">
        <f>(AT120*4)</f>
        <v>-4.4000000000000004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8.65</v>
      </c>
      <c r="AJ120">
        <v>1</v>
      </c>
      <c r="AK120">
        <v>1</v>
      </c>
      <c r="AL120">
        <v>1</v>
      </c>
      <c r="AN120">
        <v>0</v>
      </c>
      <c r="AO120">
        <v>1</v>
      </c>
      <c r="AP120">
        <v>1</v>
      </c>
      <c r="AQ120">
        <v>0</v>
      </c>
      <c r="AR120">
        <v>0</v>
      </c>
      <c r="AS120" t="s">
        <v>3</v>
      </c>
      <c r="AT120">
        <v>-1.1000000000000001</v>
      </c>
      <c r="AU120" t="s">
        <v>200</v>
      </c>
      <c r="AV120">
        <v>0</v>
      </c>
      <c r="AW120">
        <v>2</v>
      </c>
      <c r="AX120">
        <v>129763311</v>
      </c>
      <c r="AY120">
        <v>1</v>
      </c>
      <c r="AZ120">
        <v>6144</v>
      </c>
      <c r="BA120">
        <v>126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ROUND(Y120*Source!I183,9)</f>
        <v>-0.25080000000000002</v>
      </c>
      <c r="CY120">
        <f>AA120</f>
        <v>0</v>
      </c>
      <c r="CZ120">
        <f>AE120</f>
        <v>0</v>
      </c>
      <c r="DA120">
        <f>AI120</f>
        <v>8.65</v>
      </c>
      <c r="DB120">
        <f>ROUND((ROUND(AT120*CZ120,2)*4),6)</f>
        <v>0</v>
      </c>
      <c r="DC120">
        <f>ROUND((ROUND(AT120*AG120,2)*4),6)</f>
        <v>0</v>
      </c>
      <c r="DD120" t="s">
        <v>3</v>
      </c>
      <c r="DE120" t="s">
        <v>3</v>
      </c>
      <c r="DF120">
        <f>ROUND(ROUND(AE120*CX120,2)*AI120,2)</f>
        <v>0</v>
      </c>
      <c r="DG120">
        <f t="shared" si="52"/>
        <v>0</v>
      </c>
      <c r="DH120">
        <f t="shared" si="53"/>
        <v>0</v>
      </c>
      <c r="DI120">
        <f t="shared" si="32"/>
        <v>0</v>
      </c>
      <c r="DJ120">
        <f>DF120</f>
        <v>0</v>
      </c>
      <c r="DK120">
        <v>0</v>
      </c>
    </row>
    <row r="121" spans="1:115" x14ac:dyDescent="0.2">
      <c r="A121">
        <f>ROW(Source!A186)</f>
        <v>186</v>
      </c>
      <c r="B121">
        <v>129761636</v>
      </c>
      <c r="C121">
        <v>129763313</v>
      </c>
      <c r="D121">
        <v>37345142</v>
      </c>
      <c r="E121">
        <v>37345137</v>
      </c>
      <c r="F121">
        <v>1</v>
      </c>
      <c r="G121">
        <v>37345137</v>
      </c>
      <c r="H121">
        <v>1</v>
      </c>
      <c r="I121" t="s">
        <v>1096</v>
      </c>
      <c r="J121" t="s">
        <v>3</v>
      </c>
      <c r="K121" t="s">
        <v>1097</v>
      </c>
      <c r="L121">
        <v>1191</v>
      </c>
      <c r="N121">
        <v>1013</v>
      </c>
      <c r="O121" t="s">
        <v>1098</v>
      </c>
      <c r="P121" t="s">
        <v>1098</v>
      </c>
      <c r="Q121">
        <v>1</v>
      </c>
      <c r="W121">
        <v>0</v>
      </c>
      <c r="X121">
        <v>476480486</v>
      </c>
      <c r="Y121">
        <f t="shared" ref="Y121:Y144" si="54">AT121</f>
        <v>74.3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1</v>
      </c>
      <c r="AJ121">
        <v>1</v>
      </c>
      <c r="AK121">
        <v>1</v>
      </c>
      <c r="AL121">
        <v>1</v>
      </c>
      <c r="AN121">
        <v>0</v>
      </c>
      <c r="AO121">
        <v>1</v>
      </c>
      <c r="AP121">
        <v>0</v>
      </c>
      <c r="AQ121">
        <v>0</v>
      </c>
      <c r="AR121">
        <v>0</v>
      </c>
      <c r="AS121" t="s">
        <v>3</v>
      </c>
      <c r="AT121">
        <v>74.3</v>
      </c>
      <c r="AU121" t="s">
        <v>3</v>
      </c>
      <c r="AV121">
        <v>1</v>
      </c>
      <c r="AW121">
        <v>2</v>
      </c>
      <c r="AX121">
        <v>129763316</v>
      </c>
      <c r="AY121">
        <v>1</v>
      </c>
      <c r="AZ121">
        <v>0</v>
      </c>
      <c r="BA121">
        <v>127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ROUND(Y121*Source!I186,9)</f>
        <v>15.677300000000001</v>
      </c>
      <c r="CY121">
        <f>AD121</f>
        <v>0</v>
      </c>
      <c r="CZ121">
        <f>AH121</f>
        <v>0</v>
      </c>
      <c r="DA121">
        <f>AL121</f>
        <v>1</v>
      </c>
      <c r="DB121">
        <f t="shared" ref="DB121:DB144" si="55">ROUND(ROUND(AT121*CZ121,2),6)</f>
        <v>0</v>
      </c>
      <c r="DC121">
        <f t="shared" ref="DC121:DC144" si="56">ROUND(ROUND(AT121*AG121,2),6)</f>
        <v>0</v>
      </c>
      <c r="DD121" t="s">
        <v>3</v>
      </c>
      <c r="DE121" t="s">
        <v>3</v>
      </c>
      <c r="DF121">
        <f>ROUND(AE121*CX121,2)</f>
        <v>0</v>
      </c>
      <c r="DG121">
        <f t="shared" si="52"/>
        <v>0</v>
      </c>
      <c r="DH121">
        <f t="shared" si="53"/>
        <v>0</v>
      </c>
      <c r="DI121">
        <f t="shared" si="32"/>
        <v>0</v>
      </c>
      <c r="DJ121">
        <f>DI121</f>
        <v>0</v>
      </c>
      <c r="DK121">
        <v>0</v>
      </c>
    </row>
    <row r="122" spans="1:115" x14ac:dyDescent="0.2">
      <c r="A122">
        <f>ROW(Source!A186)</f>
        <v>186</v>
      </c>
      <c r="B122">
        <v>129761636</v>
      </c>
      <c r="C122">
        <v>129763313</v>
      </c>
      <c r="D122">
        <v>37367068</v>
      </c>
      <c r="E122">
        <v>37345137</v>
      </c>
      <c r="F122">
        <v>1</v>
      </c>
      <c r="G122">
        <v>37345137</v>
      </c>
      <c r="H122">
        <v>3</v>
      </c>
      <c r="I122" t="s">
        <v>162</v>
      </c>
      <c r="J122" t="s">
        <v>3</v>
      </c>
      <c r="K122" t="s">
        <v>163</v>
      </c>
      <c r="L122">
        <v>1348</v>
      </c>
      <c r="N122">
        <v>1009</v>
      </c>
      <c r="O122" t="s">
        <v>114</v>
      </c>
      <c r="P122" t="s">
        <v>114</v>
      </c>
      <c r="Q122">
        <v>1000</v>
      </c>
      <c r="W122">
        <v>1</v>
      </c>
      <c r="X122">
        <v>1489638031</v>
      </c>
      <c r="Y122">
        <f t="shared" si="54"/>
        <v>-4.41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1</v>
      </c>
      <c r="AJ122">
        <v>1</v>
      </c>
      <c r="AK122">
        <v>1</v>
      </c>
      <c r="AL122">
        <v>1</v>
      </c>
      <c r="AN122">
        <v>0</v>
      </c>
      <c r="AO122">
        <v>1</v>
      </c>
      <c r="AP122">
        <v>0</v>
      </c>
      <c r="AQ122">
        <v>0</v>
      </c>
      <c r="AR122">
        <v>0</v>
      </c>
      <c r="AS122" t="s">
        <v>3</v>
      </c>
      <c r="AT122">
        <v>-4.41</v>
      </c>
      <c r="AU122" t="s">
        <v>3</v>
      </c>
      <c r="AV122">
        <v>0</v>
      </c>
      <c r="AW122">
        <v>2</v>
      </c>
      <c r="AX122">
        <v>129763317</v>
      </c>
      <c r="AY122">
        <v>1</v>
      </c>
      <c r="AZ122">
        <v>6144</v>
      </c>
      <c r="BA122">
        <v>128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ROUND(Y122*Source!I186,9)</f>
        <v>-0.93050999999999995</v>
      </c>
      <c r="CY122">
        <f>AA122</f>
        <v>0</v>
      </c>
      <c r="CZ122">
        <f>AE122</f>
        <v>0</v>
      </c>
      <c r="DA122">
        <f>AI122</f>
        <v>1</v>
      </c>
      <c r="DB122">
        <f t="shared" si="55"/>
        <v>0</v>
      </c>
      <c r="DC122">
        <f t="shared" si="56"/>
        <v>0</v>
      </c>
      <c r="DD122" t="s">
        <v>3</v>
      </c>
      <c r="DE122" t="s">
        <v>3</v>
      </c>
      <c r="DF122">
        <f>ROUND(AE122*CX122,2)</f>
        <v>0</v>
      </c>
      <c r="DG122">
        <f t="shared" si="52"/>
        <v>0</v>
      </c>
      <c r="DH122">
        <f t="shared" si="53"/>
        <v>0</v>
      </c>
      <c r="DI122">
        <f t="shared" si="32"/>
        <v>0</v>
      </c>
      <c r="DJ122">
        <f>DF122</f>
        <v>0</v>
      </c>
      <c r="DK122">
        <v>0</v>
      </c>
    </row>
    <row r="123" spans="1:115" x14ac:dyDescent="0.2">
      <c r="A123">
        <f>ROW(Source!A187)</f>
        <v>187</v>
      </c>
      <c r="B123">
        <v>129761633</v>
      </c>
      <c r="C123">
        <v>129763313</v>
      </c>
      <c r="D123">
        <v>37345142</v>
      </c>
      <c r="E123">
        <v>37345137</v>
      </c>
      <c r="F123">
        <v>1</v>
      </c>
      <c r="G123">
        <v>37345137</v>
      </c>
      <c r="H123">
        <v>1</v>
      </c>
      <c r="I123" t="s">
        <v>1096</v>
      </c>
      <c r="J123" t="s">
        <v>3</v>
      </c>
      <c r="K123" t="s">
        <v>1097</v>
      </c>
      <c r="L123">
        <v>1191</v>
      </c>
      <c r="N123">
        <v>1013</v>
      </c>
      <c r="O123" t="s">
        <v>1098</v>
      </c>
      <c r="P123" t="s">
        <v>1098</v>
      </c>
      <c r="Q123">
        <v>1</v>
      </c>
      <c r="W123">
        <v>0</v>
      </c>
      <c r="X123">
        <v>476480486</v>
      </c>
      <c r="Y123">
        <f t="shared" si="54"/>
        <v>74.3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1</v>
      </c>
      <c r="AJ123">
        <v>1</v>
      </c>
      <c r="AK123">
        <v>1</v>
      </c>
      <c r="AL123">
        <v>1</v>
      </c>
      <c r="AN123">
        <v>0</v>
      </c>
      <c r="AO123">
        <v>1</v>
      </c>
      <c r="AP123">
        <v>0</v>
      </c>
      <c r="AQ123">
        <v>0</v>
      </c>
      <c r="AR123">
        <v>0</v>
      </c>
      <c r="AS123" t="s">
        <v>3</v>
      </c>
      <c r="AT123">
        <v>74.3</v>
      </c>
      <c r="AU123" t="s">
        <v>3</v>
      </c>
      <c r="AV123">
        <v>1</v>
      </c>
      <c r="AW123">
        <v>2</v>
      </c>
      <c r="AX123">
        <v>129763316</v>
      </c>
      <c r="AY123">
        <v>1</v>
      </c>
      <c r="AZ123">
        <v>0</v>
      </c>
      <c r="BA123">
        <v>129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ROUND(Y123*Source!I187,9)</f>
        <v>15.677300000000001</v>
      </c>
      <c r="CY123">
        <f>AD123</f>
        <v>0</v>
      </c>
      <c r="CZ123">
        <f>AH123</f>
        <v>0</v>
      </c>
      <c r="DA123">
        <f>AL123</f>
        <v>1</v>
      </c>
      <c r="DB123">
        <f t="shared" si="55"/>
        <v>0</v>
      </c>
      <c r="DC123">
        <f t="shared" si="56"/>
        <v>0</v>
      </c>
      <c r="DD123" t="s">
        <v>3</v>
      </c>
      <c r="DE123" t="s">
        <v>3</v>
      </c>
      <c r="DF123">
        <f>ROUND(AE123*CX123,2)</f>
        <v>0</v>
      </c>
      <c r="DG123">
        <f t="shared" si="52"/>
        <v>0</v>
      </c>
      <c r="DH123">
        <f t="shared" si="53"/>
        <v>0</v>
      </c>
      <c r="DI123">
        <f t="shared" si="32"/>
        <v>0</v>
      </c>
      <c r="DJ123">
        <f>DI123</f>
        <v>0</v>
      </c>
      <c r="DK123">
        <v>0</v>
      </c>
    </row>
    <row r="124" spans="1:115" x14ac:dyDescent="0.2">
      <c r="A124">
        <f>ROW(Source!A187)</f>
        <v>187</v>
      </c>
      <c r="B124">
        <v>129761633</v>
      </c>
      <c r="C124">
        <v>129763313</v>
      </c>
      <c r="D124">
        <v>37367068</v>
      </c>
      <c r="E124">
        <v>37345137</v>
      </c>
      <c r="F124">
        <v>1</v>
      </c>
      <c r="G124">
        <v>37345137</v>
      </c>
      <c r="H124">
        <v>3</v>
      </c>
      <c r="I124" t="s">
        <v>162</v>
      </c>
      <c r="J124" t="s">
        <v>3</v>
      </c>
      <c r="K124" t="s">
        <v>163</v>
      </c>
      <c r="L124">
        <v>1348</v>
      </c>
      <c r="N124">
        <v>1009</v>
      </c>
      <c r="O124" t="s">
        <v>114</v>
      </c>
      <c r="P124" t="s">
        <v>114</v>
      </c>
      <c r="Q124">
        <v>1000</v>
      </c>
      <c r="W124">
        <v>1</v>
      </c>
      <c r="X124">
        <v>1489638031</v>
      </c>
      <c r="Y124">
        <f t="shared" si="54"/>
        <v>-4.41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8.65</v>
      </c>
      <c r="AJ124">
        <v>1</v>
      </c>
      <c r="AK124">
        <v>1</v>
      </c>
      <c r="AL124">
        <v>1</v>
      </c>
      <c r="AN124">
        <v>0</v>
      </c>
      <c r="AO124">
        <v>1</v>
      </c>
      <c r="AP124">
        <v>0</v>
      </c>
      <c r="AQ124">
        <v>0</v>
      </c>
      <c r="AR124">
        <v>0</v>
      </c>
      <c r="AS124" t="s">
        <v>3</v>
      </c>
      <c r="AT124">
        <v>-4.41</v>
      </c>
      <c r="AU124" t="s">
        <v>3</v>
      </c>
      <c r="AV124">
        <v>0</v>
      </c>
      <c r="AW124">
        <v>2</v>
      </c>
      <c r="AX124">
        <v>129763317</v>
      </c>
      <c r="AY124">
        <v>1</v>
      </c>
      <c r="AZ124">
        <v>6144</v>
      </c>
      <c r="BA124">
        <v>130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ROUND(Y124*Source!I187,9)</f>
        <v>-0.93050999999999995</v>
      </c>
      <c r="CY124">
        <f>AA124</f>
        <v>0</v>
      </c>
      <c r="CZ124">
        <f>AE124</f>
        <v>0</v>
      </c>
      <c r="DA124">
        <f>AI124</f>
        <v>8.65</v>
      </c>
      <c r="DB124">
        <f t="shared" si="55"/>
        <v>0</v>
      </c>
      <c r="DC124">
        <f t="shared" si="56"/>
        <v>0</v>
      </c>
      <c r="DD124" t="s">
        <v>3</v>
      </c>
      <c r="DE124" t="s">
        <v>3</v>
      </c>
      <c r="DF124">
        <f>ROUND(ROUND(AE124*CX124,2)*AI124,2)</f>
        <v>0</v>
      </c>
      <c r="DG124">
        <f t="shared" si="52"/>
        <v>0</v>
      </c>
      <c r="DH124">
        <f t="shared" si="53"/>
        <v>0</v>
      </c>
      <c r="DI124">
        <f t="shared" si="32"/>
        <v>0</v>
      </c>
      <c r="DJ124">
        <f>DF124</f>
        <v>0</v>
      </c>
      <c r="DK124">
        <v>0</v>
      </c>
    </row>
    <row r="125" spans="1:115" x14ac:dyDescent="0.2">
      <c r="A125">
        <f>ROW(Source!A190)</f>
        <v>190</v>
      </c>
      <c r="B125">
        <v>129761636</v>
      </c>
      <c r="C125">
        <v>129763319</v>
      </c>
      <c r="D125">
        <v>37345142</v>
      </c>
      <c r="E125">
        <v>37345137</v>
      </c>
      <c r="F125">
        <v>1</v>
      </c>
      <c r="G125">
        <v>37345137</v>
      </c>
      <c r="H125">
        <v>1</v>
      </c>
      <c r="I125" t="s">
        <v>1096</v>
      </c>
      <c r="J125" t="s">
        <v>3</v>
      </c>
      <c r="K125" t="s">
        <v>1097</v>
      </c>
      <c r="L125">
        <v>1191</v>
      </c>
      <c r="N125">
        <v>1013</v>
      </c>
      <c r="O125" t="s">
        <v>1098</v>
      </c>
      <c r="P125" t="s">
        <v>1098</v>
      </c>
      <c r="Q125">
        <v>1</v>
      </c>
      <c r="W125">
        <v>0</v>
      </c>
      <c r="X125">
        <v>476480486</v>
      </c>
      <c r="Y125">
        <f t="shared" si="54"/>
        <v>58.6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1</v>
      </c>
      <c r="AJ125">
        <v>1</v>
      </c>
      <c r="AK125">
        <v>1</v>
      </c>
      <c r="AL125">
        <v>1</v>
      </c>
      <c r="AN125">
        <v>0</v>
      </c>
      <c r="AO125">
        <v>1</v>
      </c>
      <c r="AP125">
        <v>0</v>
      </c>
      <c r="AQ125">
        <v>0</v>
      </c>
      <c r="AR125">
        <v>0</v>
      </c>
      <c r="AS125" t="s">
        <v>3</v>
      </c>
      <c r="AT125">
        <v>58.6</v>
      </c>
      <c r="AU125" t="s">
        <v>3</v>
      </c>
      <c r="AV125">
        <v>1</v>
      </c>
      <c r="AW125">
        <v>2</v>
      </c>
      <c r="AX125">
        <v>129763322</v>
      </c>
      <c r="AY125">
        <v>1</v>
      </c>
      <c r="AZ125">
        <v>0</v>
      </c>
      <c r="BA125">
        <v>131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ROUND(Y125*Source!I190,9)</f>
        <v>46.88</v>
      </c>
      <c r="CY125">
        <f>AD125</f>
        <v>0</v>
      </c>
      <c r="CZ125">
        <f>AH125</f>
        <v>0</v>
      </c>
      <c r="DA125">
        <f>AL125</f>
        <v>1</v>
      </c>
      <c r="DB125">
        <f t="shared" si="55"/>
        <v>0</v>
      </c>
      <c r="DC125">
        <f t="shared" si="56"/>
        <v>0</v>
      </c>
      <c r="DD125" t="s">
        <v>3</v>
      </c>
      <c r="DE125" t="s">
        <v>3</v>
      </c>
      <c r="DF125">
        <f t="shared" ref="DF125:DF139" si="57">ROUND(AE125*CX125,2)</f>
        <v>0</v>
      </c>
      <c r="DG125">
        <f t="shared" si="52"/>
        <v>0</v>
      </c>
      <c r="DH125">
        <f t="shared" si="53"/>
        <v>0</v>
      </c>
      <c r="DI125">
        <f t="shared" si="32"/>
        <v>0</v>
      </c>
      <c r="DJ125">
        <f>DI125</f>
        <v>0</v>
      </c>
      <c r="DK125">
        <v>0</v>
      </c>
    </row>
    <row r="126" spans="1:115" x14ac:dyDescent="0.2">
      <c r="A126">
        <f>ROW(Source!A190)</f>
        <v>190</v>
      </c>
      <c r="B126">
        <v>129761636</v>
      </c>
      <c r="C126">
        <v>129763319</v>
      </c>
      <c r="D126">
        <v>37345890</v>
      </c>
      <c r="E126">
        <v>37345137</v>
      </c>
      <c r="F126">
        <v>1</v>
      </c>
      <c r="G126">
        <v>37345137</v>
      </c>
      <c r="H126">
        <v>2</v>
      </c>
      <c r="I126" t="s">
        <v>1145</v>
      </c>
      <c r="J126" t="s">
        <v>3</v>
      </c>
      <c r="K126" t="s">
        <v>1146</v>
      </c>
      <c r="L126">
        <v>1344</v>
      </c>
      <c r="N126">
        <v>1008</v>
      </c>
      <c r="O126" t="s">
        <v>1138</v>
      </c>
      <c r="P126" t="s">
        <v>1138</v>
      </c>
      <c r="Q126">
        <v>1</v>
      </c>
      <c r="W126">
        <v>0</v>
      </c>
      <c r="X126">
        <v>-1180195794</v>
      </c>
      <c r="Y126">
        <f t="shared" si="54"/>
        <v>2.5</v>
      </c>
      <c r="AA126">
        <v>0</v>
      </c>
      <c r="AB126">
        <v>1</v>
      </c>
      <c r="AC126">
        <v>0</v>
      </c>
      <c r="AD126">
        <v>0</v>
      </c>
      <c r="AE126">
        <v>0</v>
      </c>
      <c r="AF126">
        <v>1</v>
      </c>
      <c r="AG126">
        <v>0</v>
      </c>
      <c r="AH126">
        <v>0</v>
      </c>
      <c r="AI126">
        <v>1</v>
      </c>
      <c r="AJ126">
        <v>1</v>
      </c>
      <c r="AK126">
        <v>1</v>
      </c>
      <c r="AL126">
        <v>1</v>
      </c>
      <c r="AN126">
        <v>0</v>
      </c>
      <c r="AO126">
        <v>1</v>
      </c>
      <c r="AP126">
        <v>0</v>
      </c>
      <c r="AQ126">
        <v>0</v>
      </c>
      <c r="AR126">
        <v>0</v>
      </c>
      <c r="AS126" t="s">
        <v>3</v>
      </c>
      <c r="AT126">
        <v>2.5</v>
      </c>
      <c r="AU126" t="s">
        <v>3</v>
      </c>
      <c r="AV126">
        <v>0</v>
      </c>
      <c r="AW126">
        <v>2</v>
      </c>
      <c r="AX126">
        <v>129763323</v>
      </c>
      <c r="AY126">
        <v>1</v>
      </c>
      <c r="AZ126">
        <v>0</v>
      </c>
      <c r="BA126">
        <v>132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ROUND(Y126*Source!I190,9)</f>
        <v>2</v>
      </c>
      <c r="CY126">
        <f>AB126</f>
        <v>1</v>
      </c>
      <c r="CZ126">
        <f>AF126</f>
        <v>1</v>
      </c>
      <c r="DA126">
        <f>AJ126</f>
        <v>1</v>
      </c>
      <c r="DB126">
        <f t="shared" si="55"/>
        <v>2.5</v>
      </c>
      <c r="DC126">
        <f t="shared" si="56"/>
        <v>0</v>
      </c>
      <c r="DD126" t="s">
        <v>3</v>
      </c>
      <c r="DE126" t="s">
        <v>3</v>
      </c>
      <c r="DF126">
        <f t="shared" si="57"/>
        <v>0</v>
      </c>
      <c r="DG126">
        <f t="shared" si="52"/>
        <v>2</v>
      </c>
      <c r="DH126">
        <f t="shared" si="53"/>
        <v>0</v>
      </c>
      <c r="DI126">
        <f t="shared" si="32"/>
        <v>0</v>
      </c>
      <c r="DJ126">
        <f>DG126</f>
        <v>2</v>
      </c>
      <c r="DK126">
        <v>0</v>
      </c>
    </row>
    <row r="127" spans="1:115" x14ac:dyDescent="0.2">
      <c r="A127">
        <f>ROW(Source!A191)</f>
        <v>191</v>
      </c>
      <c r="B127">
        <v>129761633</v>
      </c>
      <c r="C127">
        <v>129763319</v>
      </c>
      <c r="D127">
        <v>37345142</v>
      </c>
      <c r="E127">
        <v>37345137</v>
      </c>
      <c r="F127">
        <v>1</v>
      </c>
      <c r="G127">
        <v>37345137</v>
      </c>
      <c r="H127">
        <v>1</v>
      </c>
      <c r="I127" t="s">
        <v>1096</v>
      </c>
      <c r="J127" t="s">
        <v>3</v>
      </c>
      <c r="K127" t="s">
        <v>1097</v>
      </c>
      <c r="L127">
        <v>1191</v>
      </c>
      <c r="N127">
        <v>1013</v>
      </c>
      <c r="O127" t="s">
        <v>1098</v>
      </c>
      <c r="P127" t="s">
        <v>1098</v>
      </c>
      <c r="Q127">
        <v>1</v>
      </c>
      <c r="W127">
        <v>0</v>
      </c>
      <c r="X127">
        <v>476480486</v>
      </c>
      <c r="Y127">
        <f t="shared" si="54"/>
        <v>58.6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1</v>
      </c>
      <c r="AJ127">
        <v>1</v>
      </c>
      <c r="AK127">
        <v>1</v>
      </c>
      <c r="AL127">
        <v>1</v>
      </c>
      <c r="AN127">
        <v>0</v>
      </c>
      <c r="AO127">
        <v>1</v>
      </c>
      <c r="AP127">
        <v>0</v>
      </c>
      <c r="AQ127">
        <v>0</v>
      </c>
      <c r="AR127">
        <v>0</v>
      </c>
      <c r="AS127" t="s">
        <v>3</v>
      </c>
      <c r="AT127">
        <v>58.6</v>
      </c>
      <c r="AU127" t="s">
        <v>3</v>
      </c>
      <c r="AV127">
        <v>1</v>
      </c>
      <c r="AW127">
        <v>2</v>
      </c>
      <c r="AX127">
        <v>129763322</v>
      </c>
      <c r="AY127">
        <v>1</v>
      </c>
      <c r="AZ127">
        <v>0</v>
      </c>
      <c r="BA127">
        <v>133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ROUND(Y127*Source!I191,9)</f>
        <v>46.88</v>
      </c>
      <c r="CY127">
        <f>AD127</f>
        <v>0</v>
      </c>
      <c r="CZ127">
        <f>AH127</f>
        <v>0</v>
      </c>
      <c r="DA127">
        <f>AL127</f>
        <v>1</v>
      </c>
      <c r="DB127">
        <f t="shared" si="55"/>
        <v>0</v>
      </c>
      <c r="DC127">
        <f t="shared" si="56"/>
        <v>0</v>
      </c>
      <c r="DD127" t="s">
        <v>3</v>
      </c>
      <c r="DE127" t="s">
        <v>3</v>
      </c>
      <c r="DF127">
        <f t="shared" si="57"/>
        <v>0</v>
      </c>
      <c r="DG127">
        <f t="shared" si="52"/>
        <v>0</v>
      </c>
      <c r="DH127">
        <f t="shared" si="53"/>
        <v>0</v>
      </c>
      <c r="DI127">
        <f t="shared" si="32"/>
        <v>0</v>
      </c>
      <c r="DJ127">
        <f>DI127</f>
        <v>0</v>
      </c>
      <c r="DK127">
        <v>0</v>
      </c>
    </row>
    <row r="128" spans="1:115" x14ac:dyDescent="0.2">
      <c r="A128">
        <f>ROW(Source!A191)</f>
        <v>191</v>
      </c>
      <c r="B128">
        <v>129761633</v>
      </c>
      <c r="C128">
        <v>129763319</v>
      </c>
      <c r="D128">
        <v>37345890</v>
      </c>
      <c r="E128">
        <v>37345137</v>
      </c>
      <c r="F128">
        <v>1</v>
      </c>
      <c r="G128">
        <v>37345137</v>
      </c>
      <c r="H128">
        <v>2</v>
      </c>
      <c r="I128" t="s">
        <v>1145</v>
      </c>
      <c r="J128" t="s">
        <v>3</v>
      </c>
      <c r="K128" t="s">
        <v>1146</v>
      </c>
      <c r="L128">
        <v>1344</v>
      </c>
      <c r="N128">
        <v>1008</v>
      </c>
      <c r="O128" t="s">
        <v>1138</v>
      </c>
      <c r="P128" t="s">
        <v>1138</v>
      </c>
      <c r="Q128">
        <v>1</v>
      </c>
      <c r="W128">
        <v>0</v>
      </c>
      <c r="X128">
        <v>-1180195794</v>
      </c>
      <c r="Y128">
        <f t="shared" si="54"/>
        <v>2.5</v>
      </c>
      <c r="AA128">
        <v>0</v>
      </c>
      <c r="AB128">
        <v>1.05</v>
      </c>
      <c r="AC128">
        <v>0</v>
      </c>
      <c r="AD128">
        <v>0</v>
      </c>
      <c r="AE128">
        <v>0</v>
      </c>
      <c r="AF128">
        <v>1</v>
      </c>
      <c r="AG128">
        <v>0</v>
      </c>
      <c r="AH128">
        <v>0</v>
      </c>
      <c r="AI128">
        <v>1</v>
      </c>
      <c r="AJ128">
        <v>1</v>
      </c>
      <c r="AK128">
        <v>1</v>
      </c>
      <c r="AL128">
        <v>1</v>
      </c>
      <c r="AN128">
        <v>0</v>
      </c>
      <c r="AO128">
        <v>1</v>
      </c>
      <c r="AP128">
        <v>0</v>
      </c>
      <c r="AQ128">
        <v>0</v>
      </c>
      <c r="AR128">
        <v>0</v>
      </c>
      <c r="AS128" t="s">
        <v>3</v>
      </c>
      <c r="AT128">
        <v>2.5</v>
      </c>
      <c r="AU128" t="s">
        <v>3</v>
      </c>
      <c r="AV128">
        <v>0</v>
      </c>
      <c r="AW128">
        <v>2</v>
      </c>
      <c r="AX128">
        <v>129763323</v>
      </c>
      <c r="AY128">
        <v>1</v>
      </c>
      <c r="AZ128">
        <v>0</v>
      </c>
      <c r="BA128">
        <v>134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ROUND(Y128*Source!I191,9)</f>
        <v>2</v>
      </c>
      <c r="CY128">
        <f>AB128</f>
        <v>1.05</v>
      </c>
      <c r="CZ128">
        <f>AF128</f>
        <v>1</v>
      </c>
      <c r="DA128">
        <f>AJ128</f>
        <v>1</v>
      </c>
      <c r="DB128">
        <f t="shared" si="55"/>
        <v>2.5</v>
      </c>
      <c r="DC128">
        <f t="shared" si="56"/>
        <v>0</v>
      </c>
      <c r="DD128" t="s">
        <v>3</v>
      </c>
      <c r="DE128" t="s">
        <v>3</v>
      </c>
      <c r="DF128">
        <f t="shared" si="57"/>
        <v>0</v>
      </c>
      <c r="DG128">
        <f t="shared" si="52"/>
        <v>2</v>
      </c>
      <c r="DH128">
        <f t="shared" si="53"/>
        <v>0</v>
      </c>
      <c r="DI128">
        <f t="shared" si="32"/>
        <v>0</v>
      </c>
      <c r="DJ128">
        <f>DG128</f>
        <v>2</v>
      </c>
      <c r="DK128">
        <v>0</v>
      </c>
    </row>
    <row r="129" spans="1:115" x14ac:dyDescent="0.2">
      <c r="A129">
        <f>ROW(Source!A227)</f>
        <v>227</v>
      </c>
      <c r="B129">
        <v>129761636</v>
      </c>
      <c r="C129">
        <v>129763324</v>
      </c>
      <c r="D129">
        <v>37345142</v>
      </c>
      <c r="E129">
        <v>37345137</v>
      </c>
      <c r="F129">
        <v>1</v>
      </c>
      <c r="G129">
        <v>37345137</v>
      </c>
      <c r="H129">
        <v>1</v>
      </c>
      <c r="I129" t="s">
        <v>1096</v>
      </c>
      <c r="J129" t="s">
        <v>3</v>
      </c>
      <c r="K129" t="s">
        <v>1097</v>
      </c>
      <c r="L129">
        <v>1191</v>
      </c>
      <c r="N129">
        <v>1013</v>
      </c>
      <c r="O129" t="s">
        <v>1098</v>
      </c>
      <c r="P129" t="s">
        <v>1098</v>
      </c>
      <c r="Q129">
        <v>1</v>
      </c>
      <c r="W129">
        <v>0</v>
      </c>
      <c r="X129">
        <v>476480486</v>
      </c>
      <c r="Y129">
        <f t="shared" si="54"/>
        <v>2.27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1</v>
      </c>
      <c r="AJ129">
        <v>1</v>
      </c>
      <c r="AK129">
        <v>1</v>
      </c>
      <c r="AL129">
        <v>1</v>
      </c>
      <c r="AN129">
        <v>0</v>
      </c>
      <c r="AO129">
        <v>1</v>
      </c>
      <c r="AP129">
        <v>0</v>
      </c>
      <c r="AQ129">
        <v>0</v>
      </c>
      <c r="AR129">
        <v>0</v>
      </c>
      <c r="AS129" t="s">
        <v>3</v>
      </c>
      <c r="AT129">
        <v>2.27</v>
      </c>
      <c r="AU129" t="s">
        <v>3</v>
      </c>
      <c r="AV129">
        <v>1</v>
      </c>
      <c r="AW129">
        <v>2</v>
      </c>
      <c r="AX129">
        <v>129763333</v>
      </c>
      <c r="AY129">
        <v>1</v>
      </c>
      <c r="AZ129">
        <v>0</v>
      </c>
      <c r="BA129">
        <v>135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ROUND(Y129*Source!I227,9)</f>
        <v>8.2945799999999998</v>
      </c>
      <c r="CY129">
        <f>AD129</f>
        <v>0</v>
      </c>
      <c r="CZ129">
        <f>AH129</f>
        <v>0</v>
      </c>
      <c r="DA129">
        <f>AL129</f>
        <v>1</v>
      </c>
      <c r="DB129">
        <f t="shared" si="55"/>
        <v>0</v>
      </c>
      <c r="DC129">
        <f t="shared" si="56"/>
        <v>0</v>
      </c>
      <c r="DD129" t="s">
        <v>3</v>
      </c>
      <c r="DE129" t="s">
        <v>3</v>
      </c>
      <c r="DF129">
        <f t="shared" si="57"/>
        <v>0</v>
      </c>
      <c r="DG129">
        <f t="shared" si="52"/>
        <v>0</v>
      </c>
      <c r="DH129">
        <f t="shared" si="53"/>
        <v>0</v>
      </c>
      <c r="DI129">
        <f t="shared" ref="DI129:DI192" si="58">ROUND(AH129*CX129,2)</f>
        <v>0</v>
      </c>
      <c r="DJ129">
        <f>DI129</f>
        <v>0</v>
      </c>
      <c r="DK129">
        <v>0</v>
      </c>
    </row>
    <row r="130" spans="1:115" x14ac:dyDescent="0.2">
      <c r="A130">
        <f>ROW(Source!A227)</f>
        <v>227</v>
      </c>
      <c r="B130">
        <v>129761636</v>
      </c>
      <c r="C130">
        <v>129763324</v>
      </c>
      <c r="D130">
        <v>37418163</v>
      </c>
      <c r="E130">
        <v>1</v>
      </c>
      <c r="F130">
        <v>1</v>
      </c>
      <c r="G130">
        <v>37345137</v>
      </c>
      <c r="H130">
        <v>2</v>
      </c>
      <c r="I130" t="s">
        <v>1159</v>
      </c>
      <c r="J130" t="s">
        <v>1160</v>
      </c>
      <c r="K130" t="s">
        <v>1161</v>
      </c>
      <c r="L130">
        <v>1367</v>
      </c>
      <c r="N130">
        <v>1011</v>
      </c>
      <c r="O130" t="s">
        <v>1102</v>
      </c>
      <c r="P130" t="s">
        <v>1102</v>
      </c>
      <c r="Q130">
        <v>1</v>
      </c>
      <c r="W130">
        <v>0</v>
      </c>
      <c r="X130">
        <v>-869219575</v>
      </c>
      <c r="Y130">
        <f t="shared" si="54"/>
        <v>0.28000000000000003</v>
      </c>
      <c r="AA130">
        <v>0</v>
      </c>
      <c r="AB130">
        <v>43.4</v>
      </c>
      <c r="AC130">
        <v>2.68</v>
      </c>
      <c r="AD130">
        <v>0</v>
      </c>
      <c r="AE130">
        <v>0</v>
      </c>
      <c r="AF130">
        <v>43.4</v>
      </c>
      <c r="AG130">
        <v>2.68</v>
      </c>
      <c r="AH130">
        <v>0</v>
      </c>
      <c r="AI130">
        <v>1</v>
      </c>
      <c r="AJ130">
        <v>1</v>
      </c>
      <c r="AK130">
        <v>1</v>
      </c>
      <c r="AL130">
        <v>1</v>
      </c>
      <c r="AN130">
        <v>0</v>
      </c>
      <c r="AO130">
        <v>1</v>
      </c>
      <c r="AP130">
        <v>0</v>
      </c>
      <c r="AQ130">
        <v>0</v>
      </c>
      <c r="AR130">
        <v>0</v>
      </c>
      <c r="AS130" t="s">
        <v>3</v>
      </c>
      <c r="AT130">
        <v>0.28000000000000003</v>
      </c>
      <c r="AU130" t="s">
        <v>3</v>
      </c>
      <c r="AV130">
        <v>0</v>
      </c>
      <c r="AW130">
        <v>2</v>
      </c>
      <c r="AX130">
        <v>129763334</v>
      </c>
      <c r="AY130">
        <v>1</v>
      </c>
      <c r="AZ130">
        <v>0</v>
      </c>
      <c r="BA130">
        <v>136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ROUND(Y130*Source!I227,9)</f>
        <v>1.02312</v>
      </c>
      <c r="CY130">
        <f>AB130</f>
        <v>43.4</v>
      </c>
      <c r="CZ130">
        <f>AF130</f>
        <v>43.4</v>
      </c>
      <c r="DA130">
        <f>AJ130</f>
        <v>1</v>
      </c>
      <c r="DB130">
        <f t="shared" si="55"/>
        <v>12.15</v>
      </c>
      <c r="DC130">
        <f t="shared" si="56"/>
        <v>0.75</v>
      </c>
      <c r="DD130" t="s">
        <v>3</v>
      </c>
      <c r="DE130" t="s">
        <v>3</v>
      </c>
      <c r="DF130">
        <f t="shared" si="57"/>
        <v>0</v>
      </c>
      <c r="DG130">
        <f t="shared" si="52"/>
        <v>44.4</v>
      </c>
      <c r="DH130">
        <f t="shared" si="53"/>
        <v>2.74</v>
      </c>
      <c r="DI130">
        <f t="shared" si="58"/>
        <v>0</v>
      </c>
      <c r="DJ130">
        <f>DG130</f>
        <v>44.4</v>
      </c>
      <c r="DK130">
        <v>0</v>
      </c>
    </row>
    <row r="131" spans="1:115" x14ac:dyDescent="0.2">
      <c r="A131">
        <f>ROW(Source!A227)</f>
        <v>227</v>
      </c>
      <c r="B131">
        <v>129761636</v>
      </c>
      <c r="C131">
        <v>129763324</v>
      </c>
      <c r="D131">
        <v>37418483</v>
      </c>
      <c r="E131">
        <v>1</v>
      </c>
      <c r="F131">
        <v>1</v>
      </c>
      <c r="G131">
        <v>37345137</v>
      </c>
      <c r="H131">
        <v>2</v>
      </c>
      <c r="I131" t="s">
        <v>1162</v>
      </c>
      <c r="J131" t="s">
        <v>1163</v>
      </c>
      <c r="K131" t="s">
        <v>1164</v>
      </c>
      <c r="L131">
        <v>1367</v>
      </c>
      <c r="N131">
        <v>1011</v>
      </c>
      <c r="O131" t="s">
        <v>1102</v>
      </c>
      <c r="P131" t="s">
        <v>1102</v>
      </c>
      <c r="Q131">
        <v>1</v>
      </c>
      <c r="W131">
        <v>0</v>
      </c>
      <c r="X131">
        <v>814809297</v>
      </c>
      <c r="Y131">
        <f t="shared" si="54"/>
        <v>0.38</v>
      </c>
      <c r="AA131">
        <v>0</v>
      </c>
      <c r="AB131">
        <v>1.59</v>
      </c>
      <c r="AC131">
        <v>0.09</v>
      </c>
      <c r="AD131">
        <v>0</v>
      </c>
      <c r="AE131">
        <v>0</v>
      </c>
      <c r="AF131">
        <v>1.59</v>
      </c>
      <c r="AG131">
        <v>0.09</v>
      </c>
      <c r="AH131">
        <v>0</v>
      </c>
      <c r="AI131">
        <v>1</v>
      </c>
      <c r="AJ131">
        <v>1</v>
      </c>
      <c r="AK131">
        <v>1</v>
      </c>
      <c r="AL131">
        <v>1</v>
      </c>
      <c r="AN131">
        <v>0</v>
      </c>
      <c r="AO131">
        <v>1</v>
      </c>
      <c r="AP131">
        <v>0</v>
      </c>
      <c r="AQ131">
        <v>0</v>
      </c>
      <c r="AR131">
        <v>0</v>
      </c>
      <c r="AS131" t="s">
        <v>3</v>
      </c>
      <c r="AT131">
        <v>0.38</v>
      </c>
      <c r="AU131" t="s">
        <v>3</v>
      </c>
      <c r="AV131">
        <v>0</v>
      </c>
      <c r="AW131">
        <v>2</v>
      </c>
      <c r="AX131">
        <v>129763335</v>
      </c>
      <c r="AY131">
        <v>1</v>
      </c>
      <c r="AZ131">
        <v>0</v>
      </c>
      <c r="BA131">
        <v>137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ROUND(Y131*Source!I227,9)</f>
        <v>1.38852</v>
      </c>
      <c r="CY131">
        <f>AB131</f>
        <v>1.59</v>
      </c>
      <c r="CZ131">
        <f>AF131</f>
        <v>1.59</v>
      </c>
      <c r="DA131">
        <f>AJ131</f>
        <v>1</v>
      </c>
      <c r="DB131">
        <f t="shared" si="55"/>
        <v>0.6</v>
      </c>
      <c r="DC131">
        <f t="shared" si="56"/>
        <v>0.03</v>
      </c>
      <c r="DD131" t="s">
        <v>3</v>
      </c>
      <c r="DE131" t="s">
        <v>3</v>
      </c>
      <c r="DF131">
        <f t="shared" si="57"/>
        <v>0</v>
      </c>
      <c r="DG131">
        <f t="shared" si="52"/>
        <v>2.21</v>
      </c>
      <c r="DH131">
        <f t="shared" si="53"/>
        <v>0.12</v>
      </c>
      <c r="DI131">
        <f t="shared" si="58"/>
        <v>0</v>
      </c>
      <c r="DJ131">
        <f>DG131</f>
        <v>2.21</v>
      </c>
      <c r="DK131">
        <v>0</v>
      </c>
    </row>
    <row r="132" spans="1:115" x14ac:dyDescent="0.2">
      <c r="A132">
        <f>ROW(Source!A227)</f>
        <v>227</v>
      </c>
      <c r="B132">
        <v>129761636</v>
      </c>
      <c r="C132">
        <v>129763324</v>
      </c>
      <c r="D132">
        <v>37394398</v>
      </c>
      <c r="E132">
        <v>1</v>
      </c>
      <c r="F132">
        <v>1</v>
      </c>
      <c r="G132">
        <v>37345137</v>
      </c>
      <c r="H132">
        <v>3</v>
      </c>
      <c r="I132" t="s">
        <v>1165</v>
      </c>
      <c r="J132" t="s">
        <v>1166</v>
      </c>
      <c r="K132" t="s">
        <v>1167</v>
      </c>
      <c r="L132">
        <v>1348</v>
      </c>
      <c r="N132">
        <v>1009</v>
      </c>
      <c r="O132" t="s">
        <v>114</v>
      </c>
      <c r="P132" t="s">
        <v>114</v>
      </c>
      <c r="Q132">
        <v>1000</v>
      </c>
      <c r="W132">
        <v>0</v>
      </c>
      <c r="X132">
        <v>-1651674065</v>
      </c>
      <c r="Y132">
        <f t="shared" si="54"/>
        <v>5.1000000000000004E-4</v>
      </c>
      <c r="AA132">
        <v>6593.39</v>
      </c>
      <c r="AB132">
        <v>0</v>
      </c>
      <c r="AC132">
        <v>0</v>
      </c>
      <c r="AD132">
        <v>0</v>
      </c>
      <c r="AE132">
        <v>6593.39</v>
      </c>
      <c r="AF132">
        <v>0</v>
      </c>
      <c r="AG132">
        <v>0</v>
      </c>
      <c r="AH132">
        <v>0</v>
      </c>
      <c r="AI132">
        <v>1</v>
      </c>
      <c r="AJ132">
        <v>1</v>
      </c>
      <c r="AK132">
        <v>1</v>
      </c>
      <c r="AL132">
        <v>1</v>
      </c>
      <c r="AN132">
        <v>0</v>
      </c>
      <c r="AO132">
        <v>1</v>
      </c>
      <c r="AP132">
        <v>0</v>
      </c>
      <c r="AQ132">
        <v>0</v>
      </c>
      <c r="AR132">
        <v>0</v>
      </c>
      <c r="AS132" t="s">
        <v>3</v>
      </c>
      <c r="AT132">
        <v>5.1000000000000004E-4</v>
      </c>
      <c r="AU132" t="s">
        <v>3</v>
      </c>
      <c r="AV132">
        <v>0</v>
      </c>
      <c r="AW132">
        <v>2</v>
      </c>
      <c r="AX132">
        <v>129763336</v>
      </c>
      <c r="AY132">
        <v>1</v>
      </c>
      <c r="AZ132">
        <v>0</v>
      </c>
      <c r="BA132">
        <v>138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ROUND(Y132*Source!I227,9)</f>
        <v>1.8635399999999999E-3</v>
      </c>
      <c r="CY132">
        <f>AA132</f>
        <v>6593.39</v>
      </c>
      <c r="CZ132">
        <f>AE132</f>
        <v>6593.39</v>
      </c>
      <c r="DA132">
        <f>AI132</f>
        <v>1</v>
      </c>
      <c r="DB132">
        <f t="shared" si="55"/>
        <v>3.36</v>
      </c>
      <c r="DC132">
        <f t="shared" si="56"/>
        <v>0</v>
      </c>
      <c r="DD132" t="s">
        <v>3</v>
      </c>
      <c r="DE132" t="s">
        <v>3</v>
      </c>
      <c r="DF132">
        <f t="shared" si="57"/>
        <v>12.29</v>
      </c>
      <c r="DG132">
        <f t="shared" si="52"/>
        <v>0</v>
      </c>
      <c r="DH132">
        <f t="shared" si="53"/>
        <v>0</v>
      </c>
      <c r="DI132">
        <f t="shared" si="58"/>
        <v>0</v>
      </c>
      <c r="DJ132">
        <f>DF132</f>
        <v>12.29</v>
      </c>
      <c r="DK132">
        <v>0</v>
      </c>
    </row>
    <row r="133" spans="1:115" x14ac:dyDescent="0.2">
      <c r="A133">
        <f>ROW(Source!A227)</f>
        <v>227</v>
      </c>
      <c r="B133">
        <v>129761636</v>
      </c>
      <c r="C133">
        <v>129763324</v>
      </c>
      <c r="D133">
        <v>37394864</v>
      </c>
      <c r="E133">
        <v>1</v>
      </c>
      <c r="F133">
        <v>1</v>
      </c>
      <c r="G133">
        <v>37345137</v>
      </c>
      <c r="H133">
        <v>3</v>
      </c>
      <c r="I133" t="s">
        <v>1147</v>
      </c>
      <c r="J133" t="s">
        <v>1148</v>
      </c>
      <c r="K133" t="s">
        <v>1149</v>
      </c>
      <c r="L133">
        <v>1348</v>
      </c>
      <c r="N133">
        <v>1009</v>
      </c>
      <c r="O133" t="s">
        <v>114</v>
      </c>
      <c r="P133" t="s">
        <v>114</v>
      </c>
      <c r="Q133">
        <v>1000</v>
      </c>
      <c r="W133">
        <v>0</v>
      </c>
      <c r="X133">
        <v>1310716689</v>
      </c>
      <c r="Y133">
        <f t="shared" si="54"/>
        <v>1E-4</v>
      </c>
      <c r="AA133">
        <v>7191.81</v>
      </c>
      <c r="AB133">
        <v>0</v>
      </c>
      <c r="AC133">
        <v>0</v>
      </c>
      <c r="AD133">
        <v>0</v>
      </c>
      <c r="AE133">
        <v>7191.81</v>
      </c>
      <c r="AF133">
        <v>0</v>
      </c>
      <c r="AG133">
        <v>0</v>
      </c>
      <c r="AH133">
        <v>0</v>
      </c>
      <c r="AI133">
        <v>1</v>
      </c>
      <c r="AJ133">
        <v>1</v>
      </c>
      <c r="AK133">
        <v>1</v>
      </c>
      <c r="AL133">
        <v>1</v>
      </c>
      <c r="AN133">
        <v>0</v>
      </c>
      <c r="AO133">
        <v>1</v>
      </c>
      <c r="AP133">
        <v>0</v>
      </c>
      <c r="AQ133">
        <v>0</v>
      </c>
      <c r="AR133">
        <v>0</v>
      </c>
      <c r="AS133" t="s">
        <v>3</v>
      </c>
      <c r="AT133">
        <v>1E-4</v>
      </c>
      <c r="AU133" t="s">
        <v>3</v>
      </c>
      <c r="AV133">
        <v>0</v>
      </c>
      <c r="AW133">
        <v>2</v>
      </c>
      <c r="AX133">
        <v>129763337</v>
      </c>
      <c r="AY133">
        <v>1</v>
      </c>
      <c r="AZ133">
        <v>0</v>
      </c>
      <c r="BA133">
        <v>139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ROUND(Y133*Source!I227,9)</f>
        <v>3.6539999999999999E-4</v>
      </c>
      <c r="CY133">
        <f>AA133</f>
        <v>7191.81</v>
      </c>
      <c r="CZ133">
        <f>AE133</f>
        <v>7191.81</v>
      </c>
      <c r="DA133">
        <f>AI133</f>
        <v>1</v>
      </c>
      <c r="DB133">
        <f t="shared" si="55"/>
        <v>0.72</v>
      </c>
      <c r="DC133">
        <f t="shared" si="56"/>
        <v>0</v>
      </c>
      <c r="DD133" t="s">
        <v>3</v>
      </c>
      <c r="DE133" t="s">
        <v>3</v>
      </c>
      <c r="DF133">
        <f t="shared" si="57"/>
        <v>2.63</v>
      </c>
      <c r="DG133">
        <f t="shared" si="52"/>
        <v>0</v>
      </c>
      <c r="DH133">
        <f t="shared" si="53"/>
        <v>0</v>
      </c>
      <c r="DI133">
        <f t="shared" si="58"/>
        <v>0</v>
      </c>
      <c r="DJ133">
        <f>DF133</f>
        <v>2.63</v>
      </c>
      <c r="DK133">
        <v>0</v>
      </c>
    </row>
    <row r="134" spans="1:115" x14ac:dyDescent="0.2">
      <c r="A134">
        <f>ROW(Source!A227)</f>
        <v>227</v>
      </c>
      <c r="B134">
        <v>129761636</v>
      </c>
      <c r="C134">
        <v>129763324</v>
      </c>
      <c r="D134">
        <v>37394107</v>
      </c>
      <c r="E134">
        <v>1</v>
      </c>
      <c r="F134">
        <v>1</v>
      </c>
      <c r="G134">
        <v>37345137</v>
      </c>
      <c r="H134">
        <v>3</v>
      </c>
      <c r="I134" t="s">
        <v>1168</v>
      </c>
      <c r="J134" t="s">
        <v>1169</v>
      </c>
      <c r="K134" t="s">
        <v>1170</v>
      </c>
      <c r="L134">
        <v>1296</v>
      </c>
      <c r="N134">
        <v>1002</v>
      </c>
      <c r="O134" t="s">
        <v>870</v>
      </c>
      <c r="P134" t="s">
        <v>870</v>
      </c>
      <c r="Q134">
        <v>1</v>
      </c>
      <c r="W134">
        <v>0</v>
      </c>
      <c r="X134">
        <v>1307744319</v>
      </c>
      <c r="Y134">
        <f t="shared" si="54"/>
        <v>0.28999999999999998</v>
      </c>
      <c r="AA134">
        <v>54.7</v>
      </c>
      <c r="AB134">
        <v>0</v>
      </c>
      <c r="AC134">
        <v>0</v>
      </c>
      <c r="AD134">
        <v>0</v>
      </c>
      <c r="AE134">
        <v>54.7</v>
      </c>
      <c r="AF134">
        <v>0</v>
      </c>
      <c r="AG134">
        <v>0</v>
      </c>
      <c r="AH134">
        <v>0</v>
      </c>
      <c r="AI134">
        <v>1</v>
      </c>
      <c r="AJ134">
        <v>1</v>
      </c>
      <c r="AK134">
        <v>1</v>
      </c>
      <c r="AL134">
        <v>1</v>
      </c>
      <c r="AN134">
        <v>0</v>
      </c>
      <c r="AO134">
        <v>1</v>
      </c>
      <c r="AP134">
        <v>0</v>
      </c>
      <c r="AQ134">
        <v>0</v>
      </c>
      <c r="AR134">
        <v>0</v>
      </c>
      <c r="AS134" t="s">
        <v>3</v>
      </c>
      <c r="AT134">
        <v>0.28999999999999998</v>
      </c>
      <c r="AU134" t="s">
        <v>3</v>
      </c>
      <c r="AV134">
        <v>0</v>
      </c>
      <c r="AW134">
        <v>2</v>
      </c>
      <c r="AX134">
        <v>129763338</v>
      </c>
      <c r="AY134">
        <v>1</v>
      </c>
      <c r="AZ134">
        <v>0</v>
      </c>
      <c r="BA134">
        <v>140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ROUND(Y134*Source!I227,9)</f>
        <v>1.05966</v>
      </c>
      <c r="CY134">
        <f>AA134</f>
        <v>54.7</v>
      </c>
      <c r="CZ134">
        <f>AE134</f>
        <v>54.7</v>
      </c>
      <c r="DA134">
        <f>AI134</f>
        <v>1</v>
      </c>
      <c r="DB134">
        <f t="shared" si="55"/>
        <v>15.86</v>
      </c>
      <c r="DC134">
        <f t="shared" si="56"/>
        <v>0</v>
      </c>
      <c r="DD134" t="s">
        <v>3</v>
      </c>
      <c r="DE134" t="s">
        <v>3</v>
      </c>
      <c r="DF134">
        <f t="shared" si="57"/>
        <v>57.96</v>
      </c>
      <c r="DG134">
        <f t="shared" si="52"/>
        <v>0</v>
      </c>
      <c r="DH134">
        <f t="shared" si="53"/>
        <v>0</v>
      </c>
      <c r="DI134">
        <f t="shared" si="58"/>
        <v>0</v>
      </c>
      <c r="DJ134">
        <f>DF134</f>
        <v>57.96</v>
      </c>
      <c r="DK134">
        <v>0</v>
      </c>
    </row>
    <row r="135" spans="1:115" x14ac:dyDescent="0.2">
      <c r="A135">
        <f>ROW(Source!A227)</f>
        <v>227</v>
      </c>
      <c r="B135">
        <v>129761636</v>
      </c>
      <c r="C135">
        <v>129763324</v>
      </c>
      <c r="D135">
        <v>37415580</v>
      </c>
      <c r="E135">
        <v>1</v>
      </c>
      <c r="F135">
        <v>1</v>
      </c>
      <c r="G135">
        <v>37345137</v>
      </c>
      <c r="H135">
        <v>3</v>
      </c>
      <c r="I135" t="s">
        <v>226</v>
      </c>
      <c r="J135" t="s">
        <v>227</v>
      </c>
      <c r="K135" t="s">
        <v>1560</v>
      </c>
      <c r="L135">
        <v>1348</v>
      </c>
      <c r="N135">
        <v>1009</v>
      </c>
      <c r="O135" t="s">
        <v>114</v>
      </c>
      <c r="P135" t="s">
        <v>114</v>
      </c>
      <c r="Q135">
        <v>1000</v>
      </c>
      <c r="W135">
        <v>0</v>
      </c>
      <c r="X135">
        <v>-1147217017</v>
      </c>
      <c r="Y135">
        <f t="shared" si="54"/>
        <v>3.7027914614121513E-2</v>
      </c>
      <c r="AA135">
        <v>52930.78</v>
      </c>
      <c r="AB135">
        <v>0</v>
      </c>
      <c r="AC135">
        <v>0</v>
      </c>
      <c r="AD135">
        <v>0</v>
      </c>
      <c r="AE135">
        <v>52930.78</v>
      </c>
      <c r="AF135">
        <v>0</v>
      </c>
      <c r="AG135">
        <v>0</v>
      </c>
      <c r="AH135">
        <v>0</v>
      </c>
      <c r="AI135">
        <v>1</v>
      </c>
      <c r="AJ135">
        <v>1</v>
      </c>
      <c r="AK135">
        <v>1</v>
      </c>
      <c r="AL135">
        <v>1</v>
      </c>
      <c r="AN135">
        <v>0</v>
      </c>
      <c r="AO135">
        <v>0</v>
      </c>
      <c r="AP135">
        <v>0</v>
      </c>
      <c r="AQ135">
        <v>0</v>
      </c>
      <c r="AR135">
        <v>0</v>
      </c>
      <c r="AS135" t="s">
        <v>3</v>
      </c>
      <c r="AT135">
        <v>3.7027914614121513E-2</v>
      </c>
      <c r="AU135" t="s">
        <v>3</v>
      </c>
      <c r="AV135">
        <v>0</v>
      </c>
      <c r="AW135">
        <v>1</v>
      </c>
      <c r="AX135">
        <v>-1</v>
      </c>
      <c r="AY135">
        <v>0</v>
      </c>
      <c r="AZ135">
        <v>0</v>
      </c>
      <c r="BA135" t="s">
        <v>3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ROUND(Y135*Source!I227,9)</f>
        <v>0.1353</v>
      </c>
      <c r="CY135">
        <f>AA135</f>
        <v>52930.78</v>
      </c>
      <c r="CZ135">
        <f>AE135</f>
        <v>52930.78</v>
      </c>
      <c r="DA135">
        <f>AI135</f>
        <v>1</v>
      </c>
      <c r="DB135">
        <f t="shared" si="55"/>
        <v>1959.92</v>
      </c>
      <c r="DC135">
        <f t="shared" si="56"/>
        <v>0</v>
      </c>
      <c r="DD135" t="s">
        <v>3</v>
      </c>
      <c r="DE135" t="s">
        <v>3</v>
      </c>
      <c r="DF135">
        <f t="shared" si="57"/>
        <v>7161.53</v>
      </c>
      <c r="DG135">
        <f t="shared" si="52"/>
        <v>0</v>
      </c>
      <c r="DH135">
        <f t="shared" si="53"/>
        <v>0</v>
      </c>
      <c r="DI135">
        <f t="shared" si="58"/>
        <v>0</v>
      </c>
      <c r="DJ135">
        <f>DF135</f>
        <v>7161.53</v>
      </c>
      <c r="DK135">
        <v>0</v>
      </c>
    </row>
    <row r="136" spans="1:115" x14ac:dyDescent="0.2">
      <c r="A136">
        <f>ROW(Source!A227)</f>
        <v>227</v>
      </c>
      <c r="B136">
        <v>129761636</v>
      </c>
      <c r="C136">
        <v>129763324</v>
      </c>
      <c r="D136">
        <v>37415724</v>
      </c>
      <c r="E136">
        <v>1</v>
      </c>
      <c r="F136">
        <v>1</v>
      </c>
      <c r="G136">
        <v>37345137</v>
      </c>
      <c r="H136">
        <v>3</v>
      </c>
      <c r="I136" t="s">
        <v>1171</v>
      </c>
      <c r="J136" t="s">
        <v>1172</v>
      </c>
      <c r="K136" t="s">
        <v>1173</v>
      </c>
      <c r="L136">
        <v>1354</v>
      </c>
      <c r="N136">
        <v>1010</v>
      </c>
      <c r="O136" t="s">
        <v>250</v>
      </c>
      <c r="P136" t="s">
        <v>250</v>
      </c>
      <c r="Q136">
        <v>1</v>
      </c>
      <c r="W136">
        <v>0</v>
      </c>
      <c r="X136">
        <v>-2007977906</v>
      </c>
      <c r="Y136">
        <f t="shared" si="54"/>
        <v>0.3</v>
      </c>
      <c r="AA136">
        <v>11.82</v>
      </c>
      <c r="AB136">
        <v>0</v>
      </c>
      <c r="AC136">
        <v>0</v>
      </c>
      <c r="AD136">
        <v>0</v>
      </c>
      <c r="AE136">
        <v>11.82</v>
      </c>
      <c r="AF136">
        <v>0</v>
      </c>
      <c r="AG136">
        <v>0</v>
      </c>
      <c r="AH136">
        <v>0</v>
      </c>
      <c r="AI136">
        <v>1</v>
      </c>
      <c r="AJ136">
        <v>1</v>
      </c>
      <c r="AK136">
        <v>1</v>
      </c>
      <c r="AL136">
        <v>1</v>
      </c>
      <c r="AN136">
        <v>0</v>
      </c>
      <c r="AO136">
        <v>1</v>
      </c>
      <c r="AP136">
        <v>0</v>
      </c>
      <c r="AQ136">
        <v>0</v>
      </c>
      <c r="AR136">
        <v>0</v>
      </c>
      <c r="AS136" t="s">
        <v>3</v>
      </c>
      <c r="AT136">
        <v>0.3</v>
      </c>
      <c r="AU136" t="s">
        <v>3</v>
      </c>
      <c r="AV136">
        <v>0</v>
      </c>
      <c r="AW136">
        <v>2</v>
      </c>
      <c r="AX136">
        <v>129763339</v>
      </c>
      <c r="AY136">
        <v>1</v>
      </c>
      <c r="AZ136">
        <v>0</v>
      </c>
      <c r="BA136">
        <v>141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ROUND(Y136*Source!I227,9)</f>
        <v>1.0962000000000001</v>
      </c>
      <c r="CY136">
        <f>AA136</f>
        <v>11.82</v>
      </c>
      <c r="CZ136">
        <f>AE136</f>
        <v>11.82</v>
      </c>
      <c r="DA136">
        <f>AI136</f>
        <v>1</v>
      </c>
      <c r="DB136">
        <f t="shared" si="55"/>
        <v>3.55</v>
      </c>
      <c r="DC136">
        <f t="shared" si="56"/>
        <v>0</v>
      </c>
      <c r="DD136" t="s">
        <v>3</v>
      </c>
      <c r="DE136" t="s">
        <v>3</v>
      </c>
      <c r="DF136">
        <f t="shared" si="57"/>
        <v>12.96</v>
      </c>
      <c r="DG136">
        <f t="shared" si="52"/>
        <v>0</v>
      </c>
      <c r="DH136">
        <f t="shared" si="53"/>
        <v>0</v>
      </c>
      <c r="DI136">
        <f t="shared" si="58"/>
        <v>0</v>
      </c>
      <c r="DJ136">
        <f>DF136</f>
        <v>12.96</v>
      </c>
      <c r="DK136">
        <v>0</v>
      </c>
    </row>
    <row r="137" spans="1:115" x14ac:dyDescent="0.2">
      <c r="A137">
        <f>ROW(Source!A228)</f>
        <v>228</v>
      </c>
      <c r="B137">
        <v>129761633</v>
      </c>
      <c r="C137">
        <v>129763324</v>
      </c>
      <c r="D137">
        <v>37345142</v>
      </c>
      <c r="E137">
        <v>37345137</v>
      </c>
      <c r="F137">
        <v>1</v>
      </c>
      <c r="G137">
        <v>37345137</v>
      </c>
      <c r="H137">
        <v>1</v>
      </c>
      <c r="I137" t="s">
        <v>1096</v>
      </c>
      <c r="J137" t="s">
        <v>3</v>
      </c>
      <c r="K137" t="s">
        <v>1097</v>
      </c>
      <c r="L137">
        <v>1191</v>
      </c>
      <c r="N137">
        <v>1013</v>
      </c>
      <c r="O137" t="s">
        <v>1098</v>
      </c>
      <c r="P137" t="s">
        <v>1098</v>
      </c>
      <c r="Q137">
        <v>1</v>
      </c>
      <c r="W137">
        <v>0</v>
      </c>
      <c r="X137">
        <v>476480486</v>
      </c>
      <c r="Y137">
        <f t="shared" si="54"/>
        <v>2.27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1</v>
      </c>
      <c r="AJ137">
        <v>1</v>
      </c>
      <c r="AK137">
        <v>1</v>
      </c>
      <c r="AL137">
        <v>1</v>
      </c>
      <c r="AN137">
        <v>0</v>
      </c>
      <c r="AO137">
        <v>1</v>
      </c>
      <c r="AP137">
        <v>0</v>
      </c>
      <c r="AQ137">
        <v>0</v>
      </c>
      <c r="AR137">
        <v>0</v>
      </c>
      <c r="AS137" t="s">
        <v>3</v>
      </c>
      <c r="AT137">
        <v>2.27</v>
      </c>
      <c r="AU137" t="s">
        <v>3</v>
      </c>
      <c r="AV137">
        <v>1</v>
      </c>
      <c r="AW137">
        <v>2</v>
      </c>
      <c r="AX137">
        <v>129763333</v>
      </c>
      <c r="AY137">
        <v>1</v>
      </c>
      <c r="AZ137">
        <v>0</v>
      </c>
      <c r="BA137">
        <v>142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ROUND(Y137*Source!I228,9)</f>
        <v>8.2945799999999998</v>
      </c>
      <c r="CY137">
        <f>AD137</f>
        <v>0</v>
      </c>
      <c r="CZ137">
        <f>AH137</f>
        <v>0</v>
      </c>
      <c r="DA137">
        <f>AL137</f>
        <v>1</v>
      </c>
      <c r="DB137">
        <f t="shared" si="55"/>
        <v>0</v>
      </c>
      <c r="DC137">
        <f t="shared" si="56"/>
        <v>0</v>
      </c>
      <c r="DD137" t="s">
        <v>3</v>
      </c>
      <c r="DE137" t="s">
        <v>3</v>
      </c>
      <c r="DF137">
        <f t="shared" si="57"/>
        <v>0</v>
      </c>
      <c r="DG137">
        <f t="shared" si="52"/>
        <v>0</v>
      </c>
      <c r="DH137">
        <f t="shared" si="53"/>
        <v>0</v>
      </c>
      <c r="DI137">
        <f t="shared" si="58"/>
        <v>0</v>
      </c>
      <c r="DJ137">
        <f>DI137</f>
        <v>0</v>
      </c>
      <c r="DK137">
        <v>0</v>
      </c>
    </row>
    <row r="138" spans="1:115" x14ac:dyDescent="0.2">
      <c r="A138">
        <f>ROW(Source!A228)</f>
        <v>228</v>
      </c>
      <c r="B138">
        <v>129761633</v>
      </c>
      <c r="C138">
        <v>129763324</v>
      </c>
      <c r="D138">
        <v>37418163</v>
      </c>
      <c r="E138">
        <v>1</v>
      </c>
      <c r="F138">
        <v>1</v>
      </c>
      <c r="G138">
        <v>37345137</v>
      </c>
      <c r="H138">
        <v>2</v>
      </c>
      <c r="I138" t="s">
        <v>1159</v>
      </c>
      <c r="J138" t="s">
        <v>1160</v>
      </c>
      <c r="K138" t="s">
        <v>1161</v>
      </c>
      <c r="L138">
        <v>1367</v>
      </c>
      <c r="N138">
        <v>1011</v>
      </c>
      <c r="O138" t="s">
        <v>1102</v>
      </c>
      <c r="P138" t="s">
        <v>1102</v>
      </c>
      <c r="Q138">
        <v>1</v>
      </c>
      <c r="W138">
        <v>0</v>
      </c>
      <c r="X138">
        <v>-869219575</v>
      </c>
      <c r="Y138">
        <f t="shared" si="54"/>
        <v>0.28000000000000003</v>
      </c>
      <c r="AA138">
        <v>0</v>
      </c>
      <c r="AB138">
        <v>421.28</v>
      </c>
      <c r="AC138">
        <v>84.57</v>
      </c>
      <c r="AD138">
        <v>0</v>
      </c>
      <c r="AE138">
        <v>0</v>
      </c>
      <c r="AF138">
        <v>43.4</v>
      </c>
      <c r="AG138">
        <v>2.68</v>
      </c>
      <c r="AH138">
        <v>0</v>
      </c>
      <c r="AI138">
        <v>1</v>
      </c>
      <c r="AJ138">
        <v>8.93</v>
      </c>
      <c r="AK138">
        <v>29.03</v>
      </c>
      <c r="AL138">
        <v>1</v>
      </c>
      <c r="AN138">
        <v>0</v>
      </c>
      <c r="AO138">
        <v>1</v>
      </c>
      <c r="AP138">
        <v>0</v>
      </c>
      <c r="AQ138">
        <v>0</v>
      </c>
      <c r="AR138">
        <v>0</v>
      </c>
      <c r="AS138" t="s">
        <v>3</v>
      </c>
      <c r="AT138">
        <v>0.28000000000000003</v>
      </c>
      <c r="AU138" t="s">
        <v>3</v>
      </c>
      <c r="AV138">
        <v>0</v>
      </c>
      <c r="AW138">
        <v>2</v>
      </c>
      <c r="AX138">
        <v>129763334</v>
      </c>
      <c r="AY138">
        <v>1</v>
      </c>
      <c r="AZ138">
        <v>0</v>
      </c>
      <c r="BA138">
        <v>143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ROUND(Y138*Source!I228,9)</f>
        <v>1.02312</v>
      </c>
      <c r="CY138">
        <f>AB138</f>
        <v>421.28</v>
      </c>
      <c r="CZ138">
        <f>AF138</f>
        <v>43.4</v>
      </c>
      <c r="DA138">
        <f>AJ138</f>
        <v>8.93</v>
      </c>
      <c r="DB138">
        <f t="shared" si="55"/>
        <v>12.15</v>
      </c>
      <c r="DC138">
        <f t="shared" si="56"/>
        <v>0.75</v>
      </c>
      <c r="DD138" t="s">
        <v>3</v>
      </c>
      <c r="DE138" t="s">
        <v>3</v>
      </c>
      <c r="DF138">
        <f t="shared" si="57"/>
        <v>0</v>
      </c>
      <c r="DG138">
        <f>ROUND(ROUND(AF138*CX138,2)*AJ138,2)</f>
        <v>396.49</v>
      </c>
      <c r="DH138">
        <f>ROUND(ROUND(AG138*CX138,2)*AK138,2)</f>
        <v>79.540000000000006</v>
      </c>
      <c r="DI138">
        <f t="shared" si="58"/>
        <v>0</v>
      </c>
      <c r="DJ138">
        <f>DG138</f>
        <v>396.49</v>
      </c>
      <c r="DK138">
        <v>0</v>
      </c>
    </row>
    <row r="139" spans="1:115" x14ac:dyDescent="0.2">
      <c r="A139">
        <f>ROW(Source!A228)</f>
        <v>228</v>
      </c>
      <c r="B139">
        <v>129761633</v>
      </c>
      <c r="C139">
        <v>129763324</v>
      </c>
      <c r="D139">
        <v>37418483</v>
      </c>
      <c r="E139">
        <v>1</v>
      </c>
      <c r="F139">
        <v>1</v>
      </c>
      <c r="G139">
        <v>37345137</v>
      </c>
      <c r="H139">
        <v>2</v>
      </c>
      <c r="I139" t="s">
        <v>1162</v>
      </c>
      <c r="J139" t="s">
        <v>1163</v>
      </c>
      <c r="K139" t="s">
        <v>1164</v>
      </c>
      <c r="L139">
        <v>1367</v>
      </c>
      <c r="N139">
        <v>1011</v>
      </c>
      <c r="O139" t="s">
        <v>1102</v>
      </c>
      <c r="P139" t="s">
        <v>1102</v>
      </c>
      <c r="Q139">
        <v>1</v>
      </c>
      <c r="W139">
        <v>0</v>
      </c>
      <c r="X139">
        <v>814809297</v>
      </c>
      <c r="Y139">
        <f t="shared" si="54"/>
        <v>0.38</v>
      </c>
      <c r="AA139">
        <v>0</v>
      </c>
      <c r="AB139">
        <v>13.67</v>
      </c>
      <c r="AC139">
        <v>2.84</v>
      </c>
      <c r="AD139">
        <v>0</v>
      </c>
      <c r="AE139">
        <v>0</v>
      </c>
      <c r="AF139">
        <v>1.59</v>
      </c>
      <c r="AG139">
        <v>0.09</v>
      </c>
      <c r="AH139">
        <v>0</v>
      </c>
      <c r="AI139">
        <v>1</v>
      </c>
      <c r="AJ139">
        <v>7.91</v>
      </c>
      <c r="AK139">
        <v>29.03</v>
      </c>
      <c r="AL139">
        <v>1</v>
      </c>
      <c r="AN139">
        <v>0</v>
      </c>
      <c r="AO139">
        <v>1</v>
      </c>
      <c r="AP139">
        <v>0</v>
      </c>
      <c r="AQ139">
        <v>0</v>
      </c>
      <c r="AR139">
        <v>0</v>
      </c>
      <c r="AS139" t="s">
        <v>3</v>
      </c>
      <c r="AT139">
        <v>0.38</v>
      </c>
      <c r="AU139" t="s">
        <v>3</v>
      </c>
      <c r="AV139">
        <v>0</v>
      </c>
      <c r="AW139">
        <v>2</v>
      </c>
      <c r="AX139">
        <v>129763335</v>
      </c>
      <c r="AY139">
        <v>1</v>
      </c>
      <c r="AZ139">
        <v>0</v>
      </c>
      <c r="BA139">
        <v>144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ROUND(Y139*Source!I228,9)</f>
        <v>1.38852</v>
      </c>
      <c r="CY139">
        <f>AB139</f>
        <v>13.67</v>
      </c>
      <c r="CZ139">
        <f>AF139</f>
        <v>1.59</v>
      </c>
      <c r="DA139">
        <f>AJ139</f>
        <v>7.91</v>
      </c>
      <c r="DB139">
        <f t="shared" si="55"/>
        <v>0.6</v>
      </c>
      <c r="DC139">
        <f t="shared" si="56"/>
        <v>0.03</v>
      </c>
      <c r="DD139" t="s">
        <v>3</v>
      </c>
      <c r="DE139" t="s">
        <v>3</v>
      </c>
      <c r="DF139">
        <f t="shared" si="57"/>
        <v>0</v>
      </c>
      <c r="DG139">
        <f>ROUND(ROUND(AF139*CX139,2)*AJ139,2)</f>
        <v>17.48</v>
      </c>
      <c r="DH139">
        <f>ROUND(ROUND(AG139*CX139,2)*AK139,2)</f>
        <v>3.48</v>
      </c>
      <c r="DI139">
        <f t="shared" si="58"/>
        <v>0</v>
      </c>
      <c r="DJ139">
        <f>DG139</f>
        <v>17.48</v>
      </c>
      <c r="DK139">
        <v>0</v>
      </c>
    </row>
    <row r="140" spans="1:115" x14ac:dyDescent="0.2">
      <c r="A140">
        <f>ROW(Source!A228)</f>
        <v>228</v>
      </c>
      <c r="B140">
        <v>129761633</v>
      </c>
      <c r="C140">
        <v>129763324</v>
      </c>
      <c r="D140">
        <v>37394398</v>
      </c>
      <c r="E140">
        <v>1</v>
      </c>
      <c r="F140">
        <v>1</v>
      </c>
      <c r="G140">
        <v>37345137</v>
      </c>
      <c r="H140">
        <v>3</v>
      </c>
      <c r="I140" t="s">
        <v>1165</v>
      </c>
      <c r="J140" t="s">
        <v>1166</v>
      </c>
      <c r="K140" t="s">
        <v>1167</v>
      </c>
      <c r="L140">
        <v>1348</v>
      </c>
      <c r="N140">
        <v>1009</v>
      </c>
      <c r="O140" t="s">
        <v>114</v>
      </c>
      <c r="P140" t="s">
        <v>114</v>
      </c>
      <c r="Q140">
        <v>1000</v>
      </c>
      <c r="W140">
        <v>0</v>
      </c>
      <c r="X140">
        <v>-1651674065</v>
      </c>
      <c r="Y140">
        <f t="shared" si="54"/>
        <v>5.1000000000000004E-4</v>
      </c>
      <c r="AA140">
        <v>64549.29</v>
      </c>
      <c r="AB140">
        <v>0</v>
      </c>
      <c r="AC140">
        <v>0</v>
      </c>
      <c r="AD140">
        <v>0</v>
      </c>
      <c r="AE140">
        <v>6593.39</v>
      </c>
      <c r="AF140">
        <v>0</v>
      </c>
      <c r="AG140">
        <v>0</v>
      </c>
      <c r="AH140">
        <v>0</v>
      </c>
      <c r="AI140">
        <v>9.7899999999999991</v>
      </c>
      <c r="AJ140">
        <v>1</v>
      </c>
      <c r="AK140">
        <v>1</v>
      </c>
      <c r="AL140">
        <v>1</v>
      </c>
      <c r="AN140">
        <v>0</v>
      </c>
      <c r="AO140">
        <v>1</v>
      </c>
      <c r="AP140">
        <v>0</v>
      </c>
      <c r="AQ140">
        <v>0</v>
      </c>
      <c r="AR140">
        <v>0</v>
      </c>
      <c r="AS140" t="s">
        <v>3</v>
      </c>
      <c r="AT140">
        <v>5.1000000000000004E-4</v>
      </c>
      <c r="AU140" t="s">
        <v>3</v>
      </c>
      <c r="AV140">
        <v>0</v>
      </c>
      <c r="AW140">
        <v>2</v>
      </c>
      <c r="AX140">
        <v>129763336</v>
      </c>
      <c r="AY140">
        <v>1</v>
      </c>
      <c r="AZ140">
        <v>0</v>
      </c>
      <c r="BA140">
        <v>145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ROUND(Y140*Source!I228,9)</f>
        <v>1.8635399999999999E-3</v>
      </c>
      <c r="CY140">
        <f>AA140</f>
        <v>64549.29</v>
      </c>
      <c r="CZ140">
        <f>AE140</f>
        <v>6593.39</v>
      </c>
      <c r="DA140">
        <f>AI140</f>
        <v>9.7899999999999991</v>
      </c>
      <c r="DB140">
        <f t="shared" si="55"/>
        <v>3.36</v>
      </c>
      <c r="DC140">
        <f t="shared" si="56"/>
        <v>0</v>
      </c>
      <c r="DD140" t="s">
        <v>3</v>
      </c>
      <c r="DE140" t="s">
        <v>3</v>
      </c>
      <c r="DF140">
        <f>ROUND(ROUND(AE140*CX140,2)*AI140,2)</f>
        <v>120.32</v>
      </c>
      <c r="DG140">
        <f t="shared" ref="DG140:DG153" si="59">ROUND(AF140*CX140,2)</f>
        <v>0</v>
      </c>
      <c r="DH140">
        <f t="shared" ref="DH140:DH153" si="60">ROUND(AG140*CX140,2)</f>
        <v>0</v>
      </c>
      <c r="DI140">
        <f t="shared" si="58"/>
        <v>0</v>
      </c>
      <c r="DJ140">
        <f>DF140</f>
        <v>120.32</v>
      </c>
      <c r="DK140">
        <v>0</v>
      </c>
    </row>
    <row r="141" spans="1:115" x14ac:dyDescent="0.2">
      <c r="A141">
        <f>ROW(Source!A228)</f>
        <v>228</v>
      </c>
      <c r="B141">
        <v>129761633</v>
      </c>
      <c r="C141">
        <v>129763324</v>
      </c>
      <c r="D141">
        <v>37394864</v>
      </c>
      <c r="E141">
        <v>1</v>
      </c>
      <c r="F141">
        <v>1</v>
      </c>
      <c r="G141">
        <v>37345137</v>
      </c>
      <c r="H141">
        <v>3</v>
      </c>
      <c r="I141" t="s">
        <v>1147</v>
      </c>
      <c r="J141" t="s">
        <v>1148</v>
      </c>
      <c r="K141" t="s">
        <v>1149</v>
      </c>
      <c r="L141">
        <v>1348</v>
      </c>
      <c r="N141">
        <v>1009</v>
      </c>
      <c r="O141" t="s">
        <v>114</v>
      </c>
      <c r="P141" t="s">
        <v>114</v>
      </c>
      <c r="Q141">
        <v>1000</v>
      </c>
      <c r="W141">
        <v>0</v>
      </c>
      <c r="X141">
        <v>1310716689</v>
      </c>
      <c r="Y141">
        <f t="shared" si="54"/>
        <v>1E-4</v>
      </c>
      <c r="AA141">
        <v>145777.99</v>
      </c>
      <c r="AB141">
        <v>0</v>
      </c>
      <c r="AC141">
        <v>0</v>
      </c>
      <c r="AD141">
        <v>0</v>
      </c>
      <c r="AE141">
        <v>7191.81</v>
      </c>
      <c r="AF141">
        <v>0</v>
      </c>
      <c r="AG141">
        <v>0</v>
      </c>
      <c r="AH141">
        <v>0</v>
      </c>
      <c r="AI141">
        <v>20.27</v>
      </c>
      <c r="AJ141">
        <v>1</v>
      </c>
      <c r="AK141">
        <v>1</v>
      </c>
      <c r="AL141">
        <v>1</v>
      </c>
      <c r="AN141">
        <v>0</v>
      </c>
      <c r="AO141">
        <v>1</v>
      </c>
      <c r="AP141">
        <v>0</v>
      </c>
      <c r="AQ141">
        <v>0</v>
      </c>
      <c r="AR141">
        <v>0</v>
      </c>
      <c r="AS141" t="s">
        <v>3</v>
      </c>
      <c r="AT141">
        <v>1E-4</v>
      </c>
      <c r="AU141" t="s">
        <v>3</v>
      </c>
      <c r="AV141">
        <v>0</v>
      </c>
      <c r="AW141">
        <v>2</v>
      </c>
      <c r="AX141">
        <v>129763337</v>
      </c>
      <c r="AY141">
        <v>1</v>
      </c>
      <c r="AZ141">
        <v>0</v>
      </c>
      <c r="BA141">
        <v>146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ROUND(Y141*Source!I228,9)</f>
        <v>3.6539999999999999E-4</v>
      </c>
      <c r="CY141">
        <f>AA141</f>
        <v>145777.99</v>
      </c>
      <c r="CZ141">
        <f>AE141</f>
        <v>7191.81</v>
      </c>
      <c r="DA141">
        <f>AI141</f>
        <v>20.27</v>
      </c>
      <c r="DB141">
        <f t="shared" si="55"/>
        <v>0.72</v>
      </c>
      <c r="DC141">
        <f t="shared" si="56"/>
        <v>0</v>
      </c>
      <c r="DD141" t="s">
        <v>3</v>
      </c>
      <c r="DE141" t="s">
        <v>3</v>
      </c>
      <c r="DF141">
        <f>ROUND(ROUND(AE141*CX141,2)*AI141,2)</f>
        <v>53.31</v>
      </c>
      <c r="DG141">
        <f t="shared" si="59"/>
        <v>0</v>
      </c>
      <c r="DH141">
        <f t="shared" si="60"/>
        <v>0</v>
      </c>
      <c r="DI141">
        <f t="shared" si="58"/>
        <v>0</v>
      </c>
      <c r="DJ141">
        <f>DF141</f>
        <v>53.31</v>
      </c>
      <c r="DK141">
        <v>0</v>
      </c>
    </row>
    <row r="142" spans="1:115" x14ac:dyDescent="0.2">
      <c r="A142">
        <f>ROW(Source!A228)</f>
        <v>228</v>
      </c>
      <c r="B142">
        <v>129761633</v>
      </c>
      <c r="C142">
        <v>129763324</v>
      </c>
      <c r="D142">
        <v>37394107</v>
      </c>
      <c r="E142">
        <v>1</v>
      </c>
      <c r="F142">
        <v>1</v>
      </c>
      <c r="G142">
        <v>37345137</v>
      </c>
      <c r="H142">
        <v>3</v>
      </c>
      <c r="I142" t="s">
        <v>1168</v>
      </c>
      <c r="J142" t="s">
        <v>1169</v>
      </c>
      <c r="K142" t="s">
        <v>1170</v>
      </c>
      <c r="L142">
        <v>1296</v>
      </c>
      <c r="N142">
        <v>1002</v>
      </c>
      <c r="O142" t="s">
        <v>870</v>
      </c>
      <c r="P142" t="s">
        <v>870</v>
      </c>
      <c r="Q142">
        <v>1</v>
      </c>
      <c r="W142">
        <v>0</v>
      </c>
      <c r="X142">
        <v>1307744319</v>
      </c>
      <c r="Y142">
        <f t="shared" si="54"/>
        <v>0.28999999999999998</v>
      </c>
      <c r="AA142">
        <v>268.02999999999997</v>
      </c>
      <c r="AB142">
        <v>0</v>
      </c>
      <c r="AC142">
        <v>0</v>
      </c>
      <c r="AD142">
        <v>0</v>
      </c>
      <c r="AE142">
        <v>54.7</v>
      </c>
      <c r="AF142">
        <v>0</v>
      </c>
      <c r="AG142">
        <v>0</v>
      </c>
      <c r="AH142">
        <v>0</v>
      </c>
      <c r="AI142">
        <v>4.9000000000000004</v>
      </c>
      <c r="AJ142">
        <v>1</v>
      </c>
      <c r="AK142">
        <v>1</v>
      </c>
      <c r="AL142">
        <v>1</v>
      </c>
      <c r="AN142">
        <v>0</v>
      </c>
      <c r="AO142">
        <v>1</v>
      </c>
      <c r="AP142">
        <v>0</v>
      </c>
      <c r="AQ142">
        <v>0</v>
      </c>
      <c r="AR142">
        <v>0</v>
      </c>
      <c r="AS142" t="s">
        <v>3</v>
      </c>
      <c r="AT142">
        <v>0.28999999999999998</v>
      </c>
      <c r="AU142" t="s">
        <v>3</v>
      </c>
      <c r="AV142">
        <v>0</v>
      </c>
      <c r="AW142">
        <v>2</v>
      </c>
      <c r="AX142">
        <v>129763338</v>
      </c>
      <c r="AY142">
        <v>1</v>
      </c>
      <c r="AZ142">
        <v>0</v>
      </c>
      <c r="BA142">
        <v>147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ROUND(Y142*Source!I228,9)</f>
        <v>1.05966</v>
      </c>
      <c r="CY142">
        <f>AA142</f>
        <v>268.02999999999997</v>
      </c>
      <c r="CZ142">
        <f>AE142</f>
        <v>54.7</v>
      </c>
      <c r="DA142">
        <f>AI142</f>
        <v>4.9000000000000004</v>
      </c>
      <c r="DB142">
        <f t="shared" si="55"/>
        <v>15.86</v>
      </c>
      <c r="DC142">
        <f t="shared" si="56"/>
        <v>0</v>
      </c>
      <c r="DD142" t="s">
        <v>3</v>
      </c>
      <c r="DE142" t="s">
        <v>3</v>
      </c>
      <c r="DF142">
        <f>ROUND(ROUND(AE142*CX142,2)*AI142,2)</f>
        <v>284</v>
      </c>
      <c r="DG142">
        <f t="shared" si="59"/>
        <v>0</v>
      </c>
      <c r="DH142">
        <f t="shared" si="60"/>
        <v>0</v>
      </c>
      <c r="DI142">
        <f t="shared" si="58"/>
        <v>0</v>
      </c>
      <c r="DJ142">
        <f>DF142</f>
        <v>284</v>
      </c>
      <c r="DK142">
        <v>0</v>
      </c>
    </row>
    <row r="143" spans="1:115" x14ac:dyDescent="0.2">
      <c r="A143">
        <f>ROW(Source!A228)</f>
        <v>228</v>
      </c>
      <c r="B143">
        <v>129761633</v>
      </c>
      <c r="C143">
        <v>129763324</v>
      </c>
      <c r="D143">
        <v>37415580</v>
      </c>
      <c r="E143">
        <v>1</v>
      </c>
      <c r="F143">
        <v>1</v>
      </c>
      <c r="G143">
        <v>37345137</v>
      </c>
      <c r="H143">
        <v>3</v>
      </c>
      <c r="I143" t="s">
        <v>226</v>
      </c>
      <c r="J143" t="s">
        <v>227</v>
      </c>
      <c r="K143" t="s">
        <v>1560</v>
      </c>
      <c r="L143">
        <v>1348</v>
      </c>
      <c r="N143">
        <v>1009</v>
      </c>
      <c r="O143" t="s">
        <v>114</v>
      </c>
      <c r="P143" t="s">
        <v>114</v>
      </c>
      <c r="Q143">
        <v>1000</v>
      </c>
      <c r="W143">
        <v>0</v>
      </c>
      <c r="X143">
        <v>-1147217017</v>
      </c>
      <c r="Y143">
        <f t="shared" si="54"/>
        <v>3.7027914614121513E-2</v>
      </c>
      <c r="AA143">
        <v>224426.51</v>
      </c>
      <c r="AB143">
        <v>0</v>
      </c>
      <c r="AC143">
        <v>0</v>
      </c>
      <c r="AD143">
        <v>0</v>
      </c>
      <c r="AE143">
        <v>52930.78</v>
      </c>
      <c r="AF143">
        <v>0</v>
      </c>
      <c r="AG143">
        <v>0</v>
      </c>
      <c r="AH143">
        <v>0</v>
      </c>
      <c r="AI143">
        <v>4.24</v>
      </c>
      <c r="AJ143">
        <v>1</v>
      </c>
      <c r="AK143">
        <v>1</v>
      </c>
      <c r="AL143">
        <v>1</v>
      </c>
      <c r="AN143">
        <v>0</v>
      </c>
      <c r="AO143">
        <v>0</v>
      </c>
      <c r="AP143">
        <v>0</v>
      </c>
      <c r="AQ143">
        <v>0</v>
      </c>
      <c r="AR143">
        <v>0</v>
      </c>
      <c r="AS143" t="s">
        <v>3</v>
      </c>
      <c r="AT143">
        <v>3.7027914614121513E-2</v>
      </c>
      <c r="AU143" t="s">
        <v>3</v>
      </c>
      <c r="AV143">
        <v>0</v>
      </c>
      <c r="AW143">
        <v>1</v>
      </c>
      <c r="AX143">
        <v>-1</v>
      </c>
      <c r="AY143">
        <v>0</v>
      </c>
      <c r="AZ143">
        <v>0</v>
      </c>
      <c r="BA143" t="s">
        <v>3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ROUND(Y143*Source!I228,9)</f>
        <v>0.1353</v>
      </c>
      <c r="CY143">
        <f>AA143</f>
        <v>224426.51</v>
      </c>
      <c r="CZ143">
        <f>AE143</f>
        <v>52930.78</v>
      </c>
      <c r="DA143">
        <f>AI143</f>
        <v>4.24</v>
      </c>
      <c r="DB143">
        <f t="shared" si="55"/>
        <v>1959.92</v>
      </c>
      <c r="DC143">
        <f t="shared" si="56"/>
        <v>0</v>
      </c>
      <c r="DD143" t="s">
        <v>3</v>
      </c>
      <c r="DE143" t="s">
        <v>3</v>
      </c>
      <c r="DF143">
        <f>ROUND(ROUND(AE143*CX143,2)*AI143,2)</f>
        <v>30364.89</v>
      </c>
      <c r="DG143">
        <f t="shared" si="59"/>
        <v>0</v>
      </c>
      <c r="DH143">
        <f t="shared" si="60"/>
        <v>0</v>
      </c>
      <c r="DI143">
        <f t="shared" si="58"/>
        <v>0</v>
      </c>
      <c r="DJ143">
        <f>DF143</f>
        <v>30364.89</v>
      </c>
      <c r="DK143">
        <v>0</v>
      </c>
    </row>
    <row r="144" spans="1:115" x14ac:dyDescent="0.2">
      <c r="A144">
        <f>ROW(Source!A228)</f>
        <v>228</v>
      </c>
      <c r="B144">
        <v>129761633</v>
      </c>
      <c r="C144">
        <v>129763324</v>
      </c>
      <c r="D144">
        <v>37415724</v>
      </c>
      <c r="E144">
        <v>1</v>
      </c>
      <c r="F144">
        <v>1</v>
      </c>
      <c r="G144">
        <v>37345137</v>
      </c>
      <c r="H144">
        <v>3</v>
      </c>
      <c r="I144" t="s">
        <v>1171</v>
      </c>
      <c r="J144" t="s">
        <v>1172</v>
      </c>
      <c r="K144" t="s">
        <v>1173</v>
      </c>
      <c r="L144">
        <v>1354</v>
      </c>
      <c r="N144">
        <v>1010</v>
      </c>
      <c r="O144" t="s">
        <v>250</v>
      </c>
      <c r="P144" t="s">
        <v>250</v>
      </c>
      <c r="Q144">
        <v>1</v>
      </c>
      <c r="W144">
        <v>0</v>
      </c>
      <c r="X144">
        <v>-2007977906</v>
      </c>
      <c r="Y144">
        <f t="shared" si="54"/>
        <v>0.3</v>
      </c>
      <c r="AA144">
        <v>85.1</v>
      </c>
      <c r="AB144">
        <v>0</v>
      </c>
      <c r="AC144">
        <v>0</v>
      </c>
      <c r="AD144">
        <v>0</v>
      </c>
      <c r="AE144">
        <v>11.82</v>
      </c>
      <c r="AF144">
        <v>0</v>
      </c>
      <c r="AG144">
        <v>0</v>
      </c>
      <c r="AH144">
        <v>0</v>
      </c>
      <c r="AI144">
        <v>7.2</v>
      </c>
      <c r="AJ144">
        <v>1</v>
      </c>
      <c r="AK144">
        <v>1</v>
      </c>
      <c r="AL144">
        <v>1</v>
      </c>
      <c r="AN144">
        <v>0</v>
      </c>
      <c r="AO144">
        <v>1</v>
      </c>
      <c r="AP144">
        <v>0</v>
      </c>
      <c r="AQ144">
        <v>0</v>
      </c>
      <c r="AR144">
        <v>0</v>
      </c>
      <c r="AS144" t="s">
        <v>3</v>
      </c>
      <c r="AT144">
        <v>0.3</v>
      </c>
      <c r="AU144" t="s">
        <v>3</v>
      </c>
      <c r="AV144">
        <v>0</v>
      </c>
      <c r="AW144">
        <v>2</v>
      </c>
      <c r="AX144">
        <v>129763339</v>
      </c>
      <c r="AY144">
        <v>1</v>
      </c>
      <c r="AZ144">
        <v>0</v>
      </c>
      <c r="BA144">
        <v>148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ROUND(Y144*Source!I228,9)</f>
        <v>1.0962000000000001</v>
      </c>
      <c r="CY144">
        <f>AA144</f>
        <v>85.1</v>
      </c>
      <c r="CZ144">
        <f>AE144</f>
        <v>11.82</v>
      </c>
      <c r="DA144">
        <f>AI144</f>
        <v>7.2</v>
      </c>
      <c r="DB144">
        <f t="shared" si="55"/>
        <v>3.55</v>
      </c>
      <c r="DC144">
        <f t="shared" si="56"/>
        <v>0</v>
      </c>
      <c r="DD144" t="s">
        <v>3</v>
      </c>
      <c r="DE144" t="s">
        <v>3</v>
      </c>
      <c r="DF144">
        <f>ROUND(ROUND(AE144*CX144,2)*AI144,2)</f>
        <v>93.31</v>
      </c>
      <c r="DG144">
        <f t="shared" si="59"/>
        <v>0</v>
      </c>
      <c r="DH144">
        <f t="shared" si="60"/>
        <v>0</v>
      </c>
      <c r="DI144">
        <f t="shared" si="58"/>
        <v>0</v>
      </c>
      <c r="DJ144">
        <f>DF144</f>
        <v>93.31</v>
      </c>
      <c r="DK144">
        <v>0</v>
      </c>
    </row>
    <row r="145" spans="1:115" x14ac:dyDescent="0.2">
      <c r="A145">
        <f>ROW(Source!A231)</f>
        <v>231</v>
      </c>
      <c r="B145">
        <v>129761636</v>
      </c>
      <c r="C145">
        <v>129763341</v>
      </c>
      <c r="D145">
        <v>37345142</v>
      </c>
      <c r="E145">
        <v>37345137</v>
      </c>
      <c r="F145">
        <v>1</v>
      </c>
      <c r="G145">
        <v>37345137</v>
      </c>
      <c r="H145">
        <v>1</v>
      </c>
      <c r="I145" t="s">
        <v>1096</v>
      </c>
      <c r="J145" t="s">
        <v>3</v>
      </c>
      <c r="K145" t="s">
        <v>1097</v>
      </c>
      <c r="L145">
        <v>1191</v>
      </c>
      <c r="N145">
        <v>1013</v>
      </c>
      <c r="O145" t="s">
        <v>1098</v>
      </c>
      <c r="P145" t="s">
        <v>1098</v>
      </c>
      <c r="Q145">
        <v>1</v>
      </c>
      <c r="W145">
        <v>0</v>
      </c>
      <c r="X145">
        <v>476480486</v>
      </c>
      <c r="Y145">
        <f>(AT145*1.15)</f>
        <v>1.2765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1</v>
      </c>
      <c r="AJ145">
        <v>1</v>
      </c>
      <c r="AK145">
        <v>1</v>
      </c>
      <c r="AL145">
        <v>1</v>
      </c>
      <c r="AN145">
        <v>0</v>
      </c>
      <c r="AO145">
        <v>1</v>
      </c>
      <c r="AP145">
        <v>1</v>
      </c>
      <c r="AQ145">
        <v>0</v>
      </c>
      <c r="AR145">
        <v>0</v>
      </c>
      <c r="AS145" t="s">
        <v>3</v>
      </c>
      <c r="AT145">
        <v>1.1100000000000001</v>
      </c>
      <c r="AU145" t="s">
        <v>87</v>
      </c>
      <c r="AV145">
        <v>1</v>
      </c>
      <c r="AW145">
        <v>2</v>
      </c>
      <c r="AX145">
        <v>129763350</v>
      </c>
      <c r="AY145">
        <v>1</v>
      </c>
      <c r="AZ145">
        <v>0</v>
      </c>
      <c r="BA145">
        <v>149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ROUND(Y145*Source!I231,9)</f>
        <v>1.2765</v>
      </c>
      <c r="CY145">
        <f>AD145</f>
        <v>0</v>
      </c>
      <c r="CZ145">
        <f>AH145</f>
        <v>0</v>
      </c>
      <c r="DA145">
        <f>AL145</f>
        <v>1</v>
      </c>
      <c r="DB145">
        <f>ROUND((ROUND(AT145*CZ145,2)*1.15),6)</f>
        <v>0</v>
      </c>
      <c r="DC145">
        <f>ROUND((ROUND(AT145*AG145,2)*1.15),6)</f>
        <v>0</v>
      </c>
      <c r="DD145" t="s">
        <v>3</v>
      </c>
      <c r="DE145" t="s">
        <v>3</v>
      </c>
      <c r="DF145">
        <f t="shared" ref="DF145:DF158" si="61">ROUND(AE145*CX145,2)</f>
        <v>0</v>
      </c>
      <c r="DG145">
        <f t="shared" si="59"/>
        <v>0</v>
      </c>
      <c r="DH145">
        <f t="shared" si="60"/>
        <v>0</v>
      </c>
      <c r="DI145">
        <f t="shared" si="58"/>
        <v>0</v>
      </c>
      <c r="DJ145">
        <f>DI145</f>
        <v>0</v>
      </c>
      <c r="DK145">
        <v>0</v>
      </c>
    </row>
    <row r="146" spans="1:115" x14ac:dyDescent="0.2">
      <c r="A146">
        <f>ROW(Source!A231)</f>
        <v>231</v>
      </c>
      <c r="B146">
        <v>129761636</v>
      </c>
      <c r="C146">
        <v>129763341</v>
      </c>
      <c r="D146">
        <v>37418162</v>
      </c>
      <c r="E146">
        <v>1</v>
      </c>
      <c r="F146">
        <v>1</v>
      </c>
      <c r="G146">
        <v>37345137</v>
      </c>
      <c r="H146">
        <v>2</v>
      </c>
      <c r="I146" t="s">
        <v>1174</v>
      </c>
      <c r="J146" t="s">
        <v>1175</v>
      </c>
      <c r="K146" t="s">
        <v>1176</v>
      </c>
      <c r="L146">
        <v>1367</v>
      </c>
      <c r="N146">
        <v>1011</v>
      </c>
      <c r="O146" t="s">
        <v>1102</v>
      </c>
      <c r="P146" t="s">
        <v>1102</v>
      </c>
      <c r="Q146">
        <v>1</v>
      </c>
      <c r="W146">
        <v>0</v>
      </c>
      <c r="X146">
        <v>49912578</v>
      </c>
      <c r="Y146">
        <f>(AT146*1.25)</f>
        <v>0.32500000000000001</v>
      </c>
      <c r="AA146">
        <v>0</v>
      </c>
      <c r="AB146">
        <v>6.15</v>
      </c>
      <c r="AC146">
        <v>0.02</v>
      </c>
      <c r="AD146">
        <v>0</v>
      </c>
      <c r="AE146">
        <v>0</v>
      </c>
      <c r="AF146">
        <v>6.15</v>
      </c>
      <c r="AG146">
        <v>0.02</v>
      </c>
      <c r="AH146">
        <v>0</v>
      </c>
      <c r="AI146">
        <v>1</v>
      </c>
      <c r="AJ146">
        <v>1</v>
      </c>
      <c r="AK146">
        <v>1</v>
      </c>
      <c r="AL146">
        <v>1</v>
      </c>
      <c r="AN146">
        <v>0</v>
      </c>
      <c r="AO146">
        <v>1</v>
      </c>
      <c r="AP146">
        <v>1</v>
      </c>
      <c r="AQ146">
        <v>0</v>
      </c>
      <c r="AR146">
        <v>0</v>
      </c>
      <c r="AS146" t="s">
        <v>3</v>
      </c>
      <c r="AT146">
        <v>0.26</v>
      </c>
      <c r="AU146" t="s">
        <v>86</v>
      </c>
      <c r="AV146">
        <v>0</v>
      </c>
      <c r="AW146">
        <v>2</v>
      </c>
      <c r="AX146">
        <v>129763351</v>
      </c>
      <c r="AY146">
        <v>1</v>
      </c>
      <c r="AZ146">
        <v>0</v>
      </c>
      <c r="BA146">
        <v>150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ROUND(Y146*Source!I231,9)</f>
        <v>0.32500000000000001</v>
      </c>
      <c r="CY146">
        <f>AB146</f>
        <v>6.15</v>
      </c>
      <c r="CZ146">
        <f>AF146</f>
        <v>6.15</v>
      </c>
      <c r="DA146">
        <f>AJ146</f>
        <v>1</v>
      </c>
      <c r="DB146">
        <f>ROUND((ROUND(AT146*CZ146,2)*1.25),6)</f>
        <v>2</v>
      </c>
      <c r="DC146">
        <f>ROUND((ROUND(AT146*AG146,2)*1.25),6)</f>
        <v>1.2500000000000001E-2</v>
      </c>
      <c r="DD146" t="s">
        <v>3</v>
      </c>
      <c r="DE146" t="s">
        <v>3</v>
      </c>
      <c r="DF146">
        <f t="shared" si="61"/>
        <v>0</v>
      </c>
      <c r="DG146">
        <f t="shared" si="59"/>
        <v>2</v>
      </c>
      <c r="DH146">
        <f t="shared" si="60"/>
        <v>0.01</v>
      </c>
      <c r="DI146">
        <f t="shared" si="58"/>
        <v>0</v>
      </c>
      <c r="DJ146">
        <f>DG146</f>
        <v>2</v>
      </c>
      <c r="DK146">
        <v>0</v>
      </c>
    </row>
    <row r="147" spans="1:115" x14ac:dyDescent="0.2">
      <c r="A147">
        <f>ROW(Source!A231)</f>
        <v>231</v>
      </c>
      <c r="B147">
        <v>129761636</v>
      </c>
      <c r="C147">
        <v>129763341</v>
      </c>
      <c r="D147">
        <v>37418491</v>
      </c>
      <c r="E147">
        <v>1</v>
      </c>
      <c r="F147">
        <v>1</v>
      </c>
      <c r="G147">
        <v>37345137</v>
      </c>
      <c r="H147">
        <v>2</v>
      </c>
      <c r="I147" t="s">
        <v>1177</v>
      </c>
      <c r="J147" t="s">
        <v>1178</v>
      </c>
      <c r="K147" t="s">
        <v>1179</v>
      </c>
      <c r="L147">
        <v>1367</v>
      </c>
      <c r="N147">
        <v>1011</v>
      </c>
      <c r="O147" t="s">
        <v>1102</v>
      </c>
      <c r="P147" t="s">
        <v>1102</v>
      </c>
      <c r="Q147">
        <v>1</v>
      </c>
      <c r="W147">
        <v>0</v>
      </c>
      <c r="X147">
        <v>-1780114133</v>
      </c>
      <c r="Y147">
        <f>(AT147*1.25)</f>
        <v>2.5000000000000001E-2</v>
      </c>
      <c r="AA147">
        <v>0</v>
      </c>
      <c r="AB147">
        <v>0.44</v>
      </c>
      <c r="AC147">
        <v>0</v>
      </c>
      <c r="AD147">
        <v>0</v>
      </c>
      <c r="AE147">
        <v>0</v>
      </c>
      <c r="AF147">
        <v>0.44</v>
      </c>
      <c r="AG147">
        <v>0</v>
      </c>
      <c r="AH147">
        <v>0</v>
      </c>
      <c r="AI147">
        <v>1</v>
      </c>
      <c r="AJ147">
        <v>1</v>
      </c>
      <c r="AK147">
        <v>1</v>
      </c>
      <c r="AL147">
        <v>1</v>
      </c>
      <c r="AN147">
        <v>0</v>
      </c>
      <c r="AO147">
        <v>1</v>
      </c>
      <c r="AP147">
        <v>1</v>
      </c>
      <c r="AQ147">
        <v>0</v>
      </c>
      <c r="AR147">
        <v>0</v>
      </c>
      <c r="AS147" t="s">
        <v>3</v>
      </c>
      <c r="AT147">
        <v>0.02</v>
      </c>
      <c r="AU147" t="s">
        <v>86</v>
      </c>
      <c r="AV147">
        <v>0</v>
      </c>
      <c r="AW147">
        <v>2</v>
      </c>
      <c r="AX147">
        <v>129763352</v>
      </c>
      <c r="AY147">
        <v>1</v>
      </c>
      <c r="AZ147">
        <v>0</v>
      </c>
      <c r="BA147">
        <v>151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ROUND(Y147*Source!I231,9)</f>
        <v>2.5000000000000001E-2</v>
      </c>
      <c r="CY147">
        <f>AB147</f>
        <v>0.44</v>
      </c>
      <c r="CZ147">
        <f>AF147</f>
        <v>0.44</v>
      </c>
      <c r="DA147">
        <f>AJ147</f>
        <v>1</v>
      </c>
      <c r="DB147">
        <f>ROUND((ROUND(AT147*CZ147,2)*1.25),6)</f>
        <v>1.2500000000000001E-2</v>
      </c>
      <c r="DC147">
        <f>ROUND((ROUND(AT147*AG147,2)*1.25),6)</f>
        <v>0</v>
      </c>
      <c r="DD147" t="s">
        <v>3</v>
      </c>
      <c r="DE147" t="s">
        <v>3</v>
      </c>
      <c r="DF147">
        <f t="shared" si="61"/>
        <v>0</v>
      </c>
      <c r="DG147">
        <f t="shared" si="59"/>
        <v>0.01</v>
      </c>
      <c r="DH147">
        <f t="shared" si="60"/>
        <v>0</v>
      </c>
      <c r="DI147">
        <f t="shared" si="58"/>
        <v>0</v>
      </c>
      <c r="DJ147">
        <f>DG147</f>
        <v>0.01</v>
      </c>
      <c r="DK147">
        <v>0</v>
      </c>
    </row>
    <row r="148" spans="1:115" x14ac:dyDescent="0.2">
      <c r="A148">
        <f>ROW(Source!A231)</f>
        <v>231</v>
      </c>
      <c r="B148">
        <v>129761636</v>
      </c>
      <c r="C148">
        <v>129763341</v>
      </c>
      <c r="D148">
        <v>37418525</v>
      </c>
      <c r="E148">
        <v>1</v>
      </c>
      <c r="F148">
        <v>1</v>
      </c>
      <c r="G148">
        <v>37345137</v>
      </c>
      <c r="H148">
        <v>2</v>
      </c>
      <c r="I148" t="s">
        <v>1180</v>
      </c>
      <c r="J148" t="s">
        <v>1181</v>
      </c>
      <c r="K148" t="s">
        <v>1182</v>
      </c>
      <c r="L148">
        <v>1367</v>
      </c>
      <c r="N148">
        <v>1011</v>
      </c>
      <c r="O148" t="s">
        <v>1102</v>
      </c>
      <c r="P148" t="s">
        <v>1102</v>
      </c>
      <c r="Q148">
        <v>1</v>
      </c>
      <c r="W148">
        <v>0</v>
      </c>
      <c r="X148">
        <v>926785503</v>
      </c>
      <c r="Y148">
        <f>(AT148*1.25)</f>
        <v>0.1875</v>
      </c>
      <c r="AA148">
        <v>0</v>
      </c>
      <c r="AB148">
        <v>0.64</v>
      </c>
      <c r="AC148">
        <v>0.04</v>
      </c>
      <c r="AD148">
        <v>0</v>
      </c>
      <c r="AE148">
        <v>0</v>
      </c>
      <c r="AF148">
        <v>0.64</v>
      </c>
      <c r="AG148">
        <v>0.04</v>
      </c>
      <c r="AH148">
        <v>0</v>
      </c>
      <c r="AI148">
        <v>1</v>
      </c>
      <c r="AJ148">
        <v>1</v>
      </c>
      <c r="AK148">
        <v>1</v>
      </c>
      <c r="AL148">
        <v>1</v>
      </c>
      <c r="AN148">
        <v>0</v>
      </c>
      <c r="AO148">
        <v>1</v>
      </c>
      <c r="AP148">
        <v>1</v>
      </c>
      <c r="AQ148">
        <v>0</v>
      </c>
      <c r="AR148">
        <v>0</v>
      </c>
      <c r="AS148" t="s">
        <v>3</v>
      </c>
      <c r="AT148">
        <v>0.15</v>
      </c>
      <c r="AU148" t="s">
        <v>86</v>
      </c>
      <c r="AV148">
        <v>0</v>
      </c>
      <c r="AW148">
        <v>2</v>
      </c>
      <c r="AX148">
        <v>129763353</v>
      </c>
      <c r="AY148">
        <v>1</v>
      </c>
      <c r="AZ148">
        <v>0</v>
      </c>
      <c r="BA148">
        <v>152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ROUND(Y148*Source!I231,9)</f>
        <v>0.1875</v>
      </c>
      <c r="CY148">
        <f>AB148</f>
        <v>0.64</v>
      </c>
      <c r="CZ148">
        <f>AF148</f>
        <v>0.64</v>
      </c>
      <c r="DA148">
        <f>AJ148</f>
        <v>1</v>
      </c>
      <c r="DB148">
        <f>ROUND((ROUND(AT148*CZ148,2)*1.25),6)</f>
        <v>0.125</v>
      </c>
      <c r="DC148">
        <f>ROUND((ROUND(AT148*AG148,2)*1.25),6)</f>
        <v>1.2500000000000001E-2</v>
      </c>
      <c r="DD148" t="s">
        <v>3</v>
      </c>
      <c r="DE148" t="s">
        <v>3</v>
      </c>
      <c r="DF148">
        <f t="shared" si="61"/>
        <v>0</v>
      </c>
      <c r="DG148">
        <f t="shared" si="59"/>
        <v>0.12</v>
      </c>
      <c r="DH148">
        <f t="shared" si="60"/>
        <v>0.01</v>
      </c>
      <c r="DI148">
        <f t="shared" si="58"/>
        <v>0</v>
      </c>
      <c r="DJ148">
        <f>DG148</f>
        <v>0.12</v>
      </c>
      <c r="DK148">
        <v>0</v>
      </c>
    </row>
    <row r="149" spans="1:115" x14ac:dyDescent="0.2">
      <c r="A149">
        <f>ROW(Source!A231)</f>
        <v>231</v>
      </c>
      <c r="B149">
        <v>129761636</v>
      </c>
      <c r="C149">
        <v>129763341</v>
      </c>
      <c r="D149">
        <v>37418479</v>
      </c>
      <c r="E149">
        <v>1</v>
      </c>
      <c r="F149">
        <v>1</v>
      </c>
      <c r="G149">
        <v>37345137</v>
      </c>
      <c r="H149">
        <v>2</v>
      </c>
      <c r="I149" t="s">
        <v>1183</v>
      </c>
      <c r="J149" t="s">
        <v>1184</v>
      </c>
      <c r="K149" t="s">
        <v>1185</v>
      </c>
      <c r="L149">
        <v>1367</v>
      </c>
      <c r="N149">
        <v>1011</v>
      </c>
      <c r="O149" t="s">
        <v>1102</v>
      </c>
      <c r="P149" t="s">
        <v>1102</v>
      </c>
      <c r="Q149">
        <v>1</v>
      </c>
      <c r="W149">
        <v>0</v>
      </c>
      <c r="X149">
        <v>950854334</v>
      </c>
      <c r="Y149">
        <f>(AT149*1.25)</f>
        <v>0.13750000000000001</v>
      </c>
      <c r="AA149">
        <v>0</v>
      </c>
      <c r="AB149">
        <v>2.36</v>
      </c>
      <c r="AC149">
        <v>0.1</v>
      </c>
      <c r="AD149">
        <v>0</v>
      </c>
      <c r="AE149">
        <v>0</v>
      </c>
      <c r="AF149">
        <v>2.36</v>
      </c>
      <c r="AG149">
        <v>0.1</v>
      </c>
      <c r="AH149">
        <v>0</v>
      </c>
      <c r="AI149">
        <v>1</v>
      </c>
      <c r="AJ149">
        <v>1</v>
      </c>
      <c r="AK149">
        <v>1</v>
      </c>
      <c r="AL149">
        <v>1</v>
      </c>
      <c r="AN149">
        <v>0</v>
      </c>
      <c r="AO149">
        <v>1</v>
      </c>
      <c r="AP149">
        <v>1</v>
      </c>
      <c r="AQ149">
        <v>0</v>
      </c>
      <c r="AR149">
        <v>0</v>
      </c>
      <c r="AS149" t="s">
        <v>3</v>
      </c>
      <c r="AT149">
        <v>0.11</v>
      </c>
      <c r="AU149" t="s">
        <v>86</v>
      </c>
      <c r="AV149">
        <v>0</v>
      </c>
      <c r="AW149">
        <v>2</v>
      </c>
      <c r="AX149">
        <v>129763354</v>
      </c>
      <c r="AY149">
        <v>1</v>
      </c>
      <c r="AZ149">
        <v>0</v>
      </c>
      <c r="BA149">
        <v>153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ROUND(Y149*Source!I231,9)</f>
        <v>0.13750000000000001</v>
      </c>
      <c r="CY149">
        <f>AB149</f>
        <v>2.36</v>
      </c>
      <c r="CZ149">
        <f>AF149</f>
        <v>2.36</v>
      </c>
      <c r="DA149">
        <f>AJ149</f>
        <v>1</v>
      </c>
      <c r="DB149">
        <f>ROUND((ROUND(AT149*CZ149,2)*1.25),6)</f>
        <v>0.32500000000000001</v>
      </c>
      <c r="DC149">
        <f>ROUND((ROUND(AT149*AG149,2)*1.25),6)</f>
        <v>1.2500000000000001E-2</v>
      </c>
      <c r="DD149" t="s">
        <v>3</v>
      </c>
      <c r="DE149" t="s">
        <v>3</v>
      </c>
      <c r="DF149">
        <f t="shared" si="61"/>
        <v>0</v>
      </c>
      <c r="DG149">
        <f t="shared" si="59"/>
        <v>0.32</v>
      </c>
      <c r="DH149">
        <f t="shared" si="60"/>
        <v>0.01</v>
      </c>
      <c r="DI149">
        <f t="shared" si="58"/>
        <v>0</v>
      </c>
      <c r="DJ149">
        <f>DG149</f>
        <v>0.32</v>
      </c>
      <c r="DK149">
        <v>0</v>
      </c>
    </row>
    <row r="150" spans="1:115" x14ac:dyDescent="0.2">
      <c r="A150">
        <f>ROW(Source!A231)</f>
        <v>231</v>
      </c>
      <c r="B150">
        <v>129761636</v>
      </c>
      <c r="C150">
        <v>129763341</v>
      </c>
      <c r="D150">
        <v>37345890</v>
      </c>
      <c r="E150">
        <v>37345137</v>
      </c>
      <c r="F150">
        <v>1</v>
      </c>
      <c r="G150">
        <v>37345137</v>
      </c>
      <c r="H150">
        <v>2</v>
      </c>
      <c r="I150" t="s">
        <v>1145</v>
      </c>
      <c r="J150" t="s">
        <v>3</v>
      </c>
      <c r="K150" t="s">
        <v>1146</v>
      </c>
      <c r="L150">
        <v>1344</v>
      </c>
      <c r="N150">
        <v>1008</v>
      </c>
      <c r="O150" t="s">
        <v>1138</v>
      </c>
      <c r="P150" t="s">
        <v>1138</v>
      </c>
      <c r="Q150">
        <v>1</v>
      </c>
      <c r="W150">
        <v>0</v>
      </c>
      <c r="X150">
        <v>-1180195794</v>
      </c>
      <c r="Y150">
        <f>(AT150*1.25)</f>
        <v>1.2500000000000001E-2</v>
      </c>
      <c r="AA150">
        <v>0</v>
      </c>
      <c r="AB150">
        <v>1</v>
      </c>
      <c r="AC150">
        <v>0</v>
      </c>
      <c r="AD150">
        <v>0</v>
      </c>
      <c r="AE150">
        <v>0</v>
      </c>
      <c r="AF150">
        <v>1</v>
      </c>
      <c r="AG150">
        <v>0</v>
      </c>
      <c r="AH150">
        <v>0</v>
      </c>
      <c r="AI150">
        <v>1</v>
      </c>
      <c r="AJ150">
        <v>1</v>
      </c>
      <c r="AK150">
        <v>1</v>
      </c>
      <c r="AL150">
        <v>1</v>
      </c>
      <c r="AN150">
        <v>0</v>
      </c>
      <c r="AO150">
        <v>1</v>
      </c>
      <c r="AP150">
        <v>1</v>
      </c>
      <c r="AQ150">
        <v>0</v>
      </c>
      <c r="AR150">
        <v>0</v>
      </c>
      <c r="AS150" t="s">
        <v>3</v>
      </c>
      <c r="AT150">
        <v>0.01</v>
      </c>
      <c r="AU150" t="s">
        <v>86</v>
      </c>
      <c r="AV150">
        <v>0</v>
      </c>
      <c r="AW150">
        <v>2</v>
      </c>
      <c r="AX150">
        <v>129763355</v>
      </c>
      <c r="AY150">
        <v>1</v>
      </c>
      <c r="AZ150">
        <v>0</v>
      </c>
      <c r="BA150">
        <v>154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ROUND(Y150*Source!I231,9)</f>
        <v>1.2500000000000001E-2</v>
      </c>
      <c r="CY150">
        <f>AB150</f>
        <v>1</v>
      </c>
      <c r="CZ150">
        <f>AF150</f>
        <v>1</v>
      </c>
      <c r="DA150">
        <f>AJ150</f>
        <v>1</v>
      </c>
      <c r="DB150">
        <f>ROUND((ROUND(AT150*CZ150,2)*1.25),6)</f>
        <v>1.2500000000000001E-2</v>
      </c>
      <c r="DC150">
        <f>ROUND((ROUND(AT150*AG150,2)*1.25),6)</f>
        <v>0</v>
      </c>
      <c r="DD150" t="s">
        <v>3</v>
      </c>
      <c r="DE150" t="s">
        <v>3</v>
      </c>
      <c r="DF150">
        <f t="shared" si="61"/>
        <v>0</v>
      </c>
      <c r="DG150">
        <f t="shared" si="59"/>
        <v>0.01</v>
      </c>
      <c r="DH150">
        <f t="shared" si="60"/>
        <v>0</v>
      </c>
      <c r="DI150">
        <f t="shared" si="58"/>
        <v>0</v>
      </c>
      <c r="DJ150">
        <f>DG150</f>
        <v>0.01</v>
      </c>
      <c r="DK150">
        <v>0</v>
      </c>
    </row>
    <row r="151" spans="1:115" x14ac:dyDescent="0.2">
      <c r="A151">
        <f>ROW(Source!A231)</f>
        <v>231</v>
      </c>
      <c r="B151">
        <v>129761636</v>
      </c>
      <c r="C151">
        <v>129763341</v>
      </c>
      <c r="D151">
        <v>37395800</v>
      </c>
      <c r="E151">
        <v>1</v>
      </c>
      <c r="F151">
        <v>1</v>
      </c>
      <c r="G151">
        <v>37345137</v>
      </c>
      <c r="H151">
        <v>3</v>
      </c>
      <c r="I151" t="s">
        <v>1186</v>
      </c>
      <c r="J151" t="s">
        <v>1187</v>
      </c>
      <c r="K151" t="s">
        <v>1188</v>
      </c>
      <c r="L151">
        <v>1346</v>
      </c>
      <c r="N151">
        <v>1009</v>
      </c>
      <c r="O151" t="s">
        <v>369</v>
      </c>
      <c r="P151" t="s">
        <v>369</v>
      </c>
      <c r="Q151">
        <v>1</v>
      </c>
      <c r="W151">
        <v>0</v>
      </c>
      <c r="X151">
        <v>-1260154368</v>
      </c>
      <c r="Y151">
        <f>AT151</f>
        <v>0.02</v>
      </c>
      <c r="AA151">
        <v>20.63</v>
      </c>
      <c r="AB151">
        <v>0</v>
      </c>
      <c r="AC151">
        <v>0</v>
      </c>
      <c r="AD151">
        <v>0</v>
      </c>
      <c r="AE151">
        <v>20.63</v>
      </c>
      <c r="AF151">
        <v>0</v>
      </c>
      <c r="AG151">
        <v>0</v>
      </c>
      <c r="AH151">
        <v>0</v>
      </c>
      <c r="AI151">
        <v>1</v>
      </c>
      <c r="AJ151">
        <v>1</v>
      </c>
      <c r="AK151">
        <v>1</v>
      </c>
      <c r="AL151">
        <v>1</v>
      </c>
      <c r="AN151">
        <v>0</v>
      </c>
      <c r="AO151">
        <v>1</v>
      </c>
      <c r="AP151">
        <v>0</v>
      </c>
      <c r="AQ151">
        <v>0</v>
      </c>
      <c r="AR151">
        <v>0</v>
      </c>
      <c r="AS151" t="s">
        <v>3</v>
      </c>
      <c r="AT151">
        <v>0.02</v>
      </c>
      <c r="AU151" t="s">
        <v>3</v>
      </c>
      <c r="AV151">
        <v>0</v>
      </c>
      <c r="AW151">
        <v>2</v>
      </c>
      <c r="AX151">
        <v>129763356</v>
      </c>
      <c r="AY151">
        <v>1</v>
      </c>
      <c r="AZ151">
        <v>0</v>
      </c>
      <c r="BA151">
        <v>155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ROUND(Y151*Source!I231,9)</f>
        <v>0.02</v>
      </c>
      <c r="CY151">
        <f>AA151</f>
        <v>20.63</v>
      </c>
      <c r="CZ151">
        <f>AE151</f>
        <v>20.63</v>
      </c>
      <c r="DA151">
        <f>AI151</f>
        <v>1</v>
      </c>
      <c r="DB151">
        <f>ROUND(ROUND(AT151*CZ151,2),6)</f>
        <v>0.41</v>
      </c>
      <c r="DC151">
        <f>ROUND(ROUND(AT151*AG151,2),6)</f>
        <v>0</v>
      </c>
      <c r="DD151" t="s">
        <v>3</v>
      </c>
      <c r="DE151" t="s">
        <v>3</v>
      </c>
      <c r="DF151">
        <f t="shared" si="61"/>
        <v>0.41</v>
      </c>
      <c r="DG151">
        <f t="shared" si="59"/>
        <v>0</v>
      </c>
      <c r="DH151">
        <f t="shared" si="60"/>
        <v>0</v>
      </c>
      <c r="DI151">
        <f t="shared" si="58"/>
        <v>0</v>
      </c>
      <c r="DJ151">
        <f>DF151</f>
        <v>0.41</v>
      </c>
      <c r="DK151">
        <v>0</v>
      </c>
    </row>
    <row r="152" spans="1:115" x14ac:dyDescent="0.2">
      <c r="A152">
        <f>ROW(Source!A231)</f>
        <v>231</v>
      </c>
      <c r="B152">
        <v>129761636</v>
      </c>
      <c r="C152">
        <v>129763341</v>
      </c>
      <c r="D152">
        <v>37416767</v>
      </c>
      <c r="E152">
        <v>1</v>
      </c>
      <c r="F152">
        <v>1</v>
      </c>
      <c r="G152">
        <v>37345137</v>
      </c>
      <c r="H152">
        <v>3</v>
      </c>
      <c r="I152" t="s">
        <v>236</v>
      </c>
      <c r="J152" t="s">
        <v>239</v>
      </c>
      <c r="K152" t="s">
        <v>237</v>
      </c>
      <c r="L152">
        <v>1391</v>
      </c>
      <c r="N152">
        <v>1013</v>
      </c>
      <c r="O152" t="s">
        <v>238</v>
      </c>
      <c r="P152" t="s">
        <v>238</v>
      </c>
      <c r="Q152">
        <v>1</v>
      </c>
      <c r="W152">
        <v>0</v>
      </c>
      <c r="X152">
        <v>1598346777</v>
      </c>
      <c r="Y152">
        <f>AT152</f>
        <v>1</v>
      </c>
      <c r="AA152">
        <v>1390.95</v>
      </c>
      <c r="AB152">
        <v>0</v>
      </c>
      <c r="AC152">
        <v>0</v>
      </c>
      <c r="AD152">
        <v>0</v>
      </c>
      <c r="AE152">
        <v>1390.95</v>
      </c>
      <c r="AF152">
        <v>0</v>
      </c>
      <c r="AG152">
        <v>0</v>
      </c>
      <c r="AH152">
        <v>0</v>
      </c>
      <c r="AI152">
        <v>1</v>
      </c>
      <c r="AJ152">
        <v>1</v>
      </c>
      <c r="AK152">
        <v>1</v>
      </c>
      <c r="AL152">
        <v>1</v>
      </c>
      <c r="AN152">
        <v>0</v>
      </c>
      <c r="AO152">
        <v>0</v>
      </c>
      <c r="AP152">
        <v>0</v>
      </c>
      <c r="AQ152">
        <v>0</v>
      </c>
      <c r="AR152">
        <v>0</v>
      </c>
      <c r="AS152" t="s">
        <v>3</v>
      </c>
      <c r="AT152">
        <v>1</v>
      </c>
      <c r="AU152" t="s">
        <v>3</v>
      </c>
      <c r="AV152">
        <v>0</v>
      </c>
      <c r="AW152">
        <v>1</v>
      </c>
      <c r="AX152">
        <v>-1</v>
      </c>
      <c r="AY152">
        <v>0</v>
      </c>
      <c r="AZ152">
        <v>0</v>
      </c>
      <c r="BA152" t="s">
        <v>3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ROUND(Y152*Source!I231,9)</f>
        <v>1</v>
      </c>
      <c r="CY152">
        <f>AA152</f>
        <v>1390.95</v>
      </c>
      <c r="CZ152">
        <f>AE152</f>
        <v>1390.95</v>
      </c>
      <c r="DA152">
        <f>AI152</f>
        <v>1</v>
      </c>
      <c r="DB152">
        <f>ROUND(ROUND(AT152*CZ152,2),6)</f>
        <v>1390.95</v>
      </c>
      <c r="DC152">
        <f>ROUND(ROUND(AT152*AG152,2),6)</f>
        <v>0</v>
      </c>
      <c r="DD152" t="s">
        <v>3</v>
      </c>
      <c r="DE152" t="s">
        <v>3</v>
      </c>
      <c r="DF152">
        <f t="shared" si="61"/>
        <v>1390.95</v>
      </c>
      <c r="DG152">
        <f t="shared" si="59"/>
        <v>0</v>
      </c>
      <c r="DH152">
        <f t="shared" si="60"/>
        <v>0</v>
      </c>
      <c r="DI152">
        <f t="shared" si="58"/>
        <v>0</v>
      </c>
      <c r="DJ152">
        <f>DF152</f>
        <v>1390.95</v>
      </c>
      <c r="DK152">
        <v>0</v>
      </c>
    </row>
    <row r="153" spans="1:115" x14ac:dyDescent="0.2">
      <c r="A153">
        <f>ROW(Source!A232)</f>
        <v>232</v>
      </c>
      <c r="B153">
        <v>129761633</v>
      </c>
      <c r="C153">
        <v>129763341</v>
      </c>
      <c r="D153">
        <v>37345142</v>
      </c>
      <c r="E153">
        <v>37345137</v>
      </c>
      <c r="F153">
        <v>1</v>
      </c>
      <c r="G153">
        <v>37345137</v>
      </c>
      <c r="H153">
        <v>1</v>
      </c>
      <c r="I153" t="s">
        <v>1096</v>
      </c>
      <c r="J153" t="s">
        <v>3</v>
      </c>
      <c r="K153" t="s">
        <v>1097</v>
      </c>
      <c r="L153">
        <v>1191</v>
      </c>
      <c r="N153">
        <v>1013</v>
      </c>
      <c r="O153" t="s">
        <v>1098</v>
      </c>
      <c r="P153" t="s">
        <v>1098</v>
      </c>
      <c r="Q153">
        <v>1</v>
      </c>
      <c r="W153">
        <v>0</v>
      </c>
      <c r="X153">
        <v>476480486</v>
      </c>
      <c r="Y153">
        <f>(AT153*1.15)</f>
        <v>1.2765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1</v>
      </c>
      <c r="AJ153">
        <v>1</v>
      </c>
      <c r="AK153">
        <v>1</v>
      </c>
      <c r="AL153">
        <v>1</v>
      </c>
      <c r="AN153">
        <v>0</v>
      </c>
      <c r="AO153">
        <v>1</v>
      </c>
      <c r="AP153">
        <v>1</v>
      </c>
      <c r="AQ153">
        <v>0</v>
      </c>
      <c r="AR153">
        <v>0</v>
      </c>
      <c r="AS153" t="s">
        <v>3</v>
      </c>
      <c r="AT153">
        <v>1.1100000000000001</v>
      </c>
      <c r="AU153" t="s">
        <v>87</v>
      </c>
      <c r="AV153">
        <v>1</v>
      </c>
      <c r="AW153">
        <v>2</v>
      </c>
      <c r="AX153">
        <v>129763350</v>
      </c>
      <c r="AY153">
        <v>1</v>
      </c>
      <c r="AZ153">
        <v>0</v>
      </c>
      <c r="BA153">
        <v>157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ROUND(Y153*Source!I232,9)</f>
        <v>1.2765</v>
      </c>
      <c r="CY153">
        <f>AD153</f>
        <v>0</v>
      </c>
      <c r="CZ153">
        <f>AH153</f>
        <v>0</v>
      </c>
      <c r="DA153">
        <f>AL153</f>
        <v>1</v>
      </c>
      <c r="DB153">
        <f>ROUND((ROUND(AT153*CZ153,2)*1.15),6)</f>
        <v>0</v>
      </c>
      <c r="DC153">
        <f>ROUND((ROUND(AT153*AG153,2)*1.15),6)</f>
        <v>0</v>
      </c>
      <c r="DD153" t="s">
        <v>3</v>
      </c>
      <c r="DE153" t="s">
        <v>3</v>
      </c>
      <c r="DF153">
        <f t="shared" si="61"/>
        <v>0</v>
      </c>
      <c r="DG153">
        <f t="shared" si="59"/>
        <v>0</v>
      </c>
      <c r="DH153">
        <f t="shared" si="60"/>
        <v>0</v>
      </c>
      <c r="DI153">
        <f t="shared" si="58"/>
        <v>0</v>
      </c>
      <c r="DJ153">
        <f>DI153</f>
        <v>0</v>
      </c>
      <c r="DK153">
        <v>0</v>
      </c>
    </row>
    <row r="154" spans="1:115" x14ac:dyDescent="0.2">
      <c r="A154">
        <f>ROW(Source!A232)</f>
        <v>232</v>
      </c>
      <c r="B154">
        <v>129761633</v>
      </c>
      <c r="C154">
        <v>129763341</v>
      </c>
      <c r="D154">
        <v>37418162</v>
      </c>
      <c r="E154">
        <v>1</v>
      </c>
      <c r="F154">
        <v>1</v>
      </c>
      <c r="G154">
        <v>37345137</v>
      </c>
      <c r="H154">
        <v>2</v>
      </c>
      <c r="I154" t="s">
        <v>1174</v>
      </c>
      <c r="J154" t="s">
        <v>1175</v>
      </c>
      <c r="K154" t="s">
        <v>1176</v>
      </c>
      <c r="L154">
        <v>1367</v>
      </c>
      <c r="N154">
        <v>1011</v>
      </c>
      <c r="O154" t="s">
        <v>1102</v>
      </c>
      <c r="P154" t="s">
        <v>1102</v>
      </c>
      <c r="Q154">
        <v>1</v>
      </c>
      <c r="W154">
        <v>0</v>
      </c>
      <c r="X154">
        <v>49912578</v>
      </c>
      <c r="Y154">
        <f>(AT154*1.25)</f>
        <v>0.32500000000000001</v>
      </c>
      <c r="AA154">
        <v>0</v>
      </c>
      <c r="AB154">
        <v>65.87</v>
      </c>
      <c r="AC154">
        <v>0.61</v>
      </c>
      <c r="AD154">
        <v>0</v>
      </c>
      <c r="AE154">
        <v>0</v>
      </c>
      <c r="AF154">
        <v>6.15</v>
      </c>
      <c r="AG154">
        <v>0.02</v>
      </c>
      <c r="AH154">
        <v>0</v>
      </c>
      <c r="AI154">
        <v>1</v>
      </c>
      <c r="AJ154">
        <v>10.23</v>
      </c>
      <c r="AK154">
        <v>29.03</v>
      </c>
      <c r="AL154">
        <v>1</v>
      </c>
      <c r="AN154">
        <v>0</v>
      </c>
      <c r="AO154">
        <v>1</v>
      </c>
      <c r="AP154">
        <v>1</v>
      </c>
      <c r="AQ154">
        <v>0</v>
      </c>
      <c r="AR154">
        <v>0</v>
      </c>
      <c r="AS154" t="s">
        <v>3</v>
      </c>
      <c r="AT154">
        <v>0.26</v>
      </c>
      <c r="AU154" t="s">
        <v>86</v>
      </c>
      <c r="AV154">
        <v>0</v>
      </c>
      <c r="AW154">
        <v>2</v>
      </c>
      <c r="AX154">
        <v>129763351</v>
      </c>
      <c r="AY154">
        <v>1</v>
      </c>
      <c r="AZ154">
        <v>0</v>
      </c>
      <c r="BA154">
        <v>158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ROUND(Y154*Source!I232,9)</f>
        <v>0.32500000000000001</v>
      </c>
      <c r="CY154">
        <f>AB154</f>
        <v>65.87</v>
      </c>
      <c r="CZ154">
        <f>AF154</f>
        <v>6.15</v>
      </c>
      <c r="DA154">
        <f>AJ154</f>
        <v>10.23</v>
      </c>
      <c r="DB154">
        <f>ROUND((ROUND(AT154*CZ154,2)*1.25),6)</f>
        <v>2</v>
      </c>
      <c r="DC154">
        <f>ROUND((ROUND(AT154*AG154,2)*1.25),6)</f>
        <v>1.2500000000000001E-2</v>
      </c>
      <c r="DD154" t="s">
        <v>3</v>
      </c>
      <c r="DE154" t="s">
        <v>3</v>
      </c>
      <c r="DF154">
        <f t="shared" si="61"/>
        <v>0</v>
      </c>
      <c r="DG154">
        <f>ROUND(ROUND(AF154*CX154,2)*AJ154,2)</f>
        <v>20.46</v>
      </c>
      <c r="DH154">
        <f>ROUND(ROUND(AG154*CX154,2)*AK154,2)</f>
        <v>0.28999999999999998</v>
      </c>
      <c r="DI154">
        <f t="shared" si="58"/>
        <v>0</v>
      </c>
      <c r="DJ154">
        <f>DG154</f>
        <v>20.46</v>
      </c>
      <c r="DK154">
        <v>0</v>
      </c>
    </row>
    <row r="155" spans="1:115" x14ac:dyDescent="0.2">
      <c r="A155">
        <f>ROW(Source!A232)</f>
        <v>232</v>
      </c>
      <c r="B155">
        <v>129761633</v>
      </c>
      <c r="C155">
        <v>129763341</v>
      </c>
      <c r="D155">
        <v>37418491</v>
      </c>
      <c r="E155">
        <v>1</v>
      </c>
      <c r="F155">
        <v>1</v>
      </c>
      <c r="G155">
        <v>37345137</v>
      </c>
      <c r="H155">
        <v>2</v>
      </c>
      <c r="I155" t="s">
        <v>1177</v>
      </c>
      <c r="J155" t="s">
        <v>1178</v>
      </c>
      <c r="K155" t="s">
        <v>1179</v>
      </c>
      <c r="L155">
        <v>1367</v>
      </c>
      <c r="N155">
        <v>1011</v>
      </c>
      <c r="O155" t="s">
        <v>1102</v>
      </c>
      <c r="P155" t="s">
        <v>1102</v>
      </c>
      <c r="Q155">
        <v>1</v>
      </c>
      <c r="W155">
        <v>0</v>
      </c>
      <c r="X155">
        <v>-1780114133</v>
      </c>
      <c r="Y155">
        <f>(AT155*1.25)</f>
        <v>2.5000000000000001E-2</v>
      </c>
      <c r="AA155">
        <v>0</v>
      </c>
      <c r="AB155">
        <v>3.72</v>
      </c>
      <c r="AC155">
        <v>0</v>
      </c>
      <c r="AD155">
        <v>0</v>
      </c>
      <c r="AE155">
        <v>0</v>
      </c>
      <c r="AF155">
        <v>0.44</v>
      </c>
      <c r="AG155">
        <v>0</v>
      </c>
      <c r="AH155">
        <v>0</v>
      </c>
      <c r="AI155">
        <v>1</v>
      </c>
      <c r="AJ155">
        <v>8.07</v>
      </c>
      <c r="AK155">
        <v>29.03</v>
      </c>
      <c r="AL155">
        <v>1</v>
      </c>
      <c r="AN155">
        <v>0</v>
      </c>
      <c r="AO155">
        <v>1</v>
      </c>
      <c r="AP155">
        <v>1</v>
      </c>
      <c r="AQ155">
        <v>0</v>
      </c>
      <c r="AR155">
        <v>0</v>
      </c>
      <c r="AS155" t="s">
        <v>3</v>
      </c>
      <c r="AT155">
        <v>0.02</v>
      </c>
      <c r="AU155" t="s">
        <v>86</v>
      </c>
      <c r="AV155">
        <v>0</v>
      </c>
      <c r="AW155">
        <v>2</v>
      </c>
      <c r="AX155">
        <v>129763352</v>
      </c>
      <c r="AY155">
        <v>1</v>
      </c>
      <c r="AZ155">
        <v>0</v>
      </c>
      <c r="BA155">
        <v>159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ROUND(Y155*Source!I232,9)</f>
        <v>2.5000000000000001E-2</v>
      </c>
      <c r="CY155">
        <f>AB155</f>
        <v>3.72</v>
      </c>
      <c r="CZ155">
        <f>AF155</f>
        <v>0.44</v>
      </c>
      <c r="DA155">
        <f>AJ155</f>
        <v>8.07</v>
      </c>
      <c r="DB155">
        <f>ROUND((ROUND(AT155*CZ155,2)*1.25),6)</f>
        <v>1.2500000000000001E-2</v>
      </c>
      <c r="DC155">
        <f>ROUND((ROUND(AT155*AG155,2)*1.25),6)</f>
        <v>0</v>
      </c>
      <c r="DD155" t="s">
        <v>3</v>
      </c>
      <c r="DE155" t="s">
        <v>3</v>
      </c>
      <c r="DF155">
        <f t="shared" si="61"/>
        <v>0</v>
      </c>
      <c r="DG155">
        <f>ROUND(ROUND(AF155*CX155,2)*AJ155,2)</f>
        <v>0.08</v>
      </c>
      <c r="DH155">
        <f>ROUND(ROUND(AG155*CX155,2)*AK155,2)</f>
        <v>0</v>
      </c>
      <c r="DI155">
        <f t="shared" si="58"/>
        <v>0</v>
      </c>
      <c r="DJ155">
        <f>DG155</f>
        <v>0.08</v>
      </c>
      <c r="DK155">
        <v>0</v>
      </c>
    </row>
    <row r="156" spans="1:115" x14ac:dyDescent="0.2">
      <c r="A156">
        <f>ROW(Source!A232)</f>
        <v>232</v>
      </c>
      <c r="B156">
        <v>129761633</v>
      </c>
      <c r="C156">
        <v>129763341</v>
      </c>
      <c r="D156">
        <v>37418525</v>
      </c>
      <c r="E156">
        <v>1</v>
      </c>
      <c r="F156">
        <v>1</v>
      </c>
      <c r="G156">
        <v>37345137</v>
      </c>
      <c r="H156">
        <v>2</v>
      </c>
      <c r="I156" t="s">
        <v>1180</v>
      </c>
      <c r="J156" t="s">
        <v>1181</v>
      </c>
      <c r="K156" t="s">
        <v>1182</v>
      </c>
      <c r="L156">
        <v>1367</v>
      </c>
      <c r="N156">
        <v>1011</v>
      </c>
      <c r="O156" t="s">
        <v>1102</v>
      </c>
      <c r="P156" t="s">
        <v>1102</v>
      </c>
      <c r="Q156">
        <v>1</v>
      </c>
      <c r="W156">
        <v>0</v>
      </c>
      <c r="X156">
        <v>926785503</v>
      </c>
      <c r="Y156">
        <f>(AT156*1.25)</f>
        <v>0.1875</v>
      </c>
      <c r="AA156">
        <v>0</v>
      </c>
      <c r="AB156">
        <v>5.36</v>
      </c>
      <c r="AC156">
        <v>1.22</v>
      </c>
      <c r="AD156">
        <v>0</v>
      </c>
      <c r="AE156">
        <v>0</v>
      </c>
      <c r="AF156">
        <v>0.64</v>
      </c>
      <c r="AG156">
        <v>0.04</v>
      </c>
      <c r="AH156">
        <v>0</v>
      </c>
      <c r="AI156">
        <v>1</v>
      </c>
      <c r="AJ156">
        <v>8</v>
      </c>
      <c r="AK156">
        <v>29.03</v>
      </c>
      <c r="AL156">
        <v>1</v>
      </c>
      <c r="AN156">
        <v>0</v>
      </c>
      <c r="AO156">
        <v>1</v>
      </c>
      <c r="AP156">
        <v>1</v>
      </c>
      <c r="AQ156">
        <v>0</v>
      </c>
      <c r="AR156">
        <v>0</v>
      </c>
      <c r="AS156" t="s">
        <v>3</v>
      </c>
      <c r="AT156">
        <v>0.15</v>
      </c>
      <c r="AU156" t="s">
        <v>86</v>
      </c>
      <c r="AV156">
        <v>0</v>
      </c>
      <c r="AW156">
        <v>2</v>
      </c>
      <c r="AX156">
        <v>129763353</v>
      </c>
      <c r="AY156">
        <v>1</v>
      </c>
      <c r="AZ156">
        <v>0</v>
      </c>
      <c r="BA156">
        <v>160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ROUND(Y156*Source!I232,9)</f>
        <v>0.1875</v>
      </c>
      <c r="CY156">
        <f>AB156</f>
        <v>5.36</v>
      </c>
      <c r="CZ156">
        <f>AF156</f>
        <v>0.64</v>
      </c>
      <c r="DA156">
        <f>AJ156</f>
        <v>8</v>
      </c>
      <c r="DB156">
        <f>ROUND((ROUND(AT156*CZ156,2)*1.25),6)</f>
        <v>0.125</v>
      </c>
      <c r="DC156">
        <f>ROUND((ROUND(AT156*AG156,2)*1.25),6)</f>
        <v>1.2500000000000001E-2</v>
      </c>
      <c r="DD156" t="s">
        <v>3</v>
      </c>
      <c r="DE156" t="s">
        <v>3</v>
      </c>
      <c r="DF156">
        <f t="shared" si="61"/>
        <v>0</v>
      </c>
      <c r="DG156">
        <f>ROUND(ROUND(AF156*CX156,2)*AJ156,2)</f>
        <v>0.96</v>
      </c>
      <c r="DH156">
        <f>ROUND(ROUND(AG156*CX156,2)*AK156,2)</f>
        <v>0.28999999999999998</v>
      </c>
      <c r="DI156">
        <f t="shared" si="58"/>
        <v>0</v>
      </c>
      <c r="DJ156">
        <f>DG156</f>
        <v>0.96</v>
      </c>
      <c r="DK156">
        <v>0</v>
      </c>
    </row>
    <row r="157" spans="1:115" x14ac:dyDescent="0.2">
      <c r="A157">
        <f>ROW(Source!A232)</f>
        <v>232</v>
      </c>
      <c r="B157">
        <v>129761633</v>
      </c>
      <c r="C157">
        <v>129763341</v>
      </c>
      <c r="D157">
        <v>37418479</v>
      </c>
      <c r="E157">
        <v>1</v>
      </c>
      <c r="F157">
        <v>1</v>
      </c>
      <c r="G157">
        <v>37345137</v>
      </c>
      <c r="H157">
        <v>2</v>
      </c>
      <c r="I157" t="s">
        <v>1183</v>
      </c>
      <c r="J157" t="s">
        <v>1184</v>
      </c>
      <c r="K157" t="s">
        <v>1185</v>
      </c>
      <c r="L157">
        <v>1367</v>
      </c>
      <c r="N157">
        <v>1011</v>
      </c>
      <c r="O157" t="s">
        <v>1102</v>
      </c>
      <c r="P157" t="s">
        <v>1102</v>
      </c>
      <c r="Q157">
        <v>1</v>
      </c>
      <c r="W157">
        <v>0</v>
      </c>
      <c r="X157">
        <v>950854334</v>
      </c>
      <c r="Y157">
        <f>(AT157*1.25)</f>
        <v>0.13750000000000001</v>
      </c>
      <c r="AA157">
        <v>0</v>
      </c>
      <c r="AB157">
        <v>2.4700000000000002</v>
      </c>
      <c r="AC157">
        <v>0.1</v>
      </c>
      <c r="AD157">
        <v>0</v>
      </c>
      <c r="AE157">
        <v>0</v>
      </c>
      <c r="AF157">
        <v>2.36</v>
      </c>
      <c r="AG157">
        <v>0.1</v>
      </c>
      <c r="AH157">
        <v>0</v>
      </c>
      <c r="AI157">
        <v>1</v>
      </c>
      <c r="AJ157">
        <v>1</v>
      </c>
      <c r="AK157">
        <v>1</v>
      </c>
      <c r="AL157">
        <v>1</v>
      </c>
      <c r="AN157">
        <v>0</v>
      </c>
      <c r="AO157">
        <v>1</v>
      </c>
      <c r="AP157">
        <v>1</v>
      </c>
      <c r="AQ157">
        <v>0</v>
      </c>
      <c r="AR157">
        <v>0</v>
      </c>
      <c r="AS157" t="s">
        <v>3</v>
      </c>
      <c r="AT157">
        <v>0.11</v>
      </c>
      <c r="AU157" t="s">
        <v>86</v>
      </c>
      <c r="AV157">
        <v>0</v>
      </c>
      <c r="AW157">
        <v>2</v>
      </c>
      <c r="AX157">
        <v>129763354</v>
      </c>
      <c r="AY157">
        <v>1</v>
      </c>
      <c r="AZ157">
        <v>0</v>
      </c>
      <c r="BA157">
        <v>161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ROUND(Y157*Source!I232,9)</f>
        <v>0.13750000000000001</v>
      </c>
      <c r="CY157">
        <f>AB157</f>
        <v>2.4700000000000002</v>
      </c>
      <c r="CZ157">
        <f>AF157</f>
        <v>2.36</v>
      </c>
      <c r="DA157">
        <f>AJ157</f>
        <v>1</v>
      </c>
      <c r="DB157">
        <f>ROUND((ROUND(AT157*CZ157,2)*1.25),6)</f>
        <v>0.32500000000000001</v>
      </c>
      <c r="DC157">
        <f>ROUND((ROUND(AT157*AG157,2)*1.25),6)</f>
        <v>1.2500000000000001E-2</v>
      </c>
      <c r="DD157" t="s">
        <v>3</v>
      </c>
      <c r="DE157" t="s">
        <v>3</v>
      </c>
      <c r="DF157">
        <f t="shared" si="61"/>
        <v>0</v>
      </c>
      <c r="DG157">
        <f t="shared" ref="DG157:DG176" si="62">ROUND(AF157*CX157,2)</f>
        <v>0.32</v>
      </c>
      <c r="DH157">
        <f t="shared" ref="DH157:DH176" si="63">ROUND(AG157*CX157,2)</f>
        <v>0.01</v>
      </c>
      <c r="DI157">
        <f t="shared" si="58"/>
        <v>0</v>
      </c>
      <c r="DJ157">
        <f>DG157</f>
        <v>0.32</v>
      </c>
      <c r="DK157">
        <v>0</v>
      </c>
    </row>
    <row r="158" spans="1:115" x14ac:dyDescent="0.2">
      <c r="A158">
        <f>ROW(Source!A232)</f>
        <v>232</v>
      </c>
      <c r="B158">
        <v>129761633</v>
      </c>
      <c r="C158">
        <v>129763341</v>
      </c>
      <c r="D158">
        <v>37345890</v>
      </c>
      <c r="E158">
        <v>37345137</v>
      </c>
      <c r="F158">
        <v>1</v>
      </c>
      <c r="G158">
        <v>37345137</v>
      </c>
      <c r="H158">
        <v>2</v>
      </c>
      <c r="I158" t="s">
        <v>1145</v>
      </c>
      <c r="J158" t="s">
        <v>3</v>
      </c>
      <c r="K158" t="s">
        <v>1146</v>
      </c>
      <c r="L158">
        <v>1344</v>
      </c>
      <c r="N158">
        <v>1008</v>
      </c>
      <c r="O158" t="s">
        <v>1138</v>
      </c>
      <c r="P158" t="s">
        <v>1138</v>
      </c>
      <c r="Q158">
        <v>1</v>
      </c>
      <c r="W158">
        <v>0</v>
      </c>
      <c r="X158">
        <v>-1180195794</v>
      </c>
      <c r="Y158">
        <f>(AT158*1.25)</f>
        <v>1.2500000000000001E-2</v>
      </c>
      <c r="AA158">
        <v>0</v>
      </c>
      <c r="AB158">
        <v>1.05</v>
      </c>
      <c r="AC158">
        <v>0</v>
      </c>
      <c r="AD158">
        <v>0</v>
      </c>
      <c r="AE158">
        <v>0</v>
      </c>
      <c r="AF158">
        <v>1</v>
      </c>
      <c r="AG158">
        <v>0</v>
      </c>
      <c r="AH158">
        <v>0</v>
      </c>
      <c r="AI158">
        <v>1</v>
      </c>
      <c r="AJ158">
        <v>1</v>
      </c>
      <c r="AK158">
        <v>1</v>
      </c>
      <c r="AL158">
        <v>1</v>
      </c>
      <c r="AN158">
        <v>0</v>
      </c>
      <c r="AO158">
        <v>1</v>
      </c>
      <c r="AP158">
        <v>1</v>
      </c>
      <c r="AQ158">
        <v>0</v>
      </c>
      <c r="AR158">
        <v>0</v>
      </c>
      <c r="AS158" t="s">
        <v>3</v>
      </c>
      <c r="AT158">
        <v>0.01</v>
      </c>
      <c r="AU158" t="s">
        <v>86</v>
      </c>
      <c r="AV158">
        <v>0</v>
      </c>
      <c r="AW158">
        <v>2</v>
      </c>
      <c r="AX158">
        <v>129763355</v>
      </c>
      <c r="AY158">
        <v>1</v>
      </c>
      <c r="AZ158">
        <v>0</v>
      </c>
      <c r="BA158">
        <v>162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ROUND(Y158*Source!I232,9)</f>
        <v>1.2500000000000001E-2</v>
      </c>
      <c r="CY158">
        <f>AB158</f>
        <v>1.05</v>
      </c>
      <c r="CZ158">
        <f>AF158</f>
        <v>1</v>
      </c>
      <c r="DA158">
        <f>AJ158</f>
        <v>1</v>
      </c>
      <c r="DB158">
        <f>ROUND((ROUND(AT158*CZ158,2)*1.25),6)</f>
        <v>1.2500000000000001E-2</v>
      </c>
      <c r="DC158">
        <f>ROUND((ROUND(AT158*AG158,2)*1.25),6)</f>
        <v>0</v>
      </c>
      <c r="DD158" t="s">
        <v>3</v>
      </c>
      <c r="DE158" t="s">
        <v>3</v>
      </c>
      <c r="DF158">
        <f t="shared" si="61"/>
        <v>0</v>
      </c>
      <c r="DG158">
        <f t="shared" si="62"/>
        <v>0.01</v>
      </c>
      <c r="DH158">
        <f t="shared" si="63"/>
        <v>0</v>
      </c>
      <c r="DI158">
        <f t="shared" si="58"/>
        <v>0</v>
      </c>
      <c r="DJ158">
        <f>DG158</f>
        <v>0.01</v>
      </c>
      <c r="DK158">
        <v>0</v>
      </c>
    </row>
    <row r="159" spans="1:115" x14ac:dyDescent="0.2">
      <c r="A159">
        <f>ROW(Source!A232)</f>
        <v>232</v>
      </c>
      <c r="B159">
        <v>129761633</v>
      </c>
      <c r="C159">
        <v>129763341</v>
      </c>
      <c r="D159">
        <v>37395800</v>
      </c>
      <c r="E159">
        <v>1</v>
      </c>
      <c r="F159">
        <v>1</v>
      </c>
      <c r="G159">
        <v>37345137</v>
      </c>
      <c r="H159">
        <v>3</v>
      </c>
      <c r="I159" t="s">
        <v>1186</v>
      </c>
      <c r="J159" t="s">
        <v>1187</v>
      </c>
      <c r="K159" t="s">
        <v>1188</v>
      </c>
      <c r="L159">
        <v>1346</v>
      </c>
      <c r="N159">
        <v>1009</v>
      </c>
      <c r="O159" t="s">
        <v>369</v>
      </c>
      <c r="P159" t="s">
        <v>369</v>
      </c>
      <c r="Q159">
        <v>1</v>
      </c>
      <c r="W159">
        <v>0</v>
      </c>
      <c r="X159">
        <v>-1260154368</v>
      </c>
      <c r="Y159">
        <f>AT159</f>
        <v>0.02</v>
      </c>
      <c r="AA159">
        <v>118.03</v>
      </c>
      <c r="AB159">
        <v>0</v>
      </c>
      <c r="AC159">
        <v>0</v>
      </c>
      <c r="AD159">
        <v>0</v>
      </c>
      <c r="AE159">
        <v>20.63</v>
      </c>
      <c r="AF159">
        <v>0</v>
      </c>
      <c r="AG159">
        <v>0</v>
      </c>
      <c r="AH159">
        <v>0</v>
      </c>
      <c r="AI159">
        <v>5.71</v>
      </c>
      <c r="AJ159">
        <v>1</v>
      </c>
      <c r="AK159">
        <v>1</v>
      </c>
      <c r="AL159">
        <v>1</v>
      </c>
      <c r="AN159">
        <v>0</v>
      </c>
      <c r="AO159">
        <v>1</v>
      </c>
      <c r="AP159">
        <v>0</v>
      </c>
      <c r="AQ159">
        <v>0</v>
      </c>
      <c r="AR159">
        <v>0</v>
      </c>
      <c r="AS159" t="s">
        <v>3</v>
      </c>
      <c r="AT159">
        <v>0.02</v>
      </c>
      <c r="AU159" t="s">
        <v>3</v>
      </c>
      <c r="AV159">
        <v>0</v>
      </c>
      <c r="AW159">
        <v>2</v>
      </c>
      <c r="AX159">
        <v>129763356</v>
      </c>
      <c r="AY159">
        <v>1</v>
      </c>
      <c r="AZ159">
        <v>0</v>
      </c>
      <c r="BA159">
        <v>163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ROUND(Y159*Source!I232,9)</f>
        <v>0.02</v>
      </c>
      <c r="CY159">
        <f>AA159</f>
        <v>118.03</v>
      </c>
      <c r="CZ159">
        <f>AE159</f>
        <v>20.63</v>
      </c>
      <c r="DA159">
        <f>AI159</f>
        <v>5.71</v>
      </c>
      <c r="DB159">
        <f>ROUND(ROUND(AT159*CZ159,2),6)</f>
        <v>0.41</v>
      </c>
      <c r="DC159">
        <f>ROUND(ROUND(AT159*AG159,2),6)</f>
        <v>0</v>
      </c>
      <c r="DD159" t="s">
        <v>3</v>
      </c>
      <c r="DE159" t="s">
        <v>3</v>
      </c>
      <c r="DF159">
        <f>ROUND(ROUND(AE159*CX159,2)*AI159,2)</f>
        <v>2.34</v>
      </c>
      <c r="DG159">
        <f t="shared" si="62"/>
        <v>0</v>
      </c>
      <c r="DH159">
        <f t="shared" si="63"/>
        <v>0</v>
      </c>
      <c r="DI159">
        <f t="shared" si="58"/>
        <v>0</v>
      </c>
      <c r="DJ159">
        <f>DF159</f>
        <v>2.34</v>
      </c>
      <c r="DK159">
        <v>0</v>
      </c>
    </row>
    <row r="160" spans="1:115" x14ac:dyDescent="0.2">
      <c r="A160">
        <f>ROW(Source!A232)</f>
        <v>232</v>
      </c>
      <c r="B160">
        <v>129761633</v>
      </c>
      <c r="C160">
        <v>129763341</v>
      </c>
      <c r="D160">
        <v>37416767</v>
      </c>
      <c r="E160">
        <v>1</v>
      </c>
      <c r="F160">
        <v>1</v>
      </c>
      <c r="G160">
        <v>37345137</v>
      </c>
      <c r="H160">
        <v>3</v>
      </c>
      <c r="I160" t="s">
        <v>236</v>
      </c>
      <c r="J160" t="s">
        <v>239</v>
      </c>
      <c r="K160" t="s">
        <v>237</v>
      </c>
      <c r="L160">
        <v>1391</v>
      </c>
      <c r="N160">
        <v>1013</v>
      </c>
      <c r="O160" t="s">
        <v>238</v>
      </c>
      <c r="P160" t="s">
        <v>238</v>
      </c>
      <c r="Q160">
        <v>1</v>
      </c>
      <c r="W160">
        <v>0</v>
      </c>
      <c r="X160">
        <v>1598346777</v>
      </c>
      <c r="Y160">
        <f>AT160</f>
        <v>1</v>
      </c>
      <c r="AA160">
        <v>9254.3799999999992</v>
      </c>
      <c r="AB160">
        <v>0</v>
      </c>
      <c r="AC160">
        <v>0</v>
      </c>
      <c r="AD160">
        <v>0</v>
      </c>
      <c r="AE160">
        <v>1390.95</v>
      </c>
      <c r="AF160">
        <v>0</v>
      </c>
      <c r="AG160">
        <v>0</v>
      </c>
      <c r="AH160">
        <v>0</v>
      </c>
      <c r="AI160">
        <v>6.64</v>
      </c>
      <c r="AJ160">
        <v>1</v>
      </c>
      <c r="AK160">
        <v>1</v>
      </c>
      <c r="AL160">
        <v>1</v>
      </c>
      <c r="AN160">
        <v>0</v>
      </c>
      <c r="AO160">
        <v>0</v>
      </c>
      <c r="AP160">
        <v>0</v>
      </c>
      <c r="AQ160">
        <v>0</v>
      </c>
      <c r="AR160">
        <v>0</v>
      </c>
      <c r="AS160" t="s">
        <v>3</v>
      </c>
      <c r="AT160">
        <v>1</v>
      </c>
      <c r="AU160" t="s">
        <v>3</v>
      </c>
      <c r="AV160">
        <v>0</v>
      </c>
      <c r="AW160">
        <v>1</v>
      </c>
      <c r="AX160">
        <v>-1</v>
      </c>
      <c r="AY160">
        <v>0</v>
      </c>
      <c r="AZ160">
        <v>0</v>
      </c>
      <c r="BA160" t="s">
        <v>3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ROUND(Y160*Source!I232,9)</f>
        <v>1</v>
      </c>
      <c r="CY160">
        <f>AA160</f>
        <v>9254.3799999999992</v>
      </c>
      <c r="CZ160">
        <f>AE160</f>
        <v>1390.95</v>
      </c>
      <c r="DA160">
        <f>AI160</f>
        <v>6.64</v>
      </c>
      <c r="DB160">
        <f>ROUND(ROUND(AT160*CZ160,2),6)</f>
        <v>1390.95</v>
      </c>
      <c r="DC160">
        <f>ROUND(ROUND(AT160*AG160,2),6)</f>
        <v>0</v>
      </c>
      <c r="DD160" t="s">
        <v>3</v>
      </c>
      <c r="DE160" t="s">
        <v>3</v>
      </c>
      <c r="DF160">
        <f>ROUND(ROUND(AE160*CX160,2)*AI160,2)</f>
        <v>9235.91</v>
      </c>
      <c r="DG160">
        <f t="shared" si="62"/>
        <v>0</v>
      </c>
      <c r="DH160">
        <f t="shared" si="63"/>
        <v>0</v>
      </c>
      <c r="DI160">
        <f t="shared" si="58"/>
        <v>0</v>
      </c>
      <c r="DJ160">
        <f>DF160</f>
        <v>9235.91</v>
      </c>
      <c r="DK160">
        <v>0</v>
      </c>
    </row>
    <row r="161" spans="1:115" x14ac:dyDescent="0.2">
      <c r="A161">
        <f>ROW(Source!A235)</f>
        <v>235</v>
      </c>
      <c r="B161">
        <v>129761636</v>
      </c>
      <c r="C161">
        <v>129763359</v>
      </c>
      <c r="D161">
        <v>37345142</v>
      </c>
      <c r="E161">
        <v>37345137</v>
      </c>
      <c r="F161">
        <v>1</v>
      </c>
      <c r="G161">
        <v>37345137</v>
      </c>
      <c r="H161">
        <v>1</v>
      </c>
      <c r="I161" t="s">
        <v>1096</v>
      </c>
      <c r="J161" t="s">
        <v>3</v>
      </c>
      <c r="K161" t="s">
        <v>1097</v>
      </c>
      <c r="L161">
        <v>1191</v>
      </c>
      <c r="N161">
        <v>1013</v>
      </c>
      <c r="O161" t="s">
        <v>1098</v>
      </c>
      <c r="P161" t="s">
        <v>1098</v>
      </c>
      <c r="Q161">
        <v>1</v>
      </c>
      <c r="W161">
        <v>0</v>
      </c>
      <c r="X161">
        <v>476480486</v>
      </c>
      <c r="Y161">
        <f>(AT161*1.15)</f>
        <v>103.38500000000001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1</v>
      </c>
      <c r="AJ161">
        <v>1</v>
      </c>
      <c r="AK161">
        <v>1</v>
      </c>
      <c r="AL161">
        <v>1</v>
      </c>
      <c r="AN161">
        <v>0</v>
      </c>
      <c r="AO161">
        <v>1</v>
      </c>
      <c r="AP161">
        <v>1</v>
      </c>
      <c r="AQ161">
        <v>0</v>
      </c>
      <c r="AR161">
        <v>0</v>
      </c>
      <c r="AS161" t="s">
        <v>3</v>
      </c>
      <c r="AT161">
        <v>89.9</v>
      </c>
      <c r="AU161" t="s">
        <v>87</v>
      </c>
      <c r="AV161">
        <v>1</v>
      </c>
      <c r="AW161">
        <v>2</v>
      </c>
      <c r="AX161">
        <v>129763375</v>
      </c>
      <c r="AY161">
        <v>1</v>
      </c>
      <c r="AZ161">
        <v>0</v>
      </c>
      <c r="BA161">
        <v>165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ROUND(Y161*Source!I235,9)</f>
        <v>3.907953</v>
      </c>
      <c r="CY161">
        <f>AD161</f>
        <v>0</v>
      </c>
      <c r="CZ161">
        <f>AH161</f>
        <v>0</v>
      </c>
      <c r="DA161">
        <f>AL161</f>
        <v>1</v>
      </c>
      <c r="DB161">
        <f>ROUND((ROUND(AT161*CZ161,2)*1.15),6)</f>
        <v>0</v>
      </c>
      <c r="DC161">
        <f>ROUND((ROUND(AT161*AG161,2)*1.15),6)</f>
        <v>0</v>
      </c>
      <c r="DD161" t="s">
        <v>3</v>
      </c>
      <c r="DE161" t="s">
        <v>3</v>
      </c>
      <c r="DF161">
        <f t="shared" ref="DF161:DF179" si="64">ROUND(AE161*CX161,2)</f>
        <v>0</v>
      </c>
      <c r="DG161">
        <f t="shared" si="62"/>
        <v>0</v>
      </c>
      <c r="DH161">
        <f t="shared" si="63"/>
        <v>0</v>
      </c>
      <c r="DI161">
        <f t="shared" si="58"/>
        <v>0</v>
      </c>
      <c r="DJ161">
        <f>DI161</f>
        <v>0</v>
      </c>
      <c r="DK161">
        <v>0</v>
      </c>
    </row>
    <row r="162" spans="1:115" x14ac:dyDescent="0.2">
      <c r="A162">
        <f>ROW(Source!A235)</f>
        <v>235</v>
      </c>
      <c r="B162">
        <v>129761636</v>
      </c>
      <c r="C162">
        <v>129763359</v>
      </c>
      <c r="D162">
        <v>37418445</v>
      </c>
      <c r="E162">
        <v>1</v>
      </c>
      <c r="F162">
        <v>1</v>
      </c>
      <c r="G162">
        <v>37345137</v>
      </c>
      <c r="H162">
        <v>2</v>
      </c>
      <c r="I162" t="s">
        <v>1189</v>
      </c>
      <c r="J162" t="s">
        <v>1190</v>
      </c>
      <c r="K162" t="s">
        <v>1191</v>
      </c>
      <c r="L162">
        <v>1367</v>
      </c>
      <c r="N162">
        <v>1011</v>
      </c>
      <c r="O162" t="s">
        <v>1102</v>
      </c>
      <c r="P162" t="s">
        <v>1102</v>
      </c>
      <c r="Q162">
        <v>1</v>
      </c>
      <c r="W162">
        <v>0</v>
      </c>
      <c r="X162">
        <v>-628430174</v>
      </c>
      <c r="Y162">
        <f>(AT162*1.25)</f>
        <v>2.2875000000000001</v>
      </c>
      <c r="AA162">
        <v>0</v>
      </c>
      <c r="AB162">
        <v>76.81</v>
      </c>
      <c r="AC162">
        <v>14.36</v>
      </c>
      <c r="AD162">
        <v>0</v>
      </c>
      <c r="AE162">
        <v>0</v>
      </c>
      <c r="AF162">
        <v>76.81</v>
      </c>
      <c r="AG162">
        <v>14.36</v>
      </c>
      <c r="AH162">
        <v>0</v>
      </c>
      <c r="AI162">
        <v>1</v>
      </c>
      <c r="AJ162">
        <v>1</v>
      </c>
      <c r="AK162">
        <v>1</v>
      </c>
      <c r="AL162">
        <v>1</v>
      </c>
      <c r="AN162">
        <v>0</v>
      </c>
      <c r="AO162">
        <v>1</v>
      </c>
      <c r="AP162">
        <v>1</v>
      </c>
      <c r="AQ162">
        <v>0</v>
      </c>
      <c r="AR162">
        <v>0</v>
      </c>
      <c r="AS162" t="s">
        <v>3</v>
      </c>
      <c r="AT162">
        <v>1.83</v>
      </c>
      <c r="AU162" t="s">
        <v>86</v>
      </c>
      <c r="AV162">
        <v>0</v>
      </c>
      <c r="AW162">
        <v>2</v>
      </c>
      <c r="AX162">
        <v>129763376</v>
      </c>
      <c r="AY162">
        <v>1</v>
      </c>
      <c r="AZ162">
        <v>0</v>
      </c>
      <c r="BA162">
        <v>166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ROUND(Y162*Source!I235,9)</f>
        <v>8.6467500000000003E-2</v>
      </c>
      <c r="CY162">
        <f>AB162</f>
        <v>76.81</v>
      </c>
      <c r="CZ162">
        <f>AF162</f>
        <v>76.81</v>
      </c>
      <c r="DA162">
        <f>AJ162</f>
        <v>1</v>
      </c>
      <c r="DB162">
        <f>ROUND((ROUND(AT162*CZ162,2)*1.25),6)</f>
        <v>175.7</v>
      </c>
      <c r="DC162">
        <f>ROUND((ROUND(AT162*AG162,2)*1.25),6)</f>
        <v>32.85</v>
      </c>
      <c r="DD162" t="s">
        <v>3</v>
      </c>
      <c r="DE162" t="s">
        <v>3</v>
      </c>
      <c r="DF162">
        <f t="shared" si="64"/>
        <v>0</v>
      </c>
      <c r="DG162">
        <f t="shared" si="62"/>
        <v>6.64</v>
      </c>
      <c r="DH162">
        <f t="shared" si="63"/>
        <v>1.24</v>
      </c>
      <c r="DI162">
        <f t="shared" si="58"/>
        <v>0</v>
      </c>
      <c r="DJ162">
        <f>DG162</f>
        <v>6.64</v>
      </c>
      <c r="DK162">
        <v>0</v>
      </c>
    </row>
    <row r="163" spans="1:115" x14ac:dyDescent="0.2">
      <c r="A163">
        <f>ROW(Source!A235)</f>
        <v>235</v>
      </c>
      <c r="B163">
        <v>129761636</v>
      </c>
      <c r="C163">
        <v>129763359</v>
      </c>
      <c r="D163">
        <v>37417692</v>
      </c>
      <c r="E163">
        <v>1</v>
      </c>
      <c r="F163">
        <v>1</v>
      </c>
      <c r="G163">
        <v>37345137</v>
      </c>
      <c r="H163">
        <v>2</v>
      </c>
      <c r="I163" t="s">
        <v>1127</v>
      </c>
      <c r="J163" t="s">
        <v>1128</v>
      </c>
      <c r="K163" t="s">
        <v>1129</v>
      </c>
      <c r="L163">
        <v>1367</v>
      </c>
      <c r="N163">
        <v>1011</v>
      </c>
      <c r="O163" t="s">
        <v>1102</v>
      </c>
      <c r="P163" t="s">
        <v>1102</v>
      </c>
      <c r="Q163">
        <v>1</v>
      </c>
      <c r="W163">
        <v>0</v>
      </c>
      <c r="X163">
        <v>-266174272</v>
      </c>
      <c r="Y163">
        <f>(AT163*1.25)</f>
        <v>1.9</v>
      </c>
      <c r="AA163">
        <v>0</v>
      </c>
      <c r="AB163">
        <v>190.93</v>
      </c>
      <c r="AC163">
        <v>18.149999999999999</v>
      </c>
      <c r="AD163">
        <v>0</v>
      </c>
      <c r="AE163">
        <v>0</v>
      </c>
      <c r="AF163">
        <v>190.93</v>
      </c>
      <c r="AG163">
        <v>18.149999999999999</v>
      </c>
      <c r="AH163">
        <v>0</v>
      </c>
      <c r="AI163">
        <v>1</v>
      </c>
      <c r="AJ163">
        <v>1</v>
      </c>
      <c r="AK163">
        <v>1</v>
      </c>
      <c r="AL163">
        <v>1</v>
      </c>
      <c r="AN163">
        <v>0</v>
      </c>
      <c r="AO163">
        <v>1</v>
      </c>
      <c r="AP163">
        <v>1</v>
      </c>
      <c r="AQ163">
        <v>0</v>
      </c>
      <c r="AR163">
        <v>0</v>
      </c>
      <c r="AS163" t="s">
        <v>3</v>
      </c>
      <c r="AT163">
        <v>1.52</v>
      </c>
      <c r="AU163" t="s">
        <v>86</v>
      </c>
      <c r="AV163">
        <v>0</v>
      </c>
      <c r="AW163">
        <v>2</v>
      </c>
      <c r="AX163">
        <v>129763377</v>
      </c>
      <c r="AY163">
        <v>1</v>
      </c>
      <c r="AZ163">
        <v>0</v>
      </c>
      <c r="BA163">
        <v>167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ROUND(Y163*Source!I235,9)</f>
        <v>7.1819999999999995E-2</v>
      </c>
      <c r="CY163">
        <f>AB163</f>
        <v>190.93</v>
      </c>
      <c r="CZ163">
        <f>AF163</f>
        <v>190.93</v>
      </c>
      <c r="DA163">
        <f>AJ163</f>
        <v>1</v>
      </c>
      <c r="DB163">
        <f>ROUND((ROUND(AT163*CZ163,2)*1.25),6)</f>
        <v>362.76249999999999</v>
      </c>
      <c r="DC163">
        <f>ROUND((ROUND(AT163*AG163,2)*1.25),6)</f>
        <v>34.487499999999997</v>
      </c>
      <c r="DD163" t="s">
        <v>3</v>
      </c>
      <c r="DE163" t="s">
        <v>3</v>
      </c>
      <c r="DF163">
        <f t="shared" si="64"/>
        <v>0</v>
      </c>
      <c r="DG163">
        <f t="shared" si="62"/>
        <v>13.71</v>
      </c>
      <c r="DH163">
        <f t="shared" si="63"/>
        <v>1.3</v>
      </c>
      <c r="DI163">
        <f t="shared" si="58"/>
        <v>0</v>
      </c>
      <c r="DJ163">
        <f>DG163</f>
        <v>13.71</v>
      </c>
      <c r="DK163">
        <v>0</v>
      </c>
    </row>
    <row r="164" spans="1:115" x14ac:dyDescent="0.2">
      <c r="A164">
        <f>ROW(Source!A235)</f>
        <v>235</v>
      </c>
      <c r="B164">
        <v>129761636</v>
      </c>
      <c r="C164">
        <v>129763359</v>
      </c>
      <c r="D164">
        <v>37417908</v>
      </c>
      <c r="E164">
        <v>1</v>
      </c>
      <c r="F164">
        <v>1</v>
      </c>
      <c r="G164">
        <v>37345137</v>
      </c>
      <c r="H164">
        <v>2</v>
      </c>
      <c r="I164" t="s">
        <v>1192</v>
      </c>
      <c r="J164" t="s">
        <v>1193</v>
      </c>
      <c r="K164" t="s">
        <v>1194</v>
      </c>
      <c r="L164">
        <v>1367</v>
      </c>
      <c r="N164">
        <v>1011</v>
      </c>
      <c r="O164" t="s">
        <v>1102</v>
      </c>
      <c r="P164" t="s">
        <v>1102</v>
      </c>
      <c r="Q164">
        <v>1</v>
      </c>
      <c r="W164">
        <v>0</v>
      </c>
      <c r="X164">
        <v>-1649254319</v>
      </c>
      <c r="Y164">
        <f>(AT164*1.25)</f>
        <v>2.2374999999999998</v>
      </c>
      <c r="AA164">
        <v>0</v>
      </c>
      <c r="AB164">
        <v>13.14</v>
      </c>
      <c r="AC164">
        <v>0.02</v>
      </c>
      <c r="AD164">
        <v>0</v>
      </c>
      <c r="AE164">
        <v>0</v>
      </c>
      <c r="AF164">
        <v>13.14</v>
      </c>
      <c r="AG164">
        <v>0.02</v>
      </c>
      <c r="AH164">
        <v>0</v>
      </c>
      <c r="AI164">
        <v>1</v>
      </c>
      <c r="AJ164">
        <v>1</v>
      </c>
      <c r="AK164">
        <v>1</v>
      </c>
      <c r="AL164">
        <v>1</v>
      </c>
      <c r="AN164">
        <v>0</v>
      </c>
      <c r="AO164">
        <v>1</v>
      </c>
      <c r="AP164">
        <v>1</v>
      </c>
      <c r="AQ164">
        <v>0</v>
      </c>
      <c r="AR164">
        <v>0</v>
      </c>
      <c r="AS164" t="s">
        <v>3</v>
      </c>
      <c r="AT164">
        <v>1.79</v>
      </c>
      <c r="AU164" t="s">
        <v>86</v>
      </c>
      <c r="AV164">
        <v>0</v>
      </c>
      <c r="AW164">
        <v>2</v>
      </c>
      <c r="AX164">
        <v>129763378</v>
      </c>
      <c r="AY164">
        <v>1</v>
      </c>
      <c r="AZ164">
        <v>0</v>
      </c>
      <c r="BA164">
        <v>168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ROUND(Y164*Source!I235,9)</f>
        <v>8.45775E-2</v>
      </c>
      <c r="CY164">
        <f>AB164</f>
        <v>13.14</v>
      </c>
      <c r="CZ164">
        <f>AF164</f>
        <v>13.14</v>
      </c>
      <c r="DA164">
        <f>AJ164</f>
        <v>1</v>
      </c>
      <c r="DB164">
        <f>ROUND((ROUND(AT164*CZ164,2)*1.25),6)</f>
        <v>29.4</v>
      </c>
      <c r="DC164">
        <f>ROUND((ROUND(AT164*AG164,2)*1.25),6)</f>
        <v>0.05</v>
      </c>
      <c r="DD164" t="s">
        <v>3</v>
      </c>
      <c r="DE164" t="s">
        <v>3</v>
      </c>
      <c r="DF164">
        <f t="shared" si="64"/>
        <v>0</v>
      </c>
      <c r="DG164">
        <f t="shared" si="62"/>
        <v>1.1100000000000001</v>
      </c>
      <c r="DH164">
        <f t="shared" si="63"/>
        <v>0</v>
      </c>
      <c r="DI164">
        <f t="shared" si="58"/>
        <v>0</v>
      </c>
      <c r="DJ164">
        <f>DG164</f>
        <v>1.1100000000000001</v>
      </c>
      <c r="DK164">
        <v>0</v>
      </c>
    </row>
    <row r="165" spans="1:115" x14ac:dyDescent="0.2">
      <c r="A165">
        <f>ROW(Source!A235)</f>
        <v>235</v>
      </c>
      <c r="B165">
        <v>129761636</v>
      </c>
      <c r="C165">
        <v>129763359</v>
      </c>
      <c r="D165">
        <v>37394364</v>
      </c>
      <c r="E165">
        <v>1</v>
      </c>
      <c r="F165">
        <v>1</v>
      </c>
      <c r="G165">
        <v>37345137</v>
      </c>
      <c r="H165">
        <v>3</v>
      </c>
      <c r="I165" t="s">
        <v>1195</v>
      </c>
      <c r="J165" t="s">
        <v>1196</v>
      </c>
      <c r="K165" t="s">
        <v>1197</v>
      </c>
      <c r="L165">
        <v>1348</v>
      </c>
      <c r="N165">
        <v>1009</v>
      </c>
      <c r="O165" t="s">
        <v>114</v>
      </c>
      <c r="P165" t="s">
        <v>114</v>
      </c>
      <c r="Q165">
        <v>1000</v>
      </c>
      <c r="W165">
        <v>0</v>
      </c>
      <c r="X165">
        <v>1977647148</v>
      </c>
      <c r="Y165">
        <f t="shared" ref="Y165:Y175" si="65">AT165</f>
        <v>2.3599999999999999E-2</v>
      </c>
      <c r="AA165">
        <v>1463.45</v>
      </c>
      <c r="AB165">
        <v>0</v>
      </c>
      <c r="AC165">
        <v>0</v>
      </c>
      <c r="AD165">
        <v>0</v>
      </c>
      <c r="AE165">
        <v>1463.45</v>
      </c>
      <c r="AF165">
        <v>0</v>
      </c>
      <c r="AG165">
        <v>0</v>
      </c>
      <c r="AH165">
        <v>0</v>
      </c>
      <c r="AI165">
        <v>1</v>
      </c>
      <c r="AJ165">
        <v>1</v>
      </c>
      <c r="AK165">
        <v>1</v>
      </c>
      <c r="AL165">
        <v>1</v>
      </c>
      <c r="AN165">
        <v>0</v>
      </c>
      <c r="AO165">
        <v>1</v>
      </c>
      <c r="AP165">
        <v>0</v>
      </c>
      <c r="AQ165">
        <v>0</v>
      </c>
      <c r="AR165">
        <v>0</v>
      </c>
      <c r="AS165" t="s">
        <v>3</v>
      </c>
      <c r="AT165">
        <v>2.3599999999999999E-2</v>
      </c>
      <c r="AU165" t="s">
        <v>3</v>
      </c>
      <c r="AV165">
        <v>0</v>
      </c>
      <c r="AW165">
        <v>2</v>
      </c>
      <c r="AX165">
        <v>129763379</v>
      </c>
      <c r="AY165">
        <v>1</v>
      </c>
      <c r="AZ165">
        <v>0</v>
      </c>
      <c r="BA165">
        <v>169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ROUND(Y165*Source!I235,9)</f>
        <v>8.9207999999999996E-4</v>
      </c>
      <c r="CY165">
        <f t="shared" ref="CY165:CY175" si="66">AA165</f>
        <v>1463.45</v>
      </c>
      <c r="CZ165">
        <f t="shared" ref="CZ165:CZ175" si="67">AE165</f>
        <v>1463.45</v>
      </c>
      <c r="DA165">
        <f t="shared" ref="DA165:DA175" si="68">AI165</f>
        <v>1</v>
      </c>
      <c r="DB165">
        <f t="shared" ref="DB165:DB175" si="69">ROUND(ROUND(AT165*CZ165,2),6)</f>
        <v>34.54</v>
      </c>
      <c r="DC165">
        <f t="shared" ref="DC165:DC175" si="70">ROUND(ROUND(AT165*AG165,2),6)</f>
        <v>0</v>
      </c>
      <c r="DD165" t="s">
        <v>3</v>
      </c>
      <c r="DE165" t="s">
        <v>3</v>
      </c>
      <c r="DF165">
        <f t="shared" si="64"/>
        <v>1.31</v>
      </c>
      <c r="DG165">
        <f t="shared" si="62"/>
        <v>0</v>
      </c>
      <c r="DH165">
        <f t="shared" si="63"/>
        <v>0</v>
      </c>
      <c r="DI165">
        <f t="shared" si="58"/>
        <v>0</v>
      </c>
      <c r="DJ165">
        <f t="shared" ref="DJ165:DJ175" si="71">DF165</f>
        <v>1.31</v>
      </c>
      <c r="DK165">
        <v>0</v>
      </c>
    </row>
    <row r="166" spans="1:115" x14ac:dyDescent="0.2">
      <c r="A166">
        <f>ROW(Source!A235)</f>
        <v>235</v>
      </c>
      <c r="B166">
        <v>129761636</v>
      </c>
      <c r="C166">
        <v>129763359</v>
      </c>
      <c r="D166">
        <v>37393565</v>
      </c>
      <c r="E166">
        <v>1</v>
      </c>
      <c r="F166">
        <v>1</v>
      </c>
      <c r="G166">
        <v>37345137</v>
      </c>
      <c r="H166">
        <v>3</v>
      </c>
      <c r="I166" t="s">
        <v>1198</v>
      </c>
      <c r="J166" t="s">
        <v>1199</v>
      </c>
      <c r="K166" t="s">
        <v>1200</v>
      </c>
      <c r="L166">
        <v>1348</v>
      </c>
      <c r="N166">
        <v>1009</v>
      </c>
      <c r="O166" t="s">
        <v>114</v>
      </c>
      <c r="P166" t="s">
        <v>114</v>
      </c>
      <c r="Q166">
        <v>1000</v>
      </c>
      <c r="W166">
        <v>0</v>
      </c>
      <c r="X166">
        <v>563176784</v>
      </c>
      <c r="Y166">
        <f t="shared" si="65"/>
        <v>4.13E-3</v>
      </c>
      <c r="AA166">
        <v>6521.42</v>
      </c>
      <c r="AB166">
        <v>0</v>
      </c>
      <c r="AC166">
        <v>0</v>
      </c>
      <c r="AD166">
        <v>0</v>
      </c>
      <c r="AE166">
        <v>6521.42</v>
      </c>
      <c r="AF166">
        <v>0</v>
      </c>
      <c r="AG166">
        <v>0</v>
      </c>
      <c r="AH166">
        <v>0</v>
      </c>
      <c r="AI166">
        <v>1</v>
      </c>
      <c r="AJ166">
        <v>1</v>
      </c>
      <c r="AK166">
        <v>1</v>
      </c>
      <c r="AL166">
        <v>1</v>
      </c>
      <c r="AN166">
        <v>0</v>
      </c>
      <c r="AO166">
        <v>1</v>
      </c>
      <c r="AP166">
        <v>0</v>
      </c>
      <c r="AQ166">
        <v>0</v>
      </c>
      <c r="AR166">
        <v>0</v>
      </c>
      <c r="AS166" t="s">
        <v>3</v>
      </c>
      <c r="AT166">
        <v>4.13E-3</v>
      </c>
      <c r="AU166" t="s">
        <v>3</v>
      </c>
      <c r="AV166">
        <v>0</v>
      </c>
      <c r="AW166">
        <v>2</v>
      </c>
      <c r="AX166">
        <v>129763380</v>
      </c>
      <c r="AY166">
        <v>1</v>
      </c>
      <c r="AZ166">
        <v>0</v>
      </c>
      <c r="BA166">
        <v>170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ROUND(Y166*Source!I235,9)</f>
        <v>1.56114E-4</v>
      </c>
      <c r="CY166">
        <f t="shared" si="66"/>
        <v>6521.42</v>
      </c>
      <c r="CZ166">
        <f t="shared" si="67"/>
        <v>6521.42</v>
      </c>
      <c r="DA166">
        <f t="shared" si="68"/>
        <v>1</v>
      </c>
      <c r="DB166">
        <f t="shared" si="69"/>
        <v>26.93</v>
      </c>
      <c r="DC166">
        <f t="shared" si="70"/>
        <v>0</v>
      </c>
      <c r="DD166" t="s">
        <v>3</v>
      </c>
      <c r="DE166" t="s">
        <v>3</v>
      </c>
      <c r="DF166">
        <f t="shared" si="64"/>
        <v>1.02</v>
      </c>
      <c r="DG166">
        <f t="shared" si="62"/>
        <v>0</v>
      </c>
      <c r="DH166">
        <f t="shared" si="63"/>
        <v>0</v>
      </c>
      <c r="DI166">
        <f t="shared" si="58"/>
        <v>0</v>
      </c>
      <c r="DJ166">
        <f t="shared" si="71"/>
        <v>1.02</v>
      </c>
      <c r="DK166">
        <v>0</v>
      </c>
    </row>
    <row r="167" spans="1:115" x14ac:dyDescent="0.2">
      <c r="A167">
        <f>ROW(Source!A235)</f>
        <v>235</v>
      </c>
      <c r="B167">
        <v>129761636</v>
      </c>
      <c r="C167">
        <v>129763359</v>
      </c>
      <c r="D167">
        <v>37393566</v>
      </c>
      <c r="E167">
        <v>1</v>
      </c>
      <c r="F167">
        <v>1</v>
      </c>
      <c r="G167">
        <v>37345137</v>
      </c>
      <c r="H167">
        <v>3</v>
      </c>
      <c r="I167" t="s">
        <v>1201</v>
      </c>
      <c r="J167" t="s">
        <v>1202</v>
      </c>
      <c r="K167" t="s">
        <v>1203</v>
      </c>
      <c r="L167">
        <v>1348</v>
      </c>
      <c r="N167">
        <v>1009</v>
      </c>
      <c r="O167" t="s">
        <v>114</v>
      </c>
      <c r="P167" t="s">
        <v>114</v>
      </c>
      <c r="Q167">
        <v>1000</v>
      </c>
      <c r="W167">
        <v>0</v>
      </c>
      <c r="X167">
        <v>-1841336821</v>
      </c>
      <c r="Y167">
        <f t="shared" si="65"/>
        <v>2.0999999999999999E-3</v>
      </c>
      <c r="AA167">
        <v>7875.24</v>
      </c>
      <c r="AB167">
        <v>0</v>
      </c>
      <c r="AC167">
        <v>0</v>
      </c>
      <c r="AD167">
        <v>0</v>
      </c>
      <c r="AE167">
        <v>7875.24</v>
      </c>
      <c r="AF167">
        <v>0</v>
      </c>
      <c r="AG167">
        <v>0</v>
      </c>
      <c r="AH167">
        <v>0</v>
      </c>
      <c r="AI167">
        <v>1</v>
      </c>
      <c r="AJ167">
        <v>1</v>
      </c>
      <c r="AK167">
        <v>1</v>
      </c>
      <c r="AL167">
        <v>1</v>
      </c>
      <c r="AN167">
        <v>0</v>
      </c>
      <c r="AO167">
        <v>1</v>
      </c>
      <c r="AP167">
        <v>0</v>
      </c>
      <c r="AQ167">
        <v>0</v>
      </c>
      <c r="AR167">
        <v>0</v>
      </c>
      <c r="AS167" t="s">
        <v>3</v>
      </c>
      <c r="AT167">
        <v>2.0999999999999999E-3</v>
      </c>
      <c r="AU167" t="s">
        <v>3</v>
      </c>
      <c r="AV167">
        <v>0</v>
      </c>
      <c r="AW167">
        <v>2</v>
      </c>
      <c r="AX167">
        <v>129763381</v>
      </c>
      <c r="AY167">
        <v>1</v>
      </c>
      <c r="AZ167">
        <v>0</v>
      </c>
      <c r="BA167">
        <v>171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ROUND(Y167*Source!I235,9)</f>
        <v>7.9380000000000002E-5</v>
      </c>
      <c r="CY167">
        <f t="shared" si="66"/>
        <v>7875.24</v>
      </c>
      <c r="CZ167">
        <f t="shared" si="67"/>
        <v>7875.24</v>
      </c>
      <c r="DA167">
        <f t="shared" si="68"/>
        <v>1</v>
      </c>
      <c r="DB167">
        <f t="shared" si="69"/>
        <v>16.54</v>
      </c>
      <c r="DC167">
        <f t="shared" si="70"/>
        <v>0</v>
      </c>
      <c r="DD167" t="s">
        <v>3</v>
      </c>
      <c r="DE167" t="s">
        <v>3</v>
      </c>
      <c r="DF167">
        <f t="shared" si="64"/>
        <v>0.63</v>
      </c>
      <c r="DG167">
        <f t="shared" si="62"/>
        <v>0</v>
      </c>
      <c r="DH167">
        <f t="shared" si="63"/>
        <v>0</v>
      </c>
      <c r="DI167">
        <f t="shared" si="58"/>
        <v>0</v>
      </c>
      <c r="DJ167">
        <f t="shared" si="71"/>
        <v>0.63</v>
      </c>
      <c r="DK167">
        <v>0</v>
      </c>
    </row>
    <row r="168" spans="1:115" x14ac:dyDescent="0.2">
      <c r="A168">
        <f>ROW(Source!A235)</f>
        <v>235</v>
      </c>
      <c r="B168">
        <v>129761636</v>
      </c>
      <c r="C168">
        <v>129763359</v>
      </c>
      <c r="D168">
        <v>37393578</v>
      </c>
      <c r="E168">
        <v>1</v>
      </c>
      <c r="F168">
        <v>1</v>
      </c>
      <c r="G168">
        <v>37345137</v>
      </c>
      <c r="H168">
        <v>3</v>
      </c>
      <c r="I168" t="s">
        <v>1204</v>
      </c>
      <c r="J168" t="s">
        <v>1205</v>
      </c>
      <c r="K168" t="s">
        <v>1206</v>
      </c>
      <c r="L168">
        <v>1348</v>
      </c>
      <c r="N168">
        <v>1009</v>
      </c>
      <c r="O168" t="s">
        <v>114</v>
      </c>
      <c r="P168" t="s">
        <v>114</v>
      </c>
      <c r="Q168">
        <v>1000</v>
      </c>
      <c r="W168">
        <v>0</v>
      </c>
      <c r="X168">
        <v>837574469</v>
      </c>
      <c r="Y168">
        <f t="shared" si="65"/>
        <v>1.6E-2</v>
      </c>
      <c r="AA168">
        <v>1227.3800000000001</v>
      </c>
      <c r="AB168">
        <v>0</v>
      </c>
      <c r="AC168">
        <v>0</v>
      </c>
      <c r="AD168">
        <v>0</v>
      </c>
      <c r="AE168">
        <v>1227.3800000000001</v>
      </c>
      <c r="AF168">
        <v>0</v>
      </c>
      <c r="AG168">
        <v>0</v>
      </c>
      <c r="AH168">
        <v>0</v>
      </c>
      <c r="AI168">
        <v>1</v>
      </c>
      <c r="AJ168">
        <v>1</v>
      </c>
      <c r="AK168">
        <v>1</v>
      </c>
      <c r="AL168">
        <v>1</v>
      </c>
      <c r="AN168">
        <v>0</v>
      </c>
      <c r="AO168">
        <v>1</v>
      </c>
      <c r="AP168">
        <v>0</v>
      </c>
      <c r="AQ168">
        <v>0</v>
      </c>
      <c r="AR168">
        <v>0</v>
      </c>
      <c r="AS168" t="s">
        <v>3</v>
      </c>
      <c r="AT168">
        <v>1.6E-2</v>
      </c>
      <c r="AU168" t="s">
        <v>3</v>
      </c>
      <c r="AV168">
        <v>0</v>
      </c>
      <c r="AW168">
        <v>2</v>
      </c>
      <c r="AX168">
        <v>129763382</v>
      </c>
      <c r="AY168">
        <v>1</v>
      </c>
      <c r="AZ168">
        <v>0</v>
      </c>
      <c r="BA168">
        <v>172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ROUND(Y168*Source!I235,9)</f>
        <v>6.0479999999999996E-4</v>
      </c>
      <c r="CY168">
        <f t="shared" si="66"/>
        <v>1227.3800000000001</v>
      </c>
      <c r="CZ168">
        <f t="shared" si="67"/>
        <v>1227.3800000000001</v>
      </c>
      <c r="DA168">
        <f t="shared" si="68"/>
        <v>1</v>
      </c>
      <c r="DB168">
        <f t="shared" si="69"/>
        <v>19.64</v>
      </c>
      <c r="DC168">
        <f t="shared" si="70"/>
        <v>0</v>
      </c>
      <c r="DD168" t="s">
        <v>3</v>
      </c>
      <c r="DE168" t="s">
        <v>3</v>
      </c>
      <c r="DF168">
        <f t="shared" si="64"/>
        <v>0.74</v>
      </c>
      <c r="DG168">
        <f t="shared" si="62"/>
        <v>0</v>
      </c>
      <c r="DH168">
        <f t="shared" si="63"/>
        <v>0</v>
      </c>
      <c r="DI168">
        <f t="shared" si="58"/>
        <v>0</v>
      </c>
      <c r="DJ168">
        <f t="shared" si="71"/>
        <v>0.74</v>
      </c>
      <c r="DK168">
        <v>0</v>
      </c>
    </row>
    <row r="169" spans="1:115" x14ac:dyDescent="0.2">
      <c r="A169">
        <f>ROW(Source!A235)</f>
        <v>235</v>
      </c>
      <c r="B169">
        <v>129761636</v>
      </c>
      <c r="C169">
        <v>129763359</v>
      </c>
      <c r="D169">
        <v>37393655</v>
      </c>
      <c r="E169">
        <v>1</v>
      </c>
      <c r="F169">
        <v>1</v>
      </c>
      <c r="G169">
        <v>37345137</v>
      </c>
      <c r="H169">
        <v>3</v>
      </c>
      <c r="I169" t="s">
        <v>1207</v>
      </c>
      <c r="J169" t="s">
        <v>1208</v>
      </c>
      <c r="K169" t="s">
        <v>1209</v>
      </c>
      <c r="L169">
        <v>1339</v>
      </c>
      <c r="N169">
        <v>1007</v>
      </c>
      <c r="O169" t="s">
        <v>94</v>
      </c>
      <c r="P169" t="s">
        <v>94</v>
      </c>
      <c r="Q169">
        <v>1</v>
      </c>
      <c r="W169">
        <v>0</v>
      </c>
      <c r="X169">
        <v>-1845249973</v>
      </c>
      <c r="Y169">
        <f t="shared" si="65"/>
        <v>0.08</v>
      </c>
      <c r="AA169">
        <v>1828.56</v>
      </c>
      <c r="AB169">
        <v>0</v>
      </c>
      <c r="AC169">
        <v>0</v>
      </c>
      <c r="AD169">
        <v>0</v>
      </c>
      <c r="AE169">
        <v>1828.56</v>
      </c>
      <c r="AF169">
        <v>0</v>
      </c>
      <c r="AG169">
        <v>0</v>
      </c>
      <c r="AH169">
        <v>0</v>
      </c>
      <c r="AI169">
        <v>1</v>
      </c>
      <c r="AJ169">
        <v>1</v>
      </c>
      <c r="AK169">
        <v>1</v>
      </c>
      <c r="AL169">
        <v>1</v>
      </c>
      <c r="AN169">
        <v>0</v>
      </c>
      <c r="AO169">
        <v>1</v>
      </c>
      <c r="AP169">
        <v>0</v>
      </c>
      <c r="AQ169">
        <v>0</v>
      </c>
      <c r="AR169">
        <v>0</v>
      </c>
      <c r="AS169" t="s">
        <v>3</v>
      </c>
      <c r="AT169">
        <v>0.08</v>
      </c>
      <c r="AU169" t="s">
        <v>3</v>
      </c>
      <c r="AV169">
        <v>0</v>
      </c>
      <c r="AW169">
        <v>2</v>
      </c>
      <c r="AX169">
        <v>129763383</v>
      </c>
      <c r="AY169">
        <v>1</v>
      </c>
      <c r="AZ169">
        <v>0</v>
      </c>
      <c r="BA169">
        <v>173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ROUND(Y169*Source!I235,9)</f>
        <v>3.0240000000000002E-3</v>
      </c>
      <c r="CY169">
        <f t="shared" si="66"/>
        <v>1828.56</v>
      </c>
      <c r="CZ169">
        <f t="shared" si="67"/>
        <v>1828.56</v>
      </c>
      <c r="DA169">
        <f t="shared" si="68"/>
        <v>1</v>
      </c>
      <c r="DB169">
        <f t="shared" si="69"/>
        <v>146.28</v>
      </c>
      <c r="DC169">
        <f t="shared" si="70"/>
        <v>0</v>
      </c>
      <c r="DD169" t="s">
        <v>3</v>
      </c>
      <c r="DE169" t="s">
        <v>3</v>
      </c>
      <c r="DF169">
        <f t="shared" si="64"/>
        <v>5.53</v>
      </c>
      <c r="DG169">
        <f t="shared" si="62"/>
        <v>0</v>
      </c>
      <c r="DH169">
        <f t="shared" si="63"/>
        <v>0</v>
      </c>
      <c r="DI169">
        <f t="shared" si="58"/>
        <v>0</v>
      </c>
      <c r="DJ169">
        <f t="shared" si="71"/>
        <v>5.53</v>
      </c>
      <c r="DK169">
        <v>0</v>
      </c>
    </row>
    <row r="170" spans="1:115" x14ac:dyDescent="0.2">
      <c r="A170">
        <f>ROW(Source!A235)</f>
        <v>235</v>
      </c>
      <c r="B170">
        <v>129761636</v>
      </c>
      <c r="C170">
        <v>129763359</v>
      </c>
      <c r="D170">
        <v>37394092</v>
      </c>
      <c r="E170">
        <v>1</v>
      </c>
      <c r="F170">
        <v>1</v>
      </c>
      <c r="G170">
        <v>37345137</v>
      </c>
      <c r="H170">
        <v>3</v>
      </c>
      <c r="I170" t="s">
        <v>1210</v>
      </c>
      <c r="J170" t="s">
        <v>1211</v>
      </c>
      <c r="K170" t="s">
        <v>1212</v>
      </c>
      <c r="L170">
        <v>1346</v>
      </c>
      <c r="N170">
        <v>1009</v>
      </c>
      <c r="O170" t="s">
        <v>369</v>
      </c>
      <c r="P170" t="s">
        <v>369</v>
      </c>
      <c r="Q170">
        <v>1</v>
      </c>
      <c r="W170">
        <v>0</v>
      </c>
      <c r="X170">
        <v>1241994263</v>
      </c>
      <c r="Y170">
        <f t="shared" si="65"/>
        <v>108</v>
      </c>
      <c r="AA170">
        <v>9.86</v>
      </c>
      <c r="AB170">
        <v>0</v>
      </c>
      <c r="AC170">
        <v>0</v>
      </c>
      <c r="AD170">
        <v>0</v>
      </c>
      <c r="AE170">
        <v>9.86</v>
      </c>
      <c r="AF170">
        <v>0</v>
      </c>
      <c r="AG170">
        <v>0</v>
      </c>
      <c r="AH170">
        <v>0</v>
      </c>
      <c r="AI170">
        <v>1</v>
      </c>
      <c r="AJ170">
        <v>1</v>
      </c>
      <c r="AK170">
        <v>1</v>
      </c>
      <c r="AL170">
        <v>1</v>
      </c>
      <c r="AN170">
        <v>0</v>
      </c>
      <c r="AO170">
        <v>1</v>
      </c>
      <c r="AP170">
        <v>0</v>
      </c>
      <c r="AQ170">
        <v>0</v>
      </c>
      <c r="AR170">
        <v>0</v>
      </c>
      <c r="AS170" t="s">
        <v>3</v>
      </c>
      <c r="AT170">
        <v>108</v>
      </c>
      <c r="AU170" t="s">
        <v>3</v>
      </c>
      <c r="AV170">
        <v>0</v>
      </c>
      <c r="AW170">
        <v>2</v>
      </c>
      <c r="AX170">
        <v>129763384</v>
      </c>
      <c r="AY170">
        <v>1</v>
      </c>
      <c r="AZ170">
        <v>0</v>
      </c>
      <c r="BA170">
        <v>174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ROUND(Y170*Source!I235,9)</f>
        <v>4.0823999999999998</v>
      </c>
      <c r="CY170">
        <f t="shared" si="66"/>
        <v>9.86</v>
      </c>
      <c r="CZ170">
        <f t="shared" si="67"/>
        <v>9.86</v>
      </c>
      <c r="DA170">
        <f t="shared" si="68"/>
        <v>1</v>
      </c>
      <c r="DB170">
        <f t="shared" si="69"/>
        <v>1064.8800000000001</v>
      </c>
      <c r="DC170">
        <f t="shared" si="70"/>
        <v>0</v>
      </c>
      <c r="DD170" t="s">
        <v>3</v>
      </c>
      <c r="DE170" t="s">
        <v>3</v>
      </c>
      <c r="DF170">
        <f t="shared" si="64"/>
        <v>40.25</v>
      </c>
      <c r="DG170">
        <f t="shared" si="62"/>
        <v>0</v>
      </c>
      <c r="DH170">
        <f t="shared" si="63"/>
        <v>0</v>
      </c>
      <c r="DI170">
        <f t="shared" si="58"/>
        <v>0</v>
      </c>
      <c r="DJ170">
        <f t="shared" si="71"/>
        <v>40.25</v>
      </c>
      <c r="DK170">
        <v>0</v>
      </c>
    </row>
    <row r="171" spans="1:115" x14ac:dyDescent="0.2">
      <c r="A171">
        <f>ROW(Source!A235)</f>
        <v>235</v>
      </c>
      <c r="B171">
        <v>129761636</v>
      </c>
      <c r="C171">
        <v>129763359</v>
      </c>
      <c r="D171">
        <v>37394110</v>
      </c>
      <c r="E171">
        <v>1</v>
      </c>
      <c r="F171">
        <v>1</v>
      </c>
      <c r="G171">
        <v>37345137</v>
      </c>
      <c r="H171">
        <v>3</v>
      </c>
      <c r="I171" t="s">
        <v>1213</v>
      </c>
      <c r="J171" t="s">
        <v>1214</v>
      </c>
      <c r="K171" t="s">
        <v>1215</v>
      </c>
      <c r="L171">
        <v>1327</v>
      </c>
      <c r="N171">
        <v>1005</v>
      </c>
      <c r="O171" t="s">
        <v>258</v>
      </c>
      <c r="P171" t="s">
        <v>258</v>
      </c>
      <c r="Q171">
        <v>1</v>
      </c>
      <c r="W171">
        <v>0</v>
      </c>
      <c r="X171">
        <v>-1047133190</v>
      </c>
      <c r="Y171">
        <f t="shared" si="65"/>
        <v>89</v>
      </c>
      <c r="AA171">
        <v>5.51</v>
      </c>
      <c r="AB171">
        <v>0</v>
      </c>
      <c r="AC171">
        <v>0</v>
      </c>
      <c r="AD171">
        <v>0</v>
      </c>
      <c r="AE171">
        <v>5.51</v>
      </c>
      <c r="AF171">
        <v>0</v>
      </c>
      <c r="AG171">
        <v>0</v>
      </c>
      <c r="AH171">
        <v>0</v>
      </c>
      <c r="AI171">
        <v>1</v>
      </c>
      <c r="AJ171">
        <v>1</v>
      </c>
      <c r="AK171">
        <v>1</v>
      </c>
      <c r="AL171">
        <v>1</v>
      </c>
      <c r="AN171">
        <v>0</v>
      </c>
      <c r="AO171">
        <v>1</v>
      </c>
      <c r="AP171">
        <v>0</v>
      </c>
      <c r="AQ171">
        <v>0</v>
      </c>
      <c r="AR171">
        <v>0</v>
      </c>
      <c r="AS171" t="s">
        <v>3</v>
      </c>
      <c r="AT171">
        <v>89</v>
      </c>
      <c r="AU171" t="s">
        <v>3</v>
      </c>
      <c r="AV171">
        <v>0</v>
      </c>
      <c r="AW171">
        <v>2</v>
      </c>
      <c r="AX171">
        <v>129763385</v>
      </c>
      <c r="AY171">
        <v>1</v>
      </c>
      <c r="AZ171">
        <v>0</v>
      </c>
      <c r="BA171">
        <v>175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ROUND(Y171*Source!I235,9)</f>
        <v>3.3641999999999999</v>
      </c>
      <c r="CY171">
        <f t="shared" si="66"/>
        <v>5.51</v>
      </c>
      <c r="CZ171">
        <f t="shared" si="67"/>
        <v>5.51</v>
      </c>
      <c r="DA171">
        <f t="shared" si="68"/>
        <v>1</v>
      </c>
      <c r="DB171">
        <f t="shared" si="69"/>
        <v>490.39</v>
      </c>
      <c r="DC171">
        <f t="shared" si="70"/>
        <v>0</v>
      </c>
      <c r="DD171" t="s">
        <v>3</v>
      </c>
      <c r="DE171" t="s">
        <v>3</v>
      </c>
      <c r="DF171">
        <f t="shared" si="64"/>
        <v>18.54</v>
      </c>
      <c r="DG171">
        <f t="shared" si="62"/>
        <v>0</v>
      </c>
      <c r="DH171">
        <f t="shared" si="63"/>
        <v>0</v>
      </c>
      <c r="DI171">
        <f t="shared" si="58"/>
        <v>0</v>
      </c>
      <c r="DJ171">
        <f t="shared" si="71"/>
        <v>18.54</v>
      </c>
      <c r="DK171">
        <v>0</v>
      </c>
    </row>
    <row r="172" spans="1:115" x14ac:dyDescent="0.2">
      <c r="A172">
        <f>ROW(Source!A235)</f>
        <v>235</v>
      </c>
      <c r="B172">
        <v>129761636</v>
      </c>
      <c r="C172">
        <v>129763359</v>
      </c>
      <c r="D172">
        <v>37412072</v>
      </c>
      <c r="E172">
        <v>1</v>
      </c>
      <c r="F172">
        <v>1</v>
      </c>
      <c r="G172">
        <v>37345137</v>
      </c>
      <c r="H172">
        <v>3</v>
      </c>
      <c r="I172" t="s">
        <v>1216</v>
      </c>
      <c r="J172" t="s">
        <v>1217</v>
      </c>
      <c r="K172" t="s">
        <v>1218</v>
      </c>
      <c r="L172">
        <v>1339</v>
      </c>
      <c r="N172">
        <v>1007</v>
      </c>
      <c r="O172" t="s">
        <v>94</v>
      </c>
      <c r="P172" t="s">
        <v>94</v>
      </c>
      <c r="Q172">
        <v>1</v>
      </c>
      <c r="W172">
        <v>0</v>
      </c>
      <c r="X172">
        <v>-668171035</v>
      </c>
      <c r="Y172">
        <f t="shared" si="65"/>
        <v>0.105</v>
      </c>
      <c r="AA172">
        <v>540.41999999999996</v>
      </c>
      <c r="AB172">
        <v>0</v>
      </c>
      <c r="AC172">
        <v>0</v>
      </c>
      <c r="AD172">
        <v>0</v>
      </c>
      <c r="AE172">
        <v>540.41999999999996</v>
      </c>
      <c r="AF172">
        <v>0</v>
      </c>
      <c r="AG172">
        <v>0</v>
      </c>
      <c r="AH172">
        <v>0</v>
      </c>
      <c r="AI172">
        <v>1</v>
      </c>
      <c r="AJ172">
        <v>1</v>
      </c>
      <c r="AK172">
        <v>1</v>
      </c>
      <c r="AL172">
        <v>1</v>
      </c>
      <c r="AN172">
        <v>0</v>
      </c>
      <c r="AO172">
        <v>1</v>
      </c>
      <c r="AP172">
        <v>0</v>
      </c>
      <c r="AQ172">
        <v>0</v>
      </c>
      <c r="AR172">
        <v>0</v>
      </c>
      <c r="AS172" t="s">
        <v>3</v>
      </c>
      <c r="AT172">
        <v>0.105</v>
      </c>
      <c r="AU172" t="s">
        <v>3</v>
      </c>
      <c r="AV172">
        <v>0</v>
      </c>
      <c r="AW172">
        <v>2</v>
      </c>
      <c r="AX172">
        <v>129763386</v>
      </c>
      <c r="AY172">
        <v>1</v>
      </c>
      <c r="AZ172">
        <v>0</v>
      </c>
      <c r="BA172">
        <v>176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ROUND(Y172*Source!I235,9)</f>
        <v>3.9690000000000003E-3</v>
      </c>
      <c r="CY172">
        <f t="shared" si="66"/>
        <v>540.41999999999996</v>
      </c>
      <c r="CZ172">
        <f t="shared" si="67"/>
        <v>540.41999999999996</v>
      </c>
      <c r="DA172">
        <f t="shared" si="68"/>
        <v>1</v>
      </c>
      <c r="DB172">
        <f t="shared" si="69"/>
        <v>56.74</v>
      </c>
      <c r="DC172">
        <f t="shared" si="70"/>
        <v>0</v>
      </c>
      <c r="DD172" t="s">
        <v>3</v>
      </c>
      <c r="DE172" t="s">
        <v>3</v>
      </c>
      <c r="DF172">
        <f t="shared" si="64"/>
        <v>2.14</v>
      </c>
      <c r="DG172">
        <f t="shared" si="62"/>
        <v>0</v>
      </c>
      <c r="DH172">
        <f t="shared" si="63"/>
        <v>0</v>
      </c>
      <c r="DI172">
        <f t="shared" si="58"/>
        <v>0</v>
      </c>
      <c r="DJ172">
        <f t="shared" si="71"/>
        <v>2.14</v>
      </c>
      <c r="DK172">
        <v>0</v>
      </c>
    </row>
    <row r="173" spans="1:115" x14ac:dyDescent="0.2">
      <c r="A173">
        <f>ROW(Source!A235)</f>
        <v>235</v>
      </c>
      <c r="B173">
        <v>129761636</v>
      </c>
      <c r="C173">
        <v>129763359</v>
      </c>
      <c r="D173">
        <v>37415873</v>
      </c>
      <c r="E173">
        <v>1</v>
      </c>
      <c r="F173">
        <v>1</v>
      </c>
      <c r="G173">
        <v>37345137</v>
      </c>
      <c r="H173">
        <v>3</v>
      </c>
      <c r="I173" t="s">
        <v>1219</v>
      </c>
      <c r="J173" t="s">
        <v>1220</v>
      </c>
      <c r="K173" t="s">
        <v>1221</v>
      </c>
      <c r="L173">
        <v>1346</v>
      </c>
      <c r="N173">
        <v>1009</v>
      </c>
      <c r="O173" t="s">
        <v>369</v>
      </c>
      <c r="P173" t="s">
        <v>369</v>
      </c>
      <c r="Q173">
        <v>1</v>
      </c>
      <c r="W173">
        <v>0</v>
      </c>
      <c r="X173">
        <v>-361252770</v>
      </c>
      <c r="Y173">
        <f t="shared" si="65"/>
        <v>37.5</v>
      </c>
      <c r="AA173">
        <v>4.37</v>
      </c>
      <c r="AB173">
        <v>0</v>
      </c>
      <c r="AC173">
        <v>0</v>
      </c>
      <c r="AD173">
        <v>0</v>
      </c>
      <c r="AE173">
        <v>4.37</v>
      </c>
      <c r="AF173">
        <v>0</v>
      </c>
      <c r="AG173">
        <v>0</v>
      </c>
      <c r="AH173">
        <v>0</v>
      </c>
      <c r="AI173">
        <v>1</v>
      </c>
      <c r="AJ173">
        <v>1</v>
      </c>
      <c r="AK173">
        <v>1</v>
      </c>
      <c r="AL173">
        <v>1</v>
      </c>
      <c r="AN173">
        <v>0</v>
      </c>
      <c r="AO173">
        <v>1</v>
      </c>
      <c r="AP173">
        <v>0</v>
      </c>
      <c r="AQ173">
        <v>0</v>
      </c>
      <c r="AR173">
        <v>0</v>
      </c>
      <c r="AS173" t="s">
        <v>3</v>
      </c>
      <c r="AT173">
        <v>37.5</v>
      </c>
      <c r="AU173" t="s">
        <v>3</v>
      </c>
      <c r="AV173">
        <v>0</v>
      </c>
      <c r="AW173">
        <v>2</v>
      </c>
      <c r="AX173">
        <v>129763387</v>
      </c>
      <c r="AY173">
        <v>1</v>
      </c>
      <c r="AZ173">
        <v>0</v>
      </c>
      <c r="BA173">
        <v>177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ROUND(Y173*Source!I235,9)</f>
        <v>1.4175</v>
      </c>
      <c r="CY173">
        <f t="shared" si="66"/>
        <v>4.37</v>
      </c>
      <c r="CZ173">
        <f t="shared" si="67"/>
        <v>4.37</v>
      </c>
      <c r="DA173">
        <f t="shared" si="68"/>
        <v>1</v>
      </c>
      <c r="DB173">
        <f t="shared" si="69"/>
        <v>163.88</v>
      </c>
      <c r="DC173">
        <f t="shared" si="70"/>
        <v>0</v>
      </c>
      <c r="DD173" t="s">
        <v>3</v>
      </c>
      <c r="DE173" t="s">
        <v>3</v>
      </c>
      <c r="DF173">
        <f t="shared" si="64"/>
        <v>6.19</v>
      </c>
      <c r="DG173">
        <f t="shared" si="62"/>
        <v>0</v>
      </c>
      <c r="DH173">
        <f t="shared" si="63"/>
        <v>0</v>
      </c>
      <c r="DI173">
        <f t="shared" si="58"/>
        <v>0</v>
      </c>
      <c r="DJ173">
        <f t="shared" si="71"/>
        <v>6.19</v>
      </c>
      <c r="DK173">
        <v>0</v>
      </c>
    </row>
    <row r="174" spans="1:115" x14ac:dyDescent="0.2">
      <c r="A174">
        <f>ROW(Source!A235)</f>
        <v>235</v>
      </c>
      <c r="B174">
        <v>129761636</v>
      </c>
      <c r="C174">
        <v>129763359</v>
      </c>
      <c r="D174">
        <v>0</v>
      </c>
      <c r="E174">
        <v>0</v>
      </c>
      <c r="F174">
        <v>1</v>
      </c>
      <c r="G174">
        <v>37345137</v>
      </c>
      <c r="H174">
        <v>3</v>
      </c>
      <c r="I174" t="s">
        <v>248</v>
      </c>
      <c r="J174" t="s">
        <v>3</v>
      </c>
      <c r="K174" t="s">
        <v>249</v>
      </c>
      <c r="L174">
        <v>1354</v>
      </c>
      <c r="N174">
        <v>1010</v>
      </c>
      <c r="O174" t="s">
        <v>250</v>
      </c>
      <c r="P174" t="s">
        <v>250</v>
      </c>
      <c r="Q174">
        <v>1</v>
      </c>
      <c r="W174">
        <v>0</v>
      </c>
      <c r="X174">
        <v>342305419</v>
      </c>
      <c r="Y174">
        <f t="shared" si="65"/>
        <v>26.455026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1</v>
      </c>
      <c r="AJ174">
        <v>1</v>
      </c>
      <c r="AK174">
        <v>1</v>
      </c>
      <c r="AL174">
        <v>1</v>
      </c>
      <c r="AN174">
        <v>0</v>
      </c>
      <c r="AO174">
        <v>0</v>
      </c>
      <c r="AP174">
        <v>1</v>
      </c>
      <c r="AQ174">
        <v>0</v>
      </c>
      <c r="AR174">
        <v>0</v>
      </c>
      <c r="AS174" t="s">
        <v>3</v>
      </c>
      <c r="AT174">
        <v>26.455026</v>
      </c>
      <c r="AU174" t="s">
        <v>3</v>
      </c>
      <c r="AV174">
        <v>0</v>
      </c>
      <c r="AW174">
        <v>1</v>
      </c>
      <c r="AX174">
        <v>-1</v>
      </c>
      <c r="AY174">
        <v>0</v>
      </c>
      <c r="AZ174">
        <v>0</v>
      </c>
      <c r="BA174" t="s">
        <v>3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ROUND(Y174*Source!I235,9)</f>
        <v>0.99999998300000004</v>
      </c>
      <c r="CY174">
        <f t="shared" si="66"/>
        <v>0</v>
      </c>
      <c r="CZ174">
        <f t="shared" si="67"/>
        <v>0</v>
      </c>
      <c r="DA174">
        <f t="shared" si="68"/>
        <v>1</v>
      </c>
      <c r="DB174">
        <f t="shared" si="69"/>
        <v>0</v>
      </c>
      <c r="DC174">
        <f t="shared" si="70"/>
        <v>0</v>
      </c>
      <c r="DD174" t="s">
        <v>3</v>
      </c>
      <c r="DE174" t="s">
        <v>3</v>
      </c>
      <c r="DF174">
        <f t="shared" si="64"/>
        <v>0</v>
      </c>
      <c r="DG174">
        <f t="shared" si="62"/>
        <v>0</v>
      </c>
      <c r="DH174">
        <f t="shared" si="63"/>
        <v>0</v>
      </c>
      <c r="DI174">
        <f t="shared" si="58"/>
        <v>0</v>
      </c>
      <c r="DJ174">
        <f t="shared" si="71"/>
        <v>0</v>
      </c>
      <c r="DK174">
        <v>0</v>
      </c>
    </row>
    <row r="175" spans="1:115" x14ac:dyDescent="0.2">
      <c r="A175">
        <f>ROW(Source!A235)</f>
        <v>235</v>
      </c>
      <c r="B175">
        <v>129761636</v>
      </c>
      <c r="C175">
        <v>129763359</v>
      </c>
      <c r="D175">
        <v>0</v>
      </c>
      <c r="E175">
        <v>37345137</v>
      </c>
      <c r="F175">
        <v>1</v>
      </c>
      <c r="G175">
        <v>37345137</v>
      </c>
      <c r="H175">
        <v>3</v>
      </c>
      <c r="I175" t="s">
        <v>248</v>
      </c>
      <c r="J175" t="s">
        <v>3</v>
      </c>
      <c r="K175" t="s">
        <v>254</v>
      </c>
      <c r="L175">
        <v>1354</v>
      </c>
      <c r="N175">
        <v>1010</v>
      </c>
      <c r="O175" t="s">
        <v>250</v>
      </c>
      <c r="P175" t="s">
        <v>250</v>
      </c>
      <c r="Q175">
        <v>1</v>
      </c>
      <c r="W175">
        <v>0</v>
      </c>
      <c r="X175">
        <v>-1513666227</v>
      </c>
      <c r="Y175">
        <f t="shared" si="65"/>
        <v>26.455026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1</v>
      </c>
      <c r="AJ175">
        <v>1</v>
      </c>
      <c r="AK175">
        <v>1</v>
      </c>
      <c r="AL175">
        <v>1</v>
      </c>
      <c r="AN175">
        <v>0</v>
      </c>
      <c r="AO175">
        <v>0</v>
      </c>
      <c r="AP175">
        <v>0</v>
      </c>
      <c r="AQ175">
        <v>0</v>
      </c>
      <c r="AR175">
        <v>0</v>
      </c>
      <c r="AS175" t="s">
        <v>3</v>
      </c>
      <c r="AT175">
        <v>26.455026</v>
      </c>
      <c r="AU175" t="s">
        <v>3</v>
      </c>
      <c r="AV175">
        <v>0</v>
      </c>
      <c r="AW175">
        <v>1</v>
      </c>
      <c r="AX175">
        <v>-1</v>
      </c>
      <c r="AY175">
        <v>0</v>
      </c>
      <c r="AZ175">
        <v>0</v>
      </c>
      <c r="BA175" t="s">
        <v>3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ROUND(Y175*Source!I235,9)</f>
        <v>0.99999998300000004</v>
      </c>
      <c r="CY175">
        <f t="shared" si="66"/>
        <v>0</v>
      </c>
      <c r="CZ175">
        <f t="shared" si="67"/>
        <v>0</v>
      </c>
      <c r="DA175">
        <f t="shared" si="68"/>
        <v>1</v>
      </c>
      <c r="DB175">
        <f t="shared" si="69"/>
        <v>0</v>
      </c>
      <c r="DC175">
        <f t="shared" si="70"/>
        <v>0</v>
      </c>
      <c r="DD175" t="s">
        <v>3</v>
      </c>
      <c r="DE175" t="s">
        <v>3</v>
      </c>
      <c r="DF175">
        <f t="shared" si="64"/>
        <v>0</v>
      </c>
      <c r="DG175">
        <f t="shared" si="62"/>
        <v>0</v>
      </c>
      <c r="DH175">
        <f t="shared" si="63"/>
        <v>0</v>
      </c>
      <c r="DI175">
        <f t="shared" si="58"/>
        <v>0</v>
      </c>
      <c r="DJ175">
        <f t="shared" si="71"/>
        <v>0</v>
      </c>
      <c r="DK175">
        <v>0</v>
      </c>
    </row>
    <row r="176" spans="1:115" x14ac:dyDescent="0.2">
      <c r="A176">
        <f>ROW(Source!A236)</f>
        <v>236</v>
      </c>
      <c r="B176">
        <v>129761633</v>
      </c>
      <c r="C176">
        <v>129763359</v>
      </c>
      <c r="D176">
        <v>37345142</v>
      </c>
      <c r="E176">
        <v>37345137</v>
      </c>
      <c r="F176">
        <v>1</v>
      </c>
      <c r="G176">
        <v>37345137</v>
      </c>
      <c r="H176">
        <v>1</v>
      </c>
      <c r="I176" t="s">
        <v>1096</v>
      </c>
      <c r="J176" t="s">
        <v>3</v>
      </c>
      <c r="K176" t="s">
        <v>1097</v>
      </c>
      <c r="L176">
        <v>1191</v>
      </c>
      <c r="N176">
        <v>1013</v>
      </c>
      <c r="O176" t="s">
        <v>1098</v>
      </c>
      <c r="P176" t="s">
        <v>1098</v>
      </c>
      <c r="Q176">
        <v>1</v>
      </c>
      <c r="W176">
        <v>0</v>
      </c>
      <c r="X176">
        <v>476480486</v>
      </c>
      <c r="Y176">
        <f>(AT176*1.15)</f>
        <v>103.38500000000001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1</v>
      </c>
      <c r="AJ176">
        <v>1</v>
      </c>
      <c r="AK176">
        <v>1</v>
      </c>
      <c r="AL176">
        <v>1</v>
      </c>
      <c r="AN176">
        <v>0</v>
      </c>
      <c r="AO176">
        <v>1</v>
      </c>
      <c r="AP176">
        <v>1</v>
      </c>
      <c r="AQ176">
        <v>0</v>
      </c>
      <c r="AR176">
        <v>0</v>
      </c>
      <c r="AS176" t="s">
        <v>3</v>
      </c>
      <c r="AT176">
        <v>89.9</v>
      </c>
      <c r="AU176" t="s">
        <v>87</v>
      </c>
      <c r="AV176">
        <v>1</v>
      </c>
      <c r="AW176">
        <v>2</v>
      </c>
      <c r="AX176">
        <v>129763375</v>
      </c>
      <c r="AY176">
        <v>1</v>
      </c>
      <c r="AZ176">
        <v>0</v>
      </c>
      <c r="BA176">
        <v>180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ROUND(Y176*Source!I236,9)</f>
        <v>3.907953</v>
      </c>
      <c r="CY176">
        <f>AD176</f>
        <v>0</v>
      </c>
      <c r="CZ176">
        <f>AH176</f>
        <v>0</v>
      </c>
      <c r="DA176">
        <f>AL176</f>
        <v>1</v>
      </c>
      <c r="DB176">
        <f>ROUND((ROUND(AT176*CZ176,2)*1.15),6)</f>
        <v>0</v>
      </c>
      <c r="DC176">
        <f>ROUND((ROUND(AT176*AG176,2)*1.15),6)</f>
        <v>0</v>
      </c>
      <c r="DD176" t="s">
        <v>3</v>
      </c>
      <c r="DE176" t="s">
        <v>3</v>
      </c>
      <c r="DF176">
        <f t="shared" si="64"/>
        <v>0</v>
      </c>
      <c r="DG176">
        <f t="shared" si="62"/>
        <v>0</v>
      </c>
      <c r="DH176">
        <f t="shared" si="63"/>
        <v>0</v>
      </c>
      <c r="DI176">
        <f t="shared" si="58"/>
        <v>0</v>
      </c>
      <c r="DJ176">
        <f>DI176</f>
        <v>0</v>
      </c>
      <c r="DK176">
        <v>0</v>
      </c>
    </row>
    <row r="177" spans="1:115" x14ac:dyDescent="0.2">
      <c r="A177">
        <f>ROW(Source!A236)</f>
        <v>236</v>
      </c>
      <c r="B177">
        <v>129761633</v>
      </c>
      <c r="C177">
        <v>129763359</v>
      </c>
      <c r="D177">
        <v>37418445</v>
      </c>
      <c r="E177">
        <v>1</v>
      </c>
      <c r="F177">
        <v>1</v>
      </c>
      <c r="G177">
        <v>37345137</v>
      </c>
      <c r="H177">
        <v>2</v>
      </c>
      <c r="I177" t="s">
        <v>1189</v>
      </c>
      <c r="J177" t="s">
        <v>1190</v>
      </c>
      <c r="K177" t="s">
        <v>1191</v>
      </c>
      <c r="L177">
        <v>1367</v>
      </c>
      <c r="N177">
        <v>1011</v>
      </c>
      <c r="O177" t="s">
        <v>1102</v>
      </c>
      <c r="P177" t="s">
        <v>1102</v>
      </c>
      <c r="Q177">
        <v>1</v>
      </c>
      <c r="W177">
        <v>0</v>
      </c>
      <c r="X177">
        <v>-628430174</v>
      </c>
      <c r="Y177">
        <f>(AT177*1.25)</f>
        <v>2.2875000000000001</v>
      </c>
      <c r="AA177">
        <v>0</v>
      </c>
      <c r="AB177">
        <v>918.4</v>
      </c>
      <c r="AC177">
        <v>436.46</v>
      </c>
      <c r="AD177">
        <v>0</v>
      </c>
      <c r="AE177">
        <v>0</v>
      </c>
      <c r="AF177">
        <v>76.81</v>
      </c>
      <c r="AG177">
        <v>14.36</v>
      </c>
      <c r="AH177">
        <v>0</v>
      </c>
      <c r="AI177">
        <v>1</v>
      </c>
      <c r="AJ177">
        <v>11.42</v>
      </c>
      <c r="AK177">
        <v>29.03</v>
      </c>
      <c r="AL177">
        <v>1</v>
      </c>
      <c r="AN177">
        <v>0</v>
      </c>
      <c r="AO177">
        <v>1</v>
      </c>
      <c r="AP177">
        <v>1</v>
      </c>
      <c r="AQ177">
        <v>0</v>
      </c>
      <c r="AR177">
        <v>0</v>
      </c>
      <c r="AS177" t="s">
        <v>3</v>
      </c>
      <c r="AT177">
        <v>1.83</v>
      </c>
      <c r="AU177" t="s">
        <v>86</v>
      </c>
      <c r="AV177">
        <v>0</v>
      </c>
      <c r="AW177">
        <v>2</v>
      </c>
      <c r="AX177">
        <v>129763376</v>
      </c>
      <c r="AY177">
        <v>1</v>
      </c>
      <c r="AZ177">
        <v>0</v>
      </c>
      <c r="BA177">
        <v>181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ROUND(Y177*Source!I236,9)</f>
        <v>8.6467500000000003E-2</v>
      </c>
      <c r="CY177">
        <f>AB177</f>
        <v>918.4</v>
      </c>
      <c r="CZ177">
        <f>AF177</f>
        <v>76.81</v>
      </c>
      <c r="DA177">
        <f>AJ177</f>
        <v>11.42</v>
      </c>
      <c r="DB177">
        <f>ROUND((ROUND(AT177*CZ177,2)*1.25),6)</f>
        <v>175.7</v>
      </c>
      <c r="DC177">
        <f>ROUND((ROUND(AT177*AG177,2)*1.25),6)</f>
        <v>32.85</v>
      </c>
      <c r="DD177" t="s">
        <v>3</v>
      </c>
      <c r="DE177" t="s">
        <v>3</v>
      </c>
      <c r="DF177">
        <f t="shared" si="64"/>
        <v>0</v>
      </c>
      <c r="DG177">
        <f>ROUND(ROUND(AF177*CX177,2)*AJ177,2)</f>
        <v>75.83</v>
      </c>
      <c r="DH177">
        <f>ROUND(ROUND(AG177*CX177,2)*AK177,2)</f>
        <v>36</v>
      </c>
      <c r="DI177">
        <f t="shared" si="58"/>
        <v>0</v>
      </c>
      <c r="DJ177">
        <f>DG177</f>
        <v>75.83</v>
      </c>
      <c r="DK177">
        <v>0</v>
      </c>
    </row>
    <row r="178" spans="1:115" x14ac:dyDescent="0.2">
      <c r="A178">
        <f>ROW(Source!A236)</f>
        <v>236</v>
      </c>
      <c r="B178">
        <v>129761633</v>
      </c>
      <c r="C178">
        <v>129763359</v>
      </c>
      <c r="D178">
        <v>37417692</v>
      </c>
      <c r="E178">
        <v>1</v>
      </c>
      <c r="F178">
        <v>1</v>
      </c>
      <c r="G178">
        <v>37345137</v>
      </c>
      <c r="H178">
        <v>2</v>
      </c>
      <c r="I178" t="s">
        <v>1127</v>
      </c>
      <c r="J178" t="s">
        <v>1128</v>
      </c>
      <c r="K178" t="s">
        <v>1129</v>
      </c>
      <c r="L178">
        <v>1367</v>
      </c>
      <c r="N178">
        <v>1011</v>
      </c>
      <c r="O178" t="s">
        <v>1102</v>
      </c>
      <c r="P178" t="s">
        <v>1102</v>
      </c>
      <c r="Q178">
        <v>1</v>
      </c>
      <c r="W178">
        <v>0</v>
      </c>
      <c r="X178">
        <v>-266174272</v>
      </c>
      <c r="Y178">
        <f>(AT178*1.25)</f>
        <v>1.9</v>
      </c>
      <c r="AA178">
        <v>0</v>
      </c>
      <c r="AB178">
        <v>2059.0100000000002</v>
      </c>
      <c r="AC178">
        <v>551.66</v>
      </c>
      <c r="AD178">
        <v>0</v>
      </c>
      <c r="AE178">
        <v>0</v>
      </c>
      <c r="AF178">
        <v>190.93</v>
      </c>
      <c r="AG178">
        <v>18.149999999999999</v>
      </c>
      <c r="AH178">
        <v>0</v>
      </c>
      <c r="AI178">
        <v>1</v>
      </c>
      <c r="AJ178">
        <v>10.3</v>
      </c>
      <c r="AK178">
        <v>29.03</v>
      </c>
      <c r="AL178">
        <v>1</v>
      </c>
      <c r="AN178">
        <v>0</v>
      </c>
      <c r="AO178">
        <v>1</v>
      </c>
      <c r="AP178">
        <v>1</v>
      </c>
      <c r="AQ178">
        <v>0</v>
      </c>
      <c r="AR178">
        <v>0</v>
      </c>
      <c r="AS178" t="s">
        <v>3</v>
      </c>
      <c r="AT178">
        <v>1.52</v>
      </c>
      <c r="AU178" t="s">
        <v>86</v>
      </c>
      <c r="AV178">
        <v>0</v>
      </c>
      <c r="AW178">
        <v>2</v>
      </c>
      <c r="AX178">
        <v>129763377</v>
      </c>
      <c r="AY178">
        <v>1</v>
      </c>
      <c r="AZ178">
        <v>0</v>
      </c>
      <c r="BA178">
        <v>182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ROUND(Y178*Source!I236,9)</f>
        <v>7.1819999999999995E-2</v>
      </c>
      <c r="CY178">
        <f>AB178</f>
        <v>2059.0100000000002</v>
      </c>
      <c r="CZ178">
        <f>AF178</f>
        <v>190.93</v>
      </c>
      <c r="DA178">
        <f>AJ178</f>
        <v>10.3</v>
      </c>
      <c r="DB178">
        <f>ROUND((ROUND(AT178*CZ178,2)*1.25),6)</f>
        <v>362.76249999999999</v>
      </c>
      <c r="DC178">
        <f>ROUND((ROUND(AT178*AG178,2)*1.25),6)</f>
        <v>34.487499999999997</v>
      </c>
      <c r="DD178" t="s">
        <v>3</v>
      </c>
      <c r="DE178" t="s">
        <v>3</v>
      </c>
      <c r="DF178">
        <f t="shared" si="64"/>
        <v>0</v>
      </c>
      <c r="DG178">
        <f>ROUND(ROUND(AF178*CX178,2)*AJ178,2)</f>
        <v>141.21</v>
      </c>
      <c r="DH178">
        <f>ROUND(ROUND(AG178*CX178,2)*AK178,2)</f>
        <v>37.74</v>
      </c>
      <c r="DI178">
        <f t="shared" si="58"/>
        <v>0</v>
      </c>
      <c r="DJ178">
        <f>DG178</f>
        <v>141.21</v>
      </c>
      <c r="DK178">
        <v>0</v>
      </c>
    </row>
    <row r="179" spans="1:115" x14ac:dyDescent="0.2">
      <c r="A179">
        <f>ROW(Source!A236)</f>
        <v>236</v>
      </c>
      <c r="B179">
        <v>129761633</v>
      </c>
      <c r="C179">
        <v>129763359</v>
      </c>
      <c r="D179">
        <v>37417908</v>
      </c>
      <c r="E179">
        <v>1</v>
      </c>
      <c r="F179">
        <v>1</v>
      </c>
      <c r="G179">
        <v>37345137</v>
      </c>
      <c r="H179">
        <v>2</v>
      </c>
      <c r="I179" t="s">
        <v>1192</v>
      </c>
      <c r="J179" t="s">
        <v>1193</v>
      </c>
      <c r="K179" t="s">
        <v>1194</v>
      </c>
      <c r="L179">
        <v>1367</v>
      </c>
      <c r="N179">
        <v>1011</v>
      </c>
      <c r="O179" t="s">
        <v>1102</v>
      </c>
      <c r="P179" t="s">
        <v>1102</v>
      </c>
      <c r="Q179">
        <v>1</v>
      </c>
      <c r="W179">
        <v>0</v>
      </c>
      <c r="X179">
        <v>-1649254319</v>
      </c>
      <c r="Y179">
        <f>(AT179*1.25)</f>
        <v>2.2374999999999998</v>
      </c>
      <c r="AA179">
        <v>0</v>
      </c>
      <c r="AB179">
        <v>136.88999999999999</v>
      </c>
      <c r="AC179">
        <v>0.61</v>
      </c>
      <c r="AD179">
        <v>0</v>
      </c>
      <c r="AE179">
        <v>0</v>
      </c>
      <c r="AF179">
        <v>13.14</v>
      </c>
      <c r="AG179">
        <v>0.02</v>
      </c>
      <c r="AH179">
        <v>0</v>
      </c>
      <c r="AI179">
        <v>1</v>
      </c>
      <c r="AJ179">
        <v>9.9499999999999993</v>
      </c>
      <c r="AK179">
        <v>29.03</v>
      </c>
      <c r="AL179">
        <v>1</v>
      </c>
      <c r="AN179">
        <v>0</v>
      </c>
      <c r="AO179">
        <v>1</v>
      </c>
      <c r="AP179">
        <v>1</v>
      </c>
      <c r="AQ179">
        <v>0</v>
      </c>
      <c r="AR179">
        <v>0</v>
      </c>
      <c r="AS179" t="s">
        <v>3</v>
      </c>
      <c r="AT179">
        <v>1.79</v>
      </c>
      <c r="AU179" t="s">
        <v>86</v>
      </c>
      <c r="AV179">
        <v>0</v>
      </c>
      <c r="AW179">
        <v>2</v>
      </c>
      <c r="AX179">
        <v>129763378</v>
      </c>
      <c r="AY179">
        <v>1</v>
      </c>
      <c r="AZ179">
        <v>0</v>
      </c>
      <c r="BA179">
        <v>183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ROUND(Y179*Source!I236,9)</f>
        <v>8.45775E-2</v>
      </c>
      <c r="CY179">
        <f>AB179</f>
        <v>136.88999999999999</v>
      </c>
      <c r="CZ179">
        <f>AF179</f>
        <v>13.14</v>
      </c>
      <c r="DA179">
        <f>AJ179</f>
        <v>9.9499999999999993</v>
      </c>
      <c r="DB179">
        <f>ROUND((ROUND(AT179*CZ179,2)*1.25),6)</f>
        <v>29.4</v>
      </c>
      <c r="DC179">
        <f>ROUND((ROUND(AT179*AG179,2)*1.25),6)</f>
        <v>0.05</v>
      </c>
      <c r="DD179" t="s">
        <v>3</v>
      </c>
      <c r="DE179" t="s">
        <v>3</v>
      </c>
      <c r="DF179">
        <f t="shared" si="64"/>
        <v>0</v>
      </c>
      <c r="DG179">
        <f>ROUND(ROUND(AF179*CX179,2)*AJ179,2)</f>
        <v>11.04</v>
      </c>
      <c r="DH179">
        <f>ROUND(ROUND(AG179*CX179,2)*AK179,2)</f>
        <v>0</v>
      </c>
      <c r="DI179">
        <f t="shared" si="58"/>
        <v>0</v>
      </c>
      <c r="DJ179">
        <f>DG179</f>
        <v>11.04</v>
      </c>
      <c r="DK179">
        <v>0</v>
      </c>
    </row>
    <row r="180" spans="1:115" x14ac:dyDescent="0.2">
      <c r="A180">
        <f>ROW(Source!A236)</f>
        <v>236</v>
      </c>
      <c r="B180">
        <v>129761633</v>
      </c>
      <c r="C180">
        <v>129763359</v>
      </c>
      <c r="D180">
        <v>37394364</v>
      </c>
      <c r="E180">
        <v>1</v>
      </c>
      <c r="F180">
        <v>1</v>
      </c>
      <c r="G180">
        <v>37345137</v>
      </c>
      <c r="H180">
        <v>3</v>
      </c>
      <c r="I180" t="s">
        <v>1195</v>
      </c>
      <c r="J180" t="s">
        <v>1196</v>
      </c>
      <c r="K180" t="s">
        <v>1197</v>
      </c>
      <c r="L180">
        <v>1348</v>
      </c>
      <c r="N180">
        <v>1009</v>
      </c>
      <c r="O180" t="s">
        <v>114</v>
      </c>
      <c r="P180" t="s">
        <v>114</v>
      </c>
      <c r="Q180">
        <v>1000</v>
      </c>
      <c r="W180">
        <v>0</v>
      </c>
      <c r="X180">
        <v>1977647148</v>
      </c>
      <c r="Y180">
        <f t="shared" ref="Y180:Y190" si="72">AT180</f>
        <v>2.3599999999999999E-2</v>
      </c>
      <c r="AA180">
        <v>17312.61</v>
      </c>
      <c r="AB180">
        <v>0</v>
      </c>
      <c r="AC180">
        <v>0</v>
      </c>
      <c r="AD180">
        <v>0</v>
      </c>
      <c r="AE180">
        <v>1463.45</v>
      </c>
      <c r="AF180">
        <v>0</v>
      </c>
      <c r="AG180">
        <v>0</v>
      </c>
      <c r="AH180">
        <v>0</v>
      </c>
      <c r="AI180">
        <v>11.83</v>
      </c>
      <c r="AJ180">
        <v>1</v>
      </c>
      <c r="AK180">
        <v>1</v>
      </c>
      <c r="AL180">
        <v>1</v>
      </c>
      <c r="AN180">
        <v>0</v>
      </c>
      <c r="AO180">
        <v>1</v>
      </c>
      <c r="AP180">
        <v>0</v>
      </c>
      <c r="AQ180">
        <v>0</v>
      </c>
      <c r="AR180">
        <v>0</v>
      </c>
      <c r="AS180" t="s">
        <v>3</v>
      </c>
      <c r="AT180">
        <v>2.3599999999999999E-2</v>
      </c>
      <c r="AU180" t="s">
        <v>3</v>
      </c>
      <c r="AV180">
        <v>0</v>
      </c>
      <c r="AW180">
        <v>2</v>
      </c>
      <c r="AX180">
        <v>129763379</v>
      </c>
      <c r="AY180">
        <v>1</v>
      </c>
      <c r="AZ180">
        <v>0</v>
      </c>
      <c r="BA180">
        <v>184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ROUND(Y180*Source!I236,9)</f>
        <v>8.9207999999999996E-4</v>
      </c>
      <c r="CY180">
        <f t="shared" ref="CY180:CY190" si="73">AA180</f>
        <v>17312.61</v>
      </c>
      <c r="CZ180">
        <f t="shared" ref="CZ180:CZ190" si="74">AE180</f>
        <v>1463.45</v>
      </c>
      <c r="DA180">
        <f t="shared" ref="DA180:DA190" si="75">AI180</f>
        <v>11.83</v>
      </c>
      <c r="DB180">
        <f t="shared" ref="DB180:DB190" si="76">ROUND(ROUND(AT180*CZ180,2),6)</f>
        <v>34.54</v>
      </c>
      <c r="DC180">
        <f t="shared" ref="DC180:DC190" si="77">ROUND(ROUND(AT180*AG180,2),6)</f>
        <v>0</v>
      </c>
      <c r="DD180" t="s">
        <v>3</v>
      </c>
      <c r="DE180" t="s">
        <v>3</v>
      </c>
      <c r="DF180">
        <f t="shared" ref="DF180:DF190" si="78">ROUND(ROUND(AE180*CX180,2)*AI180,2)</f>
        <v>15.5</v>
      </c>
      <c r="DG180">
        <f t="shared" ref="DG180:DG200" si="79">ROUND(AF180*CX180,2)</f>
        <v>0</v>
      </c>
      <c r="DH180">
        <f t="shared" ref="DH180:DH200" si="80">ROUND(AG180*CX180,2)</f>
        <v>0</v>
      </c>
      <c r="DI180">
        <f t="shared" si="58"/>
        <v>0</v>
      </c>
      <c r="DJ180">
        <f t="shared" ref="DJ180:DJ190" si="81">DF180</f>
        <v>15.5</v>
      </c>
      <c r="DK180">
        <v>0</v>
      </c>
    </row>
    <row r="181" spans="1:115" x14ac:dyDescent="0.2">
      <c r="A181">
        <f>ROW(Source!A236)</f>
        <v>236</v>
      </c>
      <c r="B181">
        <v>129761633</v>
      </c>
      <c r="C181">
        <v>129763359</v>
      </c>
      <c r="D181">
        <v>37393565</v>
      </c>
      <c r="E181">
        <v>1</v>
      </c>
      <c r="F181">
        <v>1</v>
      </c>
      <c r="G181">
        <v>37345137</v>
      </c>
      <c r="H181">
        <v>3</v>
      </c>
      <c r="I181" t="s">
        <v>1198</v>
      </c>
      <c r="J181" t="s">
        <v>1199</v>
      </c>
      <c r="K181" t="s">
        <v>1200</v>
      </c>
      <c r="L181">
        <v>1348</v>
      </c>
      <c r="N181">
        <v>1009</v>
      </c>
      <c r="O181" t="s">
        <v>114</v>
      </c>
      <c r="P181" t="s">
        <v>114</v>
      </c>
      <c r="Q181">
        <v>1000</v>
      </c>
      <c r="W181">
        <v>0</v>
      </c>
      <c r="X181">
        <v>563176784</v>
      </c>
      <c r="Y181">
        <f t="shared" si="72"/>
        <v>4.13E-3</v>
      </c>
      <c r="AA181">
        <v>63127.35</v>
      </c>
      <c r="AB181">
        <v>0</v>
      </c>
      <c r="AC181">
        <v>0</v>
      </c>
      <c r="AD181">
        <v>0</v>
      </c>
      <c r="AE181">
        <v>6521.42</v>
      </c>
      <c r="AF181">
        <v>0</v>
      </c>
      <c r="AG181">
        <v>0</v>
      </c>
      <c r="AH181">
        <v>0</v>
      </c>
      <c r="AI181">
        <v>9.68</v>
      </c>
      <c r="AJ181">
        <v>1</v>
      </c>
      <c r="AK181">
        <v>1</v>
      </c>
      <c r="AL181">
        <v>1</v>
      </c>
      <c r="AN181">
        <v>0</v>
      </c>
      <c r="AO181">
        <v>1</v>
      </c>
      <c r="AP181">
        <v>0</v>
      </c>
      <c r="AQ181">
        <v>0</v>
      </c>
      <c r="AR181">
        <v>0</v>
      </c>
      <c r="AS181" t="s">
        <v>3</v>
      </c>
      <c r="AT181">
        <v>4.13E-3</v>
      </c>
      <c r="AU181" t="s">
        <v>3</v>
      </c>
      <c r="AV181">
        <v>0</v>
      </c>
      <c r="AW181">
        <v>2</v>
      </c>
      <c r="AX181">
        <v>129763380</v>
      </c>
      <c r="AY181">
        <v>1</v>
      </c>
      <c r="AZ181">
        <v>0</v>
      </c>
      <c r="BA181">
        <v>185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ROUND(Y181*Source!I236,9)</f>
        <v>1.56114E-4</v>
      </c>
      <c r="CY181">
        <f t="shared" si="73"/>
        <v>63127.35</v>
      </c>
      <c r="CZ181">
        <f t="shared" si="74"/>
        <v>6521.42</v>
      </c>
      <c r="DA181">
        <f t="shared" si="75"/>
        <v>9.68</v>
      </c>
      <c r="DB181">
        <f t="shared" si="76"/>
        <v>26.93</v>
      </c>
      <c r="DC181">
        <f t="shared" si="77"/>
        <v>0</v>
      </c>
      <c r="DD181" t="s">
        <v>3</v>
      </c>
      <c r="DE181" t="s">
        <v>3</v>
      </c>
      <c r="DF181">
        <f t="shared" si="78"/>
        <v>9.8699999999999992</v>
      </c>
      <c r="DG181">
        <f t="shared" si="79"/>
        <v>0</v>
      </c>
      <c r="DH181">
        <f t="shared" si="80"/>
        <v>0</v>
      </c>
      <c r="DI181">
        <f t="shared" si="58"/>
        <v>0</v>
      </c>
      <c r="DJ181">
        <f t="shared" si="81"/>
        <v>9.8699999999999992</v>
      </c>
      <c r="DK181">
        <v>0</v>
      </c>
    </row>
    <row r="182" spans="1:115" x14ac:dyDescent="0.2">
      <c r="A182">
        <f>ROW(Source!A236)</f>
        <v>236</v>
      </c>
      <c r="B182">
        <v>129761633</v>
      </c>
      <c r="C182">
        <v>129763359</v>
      </c>
      <c r="D182">
        <v>37393566</v>
      </c>
      <c r="E182">
        <v>1</v>
      </c>
      <c r="F182">
        <v>1</v>
      </c>
      <c r="G182">
        <v>37345137</v>
      </c>
      <c r="H182">
        <v>3</v>
      </c>
      <c r="I182" t="s">
        <v>1201</v>
      </c>
      <c r="J182" t="s">
        <v>1202</v>
      </c>
      <c r="K182" t="s">
        <v>1203</v>
      </c>
      <c r="L182">
        <v>1348</v>
      </c>
      <c r="N182">
        <v>1009</v>
      </c>
      <c r="O182" t="s">
        <v>114</v>
      </c>
      <c r="P182" t="s">
        <v>114</v>
      </c>
      <c r="Q182">
        <v>1000</v>
      </c>
      <c r="W182">
        <v>0</v>
      </c>
      <c r="X182">
        <v>-1841336821</v>
      </c>
      <c r="Y182">
        <f t="shared" si="72"/>
        <v>2.0999999999999999E-3</v>
      </c>
      <c r="AA182">
        <v>84028.81</v>
      </c>
      <c r="AB182">
        <v>0</v>
      </c>
      <c r="AC182">
        <v>0</v>
      </c>
      <c r="AD182">
        <v>0</v>
      </c>
      <c r="AE182">
        <v>7875.24</v>
      </c>
      <c r="AF182">
        <v>0</v>
      </c>
      <c r="AG182">
        <v>0</v>
      </c>
      <c r="AH182">
        <v>0</v>
      </c>
      <c r="AI182">
        <v>10.67</v>
      </c>
      <c r="AJ182">
        <v>1</v>
      </c>
      <c r="AK182">
        <v>1</v>
      </c>
      <c r="AL182">
        <v>1</v>
      </c>
      <c r="AN182">
        <v>0</v>
      </c>
      <c r="AO182">
        <v>1</v>
      </c>
      <c r="AP182">
        <v>0</v>
      </c>
      <c r="AQ182">
        <v>0</v>
      </c>
      <c r="AR182">
        <v>0</v>
      </c>
      <c r="AS182" t="s">
        <v>3</v>
      </c>
      <c r="AT182">
        <v>2.0999999999999999E-3</v>
      </c>
      <c r="AU182" t="s">
        <v>3</v>
      </c>
      <c r="AV182">
        <v>0</v>
      </c>
      <c r="AW182">
        <v>2</v>
      </c>
      <c r="AX182">
        <v>129763381</v>
      </c>
      <c r="AY182">
        <v>1</v>
      </c>
      <c r="AZ182">
        <v>0</v>
      </c>
      <c r="BA182">
        <v>186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ROUND(Y182*Source!I236,9)</f>
        <v>7.9380000000000002E-5</v>
      </c>
      <c r="CY182">
        <f t="shared" si="73"/>
        <v>84028.81</v>
      </c>
      <c r="CZ182">
        <f t="shared" si="74"/>
        <v>7875.24</v>
      </c>
      <c r="DA182">
        <f t="shared" si="75"/>
        <v>10.67</v>
      </c>
      <c r="DB182">
        <f t="shared" si="76"/>
        <v>16.54</v>
      </c>
      <c r="DC182">
        <f t="shared" si="77"/>
        <v>0</v>
      </c>
      <c r="DD182" t="s">
        <v>3</v>
      </c>
      <c r="DE182" t="s">
        <v>3</v>
      </c>
      <c r="DF182">
        <f t="shared" si="78"/>
        <v>6.72</v>
      </c>
      <c r="DG182">
        <f t="shared" si="79"/>
        <v>0</v>
      </c>
      <c r="DH182">
        <f t="shared" si="80"/>
        <v>0</v>
      </c>
      <c r="DI182">
        <f t="shared" si="58"/>
        <v>0</v>
      </c>
      <c r="DJ182">
        <f t="shared" si="81"/>
        <v>6.72</v>
      </c>
      <c r="DK182">
        <v>0</v>
      </c>
    </row>
    <row r="183" spans="1:115" x14ac:dyDescent="0.2">
      <c r="A183">
        <f>ROW(Source!A236)</f>
        <v>236</v>
      </c>
      <c r="B183">
        <v>129761633</v>
      </c>
      <c r="C183">
        <v>129763359</v>
      </c>
      <c r="D183">
        <v>37393578</v>
      </c>
      <c r="E183">
        <v>1</v>
      </c>
      <c r="F183">
        <v>1</v>
      </c>
      <c r="G183">
        <v>37345137</v>
      </c>
      <c r="H183">
        <v>3</v>
      </c>
      <c r="I183" t="s">
        <v>1204</v>
      </c>
      <c r="J183" t="s">
        <v>1205</v>
      </c>
      <c r="K183" t="s">
        <v>1206</v>
      </c>
      <c r="L183">
        <v>1348</v>
      </c>
      <c r="N183">
        <v>1009</v>
      </c>
      <c r="O183" t="s">
        <v>114</v>
      </c>
      <c r="P183" t="s">
        <v>114</v>
      </c>
      <c r="Q183">
        <v>1000</v>
      </c>
      <c r="W183">
        <v>0</v>
      </c>
      <c r="X183">
        <v>837574469</v>
      </c>
      <c r="Y183">
        <f t="shared" si="72"/>
        <v>1.6E-2</v>
      </c>
      <c r="AA183">
        <v>5351.38</v>
      </c>
      <c r="AB183">
        <v>0</v>
      </c>
      <c r="AC183">
        <v>0</v>
      </c>
      <c r="AD183">
        <v>0</v>
      </c>
      <c r="AE183">
        <v>1227.3800000000001</v>
      </c>
      <c r="AF183">
        <v>0</v>
      </c>
      <c r="AG183">
        <v>0</v>
      </c>
      <c r="AH183">
        <v>0</v>
      </c>
      <c r="AI183">
        <v>4.3600000000000003</v>
      </c>
      <c r="AJ183">
        <v>1</v>
      </c>
      <c r="AK183">
        <v>1</v>
      </c>
      <c r="AL183">
        <v>1</v>
      </c>
      <c r="AN183">
        <v>0</v>
      </c>
      <c r="AO183">
        <v>1</v>
      </c>
      <c r="AP183">
        <v>0</v>
      </c>
      <c r="AQ183">
        <v>0</v>
      </c>
      <c r="AR183">
        <v>0</v>
      </c>
      <c r="AS183" t="s">
        <v>3</v>
      </c>
      <c r="AT183">
        <v>1.6E-2</v>
      </c>
      <c r="AU183" t="s">
        <v>3</v>
      </c>
      <c r="AV183">
        <v>0</v>
      </c>
      <c r="AW183">
        <v>2</v>
      </c>
      <c r="AX183">
        <v>129763382</v>
      </c>
      <c r="AY183">
        <v>1</v>
      </c>
      <c r="AZ183">
        <v>0</v>
      </c>
      <c r="BA183">
        <v>187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ROUND(Y183*Source!I236,9)</f>
        <v>6.0479999999999996E-4</v>
      </c>
      <c r="CY183">
        <f t="shared" si="73"/>
        <v>5351.38</v>
      </c>
      <c r="CZ183">
        <f t="shared" si="74"/>
        <v>1227.3800000000001</v>
      </c>
      <c r="DA183">
        <f t="shared" si="75"/>
        <v>4.3600000000000003</v>
      </c>
      <c r="DB183">
        <f t="shared" si="76"/>
        <v>19.64</v>
      </c>
      <c r="DC183">
        <f t="shared" si="77"/>
        <v>0</v>
      </c>
      <c r="DD183" t="s">
        <v>3</v>
      </c>
      <c r="DE183" t="s">
        <v>3</v>
      </c>
      <c r="DF183">
        <f t="shared" si="78"/>
        <v>3.23</v>
      </c>
      <c r="DG183">
        <f t="shared" si="79"/>
        <v>0</v>
      </c>
      <c r="DH183">
        <f t="shared" si="80"/>
        <v>0</v>
      </c>
      <c r="DI183">
        <f t="shared" si="58"/>
        <v>0</v>
      </c>
      <c r="DJ183">
        <f t="shared" si="81"/>
        <v>3.23</v>
      </c>
      <c r="DK183">
        <v>0</v>
      </c>
    </row>
    <row r="184" spans="1:115" x14ac:dyDescent="0.2">
      <c r="A184">
        <f>ROW(Source!A236)</f>
        <v>236</v>
      </c>
      <c r="B184">
        <v>129761633</v>
      </c>
      <c r="C184">
        <v>129763359</v>
      </c>
      <c r="D184">
        <v>37393655</v>
      </c>
      <c r="E184">
        <v>1</v>
      </c>
      <c r="F184">
        <v>1</v>
      </c>
      <c r="G184">
        <v>37345137</v>
      </c>
      <c r="H184">
        <v>3</v>
      </c>
      <c r="I184" t="s">
        <v>1207</v>
      </c>
      <c r="J184" t="s">
        <v>1208</v>
      </c>
      <c r="K184" t="s">
        <v>1209</v>
      </c>
      <c r="L184">
        <v>1339</v>
      </c>
      <c r="N184">
        <v>1007</v>
      </c>
      <c r="O184" t="s">
        <v>94</v>
      </c>
      <c r="P184" t="s">
        <v>94</v>
      </c>
      <c r="Q184">
        <v>1</v>
      </c>
      <c r="W184">
        <v>0</v>
      </c>
      <c r="X184">
        <v>-1845249973</v>
      </c>
      <c r="Y184">
        <f t="shared" si="72"/>
        <v>0.08</v>
      </c>
      <c r="AA184">
        <v>7222.81</v>
      </c>
      <c r="AB184">
        <v>0</v>
      </c>
      <c r="AC184">
        <v>0</v>
      </c>
      <c r="AD184">
        <v>0</v>
      </c>
      <c r="AE184">
        <v>1828.56</v>
      </c>
      <c r="AF184">
        <v>0</v>
      </c>
      <c r="AG184">
        <v>0</v>
      </c>
      <c r="AH184">
        <v>0</v>
      </c>
      <c r="AI184">
        <v>3.95</v>
      </c>
      <c r="AJ184">
        <v>1</v>
      </c>
      <c r="AK184">
        <v>1</v>
      </c>
      <c r="AL184">
        <v>1</v>
      </c>
      <c r="AN184">
        <v>0</v>
      </c>
      <c r="AO184">
        <v>1</v>
      </c>
      <c r="AP184">
        <v>0</v>
      </c>
      <c r="AQ184">
        <v>0</v>
      </c>
      <c r="AR184">
        <v>0</v>
      </c>
      <c r="AS184" t="s">
        <v>3</v>
      </c>
      <c r="AT184">
        <v>0.08</v>
      </c>
      <c r="AU184" t="s">
        <v>3</v>
      </c>
      <c r="AV184">
        <v>0</v>
      </c>
      <c r="AW184">
        <v>2</v>
      </c>
      <c r="AX184">
        <v>129763383</v>
      </c>
      <c r="AY184">
        <v>1</v>
      </c>
      <c r="AZ184">
        <v>0</v>
      </c>
      <c r="BA184">
        <v>188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ROUND(Y184*Source!I236,9)</f>
        <v>3.0240000000000002E-3</v>
      </c>
      <c r="CY184">
        <f t="shared" si="73"/>
        <v>7222.81</v>
      </c>
      <c r="CZ184">
        <f t="shared" si="74"/>
        <v>1828.56</v>
      </c>
      <c r="DA184">
        <f t="shared" si="75"/>
        <v>3.95</v>
      </c>
      <c r="DB184">
        <f t="shared" si="76"/>
        <v>146.28</v>
      </c>
      <c r="DC184">
        <f t="shared" si="77"/>
        <v>0</v>
      </c>
      <c r="DD184" t="s">
        <v>3</v>
      </c>
      <c r="DE184" t="s">
        <v>3</v>
      </c>
      <c r="DF184">
        <f t="shared" si="78"/>
        <v>21.84</v>
      </c>
      <c r="DG184">
        <f t="shared" si="79"/>
        <v>0</v>
      </c>
      <c r="DH184">
        <f t="shared" si="80"/>
        <v>0</v>
      </c>
      <c r="DI184">
        <f t="shared" si="58"/>
        <v>0</v>
      </c>
      <c r="DJ184">
        <f t="shared" si="81"/>
        <v>21.84</v>
      </c>
      <c r="DK184">
        <v>0</v>
      </c>
    </row>
    <row r="185" spans="1:115" x14ac:dyDescent="0.2">
      <c r="A185">
        <f>ROW(Source!A236)</f>
        <v>236</v>
      </c>
      <c r="B185">
        <v>129761633</v>
      </c>
      <c r="C185">
        <v>129763359</v>
      </c>
      <c r="D185">
        <v>37394092</v>
      </c>
      <c r="E185">
        <v>1</v>
      </c>
      <c r="F185">
        <v>1</v>
      </c>
      <c r="G185">
        <v>37345137</v>
      </c>
      <c r="H185">
        <v>3</v>
      </c>
      <c r="I185" t="s">
        <v>1210</v>
      </c>
      <c r="J185" t="s">
        <v>1211</v>
      </c>
      <c r="K185" t="s">
        <v>1212</v>
      </c>
      <c r="L185">
        <v>1346</v>
      </c>
      <c r="N185">
        <v>1009</v>
      </c>
      <c r="O185" t="s">
        <v>369</v>
      </c>
      <c r="P185" t="s">
        <v>369</v>
      </c>
      <c r="Q185">
        <v>1</v>
      </c>
      <c r="W185">
        <v>0</v>
      </c>
      <c r="X185">
        <v>1241994263</v>
      </c>
      <c r="Y185">
        <f t="shared" si="72"/>
        <v>108</v>
      </c>
      <c r="AA185">
        <v>98.3</v>
      </c>
      <c r="AB185">
        <v>0</v>
      </c>
      <c r="AC185">
        <v>0</v>
      </c>
      <c r="AD185">
        <v>0</v>
      </c>
      <c r="AE185">
        <v>9.86</v>
      </c>
      <c r="AF185">
        <v>0</v>
      </c>
      <c r="AG185">
        <v>0</v>
      </c>
      <c r="AH185">
        <v>0</v>
      </c>
      <c r="AI185">
        <v>9.9700000000000006</v>
      </c>
      <c r="AJ185">
        <v>1</v>
      </c>
      <c r="AK185">
        <v>1</v>
      </c>
      <c r="AL185">
        <v>1</v>
      </c>
      <c r="AN185">
        <v>0</v>
      </c>
      <c r="AO185">
        <v>1</v>
      </c>
      <c r="AP185">
        <v>0</v>
      </c>
      <c r="AQ185">
        <v>0</v>
      </c>
      <c r="AR185">
        <v>0</v>
      </c>
      <c r="AS185" t="s">
        <v>3</v>
      </c>
      <c r="AT185">
        <v>108</v>
      </c>
      <c r="AU185" t="s">
        <v>3</v>
      </c>
      <c r="AV185">
        <v>0</v>
      </c>
      <c r="AW185">
        <v>2</v>
      </c>
      <c r="AX185">
        <v>129763384</v>
      </c>
      <c r="AY185">
        <v>1</v>
      </c>
      <c r="AZ185">
        <v>0</v>
      </c>
      <c r="BA185">
        <v>189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ROUND(Y185*Source!I236,9)</f>
        <v>4.0823999999999998</v>
      </c>
      <c r="CY185">
        <f t="shared" si="73"/>
        <v>98.3</v>
      </c>
      <c r="CZ185">
        <f t="shared" si="74"/>
        <v>9.86</v>
      </c>
      <c r="DA185">
        <f t="shared" si="75"/>
        <v>9.9700000000000006</v>
      </c>
      <c r="DB185">
        <f t="shared" si="76"/>
        <v>1064.8800000000001</v>
      </c>
      <c r="DC185">
        <f t="shared" si="77"/>
        <v>0</v>
      </c>
      <c r="DD185" t="s">
        <v>3</v>
      </c>
      <c r="DE185" t="s">
        <v>3</v>
      </c>
      <c r="DF185">
        <f t="shared" si="78"/>
        <v>401.29</v>
      </c>
      <c r="DG185">
        <f t="shared" si="79"/>
        <v>0</v>
      </c>
      <c r="DH185">
        <f t="shared" si="80"/>
        <v>0</v>
      </c>
      <c r="DI185">
        <f t="shared" si="58"/>
        <v>0</v>
      </c>
      <c r="DJ185">
        <f t="shared" si="81"/>
        <v>401.29</v>
      </c>
      <c r="DK185">
        <v>0</v>
      </c>
    </row>
    <row r="186" spans="1:115" x14ac:dyDescent="0.2">
      <c r="A186">
        <f>ROW(Source!A236)</f>
        <v>236</v>
      </c>
      <c r="B186">
        <v>129761633</v>
      </c>
      <c r="C186">
        <v>129763359</v>
      </c>
      <c r="D186">
        <v>37394110</v>
      </c>
      <c r="E186">
        <v>1</v>
      </c>
      <c r="F186">
        <v>1</v>
      </c>
      <c r="G186">
        <v>37345137</v>
      </c>
      <c r="H186">
        <v>3</v>
      </c>
      <c r="I186" t="s">
        <v>1213</v>
      </c>
      <c r="J186" t="s">
        <v>1214</v>
      </c>
      <c r="K186" t="s">
        <v>1215</v>
      </c>
      <c r="L186">
        <v>1327</v>
      </c>
      <c r="N186">
        <v>1005</v>
      </c>
      <c r="O186" t="s">
        <v>258</v>
      </c>
      <c r="P186" t="s">
        <v>258</v>
      </c>
      <c r="Q186">
        <v>1</v>
      </c>
      <c r="W186">
        <v>0</v>
      </c>
      <c r="X186">
        <v>-1047133190</v>
      </c>
      <c r="Y186">
        <f t="shared" si="72"/>
        <v>89</v>
      </c>
      <c r="AA186">
        <v>14.66</v>
      </c>
      <c r="AB186">
        <v>0</v>
      </c>
      <c r="AC186">
        <v>0</v>
      </c>
      <c r="AD186">
        <v>0</v>
      </c>
      <c r="AE186">
        <v>5.51</v>
      </c>
      <c r="AF186">
        <v>0</v>
      </c>
      <c r="AG186">
        <v>0</v>
      </c>
      <c r="AH186">
        <v>0</v>
      </c>
      <c r="AI186">
        <v>2.66</v>
      </c>
      <c r="AJ186">
        <v>1</v>
      </c>
      <c r="AK186">
        <v>1</v>
      </c>
      <c r="AL186">
        <v>1</v>
      </c>
      <c r="AN186">
        <v>0</v>
      </c>
      <c r="AO186">
        <v>1</v>
      </c>
      <c r="AP186">
        <v>0</v>
      </c>
      <c r="AQ186">
        <v>0</v>
      </c>
      <c r="AR186">
        <v>0</v>
      </c>
      <c r="AS186" t="s">
        <v>3</v>
      </c>
      <c r="AT186">
        <v>89</v>
      </c>
      <c r="AU186" t="s">
        <v>3</v>
      </c>
      <c r="AV186">
        <v>0</v>
      </c>
      <c r="AW186">
        <v>2</v>
      </c>
      <c r="AX186">
        <v>129763385</v>
      </c>
      <c r="AY186">
        <v>1</v>
      </c>
      <c r="AZ186">
        <v>0</v>
      </c>
      <c r="BA186">
        <v>190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ROUND(Y186*Source!I236,9)</f>
        <v>3.3641999999999999</v>
      </c>
      <c r="CY186">
        <f t="shared" si="73"/>
        <v>14.66</v>
      </c>
      <c r="CZ186">
        <f t="shared" si="74"/>
        <v>5.51</v>
      </c>
      <c r="DA186">
        <f t="shared" si="75"/>
        <v>2.66</v>
      </c>
      <c r="DB186">
        <f t="shared" si="76"/>
        <v>490.39</v>
      </c>
      <c r="DC186">
        <f t="shared" si="77"/>
        <v>0</v>
      </c>
      <c r="DD186" t="s">
        <v>3</v>
      </c>
      <c r="DE186" t="s">
        <v>3</v>
      </c>
      <c r="DF186">
        <f t="shared" si="78"/>
        <v>49.32</v>
      </c>
      <c r="DG186">
        <f t="shared" si="79"/>
        <v>0</v>
      </c>
      <c r="DH186">
        <f t="shared" si="80"/>
        <v>0</v>
      </c>
      <c r="DI186">
        <f t="shared" si="58"/>
        <v>0</v>
      </c>
      <c r="DJ186">
        <f t="shared" si="81"/>
        <v>49.32</v>
      </c>
      <c r="DK186">
        <v>0</v>
      </c>
    </row>
    <row r="187" spans="1:115" x14ac:dyDescent="0.2">
      <c r="A187">
        <f>ROW(Source!A236)</f>
        <v>236</v>
      </c>
      <c r="B187">
        <v>129761633</v>
      </c>
      <c r="C187">
        <v>129763359</v>
      </c>
      <c r="D187">
        <v>37412072</v>
      </c>
      <c r="E187">
        <v>1</v>
      </c>
      <c r="F187">
        <v>1</v>
      </c>
      <c r="G187">
        <v>37345137</v>
      </c>
      <c r="H187">
        <v>3</v>
      </c>
      <c r="I187" t="s">
        <v>1216</v>
      </c>
      <c r="J187" t="s">
        <v>1217</v>
      </c>
      <c r="K187" t="s">
        <v>1218</v>
      </c>
      <c r="L187">
        <v>1339</v>
      </c>
      <c r="N187">
        <v>1007</v>
      </c>
      <c r="O187" t="s">
        <v>94</v>
      </c>
      <c r="P187" t="s">
        <v>94</v>
      </c>
      <c r="Q187">
        <v>1</v>
      </c>
      <c r="W187">
        <v>0</v>
      </c>
      <c r="X187">
        <v>-668171035</v>
      </c>
      <c r="Y187">
        <f t="shared" si="72"/>
        <v>0.105</v>
      </c>
      <c r="AA187">
        <v>4712.46</v>
      </c>
      <c r="AB187">
        <v>0</v>
      </c>
      <c r="AC187">
        <v>0</v>
      </c>
      <c r="AD187">
        <v>0</v>
      </c>
      <c r="AE187">
        <v>540.41999999999996</v>
      </c>
      <c r="AF187">
        <v>0</v>
      </c>
      <c r="AG187">
        <v>0</v>
      </c>
      <c r="AH187">
        <v>0</v>
      </c>
      <c r="AI187">
        <v>8.7200000000000006</v>
      </c>
      <c r="AJ187">
        <v>1</v>
      </c>
      <c r="AK187">
        <v>1</v>
      </c>
      <c r="AL187">
        <v>1</v>
      </c>
      <c r="AN187">
        <v>0</v>
      </c>
      <c r="AO187">
        <v>1</v>
      </c>
      <c r="AP187">
        <v>0</v>
      </c>
      <c r="AQ187">
        <v>0</v>
      </c>
      <c r="AR187">
        <v>0</v>
      </c>
      <c r="AS187" t="s">
        <v>3</v>
      </c>
      <c r="AT187">
        <v>0.105</v>
      </c>
      <c r="AU187" t="s">
        <v>3</v>
      </c>
      <c r="AV187">
        <v>0</v>
      </c>
      <c r="AW187">
        <v>2</v>
      </c>
      <c r="AX187">
        <v>129763386</v>
      </c>
      <c r="AY187">
        <v>1</v>
      </c>
      <c r="AZ187">
        <v>0</v>
      </c>
      <c r="BA187">
        <v>191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ROUND(Y187*Source!I236,9)</f>
        <v>3.9690000000000003E-3</v>
      </c>
      <c r="CY187">
        <f t="shared" si="73"/>
        <v>4712.46</v>
      </c>
      <c r="CZ187">
        <f t="shared" si="74"/>
        <v>540.41999999999996</v>
      </c>
      <c r="DA187">
        <f t="shared" si="75"/>
        <v>8.7200000000000006</v>
      </c>
      <c r="DB187">
        <f t="shared" si="76"/>
        <v>56.74</v>
      </c>
      <c r="DC187">
        <f t="shared" si="77"/>
        <v>0</v>
      </c>
      <c r="DD187" t="s">
        <v>3</v>
      </c>
      <c r="DE187" t="s">
        <v>3</v>
      </c>
      <c r="DF187">
        <f t="shared" si="78"/>
        <v>18.66</v>
      </c>
      <c r="DG187">
        <f t="shared" si="79"/>
        <v>0</v>
      </c>
      <c r="DH187">
        <f t="shared" si="80"/>
        <v>0</v>
      </c>
      <c r="DI187">
        <f t="shared" si="58"/>
        <v>0</v>
      </c>
      <c r="DJ187">
        <f t="shared" si="81"/>
        <v>18.66</v>
      </c>
      <c r="DK187">
        <v>0</v>
      </c>
    </row>
    <row r="188" spans="1:115" x14ac:dyDescent="0.2">
      <c r="A188">
        <f>ROW(Source!A236)</f>
        <v>236</v>
      </c>
      <c r="B188">
        <v>129761633</v>
      </c>
      <c r="C188">
        <v>129763359</v>
      </c>
      <c r="D188">
        <v>37415873</v>
      </c>
      <c r="E188">
        <v>1</v>
      </c>
      <c r="F188">
        <v>1</v>
      </c>
      <c r="G188">
        <v>37345137</v>
      </c>
      <c r="H188">
        <v>3</v>
      </c>
      <c r="I188" t="s">
        <v>1219</v>
      </c>
      <c r="J188" t="s">
        <v>1220</v>
      </c>
      <c r="K188" t="s">
        <v>1221</v>
      </c>
      <c r="L188">
        <v>1346</v>
      </c>
      <c r="N188">
        <v>1009</v>
      </c>
      <c r="O188" t="s">
        <v>369</v>
      </c>
      <c r="P188" t="s">
        <v>369</v>
      </c>
      <c r="Q188">
        <v>1</v>
      </c>
      <c r="W188">
        <v>0</v>
      </c>
      <c r="X188">
        <v>-361252770</v>
      </c>
      <c r="Y188">
        <f t="shared" si="72"/>
        <v>37.5</v>
      </c>
      <c r="AA188">
        <v>37.799999999999997</v>
      </c>
      <c r="AB188">
        <v>0</v>
      </c>
      <c r="AC188">
        <v>0</v>
      </c>
      <c r="AD188">
        <v>0</v>
      </c>
      <c r="AE188">
        <v>4.37</v>
      </c>
      <c r="AF188">
        <v>0</v>
      </c>
      <c r="AG188">
        <v>0</v>
      </c>
      <c r="AH188">
        <v>0</v>
      </c>
      <c r="AI188">
        <v>8.65</v>
      </c>
      <c r="AJ188">
        <v>1</v>
      </c>
      <c r="AK188">
        <v>1</v>
      </c>
      <c r="AL188">
        <v>1</v>
      </c>
      <c r="AN188">
        <v>0</v>
      </c>
      <c r="AO188">
        <v>1</v>
      </c>
      <c r="AP188">
        <v>0</v>
      </c>
      <c r="AQ188">
        <v>0</v>
      </c>
      <c r="AR188">
        <v>0</v>
      </c>
      <c r="AS188" t="s">
        <v>3</v>
      </c>
      <c r="AT188">
        <v>37.5</v>
      </c>
      <c r="AU188" t="s">
        <v>3</v>
      </c>
      <c r="AV188">
        <v>0</v>
      </c>
      <c r="AW188">
        <v>2</v>
      </c>
      <c r="AX188">
        <v>129763387</v>
      </c>
      <c r="AY188">
        <v>1</v>
      </c>
      <c r="AZ188">
        <v>0</v>
      </c>
      <c r="BA188">
        <v>192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ROUND(Y188*Source!I236,9)</f>
        <v>1.4175</v>
      </c>
      <c r="CY188">
        <f t="shared" si="73"/>
        <v>37.799999999999997</v>
      </c>
      <c r="CZ188">
        <f t="shared" si="74"/>
        <v>4.37</v>
      </c>
      <c r="DA188">
        <f t="shared" si="75"/>
        <v>8.65</v>
      </c>
      <c r="DB188">
        <f t="shared" si="76"/>
        <v>163.88</v>
      </c>
      <c r="DC188">
        <f t="shared" si="77"/>
        <v>0</v>
      </c>
      <c r="DD188" t="s">
        <v>3</v>
      </c>
      <c r="DE188" t="s">
        <v>3</v>
      </c>
      <c r="DF188">
        <f t="shared" si="78"/>
        <v>53.54</v>
      </c>
      <c r="DG188">
        <f t="shared" si="79"/>
        <v>0</v>
      </c>
      <c r="DH188">
        <f t="shared" si="80"/>
        <v>0</v>
      </c>
      <c r="DI188">
        <f t="shared" si="58"/>
        <v>0</v>
      </c>
      <c r="DJ188">
        <f t="shared" si="81"/>
        <v>53.54</v>
      </c>
      <c r="DK188">
        <v>0</v>
      </c>
    </row>
    <row r="189" spans="1:115" x14ac:dyDescent="0.2">
      <c r="A189">
        <f>ROW(Source!A236)</f>
        <v>236</v>
      </c>
      <c r="B189">
        <v>129761633</v>
      </c>
      <c r="C189">
        <v>129763359</v>
      </c>
      <c r="D189">
        <v>0</v>
      </c>
      <c r="E189">
        <v>0</v>
      </c>
      <c r="F189">
        <v>1</v>
      </c>
      <c r="G189">
        <v>37345137</v>
      </c>
      <c r="H189">
        <v>3</v>
      </c>
      <c r="I189" t="s">
        <v>248</v>
      </c>
      <c r="J189" t="s">
        <v>3</v>
      </c>
      <c r="K189" t="s">
        <v>249</v>
      </c>
      <c r="L189">
        <v>1354</v>
      </c>
      <c r="N189">
        <v>1010</v>
      </c>
      <c r="O189" t="s">
        <v>250</v>
      </c>
      <c r="P189" t="s">
        <v>250</v>
      </c>
      <c r="Q189">
        <v>1</v>
      </c>
      <c r="W189">
        <v>0</v>
      </c>
      <c r="X189">
        <v>342305419</v>
      </c>
      <c r="Y189">
        <f t="shared" si="72"/>
        <v>26.455026</v>
      </c>
      <c r="AA189">
        <v>23561.99</v>
      </c>
      <c r="AB189">
        <v>0</v>
      </c>
      <c r="AC189">
        <v>0</v>
      </c>
      <c r="AD189">
        <v>0</v>
      </c>
      <c r="AE189">
        <v>2723.93</v>
      </c>
      <c r="AF189">
        <v>0</v>
      </c>
      <c r="AG189">
        <v>0</v>
      </c>
      <c r="AH189">
        <v>0</v>
      </c>
      <c r="AI189">
        <v>8.65</v>
      </c>
      <c r="AJ189">
        <v>1</v>
      </c>
      <c r="AK189">
        <v>1</v>
      </c>
      <c r="AL189">
        <v>1</v>
      </c>
      <c r="AN189">
        <v>0</v>
      </c>
      <c r="AO189">
        <v>0</v>
      </c>
      <c r="AP189">
        <v>1</v>
      </c>
      <c r="AQ189">
        <v>0</v>
      </c>
      <c r="AR189">
        <v>0</v>
      </c>
      <c r="AS189" t="s">
        <v>3</v>
      </c>
      <c r="AT189">
        <v>26.455026</v>
      </c>
      <c r="AU189" t="s">
        <v>3</v>
      </c>
      <c r="AV189">
        <v>0</v>
      </c>
      <c r="AW189">
        <v>1</v>
      </c>
      <c r="AX189">
        <v>-1</v>
      </c>
      <c r="AY189">
        <v>0</v>
      </c>
      <c r="AZ189">
        <v>0</v>
      </c>
      <c r="BA189" t="s">
        <v>3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ROUND(Y189*Source!I236,9)</f>
        <v>0.99999998300000004</v>
      </c>
      <c r="CY189">
        <f t="shared" si="73"/>
        <v>23561.99</v>
      </c>
      <c r="CZ189">
        <f t="shared" si="74"/>
        <v>2723.93</v>
      </c>
      <c r="DA189">
        <f t="shared" si="75"/>
        <v>8.65</v>
      </c>
      <c r="DB189">
        <f t="shared" si="76"/>
        <v>72061.64</v>
      </c>
      <c r="DC189">
        <f t="shared" si="77"/>
        <v>0</v>
      </c>
      <c r="DD189" t="s">
        <v>3</v>
      </c>
      <c r="DE189" t="s">
        <v>3</v>
      </c>
      <c r="DF189">
        <f t="shared" si="78"/>
        <v>23561.99</v>
      </c>
      <c r="DG189">
        <f t="shared" si="79"/>
        <v>0</v>
      </c>
      <c r="DH189">
        <f t="shared" si="80"/>
        <v>0</v>
      </c>
      <c r="DI189">
        <f t="shared" si="58"/>
        <v>0</v>
      </c>
      <c r="DJ189">
        <f t="shared" si="81"/>
        <v>23561.99</v>
      </c>
      <c r="DK189">
        <v>0</v>
      </c>
    </row>
    <row r="190" spans="1:115" x14ac:dyDescent="0.2">
      <c r="A190">
        <f>ROW(Source!A236)</f>
        <v>236</v>
      </c>
      <c r="B190">
        <v>129761633</v>
      </c>
      <c r="C190">
        <v>129763359</v>
      </c>
      <c r="D190">
        <v>0</v>
      </c>
      <c r="E190">
        <v>37345137</v>
      </c>
      <c r="F190">
        <v>1</v>
      </c>
      <c r="G190">
        <v>37345137</v>
      </c>
      <c r="H190">
        <v>3</v>
      </c>
      <c r="I190" t="s">
        <v>248</v>
      </c>
      <c r="J190" t="s">
        <v>3</v>
      </c>
      <c r="K190" t="s">
        <v>254</v>
      </c>
      <c r="L190">
        <v>1354</v>
      </c>
      <c r="N190">
        <v>1010</v>
      </c>
      <c r="O190" t="s">
        <v>250</v>
      </c>
      <c r="P190" t="s">
        <v>250</v>
      </c>
      <c r="Q190">
        <v>1</v>
      </c>
      <c r="W190">
        <v>0</v>
      </c>
      <c r="X190">
        <v>-1513666227</v>
      </c>
      <c r="Y190">
        <f t="shared" si="72"/>
        <v>26.455026</v>
      </c>
      <c r="AA190">
        <v>192099.11</v>
      </c>
      <c r="AB190">
        <v>0</v>
      </c>
      <c r="AC190">
        <v>0</v>
      </c>
      <c r="AD190">
        <v>0</v>
      </c>
      <c r="AE190">
        <v>22207.99</v>
      </c>
      <c r="AF190">
        <v>0</v>
      </c>
      <c r="AG190">
        <v>0</v>
      </c>
      <c r="AH190">
        <v>0</v>
      </c>
      <c r="AI190">
        <v>8.65</v>
      </c>
      <c r="AJ190">
        <v>1</v>
      </c>
      <c r="AK190">
        <v>1</v>
      </c>
      <c r="AL190">
        <v>1</v>
      </c>
      <c r="AN190">
        <v>0</v>
      </c>
      <c r="AO190">
        <v>0</v>
      </c>
      <c r="AP190">
        <v>0</v>
      </c>
      <c r="AQ190">
        <v>0</v>
      </c>
      <c r="AR190">
        <v>0</v>
      </c>
      <c r="AS190" t="s">
        <v>3</v>
      </c>
      <c r="AT190">
        <v>26.455026</v>
      </c>
      <c r="AU190" t="s">
        <v>3</v>
      </c>
      <c r="AV190">
        <v>0</v>
      </c>
      <c r="AW190">
        <v>1</v>
      </c>
      <c r="AX190">
        <v>-1</v>
      </c>
      <c r="AY190">
        <v>0</v>
      </c>
      <c r="AZ190">
        <v>0</v>
      </c>
      <c r="BA190" t="s">
        <v>3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ROUND(Y190*Source!I236,9)</f>
        <v>0.99999998300000004</v>
      </c>
      <c r="CY190">
        <f t="shared" si="73"/>
        <v>192099.11</v>
      </c>
      <c r="CZ190">
        <f t="shared" si="74"/>
        <v>22207.99</v>
      </c>
      <c r="DA190">
        <f t="shared" si="75"/>
        <v>8.65</v>
      </c>
      <c r="DB190">
        <f t="shared" si="76"/>
        <v>587512.94999999995</v>
      </c>
      <c r="DC190">
        <f t="shared" si="77"/>
        <v>0</v>
      </c>
      <c r="DD190" t="s">
        <v>3</v>
      </c>
      <c r="DE190" t="s">
        <v>3</v>
      </c>
      <c r="DF190">
        <f t="shared" si="78"/>
        <v>192099.11</v>
      </c>
      <c r="DG190">
        <f t="shared" si="79"/>
        <v>0</v>
      </c>
      <c r="DH190">
        <f t="shared" si="80"/>
        <v>0</v>
      </c>
      <c r="DI190">
        <f t="shared" si="58"/>
        <v>0</v>
      </c>
      <c r="DJ190">
        <f t="shared" si="81"/>
        <v>192099.11</v>
      </c>
      <c r="DK190">
        <v>0</v>
      </c>
    </row>
    <row r="191" spans="1:115" x14ac:dyDescent="0.2">
      <c r="A191">
        <f>ROW(Source!A245)</f>
        <v>245</v>
      </c>
      <c r="B191">
        <v>129761636</v>
      </c>
      <c r="C191">
        <v>129763392</v>
      </c>
      <c r="D191">
        <v>37345142</v>
      </c>
      <c r="E191">
        <v>37345137</v>
      </c>
      <c r="F191">
        <v>1</v>
      </c>
      <c r="G191">
        <v>37345137</v>
      </c>
      <c r="H191">
        <v>1</v>
      </c>
      <c r="I191" t="s">
        <v>1096</v>
      </c>
      <c r="J191" t="s">
        <v>3</v>
      </c>
      <c r="K191" t="s">
        <v>1097</v>
      </c>
      <c r="L191">
        <v>1191</v>
      </c>
      <c r="N191">
        <v>1013</v>
      </c>
      <c r="O191" t="s">
        <v>1098</v>
      </c>
      <c r="P191" t="s">
        <v>1098</v>
      </c>
      <c r="Q191">
        <v>1</v>
      </c>
      <c r="W191">
        <v>0</v>
      </c>
      <c r="X191">
        <v>476480486</v>
      </c>
      <c r="Y191">
        <f>(AT191*1.15)</f>
        <v>140.95549999999997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1</v>
      </c>
      <c r="AJ191">
        <v>1</v>
      </c>
      <c r="AK191">
        <v>1</v>
      </c>
      <c r="AL191">
        <v>1</v>
      </c>
      <c r="AN191">
        <v>0</v>
      </c>
      <c r="AO191">
        <v>1</v>
      </c>
      <c r="AP191">
        <v>1</v>
      </c>
      <c r="AQ191">
        <v>0</v>
      </c>
      <c r="AR191">
        <v>0</v>
      </c>
      <c r="AS191" t="s">
        <v>3</v>
      </c>
      <c r="AT191">
        <v>122.57</v>
      </c>
      <c r="AU191" t="s">
        <v>87</v>
      </c>
      <c r="AV191">
        <v>1</v>
      </c>
      <c r="AW191">
        <v>2</v>
      </c>
      <c r="AX191">
        <v>129763402</v>
      </c>
      <c r="AY191">
        <v>1</v>
      </c>
      <c r="AZ191">
        <v>0</v>
      </c>
      <c r="BA191">
        <v>195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ROUND(Y191*Source!I245,9)</f>
        <v>5.6241244500000001</v>
      </c>
      <c r="CY191">
        <f>AD191</f>
        <v>0</v>
      </c>
      <c r="CZ191">
        <f>AH191</f>
        <v>0</v>
      </c>
      <c r="DA191">
        <f>AL191</f>
        <v>1</v>
      </c>
      <c r="DB191">
        <f>ROUND((ROUND(AT191*CZ191,2)*1.15),6)</f>
        <v>0</v>
      </c>
      <c r="DC191">
        <f>ROUND((ROUND(AT191*AG191,2)*1.15),6)</f>
        <v>0</v>
      </c>
      <c r="DD191" t="s">
        <v>3</v>
      </c>
      <c r="DE191" t="s">
        <v>3</v>
      </c>
      <c r="DF191">
        <f t="shared" ref="DF191:DF203" si="82">ROUND(AE191*CX191,2)</f>
        <v>0</v>
      </c>
      <c r="DG191">
        <f t="shared" si="79"/>
        <v>0</v>
      </c>
      <c r="DH191">
        <f t="shared" si="80"/>
        <v>0</v>
      </c>
      <c r="DI191">
        <f t="shared" si="58"/>
        <v>0</v>
      </c>
      <c r="DJ191">
        <f>DI191</f>
        <v>0</v>
      </c>
      <c r="DK191">
        <v>0</v>
      </c>
    </row>
    <row r="192" spans="1:115" x14ac:dyDescent="0.2">
      <c r="A192">
        <f>ROW(Source!A245)</f>
        <v>245</v>
      </c>
      <c r="B192">
        <v>129761636</v>
      </c>
      <c r="C192">
        <v>129763392</v>
      </c>
      <c r="D192">
        <v>37418445</v>
      </c>
      <c r="E192">
        <v>1</v>
      </c>
      <c r="F192">
        <v>1</v>
      </c>
      <c r="G192">
        <v>37345137</v>
      </c>
      <c r="H192">
        <v>2</v>
      </c>
      <c r="I192" t="s">
        <v>1189</v>
      </c>
      <c r="J192" t="s">
        <v>1190</v>
      </c>
      <c r="K192" t="s">
        <v>1191</v>
      </c>
      <c r="L192">
        <v>1367</v>
      </c>
      <c r="N192">
        <v>1011</v>
      </c>
      <c r="O192" t="s">
        <v>1102</v>
      </c>
      <c r="P192" t="s">
        <v>1102</v>
      </c>
      <c r="Q192">
        <v>1</v>
      </c>
      <c r="W192">
        <v>0</v>
      </c>
      <c r="X192">
        <v>-628430174</v>
      </c>
      <c r="Y192">
        <f>(AT192*1.25)</f>
        <v>4.0999999999999996</v>
      </c>
      <c r="AA192">
        <v>0</v>
      </c>
      <c r="AB192">
        <v>76.81</v>
      </c>
      <c r="AC192">
        <v>14.36</v>
      </c>
      <c r="AD192">
        <v>0</v>
      </c>
      <c r="AE192">
        <v>0</v>
      </c>
      <c r="AF192">
        <v>76.81</v>
      </c>
      <c r="AG192">
        <v>14.36</v>
      </c>
      <c r="AH192">
        <v>0</v>
      </c>
      <c r="AI192">
        <v>1</v>
      </c>
      <c r="AJ192">
        <v>1</v>
      </c>
      <c r="AK192">
        <v>1</v>
      </c>
      <c r="AL192">
        <v>1</v>
      </c>
      <c r="AN192">
        <v>0</v>
      </c>
      <c r="AO192">
        <v>1</v>
      </c>
      <c r="AP192">
        <v>1</v>
      </c>
      <c r="AQ192">
        <v>0</v>
      </c>
      <c r="AR192">
        <v>0</v>
      </c>
      <c r="AS192" t="s">
        <v>3</v>
      </c>
      <c r="AT192">
        <v>3.28</v>
      </c>
      <c r="AU192" t="s">
        <v>86</v>
      </c>
      <c r="AV192">
        <v>0</v>
      </c>
      <c r="AW192">
        <v>2</v>
      </c>
      <c r="AX192">
        <v>129763403</v>
      </c>
      <c r="AY192">
        <v>1</v>
      </c>
      <c r="AZ192">
        <v>0</v>
      </c>
      <c r="BA192">
        <v>196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ROUND(Y192*Source!I245,9)</f>
        <v>0.16359000000000001</v>
      </c>
      <c r="CY192">
        <f>AB192</f>
        <v>76.81</v>
      </c>
      <c r="CZ192">
        <f>AF192</f>
        <v>76.81</v>
      </c>
      <c r="DA192">
        <f>AJ192</f>
        <v>1</v>
      </c>
      <c r="DB192">
        <f>ROUND((ROUND(AT192*CZ192,2)*1.25),6)</f>
        <v>314.92500000000001</v>
      </c>
      <c r="DC192">
        <f>ROUND((ROUND(AT192*AG192,2)*1.25),6)</f>
        <v>58.875</v>
      </c>
      <c r="DD192" t="s">
        <v>3</v>
      </c>
      <c r="DE192" t="s">
        <v>3</v>
      </c>
      <c r="DF192">
        <f t="shared" si="82"/>
        <v>0</v>
      </c>
      <c r="DG192">
        <f t="shared" si="79"/>
        <v>12.57</v>
      </c>
      <c r="DH192">
        <f t="shared" si="80"/>
        <v>2.35</v>
      </c>
      <c r="DI192">
        <f t="shared" si="58"/>
        <v>0</v>
      </c>
      <c r="DJ192">
        <f>DG192</f>
        <v>12.57</v>
      </c>
      <c r="DK192">
        <v>0</v>
      </c>
    </row>
    <row r="193" spans="1:115" x14ac:dyDescent="0.2">
      <c r="A193">
        <f>ROW(Source!A245)</f>
        <v>245</v>
      </c>
      <c r="B193">
        <v>129761636</v>
      </c>
      <c r="C193">
        <v>129763392</v>
      </c>
      <c r="D193">
        <v>37418483</v>
      </c>
      <c r="E193">
        <v>1</v>
      </c>
      <c r="F193">
        <v>1</v>
      </c>
      <c r="G193">
        <v>37345137</v>
      </c>
      <c r="H193">
        <v>2</v>
      </c>
      <c r="I193" t="s">
        <v>1162</v>
      </c>
      <c r="J193" t="s">
        <v>1163</v>
      </c>
      <c r="K193" t="s">
        <v>1164</v>
      </c>
      <c r="L193">
        <v>1367</v>
      </c>
      <c r="N193">
        <v>1011</v>
      </c>
      <c r="O193" t="s">
        <v>1102</v>
      </c>
      <c r="P193" t="s">
        <v>1102</v>
      </c>
      <c r="Q193">
        <v>1</v>
      </c>
      <c r="W193">
        <v>0</v>
      </c>
      <c r="X193">
        <v>814809297</v>
      </c>
      <c r="Y193">
        <f>(AT193*1.25)</f>
        <v>19.2</v>
      </c>
      <c r="AA193">
        <v>0</v>
      </c>
      <c r="AB193">
        <v>1.59</v>
      </c>
      <c r="AC193">
        <v>0.09</v>
      </c>
      <c r="AD193">
        <v>0</v>
      </c>
      <c r="AE193">
        <v>0</v>
      </c>
      <c r="AF193">
        <v>1.59</v>
      </c>
      <c r="AG193">
        <v>0.09</v>
      </c>
      <c r="AH193">
        <v>0</v>
      </c>
      <c r="AI193">
        <v>1</v>
      </c>
      <c r="AJ193">
        <v>1</v>
      </c>
      <c r="AK193">
        <v>1</v>
      </c>
      <c r="AL193">
        <v>1</v>
      </c>
      <c r="AN193">
        <v>0</v>
      </c>
      <c r="AO193">
        <v>1</v>
      </c>
      <c r="AP193">
        <v>1</v>
      </c>
      <c r="AQ193">
        <v>0</v>
      </c>
      <c r="AR193">
        <v>0</v>
      </c>
      <c r="AS193" t="s">
        <v>3</v>
      </c>
      <c r="AT193">
        <v>15.36</v>
      </c>
      <c r="AU193" t="s">
        <v>86</v>
      </c>
      <c r="AV193">
        <v>0</v>
      </c>
      <c r="AW193">
        <v>2</v>
      </c>
      <c r="AX193">
        <v>129763404</v>
      </c>
      <c r="AY193">
        <v>1</v>
      </c>
      <c r="AZ193">
        <v>0</v>
      </c>
      <c r="BA193">
        <v>197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ROUND(Y193*Source!I245,9)</f>
        <v>0.76607999999999998</v>
      </c>
      <c r="CY193">
        <f>AB193</f>
        <v>1.59</v>
      </c>
      <c r="CZ193">
        <f>AF193</f>
        <v>1.59</v>
      </c>
      <c r="DA193">
        <f>AJ193</f>
        <v>1</v>
      </c>
      <c r="DB193">
        <f>ROUND((ROUND(AT193*CZ193,2)*1.25),6)</f>
        <v>30.524999999999999</v>
      </c>
      <c r="DC193">
        <f>ROUND((ROUND(AT193*AG193,2)*1.25),6)</f>
        <v>1.7250000000000001</v>
      </c>
      <c r="DD193" t="s">
        <v>3</v>
      </c>
      <c r="DE193" t="s">
        <v>3</v>
      </c>
      <c r="DF193">
        <f t="shared" si="82"/>
        <v>0</v>
      </c>
      <c r="DG193">
        <f t="shared" si="79"/>
        <v>1.22</v>
      </c>
      <c r="DH193">
        <f t="shared" si="80"/>
        <v>7.0000000000000007E-2</v>
      </c>
      <c r="DI193">
        <f t="shared" ref="DI193:DI256" si="83">ROUND(AH193*CX193,2)</f>
        <v>0</v>
      </c>
      <c r="DJ193">
        <f>DG193</f>
        <v>1.22</v>
      </c>
      <c r="DK193">
        <v>0</v>
      </c>
    </row>
    <row r="194" spans="1:115" x14ac:dyDescent="0.2">
      <c r="A194">
        <f>ROW(Source!A245)</f>
        <v>245</v>
      </c>
      <c r="B194">
        <v>129761636</v>
      </c>
      <c r="C194">
        <v>129763392</v>
      </c>
      <c r="D194">
        <v>37418525</v>
      </c>
      <c r="E194">
        <v>1</v>
      </c>
      <c r="F194">
        <v>1</v>
      </c>
      <c r="G194">
        <v>37345137</v>
      </c>
      <c r="H194">
        <v>2</v>
      </c>
      <c r="I194" t="s">
        <v>1180</v>
      </c>
      <c r="J194" t="s">
        <v>1181</v>
      </c>
      <c r="K194" t="s">
        <v>1182</v>
      </c>
      <c r="L194">
        <v>1367</v>
      </c>
      <c r="N194">
        <v>1011</v>
      </c>
      <c r="O194" t="s">
        <v>1102</v>
      </c>
      <c r="P194" t="s">
        <v>1102</v>
      </c>
      <c r="Q194">
        <v>1</v>
      </c>
      <c r="W194">
        <v>0</v>
      </c>
      <c r="X194">
        <v>926785503</v>
      </c>
      <c r="Y194">
        <f>(AT194*1.25)</f>
        <v>12.4625</v>
      </c>
      <c r="AA194">
        <v>0</v>
      </c>
      <c r="AB194">
        <v>0.64</v>
      </c>
      <c r="AC194">
        <v>0.04</v>
      </c>
      <c r="AD194">
        <v>0</v>
      </c>
      <c r="AE194">
        <v>0</v>
      </c>
      <c r="AF194">
        <v>0.64</v>
      </c>
      <c r="AG194">
        <v>0.04</v>
      </c>
      <c r="AH194">
        <v>0</v>
      </c>
      <c r="AI194">
        <v>1</v>
      </c>
      <c r="AJ194">
        <v>1</v>
      </c>
      <c r="AK194">
        <v>1</v>
      </c>
      <c r="AL194">
        <v>1</v>
      </c>
      <c r="AN194">
        <v>0</v>
      </c>
      <c r="AO194">
        <v>1</v>
      </c>
      <c r="AP194">
        <v>1</v>
      </c>
      <c r="AQ194">
        <v>0</v>
      </c>
      <c r="AR194">
        <v>0</v>
      </c>
      <c r="AS194" t="s">
        <v>3</v>
      </c>
      <c r="AT194">
        <v>9.9700000000000006</v>
      </c>
      <c r="AU194" t="s">
        <v>86</v>
      </c>
      <c r="AV194">
        <v>0</v>
      </c>
      <c r="AW194">
        <v>2</v>
      </c>
      <c r="AX194">
        <v>129763405</v>
      </c>
      <c r="AY194">
        <v>1</v>
      </c>
      <c r="AZ194">
        <v>0</v>
      </c>
      <c r="BA194">
        <v>198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ROUND(Y194*Source!I245,9)</f>
        <v>0.49725374999999999</v>
      </c>
      <c r="CY194">
        <f>AB194</f>
        <v>0.64</v>
      </c>
      <c r="CZ194">
        <f>AF194</f>
        <v>0.64</v>
      </c>
      <c r="DA194">
        <f>AJ194</f>
        <v>1</v>
      </c>
      <c r="DB194">
        <f>ROUND((ROUND(AT194*CZ194,2)*1.25),6)</f>
        <v>7.9749999999999996</v>
      </c>
      <c r="DC194">
        <f>ROUND((ROUND(AT194*AG194,2)*1.25),6)</f>
        <v>0.5</v>
      </c>
      <c r="DD194" t="s">
        <v>3</v>
      </c>
      <c r="DE194" t="s">
        <v>3</v>
      </c>
      <c r="DF194">
        <f t="shared" si="82"/>
        <v>0</v>
      </c>
      <c r="DG194">
        <f t="shared" si="79"/>
        <v>0.32</v>
      </c>
      <c r="DH194">
        <f t="shared" si="80"/>
        <v>0.02</v>
      </c>
      <c r="DI194">
        <f t="shared" si="83"/>
        <v>0</v>
      </c>
      <c r="DJ194">
        <f>DG194</f>
        <v>0.32</v>
      </c>
      <c r="DK194">
        <v>0</v>
      </c>
    </row>
    <row r="195" spans="1:115" x14ac:dyDescent="0.2">
      <c r="A195">
        <f>ROW(Source!A245)</f>
        <v>245</v>
      </c>
      <c r="B195">
        <v>129761636</v>
      </c>
      <c r="C195">
        <v>129763392</v>
      </c>
      <c r="D195">
        <v>37395657</v>
      </c>
      <c r="E195">
        <v>1</v>
      </c>
      <c r="F195">
        <v>1</v>
      </c>
      <c r="G195">
        <v>37345137</v>
      </c>
      <c r="H195">
        <v>3</v>
      </c>
      <c r="I195" t="s">
        <v>1222</v>
      </c>
      <c r="J195" t="s">
        <v>1223</v>
      </c>
      <c r="K195" t="s">
        <v>1224</v>
      </c>
      <c r="L195">
        <v>1354</v>
      </c>
      <c r="N195">
        <v>1010</v>
      </c>
      <c r="O195" t="s">
        <v>250</v>
      </c>
      <c r="P195" t="s">
        <v>250</v>
      </c>
      <c r="Q195">
        <v>1</v>
      </c>
      <c r="W195">
        <v>0</v>
      </c>
      <c r="X195">
        <v>551830403</v>
      </c>
      <c r="Y195">
        <f>AT195</f>
        <v>311</v>
      </c>
      <c r="AA195">
        <v>9.6</v>
      </c>
      <c r="AB195">
        <v>0</v>
      </c>
      <c r="AC195">
        <v>0</v>
      </c>
      <c r="AD195">
        <v>0</v>
      </c>
      <c r="AE195">
        <v>9.6</v>
      </c>
      <c r="AF195">
        <v>0</v>
      </c>
      <c r="AG195">
        <v>0</v>
      </c>
      <c r="AH195">
        <v>0</v>
      </c>
      <c r="AI195">
        <v>1</v>
      </c>
      <c r="AJ195">
        <v>1</v>
      </c>
      <c r="AK195">
        <v>1</v>
      </c>
      <c r="AL195">
        <v>1</v>
      </c>
      <c r="AN195">
        <v>0</v>
      </c>
      <c r="AO195">
        <v>1</v>
      </c>
      <c r="AP195">
        <v>0</v>
      </c>
      <c r="AQ195">
        <v>0</v>
      </c>
      <c r="AR195">
        <v>0</v>
      </c>
      <c r="AS195" t="s">
        <v>3</v>
      </c>
      <c r="AT195">
        <v>311</v>
      </c>
      <c r="AU195" t="s">
        <v>3</v>
      </c>
      <c r="AV195">
        <v>0</v>
      </c>
      <c r="AW195">
        <v>2</v>
      </c>
      <c r="AX195">
        <v>129763406</v>
      </c>
      <c r="AY195">
        <v>1</v>
      </c>
      <c r="AZ195">
        <v>0</v>
      </c>
      <c r="BA195">
        <v>199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ROUND(Y195*Source!I245,9)</f>
        <v>12.408899999999999</v>
      </c>
      <c r="CY195">
        <f>AA195</f>
        <v>9.6</v>
      </c>
      <c r="CZ195">
        <f>AE195</f>
        <v>9.6</v>
      </c>
      <c r="DA195">
        <f>AI195</f>
        <v>1</v>
      </c>
      <c r="DB195">
        <f>ROUND(ROUND(AT195*CZ195,2),6)</f>
        <v>2985.6</v>
      </c>
      <c r="DC195">
        <f>ROUND(ROUND(AT195*AG195,2),6)</f>
        <v>0</v>
      </c>
      <c r="DD195" t="s">
        <v>3</v>
      </c>
      <c r="DE195" t="s">
        <v>3</v>
      </c>
      <c r="DF195">
        <f t="shared" si="82"/>
        <v>119.13</v>
      </c>
      <c r="DG195">
        <f t="shared" si="79"/>
        <v>0</v>
      </c>
      <c r="DH195">
        <f t="shared" si="80"/>
        <v>0</v>
      </c>
      <c r="DI195">
        <f t="shared" si="83"/>
        <v>0</v>
      </c>
      <c r="DJ195">
        <f>DF195</f>
        <v>119.13</v>
      </c>
      <c r="DK195">
        <v>0</v>
      </c>
    </row>
    <row r="196" spans="1:115" x14ac:dyDescent="0.2">
      <c r="A196">
        <f>ROW(Source!A245)</f>
        <v>245</v>
      </c>
      <c r="B196">
        <v>129761636</v>
      </c>
      <c r="C196">
        <v>129763392</v>
      </c>
      <c r="D196">
        <v>37396133</v>
      </c>
      <c r="E196">
        <v>1</v>
      </c>
      <c r="F196">
        <v>1</v>
      </c>
      <c r="G196">
        <v>37345137</v>
      </c>
      <c r="H196">
        <v>3</v>
      </c>
      <c r="I196" t="s">
        <v>269</v>
      </c>
      <c r="J196" t="s">
        <v>271</v>
      </c>
      <c r="K196" t="s">
        <v>1561</v>
      </c>
      <c r="L196">
        <v>1301</v>
      </c>
      <c r="N196">
        <v>1003</v>
      </c>
      <c r="O196" t="s">
        <v>270</v>
      </c>
      <c r="P196" t="s">
        <v>270</v>
      </c>
      <c r="Q196">
        <v>1</v>
      </c>
      <c r="W196">
        <v>0</v>
      </c>
      <c r="X196">
        <v>1955688420</v>
      </c>
      <c r="Y196">
        <f>AT196</f>
        <v>218</v>
      </c>
      <c r="AA196">
        <v>13.06</v>
      </c>
      <c r="AB196">
        <v>0</v>
      </c>
      <c r="AC196">
        <v>0</v>
      </c>
      <c r="AD196">
        <v>0</v>
      </c>
      <c r="AE196">
        <v>13.06</v>
      </c>
      <c r="AF196">
        <v>0</v>
      </c>
      <c r="AG196">
        <v>0</v>
      </c>
      <c r="AH196">
        <v>0</v>
      </c>
      <c r="AI196">
        <v>1</v>
      </c>
      <c r="AJ196">
        <v>1</v>
      </c>
      <c r="AK196">
        <v>1</v>
      </c>
      <c r="AL196">
        <v>1</v>
      </c>
      <c r="AN196">
        <v>0</v>
      </c>
      <c r="AO196">
        <v>0</v>
      </c>
      <c r="AP196">
        <v>0</v>
      </c>
      <c r="AQ196">
        <v>0</v>
      </c>
      <c r="AR196">
        <v>0</v>
      </c>
      <c r="AS196" t="s">
        <v>3</v>
      </c>
      <c r="AT196">
        <v>218</v>
      </c>
      <c r="AU196" t="s">
        <v>3</v>
      </c>
      <c r="AV196">
        <v>0</v>
      </c>
      <c r="AW196">
        <v>1</v>
      </c>
      <c r="AX196">
        <v>-1</v>
      </c>
      <c r="AY196">
        <v>0</v>
      </c>
      <c r="AZ196">
        <v>0</v>
      </c>
      <c r="BA196" t="s">
        <v>3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ROUND(Y196*Source!I245,9)</f>
        <v>8.6981999999999999</v>
      </c>
      <c r="CY196">
        <f>AA196</f>
        <v>13.06</v>
      </c>
      <c r="CZ196">
        <f>AE196</f>
        <v>13.06</v>
      </c>
      <c r="DA196">
        <f>AI196</f>
        <v>1</v>
      </c>
      <c r="DB196">
        <f>ROUND(ROUND(AT196*CZ196,2),6)</f>
        <v>2847.08</v>
      </c>
      <c r="DC196">
        <f>ROUND(ROUND(AT196*AG196,2),6)</f>
        <v>0</v>
      </c>
      <c r="DD196" t="s">
        <v>3</v>
      </c>
      <c r="DE196" t="s">
        <v>3</v>
      </c>
      <c r="DF196">
        <f t="shared" si="82"/>
        <v>113.6</v>
      </c>
      <c r="DG196">
        <f t="shared" si="79"/>
        <v>0</v>
      </c>
      <c r="DH196">
        <f t="shared" si="80"/>
        <v>0</v>
      </c>
      <c r="DI196">
        <f t="shared" si="83"/>
        <v>0</v>
      </c>
      <c r="DJ196">
        <f>DF196</f>
        <v>113.6</v>
      </c>
      <c r="DK196">
        <v>0</v>
      </c>
    </row>
    <row r="197" spans="1:115" x14ac:dyDescent="0.2">
      <c r="A197">
        <f>ROW(Source!A245)</f>
        <v>245</v>
      </c>
      <c r="B197">
        <v>129761636</v>
      </c>
      <c r="C197">
        <v>129763392</v>
      </c>
      <c r="D197">
        <v>37396134</v>
      </c>
      <c r="E197">
        <v>1</v>
      </c>
      <c r="F197">
        <v>1</v>
      </c>
      <c r="G197">
        <v>37345137</v>
      </c>
      <c r="H197">
        <v>3</v>
      </c>
      <c r="I197" t="s">
        <v>273</v>
      </c>
      <c r="J197" t="s">
        <v>274</v>
      </c>
      <c r="K197" t="s">
        <v>1562</v>
      </c>
      <c r="L197">
        <v>1301</v>
      </c>
      <c r="N197">
        <v>1003</v>
      </c>
      <c r="O197" t="s">
        <v>270</v>
      </c>
      <c r="P197" t="s">
        <v>270</v>
      </c>
      <c r="Q197">
        <v>1</v>
      </c>
      <c r="W197">
        <v>0</v>
      </c>
      <c r="X197">
        <v>501320542</v>
      </c>
      <c r="Y197">
        <f>AT197</f>
        <v>40</v>
      </c>
      <c r="AA197">
        <v>12.05</v>
      </c>
      <c r="AB197">
        <v>0</v>
      </c>
      <c r="AC197">
        <v>0</v>
      </c>
      <c r="AD197">
        <v>0</v>
      </c>
      <c r="AE197">
        <v>12.05</v>
      </c>
      <c r="AF197">
        <v>0</v>
      </c>
      <c r="AG197">
        <v>0</v>
      </c>
      <c r="AH197">
        <v>0</v>
      </c>
      <c r="AI197">
        <v>1</v>
      </c>
      <c r="AJ197">
        <v>1</v>
      </c>
      <c r="AK197">
        <v>1</v>
      </c>
      <c r="AL197">
        <v>1</v>
      </c>
      <c r="AN197">
        <v>0</v>
      </c>
      <c r="AO197">
        <v>0</v>
      </c>
      <c r="AP197">
        <v>0</v>
      </c>
      <c r="AQ197">
        <v>0</v>
      </c>
      <c r="AR197">
        <v>0</v>
      </c>
      <c r="AS197" t="s">
        <v>3</v>
      </c>
      <c r="AT197">
        <v>40</v>
      </c>
      <c r="AU197" t="s">
        <v>3</v>
      </c>
      <c r="AV197">
        <v>0</v>
      </c>
      <c r="AW197">
        <v>1</v>
      </c>
      <c r="AX197">
        <v>-1</v>
      </c>
      <c r="AY197">
        <v>0</v>
      </c>
      <c r="AZ197">
        <v>0</v>
      </c>
      <c r="BA197" t="s">
        <v>3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ROUND(Y197*Source!I245,9)</f>
        <v>1.5960000000000001</v>
      </c>
      <c r="CY197">
        <f>AA197</f>
        <v>12.05</v>
      </c>
      <c r="CZ197">
        <f>AE197</f>
        <v>12.05</v>
      </c>
      <c r="DA197">
        <f>AI197</f>
        <v>1</v>
      </c>
      <c r="DB197">
        <f>ROUND(ROUND(AT197*CZ197,2),6)</f>
        <v>482</v>
      </c>
      <c r="DC197">
        <f>ROUND(ROUND(AT197*AG197,2),6)</f>
        <v>0</v>
      </c>
      <c r="DD197" t="s">
        <v>3</v>
      </c>
      <c r="DE197" t="s">
        <v>3</v>
      </c>
      <c r="DF197">
        <f t="shared" si="82"/>
        <v>19.23</v>
      </c>
      <c r="DG197">
        <f t="shared" si="79"/>
        <v>0</v>
      </c>
      <c r="DH197">
        <f t="shared" si="80"/>
        <v>0</v>
      </c>
      <c r="DI197">
        <f t="shared" si="83"/>
        <v>0</v>
      </c>
      <c r="DJ197">
        <f>DF197</f>
        <v>19.23</v>
      </c>
      <c r="DK197">
        <v>0</v>
      </c>
    </row>
    <row r="198" spans="1:115" x14ac:dyDescent="0.2">
      <c r="A198">
        <f>ROW(Source!A245)</f>
        <v>245</v>
      </c>
      <c r="B198">
        <v>129761636</v>
      </c>
      <c r="C198">
        <v>129763392</v>
      </c>
      <c r="D198">
        <v>37394107</v>
      </c>
      <c r="E198">
        <v>1</v>
      </c>
      <c r="F198">
        <v>1</v>
      </c>
      <c r="G198">
        <v>37345137</v>
      </c>
      <c r="H198">
        <v>3</v>
      </c>
      <c r="I198" t="s">
        <v>1168</v>
      </c>
      <c r="J198" t="s">
        <v>1169</v>
      </c>
      <c r="K198" t="s">
        <v>1170</v>
      </c>
      <c r="L198">
        <v>1296</v>
      </c>
      <c r="N198">
        <v>1002</v>
      </c>
      <c r="O198" t="s">
        <v>870</v>
      </c>
      <c r="P198" t="s">
        <v>870</v>
      </c>
      <c r="Q198">
        <v>1</v>
      </c>
      <c r="W198">
        <v>0</v>
      </c>
      <c r="X198">
        <v>1307744319</v>
      </c>
      <c r="Y198">
        <f>AT198</f>
        <v>52.73</v>
      </c>
      <c r="AA198">
        <v>54.7</v>
      </c>
      <c r="AB198">
        <v>0</v>
      </c>
      <c r="AC198">
        <v>0</v>
      </c>
      <c r="AD198">
        <v>0</v>
      </c>
      <c r="AE198">
        <v>54.7</v>
      </c>
      <c r="AF198">
        <v>0</v>
      </c>
      <c r="AG198">
        <v>0</v>
      </c>
      <c r="AH198">
        <v>0</v>
      </c>
      <c r="AI198">
        <v>1</v>
      </c>
      <c r="AJ198">
        <v>1</v>
      </c>
      <c r="AK198">
        <v>1</v>
      </c>
      <c r="AL198">
        <v>1</v>
      </c>
      <c r="AN198">
        <v>0</v>
      </c>
      <c r="AO198">
        <v>1</v>
      </c>
      <c r="AP198">
        <v>0</v>
      </c>
      <c r="AQ198">
        <v>0</v>
      </c>
      <c r="AR198">
        <v>0</v>
      </c>
      <c r="AS198" t="s">
        <v>3</v>
      </c>
      <c r="AT198">
        <v>52.73</v>
      </c>
      <c r="AU198" t="s">
        <v>3</v>
      </c>
      <c r="AV198">
        <v>0</v>
      </c>
      <c r="AW198">
        <v>2</v>
      </c>
      <c r="AX198">
        <v>129763407</v>
      </c>
      <c r="AY198">
        <v>1</v>
      </c>
      <c r="AZ198">
        <v>0</v>
      </c>
      <c r="BA198">
        <v>200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ROUND(Y198*Source!I245,9)</f>
        <v>2.1039270000000001</v>
      </c>
      <c r="CY198">
        <f>AA198</f>
        <v>54.7</v>
      </c>
      <c r="CZ198">
        <f>AE198</f>
        <v>54.7</v>
      </c>
      <c r="DA198">
        <f>AI198</f>
        <v>1</v>
      </c>
      <c r="DB198">
        <f>ROUND(ROUND(AT198*CZ198,2),6)</f>
        <v>2884.33</v>
      </c>
      <c r="DC198">
        <f>ROUND(ROUND(AT198*AG198,2),6)</f>
        <v>0</v>
      </c>
      <c r="DD198" t="s">
        <v>3</v>
      </c>
      <c r="DE198" t="s">
        <v>3</v>
      </c>
      <c r="DF198">
        <f t="shared" si="82"/>
        <v>115.08</v>
      </c>
      <c r="DG198">
        <f t="shared" si="79"/>
        <v>0</v>
      </c>
      <c r="DH198">
        <f t="shared" si="80"/>
        <v>0</v>
      </c>
      <c r="DI198">
        <f t="shared" si="83"/>
        <v>0</v>
      </c>
      <c r="DJ198">
        <f>DF198</f>
        <v>115.08</v>
      </c>
      <c r="DK198">
        <v>0</v>
      </c>
    </row>
    <row r="199" spans="1:115" x14ac:dyDescent="0.2">
      <c r="A199">
        <f>ROW(Source!A245)</f>
        <v>245</v>
      </c>
      <c r="B199">
        <v>129761636</v>
      </c>
      <c r="C199">
        <v>129763392</v>
      </c>
      <c r="D199">
        <v>37417071</v>
      </c>
      <c r="E199">
        <v>1</v>
      </c>
      <c r="F199">
        <v>1</v>
      </c>
      <c r="G199">
        <v>37345137</v>
      </c>
      <c r="H199">
        <v>3</v>
      </c>
      <c r="I199" t="s">
        <v>276</v>
      </c>
      <c r="J199" t="s">
        <v>278</v>
      </c>
      <c r="K199" t="s">
        <v>277</v>
      </c>
      <c r="L199">
        <v>1327</v>
      </c>
      <c r="N199">
        <v>1005</v>
      </c>
      <c r="O199" t="s">
        <v>258</v>
      </c>
      <c r="P199" t="s">
        <v>258</v>
      </c>
      <c r="Q199">
        <v>1</v>
      </c>
      <c r="W199">
        <v>0</v>
      </c>
      <c r="X199">
        <v>627948916</v>
      </c>
      <c r="Y199">
        <f>AT199</f>
        <v>100</v>
      </c>
      <c r="AA199">
        <v>3107.76</v>
      </c>
      <c r="AB199">
        <v>0</v>
      </c>
      <c r="AC199">
        <v>0</v>
      </c>
      <c r="AD199">
        <v>0</v>
      </c>
      <c r="AE199">
        <v>3107.76</v>
      </c>
      <c r="AF199">
        <v>0</v>
      </c>
      <c r="AG199">
        <v>0</v>
      </c>
      <c r="AH199">
        <v>0</v>
      </c>
      <c r="AI199">
        <v>1</v>
      </c>
      <c r="AJ199">
        <v>1</v>
      </c>
      <c r="AK199">
        <v>1</v>
      </c>
      <c r="AL199">
        <v>1</v>
      </c>
      <c r="AN199">
        <v>0</v>
      </c>
      <c r="AO199">
        <v>0</v>
      </c>
      <c r="AP199">
        <v>0</v>
      </c>
      <c r="AQ199">
        <v>0</v>
      </c>
      <c r="AR199">
        <v>0</v>
      </c>
      <c r="AS199" t="s">
        <v>3</v>
      </c>
      <c r="AT199">
        <v>100</v>
      </c>
      <c r="AU199" t="s">
        <v>3</v>
      </c>
      <c r="AV199">
        <v>0</v>
      </c>
      <c r="AW199">
        <v>1</v>
      </c>
      <c r="AX199">
        <v>-1</v>
      </c>
      <c r="AY199">
        <v>0</v>
      </c>
      <c r="AZ199">
        <v>0</v>
      </c>
      <c r="BA199" t="s">
        <v>3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ROUND(Y199*Source!I245,9)</f>
        <v>3.99</v>
      </c>
      <c r="CY199">
        <f>AA199</f>
        <v>3107.76</v>
      </c>
      <c r="CZ199">
        <f>AE199</f>
        <v>3107.76</v>
      </c>
      <c r="DA199">
        <f>AI199</f>
        <v>1</v>
      </c>
      <c r="DB199">
        <f>ROUND(ROUND(AT199*CZ199,2),6)</f>
        <v>310776</v>
      </c>
      <c r="DC199">
        <f>ROUND(ROUND(AT199*AG199,2),6)</f>
        <v>0</v>
      </c>
      <c r="DD199" t="s">
        <v>3</v>
      </c>
      <c r="DE199" t="s">
        <v>3</v>
      </c>
      <c r="DF199">
        <f t="shared" si="82"/>
        <v>12399.96</v>
      </c>
      <c r="DG199">
        <f t="shared" si="79"/>
        <v>0</v>
      </c>
      <c r="DH199">
        <f t="shared" si="80"/>
        <v>0</v>
      </c>
      <c r="DI199">
        <f t="shared" si="83"/>
        <v>0</v>
      </c>
      <c r="DJ199">
        <f>DF199</f>
        <v>12399.96</v>
      </c>
      <c r="DK199">
        <v>0</v>
      </c>
    </row>
    <row r="200" spans="1:115" x14ac:dyDescent="0.2">
      <c r="A200">
        <f>ROW(Source!A246)</f>
        <v>246</v>
      </c>
      <c r="B200">
        <v>129761633</v>
      </c>
      <c r="C200">
        <v>129763392</v>
      </c>
      <c r="D200">
        <v>37345142</v>
      </c>
      <c r="E200">
        <v>37345137</v>
      </c>
      <c r="F200">
        <v>1</v>
      </c>
      <c r="G200">
        <v>37345137</v>
      </c>
      <c r="H200">
        <v>1</v>
      </c>
      <c r="I200" t="s">
        <v>1096</v>
      </c>
      <c r="J200" t="s">
        <v>3</v>
      </c>
      <c r="K200" t="s">
        <v>1097</v>
      </c>
      <c r="L200">
        <v>1191</v>
      </c>
      <c r="N200">
        <v>1013</v>
      </c>
      <c r="O200" t="s">
        <v>1098</v>
      </c>
      <c r="P200" t="s">
        <v>1098</v>
      </c>
      <c r="Q200">
        <v>1</v>
      </c>
      <c r="W200">
        <v>0</v>
      </c>
      <c r="X200">
        <v>476480486</v>
      </c>
      <c r="Y200">
        <f>(AT200*1.15)</f>
        <v>140.95549999999997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1</v>
      </c>
      <c r="AJ200">
        <v>1</v>
      </c>
      <c r="AK200">
        <v>1</v>
      </c>
      <c r="AL200">
        <v>1</v>
      </c>
      <c r="AN200">
        <v>0</v>
      </c>
      <c r="AO200">
        <v>1</v>
      </c>
      <c r="AP200">
        <v>1</v>
      </c>
      <c r="AQ200">
        <v>0</v>
      </c>
      <c r="AR200">
        <v>0</v>
      </c>
      <c r="AS200" t="s">
        <v>3</v>
      </c>
      <c r="AT200">
        <v>122.57</v>
      </c>
      <c r="AU200" t="s">
        <v>87</v>
      </c>
      <c r="AV200">
        <v>1</v>
      </c>
      <c r="AW200">
        <v>2</v>
      </c>
      <c r="AX200">
        <v>129763402</v>
      </c>
      <c r="AY200">
        <v>1</v>
      </c>
      <c r="AZ200">
        <v>0</v>
      </c>
      <c r="BA200">
        <v>205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ROUND(Y200*Source!I246,9)</f>
        <v>5.6241244500000001</v>
      </c>
      <c r="CY200">
        <f>AD200</f>
        <v>0</v>
      </c>
      <c r="CZ200">
        <f>AH200</f>
        <v>0</v>
      </c>
      <c r="DA200">
        <f>AL200</f>
        <v>1</v>
      </c>
      <c r="DB200">
        <f>ROUND((ROUND(AT200*CZ200,2)*1.15),6)</f>
        <v>0</v>
      </c>
      <c r="DC200">
        <f>ROUND((ROUND(AT200*AG200,2)*1.15),6)</f>
        <v>0</v>
      </c>
      <c r="DD200" t="s">
        <v>3</v>
      </c>
      <c r="DE200" t="s">
        <v>3</v>
      </c>
      <c r="DF200">
        <f t="shared" si="82"/>
        <v>0</v>
      </c>
      <c r="DG200">
        <f t="shared" si="79"/>
        <v>0</v>
      </c>
      <c r="DH200">
        <f t="shared" si="80"/>
        <v>0</v>
      </c>
      <c r="DI200">
        <f t="shared" si="83"/>
        <v>0</v>
      </c>
      <c r="DJ200">
        <f>DI200</f>
        <v>0</v>
      </c>
      <c r="DK200">
        <v>0</v>
      </c>
    </row>
    <row r="201" spans="1:115" x14ac:dyDescent="0.2">
      <c r="A201">
        <f>ROW(Source!A246)</f>
        <v>246</v>
      </c>
      <c r="B201">
        <v>129761633</v>
      </c>
      <c r="C201">
        <v>129763392</v>
      </c>
      <c r="D201">
        <v>37418445</v>
      </c>
      <c r="E201">
        <v>1</v>
      </c>
      <c r="F201">
        <v>1</v>
      </c>
      <c r="G201">
        <v>37345137</v>
      </c>
      <c r="H201">
        <v>2</v>
      </c>
      <c r="I201" t="s">
        <v>1189</v>
      </c>
      <c r="J201" t="s">
        <v>1190</v>
      </c>
      <c r="K201" t="s">
        <v>1191</v>
      </c>
      <c r="L201">
        <v>1367</v>
      </c>
      <c r="N201">
        <v>1011</v>
      </c>
      <c r="O201" t="s">
        <v>1102</v>
      </c>
      <c r="P201" t="s">
        <v>1102</v>
      </c>
      <c r="Q201">
        <v>1</v>
      </c>
      <c r="W201">
        <v>0</v>
      </c>
      <c r="X201">
        <v>-628430174</v>
      </c>
      <c r="Y201">
        <f>(AT201*1.25)</f>
        <v>4.0999999999999996</v>
      </c>
      <c r="AA201">
        <v>0</v>
      </c>
      <c r="AB201">
        <v>918.4</v>
      </c>
      <c r="AC201">
        <v>436.46</v>
      </c>
      <c r="AD201">
        <v>0</v>
      </c>
      <c r="AE201">
        <v>0</v>
      </c>
      <c r="AF201">
        <v>76.81</v>
      </c>
      <c r="AG201">
        <v>14.36</v>
      </c>
      <c r="AH201">
        <v>0</v>
      </c>
      <c r="AI201">
        <v>1</v>
      </c>
      <c r="AJ201">
        <v>11.42</v>
      </c>
      <c r="AK201">
        <v>29.03</v>
      </c>
      <c r="AL201">
        <v>1</v>
      </c>
      <c r="AN201">
        <v>0</v>
      </c>
      <c r="AO201">
        <v>1</v>
      </c>
      <c r="AP201">
        <v>1</v>
      </c>
      <c r="AQ201">
        <v>0</v>
      </c>
      <c r="AR201">
        <v>0</v>
      </c>
      <c r="AS201" t="s">
        <v>3</v>
      </c>
      <c r="AT201">
        <v>3.28</v>
      </c>
      <c r="AU201" t="s">
        <v>86</v>
      </c>
      <c r="AV201">
        <v>0</v>
      </c>
      <c r="AW201">
        <v>2</v>
      </c>
      <c r="AX201">
        <v>129763403</v>
      </c>
      <c r="AY201">
        <v>1</v>
      </c>
      <c r="AZ201">
        <v>0</v>
      </c>
      <c r="BA201">
        <v>206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ROUND(Y201*Source!I246,9)</f>
        <v>0.16359000000000001</v>
      </c>
      <c r="CY201">
        <f>AB201</f>
        <v>918.4</v>
      </c>
      <c r="CZ201">
        <f>AF201</f>
        <v>76.81</v>
      </c>
      <c r="DA201">
        <f>AJ201</f>
        <v>11.42</v>
      </c>
      <c r="DB201">
        <f>ROUND((ROUND(AT201*CZ201,2)*1.25),6)</f>
        <v>314.92500000000001</v>
      </c>
      <c r="DC201">
        <f>ROUND((ROUND(AT201*AG201,2)*1.25),6)</f>
        <v>58.875</v>
      </c>
      <c r="DD201" t="s">
        <v>3</v>
      </c>
      <c r="DE201" t="s">
        <v>3</v>
      </c>
      <c r="DF201">
        <f t="shared" si="82"/>
        <v>0</v>
      </c>
      <c r="DG201">
        <f>ROUND(ROUND(AF201*CX201,2)*AJ201,2)</f>
        <v>143.55000000000001</v>
      </c>
      <c r="DH201">
        <f>ROUND(ROUND(AG201*CX201,2)*AK201,2)</f>
        <v>68.22</v>
      </c>
      <c r="DI201">
        <f t="shared" si="83"/>
        <v>0</v>
      </c>
      <c r="DJ201">
        <f>DG201</f>
        <v>143.55000000000001</v>
      </c>
      <c r="DK201">
        <v>0</v>
      </c>
    </row>
    <row r="202" spans="1:115" x14ac:dyDescent="0.2">
      <c r="A202">
        <f>ROW(Source!A246)</f>
        <v>246</v>
      </c>
      <c r="B202">
        <v>129761633</v>
      </c>
      <c r="C202">
        <v>129763392</v>
      </c>
      <c r="D202">
        <v>37418483</v>
      </c>
      <c r="E202">
        <v>1</v>
      </c>
      <c r="F202">
        <v>1</v>
      </c>
      <c r="G202">
        <v>37345137</v>
      </c>
      <c r="H202">
        <v>2</v>
      </c>
      <c r="I202" t="s">
        <v>1162</v>
      </c>
      <c r="J202" t="s">
        <v>1163</v>
      </c>
      <c r="K202" t="s">
        <v>1164</v>
      </c>
      <c r="L202">
        <v>1367</v>
      </c>
      <c r="N202">
        <v>1011</v>
      </c>
      <c r="O202" t="s">
        <v>1102</v>
      </c>
      <c r="P202" t="s">
        <v>1102</v>
      </c>
      <c r="Q202">
        <v>1</v>
      </c>
      <c r="W202">
        <v>0</v>
      </c>
      <c r="X202">
        <v>814809297</v>
      </c>
      <c r="Y202">
        <f>(AT202*1.25)</f>
        <v>19.2</v>
      </c>
      <c r="AA202">
        <v>0</v>
      </c>
      <c r="AB202">
        <v>13.17</v>
      </c>
      <c r="AC202">
        <v>2.74</v>
      </c>
      <c r="AD202">
        <v>0</v>
      </c>
      <c r="AE202">
        <v>0</v>
      </c>
      <c r="AF202">
        <v>1.59</v>
      </c>
      <c r="AG202">
        <v>0.09</v>
      </c>
      <c r="AH202">
        <v>0</v>
      </c>
      <c r="AI202">
        <v>1</v>
      </c>
      <c r="AJ202">
        <v>7.91</v>
      </c>
      <c r="AK202">
        <v>29.03</v>
      </c>
      <c r="AL202">
        <v>1</v>
      </c>
      <c r="AN202">
        <v>0</v>
      </c>
      <c r="AO202">
        <v>1</v>
      </c>
      <c r="AP202">
        <v>1</v>
      </c>
      <c r="AQ202">
        <v>0</v>
      </c>
      <c r="AR202">
        <v>0</v>
      </c>
      <c r="AS202" t="s">
        <v>3</v>
      </c>
      <c r="AT202">
        <v>15.36</v>
      </c>
      <c r="AU202" t="s">
        <v>86</v>
      </c>
      <c r="AV202">
        <v>0</v>
      </c>
      <c r="AW202">
        <v>2</v>
      </c>
      <c r="AX202">
        <v>129763404</v>
      </c>
      <c r="AY202">
        <v>1</v>
      </c>
      <c r="AZ202">
        <v>0</v>
      </c>
      <c r="BA202">
        <v>207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ROUND(Y202*Source!I246,9)</f>
        <v>0.76607999999999998</v>
      </c>
      <c r="CY202">
        <f>AB202</f>
        <v>13.17</v>
      </c>
      <c r="CZ202">
        <f>AF202</f>
        <v>1.59</v>
      </c>
      <c r="DA202">
        <f>AJ202</f>
        <v>7.91</v>
      </c>
      <c r="DB202">
        <f>ROUND((ROUND(AT202*CZ202,2)*1.25),6)</f>
        <v>30.524999999999999</v>
      </c>
      <c r="DC202">
        <f>ROUND((ROUND(AT202*AG202,2)*1.25),6)</f>
        <v>1.7250000000000001</v>
      </c>
      <c r="DD202" t="s">
        <v>3</v>
      </c>
      <c r="DE202" t="s">
        <v>3</v>
      </c>
      <c r="DF202">
        <f t="shared" si="82"/>
        <v>0</v>
      </c>
      <c r="DG202">
        <f>ROUND(ROUND(AF202*CX202,2)*AJ202,2)</f>
        <v>9.65</v>
      </c>
      <c r="DH202">
        <f>ROUND(ROUND(AG202*CX202,2)*AK202,2)</f>
        <v>2.0299999999999998</v>
      </c>
      <c r="DI202">
        <f t="shared" si="83"/>
        <v>0</v>
      </c>
      <c r="DJ202">
        <f>DG202</f>
        <v>9.65</v>
      </c>
      <c r="DK202">
        <v>0</v>
      </c>
    </row>
    <row r="203" spans="1:115" x14ac:dyDescent="0.2">
      <c r="A203">
        <f>ROW(Source!A246)</f>
        <v>246</v>
      </c>
      <c r="B203">
        <v>129761633</v>
      </c>
      <c r="C203">
        <v>129763392</v>
      </c>
      <c r="D203">
        <v>37418525</v>
      </c>
      <c r="E203">
        <v>1</v>
      </c>
      <c r="F203">
        <v>1</v>
      </c>
      <c r="G203">
        <v>37345137</v>
      </c>
      <c r="H203">
        <v>2</v>
      </c>
      <c r="I203" t="s">
        <v>1180</v>
      </c>
      <c r="J203" t="s">
        <v>1181</v>
      </c>
      <c r="K203" t="s">
        <v>1182</v>
      </c>
      <c r="L203">
        <v>1367</v>
      </c>
      <c r="N203">
        <v>1011</v>
      </c>
      <c r="O203" t="s">
        <v>1102</v>
      </c>
      <c r="P203" t="s">
        <v>1102</v>
      </c>
      <c r="Q203">
        <v>1</v>
      </c>
      <c r="W203">
        <v>0</v>
      </c>
      <c r="X203">
        <v>926785503</v>
      </c>
      <c r="Y203">
        <f>(AT203*1.25)</f>
        <v>12.4625</v>
      </c>
      <c r="AA203">
        <v>0</v>
      </c>
      <c r="AB203">
        <v>5.36</v>
      </c>
      <c r="AC203">
        <v>1.22</v>
      </c>
      <c r="AD203">
        <v>0</v>
      </c>
      <c r="AE203">
        <v>0</v>
      </c>
      <c r="AF203">
        <v>0.64</v>
      </c>
      <c r="AG203">
        <v>0.04</v>
      </c>
      <c r="AH203">
        <v>0</v>
      </c>
      <c r="AI203">
        <v>1</v>
      </c>
      <c r="AJ203">
        <v>8</v>
      </c>
      <c r="AK203">
        <v>29.03</v>
      </c>
      <c r="AL203">
        <v>1</v>
      </c>
      <c r="AN203">
        <v>0</v>
      </c>
      <c r="AO203">
        <v>1</v>
      </c>
      <c r="AP203">
        <v>1</v>
      </c>
      <c r="AQ203">
        <v>0</v>
      </c>
      <c r="AR203">
        <v>0</v>
      </c>
      <c r="AS203" t="s">
        <v>3</v>
      </c>
      <c r="AT203">
        <v>9.9700000000000006</v>
      </c>
      <c r="AU203" t="s">
        <v>86</v>
      </c>
      <c r="AV203">
        <v>0</v>
      </c>
      <c r="AW203">
        <v>2</v>
      </c>
      <c r="AX203">
        <v>129763405</v>
      </c>
      <c r="AY203">
        <v>1</v>
      </c>
      <c r="AZ203">
        <v>0</v>
      </c>
      <c r="BA203">
        <v>208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ROUND(Y203*Source!I246,9)</f>
        <v>0.49725374999999999</v>
      </c>
      <c r="CY203">
        <f>AB203</f>
        <v>5.36</v>
      </c>
      <c r="CZ203">
        <f>AF203</f>
        <v>0.64</v>
      </c>
      <c r="DA203">
        <f>AJ203</f>
        <v>8</v>
      </c>
      <c r="DB203">
        <f>ROUND((ROUND(AT203*CZ203,2)*1.25),6)</f>
        <v>7.9749999999999996</v>
      </c>
      <c r="DC203">
        <f>ROUND((ROUND(AT203*AG203,2)*1.25),6)</f>
        <v>0.5</v>
      </c>
      <c r="DD203" t="s">
        <v>3</v>
      </c>
      <c r="DE203" t="s">
        <v>3</v>
      </c>
      <c r="DF203">
        <f t="shared" si="82"/>
        <v>0</v>
      </c>
      <c r="DG203">
        <f>ROUND(ROUND(AF203*CX203,2)*AJ203,2)</f>
        <v>2.56</v>
      </c>
      <c r="DH203">
        <f>ROUND(ROUND(AG203*CX203,2)*AK203,2)</f>
        <v>0.57999999999999996</v>
      </c>
      <c r="DI203">
        <f t="shared" si="83"/>
        <v>0</v>
      </c>
      <c r="DJ203">
        <f>DG203</f>
        <v>2.56</v>
      </c>
      <c r="DK203">
        <v>0</v>
      </c>
    </row>
    <row r="204" spans="1:115" x14ac:dyDescent="0.2">
      <c r="A204">
        <f>ROW(Source!A246)</f>
        <v>246</v>
      </c>
      <c r="B204">
        <v>129761633</v>
      </c>
      <c r="C204">
        <v>129763392</v>
      </c>
      <c r="D204">
        <v>37395657</v>
      </c>
      <c r="E204">
        <v>1</v>
      </c>
      <c r="F204">
        <v>1</v>
      </c>
      <c r="G204">
        <v>37345137</v>
      </c>
      <c r="H204">
        <v>3</v>
      </c>
      <c r="I204" t="s">
        <v>1222</v>
      </c>
      <c r="J204" t="s">
        <v>1223</v>
      </c>
      <c r="K204" t="s">
        <v>1224</v>
      </c>
      <c r="L204">
        <v>1354</v>
      </c>
      <c r="N204">
        <v>1010</v>
      </c>
      <c r="O204" t="s">
        <v>250</v>
      </c>
      <c r="P204" t="s">
        <v>250</v>
      </c>
      <c r="Q204">
        <v>1</v>
      </c>
      <c r="W204">
        <v>0</v>
      </c>
      <c r="X204">
        <v>551830403</v>
      </c>
      <c r="Y204">
        <f>AT204</f>
        <v>311</v>
      </c>
      <c r="AA204">
        <v>10.66</v>
      </c>
      <c r="AB204">
        <v>0</v>
      </c>
      <c r="AC204">
        <v>0</v>
      </c>
      <c r="AD204">
        <v>0</v>
      </c>
      <c r="AE204">
        <v>9.6</v>
      </c>
      <c r="AF204">
        <v>0</v>
      </c>
      <c r="AG204">
        <v>0</v>
      </c>
      <c r="AH204">
        <v>0</v>
      </c>
      <c r="AI204">
        <v>1.1100000000000001</v>
      </c>
      <c r="AJ204">
        <v>1</v>
      </c>
      <c r="AK204">
        <v>1</v>
      </c>
      <c r="AL204">
        <v>1</v>
      </c>
      <c r="AN204">
        <v>0</v>
      </c>
      <c r="AO204">
        <v>1</v>
      </c>
      <c r="AP204">
        <v>0</v>
      </c>
      <c r="AQ204">
        <v>0</v>
      </c>
      <c r="AR204">
        <v>0</v>
      </c>
      <c r="AS204" t="s">
        <v>3</v>
      </c>
      <c r="AT204">
        <v>311</v>
      </c>
      <c r="AU204" t="s">
        <v>3</v>
      </c>
      <c r="AV204">
        <v>0</v>
      </c>
      <c r="AW204">
        <v>2</v>
      </c>
      <c r="AX204">
        <v>129763406</v>
      </c>
      <c r="AY204">
        <v>1</v>
      </c>
      <c r="AZ204">
        <v>0</v>
      </c>
      <c r="BA204">
        <v>209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ROUND(Y204*Source!I246,9)</f>
        <v>12.408899999999999</v>
      </c>
      <c r="CY204">
        <f>AA204</f>
        <v>10.66</v>
      </c>
      <c r="CZ204">
        <f>AE204</f>
        <v>9.6</v>
      </c>
      <c r="DA204">
        <f>AI204</f>
        <v>1.1100000000000001</v>
      </c>
      <c r="DB204">
        <f>ROUND(ROUND(AT204*CZ204,2),6)</f>
        <v>2985.6</v>
      </c>
      <c r="DC204">
        <f>ROUND(ROUND(AT204*AG204,2),6)</f>
        <v>0</v>
      </c>
      <c r="DD204" t="s">
        <v>3</v>
      </c>
      <c r="DE204" t="s">
        <v>3</v>
      </c>
      <c r="DF204">
        <f>ROUND(ROUND(AE204*CX204,2)*AI204,2)</f>
        <v>132.22999999999999</v>
      </c>
      <c r="DG204">
        <f t="shared" ref="DG204:DG213" si="84">ROUND(AF204*CX204,2)</f>
        <v>0</v>
      </c>
      <c r="DH204">
        <f t="shared" ref="DH204:DH213" si="85">ROUND(AG204*CX204,2)</f>
        <v>0</v>
      </c>
      <c r="DI204">
        <f t="shared" si="83"/>
        <v>0</v>
      </c>
      <c r="DJ204">
        <f>DF204</f>
        <v>132.22999999999999</v>
      </c>
      <c r="DK204">
        <v>0</v>
      </c>
    </row>
    <row r="205" spans="1:115" x14ac:dyDescent="0.2">
      <c r="A205">
        <f>ROW(Source!A246)</f>
        <v>246</v>
      </c>
      <c r="B205">
        <v>129761633</v>
      </c>
      <c r="C205">
        <v>129763392</v>
      </c>
      <c r="D205">
        <v>37396133</v>
      </c>
      <c r="E205">
        <v>1</v>
      </c>
      <c r="F205">
        <v>1</v>
      </c>
      <c r="G205">
        <v>37345137</v>
      </c>
      <c r="H205">
        <v>3</v>
      </c>
      <c r="I205" t="s">
        <v>269</v>
      </c>
      <c r="J205" t="s">
        <v>271</v>
      </c>
      <c r="K205" t="s">
        <v>1561</v>
      </c>
      <c r="L205">
        <v>1301</v>
      </c>
      <c r="N205">
        <v>1003</v>
      </c>
      <c r="O205" t="s">
        <v>270</v>
      </c>
      <c r="P205" t="s">
        <v>270</v>
      </c>
      <c r="Q205">
        <v>1</v>
      </c>
      <c r="W205">
        <v>0</v>
      </c>
      <c r="X205">
        <v>1955688420</v>
      </c>
      <c r="Y205">
        <f>AT205</f>
        <v>218</v>
      </c>
      <c r="AA205">
        <v>12.93</v>
      </c>
      <c r="AB205">
        <v>0</v>
      </c>
      <c r="AC205">
        <v>0</v>
      </c>
      <c r="AD205">
        <v>0</v>
      </c>
      <c r="AE205">
        <v>13.06</v>
      </c>
      <c r="AF205">
        <v>0</v>
      </c>
      <c r="AG205">
        <v>0</v>
      </c>
      <c r="AH205">
        <v>0</v>
      </c>
      <c r="AI205">
        <v>0.99</v>
      </c>
      <c r="AJ205">
        <v>1</v>
      </c>
      <c r="AK205">
        <v>1</v>
      </c>
      <c r="AL205">
        <v>1</v>
      </c>
      <c r="AN205">
        <v>0</v>
      </c>
      <c r="AO205">
        <v>0</v>
      </c>
      <c r="AP205">
        <v>0</v>
      </c>
      <c r="AQ205">
        <v>0</v>
      </c>
      <c r="AR205">
        <v>0</v>
      </c>
      <c r="AS205" t="s">
        <v>3</v>
      </c>
      <c r="AT205">
        <v>218</v>
      </c>
      <c r="AU205" t="s">
        <v>3</v>
      </c>
      <c r="AV205">
        <v>0</v>
      </c>
      <c r="AW205">
        <v>1</v>
      </c>
      <c r="AX205">
        <v>-1</v>
      </c>
      <c r="AY205">
        <v>0</v>
      </c>
      <c r="AZ205">
        <v>0</v>
      </c>
      <c r="BA205" t="s">
        <v>3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ROUND(Y205*Source!I246,9)</f>
        <v>8.6981999999999999</v>
      </c>
      <c r="CY205">
        <f>AA205</f>
        <v>12.93</v>
      </c>
      <c r="CZ205">
        <f>AE205</f>
        <v>13.06</v>
      </c>
      <c r="DA205">
        <f>AI205</f>
        <v>0.99</v>
      </c>
      <c r="DB205">
        <f>ROUND(ROUND(AT205*CZ205,2),6)</f>
        <v>2847.08</v>
      </c>
      <c r="DC205">
        <f>ROUND(ROUND(AT205*AG205,2),6)</f>
        <v>0</v>
      </c>
      <c r="DD205" t="s">
        <v>3</v>
      </c>
      <c r="DE205" t="s">
        <v>3</v>
      </c>
      <c r="DF205">
        <f>ROUND(ROUND(AE205*CX205,2)*AI205,2)</f>
        <v>112.46</v>
      </c>
      <c r="DG205">
        <f t="shared" si="84"/>
        <v>0</v>
      </c>
      <c r="DH205">
        <f t="shared" si="85"/>
        <v>0</v>
      </c>
      <c r="DI205">
        <f t="shared" si="83"/>
        <v>0</v>
      </c>
      <c r="DJ205">
        <f>DF205</f>
        <v>112.46</v>
      </c>
      <c r="DK205">
        <v>0</v>
      </c>
    </row>
    <row r="206" spans="1:115" x14ac:dyDescent="0.2">
      <c r="A206">
        <f>ROW(Source!A246)</f>
        <v>246</v>
      </c>
      <c r="B206">
        <v>129761633</v>
      </c>
      <c r="C206">
        <v>129763392</v>
      </c>
      <c r="D206">
        <v>37396134</v>
      </c>
      <c r="E206">
        <v>1</v>
      </c>
      <c r="F206">
        <v>1</v>
      </c>
      <c r="G206">
        <v>37345137</v>
      </c>
      <c r="H206">
        <v>3</v>
      </c>
      <c r="I206" t="s">
        <v>273</v>
      </c>
      <c r="J206" t="s">
        <v>274</v>
      </c>
      <c r="K206" t="s">
        <v>1562</v>
      </c>
      <c r="L206">
        <v>1301</v>
      </c>
      <c r="N206">
        <v>1003</v>
      </c>
      <c r="O206" t="s">
        <v>270</v>
      </c>
      <c r="P206" t="s">
        <v>270</v>
      </c>
      <c r="Q206">
        <v>1</v>
      </c>
      <c r="W206">
        <v>0</v>
      </c>
      <c r="X206">
        <v>501320542</v>
      </c>
      <c r="Y206">
        <f>AT206</f>
        <v>40</v>
      </c>
      <c r="AA206">
        <v>8.56</v>
      </c>
      <c r="AB206">
        <v>0</v>
      </c>
      <c r="AC206">
        <v>0</v>
      </c>
      <c r="AD206">
        <v>0</v>
      </c>
      <c r="AE206">
        <v>12.05</v>
      </c>
      <c r="AF206">
        <v>0</v>
      </c>
      <c r="AG206">
        <v>0</v>
      </c>
      <c r="AH206">
        <v>0</v>
      </c>
      <c r="AI206">
        <v>0.71</v>
      </c>
      <c r="AJ206">
        <v>1</v>
      </c>
      <c r="AK206">
        <v>1</v>
      </c>
      <c r="AL206">
        <v>1</v>
      </c>
      <c r="AN206">
        <v>0</v>
      </c>
      <c r="AO206">
        <v>0</v>
      </c>
      <c r="AP206">
        <v>0</v>
      </c>
      <c r="AQ206">
        <v>0</v>
      </c>
      <c r="AR206">
        <v>0</v>
      </c>
      <c r="AS206" t="s">
        <v>3</v>
      </c>
      <c r="AT206">
        <v>40</v>
      </c>
      <c r="AU206" t="s">
        <v>3</v>
      </c>
      <c r="AV206">
        <v>0</v>
      </c>
      <c r="AW206">
        <v>1</v>
      </c>
      <c r="AX206">
        <v>-1</v>
      </c>
      <c r="AY206">
        <v>0</v>
      </c>
      <c r="AZ206">
        <v>0</v>
      </c>
      <c r="BA206" t="s">
        <v>3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ROUND(Y206*Source!I246,9)</f>
        <v>1.5960000000000001</v>
      </c>
      <c r="CY206">
        <f>AA206</f>
        <v>8.56</v>
      </c>
      <c r="CZ206">
        <f>AE206</f>
        <v>12.05</v>
      </c>
      <c r="DA206">
        <f>AI206</f>
        <v>0.71</v>
      </c>
      <c r="DB206">
        <f>ROUND(ROUND(AT206*CZ206,2),6)</f>
        <v>482</v>
      </c>
      <c r="DC206">
        <f>ROUND(ROUND(AT206*AG206,2),6)</f>
        <v>0</v>
      </c>
      <c r="DD206" t="s">
        <v>3</v>
      </c>
      <c r="DE206" t="s">
        <v>3</v>
      </c>
      <c r="DF206">
        <f>ROUND(ROUND(AE206*CX206,2)*AI206,2)</f>
        <v>13.65</v>
      </c>
      <c r="DG206">
        <f t="shared" si="84"/>
        <v>0</v>
      </c>
      <c r="DH206">
        <f t="shared" si="85"/>
        <v>0</v>
      </c>
      <c r="DI206">
        <f t="shared" si="83"/>
        <v>0</v>
      </c>
      <c r="DJ206">
        <f>DF206</f>
        <v>13.65</v>
      </c>
      <c r="DK206">
        <v>0</v>
      </c>
    </row>
    <row r="207" spans="1:115" x14ac:dyDescent="0.2">
      <c r="A207">
        <f>ROW(Source!A246)</f>
        <v>246</v>
      </c>
      <c r="B207">
        <v>129761633</v>
      </c>
      <c r="C207">
        <v>129763392</v>
      </c>
      <c r="D207">
        <v>37394107</v>
      </c>
      <c r="E207">
        <v>1</v>
      </c>
      <c r="F207">
        <v>1</v>
      </c>
      <c r="G207">
        <v>37345137</v>
      </c>
      <c r="H207">
        <v>3</v>
      </c>
      <c r="I207" t="s">
        <v>1168</v>
      </c>
      <c r="J207" t="s">
        <v>1169</v>
      </c>
      <c r="K207" t="s">
        <v>1170</v>
      </c>
      <c r="L207">
        <v>1296</v>
      </c>
      <c r="N207">
        <v>1002</v>
      </c>
      <c r="O207" t="s">
        <v>870</v>
      </c>
      <c r="P207" t="s">
        <v>870</v>
      </c>
      <c r="Q207">
        <v>1</v>
      </c>
      <c r="W207">
        <v>0</v>
      </c>
      <c r="X207">
        <v>1307744319</v>
      </c>
      <c r="Y207">
        <f>AT207</f>
        <v>52.73</v>
      </c>
      <c r="AA207">
        <v>268.02999999999997</v>
      </c>
      <c r="AB207">
        <v>0</v>
      </c>
      <c r="AC207">
        <v>0</v>
      </c>
      <c r="AD207">
        <v>0</v>
      </c>
      <c r="AE207">
        <v>54.7</v>
      </c>
      <c r="AF207">
        <v>0</v>
      </c>
      <c r="AG207">
        <v>0</v>
      </c>
      <c r="AH207">
        <v>0</v>
      </c>
      <c r="AI207">
        <v>4.9000000000000004</v>
      </c>
      <c r="AJ207">
        <v>1</v>
      </c>
      <c r="AK207">
        <v>1</v>
      </c>
      <c r="AL207">
        <v>1</v>
      </c>
      <c r="AN207">
        <v>0</v>
      </c>
      <c r="AO207">
        <v>1</v>
      </c>
      <c r="AP207">
        <v>0</v>
      </c>
      <c r="AQ207">
        <v>0</v>
      </c>
      <c r="AR207">
        <v>0</v>
      </c>
      <c r="AS207" t="s">
        <v>3</v>
      </c>
      <c r="AT207">
        <v>52.73</v>
      </c>
      <c r="AU207" t="s">
        <v>3</v>
      </c>
      <c r="AV207">
        <v>0</v>
      </c>
      <c r="AW207">
        <v>2</v>
      </c>
      <c r="AX207">
        <v>129763407</v>
      </c>
      <c r="AY207">
        <v>1</v>
      </c>
      <c r="AZ207">
        <v>0</v>
      </c>
      <c r="BA207">
        <v>210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ROUND(Y207*Source!I246,9)</f>
        <v>2.1039270000000001</v>
      </c>
      <c r="CY207">
        <f>AA207</f>
        <v>268.02999999999997</v>
      </c>
      <c r="CZ207">
        <f>AE207</f>
        <v>54.7</v>
      </c>
      <c r="DA207">
        <f>AI207</f>
        <v>4.9000000000000004</v>
      </c>
      <c r="DB207">
        <f>ROUND(ROUND(AT207*CZ207,2),6)</f>
        <v>2884.33</v>
      </c>
      <c r="DC207">
        <f>ROUND(ROUND(AT207*AG207,2),6)</f>
        <v>0</v>
      </c>
      <c r="DD207" t="s">
        <v>3</v>
      </c>
      <c r="DE207" t="s">
        <v>3</v>
      </c>
      <c r="DF207">
        <f>ROUND(ROUND(AE207*CX207,2)*AI207,2)</f>
        <v>563.89</v>
      </c>
      <c r="DG207">
        <f t="shared" si="84"/>
        <v>0</v>
      </c>
      <c r="DH207">
        <f t="shared" si="85"/>
        <v>0</v>
      </c>
      <c r="DI207">
        <f t="shared" si="83"/>
        <v>0</v>
      </c>
      <c r="DJ207">
        <f>DF207</f>
        <v>563.89</v>
      </c>
      <c r="DK207">
        <v>0</v>
      </c>
    </row>
    <row r="208" spans="1:115" x14ac:dyDescent="0.2">
      <c r="A208">
        <f>ROW(Source!A246)</f>
        <v>246</v>
      </c>
      <c r="B208">
        <v>129761633</v>
      </c>
      <c r="C208">
        <v>129763392</v>
      </c>
      <c r="D208">
        <v>37417071</v>
      </c>
      <c r="E208">
        <v>1</v>
      </c>
      <c r="F208">
        <v>1</v>
      </c>
      <c r="G208">
        <v>37345137</v>
      </c>
      <c r="H208">
        <v>3</v>
      </c>
      <c r="I208" t="s">
        <v>276</v>
      </c>
      <c r="J208" t="s">
        <v>278</v>
      </c>
      <c r="K208" t="s">
        <v>277</v>
      </c>
      <c r="L208">
        <v>1327</v>
      </c>
      <c r="N208">
        <v>1005</v>
      </c>
      <c r="O208" t="s">
        <v>258</v>
      </c>
      <c r="P208" t="s">
        <v>258</v>
      </c>
      <c r="Q208">
        <v>1</v>
      </c>
      <c r="W208">
        <v>0</v>
      </c>
      <c r="X208">
        <v>627948916</v>
      </c>
      <c r="Y208">
        <f>AT208</f>
        <v>100</v>
      </c>
      <c r="AA208">
        <v>26882.12</v>
      </c>
      <c r="AB208">
        <v>0</v>
      </c>
      <c r="AC208">
        <v>0</v>
      </c>
      <c r="AD208">
        <v>0</v>
      </c>
      <c r="AE208">
        <v>3107.76</v>
      </c>
      <c r="AF208">
        <v>0</v>
      </c>
      <c r="AG208">
        <v>0</v>
      </c>
      <c r="AH208">
        <v>0</v>
      </c>
      <c r="AI208">
        <v>8.65</v>
      </c>
      <c r="AJ208">
        <v>1</v>
      </c>
      <c r="AK208">
        <v>1</v>
      </c>
      <c r="AL208">
        <v>1</v>
      </c>
      <c r="AN208">
        <v>0</v>
      </c>
      <c r="AO208">
        <v>0</v>
      </c>
      <c r="AP208">
        <v>0</v>
      </c>
      <c r="AQ208">
        <v>0</v>
      </c>
      <c r="AR208">
        <v>0</v>
      </c>
      <c r="AS208" t="s">
        <v>3</v>
      </c>
      <c r="AT208">
        <v>100</v>
      </c>
      <c r="AU208" t="s">
        <v>3</v>
      </c>
      <c r="AV208">
        <v>0</v>
      </c>
      <c r="AW208">
        <v>1</v>
      </c>
      <c r="AX208">
        <v>-1</v>
      </c>
      <c r="AY208">
        <v>0</v>
      </c>
      <c r="AZ208">
        <v>0</v>
      </c>
      <c r="BA208" t="s">
        <v>3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ROUND(Y208*Source!I246,9)</f>
        <v>3.99</v>
      </c>
      <c r="CY208">
        <f>AA208</f>
        <v>26882.12</v>
      </c>
      <c r="CZ208">
        <f>AE208</f>
        <v>3107.76</v>
      </c>
      <c r="DA208">
        <f>AI208</f>
        <v>8.65</v>
      </c>
      <c r="DB208">
        <f>ROUND(ROUND(AT208*CZ208,2),6)</f>
        <v>310776</v>
      </c>
      <c r="DC208">
        <f>ROUND(ROUND(AT208*AG208,2),6)</f>
        <v>0</v>
      </c>
      <c r="DD208" t="s">
        <v>3</v>
      </c>
      <c r="DE208" t="s">
        <v>3</v>
      </c>
      <c r="DF208">
        <f>ROUND(ROUND(AE208*CX208,2)*AI208,2)</f>
        <v>107259.65</v>
      </c>
      <c r="DG208">
        <f t="shared" si="84"/>
        <v>0</v>
      </c>
      <c r="DH208">
        <f t="shared" si="85"/>
        <v>0</v>
      </c>
      <c r="DI208">
        <f t="shared" si="83"/>
        <v>0</v>
      </c>
      <c r="DJ208">
        <f>DF208</f>
        <v>107259.65</v>
      </c>
      <c r="DK208">
        <v>0</v>
      </c>
    </row>
    <row r="209" spans="1:115" x14ac:dyDescent="0.2">
      <c r="A209">
        <f>ROW(Source!A253)</f>
        <v>253</v>
      </c>
      <c r="B209">
        <v>129761636</v>
      </c>
      <c r="C209">
        <v>129763415</v>
      </c>
      <c r="D209">
        <v>37345142</v>
      </c>
      <c r="E209">
        <v>37345137</v>
      </c>
      <c r="F209">
        <v>1</v>
      </c>
      <c r="G209">
        <v>37345137</v>
      </c>
      <c r="H209">
        <v>1</v>
      </c>
      <c r="I209" t="s">
        <v>1096</v>
      </c>
      <c r="J209" t="s">
        <v>3</v>
      </c>
      <c r="K209" t="s">
        <v>1097</v>
      </c>
      <c r="L209">
        <v>1191</v>
      </c>
      <c r="N209">
        <v>1013</v>
      </c>
      <c r="O209" t="s">
        <v>1098</v>
      </c>
      <c r="P209" t="s">
        <v>1098</v>
      </c>
      <c r="Q209">
        <v>1</v>
      </c>
      <c r="W209">
        <v>0</v>
      </c>
      <c r="X209">
        <v>476480486</v>
      </c>
      <c r="Y209">
        <f>(AT209*1.15)</f>
        <v>0.3105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1</v>
      </c>
      <c r="AJ209">
        <v>1</v>
      </c>
      <c r="AK209">
        <v>1</v>
      </c>
      <c r="AL209">
        <v>1</v>
      </c>
      <c r="AN209">
        <v>0</v>
      </c>
      <c r="AO209">
        <v>1</v>
      </c>
      <c r="AP209">
        <v>1</v>
      </c>
      <c r="AQ209">
        <v>0</v>
      </c>
      <c r="AR209">
        <v>0</v>
      </c>
      <c r="AS209" t="s">
        <v>3</v>
      </c>
      <c r="AT209">
        <v>0.27</v>
      </c>
      <c r="AU209" t="s">
        <v>87</v>
      </c>
      <c r="AV209">
        <v>1</v>
      </c>
      <c r="AW209">
        <v>2</v>
      </c>
      <c r="AX209">
        <v>129763420</v>
      </c>
      <c r="AY209">
        <v>1</v>
      </c>
      <c r="AZ209">
        <v>0</v>
      </c>
      <c r="BA209">
        <v>215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ROUND(Y209*Source!I253,9)</f>
        <v>1.863</v>
      </c>
      <c r="CY209">
        <f>AD209</f>
        <v>0</v>
      </c>
      <c r="CZ209">
        <f>AH209</f>
        <v>0</v>
      </c>
      <c r="DA209">
        <f>AL209</f>
        <v>1</v>
      </c>
      <c r="DB209">
        <f>ROUND((ROUND(AT209*CZ209,2)*1.15),6)</f>
        <v>0</v>
      </c>
      <c r="DC209">
        <f>ROUND((ROUND(AT209*AG209,2)*1.15),6)</f>
        <v>0</v>
      </c>
      <c r="DD209" t="s">
        <v>3</v>
      </c>
      <c r="DE209" t="s">
        <v>3</v>
      </c>
      <c r="DF209">
        <f t="shared" ref="DF209:DF215" si="86">ROUND(AE209*CX209,2)</f>
        <v>0</v>
      </c>
      <c r="DG209">
        <f t="shared" si="84"/>
        <v>0</v>
      </c>
      <c r="DH209">
        <f t="shared" si="85"/>
        <v>0</v>
      </c>
      <c r="DI209">
        <f t="shared" si="83"/>
        <v>0</v>
      </c>
      <c r="DJ209">
        <f>DI209</f>
        <v>0</v>
      </c>
      <c r="DK209">
        <v>0</v>
      </c>
    </row>
    <row r="210" spans="1:115" x14ac:dyDescent="0.2">
      <c r="A210">
        <f>ROW(Source!A253)</f>
        <v>253</v>
      </c>
      <c r="B210">
        <v>129761636</v>
      </c>
      <c r="C210">
        <v>129763415</v>
      </c>
      <c r="D210">
        <v>37418525</v>
      </c>
      <c r="E210">
        <v>1</v>
      </c>
      <c r="F210">
        <v>1</v>
      </c>
      <c r="G210">
        <v>37345137</v>
      </c>
      <c r="H210">
        <v>2</v>
      </c>
      <c r="I210" t="s">
        <v>1180</v>
      </c>
      <c r="J210" t="s">
        <v>1181</v>
      </c>
      <c r="K210" t="s">
        <v>1182</v>
      </c>
      <c r="L210">
        <v>1367</v>
      </c>
      <c r="N210">
        <v>1011</v>
      </c>
      <c r="O210" t="s">
        <v>1102</v>
      </c>
      <c r="P210" t="s">
        <v>1102</v>
      </c>
      <c r="Q210">
        <v>1</v>
      </c>
      <c r="W210">
        <v>0</v>
      </c>
      <c r="X210">
        <v>926785503</v>
      </c>
      <c r="Y210">
        <f>(AT210*1.25)</f>
        <v>0.25</v>
      </c>
      <c r="AA210">
        <v>0</v>
      </c>
      <c r="AB210">
        <v>0.64</v>
      </c>
      <c r="AC210">
        <v>0.04</v>
      </c>
      <c r="AD210">
        <v>0</v>
      </c>
      <c r="AE210">
        <v>0</v>
      </c>
      <c r="AF210">
        <v>0.64</v>
      </c>
      <c r="AG210">
        <v>0.04</v>
      </c>
      <c r="AH210">
        <v>0</v>
      </c>
      <c r="AI210">
        <v>1</v>
      </c>
      <c r="AJ210">
        <v>1</v>
      </c>
      <c r="AK210">
        <v>1</v>
      </c>
      <c r="AL210">
        <v>1</v>
      </c>
      <c r="AN210">
        <v>0</v>
      </c>
      <c r="AO210">
        <v>1</v>
      </c>
      <c r="AP210">
        <v>1</v>
      </c>
      <c r="AQ210">
        <v>0</v>
      </c>
      <c r="AR210">
        <v>0</v>
      </c>
      <c r="AS210" t="s">
        <v>3</v>
      </c>
      <c r="AT210">
        <v>0.2</v>
      </c>
      <c r="AU210" t="s">
        <v>86</v>
      </c>
      <c r="AV210">
        <v>0</v>
      </c>
      <c r="AW210">
        <v>2</v>
      </c>
      <c r="AX210">
        <v>129763421</v>
      </c>
      <c r="AY210">
        <v>1</v>
      </c>
      <c r="AZ210">
        <v>0</v>
      </c>
      <c r="BA210">
        <v>216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ROUND(Y210*Source!I253,9)</f>
        <v>1.5</v>
      </c>
      <c r="CY210">
        <f>AB210</f>
        <v>0.64</v>
      </c>
      <c r="CZ210">
        <f>AF210</f>
        <v>0.64</v>
      </c>
      <c r="DA210">
        <f>AJ210</f>
        <v>1</v>
      </c>
      <c r="DB210">
        <f>ROUND((ROUND(AT210*CZ210,2)*1.25),6)</f>
        <v>0.16250000000000001</v>
      </c>
      <c r="DC210">
        <f>ROUND((ROUND(AT210*AG210,2)*1.25),6)</f>
        <v>1.2500000000000001E-2</v>
      </c>
      <c r="DD210" t="s">
        <v>3</v>
      </c>
      <c r="DE210" t="s">
        <v>3</v>
      </c>
      <c r="DF210">
        <f t="shared" si="86"/>
        <v>0</v>
      </c>
      <c r="DG210">
        <f t="shared" si="84"/>
        <v>0.96</v>
      </c>
      <c r="DH210">
        <f t="shared" si="85"/>
        <v>0.06</v>
      </c>
      <c r="DI210">
        <f t="shared" si="83"/>
        <v>0</v>
      </c>
      <c r="DJ210">
        <f>DG210</f>
        <v>0.96</v>
      </c>
      <c r="DK210">
        <v>0</v>
      </c>
    </row>
    <row r="211" spans="1:115" x14ac:dyDescent="0.2">
      <c r="A211">
        <f>ROW(Source!A253)</f>
        <v>253</v>
      </c>
      <c r="B211">
        <v>129761636</v>
      </c>
      <c r="C211">
        <v>129763415</v>
      </c>
      <c r="D211">
        <v>37345890</v>
      </c>
      <c r="E211">
        <v>37345137</v>
      </c>
      <c r="F211">
        <v>1</v>
      </c>
      <c r="G211">
        <v>37345137</v>
      </c>
      <c r="H211">
        <v>2</v>
      </c>
      <c r="I211" t="s">
        <v>1145</v>
      </c>
      <c r="J211" t="s">
        <v>3</v>
      </c>
      <c r="K211" t="s">
        <v>1146</v>
      </c>
      <c r="L211">
        <v>1344</v>
      </c>
      <c r="N211">
        <v>1008</v>
      </c>
      <c r="O211" t="s">
        <v>1138</v>
      </c>
      <c r="P211" t="s">
        <v>1138</v>
      </c>
      <c r="Q211">
        <v>1</v>
      </c>
      <c r="W211">
        <v>0</v>
      </c>
      <c r="X211">
        <v>-1180195794</v>
      </c>
      <c r="Y211">
        <f>(AT211*1.25)</f>
        <v>6.25E-2</v>
      </c>
      <c r="AA211">
        <v>0</v>
      </c>
      <c r="AB211">
        <v>1</v>
      </c>
      <c r="AC211">
        <v>0</v>
      </c>
      <c r="AD211">
        <v>0</v>
      </c>
      <c r="AE211">
        <v>0</v>
      </c>
      <c r="AF211">
        <v>1</v>
      </c>
      <c r="AG211">
        <v>0</v>
      </c>
      <c r="AH211">
        <v>0</v>
      </c>
      <c r="AI211">
        <v>1</v>
      </c>
      <c r="AJ211">
        <v>1</v>
      </c>
      <c r="AK211">
        <v>1</v>
      </c>
      <c r="AL211">
        <v>1</v>
      </c>
      <c r="AN211">
        <v>0</v>
      </c>
      <c r="AO211">
        <v>1</v>
      </c>
      <c r="AP211">
        <v>1</v>
      </c>
      <c r="AQ211">
        <v>0</v>
      </c>
      <c r="AR211">
        <v>0</v>
      </c>
      <c r="AS211" t="s">
        <v>3</v>
      </c>
      <c r="AT211">
        <v>0.05</v>
      </c>
      <c r="AU211" t="s">
        <v>86</v>
      </c>
      <c r="AV211">
        <v>0</v>
      </c>
      <c r="AW211">
        <v>2</v>
      </c>
      <c r="AX211">
        <v>129763422</v>
      </c>
      <c r="AY211">
        <v>1</v>
      </c>
      <c r="AZ211">
        <v>0</v>
      </c>
      <c r="BA211">
        <v>217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ROUND(Y211*Source!I253,9)</f>
        <v>0.375</v>
      </c>
      <c r="CY211">
        <f>AB211</f>
        <v>1</v>
      </c>
      <c r="CZ211">
        <f>AF211</f>
        <v>1</v>
      </c>
      <c r="DA211">
        <f>AJ211</f>
        <v>1</v>
      </c>
      <c r="DB211">
        <f>ROUND((ROUND(AT211*CZ211,2)*1.25),6)</f>
        <v>6.25E-2</v>
      </c>
      <c r="DC211">
        <f>ROUND((ROUND(AT211*AG211,2)*1.25),6)</f>
        <v>0</v>
      </c>
      <c r="DD211" t="s">
        <v>3</v>
      </c>
      <c r="DE211" t="s">
        <v>3</v>
      </c>
      <c r="DF211">
        <f t="shared" si="86"/>
        <v>0</v>
      </c>
      <c r="DG211">
        <f t="shared" si="84"/>
        <v>0.38</v>
      </c>
      <c r="DH211">
        <f t="shared" si="85"/>
        <v>0</v>
      </c>
      <c r="DI211">
        <f t="shared" si="83"/>
        <v>0</v>
      </c>
      <c r="DJ211">
        <f>DG211</f>
        <v>0.38</v>
      </c>
      <c r="DK211">
        <v>0</v>
      </c>
    </row>
    <row r="212" spans="1:115" x14ac:dyDescent="0.2">
      <c r="A212">
        <f>ROW(Source!A253)</f>
        <v>253</v>
      </c>
      <c r="B212">
        <v>129761636</v>
      </c>
      <c r="C212">
        <v>129763415</v>
      </c>
      <c r="D212">
        <v>37416759</v>
      </c>
      <c r="E212">
        <v>1</v>
      </c>
      <c r="F212">
        <v>1</v>
      </c>
      <c r="G212">
        <v>37345137</v>
      </c>
      <c r="H212">
        <v>3</v>
      </c>
      <c r="I212" t="s">
        <v>287</v>
      </c>
      <c r="J212" t="s">
        <v>289</v>
      </c>
      <c r="K212" t="s">
        <v>288</v>
      </c>
      <c r="L212">
        <v>1354</v>
      </c>
      <c r="N212">
        <v>1010</v>
      </c>
      <c r="O212" t="s">
        <v>250</v>
      </c>
      <c r="P212" t="s">
        <v>250</v>
      </c>
      <c r="Q212">
        <v>1</v>
      </c>
      <c r="W212">
        <v>0</v>
      </c>
      <c r="X212">
        <v>-53843207</v>
      </c>
      <c r="Y212">
        <f>AT212</f>
        <v>1</v>
      </c>
      <c r="AA212">
        <v>267.93</v>
      </c>
      <c r="AB212">
        <v>0</v>
      </c>
      <c r="AC212">
        <v>0</v>
      </c>
      <c r="AD212">
        <v>0</v>
      </c>
      <c r="AE212">
        <v>267.93</v>
      </c>
      <c r="AF212">
        <v>0</v>
      </c>
      <c r="AG212">
        <v>0</v>
      </c>
      <c r="AH212">
        <v>0</v>
      </c>
      <c r="AI212">
        <v>1</v>
      </c>
      <c r="AJ212">
        <v>1</v>
      </c>
      <c r="AK212">
        <v>1</v>
      </c>
      <c r="AL212">
        <v>1</v>
      </c>
      <c r="AN212">
        <v>0</v>
      </c>
      <c r="AO212">
        <v>0</v>
      </c>
      <c r="AP212">
        <v>0</v>
      </c>
      <c r="AQ212">
        <v>0</v>
      </c>
      <c r="AR212">
        <v>0</v>
      </c>
      <c r="AS212" t="s">
        <v>3</v>
      </c>
      <c r="AT212">
        <v>1</v>
      </c>
      <c r="AU212" t="s">
        <v>3</v>
      </c>
      <c r="AV212">
        <v>0</v>
      </c>
      <c r="AW212">
        <v>1</v>
      </c>
      <c r="AX212">
        <v>-1</v>
      </c>
      <c r="AY212">
        <v>0</v>
      </c>
      <c r="AZ212">
        <v>0</v>
      </c>
      <c r="BA212" t="s">
        <v>3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ROUND(Y212*Source!I253,9)</f>
        <v>6</v>
      </c>
      <c r="CY212">
        <f>AA212</f>
        <v>267.93</v>
      </c>
      <c r="CZ212">
        <f>AE212</f>
        <v>267.93</v>
      </c>
      <c r="DA212">
        <f>AI212</f>
        <v>1</v>
      </c>
      <c r="DB212">
        <f>ROUND(ROUND(AT212*CZ212,2),6)</f>
        <v>267.93</v>
      </c>
      <c r="DC212">
        <f>ROUND(ROUND(AT212*AG212,2),6)</f>
        <v>0</v>
      </c>
      <c r="DD212" t="s">
        <v>3</v>
      </c>
      <c r="DE212" t="s">
        <v>3</v>
      </c>
      <c r="DF212">
        <f t="shared" si="86"/>
        <v>1607.58</v>
      </c>
      <c r="DG212">
        <f t="shared" si="84"/>
        <v>0</v>
      </c>
      <c r="DH212">
        <f t="shared" si="85"/>
        <v>0</v>
      </c>
      <c r="DI212">
        <f t="shared" si="83"/>
        <v>0</v>
      </c>
      <c r="DJ212">
        <f>DF212</f>
        <v>1607.58</v>
      </c>
      <c r="DK212">
        <v>0</v>
      </c>
    </row>
    <row r="213" spans="1:115" x14ac:dyDescent="0.2">
      <c r="A213">
        <f>ROW(Source!A254)</f>
        <v>254</v>
      </c>
      <c r="B213">
        <v>129761633</v>
      </c>
      <c r="C213">
        <v>129763415</v>
      </c>
      <c r="D213">
        <v>37345142</v>
      </c>
      <c r="E213">
        <v>37345137</v>
      </c>
      <c r="F213">
        <v>1</v>
      </c>
      <c r="G213">
        <v>37345137</v>
      </c>
      <c r="H213">
        <v>1</v>
      </c>
      <c r="I213" t="s">
        <v>1096</v>
      </c>
      <c r="J213" t="s">
        <v>3</v>
      </c>
      <c r="K213" t="s">
        <v>1097</v>
      </c>
      <c r="L213">
        <v>1191</v>
      </c>
      <c r="N213">
        <v>1013</v>
      </c>
      <c r="O213" t="s">
        <v>1098</v>
      </c>
      <c r="P213" t="s">
        <v>1098</v>
      </c>
      <c r="Q213">
        <v>1</v>
      </c>
      <c r="W213">
        <v>0</v>
      </c>
      <c r="X213">
        <v>476480486</v>
      </c>
      <c r="Y213">
        <f>(AT213*1.15)</f>
        <v>0.3105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1</v>
      </c>
      <c r="AJ213">
        <v>1</v>
      </c>
      <c r="AK213">
        <v>1</v>
      </c>
      <c r="AL213">
        <v>1</v>
      </c>
      <c r="AN213">
        <v>0</v>
      </c>
      <c r="AO213">
        <v>1</v>
      </c>
      <c r="AP213">
        <v>1</v>
      </c>
      <c r="AQ213">
        <v>0</v>
      </c>
      <c r="AR213">
        <v>0</v>
      </c>
      <c r="AS213" t="s">
        <v>3</v>
      </c>
      <c r="AT213">
        <v>0.27</v>
      </c>
      <c r="AU213" t="s">
        <v>87</v>
      </c>
      <c r="AV213">
        <v>1</v>
      </c>
      <c r="AW213">
        <v>2</v>
      </c>
      <c r="AX213">
        <v>129763420</v>
      </c>
      <c r="AY213">
        <v>1</v>
      </c>
      <c r="AZ213">
        <v>0</v>
      </c>
      <c r="BA213">
        <v>219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ROUND(Y213*Source!I254,9)</f>
        <v>1.863</v>
      </c>
      <c r="CY213">
        <f>AD213</f>
        <v>0</v>
      </c>
      <c r="CZ213">
        <f>AH213</f>
        <v>0</v>
      </c>
      <c r="DA213">
        <f>AL213</f>
        <v>1</v>
      </c>
      <c r="DB213">
        <f>ROUND((ROUND(AT213*CZ213,2)*1.15),6)</f>
        <v>0</v>
      </c>
      <c r="DC213">
        <f>ROUND((ROUND(AT213*AG213,2)*1.15),6)</f>
        <v>0</v>
      </c>
      <c r="DD213" t="s">
        <v>3</v>
      </c>
      <c r="DE213" t="s">
        <v>3</v>
      </c>
      <c r="DF213">
        <f t="shared" si="86"/>
        <v>0</v>
      </c>
      <c r="DG213">
        <f t="shared" si="84"/>
        <v>0</v>
      </c>
      <c r="DH213">
        <f t="shared" si="85"/>
        <v>0</v>
      </c>
      <c r="DI213">
        <f t="shared" si="83"/>
        <v>0</v>
      </c>
      <c r="DJ213">
        <f>DI213</f>
        <v>0</v>
      </c>
      <c r="DK213">
        <v>0</v>
      </c>
    </row>
    <row r="214" spans="1:115" x14ac:dyDescent="0.2">
      <c r="A214">
        <f>ROW(Source!A254)</f>
        <v>254</v>
      </c>
      <c r="B214">
        <v>129761633</v>
      </c>
      <c r="C214">
        <v>129763415</v>
      </c>
      <c r="D214">
        <v>37418525</v>
      </c>
      <c r="E214">
        <v>1</v>
      </c>
      <c r="F214">
        <v>1</v>
      </c>
      <c r="G214">
        <v>37345137</v>
      </c>
      <c r="H214">
        <v>2</v>
      </c>
      <c r="I214" t="s">
        <v>1180</v>
      </c>
      <c r="J214" t="s">
        <v>1181</v>
      </c>
      <c r="K214" t="s">
        <v>1182</v>
      </c>
      <c r="L214">
        <v>1367</v>
      </c>
      <c r="N214">
        <v>1011</v>
      </c>
      <c r="O214" t="s">
        <v>1102</v>
      </c>
      <c r="P214" t="s">
        <v>1102</v>
      </c>
      <c r="Q214">
        <v>1</v>
      </c>
      <c r="W214">
        <v>0</v>
      </c>
      <c r="X214">
        <v>926785503</v>
      </c>
      <c r="Y214">
        <f>(AT214*1.25)</f>
        <v>0.25</v>
      </c>
      <c r="AA214">
        <v>0</v>
      </c>
      <c r="AB214">
        <v>5.36</v>
      </c>
      <c r="AC214">
        <v>1.22</v>
      </c>
      <c r="AD214">
        <v>0</v>
      </c>
      <c r="AE214">
        <v>0</v>
      </c>
      <c r="AF214">
        <v>0.64</v>
      </c>
      <c r="AG214">
        <v>0.04</v>
      </c>
      <c r="AH214">
        <v>0</v>
      </c>
      <c r="AI214">
        <v>1</v>
      </c>
      <c r="AJ214">
        <v>8</v>
      </c>
      <c r="AK214">
        <v>29.03</v>
      </c>
      <c r="AL214">
        <v>1</v>
      </c>
      <c r="AN214">
        <v>0</v>
      </c>
      <c r="AO214">
        <v>1</v>
      </c>
      <c r="AP214">
        <v>1</v>
      </c>
      <c r="AQ214">
        <v>0</v>
      </c>
      <c r="AR214">
        <v>0</v>
      </c>
      <c r="AS214" t="s">
        <v>3</v>
      </c>
      <c r="AT214">
        <v>0.2</v>
      </c>
      <c r="AU214" t="s">
        <v>86</v>
      </c>
      <c r="AV214">
        <v>0</v>
      </c>
      <c r="AW214">
        <v>2</v>
      </c>
      <c r="AX214">
        <v>129763421</v>
      </c>
      <c r="AY214">
        <v>1</v>
      </c>
      <c r="AZ214">
        <v>0</v>
      </c>
      <c r="BA214">
        <v>220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ROUND(Y214*Source!I254,9)</f>
        <v>1.5</v>
      </c>
      <c r="CY214">
        <f>AB214</f>
        <v>5.36</v>
      </c>
      <c r="CZ214">
        <f>AF214</f>
        <v>0.64</v>
      </c>
      <c r="DA214">
        <f>AJ214</f>
        <v>8</v>
      </c>
      <c r="DB214">
        <f>ROUND((ROUND(AT214*CZ214,2)*1.25),6)</f>
        <v>0.16250000000000001</v>
      </c>
      <c r="DC214">
        <f>ROUND((ROUND(AT214*AG214,2)*1.25),6)</f>
        <v>1.2500000000000001E-2</v>
      </c>
      <c r="DD214" t="s">
        <v>3</v>
      </c>
      <c r="DE214" t="s">
        <v>3</v>
      </c>
      <c r="DF214">
        <f t="shared" si="86"/>
        <v>0</v>
      </c>
      <c r="DG214">
        <f>ROUND(ROUND(AF214*CX214,2)*AJ214,2)</f>
        <v>7.68</v>
      </c>
      <c r="DH214">
        <f>ROUND(ROUND(AG214*CX214,2)*AK214,2)</f>
        <v>1.74</v>
      </c>
      <c r="DI214">
        <f t="shared" si="83"/>
        <v>0</v>
      </c>
      <c r="DJ214">
        <f>DG214</f>
        <v>7.68</v>
      </c>
      <c r="DK214">
        <v>0</v>
      </c>
    </row>
    <row r="215" spans="1:115" x14ac:dyDescent="0.2">
      <c r="A215">
        <f>ROW(Source!A254)</f>
        <v>254</v>
      </c>
      <c r="B215">
        <v>129761633</v>
      </c>
      <c r="C215">
        <v>129763415</v>
      </c>
      <c r="D215">
        <v>37345890</v>
      </c>
      <c r="E215">
        <v>37345137</v>
      </c>
      <c r="F215">
        <v>1</v>
      </c>
      <c r="G215">
        <v>37345137</v>
      </c>
      <c r="H215">
        <v>2</v>
      </c>
      <c r="I215" t="s">
        <v>1145</v>
      </c>
      <c r="J215" t="s">
        <v>3</v>
      </c>
      <c r="K215" t="s">
        <v>1146</v>
      </c>
      <c r="L215">
        <v>1344</v>
      </c>
      <c r="N215">
        <v>1008</v>
      </c>
      <c r="O215" t="s">
        <v>1138</v>
      </c>
      <c r="P215" t="s">
        <v>1138</v>
      </c>
      <c r="Q215">
        <v>1</v>
      </c>
      <c r="W215">
        <v>0</v>
      </c>
      <c r="X215">
        <v>-1180195794</v>
      </c>
      <c r="Y215">
        <f>(AT215*1.25)</f>
        <v>6.25E-2</v>
      </c>
      <c r="AA215">
        <v>0</v>
      </c>
      <c r="AB215">
        <v>1.05</v>
      </c>
      <c r="AC215">
        <v>0</v>
      </c>
      <c r="AD215">
        <v>0</v>
      </c>
      <c r="AE215">
        <v>0</v>
      </c>
      <c r="AF215">
        <v>1</v>
      </c>
      <c r="AG215">
        <v>0</v>
      </c>
      <c r="AH215">
        <v>0</v>
      </c>
      <c r="AI215">
        <v>1</v>
      </c>
      <c r="AJ215">
        <v>1</v>
      </c>
      <c r="AK215">
        <v>1</v>
      </c>
      <c r="AL215">
        <v>1</v>
      </c>
      <c r="AN215">
        <v>0</v>
      </c>
      <c r="AO215">
        <v>1</v>
      </c>
      <c r="AP215">
        <v>1</v>
      </c>
      <c r="AQ215">
        <v>0</v>
      </c>
      <c r="AR215">
        <v>0</v>
      </c>
      <c r="AS215" t="s">
        <v>3</v>
      </c>
      <c r="AT215">
        <v>0.05</v>
      </c>
      <c r="AU215" t="s">
        <v>86</v>
      </c>
      <c r="AV215">
        <v>0</v>
      </c>
      <c r="AW215">
        <v>2</v>
      </c>
      <c r="AX215">
        <v>129763422</v>
      </c>
      <c r="AY215">
        <v>1</v>
      </c>
      <c r="AZ215">
        <v>0</v>
      </c>
      <c r="BA215">
        <v>221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ROUND(Y215*Source!I254,9)</f>
        <v>0.375</v>
      </c>
      <c r="CY215">
        <f>AB215</f>
        <v>1.05</v>
      </c>
      <c r="CZ215">
        <f>AF215</f>
        <v>1</v>
      </c>
      <c r="DA215">
        <f>AJ215</f>
        <v>1</v>
      </c>
      <c r="DB215">
        <f>ROUND((ROUND(AT215*CZ215,2)*1.25),6)</f>
        <v>6.25E-2</v>
      </c>
      <c r="DC215">
        <f>ROUND((ROUND(AT215*AG215,2)*1.25),6)</f>
        <v>0</v>
      </c>
      <c r="DD215" t="s">
        <v>3</v>
      </c>
      <c r="DE215" t="s">
        <v>3</v>
      </c>
      <c r="DF215">
        <f t="shared" si="86"/>
        <v>0</v>
      </c>
      <c r="DG215">
        <f t="shared" ref="DG215:DG222" si="87">ROUND(AF215*CX215,2)</f>
        <v>0.38</v>
      </c>
      <c r="DH215">
        <f t="shared" ref="DH215:DH222" si="88">ROUND(AG215*CX215,2)</f>
        <v>0</v>
      </c>
      <c r="DI215">
        <f t="shared" si="83"/>
        <v>0</v>
      </c>
      <c r="DJ215">
        <f>DG215</f>
        <v>0.38</v>
      </c>
      <c r="DK215">
        <v>0</v>
      </c>
    </row>
    <row r="216" spans="1:115" x14ac:dyDescent="0.2">
      <c r="A216">
        <f>ROW(Source!A254)</f>
        <v>254</v>
      </c>
      <c r="B216">
        <v>129761633</v>
      </c>
      <c r="C216">
        <v>129763415</v>
      </c>
      <c r="D216">
        <v>37416759</v>
      </c>
      <c r="E216">
        <v>1</v>
      </c>
      <c r="F216">
        <v>1</v>
      </c>
      <c r="G216">
        <v>37345137</v>
      </c>
      <c r="H216">
        <v>3</v>
      </c>
      <c r="I216" t="s">
        <v>287</v>
      </c>
      <c r="J216" t="s">
        <v>289</v>
      </c>
      <c r="K216" t="s">
        <v>288</v>
      </c>
      <c r="L216">
        <v>1354</v>
      </c>
      <c r="N216">
        <v>1010</v>
      </c>
      <c r="O216" t="s">
        <v>250</v>
      </c>
      <c r="P216" t="s">
        <v>250</v>
      </c>
      <c r="Q216">
        <v>1</v>
      </c>
      <c r="W216">
        <v>0</v>
      </c>
      <c r="X216">
        <v>-53843207</v>
      </c>
      <c r="Y216">
        <f>AT216</f>
        <v>1</v>
      </c>
      <c r="AA216">
        <v>1602.22</v>
      </c>
      <c r="AB216">
        <v>0</v>
      </c>
      <c r="AC216">
        <v>0</v>
      </c>
      <c r="AD216">
        <v>0</v>
      </c>
      <c r="AE216">
        <v>267.93</v>
      </c>
      <c r="AF216">
        <v>0</v>
      </c>
      <c r="AG216">
        <v>0</v>
      </c>
      <c r="AH216">
        <v>0</v>
      </c>
      <c r="AI216">
        <v>5.98</v>
      </c>
      <c r="AJ216">
        <v>1</v>
      </c>
      <c r="AK216">
        <v>1</v>
      </c>
      <c r="AL216">
        <v>1</v>
      </c>
      <c r="AN216">
        <v>0</v>
      </c>
      <c r="AO216">
        <v>0</v>
      </c>
      <c r="AP216">
        <v>0</v>
      </c>
      <c r="AQ216">
        <v>0</v>
      </c>
      <c r="AR216">
        <v>0</v>
      </c>
      <c r="AS216" t="s">
        <v>3</v>
      </c>
      <c r="AT216">
        <v>1</v>
      </c>
      <c r="AU216" t="s">
        <v>3</v>
      </c>
      <c r="AV216">
        <v>0</v>
      </c>
      <c r="AW216">
        <v>1</v>
      </c>
      <c r="AX216">
        <v>-1</v>
      </c>
      <c r="AY216">
        <v>0</v>
      </c>
      <c r="AZ216">
        <v>0</v>
      </c>
      <c r="BA216" t="s">
        <v>3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ROUND(Y216*Source!I254,9)</f>
        <v>6</v>
      </c>
      <c r="CY216">
        <f>AA216</f>
        <v>1602.22</v>
      </c>
      <c r="CZ216">
        <f>AE216</f>
        <v>267.93</v>
      </c>
      <c r="DA216">
        <f>AI216</f>
        <v>5.98</v>
      </c>
      <c r="DB216">
        <f>ROUND(ROUND(AT216*CZ216,2),6)</f>
        <v>267.93</v>
      </c>
      <c r="DC216">
        <f>ROUND(ROUND(AT216*AG216,2),6)</f>
        <v>0</v>
      </c>
      <c r="DD216" t="s">
        <v>3</v>
      </c>
      <c r="DE216" t="s">
        <v>3</v>
      </c>
      <c r="DF216">
        <f>ROUND(ROUND(AE216*CX216,2)*AI216,2)</f>
        <v>9613.33</v>
      </c>
      <c r="DG216">
        <f t="shared" si="87"/>
        <v>0</v>
      </c>
      <c r="DH216">
        <f t="shared" si="88"/>
        <v>0</v>
      </c>
      <c r="DI216">
        <f t="shared" si="83"/>
        <v>0</v>
      </c>
      <c r="DJ216">
        <f>DF216</f>
        <v>9613.33</v>
      </c>
      <c r="DK216">
        <v>0</v>
      </c>
    </row>
    <row r="217" spans="1:115" x14ac:dyDescent="0.2">
      <c r="A217">
        <f>ROW(Source!A257)</f>
        <v>257</v>
      </c>
      <c r="B217">
        <v>129761636</v>
      </c>
      <c r="C217">
        <v>129763425</v>
      </c>
      <c r="D217">
        <v>37345142</v>
      </c>
      <c r="E217">
        <v>37345137</v>
      </c>
      <c r="F217">
        <v>1</v>
      </c>
      <c r="G217">
        <v>37345137</v>
      </c>
      <c r="H217">
        <v>1</v>
      </c>
      <c r="I217" t="s">
        <v>1096</v>
      </c>
      <c r="J217" t="s">
        <v>3</v>
      </c>
      <c r="K217" t="s">
        <v>1097</v>
      </c>
      <c r="L217">
        <v>1191</v>
      </c>
      <c r="N217">
        <v>1013</v>
      </c>
      <c r="O217" t="s">
        <v>1098</v>
      </c>
      <c r="P217" t="s">
        <v>1098</v>
      </c>
      <c r="Q217">
        <v>1</v>
      </c>
      <c r="W217">
        <v>0</v>
      </c>
      <c r="X217">
        <v>476480486</v>
      </c>
      <c r="Y217">
        <f>(AT217*1.15)</f>
        <v>312.79999999999995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1</v>
      </c>
      <c r="AJ217">
        <v>1</v>
      </c>
      <c r="AK217">
        <v>1</v>
      </c>
      <c r="AL217">
        <v>1</v>
      </c>
      <c r="AN217">
        <v>0</v>
      </c>
      <c r="AO217">
        <v>1</v>
      </c>
      <c r="AP217">
        <v>1</v>
      </c>
      <c r="AQ217">
        <v>0</v>
      </c>
      <c r="AR217">
        <v>0</v>
      </c>
      <c r="AS217" t="s">
        <v>3</v>
      </c>
      <c r="AT217">
        <v>272</v>
      </c>
      <c r="AU217" t="s">
        <v>87</v>
      </c>
      <c r="AV217">
        <v>1</v>
      </c>
      <c r="AW217">
        <v>2</v>
      </c>
      <c r="AX217">
        <v>129763431</v>
      </c>
      <c r="AY217">
        <v>1</v>
      </c>
      <c r="AZ217">
        <v>0</v>
      </c>
      <c r="BA217">
        <v>223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ROUND(Y217*Source!I257,9)</f>
        <v>3.1280000000000001</v>
      </c>
      <c r="CY217">
        <f>AD217</f>
        <v>0</v>
      </c>
      <c r="CZ217">
        <f>AH217</f>
        <v>0</v>
      </c>
      <c r="DA217">
        <f>AL217</f>
        <v>1</v>
      </c>
      <c r="DB217">
        <f>ROUND((ROUND(AT217*CZ217,2)*1.15),6)</f>
        <v>0</v>
      </c>
      <c r="DC217">
        <f>ROUND((ROUND(AT217*AG217,2)*1.15),6)</f>
        <v>0</v>
      </c>
      <c r="DD217" t="s">
        <v>3</v>
      </c>
      <c r="DE217" t="s">
        <v>3</v>
      </c>
      <c r="DF217">
        <f t="shared" ref="DF217:DF224" si="89">ROUND(AE217*CX217,2)</f>
        <v>0</v>
      </c>
      <c r="DG217">
        <f t="shared" si="87"/>
        <v>0</v>
      </c>
      <c r="DH217">
        <f t="shared" si="88"/>
        <v>0</v>
      </c>
      <c r="DI217">
        <f t="shared" si="83"/>
        <v>0</v>
      </c>
      <c r="DJ217">
        <f>DI217</f>
        <v>0</v>
      </c>
      <c r="DK217">
        <v>0</v>
      </c>
    </row>
    <row r="218" spans="1:115" x14ac:dyDescent="0.2">
      <c r="A218">
        <f>ROW(Source!A257)</f>
        <v>257</v>
      </c>
      <c r="B218">
        <v>129761636</v>
      </c>
      <c r="C218">
        <v>129763425</v>
      </c>
      <c r="D218">
        <v>37417692</v>
      </c>
      <c r="E218">
        <v>1</v>
      </c>
      <c r="F218">
        <v>1</v>
      </c>
      <c r="G218">
        <v>37345137</v>
      </c>
      <c r="H218">
        <v>2</v>
      </c>
      <c r="I218" t="s">
        <v>1127</v>
      </c>
      <c r="J218" t="s">
        <v>1128</v>
      </c>
      <c r="K218" t="s">
        <v>1129</v>
      </c>
      <c r="L218">
        <v>1367</v>
      </c>
      <c r="N218">
        <v>1011</v>
      </c>
      <c r="O218" t="s">
        <v>1102</v>
      </c>
      <c r="P218" t="s">
        <v>1102</v>
      </c>
      <c r="Q218">
        <v>1</v>
      </c>
      <c r="W218">
        <v>0</v>
      </c>
      <c r="X218">
        <v>-266174272</v>
      </c>
      <c r="Y218">
        <f>(AT218*1.25)</f>
        <v>3</v>
      </c>
      <c r="AA218">
        <v>0</v>
      </c>
      <c r="AB218">
        <v>190.93</v>
      </c>
      <c r="AC218">
        <v>18.149999999999999</v>
      </c>
      <c r="AD218">
        <v>0</v>
      </c>
      <c r="AE218">
        <v>0</v>
      </c>
      <c r="AF218">
        <v>190.93</v>
      </c>
      <c r="AG218">
        <v>18.149999999999999</v>
      </c>
      <c r="AH218">
        <v>0</v>
      </c>
      <c r="AI218">
        <v>1</v>
      </c>
      <c r="AJ218">
        <v>1</v>
      </c>
      <c r="AK218">
        <v>1</v>
      </c>
      <c r="AL218">
        <v>1</v>
      </c>
      <c r="AN218">
        <v>0</v>
      </c>
      <c r="AO218">
        <v>1</v>
      </c>
      <c r="AP218">
        <v>1</v>
      </c>
      <c r="AQ218">
        <v>0</v>
      </c>
      <c r="AR218">
        <v>0</v>
      </c>
      <c r="AS218" t="s">
        <v>3</v>
      </c>
      <c r="AT218">
        <v>2.4</v>
      </c>
      <c r="AU218" t="s">
        <v>86</v>
      </c>
      <c r="AV218">
        <v>0</v>
      </c>
      <c r="AW218">
        <v>2</v>
      </c>
      <c r="AX218">
        <v>129763432</v>
      </c>
      <c r="AY218">
        <v>1</v>
      </c>
      <c r="AZ218">
        <v>0</v>
      </c>
      <c r="BA218">
        <v>224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ROUND(Y218*Source!I257,9)</f>
        <v>0.03</v>
      </c>
      <c r="CY218">
        <f>AB218</f>
        <v>190.93</v>
      </c>
      <c r="CZ218">
        <f>AF218</f>
        <v>190.93</v>
      </c>
      <c r="DA218">
        <f>AJ218</f>
        <v>1</v>
      </c>
      <c r="DB218">
        <f>ROUND((ROUND(AT218*CZ218,2)*1.25),6)</f>
        <v>572.78750000000002</v>
      </c>
      <c r="DC218">
        <f>ROUND((ROUND(AT218*AG218,2)*1.25),6)</f>
        <v>54.45</v>
      </c>
      <c r="DD218" t="s">
        <v>3</v>
      </c>
      <c r="DE218" t="s">
        <v>3</v>
      </c>
      <c r="DF218">
        <f t="shared" si="89"/>
        <v>0</v>
      </c>
      <c r="DG218">
        <f t="shared" si="87"/>
        <v>5.73</v>
      </c>
      <c r="DH218">
        <f t="shared" si="88"/>
        <v>0.54</v>
      </c>
      <c r="DI218">
        <f t="shared" si="83"/>
        <v>0</v>
      </c>
      <c r="DJ218">
        <f>DG218</f>
        <v>5.73</v>
      </c>
      <c r="DK218">
        <v>0</v>
      </c>
    </row>
    <row r="219" spans="1:115" x14ac:dyDescent="0.2">
      <c r="A219">
        <f>ROW(Source!A257)</f>
        <v>257</v>
      </c>
      <c r="B219">
        <v>129761636</v>
      </c>
      <c r="C219">
        <v>129763425</v>
      </c>
      <c r="D219">
        <v>22725217</v>
      </c>
      <c r="E219">
        <v>1</v>
      </c>
      <c r="F219">
        <v>1</v>
      </c>
      <c r="G219">
        <v>37345137</v>
      </c>
      <c r="H219">
        <v>2</v>
      </c>
      <c r="I219" t="s">
        <v>1225</v>
      </c>
      <c r="J219" t="s">
        <v>1226</v>
      </c>
      <c r="K219" t="s">
        <v>1227</v>
      </c>
      <c r="L219">
        <v>1367</v>
      </c>
      <c r="N219">
        <v>1011</v>
      </c>
      <c r="O219" t="s">
        <v>1102</v>
      </c>
      <c r="P219" t="s">
        <v>1102</v>
      </c>
      <c r="Q219">
        <v>1</v>
      </c>
      <c r="W219">
        <v>0</v>
      </c>
      <c r="X219">
        <v>1299918669</v>
      </c>
      <c r="Y219">
        <f>(AT219*1.25)</f>
        <v>78.5</v>
      </c>
      <c r="AA219">
        <v>0</v>
      </c>
      <c r="AB219">
        <v>6.75</v>
      </c>
      <c r="AC219">
        <v>0.32</v>
      </c>
      <c r="AD219">
        <v>0</v>
      </c>
      <c r="AE219">
        <v>0</v>
      </c>
      <c r="AF219">
        <v>6.75</v>
      </c>
      <c r="AG219">
        <v>0.32</v>
      </c>
      <c r="AH219">
        <v>0</v>
      </c>
      <c r="AI219">
        <v>1</v>
      </c>
      <c r="AJ219">
        <v>1</v>
      </c>
      <c r="AK219">
        <v>1</v>
      </c>
      <c r="AL219">
        <v>1</v>
      </c>
      <c r="AN219">
        <v>0</v>
      </c>
      <c r="AO219">
        <v>1</v>
      </c>
      <c r="AP219">
        <v>1</v>
      </c>
      <c r="AQ219">
        <v>0</v>
      </c>
      <c r="AR219">
        <v>0</v>
      </c>
      <c r="AS219" t="s">
        <v>3</v>
      </c>
      <c r="AT219">
        <v>62.8</v>
      </c>
      <c r="AU219" t="s">
        <v>86</v>
      </c>
      <c r="AV219">
        <v>0</v>
      </c>
      <c r="AW219">
        <v>2</v>
      </c>
      <c r="AX219">
        <v>129763433</v>
      </c>
      <c r="AY219">
        <v>1</v>
      </c>
      <c r="AZ219">
        <v>0</v>
      </c>
      <c r="BA219">
        <v>225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ROUND(Y219*Source!I257,9)</f>
        <v>0.78500000000000003</v>
      </c>
      <c r="CY219">
        <f>AB219</f>
        <v>6.75</v>
      </c>
      <c r="CZ219">
        <f>AF219</f>
        <v>6.75</v>
      </c>
      <c r="DA219">
        <f>AJ219</f>
        <v>1</v>
      </c>
      <c r="DB219">
        <f>ROUND((ROUND(AT219*CZ219,2)*1.25),6)</f>
        <v>529.875</v>
      </c>
      <c r="DC219">
        <f>ROUND((ROUND(AT219*AG219,2)*1.25),6)</f>
        <v>25.125</v>
      </c>
      <c r="DD219" t="s">
        <v>3</v>
      </c>
      <c r="DE219" t="s">
        <v>3</v>
      </c>
      <c r="DF219">
        <f t="shared" si="89"/>
        <v>0</v>
      </c>
      <c r="DG219">
        <f t="shared" si="87"/>
        <v>5.3</v>
      </c>
      <c r="DH219">
        <f t="shared" si="88"/>
        <v>0.25</v>
      </c>
      <c r="DI219">
        <f t="shared" si="83"/>
        <v>0</v>
      </c>
      <c r="DJ219">
        <f>DG219</f>
        <v>5.3</v>
      </c>
      <c r="DK219">
        <v>0</v>
      </c>
    </row>
    <row r="220" spans="1:115" x14ac:dyDescent="0.2">
      <c r="A220">
        <f>ROW(Source!A257)</f>
        <v>257</v>
      </c>
      <c r="B220">
        <v>129761636</v>
      </c>
      <c r="C220">
        <v>129763425</v>
      </c>
      <c r="D220">
        <v>37367082</v>
      </c>
      <c r="E220">
        <v>37345137</v>
      </c>
      <c r="F220">
        <v>1</v>
      </c>
      <c r="G220">
        <v>37345137</v>
      </c>
      <c r="H220">
        <v>3</v>
      </c>
      <c r="I220" t="s">
        <v>1136</v>
      </c>
      <c r="J220" t="s">
        <v>3</v>
      </c>
      <c r="K220" t="s">
        <v>1137</v>
      </c>
      <c r="L220">
        <v>1344</v>
      </c>
      <c r="N220">
        <v>1008</v>
      </c>
      <c r="O220" t="s">
        <v>1138</v>
      </c>
      <c r="P220" t="s">
        <v>1138</v>
      </c>
      <c r="Q220">
        <v>1</v>
      </c>
      <c r="W220">
        <v>0</v>
      </c>
      <c r="X220">
        <v>-94250534</v>
      </c>
      <c r="Y220">
        <f>AT220</f>
        <v>60</v>
      </c>
      <c r="AA220">
        <v>1</v>
      </c>
      <c r="AB220">
        <v>0</v>
      </c>
      <c r="AC220">
        <v>0</v>
      </c>
      <c r="AD220">
        <v>0</v>
      </c>
      <c r="AE220">
        <v>1</v>
      </c>
      <c r="AF220">
        <v>0</v>
      </c>
      <c r="AG220">
        <v>0</v>
      </c>
      <c r="AH220">
        <v>0</v>
      </c>
      <c r="AI220">
        <v>1</v>
      </c>
      <c r="AJ220">
        <v>1</v>
      </c>
      <c r="AK220">
        <v>1</v>
      </c>
      <c r="AL220">
        <v>1</v>
      </c>
      <c r="AN220">
        <v>0</v>
      </c>
      <c r="AO220">
        <v>1</v>
      </c>
      <c r="AP220">
        <v>0</v>
      </c>
      <c r="AQ220">
        <v>0</v>
      </c>
      <c r="AR220">
        <v>0</v>
      </c>
      <c r="AS220" t="s">
        <v>3</v>
      </c>
      <c r="AT220">
        <v>60</v>
      </c>
      <c r="AU220" t="s">
        <v>3</v>
      </c>
      <c r="AV220">
        <v>0</v>
      </c>
      <c r="AW220">
        <v>2</v>
      </c>
      <c r="AX220">
        <v>129763435</v>
      </c>
      <c r="AY220">
        <v>1</v>
      </c>
      <c r="AZ220">
        <v>0</v>
      </c>
      <c r="BA220">
        <v>227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ROUND(Y220*Source!I257,9)</f>
        <v>0.6</v>
      </c>
      <c r="CY220">
        <f>AA220</f>
        <v>1</v>
      </c>
      <c r="CZ220">
        <f>AE220</f>
        <v>1</v>
      </c>
      <c r="DA220">
        <f>AI220</f>
        <v>1</v>
      </c>
      <c r="DB220">
        <f>ROUND(ROUND(AT220*CZ220,2),6)</f>
        <v>60</v>
      </c>
      <c r="DC220">
        <f>ROUND(ROUND(AT220*AG220,2),6)</f>
        <v>0</v>
      </c>
      <c r="DD220" t="s">
        <v>3</v>
      </c>
      <c r="DE220" t="s">
        <v>3</v>
      </c>
      <c r="DF220">
        <f t="shared" si="89"/>
        <v>0.6</v>
      </c>
      <c r="DG220">
        <f t="shared" si="87"/>
        <v>0</v>
      </c>
      <c r="DH220">
        <f t="shared" si="88"/>
        <v>0</v>
      </c>
      <c r="DI220">
        <f t="shared" si="83"/>
        <v>0</v>
      </c>
      <c r="DJ220">
        <f>DF220</f>
        <v>0.6</v>
      </c>
      <c r="DK220">
        <v>0</v>
      </c>
    </row>
    <row r="221" spans="1:115" x14ac:dyDescent="0.2">
      <c r="A221">
        <f>ROW(Source!A257)</f>
        <v>257</v>
      </c>
      <c r="B221">
        <v>129761636</v>
      </c>
      <c r="C221">
        <v>129763425</v>
      </c>
      <c r="D221">
        <v>0</v>
      </c>
      <c r="E221">
        <v>1</v>
      </c>
      <c r="F221">
        <v>1</v>
      </c>
      <c r="G221">
        <v>37345137</v>
      </c>
      <c r="H221">
        <v>3</v>
      </c>
      <c r="I221" t="s">
        <v>248</v>
      </c>
      <c r="J221" t="s">
        <v>3</v>
      </c>
      <c r="K221" t="s">
        <v>295</v>
      </c>
      <c r="L221">
        <v>1327</v>
      </c>
      <c r="N221">
        <v>1005</v>
      </c>
      <c r="O221" t="s">
        <v>258</v>
      </c>
      <c r="P221" t="s">
        <v>258</v>
      </c>
      <c r="Q221">
        <v>1</v>
      </c>
      <c r="W221">
        <v>0</v>
      </c>
      <c r="X221">
        <v>1461085409</v>
      </c>
      <c r="Y221">
        <f>AT221</f>
        <v>218.42000000000002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1</v>
      </c>
      <c r="AJ221">
        <v>1</v>
      </c>
      <c r="AK221">
        <v>1</v>
      </c>
      <c r="AL221">
        <v>1</v>
      </c>
      <c r="AN221">
        <v>0</v>
      </c>
      <c r="AO221">
        <v>0</v>
      </c>
      <c r="AP221">
        <v>0</v>
      </c>
      <c r="AQ221">
        <v>0</v>
      </c>
      <c r="AR221">
        <v>0</v>
      </c>
      <c r="AS221" t="s">
        <v>3</v>
      </c>
      <c r="AT221">
        <v>218.42000000000002</v>
      </c>
      <c r="AU221" t="s">
        <v>3</v>
      </c>
      <c r="AV221">
        <v>0</v>
      </c>
      <c r="AW221">
        <v>1</v>
      </c>
      <c r="AX221">
        <v>-1</v>
      </c>
      <c r="AY221">
        <v>0</v>
      </c>
      <c r="AZ221">
        <v>0</v>
      </c>
      <c r="BA221" t="s">
        <v>3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ROUND(Y221*Source!I257,9)</f>
        <v>2.1842000000000001</v>
      </c>
      <c r="CY221">
        <f>AA221</f>
        <v>0</v>
      </c>
      <c r="CZ221">
        <f>AE221</f>
        <v>0</v>
      </c>
      <c r="DA221">
        <f>AI221</f>
        <v>1</v>
      </c>
      <c r="DB221">
        <f>ROUND(ROUND(AT221*CZ221,2),6)</f>
        <v>0</v>
      </c>
      <c r="DC221">
        <f>ROUND(ROUND(AT221*AG221,2),6)</f>
        <v>0</v>
      </c>
      <c r="DD221" t="s">
        <v>3</v>
      </c>
      <c r="DE221" t="s">
        <v>3</v>
      </c>
      <c r="DF221">
        <f t="shared" si="89"/>
        <v>0</v>
      </c>
      <c r="DG221">
        <f t="shared" si="87"/>
        <v>0</v>
      </c>
      <c r="DH221">
        <f t="shared" si="88"/>
        <v>0</v>
      </c>
      <c r="DI221">
        <f t="shared" si="83"/>
        <v>0</v>
      </c>
      <c r="DJ221">
        <f>DF221</f>
        <v>0</v>
      </c>
      <c r="DK221">
        <v>0</v>
      </c>
    </row>
    <row r="222" spans="1:115" x14ac:dyDescent="0.2">
      <c r="A222">
        <f>ROW(Source!A258)</f>
        <v>258</v>
      </c>
      <c r="B222">
        <v>129761633</v>
      </c>
      <c r="C222">
        <v>129763425</v>
      </c>
      <c r="D222">
        <v>37345142</v>
      </c>
      <c r="E222">
        <v>37345137</v>
      </c>
      <c r="F222">
        <v>1</v>
      </c>
      <c r="G222">
        <v>37345137</v>
      </c>
      <c r="H222">
        <v>1</v>
      </c>
      <c r="I222" t="s">
        <v>1096</v>
      </c>
      <c r="J222" t="s">
        <v>3</v>
      </c>
      <c r="K222" t="s">
        <v>1097</v>
      </c>
      <c r="L222">
        <v>1191</v>
      </c>
      <c r="N222">
        <v>1013</v>
      </c>
      <c r="O222" t="s">
        <v>1098</v>
      </c>
      <c r="P222" t="s">
        <v>1098</v>
      </c>
      <c r="Q222">
        <v>1</v>
      </c>
      <c r="W222">
        <v>0</v>
      </c>
      <c r="X222">
        <v>476480486</v>
      </c>
      <c r="Y222">
        <f>(AT222*1.15)</f>
        <v>312.79999999999995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1</v>
      </c>
      <c r="AJ222">
        <v>1</v>
      </c>
      <c r="AK222">
        <v>1</v>
      </c>
      <c r="AL222">
        <v>1</v>
      </c>
      <c r="AN222">
        <v>0</v>
      </c>
      <c r="AO222">
        <v>1</v>
      </c>
      <c r="AP222">
        <v>1</v>
      </c>
      <c r="AQ222">
        <v>0</v>
      </c>
      <c r="AR222">
        <v>0</v>
      </c>
      <c r="AS222" t="s">
        <v>3</v>
      </c>
      <c r="AT222">
        <v>272</v>
      </c>
      <c r="AU222" t="s">
        <v>87</v>
      </c>
      <c r="AV222">
        <v>1</v>
      </c>
      <c r="AW222">
        <v>2</v>
      </c>
      <c r="AX222">
        <v>129763431</v>
      </c>
      <c r="AY222">
        <v>1</v>
      </c>
      <c r="AZ222">
        <v>0</v>
      </c>
      <c r="BA222">
        <v>228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ROUND(Y222*Source!I258,9)</f>
        <v>3.1280000000000001</v>
      </c>
      <c r="CY222">
        <f>AD222</f>
        <v>0</v>
      </c>
      <c r="CZ222">
        <f>AH222</f>
        <v>0</v>
      </c>
      <c r="DA222">
        <f>AL222</f>
        <v>1</v>
      </c>
      <c r="DB222">
        <f>ROUND((ROUND(AT222*CZ222,2)*1.15),6)</f>
        <v>0</v>
      </c>
      <c r="DC222">
        <f>ROUND((ROUND(AT222*AG222,2)*1.15),6)</f>
        <v>0</v>
      </c>
      <c r="DD222" t="s">
        <v>3</v>
      </c>
      <c r="DE222" t="s">
        <v>3</v>
      </c>
      <c r="DF222">
        <f t="shared" si="89"/>
        <v>0</v>
      </c>
      <c r="DG222">
        <f t="shared" si="87"/>
        <v>0</v>
      </c>
      <c r="DH222">
        <f t="shared" si="88"/>
        <v>0</v>
      </c>
      <c r="DI222">
        <f t="shared" si="83"/>
        <v>0</v>
      </c>
      <c r="DJ222">
        <f>DI222</f>
        <v>0</v>
      </c>
      <c r="DK222">
        <v>0</v>
      </c>
    </row>
    <row r="223" spans="1:115" x14ac:dyDescent="0.2">
      <c r="A223">
        <f>ROW(Source!A258)</f>
        <v>258</v>
      </c>
      <c r="B223">
        <v>129761633</v>
      </c>
      <c r="C223">
        <v>129763425</v>
      </c>
      <c r="D223">
        <v>37417692</v>
      </c>
      <c r="E223">
        <v>1</v>
      </c>
      <c r="F223">
        <v>1</v>
      </c>
      <c r="G223">
        <v>37345137</v>
      </c>
      <c r="H223">
        <v>2</v>
      </c>
      <c r="I223" t="s">
        <v>1127</v>
      </c>
      <c r="J223" t="s">
        <v>1128</v>
      </c>
      <c r="K223" t="s">
        <v>1129</v>
      </c>
      <c r="L223">
        <v>1367</v>
      </c>
      <c r="N223">
        <v>1011</v>
      </c>
      <c r="O223" t="s">
        <v>1102</v>
      </c>
      <c r="P223" t="s">
        <v>1102</v>
      </c>
      <c r="Q223">
        <v>1</v>
      </c>
      <c r="W223">
        <v>0</v>
      </c>
      <c r="X223">
        <v>-266174272</v>
      </c>
      <c r="Y223">
        <f>(AT223*1.25)</f>
        <v>3</v>
      </c>
      <c r="AA223">
        <v>0</v>
      </c>
      <c r="AB223">
        <v>2137.67</v>
      </c>
      <c r="AC223">
        <v>572.73</v>
      </c>
      <c r="AD223">
        <v>0</v>
      </c>
      <c r="AE223">
        <v>0</v>
      </c>
      <c r="AF223">
        <v>190.93</v>
      </c>
      <c r="AG223">
        <v>18.149999999999999</v>
      </c>
      <c r="AH223">
        <v>0</v>
      </c>
      <c r="AI223">
        <v>1</v>
      </c>
      <c r="AJ223">
        <v>10.3</v>
      </c>
      <c r="AK223">
        <v>29.03</v>
      </c>
      <c r="AL223">
        <v>1</v>
      </c>
      <c r="AN223">
        <v>0</v>
      </c>
      <c r="AO223">
        <v>1</v>
      </c>
      <c r="AP223">
        <v>1</v>
      </c>
      <c r="AQ223">
        <v>0</v>
      </c>
      <c r="AR223">
        <v>0</v>
      </c>
      <c r="AS223" t="s">
        <v>3</v>
      </c>
      <c r="AT223">
        <v>2.4</v>
      </c>
      <c r="AU223" t="s">
        <v>86</v>
      </c>
      <c r="AV223">
        <v>0</v>
      </c>
      <c r="AW223">
        <v>2</v>
      </c>
      <c r="AX223">
        <v>129763432</v>
      </c>
      <c r="AY223">
        <v>1</v>
      </c>
      <c r="AZ223">
        <v>0</v>
      </c>
      <c r="BA223">
        <v>229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ROUND(Y223*Source!I258,9)</f>
        <v>0.03</v>
      </c>
      <c r="CY223">
        <f>AB223</f>
        <v>2137.67</v>
      </c>
      <c r="CZ223">
        <f>AF223</f>
        <v>190.93</v>
      </c>
      <c r="DA223">
        <f>AJ223</f>
        <v>10.3</v>
      </c>
      <c r="DB223">
        <f>ROUND((ROUND(AT223*CZ223,2)*1.25),6)</f>
        <v>572.78750000000002</v>
      </c>
      <c r="DC223">
        <f>ROUND((ROUND(AT223*AG223,2)*1.25),6)</f>
        <v>54.45</v>
      </c>
      <c r="DD223" t="s">
        <v>3</v>
      </c>
      <c r="DE223" t="s">
        <v>3</v>
      </c>
      <c r="DF223">
        <f t="shared" si="89"/>
        <v>0</v>
      </c>
      <c r="DG223">
        <f>ROUND(ROUND(AF223*CX223,2)*AJ223,2)</f>
        <v>59.02</v>
      </c>
      <c r="DH223">
        <f>ROUND(ROUND(AG223*CX223,2)*AK223,2)</f>
        <v>15.68</v>
      </c>
      <c r="DI223">
        <f t="shared" si="83"/>
        <v>0</v>
      </c>
      <c r="DJ223">
        <f>DG223</f>
        <v>59.02</v>
      </c>
      <c r="DK223">
        <v>0</v>
      </c>
    </row>
    <row r="224" spans="1:115" x14ac:dyDescent="0.2">
      <c r="A224">
        <f>ROW(Source!A258)</f>
        <v>258</v>
      </c>
      <c r="B224">
        <v>129761633</v>
      </c>
      <c r="C224">
        <v>129763425</v>
      </c>
      <c r="D224">
        <v>22725217</v>
      </c>
      <c r="E224">
        <v>1</v>
      </c>
      <c r="F224">
        <v>1</v>
      </c>
      <c r="G224">
        <v>37345137</v>
      </c>
      <c r="H224">
        <v>2</v>
      </c>
      <c r="I224" t="s">
        <v>1225</v>
      </c>
      <c r="J224" t="s">
        <v>1226</v>
      </c>
      <c r="K224" t="s">
        <v>1227</v>
      </c>
      <c r="L224">
        <v>1367</v>
      </c>
      <c r="N224">
        <v>1011</v>
      </c>
      <c r="O224" t="s">
        <v>1102</v>
      </c>
      <c r="P224" t="s">
        <v>1102</v>
      </c>
      <c r="Q224">
        <v>1</v>
      </c>
      <c r="W224">
        <v>0</v>
      </c>
      <c r="X224">
        <v>1299918669</v>
      </c>
      <c r="Y224">
        <f>(AT224*1.25)</f>
        <v>78.5</v>
      </c>
      <c r="AA224">
        <v>0</v>
      </c>
      <c r="AB224">
        <v>7.34</v>
      </c>
      <c r="AC224">
        <v>0.35</v>
      </c>
      <c r="AD224">
        <v>0</v>
      </c>
      <c r="AE224">
        <v>0</v>
      </c>
      <c r="AF224">
        <v>6.75</v>
      </c>
      <c r="AG224">
        <v>0.32</v>
      </c>
      <c r="AH224">
        <v>0</v>
      </c>
      <c r="AI224">
        <v>1</v>
      </c>
      <c r="AJ224">
        <v>1</v>
      </c>
      <c r="AK224">
        <v>1</v>
      </c>
      <c r="AL224">
        <v>1</v>
      </c>
      <c r="AN224">
        <v>0</v>
      </c>
      <c r="AO224">
        <v>1</v>
      </c>
      <c r="AP224">
        <v>1</v>
      </c>
      <c r="AQ224">
        <v>0</v>
      </c>
      <c r="AR224">
        <v>0</v>
      </c>
      <c r="AS224" t="s">
        <v>3</v>
      </c>
      <c r="AT224">
        <v>62.8</v>
      </c>
      <c r="AU224" t="s">
        <v>86</v>
      </c>
      <c r="AV224">
        <v>0</v>
      </c>
      <c r="AW224">
        <v>2</v>
      </c>
      <c r="AX224">
        <v>129763433</v>
      </c>
      <c r="AY224">
        <v>1</v>
      </c>
      <c r="AZ224">
        <v>0</v>
      </c>
      <c r="BA224">
        <v>230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ROUND(Y224*Source!I258,9)</f>
        <v>0.78500000000000003</v>
      </c>
      <c r="CY224">
        <f>AB224</f>
        <v>7.34</v>
      </c>
      <c r="CZ224">
        <f>AF224</f>
        <v>6.75</v>
      </c>
      <c r="DA224">
        <f>AJ224</f>
        <v>1</v>
      </c>
      <c r="DB224">
        <f>ROUND((ROUND(AT224*CZ224,2)*1.25),6)</f>
        <v>529.875</v>
      </c>
      <c r="DC224">
        <f>ROUND((ROUND(AT224*AG224,2)*1.25),6)</f>
        <v>25.125</v>
      </c>
      <c r="DD224" t="s">
        <v>3</v>
      </c>
      <c r="DE224" t="s">
        <v>3</v>
      </c>
      <c r="DF224">
        <f t="shared" si="89"/>
        <v>0</v>
      </c>
      <c r="DG224">
        <f t="shared" ref="DG224:DG233" si="90">ROUND(AF224*CX224,2)</f>
        <v>5.3</v>
      </c>
      <c r="DH224">
        <f t="shared" ref="DH224:DH233" si="91">ROUND(AG224*CX224,2)</f>
        <v>0.25</v>
      </c>
      <c r="DI224">
        <f t="shared" si="83"/>
        <v>0</v>
      </c>
      <c r="DJ224">
        <f>DG224</f>
        <v>5.3</v>
      </c>
      <c r="DK224">
        <v>0</v>
      </c>
    </row>
    <row r="225" spans="1:115" x14ac:dyDescent="0.2">
      <c r="A225">
        <f>ROW(Source!A258)</f>
        <v>258</v>
      </c>
      <c r="B225">
        <v>129761633</v>
      </c>
      <c r="C225">
        <v>129763425</v>
      </c>
      <c r="D225">
        <v>37367082</v>
      </c>
      <c r="E225">
        <v>37345137</v>
      </c>
      <c r="F225">
        <v>1</v>
      </c>
      <c r="G225">
        <v>37345137</v>
      </c>
      <c r="H225">
        <v>3</v>
      </c>
      <c r="I225" t="s">
        <v>1136</v>
      </c>
      <c r="J225" t="s">
        <v>3</v>
      </c>
      <c r="K225" t="s">
        <v>1137</v>
      </c>
      <c r="L225">
        <v>1344</v>
      </c>
      <c r="N225">
        <v>1008</v>
      </c>
      <c r="O225" t="s">
        <v>1138</v>
      </c>
      <c r="P225" t="s">
        <v>1138</v>
      </c>
      <c r="Q225">
        <v>1</v>
      </c>
      <c r="W225">
        <v>0</v>
      </c>
      <c r="X225">
        <v>-94250534</v>
      </c>
      <c r="Y225">
        <f>AT225</f>
        <v>60</v>
      </c>
      <c r="AA225">
        <v>8.65</v>
      </c>
      <c r="AB225">
        <v>0</v>
      </c>
      <c r="AC225">
        <v>0</v>
      </c>
      <c r="AD225">
        <v>0</v>
      </c>
      <c r="AE225">
        <v>1</v>
      </c>
      <c r="AF225">
        <v>0</v>
      </c>
      <c r="AG225">
        <v>0</v>
      </c>
      <c r="AH225">
        <v>0</v>
      </c>
      <c r="AI225">
        <v>8.65</v>
      </c>
      <c r="AJ225">
        <v>1</v>
      </c>
      <c r="AK225">
        <v>1</v>
      </c>
      <c r="AL225">
        <v>1</v>
      </c>
      <c r="AN225">
        <v>0</v>
      </c>
      <c r="AO225">
        <v>1</v>
      </c>
      <c r="AP225">
        <v>0</v>
      </c>
      <c r="AQ225">
        <v>0</v>
      </c>
      <c r="AR225">
        <v>0</v>
      </c>
      <c r="AS225" t="s">
        <v>3</v>
      </c>
      <c r="AT225">
        <v>60</v>
      </c>
      <c r="AU225" t="s">
        <v>3</v>
      </c>
      <c r="AV225">
        <v>0</v>
      </c>
      <c r="AW225">
        <v>2</v>
      </c>
      <c r="AX225">
        <v>129763435</v>
      </c>
      <c r="AY225">
        <v>1</v>
      </c>
      <c r="AZ225">
        <v>0</v>
      </c>
      <c r="BA225">
        <v>232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ROUND(Y225*Source!I258,9)</f>
        <v>0.6</v>
      </c>
      <c r="CY225">
        <f>AA225</f>
        <v>8.65</v>
      </c>
      <c r="CZ225">
        <f>AE225</f>
        <v>1</v>
      </c>
      <c r="DA225">
        <f>AI225</f>
        <v>8.65</v>
      </c>
      <c r="DB225">
        <f>ROUND(ROUND(AT225*CZ225,2),6)</f>
        <v>60</v>
      </c>
      <c r="DC225">
        <f>ROUND(ROUND(AT225*AG225,2),6)</f>
        <v>0</v>
      </c>
      <c r="DD225" t="s">
        <v>3</v>
      </c>
      <c r="DE225" t="s">
        <v>3</v>
      </c>
      <c r="DF225">
        <f>ROUND(ROUND(AE225*CX225,2)*AI225,2)</f>
        <v>5.19</v>
      </c>
      <c r="DG225">
        <f t="shared" si="90"/>
        <v>0</v>
      </c>
      <c r="DH225">
        <f t="shared" si="91"/>
        <v>0</v>
      </c>
      <c r="DI225">
        <f t="shared" si="83"/>
        <v>0</v>
      </c>
      <c r="DJ225">
        <f>DF225</f>
        <v>5.19</v>
      </c>
      <c r="DK225">
        <v>0</v>
      </c>
    </row>
    <row r="226" spans="1:115" x14ac:dyDescent="0.2">
      <c r="A226">
        <f>ROW(Source!A258)</f>
        <v>258</v>
      </c>
      <c r="B226">
        <v>129761633</v>
      </c>
      <c r="C226">
        <v>129763425</v>
      </c>
      <c r="D226">
        <v>0</v>
      </c>
      <c r="E226">
        <v>1</v>
      </c>
      <c r="F226">
        <v>1</v>
      </c>
      <c r="G226">
        <v>37345137</v>
      </c>
      <c r="H226">
        <v>3</v>
      </c>
      <c r="I226" t="s">
        <v>248</v>
      </c>
      <c r="J226" t="s">
        <v>3</v>
      </c>
      <c r="K226" t="s">
        <v>295</v>
      </c>
      <c r="L226">
        <v>1327</v>
      </c>
      <c r="N226">
        <v>1005</v>
      </c>
      <c r="O226" t="s">
        <v>258</v>
      </c>
      <c r="P226" t="s">
        <v>258</v>
      </c>
      <c r="Q226">
        <v>1</v>
      </c>
      <c r="W226">
        <v>0</v>
      </c>
      <c r="X226">
        <v>1461085409</v>
      </c>
      <c r="Y226">
        <f>AT226</f>
        <v>218.42000000000002</v>
      </c>
      <c r="AA226">
        <v>29579.97</v>
      </c>
      <c r="AB226">
        <v>0</v>
      </c>
      <c r="AC226">
        <v>0</v>
      </c>
      <c r="AD226">
        <v>0</v>
      </c>
      <c r="AE226">
        <v>3419.65</v>
      </c>
      <c r="AF226">
        <v>0</v>
      </c>
      <c r="AG226">
        <v>0</v>
      </c>
      <c r="AH226">
        <v>0</v>
      </c>
      <c r="AI226">
        <v>8.65</v>
      </c>
      <c r="AJ226">
        <v>1</v>
      </c>
      <c r="AK226">
        <v>1</v>
      </c>
      <c r="AL226">
        <v>1</v>
      </c>
      <c r="AN226">
        <v>0</v>
      </c>
      <c r="AO226">
        <v>0</v>
      </c>
      <c r="AP226">
        <v>0</v>
      </c>
      <c r="AQ226">
        <v>0</v>
      </c>
      <c r="AR226">
        <v>0</v>
      </c>
      <c r="AS226" t="s">
        <v>3</v>
      </c>
      <c r="AT226">
        <v>218.42000000000002</v>
      </c>
      <c r="AU226" t="s">
        <v>3</v>
      </c>
      <c r="AV226">
        <v>0</v>
      </c>
      <c r="AW226">
        <v>1</v>
      </c>
      <c r="AX226">
        <v>-1</v>
      </c>
      <c r="AY226">
        <v>0</v>
      </c>
      <c r="AZ226">
        <v>0</v>
      </c>
      <c r="BA226" t="s">
        <v>3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ROUND(Y226*Source!I258,9)</f>
        <v>2.1842000000000001</v>
      </c>
      <c r="CY226">
        <f>AA226</f>
        <v>29579.97</v>
      </c>
      <c r="CZ226">
        <f>AE226</f>
        <v>3419.65</v>
      </c>
      <c r="DA226">
        <f>AI226</f>
        <v>8.65</v>
      </c>
      <c r="DB226">
        <f>ROUND(ROUND(AT226*CZ226,2),6)</f>
        <v>746919.95</v>
      </c>
      <c r="DC226">
        <f>ROUND(ROUND(AT226*AG226,2),6)</f>
        <v>0</v>
      </c>
      <c r="DD226" t="s">
        <v>3</v>
      </c>
      <c r="DE226" t="s">
        <v>3</v>
      </c>
      <c r="DF226">
        <f>ROUND(ROUND(AE226*CX226,2)*AI226,2)</f>
        <v>64608.58</v>
      </c>
      <c r="DG226">
        <f t="shared" si="90"/>
        <v>0</v>
      </c>
      <c r="DH226">
        <f t="shared" si="91"/>
        <v>0</v>
      </c>
      <c r="DI226">
        <f t="shared" si="83"/>
        <v>0</v>
      </c>
      <c r="DJ226">
        <f>DF226</f>
        <v>64608.58</v>
      </c>
      <c r="DK226">
        <v>0</v>
      </c>
    </row>
    <row r="227" spans="1:115" x14ac:dyDescent="0.2">
      <c r="A227">
        <f>ROW(Source!A261)</f>
        <v>261</v>
      </c>
      <c r="B227">
        <v>129761636</v>
      </c>
      <c r="C227">
        <v>129763437</v>
      </c>
      <c r="D227">
        <v>37345142</v>
      </c>
      <c r="E227">
        <v>37345137</v>
      </c>
      <c r="F227">
        <v>1</v>
      </c>
      <c r="G227">
        <v>37345137</v>
      </c>
      <c r="H227">
        <v>1</v>
      </c>
      <c r="I227" t="s">
        <v>1096</v>
      </c>
      <c r="J227" t="s">
        <v>3</v>
      </c>
      <c r="K227" t="s">
        <v>1097</v>
      </c>
      <c r="L227">
        <v>1191</v>
      </c>
      <c r="N227">
        <v>1013</v>
      </c>
      <c r="O227" t="s">
        <v>1098</v>
      </c>
      <c r="P227" t="s">
        <v>1098</v>
      </c>
      <c r="Q227">
        <v>1</v>
      </c>
      <c r="W227">
        <v>0</v>
      </c>
      <c r="X227">
        <v>476480486</v>
      </c>
      <c r="Y227">
        <f>(AT227*1.15)</f>
        <v>2.2999999999999998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1</v>
      </c>
      <c r="AJ227">
        <v>1</v>
      </c>
      <c r="AK227">
        <v>1</v>
      </c>
      <c r="AL227">
        <v>1</v>
      </c>
      <c r="AN227">
        <v>0</v>
      </c>
      <c r="AO227">
        <v>1</v>
      </c>
      <c r="AP227">
        <v>1</v>
      </c>
      <c r="AQ227">
        <v>0</v>
      </c>
      <c r="AR227">
        <v>0</v>
      </c>
      <c r="AS227" t="s">
        <v>3</v>
      </c>
      <c r="AT227">
        <v>2</v>
      </c>
      <c r="AU227" t="s">
        <v>87</v>
      </c>
      <c r="AV227">
        <v>1</v>
      </c>
      <c r="AW227">
        <v>2</v>
      </c>
      <c r="AX227">
        <v>129763444</v>
      </c>
      <c r="AY227">
        <v>1</v>
      </c>
      <c r="AZ227">
        <v>0</v>
      </c>
      <c r="BA227">
        <v>233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ROUND(Y227*Source!I261,9)</f>
        <v>2.2999999999999998</v>
      </c>
      <c r="CY227">
        <f>AD227</f>
        <v>0</v>
      </c>
      <c r="CZ227">
        <f>AH227</f>
        <v>0</v>
      </c>
      <c r="DA227">
        <f>AL227</f>
        <v>1</v>
      </c>
      <c r="DB227">
        <f>ROUND((ROUND(AT227*CZ227,2)*1.15),6)</f>
        <v>0</v>
      </c>
      <c r="DC227">
        <f>ROUND((ROUND(AT227*AG227,2)*1.15),6)</f>
        <v>0</v>
      </c>
      <c r="DD227" t="s">
        <v>3</v>
      </c>
      <c r="DE227" t="s">
        <v>3</v>
      </c>
      <c r="DF227">
        <f t="shared" ref="DF227:DF235" si="92">ROUND(AE227*CX227,2)</f>
        <v>0</v>
      </c>
      <c r="DG227">
        <f t="shared" si="90"/>
        <v>0</v>
      </c>
      <c r="DH227">
        <f t="shared" si="91"/>
        <v>0</v>
      </c>
      <c r="DI227">
        <f t="shared" si="83"/>
        <v>0</v>
      </c>
      <c r="DJ227">
        <f>DI227</f>
        <v>0</v>
      </c>
      <c r="DK227">
        <v>0</v>
      </c>
    </row>
    <row r="228" spans="1:115" x14ac:dyDescent="0.2">
      <c r="A228">
        <f>ROW(Source!A261)</f>
        <v>261</v>
      </c>
      <c r="B228">
        <v>129761636</v>
      </c>
      <c r="C228">
        <v>129763437</v>
      </c>
      <c r="D228">
        <v>37418162</v>
      </c>
      <c r="E228">
        <v>1</v>
      </c>
      <c r="F228">
        <v>1</v>
      </c>
      <c r="G228">
        <v>37345137</v>
      </c>
      <c r="H228">
        <v>2</v>
      </c>
      <c r="I228" t="s">
        <v>1174</v>
      </c>
      <c r="J228" t="s">
        <v>1175</v>
      </c>
      <c r="K228" t="s">
        <v>1176</v>
      </c>
      <c r="L228">
        <v>1367</v>
      </c>
      <c r="N228">
        <v>1011</v>
      </c>
      <c r="O228" t="s">
        <v>1102</v>
      </c>
      <c r="P228" t="s">
        <v>1102</v>
      </c>
      <c r="Q228">
        <v>1</v>
      </c>
      <c r="W228">
        <v>0</v>
      </c>
      <c r="X228">
        <v>49912578</v>
      </c>
      <c r="Y228">
        <f>(AT228*1.25)</f>
        <v>0.67500000000000004</v>
      </c>
      <c r="AA228">
        <v>0</v>
      </c>
      <c r="AB228">
        <v>6.15</v>
      </c>
      <c r="AC228">
        <v>0.02</v>
      </c>
      <c r="AD228">
        <v>0</v>
      </c>
      <c r="AE228">
        <v>0</v>
      </c>
      <c r="AF228">
        <v>6.15</v>
      </c>
      <c r="AG228">
        <v>0.02</v>
      </c>
      <c r="AH228">
        <v>0</v>
      </c>
      <c r="AI228">
        <v>1</v>
      </c>
      <c r="AJ228">
        <v>1</v>
      </c>
      <c r="AK228">
        <v>1</v>
      </c>
      <c r="AL228">
        <v>1</v>
      </c>
      <c r="AN228">
        <v>0</v>
      </c>
      <c r="AO228">
        <v>1</v>
      </c>
      <c r="AP228">
        <v>1</v>
      </c>
      <c r="AQ228">
        <v>0</v>
      </c>
      <c r="AR228">
        <v>0</v>
      </c>
      <c r="AS228" t="s">
        <v>3</v>
      </c>
      <c r="AT228">
        <v>0.54</v>
      </c>
      <c r="AU228" t="s">
        <v>86</v>
      </c>
      <c r="AV228">
        <v>0</v>
      </c>
      <c r="AW228">
        <v>2</v>
      </c>
      <c r="AX228">
        <v>129763445</v>
      </c>
      <c r="AY228">
        <v>1</v>
      </c>
      <c r="AZ228">
        <v>0</v>
      </c>
      <c r="BA228">
        <v>234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ROUND(Y228*Source!I261,9)</f>
        <v>0.67500000000000004</v>
      </c>
      <c r="CY228">
        <f>AB228</f>
        <v>6.15</v>
      </c>
      <c r="CZ228">
        <f>AF228</f>
        <v>6.15</v>
      </c>
      <c r="DA228">
        <f>AJ228</f>
        <v>1</v>
      </c>
      <c r="DB228">
        <f>ROUND((ROUND(AT228*CZ228,2)*1.25),6)</f>
        <v>4.1500000000000004</v>
      </c>
      <c r="DC228">
        <f>ROUND((ROUND(AT228*AG228,2)*1.25),6)</f>
        <v>1.2500000000000001E-2</v>
      </c>
      <c r="DD228" t="s">
        <v>3</v>
      </c>
      <c r="DE228" t="s">
        <v>3</v>
      </c>
      <c r="DF228">
        <f t="shared" si="92"/>
        <v>0</v>
      </c>
      <c r="DG228">
        <f t="shared" si="90"/>
        <v>4.1500000000000004</v>
      </c>
      <c r="DH228">
        <f t="shared" si="91"/>
        <v>0.01</v>
      </c>
      <c r="DI228">
        <f t="shared" si="83"/>
        <v>0</v>
      </c>
      <c r="DJ228">
        <f>DG228</f>
        <v>4.1500000000000004</v>
      </c>
      <c r="DK228">
        <v>0</v>
      </c>
    </row>
    <row r="229" spans="1:115" x14ac:dyDescent="0.2">
      <c r="A229">
        <f>ROW(Source!A261)</f>
        <v>261</v>
      </c>
      <c r="B229">
        <v>129761636</v>
      </c>
      <c r="C229">
        <v>129763437</v>
      </c>
      <c r="D229">
        <v>37418445</v>
      </c>
      <c r="E229">
        <v>1</v>
      </c>
      <c r="F229">
        <v>1</v>
      </c>
      <c r="G229">
        <v>37345137</v>
      </c>
      <c r="H229">
        <v>2</v>
      </c>
      <c r="I229" t="s">
        <v>1189</v>
      </c>
      <c r="J229" t="s">
        <v>1190</v>
      </c>
      <c r="K229" t="s">
        <v>1191</v>
      </c>
      <c r="L229">
        <v>1367</v>
      </c>
      <c r="N229">
        <v>1011</v>
      </c>
      <c r="O229" t="s">
        <v>1102</v>
      </c>
      <c r="P229" t="s">
        <v>1102</v>
      </c>
      <c r="Q229">
        <v>1</v>
      </c>
      <c r="W229">
        <v>0</v>
      </c>
      <c r="X229">
        <v>-628430174</v>
      </c>
      <c r="Y229">
        <f>(AT229*1.25)</f>
        <v>7.4999999999999997E-2</v>
      </c>
      <c r="AA229">
        <v>0</v>
      </c>
      <c r="AB229">
        <v>76.81</v>
      </c>
      <c r="AC229">
        <v>14.36</v>
      </c>
      <c r="AD229">
        <v>0</v>
      </c>
      <c r="AE229">
        <v>0</v>
      </c>
      <c r="AF229">
        <v>76.81</v>
      </c>
      <c r="AG229">
        <v>14.36</v>
      </c>
      <c r="AH229">
        <v>0</v>
      </c>
      <c r="AI229">
        <v>1</v>
      </c>
      <c r="AJ229">
        <v>1</v>
      </c>
      <c r="AK229">
        <v>1</v>
      </c>
      <c r="AL229">
        <v>1</v>
      </c>
      <c r="AN229">
        <v>0</v>
      </c>
      <c r="AO229">
        <v>1</v>
      </c>
      <c r="AP229">
        <v>1</v>
      </c>
      <c r="AQ229">
        <v>0</v>
      </c>
      <c r="AR229">
        <v>0</v>
      </c>
      <c r="AS229" t="s">
        <v>3</v>
      </c>
      <c r="AT229">
        <v>0.06</v>
      </c>
      <c r="AU229" t="s">
        <v>86</v>
      </c>
      <c r="AV229">
        <v>0</v>
      </c>
      <c r="AW229">
        <v>2</v>
      </c>
      <c r="AX229">
        <v>129763446</v>
      </c>
      <c r="AY229">
        <v>1</v>
      </c>
      <c r="AZ229">
        <v>0</v>
      </c>
      <c r="BA229">
        <v>235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ROUND(Y229*Source!I261,9)</f>
        <v>7.4999999999999997E-2</v>
      </c>
      <c r="CY229">
        <f>AB229</f>
        <v>76.81</v>
      </c>
      <c r="CZ229">
        <f>AF229</f>
        <v>76.81</v>
      </c>
      <c r="DA229">
        <f>AJ229</f>
        <v>1</v>
      </c>
      <c r="DB229">
        <f>ROUND((ROUND(AT229*CZ229,2)*1.25),6)</f>
        <v>5.7625000000000002</v>
      </c>
      <c r="DC229">
        <f>ROUND((ROUND(AT229*AG229,2)*1.25),6)</f>
        <v>1.075</v>
      </c>
      <c r="DD229" t="s">
        <v>3</v>
      </c>
      <c r="DE229" t="s">
        <v>3</v>
      </c>
      <c r="DF229">
        <f t="shared" si="92"/>
        <v>0</v>
      </c>
      <c r="DG229">
        <f t="shared" si="90"/>
        <v>5.76</v>
      </c>
      <c r="DH229">
        <f t="shared" si="91"/>
        <v>1.08</v>
      </c>
      <c r="DI229">
        <f t="shared" si="83"/>
        <v>0</v>
      </c>
      <c r="DJ229">
        <f>DG229</f>
        <v>5.76</v>
      </c>
      <c r="DK229">
        <v>0</v>
      </c>
    </row>
    <row r="230" spans="1:115" x14ac:dyDescent="0.2">
      <c r="A230">
        <f>ROW(Source!A261)</f>
        <v>261</v>
      </c>
      <c r="B230">
        <v>129761636</v>
      </c>
      <c r="C230">
        <v>129763437</v>
      </c>
      <c r="D230">
        <v>37394962</v>
      </c>
      <c r="E230">
        <v>1</v>
      </c>
      <c r="F230">
        <v>1</v>
      </c>
      <c r="G230">
        <v>37345137</v>
      </c>
      <c r="H230">
        <v>3</v>
      </c>
      <c r="I230" t="s">
        <v>1228</v>
      </c>
      <c r="J230" t="s">
        <v>1229</v>
      </c>
      <c r="K230" t="s">
        <v>1230</v>
      </c>
      <c r="L230">
        <v>1348</v>
      </c>
      <c r="N230">
        <v>1009</v>
      </c>
      <c r="O230" t="s">
        <v>114</v>
      </c>
      <c r="P230" t="s">
        <v>114</v>
      </c>
      <c r="Q230">
        <v>1000</v>
      </c>
      <c r="W230">
        <v>0</v>
      </c>
      <c r="X230">
        <v>-1951435217</v>
      </c>
      <c r="Y230">
        <f>AT230</f>
        <v>5.4000000000000001E-4</v>
      </c>
      <c r="AA230">
        <v>8596.85</v>
      </c>
      <c r="AB230">
        <v>0</v>
      </c>
      <c r="AC230">
        <v>0</v>
      </c>
      <c r="AD230">
        <v>0</v>
      </c>
      <c r="AE230">
        <v>8596.85</v>
      </c>
      <c r="AF230">
        <v>0</v>
      </c>
      <c r="AG230">
        <v>0</v>
      </c>
      <c r="AH230">
        <v>0</v>
      </c>
      <c r="AI230">
        <v>1</v>
      </c>
      <c r="AJ230">
        <v>1</v>
      </c>
      <c r="AK230">
        <v>1</v>
      </c>
      <c r="AL230">
        <v>1</v>
      </c>
      <c r="AN230">
        <v>0</v>
      </c>
      <c r="AO230">
        <v>1</v>
      </c>
      <c r="AP230">
        <v>0</v>
      </c>
      <c r="AQ230">
        <v>0</v>
      </c>
      <c r="AR230">
        <v>0</v>
      </c>
      <c r="AS230" t="s">
        <v>3</v>
      </c>
      <c r="AT230">
        <v>5.4000000000000001E-4</v>
      </c>
      <c r="AU230" t="s">
        <v>3</v>
      </c>
      <c r="AV230">
        <v>0</v>
      </c>
      <c r="AW230">
        <v>2</v>
      </c>
      <c r="AX230">
        <v>129763447</v>
      </c>
      <c r="AY230">
        <v>1</v>
      </c>
      <c r="AZ230">
        <v>0</v>
      </c>
      <c r="BA230">
        <v>236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ROUND(Y230*Source!I261,9)</f>
        <v>5.4000000000000001E-4</v>
      </c>
      <c r="CY230">
        <f>AA230</f>
        <v>8596.85</v>
      </c>
      <c r="CZ230">
        <f>AE230</f>
        <v>8596.85</v>
      </c>
      <c r="DA230">
        <f>AI230</f>
        <v>1</v>
      </c>
      <c r="DB230">
        <f>ROUND(ROUND(AT230*CZ230,2),6)</f>
        <v>4.6399999999999997</v>
      </c>
      <c r="DC230">
        <f>ROUND(ROUND(AT230*AG230,2),6)</f>
        <v>0</v>
      </c>
      <c r="DD230" t="s">
        <v>3</v>
      </c>
      <c r="DE230" t="s">
        <v>3</v>
      </c>
      <c r="DF230">
        <f t="shared" si="92"/>
        <v>4.6399999999999997</v>
      </c>
      <c r="DG230">
        <f t="shared" si="90"/>
        <v>0</v>
      </c>
      <c r="DH230">
        <f t="shared" si="91"/>
        <v>0</v>
      </c>
      <c r="DI230">
        <f t="shared" si="83"/>
        <v>0</v>
      </c>
      <c r="DJ230">
        <f>DF230</f>
        <v>4.6399999999999997</v>
      </c>
      <c r="DK230">
        <v>0</v>
      </c>
    </row>
    <row r="231" spans="1:115" x14ac:dyDescent="0.2">
      <c r="A231">
        <f>ROW(Source!A261)</f>
        <v>261</v>
      </c>
      <c r="B231">
        <v>129761636</v>
      </c>
      <c r="C231">
        <v>129763437</v>
      </c>
      <c r="D231">
        <v>37393498</v>
      </c>
      <c r="E231">
        <v>1</v>
      </c>
      <c r="F231">
        <v>1</v>
      </c>
      <c r="G231">
        <v>37345137</v>
      </c>
      <c r="H231">
        <v>3</v>
      </c>
      <c r="I231" t="s">
        <v>1231</v>
      </c>
      <c r="J231" t="s">
        <v>1232</v>
      </c>
      <c r="K231" t="s">
        <v>1233</v>
      </c>
      <c r="L231">
        <v>1348</v>
      </c>
      <c r="N231">
        <v>1009</v>
      </c>
      <c r="O231" t="s">
        <v>114</v>
      </c>
      <c r="P231" t="s">
        <v>114</v>
      </c>
      <c r="Q231">
        <v>1000</v>
      </c>
      <c r="W231">
        <v>0</v>
      </c>
      <c r="X231">
        <v>-1798553121</v>
      </c>
      <c r="Y231">
        <f>AT231</f>
        <v>3.5000000000000001E-3</v>
      </c>
      <c r="AA231">
        <v>17876.91</v>
      </c>
      <c r="AB231">
        <v>0</v>
      </c>
      <c r="AC231">
        <v>0</v>
      </c>
      <c r="AD231">
        <v>0</v>
      </c>
      <c r="AE231">
        <v>17876.91</v>
      </c>
      <c r="AF231">
        <v>0</v>
      </c>
      <c r="AG231">
        <v>0</v>
      </c>
      <c r="AH231">
        <v>0</v>
      </c>
      <c r="AI231">
        <v>1</v>
      </c>
      <c r="AJ231">
        <v>1</v>
      </c>
      <c r="AK231">
        <v>1</v>
      </c>
      <c r="AL231">
        <v>1</v>
      </c>
      <c r="AN231">
        <v>0</v>
      </c>
      <c r="AO231">
        <v>1</v>
      </c>
      <c r="AP231">
        <v>0</v>
      </c>
      <c r="AQ231">
        <v>0</v>
      </c>
      <c r="AR231">
        <v>0</v>
      </c>
      <c r="AS231" t="s">
        <v>3</v>
      </c>
      <c r="AT231">
        <v>3.5000000000000001E-3</v>
      </c>
      <c r="AU231" t="s">
        <v>3</v>
      </c>
      <c r="AV231">
        <v>0</v>
      </c>
      <c r="AW231">
        <v>2</v>
      </c>
      <c r="AX231">
        <v>129763448</v>
      </c>
      <c r="AY231">
        <v>1</v>
      </c>
      <c r="AZ231">
        <v>0</v>
      </c>
      <c r="BA231">
        <v>237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ROUND(Y231*Source!I261,9)</f>
        <v>3.5000000000000001E-3</v>
      </c>
      <c r="CY231">
        <f>AA231</f>
        <v>17876.91</v>
      </c>
      <c r="CZ231">
        <f>AE231</f>
        <v>17876.91</v>
      </c>
      <c r="DA231">
        <f>AI231</f>
        <v>1</v>
      </c>
      <c r="DB231">
        <f>ROUND(ROUND(AT231*CZ231,2),6)</f>
        <v>62.57</v>
      </c>
      <c r="DC231">
        <f>ROUND(ROUND(AT231*AG231,2),6)</f>
        <v>0</v>
      </c>
      <c r="DD231" t="s">
        <v>3</v>
      </c>
      <c r="DE231" t="s">
        <v>3</v>
      </c>
      <c r="DF231">
        <f t="shared" si="92"/>
        <v>62.57</v>
      </c>
      <c r="DG231">
        <f t="shared" si="90"/>
        <v>0</v>
      </c>
      <c r="DH231">
        <f t="shared" si="91"/>
        <v>0</v>
      </c>
      <c r="DI231">
        <f t="shared" si="83"/>
        <v>0</v>
      </c>
      <c r="DJ231">
        <f>DF231</f>
        <v>62.57</v>
      </c>
      <c r="DK231">
        <v>0</v>
      </c>
    </row>
    <row r="232" spans="1:115" x14ac:dyDescent="0.2">
      <c r="A232">
        <f>ROW(Source!A261)</f>
        <v>261</v>
      </c>
      <c r="B232">
        <v>129761636</v>
      </c>
      <c r="C232">
        <v>129763437</v>
      </c>
      <c r="D232">
        <v>0</v>
      </c>
      <c r="E232">
        <v>1</v>
      </c>
      <c r="F232">
        <v>1</v>
      </c>
      <c r="G232">
        <v>37345137</v>
      </c>
      <c r="H232">
        <v>3</v>
      </c>
      <c r="I232" t="s">
        <v>248</v>
      </c>
      <c r="J232" t="s">
        <v>3</v>
      </c>
      <c r="K232" t="s">
        <v>304</v>
      </c>
      <c r="L232">
        <v>1354</v>
      </c>
      <c r="N232">
        <v>1010</v>
      </c>
      <c r="O232" t="s">
        <v>250</v>
      </c>
      <c r="P232" t="s">
        <v>250</v>
      </c>
      <c r="Q232">
        <v>1</v>
      </c>
      <c r="W232">
        <v>0</v>
      </c>
      <c r="X232">
        <v>1123218831</v>
      </c>
      <c r="Y232">
        <f>AT232</f>
        <v>1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1</v>
      </c>
      <c r="AJ232">
        <v>1</v>
      </c>
      <c r="AK232">
        <v>1</v>
      </c>
      <c r="AL232">
        <v>1</v>
      </c>
      <c r="AN232">
        <v>0</v>
      </c>
      <c r="AO232">
        <v>0</v>
      </c>
      <c r="AP232">
        <v>0</v>
      </c>
      <c r="AQ232">
        <v>0</v>
      </c>
      <c r="AR232">
        <v>0</v>
      </c>
      <c r="AS232" t="s">
        <v>3</v>
      </c>
      <c r="AT232">
        <v>1</v>
      </c>
      <c r="AU232" t="s">
        <v>3</v>
      </c>
      <c r="AV232">
        <v>0</v>
      </c>
      <c r="AW232">
        <v>1</v>
      </c>
      <c r="AX232">
        <v>-1</v>
      </c>
      <c r="AY232">
        <v>0</v>
      </c>
      <c r="AZ232">
        <v>0</v>
      </c>
      <c r="BA232" t="s">
        <v>3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ROUND(Y232*Source!I261,9)</f>
        <v>1</v>
      </c>
      <c r="CY232">
        <f>AA232</f>
        <v>0</v>
      </c>
      <c r="CZ232">
        <f>AE232</f>
        <v>0</v>
      </c>
      <c r="DA232">
        <f>AI232</f>
        <v>1</v>
      </c>
      <c r="DB232">
        <f>ROUND(ROUND(AT232*CZ232,2),6)</f>
        <v>0</v>
      </c>
      <c r="DC232">
        <f>ROUND(ROUND(AT232*AG232,2),6)</f>
        <v>0</v>
      </c>
      <c r="DD232" t="s">
        <v>3</v>
      </c>
      <c r="DE232" t="s">
        <v>3</v>
      </c>
      <c r="DF232">
        <f t="shared" si="92"/>
        <v>0</v>
      </c>
      <c r="DG232">
        <f t="shared" si="90"/>
        <v>0</v>
      </c>
      <c r="DH232">
        <f t="shared" si="91"/>
        <v>0</v>
      </c>
      <c r="DI232">
        <f t="shared" si="83"/>
        <v>0</v>
      </c>
      <c r="DJ232">
        <f>DF232</f>
        <v>0</v>
      </c>
      <c r="DK232">
        <v>0</v>
      </c>
    </row>
    <row r="233" spans="1:115" x14ac:dyDescent="0.2">
      <c r="A233">
        <f>ROW(Source!A262)</f>
        <v>262</v>
      </c>
      <c r="B233">
        <v>129761633</v>
      </c>
      <c r="C233">
        <v>129763437</v>
      </c>
      <c r="D233">
        <v>37345142</v>
      </c>
      <c r="E233">
        <v>37345137</v>
      </c>
      <c r="F233">
        <v>1</v>
      </c>
      <c r="G233">
        <v>37345137</v>
      </c>
      <c r="H233">
        <v>1</v>
      </c>
      <c r="I233" t="s">
        <v>1096</v>
      </c>
      <c r="J233" t="s">
        <v>3</v>
      </c>
      <c r="K233" t="s">
        <v>1097</v>
      </c>
      <c r="L233">
        <v>1191</v>
      </c>
      <c r="N233">
        <v>1013</v>
      </c>
      <c r="O233" t="s">
        <v>1098</v>
      </c>
      <c r="P233" t="s">
        <v>1098</v>
      </c>
      <c r="Q233">
        <v>1</v>
      </c>
      <c r="W233">
        <v>0</v>
      </c>
      <c r="X233">
        <v>476480486</v>
      </c>
      <c r="Y233">
        <f>(AT233*1.15)</f>
        <v>2.2999999999999998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1</v>
      </c>
      <c r="AJ233">
        <v>1</v>
      </c>
      <c r="AK233">
        <v>1</v>
      </c>
      <c r="AL233">
        <v>1</v>
      </c>
      <c r="AN233">
        <v>0</v>
      </c>
      <c r="AO233">
        <v>1</v>
      </c>
      <c r="AP233">
        <v>1</v>
      </c>
      <c r="AQ233">
        <v>0</v>
      </c>
      <c r="AR233">
        <v>0</v>
      </c>
      <c r="AS233" t="s">
        <v>3</v>
      </c>
      <c r="AT233">
        <v>2</v>
      </c>
      <c r="AU233" t="s">
        <v>87</v>
      </c>
      <c r="AV233">
        <v>1</v>
      </c>
      <c r="AW233">
        <v>2</v>
      </c>
      <c r="AX233">
        <v>129763444</v>
      </c>
      <c r="AY233">
        <v>1</v>
      </c>
      <c r="AZ233">
        <v>0</v>
      </c>
      <c r="BA233">
        <v>239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ROUND(Y233*Source!I262,9)</f>
        <v>2.2999999999999998</v>
      </c>
      <c r="CY233">
        <f>AD233</f>
        <v>0</v>
      </c>
      <c r="CZ233">
        <f>AH233</f>
        <v>0</v>
      </c>
      <c r="DA233">
        <f>AL233</f>
        <v>1</v>
      </c>
      <c r="DB233">
        <f>ROUND((ROUND(AT233*CZ233,2)*1.15),6)</f>
        <v>0</v>
      </c>
      <c r="DC233">
        <f>ROUND((ROUND(AT233*AG233,2)*1.15),6)</f>
        <v>0</v>
      </c>
      <c r="DD233" t="s">
        <v>3</v>
      </c>
      <c r="DE233" t="s">
        <v>3</v>
      </c>
      <c r="DF233">
        <f t="shared" si="92"/>
        <v>0</v>
      </c>
      <c r="DG233">
        <f t="shared" si="90"/>
        <v>0</v>
      </c>
      <c r="DH233">
        <f t="shared" si="91"/>
        <v>0</v>
      </c>
      <c r="DI233">
        <f t="shared" si="83"/>
        <v>0</v>
      </c>
      <c r="DJ233">
        <f>DI233</f>
        <v>0</v>
      </c>
      <c r="DK233">
        <v>0</v>
      </c>
    </row>
    <row r="234" spans="1:115" x14ac:dyDescent="0.2">
      <c r="A234">
        <f>ROW(Source!A262)</f>
        <v>262</v>
      </c>
      <c r="B234">
        <v>129761633</v>
      </c>
      <c r="C234">
        <v>129763437</v>
      </c>
      <c r="D234">
        <v>37418162</v>
      </c>
      <c r="E234">
        <v>1</v>
      </c>
      <c r="F234">
        <v>1</v>
      </c>
      <c r="G234">
        <v>37345137</v>
      </c>
      <c r="H234">
        <v>2</v>
      </c>
      <c r="I234" t="s">
        <v>1174</v>
      </c>
      <c r="J234" t="s">
        <v>1175</v>
      </c>
      <c r="K234" t="s">
        <v>1176</v>
      </c>
      <c r="L234">
        <v>1367</v>
      </c>
      <c r="N234">
        <v>1011</v>
      </c>
      <c r="O234" t="s">
        <v>1102</v>
      </c>
      <c r="P234" t="s">
        <v>1102</v>
      </c>
      <c r="Q234">
        <v>1</v>
      </c>
      <c r="W234">
        <v>0</v>
      </c>
      <c r="X234">
        <v>49912578</v>
      </c>
      <c r="Y234">
        <f>(AT234*1.25)</f>
        <v>0.67500000000000004</v>
      </c>
      <c r="AA234">
        <v>0</v>
      </c>
      <c r="AB234">
        <v>67.13</v>
      </c>
      <c r="AC234">
        <v>0.62</v>
      </c>
      <c r="AD234">
        <v>0</v>
      </c>
      <c r="AE234">
        <v>0</v>
      </c>
      <c r="AF234">
        <v>6.15</v>
      </c>
      <c r="AG234">
        <v>0.02</v>
      </c>
      <c r="AH234">
        <v>0</v>
      </c>
      <c r="AI234">
        <v>1</v>
      </c>
      <c r="AJ234">
        <v>10.23</v>
      </c>
      <c r="AK234">
        <v>29.03</v>
      </c>
      <c r="AL234">
        <v>1</v>
      </c>
      <c r="AN234">
        <v>0</v>
      </c>
      <c r="AO234">
        <v>1</v>
      </c>
      <c r="AP234">
        <v>1</v>
      </c>
      <c r="AQ234">
        <v>0</v>
      </c>
      <c r="AR234">
        <v>0</v>
      </c>
      <c r="AS234" t="s">
        <v>3</v>
      </c>
      <c r="AT234">
        <v>0.54</v>
      </c>
      <c r="AU234" t="s">
        <v>86</v>
      </c>
      <c r="AV234">
        <v>0</v>
      </c>
      <c r="AW234">
        <v>2</v>
      </c>
      <c r="AX234">
        <v>129763445</v>
      </c>
      <c r="AY234">
        <v>1</v>
      </c>
      <c r="AZ234">
        <v>0</v>
      </c>
      <c r="BA234">
        <v>240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ROUND(Y234*Source!I262,9)</f>
        <v>0.67500000000000004</v>
      </c>
      <c r="CY234">
        <f>AB234</f>
        <v>67.13</v>
      </c>
      <c r="CZ234">
        <f>AF234</f>
        <v>6.15</v>
      </c>
      <c r="DA234">
        <f>AJ234</f>
        <v>10.23</v>
      </c>
      <c r="DB234">
        <f>ROUND((ROUND(AT234*CZ234,2)*1.25),6)</f>
        <v>4.1500000000000004</v>
      </c>
      <c r="DC234">
        <f>ROUND((ROUND(AT234*AG234,2)*1.25),6)</f>
        <v>1.2500000000000001E-2</v>
      </c>
      <c r="DD234" t="s">
        <v>3</v>
      </c>
      <c r="DE234" t="s">
        <v>3</v>
      </c>
      <c r="DF234">
        <f t="shared" si="92"/>
        <v>0</v>
      </c>
      <c r="DG234">
        <f>ROUND(ROUND(AF234*CX234,2)*AJ234,2)</f>
        <v>42.45</v>
      </c>
      <c r="DH234">
        <f>ROUND(ROUND(AG234*CX234,2)*AK234,2)</f>
        <v>0.28999999999999998</v>
      </c>
      <c r="DI234">
        <f t="shared" si="83"/>
        <v>0</v>
      </c>
      <c r="DJ234">
        <f>DG234</f>
        <v>42.45</v>
      </c>
      <c r="DK234">
        <v>0</v>
      </c>
    </row>
    <row r="235" spans="1:115" x14ac:dyDescent="0.2">
      <c r="A235">
        <f>ROW(Source!A262)</f>
        <v>262</v>
      </c>
      <c r="B235">
        <v>129761633</v>
      </c>
      <c r="C235">
        <v>129763437</v>
      </c>
      <c r="D235">
        <v>37418445</v>
      </c>
      <c r="E235">
        <v>1</v>
      </c>
      <c r="F235">
        <v>1</v>
      </c>
      <c r="G235">
        <v>37345137</v>
      </c>
      <c r="H235">
        <v>2</v>
      </c>
      <c r="I235" t="s">
        <v>1189</v>
      </c>
      <c r="J235" t="s">
        <v>1190</v>
      </c>
      <c r="K235" t="s">
        <v>1191</v>
      </c>
      <c r="L235">
        <v>1367</v>
      </c>
      <c r="N235">
        <v>1011</v>
      </c>
      <c r="O235" t="s">
        <v>1102</v>
      </c>
      <c r="P235" t="s">
        <v>1102</v>
      </c>
      <c r="Q235">
        <v>1</v>
      </c>
      <c r="W235">
        <v>0</v>
      </c>
      <c r="X235">
        <v>-628430174</v>
      </c>
      <c r="Y235">
        <f>(AT235*1.25)</f>
        <v>7.4999999999999997E-2</v>
      </c>
      <c r="AA235">
        <v>0</v>
      </c>
      <c r="AB235">
        <v>935.94</v>
      </c>
      <c r="AC235">
        <v>444.8</v>
      </c>
      <c r="AD235">
        <v>0</v>
      </c>
      <c r="AE235">
        <v>0</v>
      </c>
      <c r="AF235">
        <v>76.81</v>
      </c>
      <c r="AG235">
        <v>14.36</v>
      </c>
      <c r="AH235">
        <v>0</v>
      </c>
      <c r="AI235">
        <v>1</v>
      </c>
      <c r="AJ235">
        <v>11.42</v>
      </c>
      <c r="AK235">
        <v>29.03</v>
      </c>
      <c r="AL235">
        <v>1</v>
      </c>
      <c r="AN235">
        <v>0</v>
      </c>
      <c r="AO235">
        <v>1</v>
      </c>
      <c r="AP235">
        <v>1</v>
      </c>
      <c r="AQ235">
        <v>0</v>
      </c>
      <c r="AR235">
        <v>0</v>
      </c>
      <c r="AS235" t="s">
        <v>3</v>
      </c>
      <c r="AT235">
        <v>0.06</v>
      </c>
      <c r="AU235" t="s">
        <v>86</v>
      </c>
      <c r="AV235">
        <v>0</v>
      </c>
      <c r="AW235">
        <v>2</v>
      </c>
      <c r="AX235">
        <v>129763446</v>
      </c>
      <c r="AY235">
        <v>1</v>
      </c>
      <c r="AZ235">
        <v>0</v>
      </c>
      <c r="BA235">
        <v>241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ROUND(Y235*Source!I262,9)</f>
        <v>7.4999999999999997E-2</v>
      </c>
      <c r="CY235">
        <f>AB235</f>
        <v>935.94</v>
      </c>
      <c r="CZ235">
        <f>AF235</f>
        <v>76.81</v>
      </c>
      <c r="DA235">
        <f>AJ235</f>
        <v>11.42</v>
      </c>
      <c r="DB235">
        <f>ROUND((ROUND(AT235*CZ235,2)*1.25),6)</f>
        <v>5.7625000000000002</v>
      </c>
      <c r="DC235">
        <f>ROUND((ROUND(AT235*AG235,2)*1.25),6)</f>
        <v>1.075</v>
      </c>
      <c r="DD235" t="s">
        <v>3</v>
      </c>
      <c r="DE235" t="s">
        <v>3</v>
      </c>
      <c r="DF235">
        <f t="shared" si="92"/>
        <v>0</v>
      </c>
      <c r="DG235">
        <f>ROUND(ROUND(AF235*CX235,2)*AJ235,2)</f>
        <v>65.78</v>
      </c>
      <c r="DH235">
        <f>ROUND(ROUND(AG235*CX235,2)*AK235,2)</f>
        <v>31.35</v>
      </c>
      <c r="DI235">
        <f t="shared" si="83"/>
        <v>0</v>
      </c>
      <c r="DJ235">
        <f>DG235</f>
        <v>65.78</v>
      </c>
      <c r="DK235">
        <v>0</v>
      </c>
    </row>
    <row r="236" spans="1:115" x14ac:dyDescent="0.2">
      <c r="A236">
        <f>ROW(Source!A262)</f>
        <v>262</v>
      </c>
      <c r="B236">
        <v>129761633</v>
      </c>
      <c r="C236">
        <v>129763437</v>
      </c>
      <c r="D236">
        <v>37394962</v>
      </c>
      <c r="E236">
        <v>1</v>
      </c>
      <c r="F236">
        <v>1</v>
      </c>
      <c r="G236">
        <v>37345137</v>
      </c>
      <c r="H236">
        <v>3</v>
      </c>
      <c r="I236" t="s">
        <v>1228</v>
      </c>
      <c r="J236" t="s">
        <v>1229</v>
      </c>
      <c r="K236" t="s">
        <v>1230</v>
      </c>
      <c r="L236">
        <v>1348</v>
      </c>
      <c r="N236">
        <v>1009</v>
      </c>
      <c r="O236" t="s">
        <v>114</v>
      </c>
      <c r="P236" t="s">
        <v>114</v>
      </c>
      <c r="Q236">
        <v>1000</v>
      </c>
      <c r="W236">
        <v>0</v>
      </c>
      <c r="X236">
        <v>-1951435217</v>
      </c>
      <c r="Y236">
        <f>AT236</f>
        <v>5.4000000000000001E-4</v>
      </c>
      <c r="AA236">
        <v>147006.14000000001</v>
      </c>
      <c r="AB236">
        <v>0</v>
      </c>
      <c r="AC236">
        <v>0</v>
      </c>
      <c r="AD236">
        <v>0</v>
      </c>
      <c r="AE236">
        <v>8596.85</v>
      </c>
      <c r="AF236">
        <v>0</v>
      </c>
      <c r="AG236">
        <v>0</v>
      </c>
      <c r="AH236">
        <v>0</v>
      </c>
      <c r="AI236">
        <v>17.100000000000001</v>
      </c>
      <c r="AJ236">
        <v>1</v>
      </c>
      <c r="AK236">
        <v>1</v>
      </c>
      <c r="AL236">
        <v>1</v>
      </c>
      <c r="AN236">
        <v>0</v>
      </c>
      <c r="AO236">
        <v>1</v>
      </c>
      <c r="AP236">
        <v>0</v>
      </c>
      <c r="AQ236">
        <v>0</v>
      </c>
      <c r="AR236">
        <v>0</v>
      </c>
      <c r="AS236" t="s">
        <v>3</v>
      </c>
      <c r="AT236">
        <v>5.4000000000000001E-4</v>
      </c>
      <c r="AU236" t="s">
        <v>3</v>
      </c>
      <c r="AV236">
        <v>0</v>
      </c>
      <c r="AW236">
        <v>2</v>
      </c>
      <c r="AX236">
        <v>129763447</v>
      </c>
      <c r="AY236">
        <v>1</v>
      </c>
      <c r="AZ236">
        <v>0</v>
      </c>
      <c r="BA236">
        <v>242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ROUND(Y236*Source!I262,9)</f>
        <v>5.4000000000000001E-4</v>
      </c>
      <c r="CY236">
        <f>AA236</f>
        <v>147006.14000000001</v>
      </c>
      <c r="CZ236">
        <f>AE236</f>
        <v>8596.85</v>
      </c>
      <c r="DA236">
        <f>AI236</f>
        <v>17.100000000000001</v>
      </c>
      <c r="DB236">
        <f>ROUND(ROUND(AT236*CZ236,2),6)</f>
        <v>4.6399999999999997</v>
      </c>
      <c r="DC236">
        <f>ROUND(ROUND(AT236*AG236,2),6)</f>
        <v>0</v>
      </c>
      <c r="DD236" t="s">
        <v>3</v>
      </c>
      <c r="DE236" t="s">
        <v>3</v>
      </c>
      <c r="DF236">
        <f>ROUND(ROUND(AE236*CX236,2)*AI236,2)</f>
        <v>79.34</v>
      </c>
      <c r="DG236">
        <f t="shared" ref="DG236:DG273" si="93">ROUND(AF236*CX236,2)</f>
        <v>0</v>
      </c>
      <c r="DH236">
        <f t="shared" ref="DH236:DH273" si="94">ROUND(AG236*CX236,2)</f>
        <v>0</v>
      </c>
      <c r="DI236">
        <f t="shared" si="83"/>
        <v>0</v>
      </c>
      <c r="DJ236">
        <f>DF236</f>
        <v>79.34</v>
      </c>
      <c r="DK236">
        <v>0</v>
      </c>
    </row>
    <row r="237" spans="1:115" x14ac:dyDescent="0.2">
      <c r="A237">
        <f>ROW(Source!A262)</f>
        <v>262</v>
      </c>
      <c r="B237">
        <v>129761633</v>
      </c>
      <c r="C237">
        <v>129763437</v>
      </c>
      <c r="D237">
        <v>37393498</v>
      </c>
      <c r="E237">
        <v>1</v>
      </c>
      <c r="F237">
        <v>1</v>
      </c>
      <c r="G237">
        <v>37345137</v>
      </c>
      <c r="H237">
        <v>3</v>
      </c>
      <c r="I237" t="s">
        <v>1231</v>
      </c>
      <c r="J237" t="s">
        <v>1232</v>
      </c>
      <c r="K237" t="s">
        <v>1233</v>
      </c>
      <c r="L237">
        <v>1348</v>
      </c>
      <c r="N237">
        <v>1009</v>
      </c>
      <c r="O237" t="s">
        <v>114</v>
      </c>
      <c r="P237" t="s">
        <v>114</v>
      </c>
      <c r="Q237">
        <v>1000</v>
      </c>
      <c r="W237">
        <v>0</v>
      </c>
      <c r="X237">
        <v>-1798553121</v>
      </c>
      <c r="Y237">
        <f>AT237</f>
        <v>3.5000000000000001E-3</v>
      </c>
      <c r="AA237">
        <v>128713.75</v>
      </c>
      <c r="AB237">
        <v>0</v>
      </c>
      <c r="AC237">
        <v>0</v>
      </c>
      <c r="AD237">
        <v>0</v>
      </c>
      <c r="AE237">
        <v>17876.91</v>
      </c>
      <c r="AF237">
        <v>0</v>
      </c>
      <c r="AG237">
        <v>0</v>
      </c>
      <c r="AH237">
        <v>0</v>
      </c>
      <c r="AI237">
        <v>7.2</v>
      </c>
      <c r="AJ237">
        <v>1</v>
      </c>
      <c r="AK237">
        <v>1</v>
      </c>
      <c r="AL237">
        <v>1</v>
      </c>
      <c r="AN237">
        <v>0</v>
      </c>
      <c r="AO237">
        <v>1</v>
      </c>
      <c r="AP237">
        <v>0</v>
      </c>
      <c r="AQ237">
        <v>0</v>
      </c>
      <c r="AR237">
        <v>0</v>
      </c>
      <c r="AS237" t="s">
        <v>3</v>
      </c>
      <c r="AT237">
        <v>3.5000000000000001E-3</v>
      </c>
      <c r="AU237" t="s">
        <v>3</v>
      </c>
      <c r="AV237">
        <v>0</v>
      </c>
      <c r="AW237">
        <v>2</v>
      </c>
      <c r="AX237">
        <v>129763448</v>
      </c>
      <c r="AY237">
        <v>1</v>
      </c>
      <c r="AZ237">
        <v>0</v>
      </c>
      <c r="BA237">
        <v>243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ROUND(Y237*Source!I262,9)</f>
        <v>3.5000000000000001E-3</v>
      </c>
      <c r="CY237">
        <f>AA237</f>
        <v>128713.75</v>
      </c>
      <c r="CZ237">
        <f>AE237</f>
        <v>17876.91</v>
      </c>
      <c r="DA237">
        <f>AI237</f>
        <v>7.2</v>
      </c>
      <c r="DB237">
        <f>ROUND(ROUND(AT237*CZ237,2),6)</f>
        <v>62.57</v>
      </c>
      <c r="DC237">
        <f>ROUND(ROUND(AT237*AG237,2),6)</f>
        <v>0</v>
      </c>
      <c r="DD237" t="s">
        <v>3</v>
      </c>
      <c r="DE237" t="s">
        <v>3</v>
      </c>
      <c r="DF237">
        <f>ROUND(ROUND(AE237*CX237,2)*AI237,2)</f>
        <v>450.5</v>
      </c>
      <c r="DG237">
        <f t="shared" si="93"/>
        <v>0</v>
      </c>
      <c r="DH237">
        <f t="shared" si="94"/>
        <v>0</v>
      </c>
      <c r="DI237">
        <f t="shared" si="83"/>
        <v>0</v>
      </c>
      <c r="DJ237">
        <f>DF237</f>
        <v>450.5</v>
      </c>
      <c r="DK237">
        <v>0</v>
      </c>
    </row>
    <row r="238" spans="1:115" x14ac:dyDescent="0.2">
      <c r="A238">
        <f>ROW(Source!A262)</f>
        <v>262</v>
      </c>
      <c r="B238">
        <v>129761633</v>
      </c>
      <c r="C238">
        <v>129763437</v>
      </c>
      <c r="D238">
        <v>0</v>
      </c>
      <c r="E238">
        <v>1</v>
      </c>
      <c r="F238">
        <v>1</v>
      </c>
      <c r="G238">
        <v>37345137</v>
      </c>
      <c r="H238">
        <v>3</v>
      </c>
      <c r="I238" t="s">
        <v>248</v>
      </c>
      <c r="J238" t="s">
        <v>3</v>
      </c>
      <c r="K238" t="s">
        <v>304</v>
      </c>
      <c r="L238">
        <v>1354</v>
      </c>
      <c r="N238">
        <v>1010</v>
      </c>
      <c r="O238" t="s">
        <v>250</v>
      </c>
      <c r="P238" t="s">
        <v>250</v>
      </c>
      <c r="Q238">
        <v>1</v>
      </c>
      <c r="W238">
        <v>0</v>
      </c>
      <c r="X238">
        <v>1123218831</v>
      </c>
      <c r="Y238">
        <f>AT238</f>
        <v>1</v>
      </c>
      <c r="AA238">
        <v>1886.22</v>
      </c>
      <c r="AB238">
        <v>0</v>
      </c>
      <c r="AC238">
        <v>0</v>
      </c>
      <c r="AD238">
        <v>0</v>
      </c>
      <c r="AE238">
        <v>218.06</v>
      </c>
      <c r="AF238">
        <v>0</v>
      </c>
      <c r="AG238">
        <v>0</v>
      </c>
      <c r="AH238">
        <v>0</v>
      </c>
      <c r="AI238">
        <v>8.65</v>
      </c>
      <c r="AJ238">
        <v>1</v>
      </c>
      <c r="AK238">
        <v>1</v>
      </c>
      <c r="AL238">
        <v>1</v>
      </c>
      <c r="AN238">
        <v>0</v>
      </c>
      <c r="AO238">
        <v>0</v>
      </c>
      <c r="AP238">
        <v>0</v>
      </c>
      <c r="AQ238">
        <v>0</v>
      </c>
      <c r="AR238">
        <v>0</v>
      </c>
      <c r="AS238" t="s">
        <v>3</v>
      </c>
      <c r="AT238">
        <v>1</v>
      </c>
      <c r="AU238" t="s">
        <v>3</v>
      </c>
      <c r="AV238">
        <v>0</v>
      </c>
      <c r="AW238">
        <v>1</v>
      </c>
      <c r="AX238">
        <v>-1</v>
      </c>
      <c r="AY238">
        <v>0</v>
      </c>
      <c r="AZ238">
        <v>0</v>
      </c>
      <c r="BA238" t="s">
        <v>3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ROUND(Y238*Source!I262,9)</f>
        <v>1</v>
      </c>
      <c r="CY238">
        <f>AA238</f>
        <v>1886.22</v>
      </c>
      <c r="CZ238">
        <f>AE238</f>
        <v>218.06</v>
      </c>
      <c r="DA238">
        <f>AI238</f>
        <v>8.65</v>
      </c>
      <c r="DB238">
        <f>ROUND(ROUND(AT238*CZ238,2),6)</f>
        <v>218.06</v>
      </c>
      <c r="DC238">
        <f>ROUND(ROUND(AT238*AG238,2),6)</f>
        <v>0</v>
      </c>
      <c r="DD238" t="s">
        <v>3</v>
      </c>
      <c r="DE238" t="s">
        <v>3</v>
      </c>
      <c r="DF238">
        <f>ROUND(ROUND(AE238*CX238,2)*AI238,2)</f>
        <v>1886.22</v>
      </c>
      <c r="DG238">
        <f t="shared" si="93"/>
        <v>0</v>
      </c>
      <c r="DH238">
        <f t="shared" si="94"/>
        <v>0</v>
      </c>
      <c r="DI238">
        <f t="shared" si="83"/>
        <v>0</v>
      </c>
      <c r="DJ238">
        <f>DF238</f>
        <v>1886.22</v>
      </c>
      <c r="DK238">
        <v>0</v>
      </c>
    </row>
    <row r="239" spans="1:115" x14ac:dyDescent="0.2">
      <c r="A239">
        <f>ROW(Source!A265)</f>
        <v>265</v>
      </c>
      <c r="B239">
        <v>129761636</v>
      </c>
      <c r="C239">
        <v>129763451</v>
      </c>
      <c r="D239">
        <v>37345142</v>
      </c>
      <c r="E239">
        <v>37345137</v>
      </c>
      <c r="F239">
        <v>1</v>
      </c>
      <c r="G239">
        <v>37345137</v>
      </c>
      <c r="H239">
        <v>1</v>
      </c>
      <c r="I239" t="s">
        <v>1096</v>
      </c>
      <c r="J239" t="s">
        <v>3</v>
      </c>
      <c r="K239" t="s">
        <v>1097</v>
      </c>
      <c r="L239">
        <v>1191</v>
      </c>
      <c r="N239">
        <v>1013</v>
      </c>
      <c r="O239" t="s">
        <v>1098</v>
      </c>
      <c r="P239" t="s">
        <v>1098</v>
      </c>
      <c r="Q239">
        <v>1</v>
      </c>
      <c r="W239">
        <v>0</v>
      </c>
      <c r="X239">
        <v>476480486</v>
      </c>
      <c r="Y239">
        <f>(AT239*1.15)</f>
        <v>139.14999999999998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1</v>
      </c>
      <c r="AJ239">
        <v>1</v>
      </c>
      <c r="AK239">
        <v>1</v>
      </c>
      <c r="AL239">
        <v>1</v>
      </c>
      <c r="AN239">
        <v>0</v>
      </c>
      <c r="AO239">
        <v>1</v>
      </c>
      <c r="AP239">
        <v>1</v>
      </c>
      <c r="AQ239">
        <v>0</v>
      </c>
      <c r="AR239">
        <v>0</v>
      </c>
      <c r="AS239" t="s">
        <v>3</v>
      </c>
      <c r="AT239">
        <v>121</v>
      </c>
      <c r="AU239" t="s">
        <v>87</v>
      </c>
      <c r="AV239">
        <v>1</v>
      </c>
      <c r="AW239">
        <v>2</v>
      </c>
      <c r="AX239">
        <v>129763458</v>
      </c>
      <c r="AY239">
        <v>1</v>
      </c>
      <c r="AZ239">
        <v>0</v>
      </c>
      <c r="BA239">
        <v>245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ROUND(Y239*Source!I265,9)</f>
        <v>4.1745000000000001</v>
      </c>
      <c r="CY239">
        <f>AD239</f>
        <v>0</v>
      </c>
      <c r="CZ239">
        <f>AH239</f>
        <v>0</v>
      </c>
      <c r="DA239">
        <f>AL239</f>
        <v>1</v>
      </c>
      <c r="DB239">
        <f>ROUND((ROUND(AT239*CZ239,2)*1.15),6)</f>
        <v>0</v>
      </c>
      <c r="DC239">
        <f>ROUND((ROUND(AT239*AG239,2)*1.15),6)</f>
        <v>0</v>
      </c>
      <c r="DD239" t="s">
        <v>3</v>
      </c>
      <c r="DE239" t="s">
        <v>3</v>
      </c>
      <c r="DF239">
        <f t="shared" ref="DF239:DF245" si="95">ROUND(AE239*CX239,2)</f>
        <v>0</v>
      </c>
      <c r="DG239">
        <f t="shared" si="93"/>
        <v>0</v>
      </c>
      <c r="DH239">
        <f t="shared" si="94"/>
        <v>0</v>
      </c>
      <c r="DI239">
        <f t="shared" si="83"/>
        <v>0</v>
      </c>
      <c r="DJ239">
        <f>DI239</f>
        <v>0</v>
      </c>
      <c r="DK239">
        <v>0</v>
      </c>
    </row>
    <row r="240" spans="1:115" x14ac:dyDescent="0.2">
      <c r="A240">
        <f>ROW(Source!A265)</f>
        <v>265</v>
      </c>
      <c r="B240">
        <v>129761636</v>
      </c>
      <c r="C240">
        <v>129763451</v>
      </c>
      <c r="D240">
        <v>37393552</v>
      </c>
      <c r="E240">
        <v>1</v>
      </c>
      <c r="F240">
        <v>1</v>
      </c>
      <c r="G240">
        <v>37345137</v>
      </c>
      <c r="H240">
        <v>3</v>
      </c>
      <c r="I240" t="s">
        <v>348</v>
      </c>
      <c r="J240" t="s">
        <v>350</v>
      </c>
      <c r="K240" t="s">
        <v>349</v>
      </c>
      <c r="L240">
        <v>1339</v>
      </c>
      <c r="N240">
        <v>1007</v>
      </c>
      <c r="O240" t="s">
        <v>94</v>
      </c>
      <c r="P240" t="s">
        <v>94</v>
      </c>
      <c r="Q240">
        <v>1</v>
      </c>
      <c r="W240">
        <v>0</v>
      </c>
      <c r="X240">
        <v>-862991314</v>
      </c>
      <c r="Y240">
        <f>AT240</f>
        <v>0.3</v>
      </c>
      <c r="AA240">
        <v>7.07</v>
      </c>
      <c r="AB240">
        <v>0</v>
      </c>
      <c r="AC240">
        <v>0</v>
      </c>
      <c r="AD240">
        <v>0</v>
      </c>
      <c r="AE240">
        <v>7.07</v>
      </c>
      <c r="AF240">
        <v>0</v>
      </c>
      <c r="AG240">
        <v>0</v>
      </c>
      <c r="AH240">
        <v>0</v>
      </c>
      <c r="AI240">
        <v>1</v>
      </c>
      <c r="AJ240">
        <v>1</v>
      </c>
      <c r="AK240">
        <v>1</v>
      </c>
      <c r="AL240">
        <v>1</v>
      </c>
      <c r="AN240">
        <v>0</v>
      </c>
      <c r="AO240">
        <v>1</v>
      </c>
      <c r="AP240">
        <v>0</v>
      </c>
      <c r="AQ240">
        <v>0</v>
      </c>
      <c r="AR240">
        <v>0</v>
      </c>
      <c r="AS240" t="s">
        <v>3</v>
      </c>
      <c r="AT240">
        <v>0.3</v>
      </c>
      <c r="AU240" t="s">
        <v>3</v>
      </c>
      <c r="AV240">
        <v>0</v>
      </c>
      <c r="AW240">
        <v>2</v>
      </c>
      <c r="AX240">
        <v>129763459</v>
      </c>
      <c r="AY240">
        <v>1</v>
      </c>
      <c r="AZ240">
        <v>0</v>
      </c>
      <c r="BA240">
        <v>246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ROUND(Y240*Source!I265,9)</f>
        <v>8.9999999999999993E-3</v>
      </c>
      <c r="CY240">
        <f>AA240</f>
        <v>7.07</v>
      </c>
      <c r="CZ240">
        <f>AE240</f>
        <v>7.07</v>
      </c>
      <c r="DA240">
        <f>AI240</f>
        <v>1</v>
      </c>
      <c r="DB240">
        <f>ROUND(ROUND(AT240*CZ240,2),6)</f>
        <v>2.12</v>
      </c>
      <c r="DC240">
        <f>ROUND(ROUND(AT240*AG240,2),6)</f>
        <v>0</v>
      </c>
      <c r="DD240" t="s">
        <v>3</v>
      </c>
      <c r="DE240" t="s">
        <v>3</v>
      </c>
      <c r="DF240">
        <f t="shared" si="95"/>
        <v>0.06</v>
      </c>
      <c r="DG240">
        <f t="shared" si="93"/>
        <v>0</v>
      </c>
      <c r="DH240">
        <f t="shared" si="94"/>
        <v>0</v>
      </c>
      <c r="DI240">
        <f t="shared" si="83"/>
        <v>0</v>
      </c>
      <c r="DJ240">
        <f>DF240</f>
        <v>0.06</v>
      </c>
      <c r="DK240">
        <v>0</v>
      </c>
    </row>
    <row r="241" spans="1:115" x14ac:dyDescent="0.2">
      <c r="A241">
        <f>ROW(Source!A265)</f>
        <v>265</v>
      </c>
      <c r="B241">
        <v>129761636</v>
      </c>
      <c r="C241">
        <v>129763451</v>
      </c>
      <c r="D241">
        <v>37393777</v>
      </c>
      <c r="E241">
        <v>1</v>
      </c>
      <c r="F241">
        <v>1</v>
      </c>
      <c r="G241">
        <v>37345137</v>
      </c>
      <c r="H241">
        <v>3</v>
      </c>
      <c r="I241" t="s">
        <v>314</v>
      </c>
      <c r="J241" t="s">
        <v>317</v>
      </c>
      <c r="K241" t="s">
        <v>315</v>
      </c>
      <c r="L241">
        <v>1356</v>
      </c>
      <c r="N241">
        <v>1010</v>
      </c>
      <c r="O241" t="s">
        <v>316</v>
      </c>
      <c r="P241" t="s">
        <v>316</v>
      </c>
      <c r="Q241">
        <v>1000</v>
      </c>
      <c r="W241">
        <v>0</v>
      </c>
      <c r="X241">
        <v>1033483998</v>
      </c>
      <c r="Y241">
        <f>AT241</f>
        <v>5</v>
      </c>
      <c r="AA241">
        <v>1064.6600000000001</v>
      </c>
      <c r="AB241">
        <v>0</v>
      </c>
      <c r="AC241">
        <v>0</v>
      </c>
      <c r="AD241">
        <v>0</v>
      </c>
      <c r="AE241">
        <v>1064.6600000000001</v>
      </c>
      <c r="AF241">
        <v>0</v>
      </c>
      <c r="AG241">
        <v>0</v>
      </c>
      <c r="AH241">
        <v>0</v>
      </c>
      <c r="AI241">
        <v>1</v>
      </c>
      <c r="AJ241">
        <v>1</v>
      </c>
      <c r="AK241">
        <v>1</v>
      </c>
      <c r="AL241">
        <v>1</v>
      </c>
      <c r="AN241">
        <v>0</v>
      </c>
      <c r="AO241">
        <v>0</v>
      </c>
      <c r="AP241">
        <v>0</v>
      </c>
      <c r="AQ241">
        <v>0</v>
      </c>
      <c r="AR241">
        <v>0</v>
      </c>
      <c r="AS241" t="s">
        <v>3</v>
      </c>
      <c r="AT241">
        <v>5</v>
      </c>
      <c r="AU241" t="s">
        <v>3</v>
      </c>
      <c r="AV241">
        <v>0</v>
      </c>
      <c r="AW241">
        <v>1</v>
      </c>
      <c r="AX241">
        <v>-1</v>
      </c>
      <c r="AY241">
        <v>0</v>
      </c>
      <c r="AZ241">
        <v>0</v>
      </c>
      <c r="BA241" t="s">
        <v>3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ROUND(Y241*Source!I265,9)</f>
        <v>0.15</v>
      </c>
      <c r="CY241">
        <f>AA241</f>
        <v>1064.6600000000001</v>
      </c>
      <c r="CZ241">
        <f>AE241</f>
        <v>1064.6600000000001</v>
      </c>
      <c r="DA241">
        <f>AI241</f>
        <v>1</v>
      </c>
      <c r="DB241">
        <f>ROUND(ROUND(AT241*CZ241,2),6)</f>
        <v>5323.3</v>
      </c>
      <c r="DC241">
        <f>ROUND(ROUND(AT241*AG241,2),6)</f>
        <v>0</v>
      </c>
      <c r="DD241" t="s">
        <v>3</v>
      </c>
      <c r="DE241" t="s">
        <v>3</v>
      </c>
      <c r="DF241">
        <f t="shared" si="95"/>
        <v>159.69999999999999</v>
      </c>
      <c r="DG241">
        <f t="shared" si="93"/>
        <v>0</v>
      </c>
      <c r="DH241">
        <f t="shared" si="94"/>
        <v>0</v>
      </c>
      <c r="DI241">
        <f t="shared" si="83"/>
        <v>0</v>
      </c>
      <c r="DJ241">
        <f>DF241</f>
        <v>159.69999999999999</v>
      </c>
      <c r="DK241">
        <v>0</v>
      </c>
    </row>
    <row r="242" spans="1:115" x14ac:dyDescent="0.2">
      <c r="A242">
        <f>ROW(Source!A265)</f>
        <v>265</v>
      </c>
      <c r="B242">
        <v>129761636</v>
      </c>
      <c r="C242">
        <v>129763451</v>
      </c>
      <c r="D242">
        <v>37393522</v>
      </c>
      <c r="E242">
        <v>1</v>
      </c>
      <c r="F242">
        <v>1</v>
      </c>
      <c r="G242">
        <v>37345137</v>
      </c>
      <c r="H242">
        <v>3</v>
      </c>
      <c r="I242" t="s">
        <v>1234</v>
      </c>
      <c r="J242" t="s">
        <v>1235</v>
      </c>
      <c r="K242" t="s">
        <v>1236</v>
      </c>
      <c r="L242">
        <v>1339</v>
      </c>
      <c r="N242">
        <v>1007</v>
      </c>
      <c r="O242" t="s">
        <v>94</v>
      </c>
      <c r="P242" t="s">
        <v>94</v>
      </c>
      <c r="Q242">
        <v>1</v>
      </c>
      <c r="W242">
        <v>0</v>
      </c>
      <c r="X242">
        <v>-1452877897</v>
      </c>
      <c r="Y242">
        <f>AT242</f>
        <v>1.6E-2</v>
      </c>
      <c r="AA242">
        <v>2472.13</v>
      </c>
      <c r="AB242">
        <v>0</v>
      </c>
      <c r="AC242">
        <v>0</v>
      </c>
      <c r="AD242">
        <v>0</v>
      </c>
      <c r="AE242">
        <v>2472.13</v>
      </c>
      <c r="AF242">
        <v>0</v>
      </c>
      <c r="AG242">
        <v>0</v>
      </c>
      <c r="AH242">
        <v>0</v>
      </c>
      <c r="AI242">
        <v>1</v>
      </c>
      <c r="AJ242">
        <v>1</v>
      </c>
      <c r="AK242">
        <v>1</v>
      </c>
      <c r="AL242">
        <v>1</v>
      </c>
      <c r="AN242">
        <v>0</v>
      </c>
      <c r="AO242">
        <v>1</v>
      </c>
      <c r="AP242">
        <v>0</v>
      </c>
      <c r="AQ242">
        <v>0</v>
      </c>
      <c r="AR242">
        <v>0</v>
      </c>
      <c r="AS242" t="s">
        <v>3</v>
      </c>
      <c r="AT242">
        <v>1.6E-2</v>
      </c>
      <c r="AU242" t="s">
        <v>3</v>
      </c>
      <c r="AV242">
        <v>0</v>
      </c>
      <c r="AW242">
        <v>2</v>
      </c>
      <c r="AX242">
        <v>129763460</v>
      </c>
      <c r="AY242">
        <v>1</v>
      </c>
      <c r="AZ242">
        <v>0</v>
      </c>
      <c r="BA242">
        <v>247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ROUND(Y242*Source!I265,9)</f>
        <v>4.8000000000000001E-4</v>
      </c>
      <c r="CY242">
        <f>AA242</f>
        <v>2472.13</v>
      </c>
      <c r="CZ242">
        <f>AE242</f>
        <v>2472.13</v>
      </c>
      <c r="DA242">
        <f>AI242</f>
        <v>1</v>
      </c>
      <c r="DB242">
        <f>ROUND(ROUND(AT242*CZ242,2),6)</f>
        <v>39.549999999999997</v>
      </c>
      <c r="DC242">
        <f>ROUND(ROUND(AT242*AG242,2),6)</f>
        <v>0</v>
      </c>
      <c r="DD242" t="s">
        <v>3</v>
      </c>
      <c r="DE242" t="s">
        <v>3</v>
      </c>
      <c r="DF242">
        <f t="shared" si="95"/>
        <v>1.19</v>
      </c>
      <c r="DG242">
        <f t="shared" si="93"/>
        <v>0</v>
      </c>
      <c r="DH242">
        <f t="shared" si="94"/>
        <v>0</v>
      </c>
      <c r="DI242">
        <f t="shared" si="83"/>
        <v>0</v>
      </c>
      <c r="DJ242">
        <f>DF242</f>
        <v>1.19</v>
      </c>
      <c r="DK242">
        <v>0</v>
      </c>
    </row>
    <row r="243" spans="1:115" x14ac:dyDescent="0.2">
      <c r="A243">
        <f>ROW(Source!A265)</f>
        <v>265</v>
      </c>
      <c r="B243">
        <v>129761636</v>
      </c>
      <c r="C243">
        <v>129763451</v>
      </c>
      <c r="D243">
        <v>37394252</v>
      </c>
      <c r="E243">
        <v>1</v>
      </c>
      <c r="F243">
        <v>1</v>
      </c>
      <c r="G243">
        <v>37345137</v>
      </c>
      <c r="H243">
        <v>3</v>
      </c>
      <c r="I243" t="s">
        <v>1237</v>
      </c>
      <c r="J243" t="s">
        <v>1238</v>
      </c>
      <c r="K243" t="s">
        <v>1239</v>
      </c>
      <c r="L243">
        <v>1348</v>
      </c>
      <c r="N243">
        <v>1009</v>
      </c>
      <c r="O243" t="s">
        <v>114</v>
      </c>
      <c r="P243" t="s">
        <v>114</v>
      </c>
      <c r="Q243">
        <v>1000</v>
      </c>
      <c r="W243">
        <v>0</v>
      </c>
      <c r="X243">
        <v>-1557622869</v>
      </c>
      <c r="Y243">
        <f>AT243</f>
        <v>2.3E-3</v>
      </c>
      <c r="AA243">
        <v>6870.66</v>
      </c>
      <c r="AB243">
        <v>0</v>
      </c>
      <c r="AC243">
        <v>0</v>
      </c>
      <c r="AD243">
        <v>0</v>
      </c>
      <c r="AE243">
        <v>6870.66</v>
      </c>
      <c r="AF243">
        <v>0</v>
      </c>
      <c r="AG243">
        <v>0</v>
      </c>
      <c r="AH243">
        <v>0</v>
      </c>
      <c r="AI243">
        <v>1</v>
      </c>
      <c r="AJ243">
        <v>1</v>
      </c>
      <c r="AK243">
        <v>1</v>
      </c>
      <c r="AL243">
        <v>1</v>
      </c>
      <c r="AN243">
        <v>0</v>
      </c>
      <c r="AO243">
        <v>1</v>
      </c>
      <c r="AP243">
        <v>0</v>
      </c>
      <c r="AQ243">
        <v>0</v>
      </c>
      <c r="AR243">
        <v>0</v>
      </c>
      <c r="AS243" t="s">
        <v>3</v>
      </c>
      <c r="AT243">
        <v>2.3E-3</v>
      </c>
      <c r="AU243" t="s">
        <v>3</v>
      </c>
      <c r="AV243">
        <v>0</v>
      </c>
      <c r="AW243">
        <v>2</v>
      </c>
      <c r="AX243">
        <v>129763461</v>
      </c>
      <c r="AY243">
        <v>1</v>
      </c>
      <c r="AZ243">
        <v>0</v>
      </c>
      <c r="BA243">
        <v>248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ROUND(Y243*Source!I265,9)</f>
        <v>6.8999999999999997E-5</v>
      </c>
      <c r="CY243">
        <f>AA243</f>
        <v>6870.66</v>
      </c>
      <c r="CZ243">
        <f>AE243</f>
        <v>6870.66</v>
      </c>
      <c r="DA243">
        <f>AI243</f>
        <v>1</v>
      </c>
      <c r="DB243">
        <f>ROUND(ROUND(AT243*CZ243,2),6)</f>
        <v>15.8</v>
      </c>
      <c r="DC243">
        <f>ROUND(ROUND(AT243*AG243,2),6)</f>
        <v>0</v>
      </c>
      <c r="DD243" t="s">
        <v>3</v>
      </c>
      <c r="DE243" t="s">
        <v>3</v>
      </c>
      <c r="DF243">
        <f t="shared" si="95"/>
        <v>0.47</v>
      </c>
      <c r="DG243">
        <f t="shared" si="93"/>
        <v>0</v>
      </c>
      <c r="DH243">
        <f t="shared" si="94"/>
        <v>0</v>
      </c>
      <c r="DI243">
        <f t="shared" si="83"/>
        <v>0</v>
      </c>
      <c r="DJ243">
        <f>DF243</f>
        <v>0.47</v>
      </c>
      <c r="DK243">
        <v>0</v>
      </c>
    </row>
    <row r="244" spans="1:115" x14ac:dyDescent="0.2">
      <c r="A244">
        <f>ROW(Source!A265)</f>
        <v>265</v>
      </c>
      <c r="B244">
        <v>129761636</v>
      </c>
      <c r="C244">
        <v>129763451</v>
      </c>
      <c r="D244">
        <v>37412070</v>
      </c>
      <c r="E244">
        <v>1</v>
      </c>
      <c r="F244">
        <v>1</v>
      </c>
      <c r="G244">
        <v>37345137</v>
      </c>
      <c r="H244">
        <v>3</v>
      </c>
      <c r="I244" t="s">
        <v>319</v>
      </c>
      <c r="J244" t="s">
        <v>321</v>
      </c>
      <c r="K244" t="s">
        <v>320</v>
      </c>
      <c r="L244">
        <v>1339</v>
      </c>
      <c r="N244">
        <v>1007</v>
      </c>
      <c r="O244" t="s">
        <v>94</v>
      </c>
      <c r="P244" t="s">
        <v>94</v>
      </c>
      <c r="Q244">
        <v>1</v>
      </c>
      <c r="W244">
        <v>0</v>
      </c>
      <c r="X244">
        <v>202608499</v>
      </c>
      <c r="Y244">
        <f>AT244</f>
        <v>2.2999999999999998</v>
      </c>
      <c r="AA244">
        <v>481.69</v>
      </c>
      <c r="AB244">
        <v>0</v>
      </c>
      <c r="AC244">
        <v>0</v>
      </c>
      <c r="AD244">
        <v>0</v>
      </c>
      <c r="AE244">
        <v>481.69</v>
      </c>
      <c r="AF244">
        <v>0</v>
      </c>
      <c r="AG244">
        <v>0</v>
      </c>
      <c r="AH244">
        <v>0</v>
      </c>
      <c r="AI244">
        <v>1</v>
      </c>
      <c r="AJ244">
        <v>1</v>
      </c>
      <c r="AK244">
        <v>1</v>
      </c>
      <c r="AL244">
        <v>1</v>
      </c>
      <c r="AN244">
        <v>0</v>
      </c>
      <c r="AO244">
        <v>0</v>
      </c>
      <c r="AP244">
        <v>0</v>
      </c>
      <c r="AQ244">
        <v>0</v>
      </c>
      <c r="AR244">
        <v>0</v>
      </c>
      <c r="AS244" t="s">
        <v>3</v>
      </c>
      <c r="AT244">
        <v>2.2999999999999998</v>
      </c>
      <c r="AU244" t="s">
        <v>3</v>
      </c>
      <c r="AV244">
        <v>0</v>
      </c>
      <c r="AW244">
        <v>1</v>
      </c>
      <c r="AX244">
        <v>-1</v>
      </c>
      <c r="AY244">
        <v>0</v>
      </c>
      <c r="AZ244">
        <v>0</v>
      </c>
      <c r="BA244" t="s">
        <v>3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ROUND(Y244*Source!I265,9)</f>
        <v>6.9000000000000006E-2</v>
      </c>
      <c r="CY244">
        <f>AA244</f>
        <v>481.69</v>
      </c>
      <c r="CZ244">
        <f>AE244</f>
        <v>481.69</v>
      </c>
      <c r="DA244">
        <f>AI244</f>
        <v>1</v>
      </c>
      <c r="DB244">
        <f>ROUND(ROUND(AT244*CZ244,2),6)</f>
        <v>1107.8900000000001</v>
      </c>
      <c r="DC244">
        <f>ROUND(ROUND(AT244*AG244,2),6)</f>
        <v>0</v>
      </c>
      <c r="DD244" t="s">
        <v>3</v>
      </c>
      <c r="DE244" t="s">
        <v>3</v>
      </c>
      <c r="DF244">
        <f t="shared" si="95"/>
        <v>33.24</v>
      </c>
      <c r="DG244">
        <f t="shared" si="93"/>
        <v>0</v>
      </c>
      <c r="DH244">
        <f t="shared" si="94"/>
        <v>0</v>
      </c>
      <c r="DI244">
        <f t="shared" si="83"/>
        <v>0</v>
      </c>
      <c r="DJ244">
        <f>DF244</f>
        <v>33.24</v>
      </c>
      <c r="DK244">
        <v>0</v>
      </c>
    </row>
    <row r="245" spans="1:115" x14ac:dyDescent="0.2">
      <c r="A245">
        <f>ROW(Source!A266)</f>
        <v>266</v>
      </c>
      <c r="B245">
        <v>129761633</v>
      </c>
      <c r="C245">
        <v>129763451</v>
      </c>
      <c r="D245">
        <v>37345142</v>
      </c>
      <c r="E245">
        <v>37345137</v>
      </c>
      <c r="F245">
        <v>1</v>
      </c>
      <c r="G245">
        <v>37345137</v>
      </c>
      <c r="H245">
        <v>1</v>
      </c>
      <c r="I245" t="s">
        <v>1096</v>
      </c>
      <c r="J245" t="s">
        <v>3</v>
      </c>
      <c r="K245" t="s">
        <v>1097</v>
      </c>
      <c r="L245">
        <v>1191</v>
      </c>
      <c r="N245">
        <v>1013</v>
      </c>
      <c r="O245" t="s">
        <v>1098</v>
      </c>
      <c r="P245" t="s">
        <v>1098</v>
      </c>
      <c r="Q245">
        <v>1</v>
      </c>
      <c r="W245">
        <v>0</v>
      </c>
      <c r="X245">
        <v>476480486</v>
      </c>
      <c r="Y245">
        <f>(AT245*1.15)</f>
        <v>139.14999999999998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1</v>
      </c>
      <c r="AJ245">
        <v>1</v>
      </c>
      <c r="AK245">
        <v>1</v>
      </c>
      <c r="AL245">
        <v>1</v>
      </c>
      <c r="AN245">
        <v>0</v>
      </c>
      <c r="AO245">
        <v>1</v>
      </c>
      <c r="AP245">
        <v>1</v>
      </c>
      <c r="AQ245">
        <v>0</v>
      </c>
      <c r="AR245">
        <v>0</v>
      </c>
      <c r="AS245" t="s">
        <v>3</v>
      </c>
      <c r="AT245">
        <v>121</v>
      </c>
      <c r="AU245" t="s">
        <v>87</v>
      </c>
      <c r="AV245">
        <v>1</v>
      </c>
      <c r="AW245">
        <v>2</v>
      </c>
      <c r="AX245">
        <v>129763458</v>
      </c>
      <c r="AY245">
        <v>1</v>
      </c>
      <c r="AZ245">
        <v>0</v>
      </c>
      <c r="BA245">
        <v>251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ROUND(Y245*Source!I266,9)</f>
        <v>4.1745000000000001</v>
      </c>
      <c r="CY245">
        <f>AD245</f>
        <v>0</v>
      </c>
      <c r="CZ245">
        <f>AH245</f>
        <v>0</v>
      </c>
      <c r="DA245">
        <f>AL245</f>
        <v>1</v>
      </c>
      <c r="DB245">
        <f>ROUND((ROUND(AT245*CZ245,2)*1.15),6)</f>
        <v>0</v>
      </c>
      <c r="DC245">
        <f>ROUND((ROUND(AT245*AG245,2)*1.15),6)</f>
        <v>0</v>
      </c>
      <c r="DD245" t="s">
        <v>3</v>
      </c>
      <c r="DE245" t="s">
        <v>3</v>
      </c>
      <c r="DF245">
        <f t="shared" si="95"/>
        <v>0</v>
      </c>
      <c r="DG245">
        <f t="shared" si="93"/>
        <v>0</v>
      </c>
      <c r="DH245">
        <f t="shared" si="94"/>
        <v>0</v>
      </c>
      <c r="DI245">
        <f t="shared" si="83"/>
        <v>0</v>
      </c>
      <c r="DJ245">
        <f>DI245</f>
        <v>0</v>
      </c>
      <c r="DK245">
        <v>0</v>
      </c>
    </row>
    <row r="246" spans="1:115" x14ac:dyDescent="0.2">
      <c r="A246">
        <f>ROW(Source!A266)</f>
        <v>266</v>
      </c>
      <c r="B246">
        <v>129761633</v>
      </c>
      <c r="C246">
        <v>129763451</v>
      </c>
      <c r="D246">
        <v>37393552</v>
      </c>
      <c r="E246">
        <v>1</v>
      </c>
      <c r="F246">
        <v>1</v>
      </c>
      <c r="G246">
        <v>37345137</v>
      </c>
      <c r="H246">
        <v>3</v>
      </c>
      <c r="I246" t="s">
        <v>348</v>
      </c>
      <c r="J246" t="s">
        <v>350</v>
      </c>
      <c r="K246" t="s">
        <v>349</v>
      </c>
      <c r="L246">
        <v>1339</v>
      </c>
      <c r="N246">
        <v>1007</v>
      </c>
      <c r="O246" t="s">
        <v>94</v>
      </c>
      <c r="P246" t="s">
        <v>94</v>
      </c>
      <c r="Q246">
        <v>1</v>
      </c>
      <c r="W246">
        <v>0</v>
      </c>
      <c r="X246">
        <v>-862991314</v>
      </c>
      <c r="Y246">
        <f t="shared" ref="Y246:Y254" si="96">AT246</f>
        <v>0.3</v>
      </c>
      <c r="AA246">
        <v>43.48</v>
      </c>
      <c r="AB246">
        <v>0</v>
      </c>
      <c r="AC246">
        <v>0</v>
      </c>
      <c r="AD246">
        <v>0</v>
      </c>
      <c r="AE246">
        <v>7.07</v>
      </c>
      <c r="AF246">
        <v>0</v>
      </c>
      <c r="AG246">
        <v>0</v>
      </c>
      <c r="AH246">
        <v>0</v>
      </c>
      <c r="AI246">
        <v>6</v>
      </c>
      <c r="AJ246">
        <v>1</v>
      </c>
      <c r="AK246">
        <v>1</v>
      </c>
      <c r="AL246">
        <v>1</v>
      </c>
      <c r="AN246">
        <v>0</v>
      </c>
      <c r="AO246">
        <v>1</v>
      </c>
      <c r="AP246">
        <v>0</v>
      </c>
      <c r="AQ246">
        <v>0</v>
      </c>
      <c r="AR246">
        <v>0</v>
      </c>
      <c r="AS246" t="s">
        <v>3</v>
      </c>
      <c r="AT246">
        <v>0.3</v>
      </c>
      <c r="AU246" t="s">
        <v>3</v>
      </c>
      <c r="AV246">
        <v>0</v>
      </c>
      <c r="AW246">
        <v>2</v>
      </c>
      <c r="AX246">
        <v>129763459</v>
      </c>
      <c r="AY246">
        <v>1</v>
      </c>
      <c r="AZ246">
        <v>0</v>
      </c>
      <c r="BA246">
        <v>252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ROUND(Y246*Source!I266,9)</f>
        <v>8.9999999999999993E-3</v>
      </c>
      <c r="CY246">
        <f>AA246</f>
        <v>43.48</v>
      </c>
      <c r="CZ246">
        <f>AE246</f>
        <v>7.07</v>
      </c>
      <c r="DA246">
        <f>AI246</f>
        <v>6</v>
      </c>
      <c r="DB246">
        <f t="shared" ref="DB246:DB254" si="97">ROUND(ROUND(AT246*CZ246,2),6)</f>
        <v>2.12</v>
      </c>
      <c r="DC246">
        <f t="shared" ref="DC246:DC254" si="98">ROUND(ROUND(AT246*AG246,2),6)</f>
        <v>0</v>
      </c>
      <c r="DD246" t="s">
        <v>3</v>
      </c>
      <c r="DE246" t="s">
        <v>3</v>
      </c>
      <c r="DF246">
        <f>ROUND(ROUND(AE246*CX246,2)*AI246,2)</f>
        <v>0.36</v>
      </c>
      <c r="DG246">
        <f t="shared" si="93"/>
        <v>0</v>
      </c>
      <c r="DH246">
        <f t="shared" si="94"/>
        <v>0</v>
      </c>
      <c r="DI246">
        <f t="shared" si="83"/>
        <v>0</v>
      </c>
      <c r="DJ246">
        <f>DF246</f>
        <v>0.36</v>
      </c>
      <c r="DK246">
        <v>0</v>
      </c>
    </row>
    <row r="247" spans="1:115" x14ac:dyDescent="0.2">
      <c r="A247">
        <f>ROW(Source!A266)</f>
        <v>266</v>
      </c>
      <c r="B247">
        <v>129761633</v>
      </c>
      <c r="C247">
        <v>129763451</v>
      </c>
      <c r="D247">
        <v>37393777</v>
      </c>
      <c r="E247">
        <v>1</v>
      </c>
      <c r="F247">
        <v>1</v>
      </c>
      <c r="G247">
        <v>37345137</v>
      </c>
      <c r="H247">
        <v>3</v>
      </c>
      <c r="I247" t="s">
        <v>314</v>
      </c>
      <c r="J247" t="s">
        <v>317</v>
      </c>
      <c r="K247" t="s">
        <v>315</v>
      </c>
      <c r="L247">
        <v>1356</v>
      </c>
      <c r="N247">
        <v>1010</v>
      </c>
      <c r="O247" t="s">
        <v>316</v>
      </c>
      <c r="P247" t="s">
        <v>316</v>
      </c>
      <c r="Q247">
        <v>1000</v>
      </c>
      <c r="W247">
        <v>0</v>
      </c>
      <c r="X247">
        <v>1033483998</v>
      </c>
      <c r="Y247">
        <f t="shared" si="96"/>
        <v>5</v>
      </c>
      <c r="AA247">
        <v>17023.91</v>
      </c>
      <c r="AB247">
        <v>0</v>
      </c>
      <c r="AC247">
        <v>0</v>
      </c>
      <c r="AD247">
        <v>0</v>
      </c>
      <c r="AE247">
        <v>1064.6600000000001</v>
      </c>
      <c r="AF247">
        <v>0</v>
      </c>
      <c r="AG247">
        <v>0</v>
      </c>
      <c r="AH247">
        <v>0</v>
      </c>
      <c r="AI247">
        <v>15.6</v>
      </c>
      <c r="AJ247">
        <v>1</v>
      </c>
      <c r="AK247">
        <v>1</v>
      </c>
      <c r="AL247">
        <v>1</v>
      </c>
      <c r="AN247">
        <v>0</v>
      </c>
      <c r="AO247">
        <v>0</v>
      </c>
      <c r="AP247">
        <v>0</v>
      </c>
      <c r="AQ247">
        <v>0</v>
      </c>
      <c r="AR247">
        <v>0</v>
      </c>
      <c r="AS247" t="s">
        <v>3</v>
      </c>
      <c r="AT247">
        <v>5</v>
      </c>
      <c r="AU247" t="s">
        <v>3</v>
      </c>
      <c r="AV247">
        <v>0</v>
      </c>
      <c r="AW247">
        <v>1</v>
      </c>
      <c r="AX247">
        <v>-1</v>
      </c>
      <c r="AY247">
        <v>0</v>
      </c>
      <c r="AZ247">
        <v>0</v>
      </c>
      <c r="BA247" t="s">
        <v>3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ROUND(Y247*Source!I266,9)</f>
        <v>0.15</v>
      </c>
      <c r="CY247">
        <f>AA247</f>
        <v>17023.91</v>
      </c>
      <c r="CZ247">
        <f>AE247</f>
        <v>1064.6600000000001</v>
      </c>
      <c r="DA247">
        <f>AI247</f>
        <v>15.6</v>
      </c>
      <c r="DB247">
        <f t="shared" si="97"/>
        <v>5323.3</v>
      </c>
      <c r="DC247">
        <f t="shared" si="98"/>
        <v>0</v>
      </c>
      <c r="DD247" t="s">
        <v>3</v>
      </c>
      <c r="DE247" t="s">
        <v>3</v>
      </c>
      <c r="DF247">
        <f>ROUND(ROUND(AE247*CX247,2)*AI247,2)</f>
        <v>2491.3200000000002</v>
      </c>
      <c r="DG247">
        <f t="shared" si="93"/>
        <v>0</v>
      </c>
      <c r="DH247">
        <f t="shared" si="94"/>
        <v>0</v>
      </c>
      <c r="DI247">
        <f t="shared" si="83"/>
        <v>0</v>
      </c>
      <c r="DJ247">
        <f>DF247</f>
        <v>2491.3200000000002</v>
      </c>
      <c r="DK247">
        <v>0</v>
      </c>
    </row>
    <row r="248" spans="1:115" x14ac:dyDescent="0.2">
      <c r="A248">
        <f>ROW(Source!A266)</f>
        <v>266</v>
      </c>
      <c r="B248">
        <v>129761633</v>
      </c>
      <c r="C248">
        <v>129763451</v>
      </c>
      <c r="D248">
        <v>37393522</v>
      </c>
      <c r="E248">
        <v>1</v>
      </c>
      <c r="F248">
        <v>1</v>
      </c>
      <c r="G248">
        <v>37345137</v>
      </c>
      <c r="H248">
        <v>3</v>
      </c>
      <c r="I248" t="s">
        <v>1234</v>
      </c>
      <c r="J248" t="s">
        <v>1235</v>
      </c>
      <c r="K248" t="s">
        <v>1236</v>
      </c>
      <c r="L248">
        <v>1339</v>
      </c>
      <c r="N248">
        <v>1007</v>
      </c>
      <c r="O248" t="s">
        <v>94</v>
      </c>
      <c r="P248" t="s">
        <v>94</v>
      </c>
      <c r="Q248">
        <v>1</v>
      </c>
      <c r="W248">
        <v>0</v>
      </c>
      <c r="X248">
        <v>-1452877897</v>
      </c>
      <c r="Y248">
        <f t="shared" si="96"/>
        <v>1.6E-2</v>
      </c>
      <c r="AA248">
        <v>9628.9500000000007</v>
      </c>
      <c r="AB248">
        <v>0</v>
      </c>
      <c r="AC248">
        <v>0</v>
      </c>
      <c r="AD248">
        <v>0</v>
      </c>
      <c r="AE248">
        <v>2472.13</v>
      </c>
      <c r="AF248">
        <v>0</v>
      </c>
      <c r="AG248">
        <v>0</v>
      </c>
      <c r="AH248">
        <v>0</v>
      </c>
      <c r="AI248">
        <v>3.8</v>
      </c>
      <c r="AJ248">
        <v>1</v>
      </c>
      <c r="AK248">
        <v>1</v>
      </c>
      <c r="AL248">
        <v>1</v>
      </c>
      <c r="AN248">
        <v>0</v>
      </c>
      <c r="AO248">
        <v>1</v>
      </c>
      <c r="AP248">
        <v>0</v>
      </c>
      <c r="AQ248">
        <v>0</v>
      </c>
      <c r="AR248">
        <v>0</v>
      </c>
      <c r="AS248" t="s">
        <v>3</v>
      </c>
      <c r="AT248">
        <v>1.6E-2</v>
      </c>
      <c r="AU248" t="s">
        <v>3</v>
      </c>
      <c r="AV248">
        <v>0</v>
      </c>
      <c r="AW248">
        <v>2</v>
      </c>
      <c r="AX248">
        <v>129763460</v>
      </c>
      <c r="AY248">
        <v>1</v>
      </c>
      <c r="AZ248">
        <v>0</v>
      </c>
      <c r="BA248">
        <v>253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ROUND(Y248*Source!I266,9)</f>
        <v>4.8000000000000001E-4</v>
      </c>
      <c r="CY248">
        <f>AA248</f>
        <v>9628.9500000000007</v>
      </c>
      <c r="CZ248">
        <f>AE248</f>
        <v>2472.13</v>
      </c>
      <c r="DA248">
        <f>AI248</f>
        <v>3.8</v>
      </c>
      <c r="DB248">
        <f t="shared" si="97"/>
        <v>39.549999999999997</v>
      </c>
      <c r="DC248">
        <f t="shared" si="98"/>
        <v>0</v>
      </c>
      <c r="DD248" t="s">
        <v>3</v>
      </c>
      <c r="DE248" t="s">
        <v>3</v>
      </c>
      <c r="DF248">
        <f>ROUND(ROUND(AE248*CX248,2)*AI248,2)</f>
        <v>4.5199999999999996</v>
      </c>
      <c r="DG248">
        <f t="shared" si="93"/>
        <v>0</v>
      </c>
      <c r="DH248">
        <f t="shared" si="94"/>
        <v>0</v>
      </c>
      <c r="DI248">
        <f t="shared" si="83"/>
        <v>0</v>
      </c>
      <c r="DJ248">
        <f>DF248</f>
        <v>4.5199999999999996</v>
      </c>
      <c r="DK248">
        <v>0</v>
      </c>
    </row>
    <row r="249" spans="1:115" x14ac:dyDescent="0.2">
      <c r="A249">
        <f>ROW(Source!A266)</f>
        <v>266</v>
      </c>
      <c r="B249">
        <v>129761633</v>
      </c>
      <c r="C249">
        <v>129763451</v>
      </c>
      <c r="D249">
        <v>37394252</v>
      </c>
      <c r="E249">
        <v>1</v>
      </c>
      <c r="F249">
        <v>1</v>
      </c>
      <c r="G249">
        <v>37345137</v>
      </c>
      <c r="H249">
        <v>3</v>
      </c>
      <c r="I249" t="s">
        <v>1237</v>
      </c>
      <c r="J249" t="s">
        <v>1238</v>
      </c>
      <c r="K249" t="s">
        <v>1239</v>
      </c>
      <c r="L249">
        <v>1348</v>
      </c>
      <c r="N249">
        <v>1009</v>
      </c>
      <c r="O249" t="s">
        <v>114</v>
      </c>
      <c r="P249" t="s">
        <v>114</v>
      </c>
      <c r="Q249">
        <v>1000</v>
      </c>
      <c r="W249">
        <v>0</v>
      </c>
      <c r="X249">
        <v>-1557622869</v>
      </c>
      <c r="Y249">
        <f t="shared" si="96"/>
        <v>2.3E-3</v>
      </c>
      <c r="AA249">
        <v>55916.87</v>
      </c>
      <c r="AB249">
        <v>0</v>
      </c>
      <c r="AC249">
        <v>0</v>
      </c>
      <c r="AD249">
        <v>0</v>
      </c>
      <c r="AE249">
        <v>6870.66</v>
      </c>
      <c r="AF249">
        <v>0</v>
      </c>
      <c r="AG249">
        <v>0</v>
      </c>
      <c r="AH249">
        <v>0</v>
      </c>
      <c r="AI249">
        <v>7.94</v>
      </c>
      <c r="AJ249">
        <v>1</v>
      </c>
      <c r="AK249">
        <v>1</v>
      </c>
      <c r="AL249">
        <v>1</v>
      </c>
      <c r="AN249">
        <v>0</v>
      </c>
      <c r="AO249">
        <v>1</v>
      </c>
      <c r="AP249">
        <v>0</v>
      </c>
      <c r="AQ249">
        <v>0</v>
      </c>
      <c r="AR249">
        <v>0</v>
      </c>
      <c r="AS249" t="s">
        <v>3</v>
      </c>
      <c r="AT249">
        <v>2.3E-3</v>
      </c>
      <c r="AU249" t="s">
        <v>3</v>
      </c>
      <c r="AV249">
        <v>0</v>
      </c>
      <c r="AW249">
        <v>2</v>
      </c>
      <c r="AX249">
        <v>129763461</v>
      </c>
      <c r="AY249">
        <v>1</v>
      </c>
      <c r="AZ249">
        <v>0</v>
      </c>
      <c r="BA249">
        <v>254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ROUND(Y249*Source!I266,9)</f>
        <v>6.8999999999999997E-5</v>
      </c>
      <c r="CY249">
        <f>AA249</f>
        <v>55916.87</v>
      </c>
      <c r="CZ249">
        <f>AE249</f>
        <v>6870.66</v>
      </c>
      <c r="DA249">
        <f>AI249</f>
        <v>7.94</v>
      </c>
      <c r="DB249">
        <f t="shared" si="97"/>
        <v>15.8</v>
      </c>
      <c r="DC249">
        <f t="shared" si="98"/>
        <v>0</v>
      </c>
      <c r="DD249" t="s">
        <v>3</v>
      </c>
      <c r="DE249" t="s">
        <v>3</v>
      </c>
      <c r="DF249">
        <f>ROUND(ROUND(AE249*CX249,2)*AI249,2)</f>
        <v>3.73</v>
      </c>
      <c r="DG249">
        <f t="shared" si="93"/>
        <v>0</v>
      </c>
      <c r="DH249">
        <f t="shared" si="94"/>
        <v>0</v>
      </c>
      <c r="DI249">
        <f t="shared" si="83"/>
        <v>0</v>
      </c>
      <c r="DJ249">
        <f>DF249</f>
        <v>3.73</v>
      </c>
      <c r="DK249">
        <v>0</v>
      </c>
    </row>
    <row r="250" spans="1:115" x14ac:dyDescent="0.2">
      <c r="A250">
        <f>ROW(Source!A266)</f>
        <v>266</v>
      </c>
      <c r="B250">
        <v>129761633</v>
      </c>
      <c r="C250">
        <v>129763451</v>
      </c>
      <c r="D250">
        <v>37412070</v>
      </c>
      <c r="E250">
        <v>1</v>
      </c>
      <c r="F250">
        <v>1</v>
      </c>
      <c r="G250">
        <v>37345137</v>
      </c>
      <c r="H250">
        <v>3</v>
      </c>
      <c r="I250" t="s">
        <v>319</v>
      </c>
      <c r="J250" t="s">
        <v>321</v>
      </c>
      <c r="K250" t="s">
        <v>320</v>
      </c>
      <c r="L250">
        <v>1339</v>
      </c>
      <c r="N250">
        <v>1007</v>
      </c>
      <c r="O250" t="s">
        <v>94</v>
      </c>
      <c r="P250" t="s">
        <v>94</v>
      </c>
      <c r="Q250">
        <v>1</v>
      </c>
      <c r="W250">
        <v>0</v>
      </c>
      <c r="X250">
        <v>202608499</v>
      </c>
      <c r="Y250">
        <f t="shared" si="96"/>
        <v>2.2999999999999998</v>
      </c>
      <c r="AA250">
        <v>4655.8999999999996</v>
      </c>
      <c r="AB250">
        <v>0</v>
      </c>
      <c r="AC250">
        <v>0</v>
      </c>
      <c r="AD250">
        <v>0</v>
      </c>
      <c r="AE250">
        <v>481.69</v>
      </c>
      <c r="AF250">
        <v>0</v>
      </c>
      <c r="AG250">
        <v>0</v>
      </c>
      <c r="AH250">
        <v>0</v>
      </c>
      <c r="AI250">
        <v>9.43</v>
      </c>
      <c r="AJ250">
        <v>1</v>
      </c>
      <c r="AK250">
        <v>1</v>
      </c>
      <c r="AL250">
        <v>1</v>
      </c>
      <c r="AN250">
        <v>0</v>
      </c>
      <c r="AO250">
        <v>0</v>
      </c>
      <c r="AP250">
        <v>0</v>
      </c>
      <c r="AQ250">
        <v>0</v>
      </c>
      <c r="AR250">
        <v>0</v>
      </c>
      <c r="AS250" t="s">
        <v>3</v>
      </c>
      <c r="AT250">
        <v>2.2999999999999998</v>
      </c>
      <c r="AU250" t="s">
        <v>3</v>
      </c>
      <c r="AV250">
        <v>0</v>
      </c>
      <c r="AW250">
        <v>1</v>
      </c>
      <c r="AX250">
        <v>-1</v>
      </c>
      <c r="AY250">
        <v>0</v>
      </c>
      <c r="AZ250">
        <v>0</v>
      </c>
      <c r="BA250" t="s">
        <v>3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ROUND(Y250*Source!I266,9)</f>
        <v>6.9000000000000006E-2</v>
      </c>
      <c r="CY250">
        <f>AA250</f>
        <v>4655.8999999999996</v>
      </c>
      <c r="CZ250">
        <f>AE250</f>
        <v>481.69</v>
      </c>
      <c r="DA250">
        <f>AI250</f>
        <v>9.43</v>
      </c>
      <c r="DB250">
        <f t="shared" si="97"/>
        <v>1107.8900000000001</v>
      </c>
      <c r="DC250">
        <f t="shared" si="98"/>
        <v>0</v>
      </c>
      <c r="DD250" t="s">
        <v>3</v>
      </c>
      <c r="DE250" t="s">
        <v>3</v>
      </c>
      <c r="DF250">
        <f>ROUND(ROUND(AE250*CX250,2)*AI250,2)</f>
        <v>313.45</v>
      </c>
      <c r="DG250">
        <f t="shared" si="93"/>
        <v>0</v>
      </c>
      <c r="DH250">
        <f t="shared" si="94"/>
        <v>0</v>
      </c>
      <c r="DI250">
        <f t="shared" si="83"/>
        <v>0</v>
      </c>
      <c r="DJ250">
        <f>DF250</f>
        <v>313.45</v>
      </c>
      <c r="DK250">
        <v>0</v>
      </c>
    </row>
    <row r="251" spans="1:115" x14ac:dyDescent="0.2">
      <c r="A251">
        <f>ROW(Source!A271)</f>
        <v>271</v>
      </c>
      <c r="B251">
        <v>129761636</v>
      </c>
      <c r="C251">
        <v>129763466</v>
      </c>
      <c r="D251">
        <v>37345142</v>
      </c>
      <c r="E251">
        <v>37345137</v>
      </c>
      <c r="F251">
        <v>1</v>
      </c>
      <c r="G251">
        <v>37345137</v>
      </c>
      <c r="H251">
        <v>1</v>
      </c>
      <c r="I251" t="s">
        <v>1096</v>
      </c>
      <c r="J251" t="s">
        <v>3</v>
      </c>
      <c r="K251" t="s">
        <v>1097</v>
      </c>
      <c r="L251">
        <v>1191</v>
      </c>
      <c r="N251">
        <v>1013</v>
      </c>
      <c r="O251" t="s">
        <v>1098</v>
      </c>
      <c r="P251" t="s">
        <v>1098</v>
      </c>
      <c r="Q251">
        <v>1</v>
      </c>
      <c r="W251">
        <v>0</v>
      </c>
      <c r="X251">
        <v>476480486</v>
      </c>
      <c r="Y251">
        <f t="shared" si="96"/>
        <v>29.58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1</v>
      </c>
      <c r="AJ251">
        <v>1</v>
      </c>
      <c r="AK251">
        <v>1</v>
      </c>
      <c r="AL251">
        <v>1</v>
      </c>
      <c r="AN251">
        <v>0</v>
      </c>
      <c r="AO251">
        <v>1</v>
      </c>
      <c r="AP251">
        <v>0</v>
      </c>
      <c r="AQ251">
        <v>0</v>
      </c>
      <c r="AR251">
        <v>0</v>
      </c>
      <c r="AS251" t="s">
        <v>3</v>
      </c>
      <c r="AT251">
        <v>29.58</v>
      </c>
      <c r="AU251" t="s">
        <v>3</v>
      </c>
      <c r="AV251">
        <v>1</v>
      </c>
      <c r="AW251">
        <v>2</v>
      </c>
      <c r="AX251">
        <v>129763469</v>
      </c>
      <c r="AY251">
        <v>1</v>
      </c>
      <c r="AZ251">
        <v>0</v>
      </c>
      <c r="BA251">
        <v>257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ROUND(Y251*Source!I271,9)</f>
        <v>12.482760000000001</v>
      </c>
      <c r="CY251">
        <f>AD251</f>
        <v>0</v>
      </c>
      <c r="CZ251">
        <f>AH251</f>
        <v>0</v>
      </c>
      <c r="DA251">
        <f>AL251</f>
        <v>1</v>
      </c>
      <c r="DB251">
        <f t="shared" si="97"/>
        <v>0</v>
      </c>
      <c r="DC251">
        <f t="shared" si="98"/>
        <v>0</v>
      </c>
      <c r="DD251" t="s">
        <v>3</v>
      </c>
      <c r="DE251" t="s">
        <v>3</v>
      </c>
      <c r="DF251">
        <f>ROUND(AE251*CX251,2)</f>
        <v>0</v>
      </c>
      <c r="DG251">
        <f t="shared" si="93"/>
        <v>0</v>
      </c>
      <c r="DH251">
        <f t="shared" si="94"/>
        <v>0</v>
      </c>
      <c r="DI251">
        <f t="shared" si="83"/>
        <v>0</v>
      </c>
      <c r="DJ251">
        <f>DI251</f>
        <v>0</v>
      </c>
      <c r="DK251">
        <v>0</v>
      </c>
    </row>
    <row r="252" spans="1:115" x14ac:dyDescent="0.2">
      <c r="A252">
        <f>ROW(Source!A271)</f>
        <v>271</v>
      </c>
      <c r="B252">
        <v>129761636</v>
      </c>
      <c r="C252">
        <v>129763466</v>
      </c>
      <c r="D252">
        <v>37412070</v>
      </c>
      <c r="E252">
        <v>1</v>
      </c>
      <c r="F252">
        <v>1</v>
      </c>
      <c r="G252">
        <v>37345137</v>
      </c>
      <c r="H252">
        <v>3</v>
      </c>
      <c r="I252" t="s">
        <v>319</v>
      </c>
      <c r="J252" t="s">
        <v>321</v>
      </c>
      <c r="K252" t="s">
        <v>320</v>
      </c>
      <c r="L252">
        <v>1339</v>
      </c>
      <c r="N252">
        <v>1007</v>
      </c>
      <c r="O252" t="s">
        <v>94</v>
      </c>
      <c r="P252" t="s">
        <v>94</v>
      </c>
      <c r="Q252">
        <v>1</v>
      </c>
      <c r="W252">
        <v>0</v>
      </c>
      <c r="X252">
        <v>202608499</v>
      </c>
      <c r="Y252">
        <f t="shared" si="96"/>
        <v>0.53</v>
      </c>
      <c r="AA252">
        <v>481.69</v>
      </c>
      <c r="AB252">
        <v>0</v>
      </c>
      <c r="AC252">
        <v>0</v>
      </c>
      <c r="AD252">
        <v>0</v>
      </c>
      <c r="AE252">
        <v>481.69</v>
      </c>
      <c r="AF252">
        <v>0</v>
      </c>
      <c r="AG252">
        <v>0</v>
      </c>
      <c r="AH252">
        <v>0</v>
      </c>
      <c r="AI252">
        <v>1</v>
      </c>
      <c r="AJ252">
        <v>1</v>
      </c>
      <c r="AK252">
        <v>1</v>
      </c>
      <c r="AL252">
        <v>1</v>
      </c>
      <c r="AN252">
        <v>0</v>
      </c>
      <c r="AO252">
        <v>0</v>
      </c>
      <c r="AP252">
        <v>0</v>
      </c>
      <c r="AQ252">
        <v>0</v>
      </c>
      <c r="AR252">
        <v>0</v>
      </c>
      <c r="AS252" t="s">
        <v>3</v>
      </c>
      <c r="AT252">
        <v>0.53</v>
      </c>
      <c r="AU252" t="s">
        <v>3</v>
      </c>
      <c r="AV252">
        <v>0</v>
      </c>
      <c r="AW252">
        <v>1</v>
      </c>
      <c r="AX252">
        <v>-1</v>
      </c>
      <c r="AY252">
        <v>0</v>
      </c>
      <c r="AZ252">
        <v>0</v>
      </c>
      <c r="BA252" t="s">
        <v>3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ROUND(Y252*Source!I271,9)</f>
        <v>0.22366</v>
      </c>
      <c r="CY252">
        <f>AA252</f>
        <v>481.69</v>
      </c>
      <c r="CZ252">
        <f>AE252</f>
        <v>481.69</v>
      </c>
      <c r="DA252">
        <f>AI252</f>
        <v>1</v>
      </c>
      <c r="DB252">
        <f t="shared" si="97"/>
        <v>255.3</v>
      </c>
      <c r="DC252">
        <f t="shared" si="98"/>
        <v>0</v>
      </c>
      <c r="DD252" t="s">
        <v>3</v>
      </c>
      <c r="DE252" t="s">
        <v>3</v>
      </c>
      <c r="DF252">
        <f>ROUND(AE252*CX252,2)</f>
        <v>107.73</v>
      </c>
      <c r="DG252">
        <f t="shared" si="93"/>
        <v>0</v>
      </c>
      <c r="DH252">
        <f t="shared" si="94"/>
        <v>0</v>
      </c>
      <c r="DI252">
        <f t="shared" si="83"/>
        <v>0</v>
      </c>
      <c r="DJ252">
        <f>DF252</f>
        <v>107.73</v>
      </c>
      <c r="DK252">
        <v>0</v>
      </c>
    </row>
    <row r="253" spans="1:115" x14ac:dyDescent="0.2">
      <c r="A253">
        <f>ROW(Source!A272)</f>
        <v>272</v>
      </c>
      <c r="B253">
        <v>129761633</v>
      </c>
      <c r="C253">
        <v>129763466</v>
      </c>
      <c r="D253">
        <v>37345142</v>
      </c>
      <c r="E253">
        <v>37345137</v>
      </c>
      <c r="F253">
        <v>1</v>
      </c>
      <c r="G253">
        <v>37345137</v>
      </c>
      <c r="H253">
        <v>1</v>
      </c>
      <c r="I253" t="s">
        <v>1096</v>
      </c>
      <c r="J253" t="s">
        <v>3</v>
      </c>
      <c r="K253" t="s">
        <v>1097</v>
      </c>
      <c r="L253">
        <v>1191</v>
      </c>
      <c r="N253">
        <v>1013</v>
      </c>
      <c r="O253" t="s">
        <v>1098</v>
      </c>
      <c r="P253" t="s">
        <v>1098</v>
      </c>
      <c r="Q253">
        <v>1</v>
      </c>
      <c r="W253">
        <v>0</v>
      </c>
      <c r="X253">
        <v>476480486</v>
      </c>
      <c r="Y253">
        <f t="shared" si="96"/>
        <v>29.58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1</v>
      </c>
      <c r="AJ253">
        <v>1</v>
      </c>
      <c r="AK253">
        <v>1</v>
      </c>
      <c r="AL253">
        <v>1</v>
      </c>
      <c r="AN253">
        <v>0</v>
      </c>
      <c r="AO253">
        <v>1</v>
      </c>
      <c r="AP253">
        <v>0</v>
      </c>
      <c r="AQ253">
        <v>0</v>
      </c>
      <c r="AR253">
        <v>0</v>
      </c>
      <c r="AS253" t="s">
        <v>3</v>
      </c>
      <c r="AT253">
        <v>29.58</v>
      </c>
      <c r="AU253" t="s">
        <v>3</v>
      </c>
      <c r="AV253">
        <v>1</v>
      </c>
      <c r="AW253">
        <v>2</v>
      </c>
      <c r="AX253">
        <v>129763469</v>
      </c>
      <c r="AY253">
        <v>1</v>
      </c>
      <c r="AZ253">
        <v>0</v>
      </c>
      <c r="BA253">
        <v>259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ROUND(Y253*Source!I272,9)</f>
        <v>12.482760000000001</v>
      </c>
      <c r="CY253">
        <f>AD253</f>
        <v>0</v>
      </c>
      <c r="CZ253">
        <f>AH253</f>
        <v>0</v>
      </c>
      <c r="DA253">
        <f>AL253</f>
        <v>1</v>
      </c>
      <c r="DB253">
        <f t="shared" si="97"/>
        <v>0</v>
      </c>
      <c r="DC253">
        <f t="shared" si="98"/>
        <v>0</v>
      </c>
      <c r="DD253" t="s">
        <v>3</v>
      </c>
      <c r="DE253" t="s">
        <v>3</v>
      </c>
      <c r="DF253">
        <f>ROUND(AE253*CX253,2)</f>
        <v>0</v>
      </c>
      <c r="DG253">
        <f t="shared" si="93"/>
        <v>0</v>
      </c>
      <c r="DH253">
        <f t="shared" si="94"/>
        <v>0</v>
      </c>
      <c r="DI253">
        <f t="shared" si="83"/>
        <v>0</v>
      </c>
      <c r="DJ253">
        <f>DI253</f>
        <v>0</v>
      </c>
      <c r="DK253">
        <v>0</v>
      </c>
    </row>
    <row r="254" spans="1:115" x14ac:dyDescent="0.2">
      <c r="A254">
        <f>ROW(Source!A272)</f>
        <v>272</v>
      </c>
      <c r="B254">
        <v>129761633</v>
      </c>
      <c r="C254">
        <v>129763466</v>
      </c>
      <c r="D254">
        <v>37412070</v>
      </c>
      <c r="E254">
        <v>1</v>
      </c>
      <c r="F254">
        <v>1</v>
      </c>
      <c r="G254">
        <v>37345137</v>
      </c>
      <c r="H254">
        <v>3</v>
      </c>
      <c r="I254" t="s">
        <v>319</v>
      </c>
      <c r="J254" t="s">
        <v>321</v>
      </c>
      <c r="K254" t="s">
        <v>320</v>
      </c>
      <c r="L254">
        <v>1339</v>
      </c>
      <c r="N254">
        <v>1007</v>
      </c>
      <c r="O254" t="s">
        <v>94</v>
      </c>
      <c r="P254" t="s">
        <v>94</v>
      </c>
      <c r="Q254">
        <v>1</v>
      </c>
      <c r="W254">
        <v>0</v>
      </c>
      <c r="X254">
        <v>202608499</v>
      </c>
      <c r="Y254">
        <f t="shared" si="96"/>
        <v>0.53</v>
      </c>
      <c r="AA254">
        <v>4542.34</v>
      </c>
      <c r="AB254">
        <v>0</v>
      </c>
      <c r="AC254">
        <v>0</v>
      </c>
      <c r="AD254">
        <v>0</v>
      </c>
      <c r="AE254">
        <v>481.69</v>
      </c>
      <c r="AF254">
        <v>0</v>
      </c>
      <c r="AG254">
        <v>0</v>
      </c>
      <c r="AH254">
        <v>0</v>
      </c>
      <c r="AI254">
        <v>9.43</v>
      </c>
      <c r="AJ254">
        <v>1</v>
      </c>
      <c r="AK254">
        <v>1</v>
      </c>
      <c r="AL254">
        <v>1</v>
      </c>
      <c r="AN254">
        <v>0</v>
      </c>
      <c r="AO254">
        <v>0</v>
      </c>
      <c r="AP254">
        <v>0</v>
      </c>
      <c r="AQ254">
        <v>0</v>
      </c>
      <c r="AR254">
        <v>0</v>
      </c>
      <c r="AS254" t="s">
        <v>3</v>
      </c>
      <c r="AT254">
        <v>0.53</v>
      </c>
      <c r="AU254" t="s">
        <v>3</v>
      </c>
      <c r="AV254">
        <v>0</v>
      </c>
      <c r="AW254">
        <v>1</v>
      </c>
      <c r="AX254">
        <v>-1</v>
      </c>
      <c r="AY254">
        <v>0</v>
      </c>
      <c r="AZ254">
        <v>0</v>
      </c>
      <c r="BA254" t="s">
        <v>3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ROUND(Y254*Source!I272,9)</f>
        <v>0.22366</v>
      </c>
      <c r="CY254">
        <f>AA254</f>
        <v>4542.34</v>
      </c>
      <c r="CZ254">
        <f>AE254</f>
        <v>481.69</v>
      </c>
      <c r="DA254">
        <f>AI254</f>
        <v>9.43</v>
      </c>
      <c r="DB254">
        <f t="shared" si="97"/>
        <v>255.3</v>
      </c>
      <c r="DC254">
        <f t="shared" si="98"/>
        <v>0</v>
      </c>
      <c r="DD254" t="s">
        <v>3</v>
      </c>
      <c r="DE254" t="s">
        <v>3</v>
      </c>
      <c r="DF254">
        <f>ROUND(ROUND(AE254*CX254,2)*AI254,2)</f>
        <v>1015.89</v>
      </c>
      <c r="DG254">
        <f t="shared" si="93"/>
        <v>0</v>
      </c>
      <c r="DH254">
        <f t="shared" si="94"/>
        <v>0</v>
      </c>
      <c r="DI254">
        <f t="shared" si="83"/>
        <v>0</v>
      </c>
      <c r="DJ254">
        <f>DF254</f>
        <v>1015.89</v>
      </c>
      <c r="DK254">
        <v>0</v>
      </c>
    </row>
    <row r="255" spans="1:115" x14ac:dyDescent="0.2">
      <c r="A255">
        <f>ROW(Source!A275)</f>
        <v>275</v>
      </c>
      <c r="B255">
        <v>129761636</v>
      </c>
      <c r="C255">
        <v>129763472</v>
      </c>
      <c r="D255">
        <v>37345142</v>
      </c>
      <c r="E255">
        <v>37345137</v>
      </c>
      <c r="F255">
        <v>1</v>
      </c>
      <c r="G255">
        <v>37345137</v>
      </c>
      <c r="H255">
        <v>1</v>
      </c>
      <c r="I255" t="s">
        <v>1096</v>
      </c>
      <c r="J255" t="s">
        <v>3</v>
      </c>
      <c r="K255" t="s">
        <v>1097</v>
      </c>
      <c r="L255">
        <v>1191</v>
      </c>
      <c r="N255">
        <v>1013</v>
      </c>
      <c r="O255" t="s">
        <v>1098</v>
      </c>
      <c r="P255" t="s">
        <v>1098</v>
      </c>
      <c r="Q255">
        <v>1</v>
      </c>
      <c r="W255">
        <v>0</v>
      </c>
      <c r="X255">
        <v>476480486</v>
      </c>
      <c r="Y255">
        <f>(AT255*1.15)</f>
        <v>229.99999999999997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1</v>
      </c>
      <c r="AJ255">
        <v>1</v>
      </c>
      <c r="AK255">
        <v>1</v>
      </c>
      <c r="AL255">
        <v>1</v>
      </c>
      <c r="AN255">
        <v>0</v>
      </c>
      <c r="AO255">
        <v>1</v>
      </c>
      <c r="AP255">
        <v>1</v>
      </c>
      <c r="AQ255">
        <v>0</v>
      </c>
      <c r="AR255">
        <v>0</v>
      </c>
      <c r="AS255" t="s">
        <v>3</v>
      </c>
      <c r="AT255">
        <v>200</v>
      </c>
      <c r="AU255" t="s">
        <v>87</v>
      </c>
      <c r="AV255">
        <v>1</v>
      </c>
      <c r="AW255">
        <v>2</v>
      </c>
      <c r="AX255">
        <v>129763478</v>
      </c>
      <c r="AY255">
        <v>1</v>
      </c>
      <c r="AZ255">
        <v>0</v>
      </c>
      <c r="BA255">
        <v>261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ROUND(Y255*Source!I275,9)</f>
        <v>97.06</v>
      </c>
      <c r="CY255">
        <f>AD255</f>
        <v>0</v>
      </c>
      <c r="CZ255">
        <f>AH255</f>
        <v>0</v>
      </c>
      <c r="DA255">
        <f>AL255</f>
        <v>1</v>
      </c>
      <c r="DB255">
        <f>ROUND((ROUND(AT255*CZ255,2)*1.15),6)</f>
        <v>0</v>
      </c>
      <c r="DC255">
        <f>ROUND((ROUND(AT255*AG255,2)*1.15),6)</f>
        <v>0</v>
      </c>
      <c r="DD255" t="s">
        <v>3</v>
      </c>
      <c r="DE255" t="s">
        <v>3</v>
      </c>
      <c r="DF255">
        <f t="shared" ref="DF255:DF261" si="99">ROUND(AE255*CX255,2)</f>
        <v>0</v>
      </c>
      <c r="DG255">
        <f t="shared" si="93"/>
        <v>0</v>
      </c>
      <c r="DH255">
        <f t="shared" si="94"/>
        <v>0</v>
      </c>
      <c r="DI255">
        <f t="shared" si="83"/>
        <v>0</v>
      </c>
      <c r="DJ255">
        <f>DI255</f>
        <v>0</v>
      </c>
      <c r="DK255">
        <v>0</v>
      </c>
    </row>
    <row r="256" spans="1:115" x14ac:dyDescent="0.2">
      <c r="A256">
        <f>ROW(Source!A275)</f>
        <v>275</v>
      </c>
      <c r="B256">
        <v>129761636</v>
      </c>
      <c r="C256">
        <v>129763472</v>
      </c>
      <c r="D256">
        <v>37345890</v>
      </c>
      <c r="E256">
        <v>37345137</v>
      </c>
      <c r="F256">
        <v>1</v>
      </c>
      <c r="G256">
        <v>37345137</v>
      </c>
      <c r="H256">
        <v>2</v>
      </c>
      <c r="I256" t="s">
        <v>1145</v>
      </c>
      <c r="J256" t="s">
        <v>3</v>
      </c>
      <c r="K256" t="s">
        <v>1146</v>
      </c>
      <c r="L256">
        <v>1344</v>
      </c>
      <c r="N256">
        <v>1008</v>
      </c>
      <c r="O256" t="s">
        <v>1138</v>
      </c>
      <c r="P256" t="s">
        <v>1138</v>
      </c>
      <c r="Q256">
        <v>1</v>
      </c>
      <c r="W256">
        <v>0</v>
      </c>
      <c r="X256">
        <v>-1180195794</v>
      </c>
      <c r="Y256">
        <f>(AT256*1.25)</f>
        <v>36.287500000000001</v>
      </c>
      <c r="AA256">
        <v>0</v>
      </c>
      <c r="AB256">
        <v>1</v>
      </c>
      <c r="AC256">
        <v>0</v>
      </c>
      <c r="AD256">
        <v>0</v>
      </c>
      <c r="AE256">
        <v>0</v>
      </c>
      <c r="AF256">
        <v>1</v>
      </c>
      <c r="AG256">
        <v>0</v>
      </c>
      <c r="AH256">
        <v>0</v>
      </c>
      <c r="AI256">
        <v>1</v>
      </c>
      <c r="AJ256">
        <v>1</v>
      </c>
      <c r="AK256">
        <v>1</v>
      </c>
      <c r="AL256">
        <v>1</v>
      </c>
      <c r="AN256">
        <v>0</v>
      </c>
      <c r="AO256">
        <v>1</v>
      </c>
      <c r="AP256">
        <v>1</v>
      </c>
      <c r="AQ256">
        <v>0</v>
      </c>
      <c r="AR256">
        <v>0</v>
      </c>
      <c r="AS256" t="s">
        <v>3</v>
      </c>
      <c r="AT256">
        <v>29.03</v>
      </c>
      <c r="AU256" t="s">
        <v>86</v>
      </c>
      <c r="AV256">
        <v>0</v>
      </c>
      <c r="AW256">
        <v>2</v>
      </c>
      <c r="AX256">
        <v>129763479</v>
      </c>
      <c r="AY256">
        <v>1</v>
      </c>
      <c r="AZ256">
        <v>0</v>
      </c>
      <c r="BA256">
        <v>262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ROUND(Y256*Source!I275,9)</f>
        <v>15.313325000000001</v>
      </c>
      <c r="CY256">
        <f>AB256</f>
        <v>1</v>
      </c>
      <c r="CZ256">
        <f>AF256</f>
        <v>1</v>
      </c>
      <c r="DA256">
        <f>AJ256</f>
        <v>1</v>
      </c>
      <c r="DB256">
        <f>ROUND((ROUND(AT256*CZ256,2)*1.25),6)</f>
        <v>36.287500000000001</v>
      </c>
      <c r="DC256">
        <f>ROUND((ROUND(AT256*AG256,2)*1.25),6)</f>
        <v>0</v>
      </c>
      <c r="DD256" t="s">
        <v>3</v>
      </c>
      <c r="DE256" t="s">
        <v>3</v>
      </c>
      <c r="DF256">
        <f t="shared" si="99"/>
        <v>0</v>
      </c>
      <c r="DG256">
        <f t="shared" si="93"/>
        <v>15.31</v>
      </c>
      <c r="DH256">
        <f t="shared" si="94"/>
        <v>0</v>
      </c>
      <c r="DI256">
        <f t="shared" si="83"/>
        <v>0</v>
      </c>
      <c r="DJ256">
        <f>DG256</f>
        <v>15.31</v>
      </c>
      <c r="DK256">
        <v>0</v>
      </c>
    </row>
    <row r="257" spans="1:115" x14ac:dyDescent="0.2">
      <c r="A257">
        <f>ROW(Source!A275)</f>
        <v>275</v>
      </c>
      <c r="B257">
        <v>129761636</v>
      </c>
      <c r="C257">
        <v>129763472</v>
      </c>
      <c r="D257">
        <v>37397013</v>
      </c>
      <c r="E257">
        <v>1</v>
      </c>
      <c r="F257">
        <v>1</v>
      </c>
      <c r="G257">
        <v>37345137</v>
      </c>
      <c r="H257">
        <v>3</v>
      </c>
      <c r="I257" t="s">
        <v>337</v>
      </c>
      <c r="J257" t="s">
        <v>339</v>
      </c>
      <c r="K257" t="s">
        <v>338</v>
      </c>
      <c r="L257">
        <v>1327</v>
      </c>
      <c r="N257">
        <v>1005</v>
      </c>
      <c r="O257" t="s">
        <v>258</v>
      </c>
      <c r="P257" t="s">
        <v>258</v>
      </c>
      <c r="Q257">
        <v>1</v>
      </c>
      <c r="W257">
        <v>0</v>
      </c>
      <c r="X257">
        <v>717419428</v>
      </c>
      <c r="Y257">
        <f>AT257</f>
        <v>100</v>
      </c>
      <c r="AA257">
        <v>68.27</v>
      </c>
      <c r="AB257">
        <v>0</v>
      </c>
      <c r="AC257">
        <v>0</v>
      </c>
      <c r="AD257">
        <v>0</v>
      </c>
      <c r="AE257">
        <v>68.27</v>
      </c>
      <c r="AF257">
        <v>0</v>
      </c>
      <c r="AG257">
        <v>0</v>
      </c>
      <c r="AH257">
        <v>0</v>
      </c>
      <c r="AI257">
        <v>1</v>
      </c>
      <c r="AJ257">
        <v>1</v>
      </c>
      <c r="AK257">
        <v>1</v>
      </c>
      <c r="AL257">
        <v>1</v>
      </c>
      <c r="AN257">
        <v>0</v>
      </c>
      <c r="AO257">
        <v>0</v>
      </c>
      <c r="AP257">
        <v>0</v>
      </c>
      <c r="AQ257">
        <v>0</v>
      </c>
      <c r="AR257">
        <v>0</v>
      </c>
      <c r="AS257" t="s">
        <v>3</v>
      </c>
      <c r="AT257">
        <v>100</v>
      </c>
      <c r="AU257" t="s">
        <v>3</v>
      </c>
      <c r="AV257">
        <v>0</v>
      </c>
      <c r="AW257">
        <v>1</v>
      </c>
      <c r="AX257">
        <v>-1</v>
      </c>
      <c r="AY257">
        <v>0</v>
      </c>
      <c r="AZ257">
        <v>0</v>
      </c>
      <c r="BA257" t="s">
        <v>3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ROUND(Y257*Source!I275,9)</f>
        <v>42.2</v>
      </c>
      <c r="CY257">
        <f>AA257</f>
        <v>68.27</v>
      </c>
      <c r="CZ257">
        <f>AE257</f>
        <v>68.27</v>
      </c>
      <c r="DA257">
        <f>AI257</f>
        <v>1</v>
      </c>
      <c r="DB257">
        <f>ROUND(ROUND(AT257*CZ257,2),6)</f>
        <v>6827</v>
      </c>
      <c r="DC257">
        <f>ROUND(ROUND(AT257*AG257,2),6)</f>
        <v>0</v>
      </c>
      <c r="DD257" t="s">
        <v>3</v>
      </c>
      <c r="DE257" t="s">
        <v>3</v>
      </c>
      <c r="DF257">
        <f t="shared" si="99"/>
        <v>2880.99</v>
      </c>
      <c r="DG257">
        <f t="shared" si="93"/>
        <v>0</v>
      </c>
      <c r="DH257">
        <f t="shared" si="94"/>
        <v>0</v>
      </c>
      <c r="DI257">
        <f t="shared" ref="DI257:DI320" si="100">ROUND(AH257*CX257,2)</f>
        <v>0</v>
      </c>
      <c r="DJ257">
        <f>DF257</f>
        <v>2880.99</v>
      </c>
      <c r="DK257">
        <v>0</v>
      </c>
    </row>
    <row r="258" spans="1:115" x14ac:dyDescent="0.2">
      <c r="A258">
        <f>ROW(Source!A275)</f>
        <v>275</v>
      </c>
      <c r="B258">
        <v>129761636</v>
      </c>
      <c r="C258">
        <v>129763472</v>
      </c>
      <c r="D258">
        <v>37412063</v>
      </c>
      <c r="E258">
        <v>1</v>
      </c>
      <c r="F258">
        <v>1</v>
      </c>
      <c r="G258">
        <v>37345137</v>
      </c>
      <c r="H258">
        <v>3</v>
      </c>
      <c r="I258" t="s">
        <v>1240</v>
      </c>
      <c r="J258" t="s">
        <v>1241</v>
      </c>
      <c r="K258" t="s">
        <v>1242</v>
      </c>
      <c r="L258">
        <v>1339</v>
      </c>
      <c r="N258">
        <v>1007</v>
      </c>
      <c r="O258" t="s">
        <v>94</v>
      </c>
      <c r="P258" t="s">
        <v>94</v>
      </c>
      <c r="Q258">
        <v>1</v>
      </c>
      <c r="W258">
        <v>0</v>
      </c>
      <c r="X258">
        <v>-1161195218</v>
      </c>
      <c r="Y258">
        <f>AT258</f>
        <v>1.5</v>
      </c>
      <c r="AA258">
        <v>478.96</v>
      </c>
      <c r="AB258">
        <v>0</v>
      </c>
      <c r="AC258">
        <v>0</v>
      </c>
      <c r="AD258">
        <v>0</v>
      </c>
      <c r="AE258">
        <v>478.96</v>
      </c>
      <c r="AF258">
        <v>0</v>
      </c>
      <c r="AG258">
        <v>0</v>
      </c>
      <c r="AH258">
        <v>0</v>
      </c>
      <c r="AI258">
        <v>1</v>
      </c>
      <c r="AJ258">
        <v>1</v>
      </c>
      <c r="AK258">
        <v>1</v>
      </c>
      <c r="AL258">
        <v>1</v>
      </c>
      <c r="AN258">
        <v>0</v>
      </c>
      <c r="AO258">
        <v>1</v>
      </c>
      <c r="AP258">
        <v>0</v>
      </c>
      <c r="AQ258">
        <v>0</v>
      </c>
      <c r="AR258">
        <v>0</v>
      </c>
      <c r="AS258" t="s">
        <v>3</v>
      </c>
      <c r="AT258">
        <v>1.5</v>
      </c>
      <c r="AU258" t="s">
        <v>3</v>
      </c>
      <c r="AV258">
        <v>0</v>
      </c>
      <c r="AW258">
        <v>2</v>
      </c>
      <c r="AX258">
        <v>129763480</v>
      </c>
      <c r="AY258">
        <v>1</v>
      </c>
      <c r="AZ258">
        <v>0</v>
      </c>
      <c r="BA258">
        <v>263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ROUND(Y258*Source!I275,9)</f>
        <v>0.63300000000000001</v>
      </c>
      <c r="CY258">
        <f>AA258</f>
        <v>478.96</v>
      </c>
      <c r="CZ258">
        <f>AE258</f>
        <v>478.96</v>
      </c>
      <c r="DA258">
        <f>AI258</f>
        <v>1</v>
      </c>
      <c r="DB258">
        <f>ROUND(ROUND(AT258*CZ258,2),6)</f>
        <v>718.44</v>
      </c>
      <c r="DC258">
        <f>ROUND(ROUND(AT258*AG258,2),6)</f>
        <v>0</v>
      </c>
      <c r="DD258" t="s">
        <v>3</v>
      </c>
      <c r="DE258" t="s">
        <v>3</v>
      </c>
      <c r="DF258">
        <f t="shared" si="99"/>
        <v>303.18</v>
      </c>
      <c r="DG258">
        <f t="shared" si="93"/>
        <v>0</v>
      </c>
      <c r="DH258">
        <f t="shared" si="94"/>
        <v>0</v>
      </c>
      <c r="DI258">
        <f t="shared" si="100"/>
        <v>0</v>
      </c>
      <c r="DJ258">
        <f>DF258</f>
        <v>303.18</v>
      </c>
      <c r="DK258">
        <v>0</v>
      </c>
    </row>
    <row r="259" spans="1:115" x14ac:dyDescent="0.2">
      <c r="A259">
        <f>ROW(Source!A275)</f>
        <v>275</v>
      </c>
      <c r="B259">
        <v>129761636</v>
      </c>
      <c r="C259">
        <v>129763472</v>
      </c>
      <c r="D259">
        <v>37367082</v>
      </c>
      <c r="E259">
        <v>37345137</v>
      </c>
      <c r="F259">
        <v>1</v>
      </c>
      <c r="G259">
        <v>37345137</v>
      </c>
      <c r="H259">
        <v>3</v>
      </c>
      <c r="I259" t="s">
        <v>1136</v>
      </c>
      <c r="J259" t="s">
        <v>3</v>
      </c>
      <c r="K259" t="s">
        <v>1137</v>
      </c>
      <c r="L259">
        <v>1344</v>
      </c>
      <c r="N259">
        <v>1008</v>
      </c>
      <c r="O259" t="s">
        <v>1138</v>
      </c>
      <c r="P259" t="s">
        <v>1138</v>
      </c>
      <c r="Q259">
        <v>1</v>
      </c>
      <c r="W259">
        <v>0</v>
      </c>
      <c r="X259">
        <v>-94250534</v>
      </c>
      <c r="Y259">
        <f>AT259</f>
        <v>8.5399999999999991</v>
      </c>
      <c r="AA259">
        <v>1</v>
      </c>
      <c r="AB259">
        <v>0</v>
      </c>
      <c r="AC259">
        <v>0</v>
      </c>
      <c r="AD259">
        <v>0</v>
      </c>
      <c r="AE259">
        <v>1</v>
      </c>
      <c r="AF259">
        <v>0</v>
      </c>
      <c r="AG259">
        <v>0</v>
      </c>
      <c r="AH259">
        <v>0</v>
      </c>
      <c r="AI259">
        <v>1</v>
      </c>
      <c r="AJ259">
        <v>1</v>
      </c>
      <c r="AK259">
        <v>1</v>
      </c>
      <c r="AL259">
        <v>1</v>
      </c>
      <c r="AN259">
        <v>0</v>
      </c>
      <c r="AO259">
        <v>1</v>
      </c>
      <c r="AP259">
        <v>0</v>
      </c>
      <c r="AQ259">
        <v>0</v>
      </c>
      <c r="AR259">
        <v>0</v>
      </c>
      <c r="AS259" t="s">
        <v>3</v>
      </c>
      <c r="AT259">
        <v>8.5399999999999991</v>
      </c>
      <c r="AU259" t="s">
        <v>3</v>
      </c>
      <c r="AV259">
        <v>0</v>
      </c>
      <c r="AW259">
        <v>2</v>
      </c>
      <c r="AX259">
        <v>129763482</v>
      </c>
      <c r="AY259">
        <v>1</v>
      </c>
      <c r="AZ259">
        <v>0</v>
      </c>
      <c r="BA259">
        <v>265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ROUND(Y259*Source!I275,9)</f>
        <v>3.6038800000000002</v>
      </c>
      <c r="CY259">
        <f>AA259</f>
        <v>1</v>
      </c>
      <c r="CZ259">
        <f>AE259</f>
        <v>1</v>
      </c>
      <c r="DA259">
        <f>AI259</f>
        <v>1</v>
      </c>
      <c r="DB259">
        <f>ROUND(ROUND(AT259*CZ259,2),6)</f>
        <v>8.5399999999999991</v>
      </c>
      <c r="DC259">
        <f>ROUND(ROUND(AT259*AG259,2),6)</f>
        <v>0</v>
      </c>
      <c r="DD259" t="s">
        <v>3</v>
      </c>
      <c r="DE259" t="s">
        <v>3</v>
      </c>
      <c r="DF259">
        <f t="shared" si="99"/>
        <v>3.6</v>
      </c>
      <c r="DG259">
        <f t="shared" si="93"/>
        <v>0</v>
      </c>
      <c r="DH259">
        <f t="shared" si="94"/>
        <v>0</v>
      </c>
      <c r="DI259">
        <f t="shared" si="100"/>
        <v>0</v>
      </c>
      <c r="DJ259">
        <f>DF259</f>
        <v>3.6</v>
      </c>
      <c r="DK259">
        <v>0</v>
      </c>
    </row>
    <row r="260" spans="1:115" x14ac:dyDescent="0.2">
      <c r="A260">
        <f>ROW(Source!A276)</f>
        <v>276</v>
      </c>
      <c r="B260">
        <v>129761633</v>
      </c>
      <c r="C260">
        <v>129763472</v>
      </c>
      <c r="D260">
        <v>37345142</v>
      </c>
      <c r="E260">
        <v>37345137</v>
      </c>
      <c r="F260">
        <v>1</v>
      </c>
      <c r="G260">
        <v>37345137</v>
      </c>
      <c r="H260">
        <v>1</v>
      </c>
      <c r="I260" t="s">
        <v>1096</v>
      </c>
      <c r="J260" t="s">
        <v>3</v>
      </c>
      <c r="K260" t="s">
        <v>1097</v>
      </c>
      <c r="L260">
        <v>1191</v>
      </c>
      <c r="N260">
        <v>1013</v>
      </c>
      <c r="O260" t="s">
        <v>1098</v>
      </c>
      <c r="P260" t="s">
        <v>1098</v>
      </c>
      <c r="Q260">
        <v>1</v>
      </c>
      <c r="W260">
        <v>0</v>
      </c>
      <c r="X260">
        <v>476480486</v>
      </c>
      <c r="Y260">
        <f>(AT260*1.15)</f>
        <v>229.99999999999997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1</v>
      </c>
      <c r="AJ260">
        <v>1</v>
      </c>
      <c r="AK260">
        <v>1</v>
      </c>
      <c r="AL260">
        <v>1</v>
      </c>
      <c r="AN260">
        <v>0</v>
      </c>
      <c r="AO260">
        <v>1</v>
      </c>
      <c r="AP260">
        <v>1</v>
      </c>
      <c r="AQ260">
        <v>0</v>
      </c>
      <c r="AR260">
        <v>0</v>
      </c>
      <c r="AS260" t="s">
        <v>3</v>
      </c>
      <c r="AT260">
        <v>200</v>
      </c>
      <c r="AU260" t="s">
        <v>87</v>
      </c>
      <c r="AV260">
        <v>1</v>
      </c>
      <c r="AW260">
        <v>2</v>
      </c>
      <c r="AX260">
        <v>129763478</v>
      </c>
      <c r="AY260">
        <v>1</v>
      </c>
      <c r="AZ260">
        <v>0</v>
      </c>
      <c r="BA260">
        <v>266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ROUND(Y260*Source!I276,9)</f>
        <v>97.06</v>
      </c>
      <c r="CY260">
        <f>AD260</f>
        <v>0</v>
      </c>
      <c r="CZ260">
        <f>AH260</f>
        <v>0</v>
      </c>
      <c r="DA260">
        <f>AL260</f>
        <v>1</v>
      </c>
      <c r="DB260">
        <f>ROUND((ROUND(AT260*CZ260,2)*1.15),6)</f>
        <v>0</v>
      </c>
      <c r="DC260">
        <f>ROUND((ROUND(AT260*AG260,2)*1.15),6)</f>
        <v>0</v>
      </c>
      <c r="DD260" t="s">
        <v>3</v>
      </c>
      <c r="DE260" t="s">
        <v>3</v>
      </c>
      <c r="DF260">
        <f t="shared" si="99"/>
        <v>0</v>
      </c>
      <c r="DG260">
        <f t="shared" si="93"/>
        <v>0</v>
      </c>
      <c r="DH260">
        <f t="shared" si="94"/>
        <v>0</v>
      </c>
      <c r="DI260">
        <f t="shared" si="100"/>
        <v>0</v>
      </c>
      <c r="DJ260">
        <f>DI260</f>
        <v>0</v>
      </c>
      <c r="DK260">
        <v>0</v>
      </c>
    </row>
    <row r="261" spans="1:115" x14ac:dyDescent="0.2">
      <c r="A261">
        <f>ROW(Source!A276)</f>
        <v>276</v>
      </c>
      <c r="B261">
        <v>129761633</v>
      </c>
      <c r="C261">
        <v>129763472</v>
      </c>
      <c r="D261">
        <v>37345890</v>
      </c>
      <c r="E261">
        <v>37345137</v>
      </c>
      <c r="F261">
        <v>1</v>
      </c>
      <c r="G261">
        <v>37345137</v>
      </c>
      <c r="H261">
        <v>2</v>
      </c>
      <c r="I261" t="s">
        <v>1145</v>
      </c>
      <c r="J261" t="s">
        <v>3</v>
      </c>
      <c r="K261" t="s">
        <v>1146</v>
      </c>
      <c r="L261">
        <v>1344</v>
      </c>
      <c r="N261">
        <v>1008</v>
      </c>
      <c r="O261" t="s">
        <v>1138</v>
      </c>
      <c r="P261" t="s">
        <v>1138</v>
      </c>
      <c r="Q261">
        <v>1</v>
      </c>
      <c r="W261">
        <v>0</v>
      </c>
      <c r="X261">
        <v>-1180195794</v>
      </c>
      <c r="Y261">
        <f>(AT261*1.25)</f>
        <v>36.287500000000001</v>
      </c>
      <c r="AA261">
        <v>0</v>
      </c>
      <c r="AB261">
        <v>1.03</v>
      </c>
      <c r="AC261">
        <v>0</v>
      </c>
      <c r="AD261">
        <v>0</v>
      </c>
      <c r="AE261">
        <v>0</v>
      </c>
      <c r="AF261">
        <v>1</v>
      </c>
      <c r="AG261">
        <v>0</v>
      </c>
      <c r="AH261">
        <v>0</v>
      </c>
      <c r="AI261">
        <v>1</v>
      </c>
      <c r="AJ261">
        <v>1</v>
      </c>
      <c r="AK261">
        <v>1</v>
      </c>
      <c r="AL261">
        <v>1</v>
      </c>
      <c r="AN261">
        <v>0</v>
      </c>
      <c r="AO261">
        <v>1</v>
      </c>
      <c r="AP261">
        <v>1</v>
      </c>
      <c r="AQ261">
        <v>0</v>
      </c>
      <c r="AR261">
        <v>0</v>
      </c>
      <c r="AS261" t="s">
        <v>3</v>
      </c>
      <c r="AT261">
        <v>29.03</v>
      </c>
      <c r="AU261" t="s">
        <v>86</v>
      </c>
      <c r="AV261">
        <v>0</v>
      </c>
      <c r="AW261">
        <v>2</v>
      </c>
      <c r="AX261">
        <v>129763479</v>
      </c>
      <c r="AY261">
        <v>1</v>
      </c>
      <c r="AZ261">
        <v>0</v>
      </c>
      <c r="BA261">
        <v>267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ROUND(Y261*Source!I276,9)</f>
        <v>15.313325000000001</v>
      </c>
      <c r="CY261">
        <f>AB261</f>
        <v>1.03</v>
      </c>
      <c r="CZ261">
        <f>AF261</f>
        <v>1</v>
      </c>
      <c r="DA261">
        <f>AJ261</f>
        <v>1</v>
      </c>
      <c r="DB261">
        <f>ROUND((ROUND(AT261*CZ261,2)*1.25),6)</f>
        <v>36.287500000000001</v>
      </c>
      <c r="DC261">
        <f>ROUND((ROUND(AT261*AG261,2)*1.25),6)</f>
        <v>0</v>
      </c>
      <c r="DD261" t="s">
        <v>3</v>
      </c>
      <c r="DE261" t="s">
        <v>3</v>
      </c>
      <c r="DF261">
        <f t="shared" si="99"/>
        <v>0</v>
      </c>
      <c r="DG261">
        <f t="shared" si="93"/>
        <v>15.31</v>
      </c>
      <c r="DH261">
        <f t="shared" si="94"/>
        <v>0</v>
      </c>
      <c r="DI261">
        <f t="shared" si="100"/>
        <v>0</v>
      </c>
      <c r="DJ261">
        <f>DG261</f>
        <v>15.31</v>
      </c>
      <c r="DK261">
        <v>0</v>
      </c>
    </row>
    <row r="262" spans="1:115" x14ac:dyDescent="0.2">
      <c r="A262">
        <f>ROW(Source!A276)</f>
        <v>276</v>
      </c>
      <c r="B262">
        <v>129761633</v>
      </c>
      <c r="C262">
        <v>129763472</v>
      </c>
      <c r="D262">
        <v>37397013</v>
      </c>
      <c r="E262">
        <v>1</v>
      </c>
      <c r="F262">
        <v>1</v>
      </c>
      <c r="G262">
        <v>37345137</v>
      </c>
      <c r="H262">
        <v>3</v>
      </c>
      <c r="I262" t="s">
        <v>337</v>
      </c>
      <c r="J262" t="s">
        <v>339</v>
      </c>
      <c r="K262" t="s">
        <v>338</v>
      </c>
      <c r="L262">
        <v>1327</v>
      </c>
      <c r="N262">
        <v>1005</v>
      </c>
      <c r="O262" t="s">
        <v>258</v>
      </c>
      <c r="P262" t="s">
        <v>258</v>
      </c>
      <c r="Q262">
        <v>1</v>
      </c>
      <c r="W262">
        <v>0</v>
      </c>
      <c r="X262">
        <v>717419428</v>
      </c>
      <c r="Y262">
        <f>AT262</f>
        <v>100</v>
      </c>
      <c r="AA262">
        <v>841.09</v>
      </c>
      <c r="AB262">
        <v>0</v>
      </c>
      <c r="AC262">
        <v>0</v>
      </c>
      <c r="AD262">
        <v>0</v>
      </c>
      <c r="AE262">
        <v>68.27</v>
      </c>
      <c r="AF262">
        <v>0</v>
      </c>
      <c r="AG262">
        <v>0</v>
      </c>
      <c r="AH262">
        <v>0</v>
      </c>
      <c r="AI262">
        <v>12.32</v>
      </c>
      <c r="AJ262">
        <v>1</v>
      </c>
      <c r="AK262">
        <v>1</v>
      </c>
      <c r="AL262">
        <v>1</v>
      </c>
      <c r="AN262">
        <v>0</v>
      </c>
      <c r="AO262">
        <v>0</v>
      </c>
      <c r="AP262">
        <v>0</v>
      </c>
      <c r="AQ262">
        <v>0</v>
      </c>
      <c r="AR262">
        <v>0</v>
      </c>
      <c r="AS262" t="s">
        <v>3</v>
      </c>
      <c r="AT262">
        <v>100</v>
      </c>
      <c r="AU262" t="s">
        <v>3</v>
      </c>
      <c r="AV262">
        <v>0</v>
      </c>
      <c r="AW262">
        <v>1</v>
      </c>
      <c r="AX262">
        <v>-1</v>
      </c>
      <c r="AY262">
        <v>0</v>
      </c>
      <c r="AZ262">
        <v>0</v>
      </c>
      <c r="BA262" t="s">
        <v>3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ROUND(Y262*Source!I276,9)</f>
        <v>42.2</v>
      </c>
      <c r="CY262">
        <f>AA262</f>
        <v>841.09</v>
      </c>
      <c r="CZ262">
        <f>AE262</f>
        <v>68.27</v>
      </c>
      <c r="DA262">
        <f>AI262</f>
        <v>12.32</v>
      </c>
      <c r="DB262">
        <f>ROUND(ROUND(AT262*CZ262,2),6)</f>
        <v>6827</v>
      </c>
      <c r="DC262">
        <f>ROUND(ROUND(AT262*AG262,2),6)</f>
        <v>0</v>
      </c>
      <c r="DD262" t="s">
        <v>3</v>
      </c>
      <c r="DE262" t="s">
        <v>3</v>
      </c>
      <c r="DF262">
        <f>ROUND(ROUND(AE262*CX262,2)*AI262,2)</f>
        <v>35493.800000000003</v>
      </c>
      <c r="DG262">
        <f t="shared" si="93"/>
        <v>0</v>
      </c>
      <c r="DH262">
        <f t="shared" si="94"/>
        <v>0</v>
      </c>
      <c r="DI262">
        <f t="shared" si="100"/>
        <v>0</v>
      </c>
      <c r="DJ262">
        <f>DF262</f>
        <v>35493.800000000003</v>
      </c>
      <c r="DK262">
        <v>0</v>
      </c>
    </row>
    <row r="263" spans="1:115" x14ac:dyDescent="0.2">
      <c r="A263">
        <f>ROW(Source!A276)</f>
        <v>276</v>
      </c>
      <c r="B263">
        <v>129761633</v>
      </c>
      <c r="C263">
        <v>129763472</v>
      </c>
      <c r="D263">
        <v>37412063</v>
      </c>
      <c r="E263">
        <v>1</v>
      </c>
      <c r="F263">
        <v>1</v>
      </c>
      <c r="G263">
        <v>37345137</v>
      </c>
      <c r="H263">
        <v>3</v>
      </c>
      <c r="I263" t="s">
        <v>1240</v>
      </c>
      <c r="J263" t="s">
        <v>1241</v>
      </c>
      <c r="K263" t="s">
        <v>1242</v>
      </c>
      <c r="L263">
        <v>1339</v>
      </c>
      <c r="N263">
        <v>1007</v>
      </c>
      <c r="O263" t="s">
        <v>94</v>
      </c>
      <c r="P263" t="s">
        <v>94</v>
      </c>
      <c r="Q263">
        <v>1</v>
      </c>
      <c r="W263">
        <v>0</v>
      </c>
      <c r="X263">
        <v>-1161195218</v>
      </c>
      <c r="Y263">
        <f>AT263</f>
        <v>1.5</v>
      </c>
      <c r="AA263">
        <v>4071.16</v>
      </c>
      <c r="AB263">
        <v>0</v>
      </c>
      <c r="AC263">
        <v>0</v>
      </c>
      <c r="AD263">
        <v>0</v>
      </c>
      <c r="AE263">
        <v>478.96</v>
      </c>
      <c r="AF263">
        <v>0</v>
      </c>
      <c r="AG263">
        <v>0</v>
      </c>
      <c r="AH263">
        <v>0</v>
      </c>
      <c r="AI263">
        <v>8.5</v>
      </c>
      <c r="AJ263">
        <v>1</v>
      </c>
      <c r="AK263">
        <v>1</v>
      </c>
      <c r="AL263">
        <v>1</v>
      </c>
      <c r="AN263">
        <v>0</v>
      </c>
      <c r="AO263">
        <v>1</v>
      </c>
      <c r="AP263">
        <v>0</v>
      </c>
      <c r="AQ263">
        <v>0</v>
      </c>
      <c r="AR263">
        <v>0</v>
      </c>
      <c r="AS263" t="s">
        <v>3</v>
      </c>
      <c r="AT263">
        <v>1.5</v>
      </c>
      <c r="AU263" t="s">
        <v>3</v>
      </c>
      <c r="AV263">
        <v>0</v>
      </c>
      <c r="AW263">
        <v>2</v>
      </c>
      <c r="AX263">
        <v>129763480</v>
      </c>
      <c r="AY263">
        <v>1</v>
      </c>
      <c r="AZ263">
        <v>0</v>
      </c>
      <c r="BA263">
        <v>268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ROUND(Y263*Source!I276,9)</f>
        <v>0.63300000000000001</v>
      </c>
      <c r="CY263">
        <f>AA263</f>
        <v>4071.16</v>
      </c>
      <c r="CZ263">
        <f>AE263</f>
        <v>478.96</v>
      </c>
      <c r="DA263">
        <f>AI263</f>
        <v>8.5</v>
      </c>
      <c r="DB263">
        <f>ROUND(ROUND(AT263*CZ263,2),6)</f>
        <v>718.44</v>
      </c>
      <c r="DC263">
        <f>ROUND(ROUND(AT263*AG263,2),6)</f>
        <v>0</v>
      </c>
      <c r="DD263" t="s">
        <v>3</v>
      </c>
      <c r="DE263" t="s">
        <v>3</v>
      </c>
      <c r="DF263">
        <f>ROUND(ROUND(AE263*CX263,2)*AI263,2)</f>
        <v>2577.0300000000002</v>
      </c>
      <c r="DG263">
        <f t="shared" si="93"/>
        <v>0</v>
      </c>
      <c r="DH263">
        <f t="shared" si="94"/>
        <v>0</v>
      </c>
      <c r="DI263">
        <f t="shared" si="100"/>
        <v>0</v>
      </c>
      <c r="DJ263">
        <f>DF263</f>
        <v>2577.0300000000002</v>
      </c>
      <c r="DK263">
        <v>0</v>
      </c>
    </row>
    <row r="264" spans="1:115" x14ac:dyDescent="0.2">
      <c r="A264">
        <f>ROW(Source!A276)</f>
        <v>276</v>
      </c>
      <c r="B264">
        <v>129761633</v>
      </c>
      <c r="C264">
        <v>129763472</v>
      </c>
      <c r="D264">
        <v>37367082</v>
      </c>
      <c r="E264">
        <v>37345137</v>
      </c>
      <c r="F264">
        <v>1</v>
      </c>
      <c r="G264">
        <v>37345137</v>
      </c>
      <c r="H264">
        <v>3</v>
      </c>
      <c r="I264" t="s">
        <v>1136</v>
      </c>
      <c r="J264" t="s">
        <v>3</v>
      </c>
      <c r="K264" t="s">
        <v>1137</v>
      </c>
      <c r="L264">
        <v>1344</v>
      </c>
      <c r="N264">
        <v>1008</v>
      </c>
      <c r="O264" t="s">
        <v>1138</v>
      </c>
      <c r="P264" t="s">
        <v>1138</v>
      </c>
      <c r="Q264">
        <v>1</v>
      </c>
      <c r="W264">
        <v>0</v>
      </c>
      <c r="X264">
        <v>-94250534</v>
      </c>
      <c r="Y264">
        <f>AT264</f>
        <v>8.5399999999999991</v>
      </c>
      <c r="AA264">
        <v>8.65</v>
      </c>
      <c r="AB264">
        <v>0</v>
      </c>
      <c r="AC264">
        <v>0</v>
      </c>
      <c r="AD264">
        <v>0</v>
      </c>
      <c r="AE264">
        <v>1</v>
      </c>
      <c r="AF264">
        <v>0</v>
      </c>
      <c r="AG264">
        <v>0</v>
      </c>
      <c r="AH264">
        <v>0</v>
      </c>
      <c r="AI264">
        <v>8.65</v>
      </c>
      <c r="AJ264">
        <v>1</v>
      </c>
      <c r="AK264">
        <v>1</v>
      </c>
      <c r="AL264">
        <v>1</v>
      </c>
      <c r="AN264">
        <v>0</v>
      </c>
      <c r="AO264">
        <v>1</v>
      </c>
      <c r="AP264">
        <v>0</v>
      </c>
      <c r="AQ264">
        <v>0</v>
      </c>
      <c r="AR264">
        <v>0</v>
      </c>
      <c r="AS264" t="s">
        <v>3</v>
      </c>
      <c r="AT264">
        <v>8.5399999999999991</v>
      </c>
      <c r="AU264" t="s">
        <v>3</v>
      </c>
      <c r="AV264">
        <v>0</v>
      </c>
      <c r="AW264">
        <v>2</v>
      </c>
      <c r="AX264">
        <v>129763482</v>
      </c>
      <c r="AY264">
        <v>1</v>
      </c>
      <c r="AZ264">
        <v>0</v>
      </c>
      <c r="BA264">
        <v>270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ROUND(Y264*Source!I276,9)</f>
        <v>3.6038800000000002</v>
      </c>
      <c r="CY264">
        <f>AA264</f>
        <v>8.65</v>
      </c>
      <c r="CZ264">
        <f>AE264</f>
        <v>1</v>
      </c>
      <c r="DA264">
        <f>AI264</f>
        <v>8.65</v>
      </c>
      <c r="DB264">
        <f>ROUND(ROUND(AT264*CZ264,2),6)</f>
        <v>8.5399999999999991</v>
      </c>
      <c r="DC264">
        <f>ROUND(ROUND(AT264*AG264,2),6)</f>
        <v>0</v>
      </c>
      <c r="DD264" t="s">
        <v>3</v>
      </c>
      <c r="DE264" t="s">
        <v>3</v>
      </c>
      <c r="DF264">
        <f>ROUND(ROUND(AE264*CX264,2)*AI264,2)</f>
        <v>31.14</v>
      </c>
      <c r="DG264">
        <f t="shared" si="93"/>
        <v>0</v>
      </c>
      <c r="DH264">
        <f t="shared" si="94"/>
        <v>0</v>
      </c>
      <c r="DI264">
        <f t="shared" si="100"/>
        <v>0</v>
      </c>
      <c r="DJ264">
        <f>DF264</f>
        <v>31.14</v>
      </c>
      <c r="DK264">
        <v>0</v>
      </c>
    </row>
    <row r="265" spans="1:115" x14ac:dyDescent="0.2">
      <c r="A265">
        <f>ROW(Source!A279)</f>
        <v>279</v>
      </c>
      <c r="B265">
        <v>129761636</v>
      </c>
      <c r="C265">
        <v>129763484</v>
      </c>
      <c r="D265">
        <v>37345142</v>
      </c>
      <c r="E265">
        <v>37345137</v>
      </c>
      <c r="F265">
        <v>1</v>
      </c>
      <c r="G265">
        <v>37345137</v>
      </c>
      <c r="H265">
        <v>1</v>
      </c>
      <c r="I265" t="s">
        <v>1096</v>
      </c>
      <c r="J265" t="s">
        <v>3</v>
      </c>
      <c r="K265" t="s">
        <v>1097</v>
      </c>
      <c r="L265">
        <v>1191</v>
      </c>
      <c r="N265">
        <v>1013</v>
      </c>
      <c r="O265" t="s">
        <v>1098</v>
      </c>
      <c r="P265" t="s">
        <v>1098</v>
      </c>
      <c r="Q265">
        <v>1</v>
      </c>
      <c r="W265">
        <v>0</v>
      </c>
      <c r="X265">
        <v>476480486</v>
      </c>
      <c r="Y265">
        <f>(AT265*1.15)</f>
        <v>74.75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1</v>
      </c>
      <c r="AJ265">
        <v>1</v>
      </c>
      <c r="AK265">
        <v>1</v>
      </c>
      <c r="AL265">
        <v>1</v>
      </c>
      <c r="AN265">
        <v>0</v>
      </c>
      <c r="AO265">
        <v>1</v>
      </c>
      <c r="AP265">
        <v>1</v>
      </c>
      <c r="AQ265">
        <v>0</v>
      </c>
      <c r="AR265">
        <v>0</v>
      </c>
      <c r="AS265" t="s">
        <v>3</v>
      </c>
      <c r="AT265">
        <v>65</v>
      </c>
      <c r="AU265" t="s">
        <v>87</v>
      </c>
      <c r="AV265">
        <v>1</v>
      </c>
      <c r="AW265">
        <v>2</v>
      </c>
      <c r="AX265">
        <v>129763493</v>
      </c>
      <c r="AY265">
        <v>1</v>
      </c>
      <c r="AZ265">
        <v>0</v>
      </c>
      <c r="BA265">
        <v>271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ROUND(Y265*Source!I279,9)</f>
        <v>9.1942500000000003</v>
      </c>
      <c r="CY265">
        <f>AD265</f>
        <v>0</v>
      </c>
      <c r="CZ265">
        <f>AH265</f>
        <v>0</v>
      </c>
      <c r="DA265">
        <f>AL265</f>
        <v>1</v>
      </c>
      <c r="DB265">
        <f>ROUND((ROUND(AT265*CZ265,2)*1.15),6)</f>
        <v>0</v>
      </c>
      <c r="DC265">
        <f>ROUND((ROUND(AT265*AG265,2)*1.15),6)</f>
        <v>0</v>
      </c>
      <c r="DD265" t="s">
        <v>3</v>
      </c>
      <c r="DE265" t="s">
        <v>3</v>
      </c>
      <c r="DF265">
        <f t="shared" ref="DF265:DF275" si="101">ROUND(AE265*CX265,2)</f>
        <v>0</v>
      </c>
      <c r="DG265">
        <f t="shared" si="93"/>
        <v>0</v>
      </c>
      <c r="DH265">
        <f t="shared" si="94"/>
        <v>0</v>
      </c>
      <c r="DI265">
        <f t="shared" si="100"/>
        <v>0</v>
      </c>
      <c r="DJ265">
        <f>DI265</f>
        <v>0</v>
      </c>
      <c r="DK265">
        <v>0</v>
      </c>
    </row>
    <row r="266" spans="1:115" x14ac:dyDescent="0.2">
      <c r="A266">
        <f>ROW(Source!A279)</f>
        <v>279</v>
      </c>
      <c r="B266">
        <v>129761636</v>
      </c>
      <c r="C266">
        <v>129763484</v>
      </c>
      <c r="D266">
        <v>37417960</v>
      </c>
      <c r="E266">
        <v>1</v>
      </c>
      <c r="F266">
        <v>1</v>
      </c>
      <c r="G266">
        <v>37345137</v>
      </c>
      <c r="H266">
        <v>2</v>
      </c>
      <c r="I266" t="s">
        <v>1243</v>
      </c>
      <c r="J266" t="s">
        <v>1244</v>
      </c>
      <c r="K266" t="s">
        <v>1245</v>
      </c>
      <c r="L266">
        <v>1367</v>
      </c>
      <c r="N266">
        <v>1011</v>
      </c>
      <c r="O266" t="s">
        <v>1102</v>
      </c>
      <c r="P266" t="s">
        <v>1102</v>
      </c>
      <c r="Q266">
        <v>1</v>
      </c>
      <c r="W266">
        <v>0</v>
      </c>
      <c r="X266">
        <v>-286093136</v>
      </c>
      <c r="Y266">
        <f>(AT266*1.25)</f>
        <v>5.875</v>
      </c>
      <c r="AA266">
        <v>0</v>
      </c>
      <c r="AB266">
        <v>19.260000000000002</v>
      </c>
      <c r="AC266">
        <v>11.2</v>
      </c>
      <c r="AD266">
        <v>0</v>
      </c>
      <c r="AE266">
        <v>0</v>
      </c>
      <c r="AF266">
        <v>19.260000000000002</v>
      </c>
      <c r="AG266">
        <v>11.2</v>
      </c>
      <c r="AH266">
        <v>0</v>
      </c>
      <c r="AI266">
        <v>1</v>
      </c>
      <c r="AJ266">
        <v>1</v>
      </c>
      <c r="AK266">
        <v>1</v>
      </c>
      <c r="AL266">
        <v>1</v>
      </c>
      <c r="AN266">
        <v>0</v>
      </c>
      <c r="AO266">
        <v>1</v>
      </c>
      <c r="AP266">
        <v>1</v>
      </c>
      <c r="AQ266">
        <v>0</v>
      </c>
      <c r="AR266">
        <v>0</v>
      </c>
      <c r="AS266" t="s">
        <v>3</v>
      </c>
      <c r="AT266">
        <v>4.7</v>
      </c>
      <c r="AU266" t="s">
        <v>86</v>
      </c>
      <c r="AV266">
        <v>0</v>
      </c>
      <c r="AW266">
        <v>2</v>
      </c>
      <c r="AX266">
        <v>129763494</v>
      </c>
      <c r="AY266">
        <v>1</v>
      </c>
      <c r="AZ266">
        <v>0</v>
      </c>
      <c r="BA266">
        <v>272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ROUND(Y266*Source!I279,9)</f>
        <v>0.72262499999999996</v>
      </c>
      <c r="CY266">
        <f>AB266</f>
        <v>19.260000000000002</v>
      </c>
      <c r="CZ266">
        <f>AF266</f>
        <v>19.260000000000002</v>
      </c>
      <c r="DA266">
        <f>AJ266</f>
        <v>1</v>
      </c>
      <c r="DB266">
        <f>ROUND((ROUND(AT266*CZ266,2)*1.25),6)</f>
        <v>113.15</v>
      </c>
      <c r="DC266">
        <f>ROUND((ROUND(AT266*AG266,2)*1.25),6)</f>
        <v>65.8</v>
      </c>
      <c r="DD266" t="s">
        <v>3</v>
      </c>
      <c r="DE266" t="s">
        <v>3</v>
      </c>
      <c r="DF266">
        <f t="shared" si="101"/>
        <v>0</v>
      </c>
      <c r="DG266">
        <f t="shared" si="93"/>
        <v>13.92</v>
      </c>
      <c r="DH266">
        <f t="shared" si="94"/>
        <v>8.09</v>
      </c>
      <c r="DI266">
        <f t="shared" si="100"/>
        <v>0</v>
      </c>
      <c r="DJ266">
        <f>DG266</f>
        <v>13.92</v>
      </c>
      <c r="DK266">
        <v>0</v>
      </c>
    </row>
    <row r="267" spans="1:115" x14ac:dyDescent="0.2">
      <c r="A267">
        <f>ROW(Source!A279)</f>
        <v>279</v>
      </c>
      <c r="B267">
        <v>129761636</v>
      </c>
      <c r="C267">
        <v>129763484</v>
      </c>
      <c r="D267">
        <v>37345890</v>
      </c>
      <c r="E267">
        <v>37345137</v>
      </c>
      <c r="F267">
        <v>1</v>
      </c>
      <c r="G267">
        <v>37345137</v>
      </c>
      <c r="H267">
        <v>2</v>
      </c>
      <c r="I267" t="s">
        <v>1145</v>
      </c>
      <c r="J267" t="s">
        <v>3</v>
      </c>
      <c r="K267" t="s">
        <v>1146</v>
      </c>
      <c r="L267">
        <v>1344</v>
      </c>
      <c r="N267">
        <v>1008</v>
      </c>
      <c r="O267" t="s">
        <v>1138</v>
      </c>
      <c r="P267" t="s">
        <v>1138</v>
      </c>
      <c r="Q267">
        <v>1</v>
      </c>
      <c r="W267">
        <v>0</v>
      </c>
      <c r="X267">
        <v>-1180195794</v>
      </c>
      <c r="Y267">
        <f>(AT267*1.25)</f>
        <v>32.549999999999997</v>
      </c>
      <c r="AA267">
        <v>0</v>
      </c>
      <c r="AB267">
        <v>1</v>
      </c>
      <c r="AC267">
        <v>0</v>
      </c>
      <c r="AD267">
        <v>0</v>
      </c>
      <c r="AE267">
        <v>0</v>
      </c>
      <c r="AF267">
        <v>1</v>
      </c>
      <c r="AG267">
        <v>0</v>
      </c>
      <c r="AH267">
        <v>0</v>
      </c>
      <c r="AI267">
        <v>1</v>
      </c>
      <c r="AJ267">
        <v>1</v>
      </c>
      <c r="AK267">
        <v>1</v>
      </c>
      <c r="AL267">
        <v>1</v>
      </c>
      <c r="AN267">
        <v>0</v>
      </c>
      <c r="AO267">
        <v>1</v>
      </c>
      <c r="AP267">
        <v>1</v>
      </c>
      <c r="AQ267">
        <v>0</v>
      </c>
      <c r="AR267">
        <v>0</v>
      </c>
      <c r="AS267" t="s">
        <v>3</v>
      </c>
      <c r="AT267">
        <v>26.04</v>
      </c>
      <c r="AU267" t="s">
        <v>86</v>
      </c>
      <c r="AV267">
        <v>0</v>
      </c>
      <c r="AW267">
        <v>2</v>
      </c>
      <c r="AX267">
        <v>129763495</v>
      </c>
      <c r="AY267">
        <v>1</v>
      </c>
      <c r="AZ267">
        <v>0</v>
      </c>
      <c r="BA267">
        <v>273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ROUND(Y267*Source!I279,9)</f>
        <v>4.0036500000000004</v>
      </c>
      <c r="CY267">
        <f>AB267</f>
        <v>1</v>
      </c>
      <c r="CZ267">
        <f>AF267</f>
        <v>1</v>
      </c>
      <c r="DA267">
        <f>AJ267</f>
        <v>1</v>
      </c>
      <c r="DB267">
        <f>ROUND((ROUND(AT267*CZ267,2)*1.25),6)</f>
        <v>32.549999999999997</v>
      </c>
      <c r="DC267">
        <f>ROUND((ROUND(AT267*AG267,2)*1.25),6)</f>
        <v>0</v>
      </c>
      <c r="DD267" t="s">
        <v>3</v>
      </c>
      <c r="DE267" t="s">
        <v>3</v>
      </c>
      <c r="DF267">
        <f t="shared" si="101"/>
        <v>0</v>
      </c>
      <c r="DG267">
        <f t="shared" si="93"/>
        <v>4</v>
      </c>
      <c r="DH267">
        <f t="shared" si="94"/>
        <v>0</v>
      </c>
      <c r="DI267">
        <f t="shared" si="100"/>
        <v>0</v>
      </c>
      <c r="DJ267">
        <f>DG267</f>
        <v>4</v>
      </c>
      <c r="DK267">
        <v>0</v>
      </c>
    </row>
    <row r="268" spans="1:115" x14ac:dyDescent="0.2">
      <c r="A268">
        <f>ROW(Source!A279)</f>
        <v>279</v>
      </c>
      <c r="B268">
        <v>129761636</v>
      </c>
      <c r="C268">
        <v>129763484</v>
      </c>
      <c r="D268">
        <v>37394350</v>
      </c>
      <c r="E268">
        <v>1</v>
      </c>
      <c r="F268">
        <v>1</v>
      </c>
      <c r="G268">
        <v>37345137</v>
      </c>
      <c r="H268">
        <v>3</v>
      </c>
      <c r="I268" t="s">
        <v>1246</v>
      </c>
      <c r="J268" t="s">
        <v>1247</v>
      </c>
      <c r="K268" t="s">
        <v>1248</v>
      </c>
      <c r="L268">
        <v>1327</v>
      </c>
      <c r="N268">
        <v>1005</v>
      </c>
      <c r="O268" t="s">
        <v>258</v>
      </c>
      <c r="P268" t="s">
        <v>258</v>
      </c>
      <c r="Q268">
        <v>1</v>
      </c>
      <c r="W268">
        <v>0</v>
      </c>
      <c r="X268">
        <v>1732130389</v>
      </c>
      <c r="Y268">
        <f>AT268</f>
        <v>2.77</v>
      </c>
      <c r="AA268">
        <v>33.56</v>
      </c>
      <c r="AB268">
        <v>0</v>
      </c>
      <c r="AC268">
        <v>0</v>
      </c>
      <c r="AD268">
        <v>0</v>
      </c>
      <c r="AE268">
        <v>33.56</v>
      </c>
      <c r="AF268">
        <v>0</v>
      </c>
      <c r="AG268">
        <v>0</v>
      </c>
      <c r="AH268">
        <v>0</v>
      </c>
      <c r="AI268">
        <v>1</v>
      </c>
      <c r="AJ268">
        <v>1</v>
      </c>
      <c r="AK268">
        <v>1</v>
      </c>
      <c r="AL268">
        <v>1</v>
      </c>
      <c r="AN268">
        <v>0</v>
      </c>
      <c r="AO268">
        <v>1</v>
      </c>
      <c r="AP268">
        <v>0</v>
      </c>
      <c r="AQ268">
        <v>0</v>
      </c>
      <c r="AR268">
        <v>0</v>
      </c>
      <c r="AS268" t="s">
        <v>3</v>
      </c>
      <c r="AT268">
        <v>2.77</v>
      </c>
      <c r="AU268" t="s">
        <v>3</v>
      </c>
      <c r="AV268">
        <v>0</v>
      </c>
      <c r="AW268">
        <v>2</v>
      </c>
      <c r="AX268">
        <v>129763497</v>
      </c>
      <c r="AY268">
        <v>1</v>
      </c>
      <c r="AZ268">
        <v>0</v>
      </c>
      <c r="BA268">
        <v>275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ROUND(Y268*Source!I279,9)</f>
        <v>0.34071000000000001</v>
      </c>
      <c r="CY268">
        <f>AA268</f>
        <v>33.56</v>
      </c>
      <c r="CZ268">
        <f>AE268</f>
        <v>33.56</v>
      </c>
      <c r="DA268">
        <f>AI268</f>
        <v>1</v>
      </c>
      <c r="DB268">
        <f>ROUND(ROUND(AT268*CZ268,2),6)</f>
        <v>92.96</v>
      </c>
      <c r="DC268">
        <f>ROUND(ROUND(AT268*AG268,2),6)</f>
        <v>0</v>
      </c>
      <c r="DD268" t="s">
        <v>3</v>
      </c>
      <c r="DE268" t="s">
        <v>3</v>
      </c>
      <c r="DF268">
        <f t="shared" si="101"/>
        <v>11.43</v>
      </c>
      <c r="DG268">
        <f t="shared" si="93"/>
        <v>0</v>
      </c>
      <c r="DH268">
        <f t="shared" si="94"/>
        <v>0</v>
      </c>
      <c r="DI268">
        <f t="shared" si="100"/>
        <v>0</v>
      </c>
      <c r="DJ268">
        <f>DF268</f>
        <v>11.43</v>
      </c>
      <c r="DK268">
        <v>0</v>
      </c>
    </row>
    <row r="269" spans="1:115" x14ac:dyDescent="0.2">
      <c r="A269">
        <f>ROW(Source!A279)</f>
        <v>279</v>
      </c>
      <c r="B269">
        <v>129761636</v>
      </c>
      <c r="C269">
        <v>129763484</v>
      </c>
      <c r="D269">
        <v>37393552</v>
      </c>
      <c r="E269">
        <v>1</v>
      </c>
      <c r="F269">
        <v>1</v>
      </c>
      <c r="G269">
        <v>37345137</v>
      </c>
      <c r="H269">
        <v>3</v>
      </c>
      <c r="I269" t="s">
        <v>348</v>
      </c>
      <c r="J269" t="s">
        <v>350</v>
      </c>
      <c r="K269" t="s">
        <v>349</v>
      </c>
      <c r="L269">
        <v>1339</v>
      </c>
      <c r="N269">
        <v>1007</v>
      </c>
      <c r="O269" t="s">
        <v>94</v>
      </c>
      <c r="P269" t="s">
        <v>94</v>
      </c>
      <c r="Q269">
        <v>1</v>
      </c>
      <c r="W269">
        <v>0</v>
      </c>
      <c r="X269">
        <v>-862991314</v>
      </c>
      <c r="Y269">
        <f>AT269</f>
        <v>8.4000000000000005E-2</v>
      </c>
      <c r="AA269">
        <v>7.07</v>
      </c>
      <c r="AB269">
        <v>0</v>
      </c>
      <c r="AC269">
        <v>0</v>
      </c>
      <c r="AD269">
        <v>0</v>
      </c>
      <c r="AE269">
        <v>7.07</v>
      </c>
      <c r="AF269">
        <v>0</v>
      </c>
      <c r="AG269">
        <v>0</v>
      </c>
      <c r="AH269">
        <v>0</v>
      </c>
      <c r="AI269">
        <v>1</v>
      </c>
      <c r="AJ269">
        <v>1</v>
      </c>
      <c r="AK269">
        <v>1</v>
      </c>
      <c r="AL269">
        <v>1</v>
      </c>
      <c r="AN269">
        <v>0</v>
      </c>
      <c r="AO269">
        <v>0</v>
      </c>
      <c r="AP269">
        <v>0</v>
      </c>
      <c r="AQ269">
        <v>0</v>
      </c>
      <c r="AR269">
        <v>0</v>
      </c>
      <c r="AS269" t="s">
        <v>3</v>
      </c>
      <c r="AT269">
        <v>8.4000000000000005E-2</v>
      </c>
      <c r="AU269" t="s">
        <v>3</v>
      </c>
      <c r="AV269">
        <v>0</v>
      </c>
      <c r="AW269">
        <v>1</v>
      </c>
      <c r="AX269">
        <v>-1</v>
      </c>
      <c r="AY269">
        <v>0</v>
      </c>
      <c r="AZ269">
        <v>0</v>
      </c>
      <c r="BA269" t="s">
        <v>3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ROUND(Y269*Source!I279,9)</f>
        <v>1.0331999999999999E-2</v>
      </c>
      <c r="CY269">
        <f>AA269</f>
        <v>7.07</v>
      </c>
      <c r="CZ269">
        <f>AE269</f>
        <v>7.07</v>
      </c>
      <c r="DA269">
        <f>AI269</f>
        <v>1</v>
      </c>
      <c r="DB269">
        <f>ROUND(ROUND(AT269*CZ269,2),6)</f>
        <v>0.59</v>
      </c>
      <c r="DC269">
        <f>ROUND(ROUND(AT269*AG269,2),6)</f>
        <v>0</v>
      </c>
      <c r="DD269" t="s">
        <v>3</v>
      </c>
      <c r="DE269" t="s">
        <v>3</v>
      </c>
      <c r="DF269">
        <f t="shared" si="101"/>
        <v>7.0000000000000007E-2</v>
      </c>
      <c r="DG269">
        <f t="shared" si="93"/>
        <v>0</v>
      </c>
      <c r="DH269">
        <f t="shared" si="94"/>
        <v>0</v>
      </c>
      <c r="DI269">
        <f t="shared" si="100"/>
        <v>0</v>
      </c>
      <c r="DJ269">
        <f>DF269</f>
        <v>7.0000000000000007E-2</v>
      </c>
      <c r="DK269">
        <v>0</v>
      </c>
    </row>
    <row r="270" spans="1:115" x14ac:dyDescent="0.2">
      <c r="A270">
        <f>ROW(Source!A279)</f>
        <v>279</v>
      </c>
      <c r="B270">
        <v>129761636</v>
      </c>
      <c r="C270">
        <v>129763484</v>
      </c>
      <c r="D270">
        <v>37412070</v>
      </c>
      <c r="E270">
        <v>1</v>
      </c>
      <c r="F270">
        <v>1</v>
      </c>
      <c r="G270">
        <v>37345137</v>
      </c>
      <c r="H270">
        <v>3</v>
      </c>
      <c r="I270" t="s">
        <v>319</v>
      </c>
      <c r="J270" t="s">
        <v>321</v>
      </c>
      <c r="K270" t="s">
        <v>320</v>
      </c>
      <c r="L270">
        <v>1339</v>
      </c>
      <c r="N270">
        <v>1007</v>
      </c>
      <c r="O270" t="s">
        <v>94</v>
      </c>
      <c r="P270" t="s">
        <v>94</v>
      </c>
      <c r="Q270">
        <v>1</v>
      </c>
      <c r="W270">
        <v>0</v>
      </c>
      <c r="X270">
        <v>202608499</v>
      </c>
      <c r="Y270">
        <f>AT270</f>
        <v>1.208</v>
      </c>
      <c r="AA270">
        <v>481.69</v>
      </c>
      <c r="AB270">
        <v>0</v>
      </c>
      <c r="AC270">
        <v>0</v>
      </c>
      <c r="AD270">
        <v>0</v>
      </c>
      <c r="AE270">
        <v>481.69</v>
      </c>
      <c r="AF270">
        <v>0</v>
      </c>
      <c r="AG270">
        <v>0</v>
      </c>
      <c r="AH270">
        <v>0</v>
      </c>
      <c r="AI270">
        <v>1</v>
      </c>
      <c r="AJ270">
        <v>1</v>
      </c>
      <c r="AK270">
        <v>1</v>
      </c>
      <c r="AL270">
        <v>1</v>
      </c>
      <c r="AN270">
        <v>0</v>
      </c>
      <c r="AO270">
        <v>0</v>
      </c>
      <c r="AP270">
        <v>0</v>
      </c>
      <c r="AQ270">
        <v>0</v>
      </c>
      <c r="AR270">
        <v>0</v>
      </c>
      <c r="AS270" t="s">
        <v>3</v>
      </c>
      <c r="AT270">
        <v>1.208</v>
      </c>
      <c r="AU270" t="s">
        <v>3</v>
      </c>
      <c r="AV270">
        <v>0</v>
      </c>
      <c r="AW270">
        <v>1</v>
      </c>
      <c r="AX270">
        <v>-1</v>
      </c>
      <c r="AY270">
        <v>0</v>
      </c>
      <c r="AZ270">
        <v>0</v>
      </c>
      <c r="BA270" t="s">
        <v>3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ROUND(Y270*Source!I279,9)</f>
        <v>0.14858399999999999</v>
      </c>
      <c r="CY270">
        <f>AA270</f>
        <v>481.69</v>
      </c>
      <c r="CZ270">
        <f>AE270</f>
        <v>481.69</v>
      </c>
      <c r="DA270">
        <f>AI270</f>
        <v>1</v>
      </c>
      <c r="DB270">
        <f>ROUND(ROUND(AT270*CZ270,2),6)</f>
        <v>581.88</v>
      </c>
      <c r="DC270">
        <f>ROUND(ROUND(AT270*AG270,2),6)</f>
        <v>0</v>
      </c>
      <c r="DD270" t="s">
        <v>3</v>
      </c>
      <c r="DE270" t="s">
        <v>3</v>
      </c>
      <c r="DF270">
        <f t="shared" si="101"/>
        <v>71.569999999999993</v>
      </c>
      <c r="DG270">
        <f t="shared" si="93"/>
        <v>0</v>
      </c>
      <c r="DH270">
        <f t="shared" si="94"/>
        <v>0</v>
      </c>
      <c r="DI270">
        <f t="shared" si="100"/>
        <v>0</v>
      </c>
      <c r="DJ270">
        <f>DF270</f>
        <v>71.569999999999993</v>
      </c>
      <c r="DK270">
        <v>0</v>
      </c>
    </row>
    <row r="271" spans="1:115" x14ac:dyDescent="0.2">
      <c r="A271">
        <f>ROW(Source!A279)</f>
        <v>279</v>
      </c>
      <c r="B271">
        <v>129761636</v>
      </c>
      <c r="C271">
        <v>129763484</v>
      </c>
      <c r="D271">
        <v>37412082</v>
      </c>
      <c r="E271">
        <v>1</v>
      </c>
      <c r="F271">
        <v>1</v>
      </c>
      <c r="G271">
        <v>37345137</v>
      </c>
      <c r="H271">
        <v>3</v>
      </c>
      <c r="I271" t="s">
        <v>352</v>
      </c>
      <c r="J271" t="s">
        <v>353</v>
      </c>
      <c r="K271" t="s">
        <v>1563</v>
      </c>
      <c r="L271">
        <v>1348</v>
      </c>
      <c r="N271">
        <v>1009</v>
      </c>
      <c r="O271" t="s">
        <v>114</v>
      </c>
      <c r="P271" t="s">
        <v>114</v>
      </c>
      <c r="Q271">
        <v>1000</v>
      </c>
      <c r="W271">
        <v>0</v>
      </c>
      <c r="X271">
        <v>-939349861</v>
      </c>
      <c r="Y271">
        <f>AT271</f>
        <v>0.48</v>
      </c>
      <c r="AA271">
        <v>1823.55</v>
      </c>
      <c r="AB271">
        <v>0</v>
      </c>
      <c r="AC271">
        <v>0</v>
      </c>
      <c r="AD271">
        <v>0</v>
      </c>
      <c r="AE271">
        <v>1823.55</v>
      </c>
      <c r="AF271">
        <v>0</v>
      </c>
      <c r="AG271">
        <v>0</v>
      </c>
      <c r="AH271">
        <v>0</v>
      </c>
      <c r="AI271">
        <v>1</v>
      </c>
      <c r="AJ271">
        <v>1</v>
      </c>
      <c r="AK271">
        <v>1</v>
      </c>
      <c r="AL271">
        <v>1</v>
      </c>
      <c r="AN271">
        <v>0</v>
      </c>
      <c r="AO271">
        <v>0</v>
      </c>
      <c r="AP271">
        <v>0</v>
      </c>
      <c r="AQ271">
        <v>0</v>
      </c>
      <c r="AR271">
        <v>0</v>
      </c>
      <c r="AS271" t="s">
        <v>3</v>
      </c>
      <c r="AT271">
        <v>0.48</v>
      </c>
      <c r="AU271" t="s">
        <v>3</v>
      </c>
      <c r="AV271">
        <v>0</v>
      </c>
      <c r="AW271">
        <v>1</v>
      </c>
      <c r="AX271">
        <v>-1</v>
      </c>
      <c r="AY271">
        <v>0</v>
      </c>
      <c r="AZ271">
        <v>0</v>
      </c>
      <c r="BA271" t="s">
        <v>3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ROUND(Y271*Source!I279,9)</f>
        <v>5.9040000000000002E-2</v>
      </c>
      <c r="CY271">
        <f>AA271</f>
        <v>1823.55</v>
      </c>
      <c r="CZ271">
        <f>AE271</f>
        <v>1823.55</v>
      </c>
      <c r="DA271">
        <f>AI271</f>
        <v>1</v>
      </c>
      <c r="DB271">
        <f>ROUND(ROUND(AT271*CZ271,2),6)</f>
        <v>875.3</v>
      </c>
      <c r="DC271">
        <f>ROUND(ROUND(AT271*AG271,2),6)</f>
        <v>0</v>
      </c>
      <c r="DD271" t="s">
        <v>3</v>
      </c>
      <c r="DE271" t="s">
        <v>3</v>
      </c>
      <c r="DF271">
        <f t="shared" si="101"/>
        <v>107.66</v>
      </c>
      <c r="DG271">
        <f t="shared" si="93"/>
        <v>0</v>
      </c>
      <c r="DH271">
        <f t="shared" si="94"/>
        <v>0</v>
      </c>
      <c r="DI271">
        <f t="shared" si="100"/>
        <v>0</v>
      </c>
      <c r="DJ271">
        <f>DF271</f>
        <v>107.66</v>
      </c>
      <c r="DK271">
        <v>0</v>
      </c>
    </row>
    <row r="272" spans="1:115" x14ac:dyDescent="0.2">
      <c r="A272">
        <f>ROW(Source!A279)</f>
        <v>279</v>
      </c>
      <c r="B272">
        <v>129761636</v>
      </c>
      <c r="C272">
        <v>129763484</v>
      </c>
      <c r="D272">
        <v>37367082</v>
      </c>
      <c r="E272">
        <v>37345137</v>
      </c>
      <c r="F272">
        <v>1</v>
      </c>
      <c r="G272">
        <v>37345137</v>
      </c>
      <c r="H272">
        <v>3</v>
      </c>
      <c r="I272" t="s">
        <v>1136</v>
      </c>
      <c r="J272" t="s">
        <v>3</v>
      </c>
      <c r="K272" t="s">
        <v>1137</v>
      </c>
      <c r="L272">
        <v>1344</v>
      </c>
      <c r="N272">
        <v>1008</v>
      </c>
      <c r="O272" t="s">
        <v>1138</v>
      </c>
      <c r="P272" t="s">
        <v>1138</v>
      </c>
      <c r="Q272">
        <v>1</v>
      </c>
      <c r="W272">
        <v>0</v>
      </c>
      <c r="X272">
        <v>-94250534</v>
      </c>
      <c r="Y272">
        <f>AT272</f>
        <v>2.25</v>
      </c>
      <c r="AA272">
        <v>1</v>
      </c>
      <c r="AB272">
        <v>0</v>
      </c>
      <c r="AC272">
        <v>0</v>
      </c>
      <c r="AD272">
        <v>0</v>
      </c>
      <c r="AE272">
        <v>1</v>
      </c>
      <c r="AF272">
        <v>0</v>
      </c>
      <c r="AG272">
        <v>0</v>
      </c>
      <c r="AH272">
        <v>0</v>
      </c>
      <c r="AI272">
        <v>1</v>
      </c>
      <c r="AJ272">
        <v>1</v>
      </c>
      <c r="AK272">
        <v>1</v>
      </c>
      <c r="AL272">
        <v>1</v>
      </c>
      <c r="AN272">
        <v>0</v>
      </c>
      <c r="AO272">
        <v>1</v>
      </c>
      <c r="AP272">
        <v>0</v>
      </c>
      <c r="AQ272">
        <v>0</v>
      </c>
      <c r="AR272">
        <v>0</v>
      </c>
      <c r="AS272" t="s">
        <v>3</v>
      </c>
      <c r="AT272">
        <v>2.25</v>
      </c>
      <c r="AU272" t="s">
        <v>3</v>
      </c>
      <c r="AV272">
        <v>0</v>
      </c>
      <c r="AW272">
        <v>2</v>
      </c>
      <c r="AX272">
        <v>129763500</v>
      </c>
      <c r="AY272">
        <v>1</v>
      </c>
      <c r="AZ272">
        <v>0</v>
      </c>
      <c r="BA272">
        <v>278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ROUND(Y272*Source!I279,9)</f>
        <v>0.27675</v>
      </c>
      <c r="CY272">
        <f>AA272</f>
        <v>1</v>
      </c>
      <c r="CZ272">
        <f>AE272</f>
        <v>1</v>
      </c>
      <c r="DA272">
        <f>AI272</f>
        <v>1</v>
      </c>
      <c r="DB272">
        <f>ROUND(ROUND(AT272*CZ272,2),6)</f>
        <v>2.25</v>
      </c>
      <c r="DC272">
        <f>ROUND(ROUND(AT272*AG272,2),6)</f>
        <v>0</v>
      </c>
      <c r="DD272" t="s">
        <v>3</v>
      </c>
      <c r="DE272" t="s">
        <v>3</v>
      </c>
      <c r="DF272">
        <f t="shared" si="101"/>
        <v>0.28000000000000003</v>
      </c>
      <c r="DG272">
        <f t="shared" si="93"/>
        <v>0</v>
      </c>
      <c r="DH272">
        <f t="shared" si="94"/>
        <v>0</v>
      </c>
      <c r="DI272">
        <f t="shared" si="100"/>
        <v>0</v>
      </c>
      <c r="DJ272">
        <f>DF272</f>
        <v>0.28000000000000003</v>
      </c>
      <c r="DK272">
        <v>0</v>
      </c>
    </row>
    <row r="273" spans="1:115" x14ac:dyDescent="0.2">
      <c r="A273">
        <f>ROW(Source!A280)</f>
        <v>280</v>
      </c>
      <c r="B273">
        <v>129761633</v>
      </c>
      <c r="C273">
        <v>129763484</v>
      </c>
      <c r="D273">
        <v>37345142</v>
      </c>
      <c r="E273">
        <v>37345137</v>
      </c>
      <c r="F273">
        <v>1</v>
      </c>
      <c r="G273">
        <v>37345137</v>
      </c>
      <c r="H273">
        <v>1</v>
      </c>
      <c r="I273" t="s">
        <v>1096</v>
      </c>
      <c r="J273" t="s">
        <v>3</v>
      </c>
      <c r="K273" t="s">
        <v>1097</v>
      </c>
      <c r="L273">
        <v>1191</v>
      </c>
      <c r="N273">
        <v>1013</v>
      </c>
      <c r="O273" t="s">
        <v>1098</v>
      </c>
      <c r="P273" t="s">
        <v>1098</v>
      </c>
      <c r="Q273">
        <v>1</v>
      </c>
      <c r="W273">
        <v>0</v>
      </c>
      <c r="X273">
        <v>476480486</v>
      </c>
      <c r="Y273">
        <f>(AT273*1.15)</f>
        <v>74.75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1</v>
      </c>
      <c r="AJ273">
        <v>1</v>
      </c>
      <c r="AK273">
        <v>1</v>
      </c>
      <c r="AL273">
        <v>1</v>
      </c>
      <c r="AN273">
        <v>0</v>
      </c>
      <c r="AO273">
        <v>1</v>
      </c>
      <c r="AP273">
        <v>1</v>
      </c>
      <c r="AQ273">
        <v>0</v>
      </c>
      <c r="AR273">
        <v>0</v>
      </c>
      <c r="AS273" t="s">
        <v>3</v>
      </c>
      <c r="AT273">
        <v>65</v>
      </c>
      <c r="AU273" t="s">
        <v>87</v>
      </c>
      <c r="AV273">
        <v>1</v>
      </c>
      <c r="AW273">
        <v>2</v>
      </c>
      <c r="AX273">
        <v>129763493</v>
      </c>
      <c r="AY273">
        <v>1</v>
      </c>
      <c r="AZ273">
        <v>0</v>
      </c>
      <c r="BA273">
        <v>279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ROUND(Y273*Source!I280,9)</f>
        <v>9.1942500000000003</v>
      </c>
      <c r="CY273">
        <f>AD273</f>
        <v>0</v>
      </c>
      <c r="CZ273">
        <f>AH273</f>
        <v>0</v>
      </c>
      <c r="DA273">
        <f>AL273</f>
        <v>1</v>
      </c>
      <c r="DB273">
        <f>ROUND((ROUND(AT273*CZ273,2)*1.15),6)</f>
        <v>0</v>
      </c>
      <c r="DC273">
        <f>ROUND((ROUND(AT273*AG273,2)*1.15),6)</f>
        <v>0</v>
      </c>
      <c r="DD273" t="s">
        <v>3</v>
      </c>
      <c r="DE273" t="s">
        <v>3</v>
      </c>
      <c r="DF273">
        <f t="shared" si="101"/>
        <v>0</v>
      </c>
      <c r="DG273">
        <f t="shared" si="93"/>
        <v>0</v>
      </c>
      <c r="DH273">
        <f t="shared" si="94"/>
        <v>0</v>
      </c>
      <c r="DI273">
        <f t="shared" si="100"/>
        <v>0</v>
      </c>
      <c r="DJ273">
        <f>DI273</f>
        <v>0</v>
      </c>
      <c r="DK273">
        <v>0</v>
      </c>
    </row>
    <row r="274" spans="1:115" x14ac:dyDescent="0.2">
      <c r="A274">
        <f>ROW(Source!A280)</f>
        <v>280</v>
      </c>
      <c r="B274">
        <v>129761633</v>
      </c>
      <c r="C274">
        <v>129763484</v>
      </c>
      <c r="D274">
        <v>37417960</v>
      </c>
      <c r="E274">
        <v>1</v>
      </c>
      <c r="F274">
        <v>1</v>
      </c>
      <c r="G274">
        <v>37345137</v>
      </c>
      <c r="H274">
        <v>2</v>
      </c>
      <c r="I274" t="s">
        <v>1243</v>
      </c>
      <c r="J274" t="s">
        <v>1244</v>
      </c>
      <c r="K274" t="s">
        <v>1245</v>
      </c>
      <c r="L274">
        <v>1367</v>
      </c>
      <c r="N274">
        <v>1011</v>
      </c>
      <c r="O274" t="s">
        <v>1102</v>
      </c>
      <c r="P274" t="s">
        <v>1102</v>
      </c>
      <c r="Q274">
        <v>1</v>
      </c>
      <c r="W274">
        <v>0</v>
      </c>
      <c r="X274">
        <v>-286093136</v>
      </c>
      <c r="Y274">
        <f>(AT274*1.25)</f>
        <v>5.875</v>
      </c>
      <c r="AA274">
        <v>0</v>
      </c>
      <c r="AB274">
        <v>482.88</v>
      </c>
      <c r="AC274">
        <v>333.26</v>
      </c>
      <c r="AD274">
        <v>0</v>
      </c>
      <c r="AE274">
        <v>0</v>
      </c>
      <c r="AF274">
        <v>19.260000000000002</v>
      </c>
      <c r="AG274">
        <v>11.2</v>
      </c>
      <c r="AH274">
        <v>0</v>
      </c>
      <c r="AI274">
        <v>1</v>
      </c>
      <c r="AJ274">
        <v>24.46</v>
      </c>
      <c r="AK274">
        <v>29.03</v>
      </c>
      <c r="AL274">
        <v>1</v>
      </c>
      <c r="AN274">
        <v>0</v>
      </c>
      <c r="AO274">
        <v>1</v>
      </c>
      <c r="AP274">
        <v>1</v>
      </c>
      <c r="AQ274">
        <v>0</v>
      </c>
      <c r="AR274">
        <v>0</v>
      </c>
      <c r="AS274" t="s">
        <v>3</v>
      </c>
      <c r="AT274">
        <v>4.7</v>
      </c>
      <c r="AU274" t="s">
        <v>86</v>
      </c>
      <c r="AV274">
        <v>0</v>
      </c>
      <c r="AW274">
        <v>2</v>
      </c>
      <c r="AX274">
        <v>129763494</v>
      </c>
      <c r="AY274">
        <v>1</v>
      </c>
      <c r="AZ274">
        <v>0</v>
      </c>
      <c r="BA274">
        <v>280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ROUND(Y274*Source!I280,9)</f>
        <v>0.72262499999999996</v>
      </c>
      <c r="CY274">
        <f>AB274</f>
        <v>482.88</v>
      </c>
      <c r="CZ274">
        <f>AF274</f>
        <v>19.260000000000002</v>
      </c>
      <c r="DA274">
        <f>AJ274</f>
        <v>24.46</v>
      </c>
      <c r="DB274">
        <f>ROUND((ROUND(AT274*CZ274,2)*1.25),6)</f>
        <v>113.15</v>
      </c>
      <c r="DC274">
        <f>ROUND((ROUND(AT274*AG274,2)*1.25),6)</f>
        <v>65.8</v>
      </c>
      <c r="DD274" t="s">
        <v>3</v>
      </c>
      <c r="DE274" t="s">
        <v>3</v>
      </c>
      <c r="DF274">
        <f t="shared" si="101"/>
        <v>0</v>
      </c>
      <c r="DG274">
        <f>ROUND(ROUND(AF274*CX274,2)*AJ274,2)</f>
        <v>340.48</v>
      </c>
      <c r="DH274">
        <f>ROUND(ROUND(AG274*CX274,2)*AK274,2)</f>
        <v>234.85</v>
      </c>
      <c r="DI274">
        <f t="shared" si="100"/>
        <v>0</v>
      </c>
      <c r="DJ274">
        <f>DG274</f>
        <v>340.48</v>
      </c>
      <c r="DK274">
        <v>0</v>
      </c>
    </row>
    <row r="275" spans="1:115" x14ac:dyDescent="0.2">
      <c r="A275">
        <f>ROW(Source!A280)</f>
        <v>280</v>
      </c>
      <c r="B275">
        <v>129761633</v>
      </c>
      <c r="C275">
        <v>129763484</v>
      </c>
      <c r="D275">
        <v>37345890</v>
      </c>
      <c r="E275">
        <v>37345137</v>
      </c>
      <c r="F275">
        <v>1</v>
      </c>
      <c r="G275">
        <v>37345137</v>
      </c>
      <c r="H275">
        <v>2</v>
      </c>
      <c r="I275" t="s">
        <v>1145</v>
      </c>
      <c r="J275" t="s">
        <v>3</v>
      </c>
      <c r="K275" t="s">
        <v>1146</v>
      </c>
      <c r="L275">
        <v>1344</v>
      </c>
      <c r="N275">
        <v>1008</v>
      </c>
      <c r="O275" t="s">
        <v>1138</v>
      </c>
      <c r="P275" t="s">
        <v>1138</v>
      </c>
      <c r="Q275">
        <v>1</v>
      </c>
      <c r="W275">
        <v>0</v>
      </c>
      <c r="X275">
        <v>-1180195794</v>
      </c>
      <c r="Y275">
        <f>(AT275*1.25)</f>
        <v>32.549999999999997</v>
      </c>
      <c r="AA275">
        <v>0</v>
      </c>
      <c r="AB275">
        <v>1.03</v>
      </c>
      <c r="AC275">
        <v>0</v>
      </c>
      <c r="AD275">
        <v>0</v>
      </c>
      <c r="AE275">
        <v>0</v>
      </c>
      <c r="AF275">
        <v>1</v>
      </c>
      <c r="AG275">
        <v>0</v>
      </c>
      <c r="AH275">
        <v>0</v>
      </c>
      <c r="AI275">
        <v>1</v>
      </c>
      <c r="AJ275">
        <v>1</v>
      </c>
      <c r="AK275">
        <v>1</v>
      </c>
      <c r="AL275">
        <v>1</v>
      </c>
      <c r="AN275">
        <v>0</v>
      </c>
      <c r="AO275">
        <v>1</v>
      </c>
      <c r="AP275">
        <v>1</v>
      </c>
      <c r="AQ275">
        <v>0</v>
      </c>
      <c r="AR275">
        <v>0</v>
      </c>
      <c r="AS275" t="s">
        <v>3</v>
      </c>
      <c r="AT275">
        <v>26.04</v>
      </c>
      <c r="AU275" t="s">
        <v>86</v>
      </c>
      <c r="AV275">
        <v>0</v>
      </c>
      <c r="AW275">
        <v>2</v>
      </c>
      <c r="AX275">
        <v>129763495</v>
      </c>
      <c r="AY275">
        <v>1</v>
      </c>
      <c r="AZ275">
        <v>0</v>
      </c>
      <c r="BA275">
        <v>281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ROUND(Y275*Source!I280,9)</f>
        <v>4.0036500000000004</v>
      </c>
      <c r="CY275">
        <f>AB275</f>
        <v>1.03</v>
      </c>
      <c r="CZ275">
        <f>AF275</f>
        <v>1</v>
      </c>
      <c r="DA275">
        <f>AJ275</f>
        <v>1</v>
      </c>
      <c r="DB275">
        <f>ROUND((ROUND(AT275*CZ275,2)*1.25),6)</f>
        <v>32.549999999999997</v>
      </c>
      <c r="DC275">
        <f>ROUND((ROUND(AT275*AG275,2)*1.25),6)</f>
        <v>0</v>
      </c>
      <c r="DD275" t="s">
        <v>3</v>
      </c>
      <c r="DE275" t="s">
        <v>3</v>
      </c>
      <c r="DF275">
        <f t="shared" si="101"/>
        <v>0</v>
      </c>
      <c r="DG275">
        <f t="shared" ref="DG275:DG306" si="102">ROUND(AF275*CX275,2)</f>
        <v>4</v>
      </c>
      <c r="DH275">
        <f t="shared" ref="DH275:DH306" si="103">ROUND(AG275*CX275,2)</f>
        <v>0</v>
      </c>
      <c r="DI275">
        <f t="shared" si="100"/>
        <v>0</v>
      </c>
      <c r="DJ275">
        <f>DG275</f>
        <v>4</v>
      </c>
      <c r="DK275">
        <v>0</v>
      </c>
    </row>
    <row r="276" spans="1:115" x14ac:dyDescent="0.2">
      <c r="A276">
        <f>ROW(Source!A280)</f>
        <v>280</v>
      </c>
      <c r="B276">
        <v>129761633</v>
      </c>
      <c r="C276">
        <v>129763484</v>
      </c>
      <c r="D276">
        <v>37394350</v>
      </c>
      <c r="E276">
        <v>1</v>
      </c>
      <c r="F276">
        <v>1</v>
      </c>
      <c r="G276">
        <v>37345137</v>
      </c>
      <c r="H276">
        <v>3</v>
      </c>
      <c r="I276" t="s">
        <v>1246</v>
      </c>
      <c r="J276" t="s">
        <v>1247</v>
      </c>
      <c r="K276" t="s">
        <v>1248</v>
      </c>
      <c r="L276">
        <v>1327</v>
      </c>
      <c r="N276">
        <v>1005</v>
      </c>
      <c r="O276" t="s">
        <v>258</v>
      </c>
      <c r="P276" t="s">
        <v>258</v>
      </c>
      <c r="Q276">
        <v>1</v>
      </c>
      <c r="W276">
        <v>0</v>
      </c>
      <c r="X276">
        <v>1732130389</v>
      </c>
      <c r="Y276">
        <f>AT276</f>
        <v>2.77</v>
      </c>
      <c r="AA276">
        <v>793.36</v>
      </c>
      <c r="AB276">
        <v>0</v>
      </c>
      <c r="AC276">
        <v>0</v>
      </c>
      <c r="AD276">
        <v>0</v>
      </c>
      <c r="AE276">
        <v>33.56</v>
      </c>
      <c r="AF276">
        <v>0</v>
      </c>
      <c r="AG276">
        <v>0</v>
      </c>
      <c r="AH276">
        <v>0</v>
      </c>
      <c r="AI276">
        <v>23.64</v>
      </c>
      <c r="AJ276">
        <v>1</v>
      </c>
      <c r="AK276">
        <v>1</v>
      </c>
      <c r="AL276">
        <v>1</v>
      </c>
      <c r="AN276">
        <v>0</v>
      </c>
      <c r="AO276">
        <v>1</v>
      </c>
      <c r="AP276">
        <v>0</v>
      </c>
      <c r="AQ276">
        <v>0</v>
      </c>
      <c r="AR276">
        <v>0</v>
      </c>
      <c r="AS276" t="s">
        <v>3</v>
      </c>
      <c r="AT276">
        <v>2.77</v>
      </c>
      <c r="AU276" t="s">
        <v>3</v>
      </c>
      <c r="AV276">
        <v>0</v>
      </c>
      <c r="AW276">
        <v>2</v>
      </c>
      <c r="AX276">
        <v>129763497</v>
      </c>
      <c r="AY276">
        <v>1</v>
      </c>
      <c r="AZ276">
        <v>0</v>
      </c>
      <c r="BA276">
        <v>283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ROUND(Y276*Source!I280,9)</f>
        <v>0.34071000000000001</v>
      </c>
      <c r="CY276">
        <f>AA276</f>
        <v>793.36</v>
      </c>
      <c r="CZ276">
        <f>AE276</f>
        <v>33.56</v>
      </c>
      <c r="DA276">
        <f>AI276</f>
        <v>23.64</v>
      </c>
      <c r="DB276">
        <f>ROUND(ROUND(AT276*CZ276,2),6)</f>
        <v>92.96</v>
      </c>
      <c r="DC276">
        <f>ROUND(ROUND(AT276*AG276,2),6)</f>
        <v>0</v>
      </c>
      <c r="DD276" t="s">
        <v>3</v>
      </c>
      <c r="DE276" t="s">
        <v>3</v>
      </c>
      <c r="DF276">
        <f>ROUND(ROUND(AE276*CX276,2)*AI276,2)</f>
        <v>270.20999999999998</v>
      </c>
      <c r="DG276">
        <f t="shared" si="102"/>
        <v>0</v>
      </c>
      <c r="DH276">
        <f t="shared" si="103"/>
        <v>0</v>
      </c>
      <c r="DI276">
        <f t="shared" si="100"/>
        <v>0</v>
      </c>
      <c r="DJ276">
        <f>DF276</f>
        <v>270.20999999999998</v>
      </c>
      <c r="DK276">
        <v>0</v>
      </c>
    </row>
    <row r="277" spans="1:115" x14ac:dyDescent="0.2">
      <c r="A277">
        <f>ROW(Source!A280)</f>
        <v>280</v>
      </c>
      <c r="B277">
        <v>129761633</v>
      </c>
      <c r="C277">
        <v>129763484</v>
      </c>
      <c r="D277">
        <v>37393552</v>
      </c>
      <c r="E277">
        <v>1</v>
      </c>
      <c r="F277">
        <v>1</v>
      </c>
      <c r="G277">
        <v>37345137</v>
      </c>
      <c r="H277">
        <v>3</v>
      </c>
      <c r="I277" t="s">
        <v>348</v>
      </c>
      <c r="J277" t="s">
        <v>350</v>
      </c>
      <c r="K277" t="s">
        <v>349</v>
      </c>
      <c r="L277">
        <v>1339</v>
      </c>
      <c r="N277">
        <v>1007</v>
      </c>
      <c r="O277" t="s">
        <v>94</v>
      </c>
      <c r="P277" t="s">
        <v>94</v>
      </c>
      <c r="Q277">
        <v>1</v>
      </c>
      <c r="W277">
        <v>0</v>
      </c>
      <c r="X277">
        <v>-862991314</v>
      </c>
      <c r="Y277">
        <f>AT277</f>
        <v>8.4000000000000005E-2</v>
      </c>
      <c r="AA277">
        <v>42.42</v>
      </c>
      <c r="AB277">
        <v>0</v>
      </c>
      <c r="AC277">
        <v>0</v>
      </c>
      <c r="AD277">
        <v>0</v>
      </c>
      <c r="AE277">
        <v>7.07</v>
      </c>
      <c r="AF277">
        <v>0</v>
      </c>
      <c r="AG277">
        <v>0</v>
      </c>
      <c r="AH277">
        <v>0</v>
      </c>
      <c r="AI277">
        <v>6</v>
      </c>
      <c r="AJ277">
        <v>1</v>
      </c>
      <c r="AK277">
        <v>1</v>
      </c>
      <c r="AL277">
        <v>1</v>
      </c>
      <c r="AN277">
        <v>0</v>
      </c>
      <c r="AO277">
        <v>0</v>
      </c>
      <c r="AP277">
        <v>0</v>
      </c>
      <c r="AQ277">
        <v>0</v>
      </c>
      <c r="AR277">
        <v>0</v>
      </c>
      <c r="AS277" t="s">
        <v>3</v>
      </c>
      <c r="AT277">
        <v>8.4000000000000005E-2</v>
      </c>
      <c r="AU277" t="s">
        <v>3</v>
      </c>
      <c r="AV277">
        <v>0</v>
      </c>
      <c r="AW277">
        <v>1</v>
      </c>
      <c r="AX277">
        <v>-1</v>
      </c>
      <c r="AY277">
        <v>0</v>
      </c>
      <c r="AZ277">
        <v>0</v>
      </c>
      <c r="BA277" t="s">
        <v>3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ROUND(Y277*Source!I280,9)</f>
        <v>1.0331999999999999E-2</v>
      </c>
      <c r="CY277">
        <f>AA277</f>
        <v>42.42</v>
      </c>
      <c r="CZ277">
        <f>AE277</f>
        <v>7.07</v>
      </c>
      <c r="DA277">
        <f>AI277</f>
        <v>6</v>
      </c>
      <c r="DB277">
        <f>ROUND(ROUND(AT277*CZ277,2),6)</f>
        <v>0.59</v>
      </c>
      <c r="DC277">
        <f>ROUND(ROUND(AT277*AG277,2),6)</f>
        <v>0</v>
      </c>
      <c r="DD277" t="s">
        <v>3</v>
      </c>
      <c r="DE277" t="s">
        <v>3</v>
      </c>
      <c r="DF277">
        <f>ROUND(ROUND(AE277*CX277,2)*AI277,2)</f>
        <v>0.42</v>
      </c>
      <c r="DG277">
        <f t="shared" si="102"/>
        <v>0</v>
      </c>
      <c r="DH277">
        <f t="shared" si="103"/>
        <v>0</v>
      </c>
      <c r="DI277">
        <f t="shared" si="100"/>
        <v>0</v>
      </c>
      <c r="DJ277">
        <f>DF277</f>
        <v>0.42</v>
      </c>
      <c r="DK277">
        <v>0</v>
      </c>
    </row>
    <row r="278" spans="1:115" x14ac:dyDescent="0.2">
      <c r="A278">
        <f>ROW(Source!A280)</f>
        <v>280</v>
      </c>
      <c r="B278">
        <v>129761633</v>
      </c>
      <c r="C278">
        <v>129763484</v>
      </c>
      <c r="D278">
        <v>37412070</v>
      </c>
      <c r="E278">
        <v>1</v>
      </c>
      <c r="F278">
        <v>1</v>
      </c>
      <c r="G278">
        <v>37345137</v>
      </c>
      <c r="H278">
        <v>3</v>
      </c>
      <c r="I278" t="s">
        <v>319</v>
      </c>
      <c r="J278" t="s">
        <v>321</v>
      </c>
      <c r="K278" t="s">
        <v>320</v>
      </c>
      <c r="L278">
        <v>1339</v>
      </c>
      <c r="N278">
        <v>1007</v>
      </c>
      <c r="O278" t="s">
        <v>94</v>
      </c>
      <c r="P278" t="s">
        <v>94</v>
      </c>
      <c r="Q278">
        <v>1</v>
      </c>
      <c r="W278">
        <v>0</v>
      </c>
      <c r="X278">
        <v>202608499</v>
      </c>
      <c r="Y278">
        <f>AT278</f>
        <v>1.208</v>
      </c>
      <c r="AA278">
        <v>4542.34</v>
      </c>
      <c r="AB278">
        <v>0</v>
      </c>
      <c r="AC278">
        <v>0</v>
      </c>
      <c r="AD278">
        <v>0</v>
      </c>
      <c r="AE278">
        <v>481.69</v>
      </c>
      <c r="AF278">
        <v>0</v>
      </c>
      <c r="AG278">
        <v>0</v>
      </c>
      <c r="AH278">
        <v>0</v>
      </c>
      <c r="AI278">
        <v>9.43</v>
      </c>
      <c r="AJ278">
        <v>1</v>
      </c>
      <c r="AK278">
        <v>1</v>
      </c>
      <c r="AL278">
        <v>1</v>
      </c>
      <c r="AN278">
        <v>0</v>
      </c>
      <c r="AO278">
        <v>0</v>
      </c>
      <c r="AP278">
        <v>0</v>
      </c>
      <c r="AQ278">
        <v>0</v>
      </c>
      <c r="AR278">
        <v>0</v>
      </c>
      <c r="AS278" t="s">
        <v>3</v>
      </c>
      <c r="AT278">
        <v>1.208</v>
      </c>
      <c r="AU278" t="s">
        <v>3</v>
      </c>
      <c r="AV278">
        <v>0</v>
      </c>
      <c r="AW278">
        <v>1</v>
      </c>
      <c r="AX278">
        <v>-1</v>
      </c>
      <c r="AY278">
        <v>0</v>
      </c>
      <c r="AZ278">
        <v>0</v>
      </c>
      <c r="BA278" t="s">
        <v>3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ROUND(Y278*Source!I280,9)</f>
        <v>0.14858399999999999</v>
      </c>
      <c r="CY278">
        <f>AA278</f>
        <v>4542.34</v>
      </c>
      <c r="CZ278">
        <f>AE278</f>
        <v>481.69</v>
      </c>
      <c r="DA278">
        <f>AI278</f>
        <v>9.43</v>
      </c>
      <c r="DB278">
        <f>ROUND(ROUND(AT278*CZ278,2),6)</f>
        <v>581.88</v>
      </c>
      <c r="DC278">
        <f>ROUND(ROUND(AT278*AG278,2),6)</f>
        <v>0</v>
      </c>
      <c r="DD278" t="s">
        <v>3</v>
      </c>
      <c r="DE278" t="s">
        <v>3</v>
      </c>
      <c r="DF278">
        <f>ROUND(ROUND(AE278*CX278,2)*AI278,2)</f>
        <v>674.91</v>
      </c>
      <c r="DG278">
        <f t="shared" si="102"/>
        <v>0</v>
      </c>
      <c r="DH278">
        <f t="shared" si="103"/>
        <v>0</v>
      </c>
      <c r="DI278">
        <f t="shared" si="100"/>
        <v>0</v>
      </c>
      <c r="DJ278">
        <f>DF278</f>
        <v>674.91</v>
      </c>
      <c r="DK278">
        <v>0</v>
      </c>
    </row>
    <row r="279" spans="1:115" x14ac:dyDescent="0.2">
      <c r="A279">
        <f>ROW(Source!A280)</f>
        <v>280</v>
      </c>
      <c r="B279">
        <v>129761633</v>
      </c>
      <c r="C279">
        <v>129763484</v>
      </c>
      <c r="D279">
        <v>37412082</v>
      </c>
      <c r="E279">
        <v>1</v>
      </c>
      <c r="F279">
        <v>1</v>
      </c>
      <c r="G279">
        <v>37345137</v>
      </c>
      <c r="H279">
        <v>3</v>
      </c>
      <c r="I279" t="s">
        <v>352</v>
      </c>
      <c r="J279" t="s">
        <v>353</v>
      </c>
      <c r="K279" t="s">
        <v>1563</v>
      </c>
      <c r="L279">
        <v>1348</v>
      </c>
      <c r="N279">
        <v>1009</v>
      </c>
      <c r="O279" t="s">
        <v>114</v>
      </c>
      <c r="P279" t="s">
        <v>114</v>
      </c>
      <c r="Q279">
        <v>1000</v>
      </c>
      <c r="W279">
        <v>0</v>
      </c>
      <c r="X279">
        <v>-939349861</v>
      </c>
      <c r="Y279">
        <f>AT279</f>
        <v>0.48</v>
      </c>
      <c r="AA279">
        <v>8935.4</v>
      </c>
      <c r="AB279">
        <v>0</v>
      </c>
      <c r="AC279">
        <v>0</v>
      </c>
      <c r="AD279">
        <v>0</v>
      </c>
      <c r="AE279">
        <v>1823.55</v>
      </c>
      <c r="AF279">
        <v>0</v>
      </c>
      <c r="AG279">
        <v>0</v>
      </c>
      <c r="AH279">
        <v>0</v>
      </c>
      <c r="AI279">
        <v>4.9000000000000004</v>
      </c>
      <c r="AJ279">
        <v>1</v>
      </c>
      <c r="AK279">
        <v>1</v>
      </c>
      <c r="AL279">
        <v>1</v>
      </c>
      <c r="AN279">
        <v>0</v>
      </c>
      <c r="AO279">
        <v>0</v>
      </c>
      <c r="AP279">
        <v>0</v>
      </c>
      <c r="AQ279">
        <v>0</v>
      </c>
      <c r="AR279">
        <v>0</v>
      </c>
      <c r="AS279" t="s">
        <v>3</v>
      </c>
      <c r="AT279">
        <v>0.48</v>
      </c>
      <c r="AU279" t="s">
        <v>3</v>
      </c>
      <c r="AV279">
        <v>0</v>
      </c>
      <c r="AW279">
        <v>1</v>
      </c>
      <c r="AX279">
        <v>-1</v>
      </c>
      <c r="AY279">
        <v>0</v>
      </c>
      <c r="AZ279">
        <v>0</v>
      </c>
      <c r="BA279" t="s">
        <v>3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ROUND(Y279*Source!I280,9)</f>
        <v>5.9040000000000002E-2</v>
      </c>
      <c r="CY279">
        <f>AA279</f>
        <v>8935.4</v>
      </c>
      <c r="CZ279">
        <f>AE279</f>
        <v>1823.55</v>
      </c>
      <c r="DA279">
        <f>AI279</f>
        <v>4.9000000000000004</v>
      </c>
      <c r="DB279">
        <f>ROUND(ROUND(AT279*CZ279,2),6)</f>
        <v>875.3</v>
      </c>
      <c r="DC279">
        <f>ROUND(ROUND(AT279*AG279,2),6)</f>
        <v>0</v>
      </c>
      <c r="DD279" t="s">
        <v>3</v>
      </c>
      <c r="DE279" t="s">
        <v>3</v>
      </c>
      <c r="DF279">
        <f>ROUND(ROUND(AE279*CX279,2)*AI279,2)</f>
        <v>527.53</v>
      </c>
      <c r="DG279">
        <f t="shared" si="102"/>
        <v>0</v>
      </c>
      <c r="DH279">
        <f t="shared" si="103"/>
        <v>0</v>
      </c>
      <c r="DI279">
        <f t="shared" si="100"/>
        <v>0</v>
      </c>
      <c r="DJ279">
        <f>DF279</f>
        <v>527.53</v>
      </c>
      <c r="DK279">
        <v>0</v>
      </c>
    </row>
    <row r="280" spans="1:115" x14ac:dyDescent="0.2">
      <c r="A280">
        <f>ROW(Source!A280)</f>
        <v>280</v>
      </c>
      <c r="B280">
        <v>129761633</v>
      </c>
      <c r="C280">
        <v>129763484</v>
      </c>
      <c r="D280">
        <v>37367082</v>
      </c>
      <c r="E280">
        <v>37345137</v>
      </c>
      <c r="F280">
        <v>1</v>
      </c>
      <c r="G280">
        <v>37345137</v>
      </c>
      <c r="H280">
        <v>3</v>
      </c>
      <c r="I280" t="s">
        <v>1136</v>
      </c>
      <c r="J280" t="s">
        <v>3</v>
      </c>
      <c r="K280" t="s">
        <v>1137</v>
      </c>
      <c r="L280">
        <v>1344</v>
      </c>
      <c r="N280">
        <v>1008</v>
      </c>
      <c r="O280" t="s">
        <v>1138</v>
      </c>
      <c r="P280" t="s">
        <v>1138</v>
      </c>
      <c r="Q280">
        <v>1</v>
      </c>
      <c r="W280">
        <v>0</v>
      </c>
      <c r="X280">
        <v>-94250534</v>
      </c>
      <c r="Y280">
        <f>AT280</f>
        <v>2.25</v>
      </c>
      <c r="AA280">
        <v>8.65</v>
      </c>
      <c r="AB280">
        <v>0</v>
      </c>
      <c r="AC280">
        <v>0</v>
      </c>
      <c r="AD280">
        <v>0</v>
      </c>
      <c r="AE280">
        <v>1</v>
      </c>
      <c r="AF280">
        <v>0</v>
      </c>
      <c r="AG280">
        <v>0</v>
      </c>
      <c r="AH280">
        <v>0</v>
      </c>
      <c r="AI280">
        <v>8.65</v>
      </c>
      <c r="AJ280">
        <v>1</v>
      </c>
      <c r="AK280">
        <v>1</v>
      </c>
      <c r="AL280">
        <v>1</v>
      </c>
      <c r="AN280">
        <v>0</v>
      </c>
      <c r="AO280">
        <v>1</v>
      </c>
      <c r="AP280">
        <v>0</v>
      </c>
      <c r="AQ280">
        <v>0</v>
      </c>
      <c r="AR280">
        <v>0</v>
      </c>
      <c r="AS280" t="s">
        <v>3</v>
      </c>
      <c r="AT280">
        <v>2.25</v>
      </c>
      <c r="AU280" t="s">
        <v>3</v>
      </c>
      <c r="AV280">
        <v>0</v>
      </c>
      <c r="AW280">
        <v>2</v>
      </c>
      <c r="AX280">
        <v>129763500</v>
      </c>
      <c r="AY280">
        <v>1</v>
      </c>
      <c r="AZ280">
        <v>0</v>
      </c>
      <c r="BA280">
        <v>286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ROUND(Y280*Source!I280,9)</f>
        <v>0.27675</v>
      </c>
      <c r="CY280">
        <f>AA280</f>
        <v>8.65</v>
      </c>
      <c r="CZ280">
        <f>AE280</f>
        <v>1</v>
      </c>
      <c r="DA280">
        <f>AI280</f>
        <v>8.65</v>
      </c>
      <c r="DB280">
        <f>ROUND(ROUND(AT280*CZ280,2),6)</f>
        <v>2.25</v>
      </c>
      <c r="DC280">
        <f>ROUND(ROUND(AT280*AG280,2),6)</f>
        <v>0</v>
      </c>
      <c r="DD280" t="s">
        <v>3</v>
      </c>
      <c r="DE280" t="s">
        <v>3</v>
      </c>
      <c r="DF280">
        <f>ROUND(ROUND(AE280*CX280,2)*AI280,2)</f>
        <v>2.42</v>
      </c>
      <c r="DG280">
        <f t="shared" si="102"/>
        <v>0</v>
      </c>
      <c r="DH280">
        <f t="shared" si="103"/>
        <v>0</v>
      </c>
      <c r="DI280">
        <f t="shared" si="100"/>
        <v>0</v>
      </c>
      <c r="DJ280">
        <f>DF280</f>
        <v>2.42</v>
      </c>
      <c r="DK280">
        <v>0</v>
      </c>
    </row>
    <row r="281" spans="1:115" x14ac:dyDescent="0.2">
      <c r="A281">
        <f>ROW(Source!A287)</f>
        <v>287</v>
      </c>
      <c r="B281">
        <v>129761636</v>
      </c>
      <c r="C281">
        <v>129763504</v>
      </c>
      <c r="D281">
        <v>37345142</v>
      </c>
      <c r="E281">
        <v>37345137</v>
      </c>
      <c r="F281">
        <v>1</v>
      </c>
      <c r="G281">
        <v>37345137</v>
      </c>
      <c r="H281">
        <v>1</v>
      </c>
      <c r="I281" t="s">
        <v>1096</v>
      </c>
      <c r="J281" t="s">
        <v>3</v>
      </c>
      <c r="K281" t="s">
        <v>1097</v>
      </c>
      <c r="L281">
        <v>1191</v>
      </c>
      <c r="N281">
        <v>1013</v>
      </c>
      <c r="O281" t="s">
        <v>1098</v>
      </c>
      <c r="P281" t="s">
        <v>1098</v>
      </c>
      <c r="Q281">
        <v>1</v>
      </c>
      <c r="W281">
        <v>0</v>
      </c>
      <c r="X281">
        <v>476480486</v>
      </c>
      <c r="Y281">
        <f>(AT281*1.15)</f>
        <v>44.849999999999994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1</v>
      </c>
      <c r="AJ281">
        <v>1</v>
      </c>
      <c r="AK281">
        <v>1</v>
      </c>
      <c r="AL281">
        <v>1</v>
      </c>
      <c r="AN281">
        <v>0</v>
      </c>
      <c r="AO281">
        <v>1</v>
      </c>
      <c r="AP281">
        <v>1</v>
      </c>
      <c r="AQ281">
        <v>0</v>
      </c>
      <c r="AR281">
        <v>0</v>
      </c>
      <c r="AS281" t="s">
        <v>3</v>
      </c>
      <c r="AT281">
        <v>39</v>
      </c>
      <c r="AU281" t="s">
        <v>87</v>
      </c>
      <c r="AV281">
        <v>1</v>
      </c>
      <c r="AW281">
        <v>2</v>
      </c>
      <c r="AX281">
        <v>129763511</v>
      </c>
      <c r="AY281">
        <v>1</v>
      </c>
      <c r="AZ281">
        <v>0</v>
      </c>
      <c r="BA281">
        <v>287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ROUND(Y281*Source!I287,9)</f>
        <v>7.2208500000000004</v>
      </c>
      <c r="CY281">
        <f>AD281</f>
        <v>0</v>
      </c>
      <c r="CZ281">
        <f>AH281</f>
        <v>0</v>
      </c>
      <c r="DA281">
        <f>AL281</f>
        <v>1</v>
      </c>
      <c r="DB281">
        <f>ROUND((ROUND(AT281*CZ281,2)*1.15),6)</f>
        <v>0</v>
      </c>
      <c r="DC281">
        <f>ROUND((ROUND(AT281*AG281,2)*1.15),6)</f>
        <v>0</v>
      </c>
      <c r="DD281" t="s">
        <v>3</v>
      </c>
      <c r="DE281" t="s">
        <v>3</v>
      </c>
      <c r="DF281">
        <f t="shared" ref="DF281:DF288" si="104">ROUND(AE281*CX281,2)</f>
        <v>0</v>
      </c>
      <c r="DG281">
        <f t="shared" si="102"/>
        <v>0</v>
      </c>
      <c r="DH281">
        <f t="shared" si="103"/>
        <v>0</v>
      </c>
      <c r="DI281">
        <f t="shared" si="100"/>
        <v>0</v>
      </c>
      <c r="DJ281">
        <f>DI281</f>
        <v>0</v>
      </c>
      <c r="DK281">
        <v>0</v>
      </c>
    </row>
    <row r="282" spans="1:115" x14ac:dyDescent="0.2">
      <c r="A282">
        <f>ROW(Source!A287)</f>
        <v>287</v>
      </c>
      <c r="B282">
        <v>129761636</v>
      </c>
      <c r="C282">
        <v>129763504</v>
      </c>
      <c r="D282">
        <v>37345890</v>
      </c>
      <c r="E282">
        <v>37345137</v>
      </c>
      <c r="F282">
        <v>1</v>
      </c>
      <c r="G282">
        <v>37345137</v>
      </c>
      <c r="H282">
        <v>2</v>
      </c>
      <c r="I282" t="s">
        <v>1145</v>
      </c>
      <c r="J282" t="s">
        <v>3</v>
      </c>
      <c r="K282" t="s">
        <v>1146</v>
      </c>
      <c r="L282">
        <v>1344</v>
      </c>
      <c r="N282">
        <v>1008</v>
      </c>
      <c r="O282" t="s">
        <v>1138</v>
      </c>
      <c r="P282" t="s">
        <v>1138</v>
      </c>
      <c r="Q282">
        <v>1</v>
      </c>
      <c r="W282">
        <v>0</v>
      </c>
      <c r="X282">
        <v>-1180195794</v>
      </c>
      <c r="Y282">
        <f>(AT282*1.25)</f>
        <v>36.287500000000001</v>
      </c>
      <c r="AA282">
        <v>0</v>
      </c>
      <c r="AB282">
        <v>1</v>
      </c>
      <c r="AC282">
        <v>0</v>
      </c>
      <c r="AD282">
        <v>0</v>
      </c>
      <c r="AE282">
        <v>0</v>
      </c>
      <c r="AF282">
        <v>1</v>
      </c>
      <c r="AG282">
        <v>0</v>
      </c>
      <c r="AH282">
        <v>0</v>
      </c>
      <c r="AI282">
        <v>1</v>
      </c>
      <c r="AJ282">
        <v>1</v>
      </c>
      <c r="AK282">
        <v>1</v>
      </c>
      <c r="AL282">
        <v>1</v>
      </c>
      <c r="AN282">
        <v>0</v>
      </c>
      <c r="AO282">
        <v>1</v>
      </c>
      <c r="AP282">
        <v>1</v>
      </c>
      <c r="AQ282">
        <v>0</v>
      </c>
      <c r="AR282">
        <v>0</v>
      </c>
      <c r="AS282" t="s">
        <v>3</v>
      </c>
      <c r="AT282">
        <v>29.03</v>
      </c>
      <c r="AU282" t="s">
        <v>86</v>
      </c>
      <c r="AV282">
        <v>0</v>
      </c>
      <c r="AW282">
        <v>2</v>
      </c>
      <c r="AX282">
        <v>129763512</v>
      </c>
      <c r="AY282">
        <v>1</v>
      </c>
      <c r="AZ282">
        <v>0</v>
      </c>
      <c r="BA282">
        <v>288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ROUND(Y282*Source!I287,9)</f>
        <v>5.8422875000000003</v>
      </c>
      <c r="CY282">
        <f>AB282</f>
        <v>1</v>
      </c>
      <c r="CZ282">
        <f>AF282</f>
        <v>1</v>
      </c>
      <c r="DA282">
        <f>AJ282</f>
        <v>1</v>
      </c>
      <c r="DB282">
        <f>ROUND((ROUND(AT282*CZ282,2)*1.25),6)</f>
        <v>36.287500000000001</v>
      </c>
      <c r="DC282">
        <f>ROUND((ROUND(AT282*AG282,2)*1.25),6)</f>
        <v>0</v>
      </c>
      <c r="DD282" t="s">
        <v>3</v>
      </c>
      <c r="DE282" t="s">
        <v>3</v>
      </c>
      <c r="DF282">
        <f t="shared" si="104"/>
        <v>0</v>
      </c>
      <c r="DG282">
        <f t="shared" si="102"/>
        <v>5.84</v>
      </c>
      <c r="DH282">
        <f t="shared" si="103"/>
        <v>0</v>
      </c>
      <c r="DI282">
        <f t="shared" si="100"/>
        <v>0</v>
      </c>
      <c r="DJ282">
        <f>DG282</f>
        <v>5.84</v>
      </c>
      <c r="DK282">
        <v>0</v>
      </c>
    </row>
    <row r="283" spans="1:115" x14ac:dyDescent="0.2">
      <c r="A283">
        <f>ROW(Source!A287)</f>
        <v>287</v>
      </c>
      <c r="B283">
        <v>129761636</v>
      </c>
      <c r="C283">
        <v>129763504</v>
      </c>
      <c r="D283">
        <v>37394785</v>
      </c>
      <c r="E283">
        <v>1</v>
      </c>
      <c r="F283">
        <v>1</v>
      </c>
      <c r="G283">
        <v>37345137</v>
      </c>
      <c r="H283">
        <v>3</v>
      </c>
      <c r="I283" t="s">
        <v>363</v>
      </c>
      <c r="J283" t="s">
        <v>365</v>
      </c>
      <c r="K283" t="s">
        <v>364</v>
      </c>
      <c r="L283">
        <v>1348</v>
      </c>
      <c r="N283">
        <v>1009</v>
      </c>
      <c r="O283" t="s">
        <v>114</v>
      </c>
      <c r="P283" t="s">
        <v>114</v>
      </c>
      <c r="Q283">
        <v>1000</v>
      </c>
      <c r="W283">
        <v>0</v>
      </c>
      <c r="X283">
        <v>1793685401</v>
      </c>
      <c r="Y283">
        <f>AT283</f>
        <v>5.0999999999999997E-2</v>
      </c>
      <c r="AA283">
        <v>2278.84</v>
      </c>
      <c r="AB283">
        <v>0</v>
      </c>
      <c r="AC283">
        <v>0</v>
      </c>
      <c r="AD283">
        <v>0</v>
      </c>
      <c r="AE283">
        <v>2278.84</v>
      </c>
      <c r="AF283">
        <v>0</v>
      </c>
      <c r="AG283">
        <v>0</v>
      </c>
      <c r="AH283">
        <v>0</v>
      </c>
      <c r="AI283">
        <v>1</v>
      </c>
      <c r="AJ283">
        <v>1</v>
      </c>
      <c r="AK283">
        <v>1</v>
      </c>
      <c r="AL283">
        <v>1</v>
      </c>
      <c r="AN283">
        <v>0</v>
      </c>
      <c r="AO283">
        <v>0</v>
      </c>
      <c r="AP283">
        <v>0</v>
      </c>
      <c r="AQ283">
        <v>0</v>
      </c>
      <c r="AR283">
        <v>0</v>
      </c>
      <c r="AS283" t="s">
        <v>3</v>
      </c>
      <c r="AT283">
        <v>5.0999999999999997E-2</v>
      </c>
      <c r="AU283" t="s">
        <v>3</v>
      </c>
      <c r="AV283">
        <v>0</v>
      </c>
      <c r="AW283">
        <v>1</v>
      </c>
      <c r="AX283">
        <v>-1</v>
      </c>
      <c r="AY283">
        <v>0</v>
      </c>
      <c r="AZ283">
        <v>0</v>
      </c>
      <c r="BA283" t="s">
        <v>3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ROUND(Y283*Source!I287,9)</f>
        <v>8.2109999999999995E-3</v>
      </c>
      <c r="CY283">
        <f>AA283</f>
        <v>2278.84</v>
      </c>
      <c r="CZ283">
        <f>AE283</f>
        <v>2278.84</v>
      </c>
      <c r="DA283">
        <f>AI283</f>
        <v>1</v>
      </c>
      <c r="DB283">
        <f>ROUND(ROUND(AT283*CZ283,2),6)</f>
        <v>116.22</v>
      </c>
      <c r="DC283">
        <f>ROUND(ROUND(AT283*AG283,2),6)</f>
        <v>0</v>
      </c>
      <c r="DD283" t="s">
        <v>3</v>
      </c>
      <c r="DE283" t="s">
        <v>3</v>
      </c>
      <c r="DF283">
        <f t="shared" si="104"/>
        <v>18.71</v>
      </c>
      <c r="DG283">
        <f t="shared" si="102"/>
        <v>0</v>
      </c>
      <c r="DH283">
        <f t="shared" si="103"/>
        <v>0</v>
      </c>
      <c r="DI283">
        <f t="shared" si="100"/>
        <v>0</v>
      </c>
      <c r="DJ283">
        <f>DF283</f>
        <v>18.71</v>
      </c>
      <c r="DK283">
        <v>0</v>
      </c>
    </row>
    <row r="284" spans="1:115" x14ac:dyDescent="0.2">
      <c r="A284">
        <f>ROW(Source!A287)</f>
        <v>287</v>
      </c>
      <c r="B284">
        <v>129761636</v>
      </c>
      <c r="C284">
        <v>129763504</v>
      </c>
      <c r="D284">
        <v>37395390</v>
      </c>
      <c r="E284">
        <v>1</v>
      </c>
      <c r="F284">
        <v>1</v>
      </c>
      <c r="G284">
        <v>37345137</v>
      </c>
      <c r="H284">
        <v>3</v>
      </c>
      <c r="I284" t="s">
        <v>372</v>
      </c>
      <c r="J284" t="s">
        <v>373</v>
      </c>
      <c r="K284" t="s">
        <v>1564</v>
      </c>
      <c r="L284">
        <v>1348</v>
      </c>
      <c r="N284">
        <v>1009</v>
      </c>
      <c r="O284" t="s">
        <v>114</v>
      </c>
      <c r="P284" t="s">
        <v>114</v>
      </c>
      <c r="Q284">
        <v>1000</v>
      </c>
      <c r="W284">
        <v>0</v>
      </c>
      <c r="X284">
        <v>-781431118</v>
      </c>
      <c r="Y284">
        <f>AT284</f>
        <v>6.3E-2</v>
      </c>
      <c r="AA284">
        <v>33030.400000000001</v>
      </c>
      <c r="AB284">
        <v>0</v>
      </c>
      <c r="AC284">
        <v>0</v>
      </c>
      <c r="AD284">
        <v>0</v>
      </c>
      <c r="AE284">
        <v>33030.400000000001</v>
      </c>
      <c r="AF284">
        <v>0</v>
      </c>
      <c r="AG284">
        <v>0</v>
      </c>
      <c r="AH284">
        <v>0</v>
      </c>
      <c r="AI284">
        <v>1</v>
      </c>
      <c r="AJ284">
        <v>1</v>
      </c>
      <c r="AK284">
        <v>1</v>
      </c>
      <c r="AL284">
        <v>1</v>
      </c>
      <c r="AN284">
        <v>0</v>
      </c>
      <c r="AO284">
        <v>0</v>
      </c>
      <c r="AP284">
        <v>0</v>
      </c>
      <c r="AQ284">
        <v>0</v>
      </c>
      <c r="AR284">
        <v>0</v>
      </c>
      <c r="AS284" t="s">
        <v>3</v>
      </c>
      <c r="AT284">
        <v>6.3E-2</v>
      </c>
      <c r="AU284" t="s">
        <v>3</v>
      </c>
      <c r="AV284">
        <v>0</v>
      </c>
      <c r="AW284">
        <v>1</v>
      </c>
      <c r="AX284">
        <v>-1</v>
      </c>
      <c r="AY284">
        <v>0</v>
      </c>
      <c r="AZ284">
        <v>0</v>
      </c>
      <c r="BA284" t="s">
        <v>3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ROUND(Y284*Source!I287,9)</f>
        <v>1.0142999999999999E-2</v>
      </c>
      <c r="CY284">
        <f>AA284</f>
        <v>33030.400000000001</v>
      </c>
      <c r="CZ284">
        <f>AE284</f>
        <v>33030.400000000001</v>
      </c>
      <c r="DA284">
        <f>AI284</f>
        <v>1</v>
      </c>
      <c r="DB284">
        <f>ROUND(ROUND(AT284*CZ284,2),6)</f>
        <v>2080.92</v>
      </c>
      <c r="DC284">
        <f>ROUND(ROUND(AT284*AG284,2),6)</f>
        <v>0</v>
      </c>
      <c r="DD284" t="s">
        <v>3</v>
      </c>
      <c r="DE284" t="s">
        <v>3</v>
      </c>
      <c r="DF284">
        <f t="shared" si="104"/>
        <v>335.03</v>
      </c>
      <c r="DG284">
        <f t="shared" si="102"/>
        <v>0</v>
      </c>
      <c r="DH284">
        <f t="shared" si="103"/>
        <v>0</v>
      </c>
      <c r="DI284">
        <f t="shared" si="100"/>
        <v>0</v>
      </c>
      <c r="DJ284">
        <f>DF284</f>
        <v>335.03</v>
      </c>
      <c r="DK284">
        <v>0</v>
      </c>
    </row>
    <row r="285" spans="1:115" x14ac:dyDescent="0.2">
      <c r="A285">
        <f>ROW(Source!A287)</f>
        <v>287</v>
      </c>
      <c r="B285">
        <v>129761636</v>
      </c>
      <c r="C285">
        <v>129763504</v>
      </c>
      <c r="D285">
        <v>37395918</v>
      </c>
      <c r="E285">
        <v>1</v>
      </c>
      <c r="F285">
        <v>1</v>
      </c>
      <c r="G285">
        <v>37345137</v>
      </c>
      <c r="H285">
        <v>3</v>
      </c>
      <c r="I285" t="s">
        <v>367</v>
      </c>
      <c r="J285" t="s">
        <v>370</v>
      </c>
      <c r="K285" t="s">
        <v>368</v>
      </c>
      <c r="L285">
        <v>1346</v>
      </c>
      <c r="N285">
        <v>1009</v>
      </c>
      <c r="O285" t="s">
        <v>369</v>
      </c>
      <c r="P285" t="s">
        <v>369</v>
      </c>
      <c r="Q285">
        <v>1</v>
      </c>
      <c r="W285">
        <v>0</v>
      </c>
      <c r="X285">
        <v>33071459</v>
      </c>
      <c r="Y285">
        <f>AT285</f>
        <v>50.932000000000002</v>
      </c>
      <c r="AA285">
        <v>28.98</v>
      </c>
      <c r="AB285">
        <v>0</v>
      </c>
      <c r="AC285">
        <v>0</v>
      </c>
      <c r="AD285">
        <v>0</v>
      </c>
      <c r="AE285">
        <v>28.98</v>
      </c>
      <c r="AF285">
        <v>0</v>
      </c>
      <c r="AG285">
        <v>0</v>
      </c>
      <c r="AH285">
        <v>0</v>
      </c>
      <c r="AI285">
        <v>1</v>
      </c>
      <c r="AJ285">
        <v>1</v>
      </c>
      <c r="AK285">
        <v>1</v>
      </c>
      <c r="AL285">
        <v>1</v>
      </c>
      <c r="AN285">
        <v>0</v>
      </c>
      <c r="AO285">
        <v>0</v>
      </c>
      <c r="AP285">
        <v>0</v>
      </c>
      <c r="AQ285">
        <v>0</v>
      </c>
      <c r="AR285">
        <v>0</v>
      </c>
      <c r="AS285" t="s">
        <v>3</v>
      </c>
      <c r="AT285">
        <v>50.932000000000002</v>
      </c>
      <c r="AU285" t="s">
        <v>3</v>
      </c>
      <c r="AV285">
        <v>0</v>
      </c>
      <c r="AW285">
        <v>1</v>
      </c>
      <c r="AX285">
        <v>-1</v>
      </c>
      <c r="AY285">
        <v>0</v>
      </c>
      <c r="AZ285">
        <v>0</v>
      </c>
      <c r="BA285" t="s">
        <v>3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ROUND(Y285*Source!I287,9)</f>
        <v>8.2000519999999995</v>
      </c>
      <c r="CY285">
        <f>AA285</f>
        <v>28.98</v>
      </c>
      <c r="CZ285">
        <f>AE285</f>
        <v>28.98</v>
      </c>
      <c r="DA285">
        <f>AI285</f>
        <v>1</v>
      </c>
      <c r="DB285">
        <f>ROUND(ROUND(AT285*CZ285,2),6)</f>
        <v>1476.01</v>
      </c>
      <c r="DC285">
        <f>ROUND(ROUND(AT285*AG285,2),6)</f>
        <v>0</v>
      </c>
      <c r="DD285" t="s">
        <v>3</v>
      </c>
      <c r="DE285" t="s">
        <v>3</v>
      </c>
      <c r="DF285">
        <f t="shared" si="104"/>
        <v>237.64</v>
      </c>
      <c r="DG285">
        <f t="shared" si="102"/>
        <v>0</v>
      </c>
      <c r="DH285">
        <f t="shared" si="103"/>
        <v>0</v>
      </c>
      <c r="DI285">
        <f t="shared" si="100"/>
        <v>0</v>
      </c>
      <c r="DJ285">
        <f>DF285</f>
        <v>237.64</v>
      </c>
      <c r="DK285">
        <v>0</v>
      </c>
    </row>
    <row r="286" spans="1:115" x14ac:dyDescent="0.2">
      <c r="A286">
        <f>ROW(Source!A287)</f>
        <v>287</v>
      </c>
      <c r="B286">
        <v>129761636</v>
      </c>
      <c r="C286">
        <v>129763504</v>
      </c>
      <c r="D286">
        <v>37367082</v>
      </c>
      <c r="E286">
        <v>37345137</v>
      </c>
      <c r="F286">
        <v>1</v>
      </c>
      <c r="G286">
        <v>37345137</v>
      </c>
      <c r="H286">
        <v>3</v>
      </c>
      <c r="I286" t="s">
        <v>1136</v>
      </c>
      <c r="J286" t="s">
        <v>3</v>
      </c>
      <c r="K286" t="s">
        <v>1137</v>
      </c>
      <c r="L286">
        <v>1344</v>
      </c>
      <c r="N286">
        <v>1008</v>
      </c>
      <c r="O286" t="s">
        <v>1138</v>
      </c>
      <c r="P286" t="s">
        <v>1138</v>
      </c>
      <c r="Q286">
        <v>1</v>
      </c>
      <c r="W286">
        <v>0</v>
      </c>
      <c r="X286">
        <v>-94250534</v>
      </c>
      <c r="Y286">
        <f>AT286</f>
        <v>6.09</v>
      </c>
      <c r="AA286">
        <v>1</v>
      </c>
      <c r="AB286">
        <v>0</v>
      </c>
      <c r="AC286">
        <v>0</v>
      </c>
      <c r="AD286">
        <v>0</v>
      </c>
      <c r="AE286">
        <v>1</v>
      </c>
      <c r="AF286">
        <v>0</v>
      </c>
      <c r="AG286">
        <v>0</v>
      </c>
      <c r="AH286">
        <v>0</v>
      </c>
      <c r="AI286">
        <v>1</v>
      </c>
      <c r="AJ286">
        <v>1</v>
      </c>
      <c r="AK286">
        <v>1</v>
      </c>
      <c r="AL286">
        <v>1</v>
      </c>
      <c r="AN286">
        <v>0</v>
      </c>
      <c r="AO286">
        <v>1</v>
      </c>
      <c r="AP286">
        <v>0</v>
      </c>
      <c r="AQ286">
        <v>0</v>
      </c>
      <c r="AR286">
        <v>0</v>
      </c>
      <c r="AS286" t="s">
        <v>3</v>
      </c>
      <c r="AT286">
        <v>6.09</v>
      </c>
      <c r="AU286" t="s">
        <v>3</v>
      </c>
      <c r="AV286">
        <v>0</v>
      </c>
      <c r="AW286">
        <v>2</v>
      </c>
      <c r="AX286">
        <v>129763516</v>
      </c>
      <c r="AY286">
        <v>1</v>
      </c>
      <c r="AZ286">
        <v>0</v>
      </c>
      <c r="BA286">
        <v>292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ROUND(Y286*Source!I287,9)</f>
        <v>0.98048999999999997</v>
      </c>
      <c r="CY286">
        <f>AA286</f>
        <v>1</v>
      </c>
      <c r="CZ286">
        <f>AE286</f>
        <v>1</v>
      </c>
      <c r="DA286">
        <f>AI286</f>
        <v>1</v>
      </c>
      <c r="DB286">
        <f>ROUND(ROUND(AT286*CZ286,2),6)</f>
        <v>6.09</v>
      </c>
      <c r="DC286">
        <f>ROUND(ROUND(AT286*AG286,2),6)</f>
        <v>0</v>
      </c>
      <c r="DD286" t="s">
        <v>3</v>
      </c>
      <c r="DE286" t="s">
        <v>3</v>
      </c>
      <c r="DF286">
        <f t="shared" si="104"/>
        <v>0.98</v>
      </c>
      <c r="DG286">
        <f t="shared" si="102"/>
        <v>0</v>
      </c>
      <c r="DH286">
        <f t="shared" si="103"/>
        <v>0</v>
      </c>
      <c r="DI286">
        <f t="shared" si="100"/>
        <v>0</v>
      </c>
      <c r="DJ286">
        <f>DF286</f>
        <v>0.98</v>
      </c>
      <c r="DK286">
        <v>0</v>
      </c>
    </row>
    <row r="287" spans="1:115" x14ac:dyDescent="0.2">
      <c r="A287">
        <f>ROW(Source!A288)</f>
        <v>288</v>
      </c>
      <c r="B287">
        <v>129761633</v>
      </c>
      <c r="C287">
        <v>129763504</v>
      </c>
      <c r="D287">
        <v>37345142</v>
      </c>
      <c r="E287">
        <v>37345137</v>
      </c>
      <c r="F287">
        <v>1</v>
      </c>
      <c r="G287">
        <v>37345137</v>
      </c>
      <c r="H287">
        <v>1</v>
      </c>
      <c r="I287" t="s">
        <v>1096</v>
      </c>
      <c r="J287" t="s">
        <v>3</v>
      </c>
      <c r="K287" t="s">
        <v>1097</v>
      </c>
      <c r="L287">
        <v>1191</v>
      </c>
      <c r="N287">
        <v>1013</v>
      </c>
      <c r="O287" t="s">
        <v>1098</v>
      </c>
      <c r="P287" t="s">
        <v>1098</v>
      </c>
      <c r="Q287">
        <v>1</v>
      </c>
      <c r="W287">
        <v>0</v>
      </c>
      <c r="X287">
        <v>476480486</v>
      </c>
      <c r="Y287">
        <f>(AT287*1.15)</f>
        <v>44.849999999999994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1</v>
      </c>
      <c r="AJ287">
        <v>1</v>
      </c>
      <c r="AK287">
        <v>1</v>
      </c>
      <c r="AL287">
        <v>1</v>
      </c>
      <c r="AN287">
        <v>0</v>
      </c>
      <c r="AO287">
        <v>1</v>
      </c>
      <c r="AP287">
        <v>1</v>
      </c>
      <c r="AQ287">
        <v>0</v>
      </c>
      <c r="AR287">
        <v>0</v>
      </c>
      <c r="AS287" t="s">
        <v>3</v>
      </c>
      <c r="AT287">
        <v>39</v>
      </c>
      <c r="AU287" t="s">
        <v>87</v>
      </c>
      <c r="AV287">
        <v>1</v>
      </c>
      <c r="AW287">
        <v>2</v>
      </c>
      <c r="AX287">
        <v>129763511</v>
      </c>
      <c r="AY287">
        <v>1</v>
      </c>
      <c r="AZ287">
        <v>0</v>
      </c>
      <c r="BA287">
        <v>293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ROUND(Y287*Source!I288,9)</f>
        <v>7.2208500000000004</v>
      </c>
      <c r="CY287">
        <f>AD287</f>
        <v>0</v>
      </c>
      <c r="CZ287">
        <f>AH287</f>
        <v>0</v>
      </c>
      <c r="DA287">
        <f>AL287</f>
        <v>1</v>
      </c>
      <c r="DB287">
        <f>ROUND((ROUND(AT287*CZ287,2)*1.15),6)</f>
        <v>0</v>
      </c>
      <c r="DC287">
        <f>ROUND((ROUND(AT287*AG287,2)*1.15),6)</f>
        <v>0</v>
      </c>
      <c r="DD287" t="s">
        <v>3</v>
      </c>
      <c r="DE287" t="s">
        <v>3</v>
      </c>
      <c r="DF287">
        <f t="shared" si="104"/>
        <v>0</v>
      </c>
      <c r="DG287">
        <f t="shared" si="102"/>
        <v>0</v>
      </c>
      <c r="DH287">
        <f t="shared" si="103"/>
        <v>0</v>
      </c>
      <c r="DI287">
        <f t="shared" si="100"/>
        <v>0</v>
      </c>
      <c r="DJ287">
        <f>DI287</f>
        <v>0</v>
      </c>
      <c r="DK287">
        <v>0</v>
      </c>
    </row>
    <row r="288" spans="1:115" x14ac:dyDescent="0.2">
      <c r="A288">
        <f>ROW(Source!A288)</f>
        <v>288</v>
      </c>
      <c r="B288">
        <v>129761633</v>
      </c>
      <c r="C288">
        <v>129763504</v>
      </c>
      <c r="D288">
        <v>37345890</v>
      </c>
      <c r="E288">
        <v>37345137</v>
      </c>
      <c r="F288">
        <v>1</v>
      </c>
      <c r="G288">
        <v>37345137</v>
      </c>
      <c r="H288">
        <v>2</v>
      </c>
      <c r="I288" t="s">
        <v>1145</v>
      </c>
      <c r="J288" t="s">
        <v>3</v>
      </c>
      <c r="K288" t="s">
        <v>1146</v>
      </c>
      <c r="L288">
        <v>1344</v>
      </c>
      <c r="N288">
        <v>1008</v>
      </c>
      <c r="O288" t="s">
        <v>1138</v>
      </c>
      <c r="P288" t="s">
        <v>1138</v>
      </c>
      <c r="Q288">
        <v>1</v>
      </c>
      <c r="W288">
        <v>0</v>
      </c>
      <c r="X288">
        <v>-1180195794</v>
      </c>
      <c r="Y288">
        <f>(AT288*1.25)</f>
        <v>36.287500000000001</v>
      </c>
      <c r="AA288">
        <v>0</v>
      </c>
      <c r="AB288">
        <v>1.03</v>
      </c>
      <c r="AC288">
        <v>0</v>
      </c>
      <c r="AD288">
        <v>0</v>
      </c>
      <c r="AE288">
        <v>0</v>
      </c>
      <c r="AF288">
        <v>1</v>
      </c>
      <c r="AG288">
        <v>0</v>
      </c>
      <c r="AH288">
        <v>0</v>
      </c>
      <c r="AI288">
        <v>1</v>
      </c>
      <c r="AJ288">
        <v>1</v>
      </c>
      <c r="AK288">
        <v>1</v>
      </c>
      <c r="AL288">
        <v>1</v>
      </c>
      <c r="AN288">
        <v>0</v>
      </c>
      <c r="AO288">
        <v>1</v>
      </c>
      <c r="AP288">
        <v>1</v>
      </c>
      <c r="AQ288">
        <v>0</v>
      </c>
      <c r="AR288">
        <v>0</v>
      </c>
      <c r="AS288" t="s">
        <v>3</v>
      </c>
      <c r="AT288">
        <v>29.03</v>
      </c>
      <c r="AU288" t="s">
        <v>86</v>
      </c>
      <c r="AV288">
        <v>0</v>
      </c>
      <c r="AW288">
        <v>2</v>
      </c>
      <c r="AX288">
        <v>129763512</v>
      </c>
      <c r="AY288">
        <v>1</v>
      </c>
      <c r="AZ288">
        <v>0</v>
      </c>
      <c r="BA288">
        <v>294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ROUND(Y288*Source!I288,9)</f>
        <v>5.8422875000000003</v>
      </c>
      <c r="CY288">
        <f>AB288</f>
        <v>1.03</v>
      </c>
      <c r="CZ288">
        <f>AF288</f>
        <v>1</v>
      </c>
      <c r="DA288">
        <f>AJ288</f>
        <v>1</v>
      </c>
      <c r="DB288">
        <f>ROUND((ROUND(AT288*CZ288,2)*1.25),6)</f>
        <v>36.287500000000001</v>
      </c>
      <c r="DC288">
        <f>ROUND((ROUND(AT288*AG288,2)*1.25),6)</f>
        <v>0</v>
      </c>
      <c r="DD288" t="s">
        <v>3</v>
      </c>
      <c r="DE288" t="s">
        <v>3</v>
      </c>
      <c r="DF288">
        <f t="shared" si="104"/>
        <v>0</v>
      </c>
      <c r="DG288">
        <f t="shared" si="102"/>
        <v>5.84</v>
      </c>
      <c r="DH288">
        <f t="shared" si="103"/>
        <v>0</v>
      </c>
      <c r="DI288">
        <f t="shared" si="100"/>
        <v>0</v>
      </c>
      <c r="DJ288">
        <f>DG288</f>
        <v>5.84</v>
      </c>
      <c r="DK288">
        <v>0</v>
      </c>
    </row>
    <row r="289" spans="1:115" x14ac:dyDescent="0.2">
      <c r="A289">
        <f>ROW(Source!A288)</f>
        <v>288</v>
      </c>
      <c r="B289">
        <v>129761633</v>
      </c>
      <c r="C289">
        <v>129763504</v>
      </c>
      <c r="D289">
        <v>37394785</v>
      </c>
      <c r="E289">
        <v>1</v>
      </c>
      <c r="F289">
        <v>1</v>
      </c>
      <c r="G289">
        <v>37345137</v>
      </c>
      <c r="H289">
        <v>3</v>
      </c>
      <c r="I289" t="s">
        <v>363</v>
      </c>
      <c r="J289" t="s">
        <v>365</v>
      </c>
      <c r="K289" t="s">
        <v>364</v>
      </c>
      <c r="L289">
        <v>1348</v>
      </c>
      <c r="N289">
        <v>1009</v>
      </c>
      <c r="O289" t="s">
        <v>114</v>
      </c>
      <c r="P289" t="s">
        <v>114</v>
      </c>
      <c r="Q289">
        <v>1000</v>
      </c>
      <c r="W289">
        <v>0</v>
      </c>
      <c r="X289">
        <v>1793685401</v>
      </c>
      <c r="Y289">
        <f t="shared" ref="Y289:Y310" si="105">AT289</f>
        <v>5.0999999999999997E-2</v>
      </c>
      <c r="AA289">
        <v>18959.95</v>
      </c>
      <c r="AB289">
        <v>0</v>
      </c>
      <c r="AC289">
        <v>0</v>
      </c>
      <c r="AD289">
        <v>0</v>
      </c>
      <c r="AE289">
        <v>2278.84</v>
      </c>
      <c r="AF289">
        <v>0</v>
      </c>
      <c r="AG289">
        <v>0</v>
      </c>
      <c r="AH289">
        <v>0</v>
      </c>
      <c r="AI289">
        <v>8.32</v>
      </c>
      <c r="AJ289">
        <v>1</v>
      </c>
      <c r="AK289">
        <v>1</v>
      </c>
      <c r="AL289">
        <v>1</v>
      </c>
      <c r="AN289">
        <v>0</v>
      </c>
      <c r="AO289">
        <v>0</v>
      </c>
      <c r="AP289">
        <v>0</v>
      </c>
      <c r="AQ289">
        <v>0</v>
      </c>
      <c r="AR289">
        <v>0</v>
      </c>
      <c r="AS289" t="s">
        <v>3</v>
      </c>
      <c r="AT289">
        <v>5.0999999999999997E-2</v>
      </c>
      <c r="AU289" t="s">
        <v>3</v>
      </c>
      <c r="AV289">
        <v>0</v>
      </c>
      <c r="AW289">
        <v>1</v>
      </c>
      <c r="AX289">
        <v>-1</v>
      </c>
      <c r="AY289">
        <v>0</v>
      </c>
      <c r="AZ289">
        <v>0</v>
      </c>
      <c r="BA289" t="s">
        <v>3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ROUND(Y289*Source!I288,9)</f>
        <v>8.2109999999999995E-3</v>
      </c>
      <c r="CY289">
        <f>AA289</f>
        <v>18959.95</v>
      </c>
      <c r="CZ289">
        <f>AE289</f>
        <v>2278.84</v>
      </c>
      <c r="DA289">
        <f>AI289</f>
        <v>8.32</v>
      </c>
      <c r="DB289">
        <f t="shared" ref="DB289:DB310" si="106">ROUND(ROUND(AT289*CZ289,2),6)</f>
        <v>116.22</v>
      </c>
      <c r="DC289">
        <f t="shared" ref="DC289:DC310" si="107">ROUND(ROUND(AT289*AG289,2),6)</f>
        <v>0</v>
      </c>
      <c r="DD289" t="s">
        <v>3</v>
      </c>
      <c r="DE289" t="s">
        <v>3</v>
      </c>
      <c r="DF289">
        <f>ROUND(ROUND(AE289*CX289,2)*AI289,2)</f>
        <v>155.66999999999999</v>
      </c>
      <c r="DG289">
        <f t="shared" si="102"/>
        <v>0</v>
      </c>
      <c r="DH289">
        <f t="shared" si="103"/>
        <v>0</v>
      </c>
      <c r="DI289">
        <f t="shared" si="100"/>
        <v>0</v>
      </c>
      <c r="DJ289">
        <f>DF289</f>
        <v>155.66999999999999</v>
      </c>
      <c r="DK289">
        <v>0</v>
      </c>
    </row>
    <row r="290" spans="1:115" x14ac:dyDescent="0.2">
      <c r="A290">
        <f>ROW(Source!A288)</f>
        <v>288</v>
      </c>
      <c r="B290">
        <v>129761633</v>
      </c>
      <c r="C290">
        <v>129763504</v>
      </c>
      <c r="D290">
        <v>37395390</v>
      </c>
      <c r="E290">
        <v>1</v>
      </c>
      <c r="F290">
        <v>1</v>
      </c>
      <c r="G290">
        <v>37345137</v>
      </c>
      <c r="H290">
        <v>3</v>
      </c>
      <c r="I290" t="s">
        <v>372</v>
      </c>
      <c r="J290" t="s">
        <v>373</v>
      </c>
      <c r="K290" t="s">
        <v>1564</v>
      </c>
      <c r="L290">
        <v>1348</v>
      </c>
      <c r="N290">
        <v>1009</v>
      </c>
      <c r="O290" t="s">
        <v>114</v>
      </c>
      <c r="P290" t="s">
        <v>114</v>
      </c>
      <c r="Q290">
        <v>1000</v>
      </c>
      <c r="W290">
        <v>0</v>
      </c>
      <c r="X290">
        <v>-781431118</v>
      </c>
      <c r="Y290">
        <f t="shared" si="105"/>
        <v>6.3E-2</v>
      </c>
      <c r="AA290">
        <v>125845.82</v>
      </c>
      <c r="AB290">
        <v>0</v>
      </c>
      <c r="AC290">
        <v>0</v>
      </c>
      <c r="AD290">
        <v>0</v>
      </c>
      <c r="AE290">
        <v>33030.400000000001</v>
      </c>
      <c r="AF290">
        <v>0</v>
      </c>
      <c r="AG290">
        <v>0</v>
      </c>
      <c r="AH290">
        <v>0</v>
      </c>
      <c r="AI290">
        <v>3.81</v>
      </c>
      <c r="AJ290">
        <v>1</v>
      </c>
      <c r="AK290">
        <v>1</v>
      </c>
      <c r="AL290">
        <v>1</v>
      </c>
      <c r="AN290">
        <v>0</v>
      </c>
      <c r="AO290">
        <v>0</v>
      </c>
      <c r="AP290">
        <v>0</v>
      </c>
      <c r="AQ290">
        <v>0</v>
      </c>
      <c r="AR290">
        <v>0</v>
      </c>
      <c r="AS290" t="s">
        <v>3</v>
      </c>
      <c r="AT290">
        <v>6.3E-2</v>
      </c>
      <c r="AU290" t="s">
        <v>3</v>
      </c>
      <c r="AV290">
        <v>0</v>
      </c>
      <c r="AW290">
        <v>1</v>
      </c>
      <c r="AX290">
        <v>-1</v>
      </c>
      <c r="AY290">
        <v>0</v>
      </c>
      <c r="AZ290">
        <v>0</v>
      </c>
      <c r="BA290" t="s">
        <v>3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ROUND(Y290*Source!I288,9)</f>
        <v>1.0142999999999999E-2</v>
      </c>
      <c r="CY290">
        <f>AA290</f>
        <v>125845.82</v>
      </c>
      <c r="CZ290">
        <f>AE290</f>
        <v>33030.400000000001</v>
      </c>
      <c r="DA290">
        <f>AI290</f>
        <v>3.81</v>
      </c>
      <c r="DB290">
        <f t="shared" si="106"/>
        <v>2080.92</v>
      </c>
      <c r="DC290">
        <f t="shared" si="107"/>
        <v>0</v>
      </c>
      <c r="DD290" t="s">
        <v>3</v>
      </c>
      <c r="DE290" t="s">
        <v>3</v>
      </c>
      <c r="DF290">
        <f>ROUND(ROUND(AE290*CX290,2)*AI290,2)</f>
        <v>1276.46</v>
      </c>
      <c r="DG290">
        <f t="shared" si="102"/>
        <v>0</v>
      </c>
      <c r="DH290">
        <f t="shared" si="103"/>
        <v>0</v>
      </c>
      <c r="DI290">
        <f t="shared" si="100"/>
        <v>0</v>
      </c>
      <c r="DJ290">
        <f>DF290</f>
        <v>1276.46</v>
      </c>
      <c r="DK290">
        <v>0</v>
      </c>
    </row>
    <row r="291" spans="1:115" x14ac:dyDescent="0.2">
      <c r="A291">
        <f>ROW(Source!A288)</f>
        <v>288</v>
      </c>
      <c r="B291">
        <v>129761633</v>
      </c>
      <c r="C291">
        <v>129763504</v>
      </c>
      <c r="D291">
        <v>37395918</v>
      </c>
      <c r="E291">
        <v>1</v>
      </c>
      <c r="F291">
        <v>1</v>
      </c>
      <c r="G291">
        <v>37345137</v>
      </c>
      <c r="H291">
        <v>3</v>
      </c>
      <c r="I291" t="s">
        <v>367</v>
      </c>
      <c r="J291" t="s">
        <v>370</v>
      </c>
      <c r="K291" t="s">
        <v>368</v>
      </c>
      <c r="L291">
        <v>1346</v>
      </c>
      <c r="N291">
        <v>1009</v>
      </c>
      <c r="O291" t="s">
        <v>369</v>
      </c>
      <c r="P291" t="s">
        <v>369</v>
      </c>
      <c r="Q291">
        <v>1</v>
      </c>
      <c r="W291">
        <v>0</v>
      </c>
      <c r="X291">
        <v>33071459</v>
      </c>
      <c r="Y291">
        <f t="shared" si="105"/>
        <v>50.932000000000002</v>
      </c>
      <c r="AA291">
        <v>103.75</v>
      </c>
      <c r="AB291">
        <v>0</v>
      </c>
      <c r="AC291">
        <v>0</v>
      </c>
      <c r="AD291">
        <v>0</v>
      </c>
      <c r="AE291">
        <v>28.98</v>
      </c>
      <c r="AF291">
        <v>0</v>
      </c>
      <c r="AG291">
        <v>0</v>
      </c>
      <c r="AH291">
        <v>0</v>
      </c>
      <c r="AI291">
        <v>3.58</v>
      </c>
      <c r="AJ291">
        <v>1</v>
      </c>
      <c r="AK291">
        <v>1</v>
      </c>
      <c r="AL291">
        <v>1</v>
      </c>
      <c r="AN291">
        <v>0</v>
      </c>
      <c r="AO291">
        <v>0</v>
      </c>
      <c r="AP291">
        <v>0</v>
      </c>
      <c r="AQ291">
        <v>0</v>
      </c>
      <c r="AR291">
        <v>0</v>
      </c>
      <c r="AS291" t="s">
        <v>3</v>
      </c>
      <c r="AT291">
        <v>50.932000000000002</v>
      </c>
      <c r="AU291" t="s">
        <v>3</v>
      </c>
      <c r="AV291">
        <v>0</v>
      </c>
      <c r="AW291">
        <v>1</v>
      </c>
      <c r="AX291">
        <v>-1</v>
      </c>
      <c r="AY291">
        <v>0</v>
      </c>
      <c r="AZ291">
        <v>0</v>
      </c>
      <c r="BA291" t="s">
        <v>3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>ROUND(Y291*Source!I288,9)</f>
        <v>8.2000519999999995</v>
      </c>
      <c r="CY291">
        <f>AA291</f>
        <v>103.75</v>
      </c>
      <c r="CZ291">
        <f>AE291</f>
        <v>28.98</v>
      </c>
      <c r="DA291">
        <f>AI291</f>
        <v>3.58</v>
      </c>
      <c r="DB291">
        <f t="shared" si="106"/>
        <v>1476.01</v>
      </c>
      <c r="DC291">
        <f t="shared" si="107"/>
        <v>0</v>
      </c>
      <c r="DD291" t="s">
        <v>3</v>
      </c>
      <c r="DE291" t="s">
        <v>3</v>
      </c>
      <c r="DF291">
        <f>ROUND(ROUND(AE291*CX291,2)*AI291,2)</f>
        <v>850.75</v>
      </c>
      <c r="DG291">
        <f t="shared" si="102"/>
        <v>0</v>
      </c>
      <c r="DH291">
        <f t="shared" si="103"/>
        <v>0</v>
      </c>
      <c r="DI291">
        <f t="shared" si="100"/>
        <v>0</v>
      </c>
      <c r="DJ291">
        <f>DF291</f>
        <v>850.75</v>
      </c>
      <c r="DK291">
        <v>0</v>
      </c>
    </row>
    <row r="292" spans="1:115" x14ac:dyDescent="0.2">
      <c r="A292">
        <f>ROW(Source!A288)</f>
        <v>288</v>
      </c>
      <c r="B292">
        <v>129761633</v>
      </c>
      <c r="C292">
        <v>129763504</v>
      </c>
      <c r="D292">
        <v>37367082</v>
      </c>
      <c r="E292">
        <v>37345137</v>
      </c>
      <c r="F292">
        <v>1</v>
      </c>
      <c r="G292">
        <v>37345137</v>
      </c>
      <c r="H292">
        <v>3</v>
      </c>
      <c r="I292" t="s">
        <v>1136</v>
      </c>
      <c r="J292" t="s">
        <v>3</v>
      </c>
      <c r="K292" t="s">
        <v>1137</v>
      </c>
      <c r="L292">
        <v>1344</v>
      </c>
      <c r="N292">
        <v>1008</v>
      </c>
      <c r="O292" t="s">
        <v>1138</v>
      </c>
      <c r="P292" t="s">
        <v>1138</v>
      </c>
      <c r="Q292">
        <v>1</v>
      </c>
      <c r="W292">
        <v>0</v>
      </c>
      <c r="X292">
        <v>-94250534</v>
      </c>
      <c r="Y292">
        <f t="shared" si="105"/>
        <v>6.09</v>
      </c>
      <c r="AA292">
        <v>8.65</v>
      </c>
      <c r="AB292">
        <v>0</v>
      </c>
      <c r="AC292">
        <v>0</v>
      </c>
      <c r="AD292">
        <v>0</v>
      </c>
      <c r="AE292">
        <v>1</v>
      </c>
      <c r="AF292">
        <v>0</v>
      </c>
      <c r="AG292">
        <v>0</v>
      </c>
      <c r="AH292">
        <v>0</v>
      </c>
      <c r="AI292">
        <v>8.65</v>
      </c>
      <c r="AJ292">
        <v>1</v>
      </c>
      <c r="AK292">
        <v>1</v>
      </c>
      <c r="AL292">
        <v>1</v>
      </c>
      <c r="AN292">
        <v>0</v>
      </c>
      <c r="AO292">
        <v>1</v>
      </c>
      <c r="AP292">
        <v>0</v>
      </c>
      <c r="AQ292">
        <v>0</v>
      </c>
      <c r="AR292">
        <v>0</v>
      </c>
      <c r="AS292" t="s">
        <v>3</v>
      </c>
      <c r="AT292">
        <v>6.09</v>
      </c>
      <c r="AU292" t="s">
        <v>3</v>
      </c>
      <c r="AV292">
        <v>0</v>
      </c>
      <c r="AW292">
        <v>2</v>
      </c>
      <c r="AX292">
        <v>129763516</v>
      </c>
      <c r="AY292">
        <v>1</v>
      </c>
      <c r="AZ292">
        <v>0</v>
      </c>
      <c r="BA292">
        <v>298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>ROUND(Y292*Source!I288,9)</f>
        <v>0.98048999999999997</v>
      </c>
      <c r="CY292">
        <f>AA292</f>
        <v>8.65</v>
      </c>
      <c r="CZ292">
        <f>AE292</f>
        <v>1</v>
      </c>
      <c r="DA292">
        <f>AI292</f>
        <v>8.65</v>
      </c>
      <c r="DB292">
        <f t="shared" si="106"/>
        <v>6.09</v>
      </c>
      <c r="DC292">
        <f t="shared" si="107"/>
        <v>0</v>
      </c>
      <c r="DD292" t="s">
        <v>3</v>
      </c>
      <c r="DE292" t="s">
        <v>3</v>
      </c>
      <c r="DF292">
        <f>ROUND(ROUND(AE292*CX292,2)*AI292,2)</f>
        <v>8.48</v>
      </c>
      <c r="DG292">
        <f t="shared" si="102"/>
        <v>0</v>
      </c>
      <c r="DH292">
        <f t="shared" si="103"/>
        <v>0</v>
      </c>
      <c r="DI292">
        <f t="shared" si="100"/>
        <v>0</v>
      </c>
      <c r="DJ292">
        <f>DF292</f>
        <v>8.48</v>
      </c>
      <c r="DK292">
        <v>0</v>
      </c>
    </row>
    <row r="293" spans="1:115" x14ac:dyDescent="0.2">
      <c r="A293">
        <f>ROW(Source!A295)</f>
        <v>295</v>
      </c>
      <c r="B293">
        <v>129761636</v>
      </c>
      <c r="C293">
        <v>129763520</v>
      </c>
      <c r="D293">
        <v>37345142</v>
      </c>
      <c r="E293">
        <v>37345137</v>
      </c>
      <c r="F293">
        <v>1</v>
      </c>
      <c r="G293">
        <v>37345137</v>
      </c>
      <c r="H293">
        <v>1</v>
      </c>
      <c r="I293" t="s">
        <v>1096</v>
      </c>
      <c r="J293" t="s">
        <v>3</v>
      </c>
      <c r="K293" t="s">
        <v>1097</v>
      </c>
      <c r="L293">
        <v>1191</v>
      </c>
      <c r="N293">
        <v>1013</v>
      </c>
      <c r="O293" t="s">
        <v>1098</v>
      </c>
      <c r="P293" t="s">
        <v>1098</v>
      </c>
      <c r="Q293">
        <v>1</v>
      </c>
      <c r="W293">
        <v>0</v>
      </c>
      <c r="X293">
        <v>476480486</v>
      </c>
      <c r="Y293">
        <f t="shared" si="105"/>
        <v>34.1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1</v>
      </c>
      <c r="AJ293">
        <v>1</v>
      </c>
      <c r="AK293">
        <v>1</v>
      </c>
      <c r="AL293">
        <v>1</v>
      </c>
      <c r="AN293">
        <v>0</v>
      </c>
      <c r="AO293">
        <v>1</v>
      </c>
      <c r="AP293">
        <v>0</v>
      </c>
      <c r="AQ293">
        <v>0</v>
      </c>
      <c r="AR293">
        <v>0</v>
      </c>
      <c r="AS293" t="s">
        <v>3</v>
      </c>
      <c r="AT293">
        <v>34.1</v>
      </c>
      <c r="AU293" t="s">
        <v>3</v>
      </c>
      <c r="AV293">
        <v>1</v>
      </c>
      <c r="AW293">
        <v>2</v>
      </c>
      <c r="AX293">
        <v>129763530</v>
      </c>
      <c r="AY293">
        <v>1</v>
      </c>
      <c r="AZ293">
        <v>0</v>
      </c>
      <c r="BA293">
        <v>299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>ROUND(Y293*Source!I295,9)</f>
        <v>2.2847</v>
      </c>
      <c r="CY293">
        <f>AD293</f>
        <v>0</v>
      </c>
      <c r="CZ293">
        <f>AH293</f>
        <v>0</v>
      </c>
      <c r="DA293">
        <f>AL293</f>
        <v>1</v>
      </c>
      <c r="DB293">
        <f t="shared" si="106"/>
        <v>0</v>
      </c>
      <c r="DC293">
        <f t="shared" si="107"/>
        <v>0</v>
      </c>
      <c r="DD293" t="s">
        <v>3</v>
      </c>
      <c r="DE293" t="s">
        <v>3</v>
      </c>
      <c r="DF293">
        <f t="shared" ref="DF293:DF303" si="108">ROUND(AE293*CX293,2)</f>
        <v>0</v>
      </c>
      <c r="DG293">
        <f t="shared" si="102"/>
        <v>0</v>
      </c>
      <c r="DH293">
        <f t="shared" si="103"/>
        <v>0</v>
      </c>
      <c r="DI293">
        <f t="shared" si="100"/>
        <v>0</v>
      </c>
      <c r="DJ293">
        <f>DI293</f>
        <v>0</v>
      </c>
      <c r="DK293">
        <v>0</v>
      </c>
    </row>
    <row r="294" spans="1:115" x14ac:dyDescent="0.2">
      <c r="A294">
        <f>ROW(Source!A295)</f>
        <v>295</v>
      </c>
      <c r="B294">
        <v>129761636</v>
      </c>
      <c r="C294">
        <v>129763520</v>
      </c>
      <c r="D294">
        <v>37345890</v>
      </c>
      <c r="E294">
        <v>37345137</v>
      </c>
      <c r="F294">
        <v>1</v>
      </c>
      <c r="G294">
        <v>37345137</v>
      </c>
      <c r="H294">
        <v>2</v>
      </c>
      <c r="I294" t="s">
        <v>1145</v>
      </c>
      <c r="J294" t="s">
        <v>3</v>
      </c>
      <c r="K294" t="s">
        <v>1146</v>
      </c>
      <c r="L294">
        <v>1344</v>
      </c>
      <c r="N294">
        <v>1008</v>
      </c>
      <c r="O294" t="s">
        <v>1138</v>
      </c>
      <c r="P294" t="s">
        <v>1138</v>
      </c>
      <c r="Q294">
        <v>1</v>
      </c>
      <c r="W294">
        <v>0</v>
      </c>
      <c r="X294">
        <v>-1180195794</v>
      </c>
      <c r="Y294">
        <f t="shared" si="105"/>
        <v>4.47</v>
      </c>
      <c r="AA294">
        <v>0</v>
      </c>
      <c r="AB294">
        <v>1</v>
      </c>
      <c r="AC294">
        <v>0</v>
      </c>
      <c r="AD294">
        <v>0</v>
      </c>
      <c r="AE294">
        <v>0</v>
      </c>
      <c r="AF294">
        <v>1</v>
      </c>
      <c r="AG294">
        <v>0</v>
      </c>
      <c r="AH294">
        <v>0</v>
      </c>
      <c r="AI294">
        <v>1</v>
      </c>
      <c r="AJ294">
        <v>1</v>
      </c>
      <c r="AK294">
        <v>1</v>
      </c>
      <c r="AL294">
        <v>1</v>
      </c>
      <c r="AN294">
        <v>0</v>
      </c>
      <c r="AO294">
        <v>1</v>
      </c>
      <c r="AP294">
        <v>0</v>
      </c>
      <c r="AQ294">
        <v>0</v>
      </c>
      <c r="AR294">
        <v>0</v>
      </c>
      <c r="AS294" t="s">
        <v>3</v>
      </c>
      <c r="AT294">
        <v>4.47</v>
      </c>
      <c r="AU294" t="s">
        <v>3</v>
      </c>
      <c r="AV294">
        <v>0</v>
      </c>
      <c r="AW294">
        <v>2</v>
      </c>
      <c r="AX294">
        <v>129763531</v>
      </c>
      <c r="AY294">
        <v>1</v>
      </c>
      <c r="AZ294">
        <v>0</v>
      </c>
      <c r="BA294">
        <v>300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>ROUND(Y294*Source!I295,9)</f>
        <v>0.29948999999999998</v>
      </c>
      <c r="CY294">
        <f>AB294</f>
        <v>1</v>
      </c>
      <c r="CZ294">
        <f>AF294</f>
        <v>1</v>
      </c>
      <c r="DA294">
        <f>AJ294</f>
        <v>1</v>
      </c>
      <c r="DB294">
        <f t="shared" si="106"/>
        <v>4.47</v>
      </c>
      <c r="DC294">
        <f t="shared" si="107"/>
        <v>0</v>
      </c>
      <c r="DD294" t="s">
        <v>3</v>
      </c>
      <c r="DE294" t="s">
        <v>3</v>
      </c>
      <c r="DF294">
        <f t="shared" si="108"/>
        <v>0</v>
      </c>
      <c r="DG294">
        <f t="shared" si="102"/>
        <v>0.3</v>
      </c>
      <c r="DH294">
        <f t="shared" si="103"/>
        <v>0</v>
      </c>
      <c r="DI294">
        <f t="shared" si="100"/>
        <v>0</v>
      </c>
      <c r="DJ294">
        <f>DG294</f>
        <v>0.3</v>
      </c>
      <c r="DK294">
        <v>0</v>
      </c>
    </row>
    <row r="295" spans="1:115" x14ac:dyDescent="0.2">
      <c r="A295">
        <f>ROW(Source!A295)</f>
        <v>295</v>
      </c>
      <c r="B295">
        <v>129761636</v>
      </c>
      <c r="C295">
        <v>129763520</v>
      </c>
      <c r="D295">
        <v>37393552</v>
      </c>
      <c r="E295">
        <v>1</v>
      </c>
      <c r="F295">
        <v>1</v>
      </c>
      <c r="G295">
        <v>37345137</v>
      </c>
      <c r="H295">
        <v>3</v>
      </c>
      <c r="I295" t="s">
        <v>348</v>
      </c>
      <c r="J295" t="s">
        <v>350</v>
      </c>
      <c r="K295" t="s">
        <v>349</v>
      </c>
      <c r="L295">
        <v>1339</v>
      </c>
      <c r="N295">
        <v>1007</v>
      </c>
      <c r="O295" t="s">
        <v>94</v>
      </c>
      <c r="P295" t="s">
        <v>94</v>
      </c>
      <c r="Q295">
        <v>1</v>
      </c>
      <c r="W295">
        <v>0</v>
      </c>
      <c r="X295">
        <v>-862991314</v>
      </c>
      <c r="Y295">
        <f t="shared" si="105"/>
        <v>0.24</v>
      </c>
      <c r="AA295">
        <v>7.07</v>
      </c>
      <c r="AB295">
        <v>0</v>
      </c>
      <c r="AC295">
        <v>0</v>
      </c>
      <c r="AD295">
        <v>0</v>
      </c>
      <c r="AE295">
        <v>7.07</v>
      </c>
      <c r="AF295">
        <v>0</v>
      </c>
      <c r="AG295">
        <v>0</v>
      </c>
      <c r="AH295">
        <v>0</v>
      </c>
      <c r="AI295">
        <v>1</v>
      </c>
      <c r="AJ295">
        <v>1</v>
      </c>
      <c r="AK295">
        <v>1</v>
      </c>
      <c r="AL295">
        <v>1</v>
      </c>
      <c r="AN295">
        <v>0</v>
      </c>
      <c r="AO295">
        <v>1</v>
      </c>
      <c r="AP295">
        <v>0</v>
      </c>
      <c r="AQ295">
        <v>0</v>
      </c>
      <c r="AR295">
        <v>0</v>
      </c>
      <c r="AS295" t="s">
        <v>3</v>
      </c>
      <c r="AT295">
        <v>0.24</v>
      </c>
      <c r="AU295" t="s">
        <v>3</v>
      </c>
      <c r="AV295">
        <v>0</v>
      </c>
      <c r="AW295">
        <v>2</v>
      </c>
      <c r="AX295">
        <v>129763532</v>
      </c>
      <c r="AY295">
        <v>1</v>
      </c>
      <c r="AZ295">
        <v>0</v>
      </c>
      <c r="BA295">
        <v>301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>ROUND(Y295*Source!I295,9)</f>
        <v>1.6080000000000001E-2</v>
      </c>
      <c r="CY295">
        <f t="shared" ref="CY295:CY301" si="109">AA295</f>
        <v>7.07</v>
      </c>
      <c r="CZ295">
        <f t="shared" ref="CZ295:CZ301" si="110">AE295</f>
        <v>7.07</v>
      </c>
      <c r="DA295">
        <f t="shared" ref="DA295:DA301" si="111">AI295</f>
        <v>1</v>
      </c>
      <c r="DB295">
        <f t="shared" si="106"/>
        <v>1.7</v>
      </c>
      <c r="DC295">
        <f t="shared" si="107"/>
        <v>0</v>
      </c>
      <c r="DD295" t="s">
        <v>3</v>
      </c>
      <c r="DE295" t="s">
        <v>3</v>
      </c>
      <c r="DF295">
        <f t="shared" si="108"/>
        <v>0.11</v>
      </c>
      <c r="DG295">
        <f t="shared" si="102"/>
        <v>0</v>
      </c>
      <c r="DH295">
        <f t="shared" si="103"/>
        <v>0</v>
      </c>
      <c r="DI295">
        <f t="shared" si="100"/>
        <v>0</v>
      </c>
      <c r="DJ295">
        <f t="shared" ref="DJ295:DJ301" si="112">DF295</f>
        <v>0.11</v>
      </c>
      <c r="DK295">
        <v>0</v>
      </c>
    </row>
    <row r="296" spans="1:115" x14ac:dyDescent="0.2">
      <c r="A296">
        <f>ROW(Source!A295)</f>
        <v>295</v>
      </c>
      <c r="B296">
        <v>129761636</v>
      </c>
      <c r="C296">
        <v>129763520</v>
      </c>
      <c r="D296">
        <v>37394765</v>
      </c>
      <c r="E296">
        <v>1</v>
      </c>
      <c r="F296">
        <v>1</v>
      </c>
      <c r="G296">
        <v>37345137</v>
      </c>
      <c r="H296">
        <v>3</v>
      </c>
      <c r="I296" t="s">
        <v>1249</v>
      </c>
      <c r="J296" t="s">
        <v>1250</v>
      </c>
      <c r="K296" t="s">
        <v>1251</v>
      </c>
      <c r="L296">
        <v>1327</v>
      </c>
      <c r="N296">
        <v>1005</v>
      </c>
      <c r="O296" t="s">
        <v>258</v>
      </c>
      <c r="P296" t="s">
        <v>258</v>
      </c>
      <c r="Q296">
        <v>1</v>
      </c>
      <c r="W296">
        <v>0</v>
      </c>
      <c r="X296">
        <v>-216611581</v>
      </c>
      <c r="Y296">
        <f t="shared" si="105"/>
        <v>1.6</v>
      </c>
      <c r="AA296">
        <v>104</v>
      </c>
      <c r="AB296">
        <v>0</v>
      </c>
      <c r="AC296">
        <v>0</v>
      </c>
      <c r="AD296">
        <v>0</v>
      </c>
      <c r="AE296">
        <v>104</v>
      </c>
      <c r="AF296">
        <v>0</v>
      </c>
      <c r="AG296">
        <v>0</v>
      </c>
      <c r="AH296">
        <v>0</v>
      </c>
      <c r="AI296">
        <v>1</v>
      </c>
      <c r="AJ296">
        <v>1</v>
      </c>
      <c r="AK296">
        <v>1</v>
      </c>
      <c r="AL296">
        <v>1</v>
      </c>
      <c r="AN296">
        <v>0</v>
      </c>
      <c r="AO296">
        <v>1</v>
      </c>
      <c r="AP296">
        <v>0</v>
      </c>
      <c r="AQ296">
        <v>0</v>
      </c>
      <c r="AR296">
        <v>0</v>
      </c>
      <c r="AS296" t="s">
        <v>3</v>
      </c>
      <c r="AT296">
        <v>1.6</v>
      </c>
      <c r="AU296" t="s">
        <v>3</v>
      </c>
      <c r="AV296">
        <v>0</v>
      </c>
      <c r="AW296">
        <v>2</v>
      </c>
      <c r="AX296">
        <v>129763533</v>
      </c>
      <c r="AY296">
        <v>1</v>
      </c>
      <c r="AZ296">
        <v>0</v>
      </c>
      <c r="BA296">
        <v>302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>ROUND(Y296*Source!I295,9)</f>
        <v>0.1072</v>
      </c>
      <c r="CY296">
        <f t="shared" si="109"/>
        <v>104</v>
      </c>
      <c r="CZ296">
        <f t="shared" si="110"/>
        <v>104</v>
      </c>
      <c r="DA296">
        <f t="shared" si="111"/>
        <v>1</v>
      </c>
      <c r="DB296">
        <f t="shared" si="106"/>
        <v>166.4</v>
      </c>
      <c r="DC296">
        <f t="shared" si="107"/>
        <v>0</v>
      </c>
      <c r="DD296" t="s">
        <v>3</v>
      </c>
      <c r="DE296" t="s">
        <v>3</v>
      </c>
      <c r="DF296">
        <f t="shared" si="108"/>
        <v>11.15</v>
      </c>
      <c r="DG296">
        <f t="shared" si="102"/>
        <v>0</v>
      </c>
      <c r="DH296">
        <f t="shared" si="103"/>
        <v>0</v>
      </c>
      <c r="DI296">
        <f t="shared" si="100"/>
        <v>0</v>
      </c>
      <c r="DJ296">
        <f t="shared" si="112"/>
        <v>11.15</v>
      </c>
      <c r="DK296">
        <v>0</v>
      </c>
    </row>
    <row r="297" spans="1:115" x14ac:dyDescent="0.2">
      <c r="A297">
        <f>ROW(Source!A295)</f>
        <v>295</v>
      </c>
      <c r="B297">
        <v>129761636</v>
      </c>
      <c r="C297">
        <v>129763520</v>
      </c>
      <c r="D297">
        <v>37394785</v>
      </c>
      <c r="E297">
        <v>1</v>
      </c>
      <c r="F297">
        <v>1</v>
      </c>
      <c r="G297">
        <v>37345137</v>
      </c>
      <c r="H297">
        <v>3</v>
      </c>
      <c r="I297" t="s">
        <v>363</v>
      </c>
      <c r="J297" t="s">
        <v>365</v>
      </c>
      <c r="K297" t="s">
        <v>364</v>
      </c>
      <c r="L297">
        <v>1348</v>
      </c>
      <c r="N297">
        <v>1009</v>
      </c>
      <c r="O297" t="s">
        <v>114</v>
      </c>
      <c r="P297" t="s">
        <v>114</v>
      </c>
      <c r="Q297">
        <v>1000</v>
      </c>
      <c r="W297">
        <v>0</v>
      </c>
      <c r="X297">
        <v>1793685401</v>
      </c>
      <c r="Y297">
        <f t="shared" si="105"/>
        <v>6.7999999999999996E-3</v>
      </c>
      <c r="AA297">
        <v>2278.84</v>
      </c>
      <c r="AB297">
        <v>0</v>
      </c>
      <c r="AC297">
        <v>0</v>
      </c>
      <c r="AD297">
        <v>0</v>
      </c>
      <c r="AE297">
        <v>2278.84</v>
      </c>
      <c r="AF297">
        <v>0</v>
      </c>
      <c r="AG297">
        <v>0</v>
      </c>
      <c r="AH297">
        <v>0</v>
      </c>
      <c r="AI297">
        <v>1</v>
      </c>
      <c r="AJ297">
        <v>1</v>
      </c>
      <c r="AK297">
        <v>1</v>
      </c>
      <c r="AL297">
        <v>1</v>
      </c>
      <c r="AN297">
        <v>0</v>
      </c>
      <c r="AO297">
        <v>0</v>
      </c>
      <c r="AP297">
        <v>0</v>
      </c>
      <c r="AQ297">
        <v>0</v>
      </c>
      <c r="AR297">
        <v>0</v>
      </c>
      <c r="AS297" t="s">
        <v>3</v>
      </c>
      <c r="AT297">
        <v>6.7999999999999996E-3</v>
      </c>
      <c r="AU297" t="s">
        <v>3</v>
      </c>
      <c r="AV297">
        <v>0</v>
      </c>
      <c r="AW297">
        <v>1</v>
      </c>
      <c r="AX297">
        <v>-1</v>
      </c>
      <c r="AY297">
        <v>0</v>
      </c>
      <c r="AZ297">
        <v>0</v>
      </c>
      <c r="BA297" t="s">
        <v>3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>ROUND(Y297*Source!I295,9)</f>
        <v>4.5560000000000002E-4</v>
      </c>
      <c r="CY297">
        <f t="shared" si="109"/>
        <v>2278.84</v>
      </c>
      <c r="CZ297">
        <f t="shared" si="110"/>
        <v>2278.84</v>
      </c>
      <c r="DA297">
        <f t="shared" si="111"/>
        <v>1</v>
      </c>
      <c r="DB297">
        <f t="shared" si="106"/>
        <v>15.5</v>
      </c>
      <c r="DC297">
        <f t="shared" si="107"/>
        <v>0</v>
      </c>
      <c r="DD297" t="s">
        <v>3</v>
      </c>
      <c r="DE297" t="s">
        <v>3</v>
      </c>
      <c r="DF297">
        <f t="shared" si="108"/>
        <v>1.04</v>
      </c>
      <c r="DG297">
        <f t="shared" si="102"/>
        <v>0</v>
      </c>
      <c r="DH297">
        <f t="shared" si="103"/>
        <v>0</v>
      </c>
      <c r="DI297">
        <f t="shared" si="100"/>
        <v>0</v>
      </c>
      <c r="DJ297">
        <f t="shared" si="112"/>
        <v>1.04</v>
      </c>
      <c r="DK297">
        <v>0</v>
      </c>
    </row>
    <row r="298" spans="1:115" x14ac:dyDescent="0.2">
      <c r="A298">
        <f>ROW(Source!A295)</f>
        <v>295</v>
      </c>
      <c r="B298">
        <v>129761636</v>
      </c>
      <c r="C298">
        <v>129763520</v>
      </c>
      <c r="D298">
        <v>37393813</v>
      </c>
      <c r="E298">
        <v>1</v>
      </c>
      <c r="F298">
        <v>1</v>
      </c>
      <c r="G298">
        <v>37345137</v>
      </c>
      <c r="H298">
        <v>3</v>
      </c>
      <c r="I298" t="s">
        <v>1252</v>
      </c>
      <c r="J298" t="s">
        <v>1253</v>
      </c>
      <c r="K298" t="s">
        <v>1254</v>
      </c>
      <c r="L298">
        <v>1348</v>
      </c>
      <c r="N298">
        <v>1009</v>
      </c>
      <c r="O298" t="s">
        <v>114</v>
      </c>
      <c r="P298" t="s">
        <v>114</v>
      </c>
      <c r="Q298">
        <v>1000</v>
      </c>
      <c r="W298">
        <v>0</v>
      </c>
      <c r="X298">
        <v>-455508453</v>
      </c>
      <c r="Y298">
        <f t="shared" si="105"/>
        <v>2.4299999999999999E-3</v>
      </c>
      <c r="AA298">
        <v>12237.68</v>
      </c>
      <c r="AB298">
        <v>0</v>
      </c>
      <c r="AC298">
        <v>0</v>
      </c>
      <c r="AD298">
        <v>0</v>
      </c>
      <c r="AE298">
        <v>12237.68</v>
      </c>
      <c r="AF298">
        <v>0</v>
      </c>
      <c r="AG298">
        <v>0</v>
      </c>
      <c r="AH298">
        <v>0</v>
      </c>
      <c r="AI298">
        <v>1</v>
      </c>
      <c r="AJ298">
        <v>1</v>
      </c>
      <c r="AK298">
        <v>1</v>
      </c>
      <c r="AL298">
        <v>1</v>
      </c>
      <c r="AN298">
        <v>0</v>
      </c>
      <c r="AO298">
        <v>1</v>
      </c>
      <c r="AP298">
        <v>0</v>
      </c>
      <c r="AQ298">
        <v>0</v>
      </c>
      <c r="AR298">
        <v>0</v>
      </c>
      <c r="AS298" t="s">
        <v>3</v>
      </c>
      <c r="AT298">
        <v>2.4299999999999999E-3</v>
      </c>
      <c r="AU298" t="s">
        <v>3</v>
      </c>
      <c r="AV298">
        <v>0</v>
      </c>
      <c r="AW298">
        <v>2</v>
      </c>
      <c r="AX298">
        <v>129763534</v>
      </c>
      <c r="AY298">
        <v>1</v>
      </c>
      <c r="AZ298">
        <v>0</v>
      </c>
      <c r="BA298">
        <v>303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>ROUND(Y298*Source!I295,9)</f>
        <v>1.6280999999999999E-4</v>
      </c>
      <c r="CY298">
        <f t="shared" si="109"/>
        <v>12237.68</v>
      </c>
      <c r="CZ298">
        <f t="shared" si="110"/>
        <v>12237.68</v>
      </c>
      <c r="DA298">
        <f t="shared" si="111"/>
        <v>1</v>
      </c>
      <c r="DB298">
        <f t="shared" si="106"/>
        <v>29.74</v>
      </c>
      <c r="DC298">
        <f t="shared" si="107"/>
        <v>0</v>
      </c>
      <c r="DD298" t="s">
        <v>3</v>
      </c>
      <c r="DE298" t="s">
        <v>3</v>
      </c>
      <c r="DF298">
        <f t="shared" si="108"/>
        <v>1.99</v>
      </c>
      <c r="DG298">
        <f t="shared" si="102"/>
        <v>0</v>
      </c>
      <c r="DH298">
        <f t="shared" si="103"/>
        <v>0</v>
      </c>
      <c r="DI298">
        <f t="shared" si="100"/>
        <v>0</v>
      </c>
      <c r="DJ298">
        <f t="shared" si="112"/>
        <v>1.99</v>
      </c>
      <c r="DK298">
        <v>0</v>
      </c>
    </row>
    <row r="299" spans="1:115" x14ac:dyDescent="0.2">
      <c r="A299">
        <f>ROW(Source!A295)</f>
        <v>295</v>
      </c>
      <c r="B299">
        <v>129761636</v>
      </c>
      <c r="C299">
        <v>129763520</v>
      </c>
      <c r="D299">
        <v>37393855</v>
      </c>
      <c r="E299">
        <v>1</v>
      </c>
      <c r="F299">
        <v>1</v>
      </c>
      <c r="G299">
        <v>37345137</v>
      </c>
      <c r="H299">
        <v>3</v>
      </c>
      <c r="I299" t="s">
        <v>382</v>
      </c>
      <c r="J299" t="s">
        <v>384</v>
      </c>
      <c r="K299" t="s">
        <v>383</v>
      </c>
      <c r="L299">
        <v>1348</v>
      </c>
      <c r="N299">
        <v>1009</v>
      </c>
      <c r="O299" t="s">
        <v>114</v>
      </c>
      <c r="P299" t="s">
        <v>114</v>
      </c>
      <c r="Q299">
        <v>1000</v>
      </c>
      <c r="W299">
        <v>0</v>
      </c>
      <c r="X299">
        <v>-908598485</v>
      </c>
      <c r="Y299">
        <f t="shared" si="105"/>
        <v>6.7000000000000004E-2</v>
      </c>
      <c r="AA299">
        <v>22652.13</v>
      </c>
      <c r="AB299">
        <v>0</v>
      </c>
      <c r="AC299">
        <v>0</v>
      </c>
      <c r="AD299">
        <v>0</v>
      </c>
      <c r="AE299">
        <v>22652.13</v>
      </c>
      <c r="AF299">
        <v>0</v>
      </c>
      <c r="AG299">
        <v>0</v>
      </c>
      <c r="AH299">
        <v>0</v>
      </c>
      <c r="AI299">
        <v>1</v>
      </c>
      <c r="AJ299">
        <v>1</v>
      </c>
      <c r="AK299">
        <v>1</v>
      </c>
      <c r="AL299">
        <v>1</v>
      </c>
      <c r="AN299">
        <v>0</v>
      </c>
      <c r="AO299">
        <v>0</v>
      </c>
      <c r="AP299">
        <v>0</v>
      </c>
      <c r="AQ299">
        <v>0</v>
      </c>
      <c r="AR299">
        <v>0</v>
      </c>
      <c r="AS299" t="s">
        <v>3</v>
      </c>
      <c r="AT299">
        <v>6.7000000000000004E-2</v>
      </c>
      <c r="AU299" t="s">
        <v>3</v>
      </c>
      <c r="AV299">
        <v>0</v>
      </c>
      <c r="AW299">
        <v>1</v>
      </c>
      <c r="AX299">
        <v>-1</v>
      </c>
      <c r="AY299">
        <v>0</v>
      </c>
      <c r="AZ299">
        <v>0</v>
      </c>
      <c r="BA299" t="s">
        <v>3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>ROUND(Y299*Source!I295,9)</f>
        <v>4.4889999999999999E-3</v>
      </c>
      <c r="CY299">
        <f t="shared" si="109"/>
        <v>22652.13</v>
      </c>
      <c r="CZ299">
        <f t="shared" si="110"/>
        <v>22652.13</v>
      </c>
      <c r="DA299">
        <f t="shared" si="111"/>
        <v>1</v>
      </c>
      <c r="DB299">
        <f t="shared" si="106"/>
        <v>1517.69</v>
      </c>
      <c r="DC299">
        <f t="shared" si="107"/>
        <v>0</v>
      </c>
      <c r="DD299" t="s">
        <v>3</v>
      </c>
      <c r="DE299" t="s">
        <v>3</v>
      </c>
      <c r="DF299">
        <f t="shared" si="108"/>
        <v>101.69</v>
      </c>
      <c r="DG299">
        <f t="shared" si="102"/>
        <v>0</v>
      </c>
      <c r="DH299">
        <f t="shared" si="103"/>
        <v>0</v>
      </c>
      <c r="DI299">
        <f t="shared" si="100"/>
        <v>0</v>
      </c>
      <c r="DJ299">
        <f t="shared" si="112"/>
        <v>101.69</v>
      </c>
      <c r="DK299">
        <v>0</v>
      </c>
    </row>
    <row r="300" spans="1:115" x14ac:dyDescent="0.2">
      <c r="A300">
        <f>ROW(Source!A295)</f>
        <v>295</v>
      </c>
      <c r="B300">
        <v>129761636</v>
      </c>
      <c r="C300">
        <v>129763520</v>
      </c>
      <c r="D300">
        <v>37394032</v>
      </c>
      <c r="E300">
        <v>1</v>
      </c>
      <c r="F300">
        <v>1</v>
      </c>
      <c r="G300">
        <v>37345137</v>
      </c>
      <c r="H300">
        <v>3</v>
      </c>
      <c r="I300" t="s">
        <v>1255</v>
      </c>
      <c r="J300" t="s">
        <v>1256</v>
      </c>
      <c r="K300" t="s">
        <v>1257</v>
      </c>
      <c r="L300">
        <v>1348</v>
      </c>
      <c r="N300">
        <v>1009</v>
      </c>
      <c r="O300" t="s">
        <v>114</v>
      </c>
      <c r="P300" t="s">
        <v>114</v>
      </c>
      <c r="Q300">
        <v>1000</v>
      </c>
      <c r="W300">
        <v>0</v>
      </c>
      <c r="X300">
        <v>525496182</v>
      </c>
      <c r="Y300">
        <f t="shared" si="105"/>
        <v>1.2E-2</v>
      </c>
      <c r="AA300">
        <v>545.21</v>
      </c>
      <c r="AB300">
        <v>0</v>
      </c>
      <c r="AC300">
        <v>0</v>
      </c>
      <c r="AD300">
        <v>0</v>
      </c>
      <c r="AE300">
        <v>545.21</v>
      </c>
      <c r="AF300">
        <v>0</v>
      </c>
      <c r="AG300">
        <v>0</v>
      </c>
      <c r="AH300">
        <v>0</v>
      </c>
      <c r="AI300">
        <v>1</v>
      </c>
      <c r="AJ300">
        <v>1</v>
      </c>
      <c r="AK300">
        <v>1</v>
      </c>
      <c r="AL300">
        <v>1</v>
      </c>
      <c r="AN300">
        <v>0</v>
      </c>
      <c r="AO300">
        <v>1</v>
      </c>
      <c r="AP300">
        <v>0</v>
      </c>
      <c r="AQ300">
        <v>0</v>
      </c>
      <c r="AR300">
        <v>0</v>
      </c>
      <c r="AS300" t="s">
        <v>3</v>
      </c>
      <c r="AT300">
        <v>1.2E-2</v>
      </c>
      <c r="AU300" t="s">
        <v>3</v>
      </c>
      <c r="AV300">
        <v>0</v>
      </c>
      <c r="AW300">
        <v>2</v>
      </c>
      <c r="AX300">
        <v>129763535</v>
      </c>
      <c r="AY300">
        <v>1</v>
      </c>
      <c r="AZ300">
        <v>0</v>
      </c>
      <c r="BA300">
        <v>304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>ROUND(Y300*Source!I295,9)</f>
        <v>8.0400000000000003E-4</v>
      </c>
      <c r="CY300">
        <f t="shared" si="109"/>
        <v>545.21</v>
      </c>
      <c r="CZ300">
        <f t="shared" si="110"/>
        <v>545.21</v>
      </c>
      <c r="DA300">
        <f t="shared" si="111"/>
        <v>1</v>
      </c>
      <c r="DB300">
        <f t="shared" si="106"/>
        <v>6.54</v>
      </c>
      <c r="DC300">
        <f t="shared" si="107"/>
        <v>0</v>
      </c>
      <c r="DD300" t="s">
        <v>3</v>
      </c>
      <c r="DE300" t="s">
        <v>3</v>
      </c>
      <c r="DF300">
        <f t="shared" si="108"/>
        <v>0.44</v>
      </c>
      <c r="DG300">
        <f t="shared" si="102"/>
        <v>0</v>
      </c>
      <c r="DH300">
        <f t="shared" si="103"/>
        <v>0</v>
      </c>
      <c r="DI300">
        <f t="shared" si="100"/>
        <v>0</v>
      </c>
      <c r="DJ300">
        <f t="shared" si="112"/>
        <v>0.44</v>
      </c>
      <c r="DK300">
        <v>0</v>
      </c>
    </row>
    <row r="301" spans="1:115" x14ac:dyDescent="0.2">
      <c r="A301">
        <f>ROW(Source!A295)</f>
        <v>295</v>
      </c>
      <c r="B301">
        <v>129761636</v>
      </c>
      <c r="C301">
        <v>129763520</v>
      </c>
      <c r="D301">
        <v>37394039</v>
      </c>
      <c r="E301">
        <v>1</v>
      </c>
      <c r="F301">
        <v>1</v>
      </c>
      <c r="G301">
        <v>37345137</v>
      </c>
      <c r="H301">
        <v>3</v>
      </c>
      <c r="I301" t="s">
        <v>1258</v>
      </c>
      <c r="J301" t="s">
        <v>1259</v>
      </c>
      <c r="K301" t="s">
        <v>1260</v>
      </c>
      <c r="L301">
        <v>1348</v>
      </c>
      <c r="N301">
        <v>1009</v>
      </c>
      <c r="O301" t="s">
        <v>114</v>
      </c>
      <c r="P301" t="s">
        <v>114</v>
      </c>
      <c r="Q301">
        <v>1000</v>
      </c>
      <c r="W301">
        <v>0</v>
      </c>
      <c r="X301">
        <v>-1028135181</v>
      </c>
      <c r="Y301">
        <f t="shared" si="105"/>
        <v>6.4000000000000005E-4</v>
      </c>
      <c r="AA301">
        <v>12705.7</v>
      </c>
      <c r="AB301">
        <v>0</v>
      </c>
      <c r="AC301">
        <v>0</v>
      </c>
      <c r="AD301">
        <v>0</v>
      </c>
      <c r="AE301">
        <v>12705.7</v>
      </c>
      <c r="AF301">
        <v>0</v>
      </c>
      <c r="AG301">
        <v>0</v>
      </c>
      <c r="AH301">
        <v>0</v>
      </c>
      <c r="AI301">
        <v>1</v>
      </c>
      <c r="AJ301">
        <v>1</v>
      </c>
      <c r="AK301">
        <v>1</v>
      </c>
      <c r="AL301">
        <v>1</v>
      </c>
      <c r="AN301">
        <v>0</v>
      </c>
      <c r="AO301">
        <v>1</v>
      </c>
      <c r="AP301">
        <v>0</v>
      </c>
      <c r="AQ301">
        <v>0</v>
      </c>
      <c r="AR301">
        <v>0</v>
      </c>
      <c r="AS301" t="s">
        <v>3</v>
      </c>
      <c r="AT301">
        <v>6.4000000000000005E-4</v>
      </c>
      <c r="AU301" t="s">
        <v>3</v>
      </c>
      <c r="AV301">
        <v>0</v>
      </c>
      <c r="AW301">
        <v>2</v>
      </c>
      <c r="AX301">
        <v>129763536</v>
      </c>
      <c r="AY301">
        <v>1</v>
      </c>
      <c r="AZ301">
        <v>0</v>
      </c>
      <c r="BA301">
        <v>305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>ROUND(Y301*Source!I295,9)</f>
        <v>4.2880000000000003E-5</v>
      </c>
      <c r="CY301">
        <f t="shared" si="109"/>
        <v>12705.7</v>
      </c>
      <c r="CZ301">
        <f t="shared" si="110"/>
        <v>12705.7</v>
      </c>
      <c r="DA301">
        <f t="shared" si="111"/>
        <v>1</v>
      </c>
      <c r="DB301">
        <f t="shared" si="106"/>
        <v>8.1300000000000008</v>
      </c>
      <c r="DC301">
        <f t="shared" si="107"/>
        <v>0</v>
      </c>
      <c r="DD301" t="s">
        <v>3</v>
      </c>
      <c r="DE301" t="s">
        <v>3</v>
      </c>
      <c r="DF301">
        <f t="shared" si="108"/>
        <v>0.54</v>
      </c>
      <c r="DG301">
        <f t="shared" si="102"/>
        <v>0</v>
      </c>
      <c r="DH301">
        <f t="shared" si="103"/>
        <v>0</v>
      </c>
      <c r="DI301">
        <f t="shared" si="100"/>
        <v>0</v>
      </c>
      <c r="DJ301">
        <f t="shared" si="112"/>
        <v>0.54</v>
      </c>
      <c r="DK301">
        <v>0</v>
      </c>
    </row>
    <row r="302" spans="1:115" x14ac:dyDescent="0.2">
      <c r="A302">
        <f>ROW(Source!A296)</f>
        <v>296</v>
      </c>
      <c r="B302">
        <v>129761633</v>
      </c>
      <c r="C302">
        <v>129763520</v>
      </c>
      <c r="D302">
        <v>37345142</v>
      </c>
      <c r="E302">
        <v>37345137</v>
      </c>
      <c r="F302">
        <v>1</v>
      </c>
      <c r="G302">
        <v>37345137</v>
      </c>
      <c r="H302">
        <v>1</v>
      </c>
      <c r="I302" t="s">
        <v>1096</v>
      </c>
      <c r="J302" t="s">
        <v>3</v>
      </c>
      <c r="K302" t="s">
        <v>1097</v>
      </c>
      <c r="L302">
        <v>1191</v>
      </c>
      <c r="N302">
        <v>1013</v>
      </c>
      <c r="O302" t="s">
        <v>1098</v>
      </c>
      <c r="P302" t="s">
        <v>1098</v>
      </c>
      <c r="Q302">
        <v>1</v>
      </c>
      <c r="W302">
        <v>0</v>
      </c>
      <c r="X302">
        <v>476480486</v>
      </c>
      <c r="Y302">
        <f t="shared" si="105"/>
        <v>34.1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1</v>
      </c>
      <c r="AJ302">
        <v>1</v>
      </c>
      <c r="AK302">
        <v>1</v>
      </c>
      <c r="AL302">
        <v>1</v>
      </c>
      <c r="AN302">
        <v>0</v>
      </c>
      <c r="AO302">
        <v>1</v>
      </c>
      <c r="AP302">
        <v>0</v>
      </c>
      <c r="AQ302">
        <v>0</v>
      </c>
      <c r="AR302">
        <v>0</v>
      </c>
      <c r="AS302" t="s">
        <v>3</v>
      </c>
      <c r="AT302">
        <v>34.1</v>
      </c>
      <c r="AU302" t="s">
        <v>3</v>
      </c>
      <c r="AV302">
        <v>1</v>
      </c>
      <c r="AW302">
        <v>2</v>
      </c>
      <c r="AX302">
        <v>129763530</v>
      </c>
      <c r="AY302">
        <v>1</v>
      </c>
      <c r="AZ302">
        <v>0</v>
      </c>
      <c r="BA302">
        <v>308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>ROUND(Y302*Source!I296,9)</f>
        <v>2.2847</v>
      </c>
      <c r="CY302">
        <f>AD302</f>
        <v>0</v>
      </c>
      <c r="CZ302">
        <f>AH302</f>
        <v>0</v>
      </c>
      <c r="DA302">
        <f>AL302</f>
        <v>1</v>
      </c>
      <c r="DB302">
        <f t="shared" si="106"/>
        <v>0</v>
      </c>
      <c r="DC302">
        <f t="shared" si="107"/>
        <v>0</v>
      </c>
      <c r="DD302" t="s">
        <v>3</v>
      </c>
      <c r="DE302" t="s">
        <v>3</v>
      </c>
      <c r="DF302">
        <f t="shared" si="108"/>
        <v>0</v>
      </c>
      <c r="DG302">
        <f t="shared" si="102"/>
        <v>0</v>
      </c>
      <c r="DH302">
        <f t="shared" si="103"/>
        <v>0</v>
      </c>
      <c r="DI302">
        <f t="shared" si="100"/>
        <v>0</v>
      </c>
      <c r="DJ302">
        <f>DI302</f>
        <v>0</v>
      </c>
      <c r="DK302">
        <v>0</v>
      </c>
    </row>
    <row r="303" spans="1:115" x14ac:dyDescent="0.2">
      <c r="A303">
        <f>ROW(Source!A296)</f>
        <v>296</v>
      </c>
      <c r="B303">
        <v>129761633</v>
      </c>
      <c r="C303">
        <v>129763520</v>
      </c>
      <c r="D303">
        <v>37345890</v>
      </c>
      <c r="E303">
        <v>37345137</v>
      </c>
      <c r="F303">
        <v>1</v>
      </c>
      <c r="G303">
        <v>37345137</v>
      </c>
      <c r="H303">
        <v>2</v>
      </c>
      <c r="I303" t="s">
        <v>1145</v>
      </c>
      <c r="J303" t="s">
        <v>3</v>
      </c>
      <c r="K303" t="s">
        <v>1146</v>
      </c>
      <c r="L303">
        <v>1344</v>
      </c>
      <c r="N303">
        <v>1008</v>
      </c>
      <c r="O303" t="s">
        <v>1138</v>
      </c>
      <c r="P303" t="s">
        <v>1138</v>
      </c>
      <c r="Q303">
        <v>1</v>
      </c>
      <c r="W303">
        <v>0</v>
      </c>
      <c r="X303">
        <v>-1180195794</v>
      </c>
      <c r="Y303">
        <f t="shared" si="105"/>
        <v>4.47</v>
      </c>
      <c r="AA303">
        <v>0</v>
      </c>
      <c r="AB303">
        <v>1.03</v>
      </c>
      <c r="AC303">
        <v>0</v>
      </c>
      <c r="AD303">
        <v>0</v>
      </c>
      <c r="AE303">
        <v>0</v>
      </c>
      <c r="AF303">
        <v>1</v>
      </c>
      <c r="AG303">
        <v>0</v>
      </c>
      <c r="AH303">
        <v>0</v>
      </c>
      <c r="AI303">
        <v>1</v>
      </c>
      <c r="AJ303">
        <v>1</v>
      </c>
      <c r="AK303">
        <v>1</v>
      </c>
      <c r="AL303">
        <v>1</v>
      </c>
      <c r="AN303">
        <v>0</v>
      </c>
      <c r="AO303">
        <v>1</v>
      </c>
      <c r="AP303">
        <v>0</v>
      </c>
      <c r="AQ303">
        <v>0</v>
      </c>
      <c r="AR303">
        <v>0</v>
      </c>
      <c r="AS303" t="s">
        <v>3</v>
      </c>
      <c r="AT303">
        <v>4.47</v>
      </c>
      <c r="AU303" t="s">
        <v>3</v>
      </c>
      <c r="AV303">
        <v>0</v>
      </c>
      <c r="AW303">
        <v>2</v>
      </c>
      <c r="AX303">
        <v>129763531</v>
      </c>
      <c r="AY303">
        <v>1</v>
      </c>
      <c r="AZ303">
        <v>0</v>
      </c>
      <c r="BA303">
        <v>309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>ROUND(Y303*Source!I296,9)</f>
        <v>0.29948999999999998</v>
      </c>
      <c r="CY303">
        <f>AB303</f>
        <v>1.03</v>
      </c>
      <c r="CZ303">
        <f>AF303</f>
        <v>1</v>
      </c>
      <c r="DA303">
        <f>AJ303</f>
        <v>1</v>
      </c>
      <c r="DB303">
        <f t="shared" si="106"/>
        <v>4.47</v>
      </c>
      <c r="DC303">
        <f t="shared" si="107"/>
        <v>0</v>
      </c>
      <c r="DD303" t="s">
        <v>3</v>
      </c>
      <c r="DE303" t="s">
        <v>3</v>
      </c>
      <c r="DF303">
        <f t="shared" si="108"/>
        <v>0</v>
      </c>
      <c r="DG303">
        <f t="shared" si="102"/>
        <v>0.3</v>
      </c>
      <c r="DH303">
        <f t="shared" si="103"/>
        <v>0</v>
      </c>
      <c r="DI303">
        <f t="shared" si="100"/>
        <v>0</v>
      </c>
      <c r="DJ303">
        <f>DG303</f>
        <v>0.3</v>
      </c>
      <c r="DK303">
        <v>0</v>
      </c>
    </row>
    <row r="304" spans="1:115" x14ac:dyDescent="0.2">
      <c r="A304">
        <f>ROW(Source!A296)</f>
        <v>296</v>
      </c>
      <c r="B304">
        <v>129761633</v>
      </c>
      <c r="C304">
        <v>129763520</v>
      </c>
      <c r="D304">
        <v>37393552</v>
      </c>
      <c r="E304">
        <v>1</v>
      </c>
      <c r="F304">
        <v>1</v>
      </c>
      <c r="G304">
        <v>37345137</v>
      </c>
      <c r="H304">
        <v>3</v>
      </c>
      <c r="I304" t="s">
        <v>348</v>
      </c>
      <c r="J304" t="s">
        <v>350</v>
      </c>
      <c r="K304" t="s">
        <v>349</v>
      </c>
      <c r="L304">
        <v>1339</v>
      </c>
      <c r="N304">
        <v>1007</v>
      </c>
      <c r="O304" t="s">
        <v>94</v>
      </c>
      <c r="P304" t="s">
        <v>94</v>
      </c>
      <c r="Q304">
        <v>1</v>
      </c>
      <c r="W304">
        <v>0</v>
      </c>
      <c r="X304">
        <v>-862991314</v>
      </c>
      <c r="Y304">
        <f t="shared" si="105"/>
        <v>0.24</v>
      </c>
      <c r="AA304">
        <v>42.42</v>
      </c>
      <c r="AB304">
        <v>0</v>
      </c>
      <c r="AC304">
        <v>0</v>
      </c>
      <c r="AD304">
        <v>0</v>
      </c>
      <c r="AE304">
        <v>7.07</v>
      </c>
      <c r="AF304">
        <v>0</v>
      </c>
      <c r="AG304">
        <v>0</v>
      </c>
      <c r="AH304">
        <v>0</v>
      </c>
      <c r="AI304">
        <v>6</v>
      </c>
      <c r="AJ304">
        <v>1</v>
      </c>
      <c r="AK304">
        <v>1</v>
      </c>
      <c r="AL304">
        <v>1</v>
      </c>
      <c r="AN304">
        <v>0</v>
      </c>
      <c r="AO304">
        <v>1</v>
      </c>
      <c r="AP304">
        <v>0</v>
      </c>
      <c r="AQ304">
        <v>0</v>
      </c>
      <c r="AR304">
        <v>0</v>
      </c>
      <c r="AS304" t="s">
        <v>3</v>
      </c>
      <c r="AT304">
        <v>0.24</v>
      </c>
      <c r="AU304" t="s">
        <v>3</v>
      </c>
      <c r="AV304">
        <v>0</v>
      </c>
      <c r="AW304">
        <v>2</v>
      </c>
      <c r="AX304">
        <v>129763532</v>
      </c>
      <c r="AY304">
        <v>1</v>
      </c>
      <c r="AZ304">
        <v>0</v>
      </c>
      <c r="BA304">
        <v>310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>ROUND(Y304*Source!I296,9)</f>
        <v>1.6080000000000001E-2</v>
      </c>
      <c r="CY304">
        <f t="shared" ref="CY304:CY310" si="113">AA304</f>
        <v>42.42</v>
      </c>
      <c r="CZ304">
        <f t="shared" ref="CZ304:CZ310" si="114">AE304</f>
        <v>7.07</v>
      </c>
      <c r="DA304">
        <f t="shared" ref="DA304:DA310" si="115">AI304</f>
        <v>6</v>
      </c>
      <c r="DB304">
        <f t="shared" si="106"/>
        <v>1.7</v>
      </c>
      <c r="DC304">
        <f t="shared" si="107"/>
        <v>0</v>
      </c>
      <c r="DD304" t="s">
        <v>3</v>
      </c>
      <c r="DE304" t="s">
        <v>3</v>
      </c>
      <c r="DF304">
        <f t="shared" ref="DF304:DF310" si="116">ROUND(ROUND(AE304*CX304,2)*AI304,2)</f>
        <v>0.66</v>
      </c>
      <c r="DG304">
        <f t="shared" si="102"/>
        <v>0</v>
      </c>
      <c r="DH304">
        <f t="shared" si="103"/>
        <v>0</v>
      </c>
      <c r="DI304">
        <f t="shared" si="100"/>
        <v>0</v>
      </c>
      <c r="DJ304">
        <f t="shared" ref="DJ304:DJ310" si="117">DF304</f>
        <v>0.66</v>
      </c>
      <c r="DK304">
        <v>0</v>
      </c>
    </row>
    <row r="305" spans="1:115" x14ac:dyDescent="0.2">
      <c r="A305">
        <f>ROW(Source!A296)</f>
        <v>296</v>
      </c>
      <c r="B305">
        <v>129761633</v>
      </c>
      <c r="C305">
        <v>129763520</v>
      </c>
      <c r="D305">
        <v>37394765</v>
      </c>
      <c r="E305">
        <v>1</v>
      </c>
      <c r="F305">
        <v>1</v>
      </c>
      <c r="G305">
        <v>37345137</v>
      </c>
      <c r="H305">
        <v>3</v>
      </c>
      <c r="I305" t="s">
        <v>1249</v>
      </c>
      <c r="J305" t="s">
        <v>1250</v>
      </c>
      <c r="K305" t="s">
        <v>1251</v>
      </c>
      <c r="L305">
        <v>1327</v>
      </c>
      <c r="N305">
        <v>1005</v>
      </c>
      <c r="O305" t="s">
        <v>258</v>
      </c>
      <c r="P305" t="s">
        <v>258</v>
      </c>
      <c r="Q305">
        <v>1</v>
      </c>
      <c r="W305">
        <v>0</v>
      </c>
      <c r="X305">
        <v>-216611581</v>
      </c>
      <c r="Y305">
        <f t="shared" si="105"/>
        <v>1.6</v>
      </c>
      <c r="AA305">
        <v>188.24</v>
      </c>
      <c r="AB305">
        <v>0</v>
      </c>
      <c r="AC305">
        <v>0</v>
      </c>
      <c r="AD305">
        <v>0</v>
      </c>
      <c r="AE305">
        <v>104</v>
      </c>
      <c r="AF305">
        <v>0</v>
      </c>
      <c r="AG305">
        <v>0</v>
      </c>
      <c r="AH305">
        <v>0</v>
      </c>
      <c r="AI305">
        <v>1.81</v>
      </c>
      <c r="AJ305">
        <v>1</v>
      </c>
      <c r="AK305">
        <v>1</v>
      </c>
      <c r="AL305">
        <v>1</v>
      </c>
      <c r="AN305">
        <v>0</v>
      </c>
      <c r="AO305">
        <v>1</v>
      </c>
      <c r="AP305">
        <v>0</v>
      </c>
      <c r="AQ305">
        <v>0</v>
      </c>
      <c r="AR305">
        <v>0</v>
      </c>
      <c r="AS305" t="s">
        <v>3</v>
      </c>
      <c r="AT305">
        <v>1.6</v>
      </c>
      <c r="AU305" t="s">
        <v>3</v>
      </c>
      <c r="AV305">
        <v>0</v>
      </c>
      <c r="AW305">
        <v>2</v>
      </c>
      <c r="AX305">
        <v>129763533</v>
      </c>
      <c r="AY305">
        <v>1</v>
      </c>
      <c r="AZ305">
        <v>0</v>
      </c>
      <c r="BA305">
        <v>311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>ROUND(Y305*Source!I296,9)</f>
        <v>0.1072</v>
      </c>
      <c r="CY305">
        <f t="shared" si="113"/>
        <v>188.24</v>
      </c>
      <c r="CZ305">
        <f t="shared" si="114"/>
        <v>104</v>
      </c>
      <c r="DA305">
        <f t="shared" si="115"/>
        <v>1.81</v>
      </c>
      <c r="DB305">
        <f t="shared" si="106"/>
        <v>166.4</v>
      </c>
      <c r="DC305">
        <f t="shared" si="107"/>
        <v>0</v>
      </c>
      <c r="DD305" t="s">
        <v>3</v>
      </c>
      <c r="DE305" t="s">
        <v>3</v>
      </c>
      <c r="DF305">
        <f t="shared" si="116"/>
        <v>20.18</v>
      </c>
      <c r="DG305">
        <f t="shared" si="102"/>
        <v>0</v>
      </c>
      <c r="DH305">
        <f t="shared" si="103"/>
        <v>0</v>
      </c>
      <c r="DI305">
        <f t="shared" si="100"/>
        <v>0</v>
      </c>
      <c r="DJ305">
        <f t="shared" si="117"/>
        <v>20.18</v>
      </c>
      <c r="DK305">
        <v>0</v>
      </c>
    </row>
    <row r="306" spans="1:115" x14ac:dyDescent="0.2">
      <c r="A306">
        <f>ROW(Source!A296)</f>
        <v>296</v>
      </c>
      <c r="B306">
        <v>129761633</v>
      </c>
      <c r="C306">
        <v>129763520</v>
      </c>
      <c r="D306">
        <v>37394785</v>
      </c>
      <c r="E306">
        <v>1</v>
      </c>
      <c r="F306">
        <v>1</v>
      </c>
      <c r="G306">
        <v>37345137</v>
      </c>
      <c r="H306">
        <v>3</v>
      </c>
      <c r="I306" t="s">
        <v>363</v>
      </c>
      <c r="J306" t="s">
        <v>365</v>
      </c>
      <c r="K306" t="s">
        <v>364</v>
      </c>
      <c r="L306">
        <v>1348</v>
      </c>
      <c r="N306">
        <v>1009</v>
      </c>
      <c r="O306" t="s">
        <v>114</v>
      </c>
      <c r="P306" t="s">
        <v>114</v>
      </c>
      <c r="Q306">
        <v>1000</v>
      </c>
      <c r="W306">
        <v>0</v>
      </c>
      <c r="X306">
        <v>1793685401</v>
      </c>
      <c r="Y306">
        <f t="shared" si="105"/>
        <v>6.7999999999999996E-3</v>
      </c>
      <c r="AA306">
        <v>18959.95</v>
      </c>
      <c r="AB306">
        <v>0</v>
      </c>
      <c r="AC306">
        <v>0</v>
      </c>
      <c r="AD306">
        <v>0</v>
      </c>
      <c r="AE306">
        <v>2278.84</v>
      </c>
      <c r="AF306">
        <v>0</v>
      </c>
      <c r="AG306">
        <v>0</v>
      </c>
      <c r="AH306">
        <v>0</v>
      </c>
      <c r="AI306">
        <v>8.32</v>
      </c>
      <c r="AJ306">
        <v>1</v>
      </c>
      <c r="AK306">
        <v>1</v>
      </c>
      <c r="AL306">
        <v>1</v>
      </c>
      <c r="AN306">
        <v>0</v>
      </c>
      <c r="AO306">
        <v>0</v>
      </c>
      <c r="AP306">
        <v>0</v>
      </c>
      <c r="AQ306">
        <v>0</v>
      </c>
      <c r="AR306">
        <v>0</v>
      </c>
      <c r="AS306" t="s">
        <v>3</v>
      </c>
      <c r="AT306">
        <v>6.7999999999999996E-3</v>
      </c>
      <c r="AU306" t="s">
        <v>3</v>
      </c>
      <c r="AV306">
        <v>0</v>
      </c>
      <c r="AW306">
        <v>1</v>
      </c>
      <c r="AX306">
        <v>-1</v>
      </c>
      <c r="AY306">
        <v>0</v>
      </c>
      <c r="AZ306">
        <v>0</v>
      </c>
      <c r="BA306" t="s">
        <v>3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>ROUND(Y306*Source!I296,9)</f>
        <v>4.5560000000000002E-4</v>
      </c>
      <c r="CY306">
        <f t="shared" si="113"/>
        <v>18959.95</v>
      </c>
      <c r="CZ306">
        <f t="shared" si="114"/>
        <v>2278.84</v>
      </c>
      <c r="DA306">
        <f t="shared" si="115"/>
        <v>8.32</v>
      </c>
      <c r="DB306">
        <f t="shared" si="106"/>
        <v>15.5</v>
      </c>
      <c r="DC306">
        <f t="shared" si="107"/>
        <v>0</v>
      </c>
      <c r="DD306" t="s">
        <v>3</v>
      </c>
      <c r="DE306" t="s">
        <v>3</v>
      </c>
      <c r="DF306">
        <f t="shared" si="116"/>
        <v>8.65</v>
      </c>
      <c r="DG306">
        <f t="shared" si="102"/>
        <v>0</v>
      </c>
      <c r="DH306">
        <f t="shared" si="103"/>
        <v>0</v>
      </c>
      <c r="DI306">
        <f t="shared" si="100"/>
        <v>0</v>
      </c>
      <c r="DJ306">
        <f t="shared" si="117"/>
        <v>8.65</v>
      </c>
      <c r="DK306">
        <v>0</v>
      </c>
    </row>
    <row r="307" spans="1:115" x14ac:dyDescent="0.2">
      <c r="A307">
        <f>ROW(Source!A296)</f>
        <v>296</v>
      </c>
      <c r="B307">
        <v>129761633</v>
      </c>
      <c r="C307">
        <v>129763520</v>
      </c>
      <c r="D307">
        <v>37393813</v>
      </c>
      <c r="E307">
        <v>1</v>
      </c>
      <c r="F307">
        <v>1</v>
      </c>
      <c r="G307">
        <v>37345137</v>
      </c>
      <c r="H307">
        <v>3</v>
      </c>
      <c r="I307" t="s">
        <v>1252</v>
      </c>
      <c r="J307" t="s">
        <v>1253</v>
      </c>
      <c r="K307" t="s">
        <v>1254</v>
      </c>
      <c r="L307">
        <v>1348</v>
      </c>
      <c r="N307">
        <v>1009</v>
      </c>
      <c r="O307" t="s">
        <v>114</v>
      </c>
      <c r="P307" t="s">
        <v>114</v>
      </c>
      <c r="Q307">
        <v>1000</v>
      </c>
      <c r="W307">
        <v>0</v>
      </c>
      <c r="X307">
        <v>-455508453</v>
      </c>
      <c r="Y307">
        <f t="shared" si="105"/>
        <v>2.4299999999999999E-3</v>
      </c>
      <c r="AA307">
        <v>525853.11</v>
      </c>
      <c r="AB307">
        <v>0</v>
      </c>
      <c r="AC307">
        <v>0</v>
      </c>
      <c r="AD307">
        <v>0</v>
      </c>
      <c r="AE307">
        <v>12237.68</v>
      </c>
      <c r="AF307">
        <v>0</v>
      </c>
      <c r="AG307">
        <v>0</v>
      </c>
      <c r="AH307">
        <v>0</v>
      </c>
      <c r="AI307">
        <v>42.97</v>
      </c>
      <c r="AJ307">
        <v>1</v>
      </c>
      <c r="AK307">
        <v>1</v>
      </c>
      <c r="AL307">
        <v>1</v>
      </c>
      <c r="AN307">
        <v>0</v>
      </c>
      <c r="AO307">
        <v>1</v>
      </c>
      <c r="AP307">
        <v>0</v>
      </c>
      <c r="AQ307">
        <v>0</v>
      </c>
      <c r="AR307">
        <v>0</v>
      </c>
      <c r="AS307" t="s">
        <v>3</v>
      </c>
      <c r="AT307">
        <v>2.4299999999999999E-3</v>
      </c>
      <c r="AU307" t="s">
        <v>3</v>
      </c>
      <c r="AV307">
        <v>0</v>
      </c>
      <c r="AW307">
        <v>2</v>
      </c>
      <c r="AX307">
        <v>129763534</v>
      </c>
      <c r="AY307">
        <v>1</v>
      </c>
      <c r="AZ307">
        <v>0</v>
      </c>
      <c r="BA307">
        <v>312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>ROUND(Y307*Source!I296,9)</f>
        <v>1.6280999999999999E-4</v>
      </c>
      <c r="CY307">
        <f t="shared" si="113"/>
        <v>525853.11</v>
      </c>
      <c r="CZ307">
        <f t="shared" si="114"/>
        <v>12237.68</v>
      </c>
      <c r="DA307">
        <f t="shared" si="115"/>
        <v>42.97</v>
      </c>
      <c r="DB307">
        <f t="shared" si="106"/>
        <v>29.74</v>
      </c>
      <c r="DC307">
        <f t="shared" si="107"/>
        <v>0</v>
      </c>
      <c r="DD307" t="s">
        <v>3</v>
      </c>
      <c r="DE307" t="s">
        <v>3</v>
      </c>
      <c r="DF307">
        <f t="shared" si="116"/>
        <v>85.51</v>
      </c>
      <c r="DG307">
        <f t="shared" ref="DG307:DG338" si="118">ROUND(AF307*CX307,2)</f>
        <v>0</v>
      </c>
      <c r="DH307">
        <f t="shared" ref="DH307:DH338" si="119">ROUND(AG307*CX307,2)</f>
        <v>0</v>
      </c>
      <c r="DI307">
        <f t="shared" si="100"/>
        <v>0</v>
      </c>
      <c r="DJ307">
        <f t="shared" si="117"/>
        <v>85.51</v>
      </c>
      <c r="DK307">
        <v>0</v>
      </c>
    </row>
    <row r="308" spans="1:115" x14ac:dyDescent="0.2">
      <c r="A308">
        <f>ROW(Source!A296)</f>
        <v>296</v>
      </c>
      <c r="B308">
        <v>129761633</v>
      </c>
      <c r="C308">
        <v>129763520</v>
      </c>
      <c r="D308">
        <v>37393855</v>
      </c>
      <c r="E308">
        <v>1</v>
      </c>
      <c r="F308">
        <v>1</v>
      </c>
      <c r="G308">
        <v>37345137</v>
      </c>
      <c r="H308">
        <v>3</v>
      </c>
      <c r="I308" t="s">
        <v>382</v>
      </c>
      <c r="J308" t="s">
        <v>384</v>
      </c>
      <c r="K308" t="s">
        <v>383</v>
      </c>
      <c r="L308">
        <v>1348</v>
      </c>
      <c r="N308">
        <v>1009</v>
      </c>
      <c r="O308" t="s">
        <v>114</v>
      </c>
      <c r="P308" t="s">
        <v>114</v>
      </c>
      <c r="Q308">
        <v>1000</v>
      </c>
      <c r="W308">
        <v>0</v>
      </c>
      <c r="X308">
        <v>-908598485</v>
      </c>
      <c r="Y308">
        <f t="shared" si="105"/>
        <v>6.7000000000000004E-2</v>
      </c>
      <c r="AA308">
        <v>46663.39</v>
      </c>
      <c r="AB308">
        <v>0</v>
      </c>
      <c r="AC308">
        <v>0</v>
      </c>
      <c r="AD308">
        <v>0</v>
      </c>
      <c r="AE308">
        <v>22652.13</v>
      </c>
      <c r="AF308">
        <v>0</v>
      </c>
      <c r="AG308">
        <v>0</v>
      </c>
      <c r="AH308">
        <v>0</v>
      </c>
      <c r="AI308">
        <v>2.06</v>
      </c>
      <c r="AJ308">
        <v>1</v>
      </c>
      <c r="AK308">
        <v>1</v>
      </c>
      <c r="AL308">
        <v>1</v>
      </c>
      <c r="AN308">
        <v>0</v>
      </c>
      <c r="AO308">
        <v>0</v>
      </c>
      <c r="AP308">
        <v>0</v>
      </c>
      <c r="AQ308">
        <v>0</v>
      </c>
      <c r="AR308">
        <v>0</v>
      </c>
      <c r="AS308" t="s">
        <v>3</v>
      </c>
      <c r="AT308">
        <v>6.7000000000000004E-2</v>
      </c>
      <c r="AU308" t="s">
        <v>3</v>
      </c>
      <c r="AV308">
        <v>0</v>
      </c>
      <c r="AW308">
        <v>1</v>
      </c>
      <c r="AX308">
        <v>-1</v>
      </c>
      <c r="AY308">
        <v>0</v>
      </c>
      <c r="AZ308">
        <v>0</v>
      </c>
      <c r="BA308" t="s">
        <v>3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>ROUND(Y308*Source!I296,9)</f>
        <v>4.4889999999999999E-3</v>
      </c>
      <c r="CY308">
        <f t="shared" si="113"/>
        <v>46663.39</v>
      </c>
      <c r="CZ308">
        <f t="shared" si="114"/>
        <v>22652.13</v>
      </c>
      <c r="DA308">
        <f t="shared" si="115"/>
        <v>2.06</v>
      </c>
      <c r="DB308">
        <f t="shared" si="106"/>
        <v>1517.69</v>
      </c>
      <c r="DC308">
        <f t="shared" si="107"/>
        <v>0</v>
      </c>
      <c r="DD308" t="s">
        <v>3</v>
      </c>
      <c r="DE308" t="s">
        <v>3</v>
      </c>
      <c r="DF308">
        <f t="shared" si="116"/>
        <v>209.48</v>
      </c>
      <c r="DG308">
        <f t="shared" si="118"/>
        <v>0</v>
      </c>
      <c r="DH308">
        <f t="shared" si="119"/>
        <v>0</v>
      </c>
      <c r="DI308">
        <f t="shared" si="100"/>
        <v>0</v>
      </c>
      <c r="DJ308">
        <f t="shared" si="117"/>
        <v>209.48</v>
      </c>
      <c r="DK308">
        <v>0</v>
      </c>
    </row>
    <row r="309" spans="1:115" x14ac:dyDescent="0.2">
      <c r="A309">
        <f>ROW(Source!A296)</f>
        <v>296</v>
      </c>
      <c r="B309">
        <v>129761633</v>
      </c>
      <c r="C309">
        <v>129763520</v>
      </c>
      <c r="D309">
        <v>37394032</v>
      </c>
      <c r="E309">
        <v>1</v>
      </c>
      <c r="F309">
        <v>1</v>
      </c>
      <c r="G309">
        <v>37345137</v>
      </c>
      <c r="H309">
        <v>3</v>
      </c>
      <c r="I309" t="s">
        <v>1255</v>
      </c>
      <c r="J309" t="s">
        <v>1256</v>
      </c>
      <c r="K309" t="s">
        <v>1257</v>
      </c>
      <c r="L309">
        <v>1348</v>
      </c>
      <c r="N309">
        <v>1009</v>
      </c>
      <c r="O309" t="s">
        <v>114</v>
      </c>
      <c r="P309" t="s">
        <v>114</v>
      </c>
      <c r="Q309">
        <v>1000</v>
      </c>
      <c r="W309">
        <v>0</v>
      </c>
      <c r="X309">
        <v>525496182</v>
      </c>
      <c r="Y309">
        <f t="shared" si="105"/>
        <v>1.2E-2</v>
      </c>
      <c r="AA309">
        <v>6460.74</v>
      </c>
      <c r="AB309">
        <v>0</v>
      </c>
      <c r="AC309">
        <v>0</v>
      </c>
      <c r="AD309">
        <v>0</v>
      </c>
      <c r="AE309">
        <v>545.21</v>
      </c>
      <c r="AF309">
        <v>0</v>
      </c>
      <c r="AG309">
        <v>0</v>
      </c>
      <c r="AH309">
        <v>0</v>
      </c>
      <c r="AI309">
        <v>11.85</v>
      </c>
      <c r="AJ309">
        <v>1</v>
      </c>
      <c r="AK309">
        <v>1</v>
      </c>
      <c r="AL309">
        <v>1</v>
      </c>
      <c r="AN309">
        <v>0</v>
      </c>
      <c r="AO309">
        <v>1</v>
      </c>
      <c r="AP309">
        <v>0</v>
      </c>
      <c r="AQ309">
        <v>0</v>
      </c>
      <c r="AR309">
        <v>0</v>
      </c>
      <c r="AS309" t="s">
        <v>3</v>
      </c>
      <c r="AT309">
        <v>1.2E-2</v>
      </c>
      <c r="AU309" t="s">
        <v>3</v>
      </c>
      <c r="AV309">
        <v>0</v>
      </c>
      <c r="AW309">
        <v>2</v>
      </c>
      <c r="AX309">
        <v>129763535</v>
      </c>
      <c r="AY309">
        <v>1</v>
      </c>
      <c r="AZ309">
        <v>0</v>
      </c>
      <c r="BA309">
        <v>313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>ROUND(Y309*Source!I296,9)</f>
        <v>8.0400000000000003E-4</v>
      </c>
      <c r="CY309">
        <f t="shared" si="113"/>
        <v>6460.74</v>
      </c>
      <c r="CZ309">
        <f t="shared" si="114"/>
        <v>545.21</v>
      </c>
      <c r="DA309">
        <f t="shared" si="115"/>
        <v>11.85</v>
      </c>
      <c r="DB309">
        <f t="shared" si="106"/>
        <v>6.54</v>
      </c>
      <c r="DC309">
        <f t="shared" si="107"/>
        <v>0</v>
      </c>
      <c r="DD309" t="s">
        <v>3</v>
      </c>
      <c r="DE309" t="s">
        <v>3</v>
      </c>
      <c r="DF309">
        <f t="shared" si="116"/>
        <v>5.21</v>
      </c>
      <c r="DG309">
        <f t="shared" si="118"/>
        <v>0</v>
      </c>
      <c r="DH309">
        <f t="shared" si="119"/>
        <v>0</v>
      </c>
      <c r="DI309">
        <f t="shared" si="100"/>
        <v>0</v>
      </c>
      <c r="DJ309">
        <f t="shared" si="117"/>
        <v>5.21</v>
      </c>
      <c r="DK309">
        <v>0</v>
      </c>
    </row>
    <row r="310" spans="1:115" x14ac:dyDescent="0.2">
      <c r="A310">
        <f>ROW(Source!A296)</f>
        <v>296</v>
      </c>
      <c r="B310">
        <v>129761633</v>
      </c>
      <c r="C310">
        <v>129763520</v>
      </c>
      <c r="D310">
        <v>37394039</v>
      </c>
      <c r="E310">
        <v>1</v>
      </c>
      <c r="F310">
        <v>1</v>
      </c>
      <c r="G310">
        <v>37345137</v>
      </c>
      <c r="H310">
        <v>3</v>
      </c>
      <c r="I310" t="s">
        <v>1258</v>
      </c>
      <c r="J310" t="s">
        <v>1259</v>
      </c>
      <c r="K310" t="s">
        <v>1260</v>
      </c>
      <c r="L310">
        <v>1348</v>
      </c>
      <c r="N310">
        <v>1009</v>
      </c>
      <c r="O310" t="s">
        <v>114</v>
      </c>
      <c r="P310" t="s">
        <v>114</v>
      </c>
      <c r="Q310">
        <v>1000</v>
      </c>
      <c r="W310">
        <v>0</v>
      </c>
      <c r="X310">
        <v>-1028135181</v>
      </c>
      <c r="Y310">
        <f t="shared" si="105"/>
        <v>6.4000000000000005E-4</v>
      </c>
      <c r="AA310">
        <v>23124.37</v>
      </c>
      <c r="AB310">
        <v>0</v>
      </c>
      <c r="AC310">
        <v>0</v>
      </c>
      <c r="AD310">
        <v>0</v>
      </c>
      <c r="AE310">
        <v>12705.7</v>
      </c>
      <c r="AF310">
        <v>0</v>
      </c>
      <c r="AG310">
        <v>0</v>
      </c>
      <c r="AH310">
        <v>0</v>
      </c>
      <c r="AI310">
        <v>1.82</v>
      </c>
      <c r="AJ310">
        <v>1</v>
      </c>
      <c r="AK310">
        <v>1</v>
      </c>
      <c r="AL310">
        <v>1</v>
      </c>
      <c r="AN310">
        <v>0</v>
      </c>
      <c r="AO310">
        <v>1</v>
      </c>
      <c r="AP310">
        <v>0</v>
      </c>
      <c r="AQ310">
        <v>0</v>
      </c>
      <c r="AR310">
        <v>0</v>
      </c>
      <c r="AS310" t="s">
        <v>3</v>
      </c>
      <c r="AT310">
        <v>6.4000000000000005E-4</v>
      </c>
      <c r="AU310" t="s">
        <v>3</v>
      </c>
      <c r="AV310">
        <v>0</v>
      </c>
      <c r="AW310">
        <v>2</v>
      </c>
      <c r="AX310">
        <v>129763536</v>
      </c>
      <c r="AY310">
        <v>1</v>
      </c>
      <c r="AZ310">
        <v>0</v>
      </c>
      <c r="BA310">
        <v>314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>ROUND(Y310*Source!I296,9)</f>
        <v>4.2880000000000003E-5</v>
      </c>
      <c r="CY310">
        <f t="shared" si="113"/>
        <v>23124.37</v>
      </c>
      <c r="CZ310">
        <f t="shared" si="114"/>
        <v>12705.7</v>
      </c>
      <c r="DA310">
        <f t="shared" si="115"/>
        <v>1.82</v>
      </c>
      <c r="DB310">
        <f t="shared" si="106"/>
        <v>8.1300000000000008</v>
      </c>
      <c r="DC310">
        <f t="shared" si="107"/>
        <v>0</v>
      </c>
      <c r="DD310" t="s">
        <v>3</v>
      </c>
      <c r="DE310" t="s">
        <v>3</v>
      </c>
      <c r="DF310">
        <f t="shared" si="116"/>
        <v>0.98</v>
      </c>
      <c r="DG310">
        <f t="shared" si="118"/>
        <v>0</v>
      </c>
      <c r="DH310">
        <f t="shared" si="119"/>
        <v>0</v>
      </c>
      <c r="DI310">
        <f t="shared" si="100"/>
        <v>0</v>
      </c>
      <c r="DJ310">
        <f t="shared" si="117"/>
        <v>0.98</v>
      </c>
      <c r="DK310">
        <v>0</v>
      </c>
    </row>
    <row r="311" spans="1:115" x14ac:dyDescent="0.2">
      <c r="A311">
        <f>ROW(Source!A301)</f>
        <v>301</v>
      </c>
      <c r="B311">
        <v>129761636</v>
      </c>
      <c r="C311">
        <v>129763541</v>
      </c>
      <c r="D311">
        <v>37345142</v>
      </c>
      <c r="E311">
        <v>37345137</v>
      </c>
      <c r="F311">
        <v>1</v>
      </c>
      <c r="G311">
        <v>37345137</v>
      </c>
      <c r="H311">
        <v>1</v>
      </c>
      <c r="I311" t="s">
        <v>1096</v>
      </c>
      <c r="J311" t="s">
        <v>3</v>
      </c>
      <c r="K311" t="s">
        <v>1097</v>
      </c>
      <c r="L311">
        <v>1191</v>
      </c>
      <c r="N311">
        <v>1013</v>
      </c>
      <c r="O311" t="s">
        <v>1098</v>
      </c>
      <c r="P311" t="s">
        <v>1098</v>
      </c>
      <c r="Q311">
        <v>1</v>
      </c>
      <c r="W311">
        <v>0</v>
      </c>
      <c r="X311">
        <v>476480486</v>
      </c>
      <c r="Y311">
        <f>(AT311*1.15)</f>
        <v>202.39999999999998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1</v>
      </c>
      <c r="AJ311">
        <v>1</v>
      </c>
      <c r="AK311">
        <v>1</v>
      </c>
      <c r="AL311">
        <v>1</v>
      </c>
      <c r="AN311">
        <v>0</v>
      </c>
      <c r="AO311">
        <v>1</v>
      </c>
      <c r="AP311">
        <v>1</v>
      </c>
      <c r="AQ311">
        <v>0</v>
      </c>
      <c r="AR311">
        <v>0</v>
      </c>
      <c r="AS311" t="s">
        <v>3</v>
      </c>
      <c r="AT311">
        <v>176</v>
      </c>
      <c r="AU311" t="s">
        <v>87</v>
      </c>
      <c r="AV311">
        <v>1</v>
      </c>
      <c r="AW311">
        <v>2</v>
      </c>
      <c r="AX311">
        <v>129763548</v>
      </c>
      <c r="AY311">
        <v>1</v>
      </c>
      <c r="AZ311">
        <v>0</v>
      </c>
      <c r="BA311">
        <v>317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>ROUND(Y311*Source!I301,9)</f>
        <v>161.91999999999999</v>
      </c>
      <c r="CY311">
        <f>AD311</f>
        <v>0</v>
      </c>
      <c r="CZ311">
        <f>AH311</f>
        <v>0</v>
      </c>
      <c r="DA311">
        <f>AL311</f>
        <v>1</v>
      </c>
      <c r="DB311">
        <f>ROUND((ROUND(AT311*CZ311,2)*1.15),6)</f>
        <v>0</v>
      </c>
      <c r="DC311">
        <f>ROUND((ROUND(AT311*AG311,2)*1.15),6)</f>
        <v>0</v>
      </c>
      <c r="DD311" t="s">
        <v>3</v>
      </c>
      <c r="DE311" t="s">
        <v>3</v>
      </c>
      <c r="DF311">
        <f t="shared" ref="DF311:DF318" si="120">ROUND(AE311*CX311,2)</f>
        <v>0</v>
      </c>
      <c r="DG311">
        <f t="shared" si="118"/>
        <v>0</v>
      </c>
      <c r="DH311">
        <f t="shared" si="119"/>
        <v>0</v>
      </c>
      <c r="DI311">
        <f t="shared" si="100"/>
        <v>0</v>
      </c>
      <c r="DJ311">
        <f>DI311</f>
        <v>0</v>
      </c>
      <c r="DK311">
        <v>0</v>
      </c>
    </row>
    <row r="312" spans="1:115" x14ac:dyDescent="0.2">
      <c r="A312">
        <f>ROW(Source!A301)</f>
        <v>301</v>
      </c>
      <c r="B312">
        <v>129761636</v>
      </c>
      <c r="C312">
        <v>129763541</v>
      </c>
      <c r="D312">
        <v>37345890</v>
      </c>
      <c r="E312">
        <v>37345137</v>
      </c>
      <c r="F312">
        <v>1</v>
      </c>
      <c r="G312">
        <v>37345137</v>
      </c>
      <c r="H312">
        <v>2</v>
      </c>
      <c r="I312" t="s">
        <v>1145</v>
      </c>
      <c r="J312" t="s">
        <v>3</v>
      </c>
      <c r="K312" t="s">
        <v>1146</v>
      </c>
      <c r="L312">
        <v>1344</v>
      </c>
      <c r="N312">
        <v>1008</v>
      </c>
      <c r="O312" t="s">
        <v>1138</v>
      </c>
      <c r="P312" t="s">
        <v>1138</v>
      </c>
      <c r="Q312">
        <v>1</v>
      </c>
      <c r="W312">
        <v>0</v>
      </c>
      <c r="X312">
        <v>-1180195794</v>
      </c>
      <c r="Y312">
        <f>(AT312*1.25)</f>
        <v>24.574999999999999</v>
      </c>
      <c r="AA312">
        <v>0</v>
      </c>
      <c r="AB312">
        <v>1</v>
      </c>
      <c r="AC312">
        <v>0</v>
      </c>
      <c r="AD312">
        <v>0</v>
      </c>
      <c r="AE312">
        <v>0</v>
      </c>
      <c r="AF312">
        <v>1</v>
      </c>
      <c r="AG312">
        <v>0</v>
      </c>
      <c r="AH312">
        <v>0</v>
      </c>
      <c r="AI312">
        <v>1</v>
      </c>
      <c r="AJ312">
        <v>1</v>
      </c>
      <c r="AK312">
        <v>1</v>
      </c>
      <c r="AL312">
        <v>1</v>
      </c>
      <c r="AN312">
        <v>0</v>
      </c>
      <c r="AO312">
        <v>1</v>
      </c>
      <c r="AP312">
        <v>1</v>
      </c>
      <c r="AQ312">
        <v>0</v>
      </c>
      <c r="AR312">
        <v>0</v>
      </c>
      <c r="AS312" t="s">
        <v>3</v>
      </c>
      <c r="AT312">
        <v>19.66</v>
      </c>
      <c r="AU312" t="s">
        <v>86</v>
      </c>
      <c r="AV312">
        <v>0</v>
      </c>
      <c r="AW312">
        <v>2</v>
      </c>
      <c r="AX312">
        <v>129763549</v>
      </c>
      <c r="AY312">
        <v>1</v>
      </c>
      <c r="AZ312">
        <v>0</v>
      </c>
      <c r="BA312">
        <v>318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>ROUND(Y312*Source!I301,9)</f>
        <v>19.66</v>
      </c>
      <c r="CY312">
        <f>AB312</f>
        <v>1</v>
      </c>
      <c r="CZ312">
        <f>AF312</f>
        <v>1</v>
      </c>
      <c r="DA312">
        <f>AJ312</f>
        <v>1</v>
      </c>
      <c r="DB312">
        <f>ROUND((ROUND(AT312*CZ312,2)*1.25),6)</f>
        <v>24.574999999999999</v>
      </c>
      <c r="DC312">
        <f>ROUND((ROUND(AT312*AG312,2)*1.25),6)</f>
        <v>0</v>
      </c>
      <c r="DD312" t="s">
        <v>3</v>
      </c>
      <c r="DE312" t="s">
        <v>3</v>
      </c>
      <c r="DF312">
        <f t="shared" si="120"/>
        <v>0</v>
      </c>
      <c r="DG312">
        <f t="shared" si="118"/>
        <v>19.66</v>
      </c>
      <c r="DH312">
        <f t="shared" si="119"/>
        <v>0</v>
      </c>
      <c r="DI312">
        <f t="shared" si="100"/>
        <v>0</v>
      </c>
      <c r="DJ312">
        <f>DG312</f>
        <v>19.66</v>
      </c>
      <c r="DK312">
        <v>0</v>
      </c>
    </row>
    <row r="313" spans="1:115" x14ac:dyDescent="0.2">
      <c r="A313">
        <f>ROW(Source!A301)</f>
        <v>301</v>
      </c>
      <c r="B313">
        <v>129761636</v>
      </c>
      <c r="C313">
        <v>129763541</v>
      </c>
      <c r="D313">
        <v>37393498</v>
      </c>
      <c r="E313">
        <v>1</v>
      </c>
      <c r="F313">
        <v>1</v>
      </c>
      <c r="G313">
        <v>37345137</v>
      </c>
      <c r="H313">
        <v>3</v>
      </c>
      <c r="I313" t="s">
        <v>1231</v>
      </c>
      <c r="J313" t="s">
        <v>1232</v>
      </c>
      <c r="K313" t="s">
        <v>1233</v>
      </c>
      <c r="L313">
        <v>1348</v>
      </c>
      <c r="N313">
        <v>1009</v>
      </c>
      <c r="O313" t="s">
        <v>114</v>
      </c>
      <c r="P313" t="s">
        <v>114</v>
      </c>
      <c r="Q313">
        <v>1000</v>
      </c>
      <c r="W313">
        <v>0</v>
      </c>
      <c r="X313">
        <v>-1798553121</v>
      </c>
      <c r="Y313">
        <f>AT313</f>
        <v>2.8500000000000001E-3</v>
      </c>
      <c r="AA313">
        <v>17876.91</v>
      </c>
      <c r="AB313">
        <v>0</v>
      </c>
      <c r="AC313">
        <v>0</v>
      </c>
      <c r="AD313">
        <v>0</v>
      </c>
      <c r="AE313">
        <v>17876.91</v>
      </c>
      <c r="AF313">
        <v>0</v>
      </c>
      <c r="AG313">
        <v>0</v>
      </c>
      <c r="AH313">
        <v>0</v>
      </c>
      <c r="AI313">
        <v>1</v>
      </c>
      <c r="AJ313">
        <v>1</v>
      </c>
      <c r="AK313">
        <v>1</v>
      </c>
      <c r="AL313">
        <v>1</v>
      </c>
      <c r="AN313">
        <v>0</v>
      </c>
      <c r="AO313">
        <v>1</v>
      </c>
      <c r="AP313">
        <v>0</v>
      </c>
      <c r="AQ313">
        <v>0</v>
      </c>
      <c r="AR313">
        <v>0</v>
      </c>
      <c r="AS313" t="s">
        <v>3</v>
      </c>
      <c r="AT313">
        <v>2.8500000000000001E-3</v>
      </c>
      <c r="AU313" t="s">
        <v>3</v>
      </c>
      <c r="AV313">
        <v>0</v>
      </c>
      <c r="AW313">
        <v>2</v>
      </c>
      <c r="AX313">
        <v>129763550</v>
      </c>
      <c r="AY313">
        <v>1</v>
      </c>
      <c r="AZ313">
        <v>0</v>
      </c>
      <c r="BA313">
        <v>319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>ROUND(Y313*Source!I301,9)</f>
        <v>2.2799999999999999E-3</v>
      </c>
      <c r="CY313">
        <f>AA313</f>
        <v>17876.91</v>
      </c>
      <c r="CZ313">
        <f>AE313</f>
        <v>17876.91</v>
      </c>
      <c r="DA313">
        <f>AI313</f>
        <v>1</v>
      </c>
      <c r="DB313">
        <f>ROUND(ROUND(AT313*CZ313,2),6)</f>
        <v>50.95</v>
      </c>
      <c r="DC313">
        <f>ROUND(ROUND(AT313*AG313,2),6)</f>
        <v>0</v>
      </c>
      <c r="DD313" t="s">
        <v>3</v>
      </c>
      <c r="DE313" t="s">
        <v>3</v>
      </c>
      <c r="DF313">
        <f t="shared" si="120"/>
        <v>40.76</v>
      </c>
      <c r="DG313">
        <f t="shared" si="118"/>
        <v>0</v>
      </c>
      <c r="DH313">
        <f t="shared" si="119"/>
        <v>0</v>
      </c>
      <c r="DI313">
        <f t="shared" si="100"/>
        <v>0</v>
      </c>
      <c r="DJ313">
        <f>DF313</f>
        <v>40.76</v>
      </c>
      <c r="DK313">
        <v>0</v>
      </c>
    </row>
    <row r="314" spans="1:115" x14ac:dyDescent="0.2">
      <c r="A314">
        <f>ROW(Source!A301)</f>
        <v>301</v>
      </c>
      <c r="B314">
        <v>129761636</v>
      </c>
      <c r="C314">
        <v>129763541</v>
      </c>
      <c r="D314">
        <v>37367707</v>
      </c>
      <c r="E314">
        <v>37345137</v>
      </c>
      <c r="F314">
        <v>1</v>
      </c>
      <c r="G314">
        <v>37345137</v>
      </c>
      <c r="H314">
        <v>3</v>
      </c>
      <c r="I314" t="s">
        <v>392</v>
      </c>
      <c r="J314" t="s">
        <v>3</v>
      </c>
      <c r="K314" t="s">
        <v>393</v>
      </c>
      <c r="L314">
        <v>1391</v>
      </c>
      <c r="N314">
        <v>1013</v>
      </c>
      <c r="O314" t="s">
        <v>238</v>
      </c>
      <c r="P314" t="s">
        <v>238</v>
      </c>
      <c r="Q314">
        <v>1</v>
      </c>
      <c r="W314">
        <v>0</v>
      </c>
      <c r="X314">
        <v>-444997731</v>
      </c>
      <c r="Y314">
        <f>AT314</f>
        <v>100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1</v>
      </c>
      <c r="AJ314">
        <v>1</v>
      </c>
      <c r="AK314">
        <v>1</v>
      </c>
      <c r="AL314">
        <v>1</v>
      </c>
      <c r="AN314">
        <v>0</v>
      </c>
      <c r="AO314">
        <v>0</v>
      </c>
      <c r="AP314">
        <v>0</v>
      </c>
      <c r="AQ314">
        <v>0</v>
      </c>
      <c r="AR314">
        <v>0</v>
      </c>
      <c r="AS314" t="s">
        <v>3</v>
      </c>
      <c r="AT314">
        <v>100</v>
      </c>
      <c r="AU314" t="s">
        <v>3</v>
      </c>
      <c r="AV314">
        <v>0</v>
      </c>
      <c r="AW314">
        <v>2</v>
      </c>
      <c r="AX314">
        <v>129763551</v>
      </c>
      <c r="AY314">
        <v>1</v>
      </c>
      <c r="AZ314">
        <v>0</v>
      </c>
      <c r="BA314">
        <v>320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>ROUND(Y314*Source!I301,9)</f>
        <v>80</v>
      </c>
      <c r="CY314">
        <f>AA314</f>
        <v>0</v>
      </c>
      <c r="CZ314">
        <f>AE314</f>
        <v>0</v>
      </c>
      <c r="DA314">
        <f>AI314</f>
        <v>1</v>
      </c>
      <c r="DB314">
        <f>ROUND(ROUND(AT314*CZ314,2),6)</f>
        <v>0</v>
      </c>
      <c r="DC314">
        <f>ROUND(ROUND(AT314*AG314,2),6)</f>
        <v>0</v>
      </c>
      <c r="DD314" t="s">
        <v>3</v>
      </c>
      <c r="DE314" t="s">
        <v>3</v>
      </c>
      <c r="DF314">
        <f t="shared" si="120"/>
        <v>0</v>
      </c>
      <c r="DG314">
        <f t="shared" si="118"/>
        <v>0</v>
      </c>
      <c r="DH314">
        <f t="shared" si="119"/>
        <v>0</v>
      </c>
      <c r="DI314">
        <f t="shared" si="100"/>
        <v>0</v>
      </c>
      <c r="DJ314">
        <f>DF314</f>
        <v>0</v>
      </c>
      <c r="DK314">
        <v>0</v>
      </c>
    </row>
    <row r="315" spans="1:115" x14ac:dyDescent="0.2">
      <c r="A315">
        <f>ROW(Source!A301)</f>
        <v>301</v>
      </c>
      <c r="B315">
        <v>129761636</v>
      </c>
      <c r="C315">
        <v>129763541</v>
      </c>
      <c r="D315">
        <v>37358413</v>
      </c>
      <c r="E315">
        <v>37345137</v>
      </c>
      <c r="F315">
        <v>1</v>
      </c>
      <c r="G315">
        <v>37345137</v>
      </c>
      <c r="H315">
        <v>3</v>
      </c>
      <c r="I315" t="s">
        <v>395</v>
      </c>
      <c r="J315" t="s">
        <v>3</v>
      </c>
      <c r="K315" t="s">
        <v>396</v>
      </c>
      <c r="L315">
        <v>1327</v>
      </c>
      <c r="N315">
        <v>1005</v>
      </c>
      <c r="O315" t="s">
        <v>258</v>
      </c>
      <c r="P315" t="s">
        <v>258</v>
      </c>
      <c r="Q315">
        <v>1</v>
      </c>
      <c r="W315">
        <v>0</v>
      </c>
      <c r="X315">
        <v>-1012860968</v>
      </c>
      <c r="Y315">
        <f>AT315</f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1</v>
      </c>
      <c r="AJ315">
        <v>1</v>
      </c>
      <c r="AK315">
        <v>1</v>
      </c>
      <c r="AL315">
        <v>1</v>
      </c>
      <c r="AN315">
        <v>0</v>
      </c>
      <c r="AO315">
        <v>0</v>
      </c>
      <c r="AP315">
        <v>0</v>
      </c>
      <c r="AQ315">
        <v>0</v>
      </c>
      <c r="AR315">
        <v>0</v>
      </c>
      <c r="AS315" t="s">
        <v>3</v>
      </c>
      <c r="AT315">
        <v>0</v>
      </c>
      <c r="AU315" t="s">
        <v>3</v>
      </c>
      <c r="AV315">
        <v>0</v>
      </c>
      <c r="AW315">
        <v>2</v>
      </c>
      <c r="AX315">
        <v>129763552</v>
      </c>
      <c r="AY315">
        <v>1</v>
      </c>
      <c r="AZ315">
        <v>0</v>
      </c>
      <c r="BA315">
        <v>321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>ROUND(Y315*Source!I301,9)</f>
        <v>0</v>
      </c>
      <c r="CY315">
        <f>AA315</f>
        <v>0</v>
      </c>
      <c r="CZ315">
        <f>AE315</f>
        <v>0</v>
      </c>
      <c r="DA315">
        <f>AI315</f>
        <v>1</v>
      </c>
      <c r="DB315">
        <f>ROUND(ROUND(AT315*CZ315,2),6)</f>
        <v>0</v>
      </c>
      <c r="DC315">
        <f>ROUND(ROUND(AT315*AG315,2),6)</f>
        <v>0</v>
      </c>
      <c r="DD315" t="s">
        <v>3</v>
      </c>
      <c r="DE315" t="s">
        <v>3</v>
      </c>
      <c r="DF315">
        <f t="shared" si="120"/>
        <v>0</v>
      </c>
      <c r="DG315">
        <f t="shared" si="118"/>
        <v>0</v>
      </c>
      <c r="DH315">
        <f t="shared" si="119"/>
        <v>0</v>
      </c>
      <c r="DI315">
        <f t="shared" si="100"/>
        <v>0</v>
      </c>
      <c r="DJ315">
        <f>DF315</f>
        <v>0</v>
      </c>
      <c r="DK315">
        <v>0</v>
      </c>
    </row>
    <row r="316" spans="1:115" x14ac:dyDescent="0.2">
      <c r="A316">
        <f>ROW(Source!A301)</f>
        <v>301</v>
      </c>
      <c r="B316">
        <v>129761636</v>
      </c>
      <c r="C316">
        <v>129763541</v>
      </c>
      <c r="D316">
        <v>37367082</v>
      </c>
      <c r="E316">
        <v>37345137</v>
      </c>
      <c r="F316">
        <v>1</v>
      </c>
      <c r="G316">
        <v>37345137</v>
      </c>
      <c r="H316">
        <v>3</v>
      </c>
      <c r="I316" t="s">
        <v>1136</v>
      </c>
      <c r="J316" t="s">
        <v>3</v>
      </c>
      <c r="K316" t="s">
        <v>1137</v>
      </c>
      <c r="L316">
        <v>1344</v>
      </c>
      <c r="N316">
        <v>1008</v>
      </c>
      <c r="O316" t="s">
        <v>1138</v>
      </c>
      <c r="P316" t="s">
        <v>1138</v>
      </c>
      <c r="Q316">
        <v>1</v>
      </c>
      <c r="W316">
        <v>0</v>
      </c>
      <c r="X316">
        <v>-94250534</v>
      </c>
      <c r="Y316">
        <f>AT316</f>
        <v>0.87</v>
      </c>
      <c r="AA316">
        <v>1</v>
      </c>
      <c r="AB316">
        <v>0</v>
      </c>
      <c r="AC316">
        <v>0</v>
      </c>
      <c r="AD316">
        <v>0</v>
      </c>
      <c r="AE316">
        <v>1</v>
      </c>
      <c r="AF316">
        <v>0</v>
      </c>
      <c r="AG316">
        <v>0</v>
      </c>
      <c r="AH316">
        <v>0</v>
      </c>
      <c r="AI316">
        <v>1</v>
      </c>
      <c r="AJ316">
        <v>1</v>
      </c>
      <c r="AK316">
        <v>1</v>
      </c>
      <c r="AL316">
        <v>1</v>
      </c>
      <c r="AN316">
        <v>0</v>
      </c>
      <c r="AO316">
        <v>1</v>
      </c>
      <c r="AP316">
        <v>0</v>
      </c>
      <c r="AQ316">
        <v>0</v>
      </c>
      <c r="AR316">
        <v>0</v>
      </c>
      <c r="AS316" t="s">
        <v>3</v>
      </c>
      <c r="AT316">
        <v>0.87</v>
      </c>
      <c r="AU316" t="s">
        <v>3</v>
      </c>
      <c r="AV316">
        <v>0</v>
      </c>
      <c r="AW316">
        <v>2</v>
      </c>
      <c r="AX316">
        <v>129763553</v>
      </c>
      <c r="AY316">
        <v>1</v>
      </c>
      <c r="AZ316">
        <v>0</v>
      </c>
      <c r="BA316">
        <v>322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>ROUND(Y316*Source!I301,9)</f>
        <v>0.69599999999999995</v>
      </c>
      <c r="CY316">
        <f>AA316</f>
        <v>1</v>
      </c>
      <c r="CZ316">
        <f>AE316</f>
        <v>1</v>
      </c>
      <c r="DA316">
        <f>AI316</f>
        <v>1</v>
      </c>
      <c r="DB316">
        <f>ROUND(ROUND(AT316*CZ316,2),6)</f>
        <v>0.87</v>
      </c>
      <c r="DC316">
        <f>ROUND(ROUND(AT316*AG316,2),6)</f>
        <v>0</v>
      </c>
      <c r="DD316" t="s">
        <v>3</v>
      </c>
      <c r="DE316" t="s">
        <v>3</v>
      </c>
      <c r="DF316">
        <f t="shared" si="120"/>
        <v>0.7</v>
      </c>
      <c r="DG316">
        <f t="shared" si="118"/>
        <v>0</v>
      </c>
      <c r="DH316">
        <f t="shared" si="119"/>
        <v>0</v>
      </c>
      <c r="DI316">
        <f t="shared" si="100"/>
        <v>0</v>
      </c>
      <c r="DJ316">
        <f>DF316</f>
        <v>0.7</v>
      </c>
      <c r="DK316">
        <v>0</v>
      </c>
    </row>
    <row r="317" spans="1:115" x14ac:dyDescent="0.2">
      <c r="A317">
        <f>ROW(Source!A302)</f>
        <v>302</v>
      </c>
      <c r="B317">
        <v>129761633</v>
      </c>
      <c r="C317">
        <v>129763541</v>
      </c>
      <c r="D317">
        <v>37345142</v>
      </c>
      <c r="E317">
        <v>37345137</v>
      </c>
      <c r="F317">
        <v>1</v>
      </c>
      <c r="G317">
        <v>37345137</v>
      </c>
      <c r="H317">
        <v>1</v>
      </c>
      <c r="I317" t="s">
        <v>1096</v>
      </c>
      <c r="J317" t="s">
        <v>3</v>
      </c>
      <c r="K317" t="s">
        <v>1097</v>
      </c>
      <c r="L317">
        <v>1191</v>
      </c>
      <c r="N317">
        <v>1013</v>
      </c>
      <c r="O317" t="s">
        <v>1098</v>
      </c>
      <c r="P317" t="s">
        <v>1098</v>
      </c>
      <c r="Q317">
        <v>1</v>
      </c>
      <c r="W317">
        <v>0</v>
      </c>
      <c r="X317">
        <v>476480486</v>
      </c>
      <c r="Y317">
        <f>(AT317*1.15)</f>
        <v>202.39999999999998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1</v>
      </c>
      <c r="AJ317">
        <v>1</v>
      </c>
      <c r="AK317">
        <v>1</v>
      </c>
      <c r="AL317">
        <v>1</v>
      </c>
      <c r="AN317">
        <v>0</v>
      </c>
      <c r="AO317">
        <v>1</v>
      </c>
      <c r="AP317">
        <v>1</v>
      </c>
      <c r="AQ317">
        <v>0</v>
      </c>
      <c r="AR317">
        <v>0</v>
      </c>
      <c r="AS317" t="s">
        <v>3</v>
      </c>
      <c r="AT317">
        <v>176</v>
      </c>
      <c r="AU317" t="s">
        <v>87</v>
      </c>
      <c r="AV317">
        <v>1</v>
      </c>
      <c r="AW317">
        <v>2</v>
      </c>
      <c r="AX317">
        <v>129763548</v>
      </c>
      <c r="AY317">
        <v>1</v>
      </c>
      <c r="AZ317">
        <v>0</v>
      </c>
      <c r="BA317">
        <v>323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>ROUND(Y317*Source!I302,9)</f>
        <v>161.91999999999999</v>
      </c>
      <c r="CY317">
        <f>AD317</f>
        <v>0</v>
      </c>
      <c r="CZ317">
        <f>AH317</f>
        <v>0</v>
      </c>
      <c r="DA317">
        <f>AL317</f>
        <v>1</v>
      </c>
      <c r="DB317">
        <f>ROUND((ROUND(AT317*CZ317,2)*1.15),6)</f>
        <v>0</v>
      </c>
      <c r="DC317">
        <f>ROUND((ROUND(AT317*AG317,2)*1.15),6)</f>
        <v>0</v>
      </c>
      <c r="DD317" t="s">
        <v>3</v>
      </c>
      <c r="DE317" t="s">
        <v>3</v>
      </c>
      <c r="DF317">
        <f t="shared" si="120"/>
        <v>0</v>
      </c>
      <c r="DG317">
        <f t="shared" si="118"/>
        <v>0</v>
      </c>
      <c r="DH317">
        <f t="shared" si="119"/>
        <v>0</v>
      </c>
      <c r="DI317">
        <f t="shared" si="100"/>
        <v>0</v>
      </c>
      <c r="DJ317">
        <f>DI317</f>
        <v>0</v>
      </c>
      <c r="DK317">
        <v>0</v>
      </c>
    </row>
    <row r="318" spans="1:115" x14ac:dyDescent="0.2">
      <c r="A318">
        <f>ROW(Source!A302)</f>
        <v>302</v>
      </c>
      <c r="B318">
        <v>129761633</v>
      </c>
      <c r="C318">
        <v>129763541</v>
      </c>
      <c r="D318">
        <v>37345890</v>
      </c>
      <c r="E318">
        <v>37345137</v>
      </c>
      <c r="F318">
        <v>1</v>
      </c>
      <c r="G318">
        <v>37345137</v>
      </c>
      <c r="H318">
        <v>2</v>
      </c>
      <c r="I318" t="s">
        <v>1145</v>
      </c>
      <c r="J318" t="s">
        <v>3</v>
      </c>
      <c r="K318" t="s">
        <v>1146</v>
      </c>
      <c r="L318">
        <v>1344</v>
      </c>
      <c r="N318">
        <v>1008</v>
      </c>
      <c r="O318" t="s">
        <v>1138</v>
      </c>
      <c r="P318" t="s">
        <v>1138</v>
      </c>
      <c r="Q318">
        <v>1</v>
      </c>
      <c r="W318">
        <v>0</v>
      </c>
      <c r="X318">
        <v>-1180195794</v>
      </c>
      <c r="Y318">
        <f>(AT318*1.25)</f>
        <v>24.574999999999999</v>
      </c>
      <c r="AA318">
        <v>0</v>
      </c>
      <c r="AB318">
        <v>1.03</v>
      </c>
      <c r="AC318">
        <v>0</v>
      </c>
      <c r="AD318">
        <v>0</v>
      </c>
      <c r="AE318">
        <v>0</v>
      </c>
      <c r="AF318">
        <v>1</v>
      </c>
      <c r="AG318">
        <v>0</v>
      </c>
      <c r="AH318">
        <v>0</v>
      </c>
      <c r="AI318">
        <v>1</v>
      </c>
      <c r="AJ318">
        <v>1</v>
      </c>
      <c r="AK318">
        <v>1</v>
      </c>
      <c r="AL318">
        <v>1</v>
      </c>
      <c r="AN318">
        <v>0</v>
      </c>
      <c r="AO318">
        <v>1</v>
      </c>
      <c r="AP318">
        <v>1</v>
      </c>
      <c r="AQ318">
        <v>0</v>
      </c>
      <c r="AR318">
        <v>0</v>
      </c>
      <c r="AS318" t="s">
        <v>3</v>
      </c>
      <c r="AT318">
        <v>19.66</v>
      </c>
      <c r="AU318" t="s">
        <v>86</v>
      </c>
      <c r="AV318">
        <v>0</v>
      </c>
      <c r="AW318">
        <v>2</v>
      </c>
      <c r="AX318">
        <v>129763549</v>
      </c>
      <c r="AY318">
        <v>1</v>
      </c>
      <c r="AZ318">
        <v>0</v>
      </c>
      <c r="BA318">
        <v>324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>ROUND(Y318*Source!I302,9)</f>
        <v>19.66</v>
      </c>
      <c r="CY318">
        <f>AB318</f>
        <v>1.03</v>
      </c>
      <c r="CZ318">
        <f>AF318</f>
        <v>1</v>
      </c>
      <c r="DA318">
        <f>AJ318</f>
        <v>1</v>
      </c>
      <c r="DB318">
        <f>ROUND((ROUND(AT318*CZ318,2)*1.25),6)</f>
        <v>24.574999999999999</v>
      </c>
      <c r="DC318">
        <f>ROUND((ROUND(AT318*AG318,2)*1.25),6)</f>
        <v>0</v>
      </c>
      <c r="DD318" t="s">
        <v>3</v>
      </c>
      <c r="DE318" t="s">
        <v>3</v>
      </c>
      <c r="DF318">
        <f t="shared" si="120"/>
        <v>0</v>
      </c>
      <c r="DG318">
        <f t="shared" si="118"/>
        <v>19.66</v>
      </c>
      <c r="DH318">
        <f t="shared" si="119"/>
        <v>0</v>
      </c>
      <c r="DI318">
        <f t="shared" si="100"/>
        <v>0</v>
      </c>
      <c r="DJ318">
        <f>DG318</f>
        <v>19.66</v>
      </c>
      <c r="DK318">
        <v>0</v>
      </c>
    </row>
    <row r="319" spans="1:115" x14ac:dyDescent="0.2">
      <c r="A319">
        <f>ROW(Source!A302)</f>
        <v>302</v>
      </c>
      <c r="B319">
        <v>129761633</v>
      </c>
      <c r="C319">
        <v>129763541</v>
      </c>
      <c r="D319">
        <v>37393498</v>
      </c>
      <c r="E319">
        <v>1</v>
      </c>
      <c r="F319">
        <v>1</v>
      </c>
      <c r="G319">
        <v>37345137</v>
      </c>
      <c r="H319">
        <v>3</v>
      </c>
      <c r="I319" t="s">
        <v>1231</v>
      </c>
      <c r="J319" t="s">
        <v>1232</v>
      </c>
      <c r="K319" t="s">
        <v>1233</v>
      </c>
      <c r="L319">
        <v>1348</v>
      </c>
      <c r="N319">
        <v>1009</v>
      </c>
      <c r="O319" t="s">
        <v>114</v>
      </c>
      <c r="P319" t="s">
        <v>114</v>
      </c>
      <c r="Q319">
        <v>1000</v>
      </c>
      <c r="W319">
        <v>0</v>
      </c>
      <c r="X319">
        <v>-1798553121</v>
      </c>
      <c r="Y319">
        <f>AT319</f>
        <v>2.8500000000000001E-3</v>
      </c>
      <c r="AA319">
        <v>128713.75</v>
      </c>
      <c r="AB319">
        <v>0</v>
      </c>
      <c r="AC319">
        <v>0</v>
      </c>
      <c r="AD319">
        <v>0</v>
      </c>
      <c r="AE319">
        <v>17876.91</v>
      </c>
      <c r="AF319">
        <v>0</v>
      </c>
      <c r="AG319">
        <v>0</v>
      </c>
      <c r="AH319">
        <v>0</v>
      </c>
      <c r="AI319">
        <v>7.2</v>
      </c>
      <c r="AJ319">
        <v>1</v>
      </c>
      <c r="AK319">
        <v>1</v>
      </c>
      <c r="AL319">
        <v>1</v>
      </c>
      <c r="AN319">
        <v>0</v>
      </c>
      <c r="AO319">
        <v>1</v>
      </c>
      <c r="AP319">
        <v>0</v>
      </c>
      <c r="AQ319">
        <v>0</v>
      </c>
      <c r="AR319">
        <v>0</v>
      </c>
      <c r="AS319" t="s">
        <v>3</v>
      </c>
      <c r="AT319">
        <v>2.8500000000000001E-3</v>
      </c>
      <c r="AU319" t="s">
        <v>3</v>
      </c>
      <c r="AV319">
        <v>0</v>
      </c>
      <c r="AW319">
        <v>2</v>
      </c>
      <c r="AX319">
        <v>129763550</v>
      </c>
      <c r="AY319">
        <v>1</v>
      </c>
      <c r="AZ319">
        <v>0</v>
      </c>
      <c r="BA319">
        <v>325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>ROUND(Y319*Source!I302,9)</f>
        <v>2.2799999999999999E-3</v>
      </c>
      <c r="CY319">
        <f>AA319</f>
        <v>128713.75</v>
      </c>
      <c r="CZ319">
        <f>AE319</f>
        <v>17876.91</v>
      </c>
      <c r="DA319">
        <f>AI319</f>
        <v>7.2</v>
      </c>
      <c r="DB319">
        <f>ROUND(ROUND(AT319*CZ319,2),6)</f>
        <v>50.95</v>
      </c>
      <c r="DC319">
        <f>ROUND(ROUND(AT319*AG319,2),6)</f>
        <v>0</v>
      </c>
      <c r="DD319" t="s">
        <v>3</v>
      </c>
      <c r="DE319" t="s">
        <v>3</v>
      </c>
      <c r="DF319">
        <f>ROUND(ROUND(AE319*CX319,2)*AI319,2)</f>
        <v>293.47000000000003</v>
      </c>
      <c r="DG319">
        <f t="shared" si="118"/>
        <v>0</v>
      </c>
      <c r="DH319">
        <f t="shared" si="119"/>
        <v>0</v>
      </c>
      <c r="DI319">
        <f t="shared" si="100"/>
        <v>0</v>
      </c>
      <c r="DJ319">
        <f>DF319</f>
        <v>293.47000000000003</v>
      </c>
      <c r="DK319">
        <v>0</v>
      </c>
    </row>
    <row r="320" spans="1:115" x14ac:dyDescent="0.2">
      <c r="A320">
        <f>ROW(Source!A302)</f>
        <v>302</v>
      </c>
      <c r="B320">
        <v>129761633</v>
      </c>
      <c r="C320">
        <v>129763541</v>
      </c>
      <c r="D320">
        <v>37367707</v>
      </c>
      <c r="E320">
        <v>37345137</v>
      </c>
      <c r="F320">
        <v>1</v>
      </c>
      <c r="G320">
        <v>37345137</v>
      </c>
      <c r="H320">
        <v>3</v>
      </c>
      <c r="I320" t="s">
        <v>392</v>
      </c>
      <c r="J320" t="s">
        <v>3</v>
      </c>
      <c r="K320" t="s">
        <v>393</v>
      </c>
      <c r="L320">
        <v>1391</v>
      </c>
      <c r="N320">
        <v>1013</v>
      </c>
      <c r="O320" t="s">
        <v>238</v>
      </c>
      <c r="P320" t="s">
        <v>238</v>
      </c>
      <c r="Q320">
        <v>1</v>
      </c>
      <c r="W320">
        <v>0</v>
      </c>
      <c r="X320">
        <v>-444997731</v>
      </c>
      <c r="Y320">
        <f>AT320</f>
        <v>100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8.65</v>
      </c>
      <c r="AJ320">
        <v>1</v>
      </c>
      <c r="AK320">
        <v>1</v>
      </c>
      <c r="AL320">
        <v>1</v>
      </c>
      <c r="AN320">
        <v>0</v>
      </c>
      <c r="AO320">
        <v>0</v>
      </c>
      <c r="AP320">
        <v>0</v>
      </c>
      <c r="AQ320">
        <v>0</v>
      </c>
      <c r="AR320">
        <v>0</v>
      </c>
      <c r="AS320" t="s">
        <v>3</v>
      </c>
      <c r="AT320">
        <v>100</v>
      </c>
      <c r="AU320" t="s">
        <v>3</v>
      </c>
      <c r="AV320">
        <v>0</v>
      </c>
      <c r="AW320">
        <v>2</v>
      </c>
      <c r="AX320">
        <v>129763551</v>
      </c>
      <c r="AY320">
        <v>1</v>
      </c>
      <c r="AZ320">
        <v>0</v>
      </c>
      <c r="BA320">
        <v>326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>ROUND(Y320*Source!I302,9)</f>
        <v>80</v>
      </c>
      <c r="CY320">
        <f>AA320</f>
        <v>0</v>
      </c>
      <c r="CZ320">
        <f>AE320</f>
        <v>0</v>
      </c>
      <c r="DA320">
        <f>AI320</f>
        <v>8.65</v>
      </c>
      <c r="DB320">
        <f>ROUND(ROUND(AT320*CZ320,2),6)</f>
        <v>0</v>
      </c>
      <c r="DC320">
        <f>ROUND(ROUND(AT320*AG320,2),6)</f>
        <v>0</v>
      </c>
      <c r="DD320" t="s">
        <v>3</v>
      </c>
      <c r="DE320" t="s">
        <v>3</v>
      </c>
      <c r="DF320">
        <f>ROUND(ROUND(AE320*CX320,2)*AI320,2)</f>
        <v>0</v>
      </c>
      <c r="DG320">
        <f t="shared" si="118"/>
        <v>0</v>
      </c>
      <c r="DH320">
        <f t="shared" si="119"/>
        <v>0</v>
      </c>
      <c r="DI320">
        <f t="shared" si="100"/>
        <v>0</v>
      </c>
      <c r="DJ320">
        <f>DF320</f>
        <v>0</v>
      </c>
      <c r="DK320">
        <v>0</v>
      </c>
    </row>
    <row r="321" spans="1:115" x14ac:dyDescent="0.2">
      <c r="A321">
        <f>ROW(Source!A302)</f>
        <v>302</v>
      </c>
      <c r="B321">
        <v>129761633</v>
      </c>
      <c r="C321">
        <v>129763541</v>
      </c>
      <c r="D321">
        <v>37358413</v>
      </c>
      <c r="E321">
        <v>37345137</v>
      </c>
      <c r="F321">
        <v>1</v>
      </c>
      <c r="G321">
        <v>37345137</v>
      </c>
      <c r="H321">
        <v>3</v>
      </c>
      <c r="I321" t="s">
        <v>395</v>
      </c>
      <c r="J321" t="s">
        <v>3</v>
      </c>
      <c r="K321" t="s">
        <v>396</v>
      </c>
      <c r="L321">
        <v>1327</v>
      </c>
      <c r="N321">
        <v>1005</v>
      </c>
      <c r="O321" t="s">
        <v>258</v>
      </c>
      <c r="P321" t="s">
        <v>258</v>
      </c>
      <c r="Q321">
        <v>1</v>
      </c>
      <c r="W321">
        <v>0</v>
      </c>
      <c r="X321">
        <v>-1012860968</v>
      </c>
      <c r="Y321">
        <f>AT321</f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8.65</v>
      </c>
      <c r="AJ321">
        <v>1</v>
      </c>
      <c r="AK321">
        <v>1</v>
      </c>
      <c r="AL321">
        <v>1</v>
      </c>
      <c r="AN321">
        <v>0</v>
      </c>
      <c r="AO321">
        <v>0</v>
      </c>
      <c r="AP321">
        <v>0</v>
      </c>
      <c r="AQ321">
        <v>0</v>
      </c>
      <c r="AR321">
        <v>0</v>
      </c>
      <c r="AS321" t="s">
        <v>3</v>
      </c>
      <c r="AT321">
        <v>0</v>
      </c>
      <c r="AU321" t="s">
        <v>3</v>
      </c>
      <c r="AV321">
        <v>0</v>
      </c>
      <c r="AW321">
        <v>2</v>
      </c>
      <c r="AX321">
        <v>129763552</v>
      </c>
      <c r="AY321">
        <v>1</v>
      </c>
      <c r="AZ321">
        <v>0</v>
      </c>
      <c r="BA321">
        <v>327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>ROUND(Y321*Source!I302,9)</f>
        <v>0</v>
      </c>
      <c r="CY321">
        <f>AA321</f>
        <v>0</v>
      </c>
      <c r="CZ321">
        <f>AE321</f>
        <v>0</v>
      </c>
      <c r="DA321">
        <f>AI321</f>
        <v>8.65</v>
      </c>
      <c r="DB321">
        <f>ROUND(ROUND(AT321*CZ321,2),6)</f>
        <v>0</v>
      </c>
      <c r="DC321">
        <f>ROUND(ROUND(AT321*AG321,2),6)</f>
        <v>0</v>
      </c>
      <c r="DD321" t="s">
        <v>3</v>
      </c>
      <c r="DE321" t="s">
        <v>3</v>
      </c>
      <c r="DF321">
        <f>ROUND(ROUND(AE321*CX321,2)*AI321,2)</f>
        <v>0</v>
      </c>
      <c r="DG321">
        <f t="shared" si="118"/>
        <v>0</v>
      </c>
      <c r="DH321">
        <f t="shared" si="119"/>
        <v>0</v>
      </c>
      <c r="DI321">
        <f t="shared" ref="DI321:DI384" si="121">ROUND(AH321*CX321,2)</f>
        <v>0</v>
      </c>
      <c r="DJ321">
        <f>DF321</f>
        <v>0</v>
      </c>
      <c r="DK321">
        <v>0</v>
      </c>
    </row>
    <row r="322" spans="1:115" x14ac:dyDescent="0.2">
      <c r="A322">
        <f>ROW(Source!A302)</f>
        <v>302</v>
      </c>
      <c r="B322">
        <v>129761633</v>
      </c>
      <c r="C322">
        <v>129763541</v>
      </c>
      <c r="D322">
        <v>37367082</v>
      </c>
      <c r="E322">
        <v>37345137</v>
      </c>
      <c r="F322">
        <v>1</v>
      </c>
      <c r="G322">
        <v>37345137</v>
      </c>
      <c r="H322">
        <v>3</v>
      </c>
      <c r="I322" t="s">
        <v>1136</v>
      </c>
      <c r="J322" t="s">
        <v>3</v>
      </c>
      <c r="K322" t="s">
        <v>1137</v>
      </c>
      <c r="L322">
        <v>1344</v>
      </c>
      <c r="N322">
        <v>1008</v>
      </c>
      <c r="O322" t="s">
        <v>1138</v>
      </c>
      <c r="P322" t="s">
        <v>1138</v>
      </c>
      <c r="Q322">
        <v>1</v>
      </c>
      <c r="W322">
        <v>0</v>
      </c>
      <c r="X322">
        <v>-94250534</v>
      </c>
      <c r="Y322">
        <f>AT322</f>
        <v>0.87</v>
      </c>
      <c r="AA322">
        <v>8.65</v>
      </c>
      <c r="AB322">
        <v>0</v>
      </c>
      <c r="AC322">
        <v>0</v>
      </c>
      <c r="AD322">
        <v>0</v>
      </c>
      <c r="AE322">
        <v>1</v>
      </c>
      <c r="AF322">
        <v>0</v>
      </c>
      <c r="AG322">
        <v>0</v>
      </c>
      <c r="AH322">
        <v>0</v>
      </c>
      <c r="AI322">
        <v>8.65</v>
      </c>
      <c r="AJ322">
        <v>1</v>
      </c>
      <c r="AK322">
        <v>1</v>
      </c>
      <c r="AL322">
        <v>1</v>
      </c>
      <c r="AN322">
        <v>0</v>
      </c>
      <c r="AO322">
        <v>1</v>
      </c>
      <c r="AP322">
        <v>0</v>
      </c>
      <c r="AQ322">
        <v>0</v>
      </c>
      <c r="AR322">
        <v>0</v>
      </c>
      <c r="AS322" t="s">
        <v>3</v>
      </c>
      <c r="AT322">
        <v>0.87</v>
      </c>
      <c r="AU322" t="s">
        <v>3</v>
      </c>
      <c r="AV322">
        <v>0</v>
      </c>
      <c r="AW322">
        <v>2</v>
      </c>
      <c r="AX322">
        <v>129763553</v>
      </c>
      <c r="AY322">
        <v>1</v>
      </c>
      <c r="AZ322">
        <v>0</v>
      </c>
      <c r="BA322">
        <v>328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>ROUND(Y322*Source!I302,9)</f>
        <v>0.69599999999999995</v>
      </c>
      <c r="CY322">
        <f>AA322</f>
        <v>8.65</v>
      </c>
      <c r="CZ322">
        <f>AE322</f>
        <v>1</v>
      </c>
      <c r="DA322">
        <f>AI322</f>
        <v>8.65</v>
      </c>
      <c r="DB322">
        <f>ROUND(ROUND(AT322*CZ322,2),6)</f>
        <v>0.87</v>
      </c>
      <c r="DC322">
        <f>ROUND(ROUND(AT322*AG322,2),6)</f>
        <v>0</v>
      </c>
      <c r="DD322" t="s">
        <v>3</v>
      </c>
      <c r="DE322" t="s">
        <v>3</v>
      </c>
      <c r="DF322">
        <f>ROUND(ROUND(AE322*CX322,2)*AI322,2)</f>
        <v>6.06</v>
      </c>
      <c r="DG322">
        <f t="shared" si="118"/>
        <v>0</v>
      </c>
      <c r="DH322">
        <f t="shared" si="119"/>
        <v>0</v>
      </c>
      <c r="DI322">
        <f t="shared" si="121"/>
        <v>0</v>
      </c>
      <c r="DJ322">
        <f>DF322</f>
        <v>6.06</v>
      </c>
      <c r="DK322">
        <v>0</v>
      </c>
    </row>
    <row r="323" spans="1:115" x14ac:dyDescent="0.2">
      <c r="A323">
        <f>ROW(Source!A307)</f>
        <v>307</v>
      </c>
      <c r="B323">
        <v>129761636</v>
      </c>
      <c r="C323">
        <v>129763556</v>
      </c>
      <c r="D323">
        <v>37345142</v>
      </c>
      <c r="E323">
        <v>37345137</v>
      </c>
      <c r="F323">
        <v>1</v>
      </c>
      <c r="G323">
        <v>37345137</v>
      </c>
      <c r="H323">
        <v>1</v>
      </c>
      <c r="I323" t="s">
        <v>1096</v>
      </c>
      <c r="J323" t="s">
        <v>3</v>
      </c>
      <c r="K323" t="s">
        <v>1097</v>
      </c>
      <c r="L323">
        <v>1191</v>
      </c>
      <c r="N323">
        <v>1013</v>
      </c>
      <c r="O323" t="s">
        <v>1098</v>
      </c>
      <c r="P323" t="s">
        <v>1098</v>
      </c>
      <c r="Q323">
        <v>1</v>
      </c>
      <c r="W323">
        <v>0</v>
      </c>
      <c r="X323">
        <v>476480486</v>
      </c>
      <c r="Y323">
        <f>(AT323*1.15)</f>
        <v>96.691999999999993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1</v>
      </c>
      <c r="AJ323">
        <v>1</v>
      </c>
      <c r="AK323">
        <v>1</v>
      </c>
      <c r="AL323">
        <v>1</v>
      </c>
      <c r="AN323">
        <v>0</v>
      </c>
      <c r="AO323">
        <v>1</v>
      </c>
      <c r="AP323">
        <v>1</v>
      </c>
      <c r="AQ323">
        <v>0</v>
      </c>
      <c r="AR323">
        <v>0</v>
      </c>
      <c r="AS323" t="s">
        <v>3</v>
      </c>
      <c r="AT323">
        <v>84.08</v>
      </c>
      <c r="AU323" t="s">
        <v>87</v>
      </c>
      <c r="AV323">
        <v>1</v>
      </c>
      <c r="AW323">
        <v>2</v>
      </c>
      <c r="AX323">
        <v>129763566</v>
      </c>
      <c r="AY323">
        <v>1</v>
      </c>
      <c r="AZ323">
        <v>0</v>
      </c>
      <c r="BA323">
        <v>329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>ROUND(Y323*Source!I307,9)</f>
        <v>5.898212</v>
      </c>
      <c r="CY323">
        <f>AD323</f>
        <v>0</v>
      </c>
      <c r="CZ323">
        <f>AH323</f>
        <v>0</v>
      </c>
      <c r="DA323">
        <f>AL323</f>
        <v>1</v>
      </c>
      <c r="DB323">
        <f>ROUND((ROUND(AT323*CZ323,2)*1.15),6)</f>
        <v>0</v>
      </c>
      <c r="DC323">
        <f>ROUND((ROUND(AT323*AG323,2)*1.15),6)</f>
        <v>0</v>
      </c>
      <c r="DD323" t="s">
        <v>3</v>
      </c>
      <c r="DE323" t="s">
        <v>3</v>
      </c>
      <c r="DF323">
        <f t="shared" ref="DF323:DF336" si="122">ROUND(AE323*CX323,2)</f>
        <v>0</v>
      </c>
      <c r="DG323">
        <f t="shared" si="118"/>
        <v>0</v>
      </c>
      <c r="DH323">
        <f t="shared" si="119"/>
        <v>0</v>
      </c>
      <c r="DI323">
        <f t="shared" si="121"/>
        <v>0</v>
      </c>
      <c r="DJ323">
        <f>DI323</f>
        <v>0</v>
      </c>
      <c r="DK323">
        <v>0</v>
      </c>
    </row>
    <row r="324" spans="1:115" x14ac:dyDescent="0.2">
      <c r="A324">
        <f>ROW(Source!A307)</f>
        <v>307</v>
      </c>
      <c r="B324">
        <v>129761636</v>
      </c>
      <c r="C324">
        <v>129763556</v>
      </c>
      <c r="D324">
        <v>37418479</v>
      </c>
      <c r="E324">
        <v>1</v>
      </c>
      <c r="F324">
        <v>1</v>
      </c>
      <c r="G324">
        <v>37345137</v>
      </c>
      <c r="H324">
        <v>2</v>
      </c>
      <c r="I324" t="s">
        <v>1183</v>
      </c>
      <c r="J324" t="s">
        <v>1184</v>
      </c>
      <c r="K324" t="s">
        <v>1185</v>
      </c>
      <c r="L324">
        <v>1367</v>
      </c>
      <c r="N324">
        <v>1011</v>
      </c>
      <c r="O324" t="s">
        <v>1102</v>
      </c>
      <c r="P324" t="s">
        <v>1102</v>
      </c>
      <c r="Q324">
        <v>1</v>
      </c>
      <c r="W324">
        <v>0</v>
      </c>
      <c r="X324">
        <v>950854334</v>
      </c>
      <c r="Y324">
        <f>(AT324*1.25)</f>
        <v>33.862499999999997</v>
      </c>
      <c r="AA324">
        <v>0</v>
      </c>
      <c r="AB324">
        <v>2.36</v>
      </c>
      <c r="AC324">
        <v>0.1</v>
      </c>
      <c r="AD324">
        <v>0</v>
      </c>
      <c r="AE324">
        <v>0</v>
      </c>
      <c r="AF324">
        <v>2.36</v>
      </c>
      <c r="AG324">
        <v>0.1</v>
      </c>
      <c r="AH324">
        <v>0</v>
      </c>
      <c r="AI324">
        <v>1</v>
      </c>
      <c r="AJ324">
        <v>1</v>
      </c>
      <c r="AK324">
        <v>1</v>
      </c>
      <c r="AL324">
        <v>1</v>
      </c>
      <c r="AN324">
        <v>0</v>
      </c>
      <c r="AO324">
        <v>1</v>
      </c>
      <c r="AP324">
        <v>1</v>
      </c>
      <c r="AQ324">
        <v>0</v>
      </c>
      <c r="AR324">
        <v>0</v>
      </c>
      <c r="AS324" t="s">
        <v>3</v>
      </c>
      <c r="AT324">
        <v>27.09</v>
      </c>
      <c r="AU324" t="s">
        <v>86</v>
      </c>
      <c r="AV324">
        <v>0</v>
      </c>
      <c r="AW324">
        <v>2</v>
      </c>
      <c r="AX324">
        <v>129763567</v>
      </c>
      <c r="AY324">
        <v>1</v>
      </c>
      <c r="AZ324">
        <v>0</v>
      </c>
      <c r="BA324">
        <v>330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>ROUND(Y324*Source!I307,9)</f>
        <v>2.0656124999999999</v>
      </c>
      <c r="CY324">
        <f>AB324</f>
        <v>2.36</v>
      </c>
      <c r="CZ324">
        <f>AF324</f>
        <v>2.36</v>
      </c>
      <c r="DA324">
        <f>AJ324</f>
        <v>1</v>
      </c>
      <c r="DB324">
        <f>ROUND((ROUND(AT324*CZ324,2)*1.25),6)</f>
        <v>79.912499999999994</v>
      </c>
      <c r="DC324">
        <f>ROUND((ROUND(AT324*AG324,2)*1.25),6)</f>
        <v>3.3875000000000002</v>
      </c>
      <c r="DD324" t="s">
        <v>3</v>
      </c>
      <c r="DE324" t="s">
        <v>3</v>
      </c>
      <c r="DF324">
        <f t="shared" si="122"/>
        <v>0</v>
      </c>
      <c r="DG324">
        <f t="shared" si="118"/>
        <v>4.87</v>
      </c>
      <c r="DH324">
        <f t="shared" si="119"/>
        <v>0.21</v>
      </c>
      <c r="DI324">
        <f t="shared" si="121"/>
        <v>0</v>
      </c>
      <c r="DJ324">
        <f>DG324</f>
        <v>4.87</v>
      </c>
      <c r="DK324">
        <v>0</v>
      </c>
    </row>
    <row r="325" spans="1:115" x14ac:dyDescent="0.2">
      <c r="A325">
        <f>ROW(Source!A307)</f>
        <v>307</v>
      </c>
      <c r="B325">
        <v>129761636</v>
      </c>
      <c r="C325">
        <v>129763556</v>
      </c>
      <c r="D325">
        <v>37418541</v>
      </c>
      <c r="E325">
        <v>1</v>
      </c>
      <c r="F325">
        <v>1</v>
      </c>
      <c r="G325">
        <v>37345137</v>
      </c>
      <c r="H325">
        <v>2</v>
      </c>
      <c r="I325" t="s">
        <v>1261</v>
      </c>
      <c r="J325" t="s">
        <v>1262</v>
      </c>
      <c r="K325" t="s">
        <v>1263</v>
      </c>
      <c r="L325">
        <v>1367</v>
      </c>
      <c r="N325">
        <v>1011</v>
      </c>
      <c r="O325" t="s">
        <v>1102</v>
      </c>
      <c r="P325" t="s">
        <v>1102</v>
      </c>
      <c r="Q325">
        <v>1</v>
      </c>
      <c r="W325">
        <v>0</v>
      </c>
      <c r="X325">
        <v>-1931009994</v>
      </c>
      <c r="Y325">
        <f>(AT325*1.25)</f>
        <v>0.38750000000000001</v>
      </c>
      <c r="AA325">
        <v>0</v>
      </c>
      <c r="AB325">
        <v>31.85</v>
      </c>
      <c r="AC325">
        <v>14.89</v>
      </c>
      <c r="AD325">
        <v>0</v>
      </c>
      <c r="AE325">
        <v>0</v>
      </c>
      <c r="AF325">
        <v>31.85</v>
      </c>
      <c r="AG325">
        <v>14.89</v>
      </c>
      <c r="AH325">
        <v>0</v>
      </c>
      <c r="AI325">
        <v>1</v>
      </c>
      <c r="AJ325">
        <v>1</v>
      </c>
      <c r="AK325">
        <v>1</v>
      </c>
      <c r="AL325">
        <v>1</v>
      </c>
      <c r="AN325">
        <v>0</v>
      </c>
      <c r="AO325">
        <v>1</v>
      </c>
      <c r="AP325">
        <v>1</v>
      </c>
      <c r="AQ325">
        <v>0</v>
      </c>
      <c r="AR325">
        <v>0</v>
      </c>
      <c r="AS325" t="s">
        <v>3</v>
      </c>
      <c r="AT325">
        <v>0.31</v>
      </c>
      <c r="AU325" t="s">
        <v>86</v>
      </c>
      <c r="AV325">
        <v>0</v>
      </c>
      <c r="AW325">
        <v>2</v>
      </c>
      <c r="AX325">
        <v>129763568</v>
      </c>
      <c r="AY325">
        <v>1</v>
      </c>
      <c r="AZ325">
        <v>0</v>
      </c>
      <c r="BA325">
        <v>331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>ROUND(Y325*Source!I307,9)</f>
        <v>2.3637499999999999E-2</v>
      </c>
      <c r="CY325">
        <f>AB325</f>
        <v>31.85</v>
      </c>
      <c r="CZ325">
        <f>AF325</f>
        <v>31.85</v>
      </c>
      <c r="DA325">
        <f>AJ325</f>
        <v>1</v>
      </c>
      <c r="DB325">
        <f>ROUND((ROUND(AT325*CZ325,2)*1.25),6)</f>
        <v>12.3375</v>
      </c>
      <c r="DC325">
        <f>ROUND((ROUND(AT325*AG325,2)*1.25),6)</f>
        <v>5.7750000000000004</v>
      </c>
      <c r="DD325" t="s">
        <v>3</v>
      </c>
      <c r="DE325" t="s">
        <v>3</v>
      </c>
      <c r="DF325">
        <f t="shared" si="122"/>
        <v>0</v>
      </c>
      <c r="DG325">
        <f t="shared" si="118"/>
        <v>0.75</v>
      </c>
      <c r="DH325">
        <f t="shared" si="119"/>
        <v>0.35</v>
      </c>
      <c r="DI325">
        <f t="shared" si="121"/>
        <v>0</v>
      </c>
      <c r="DJ325">
        <f>DG325</f>
        <v>0.75</v>
      </c>
      <c r="DK325">
        <v>0</v>
      </c>
    </row>
    <row r="326" spans="1:115" x14ac:dyDescent="0.2">
      <c r="A326">
        <f>ROW(Source!A307)</f>
        <v>307</v>
      </c>
      <c r="B326">
        <v>129761636</v>
      </c>
      <c r="C326">
        <v>129763556</v>
      </c>
      <c r="D326">
        <v>37345890</v>
      </c>
      <c r="E326">
        <v>37345137</v>
      </c>
      <c r="F326">
        <v>1</v>
      </c>
      <c r="G326">
        <v>37345137</v>
      </c>
      <c r="H326">
        <v>2</v>
      </c>
      <c r="I326" t="s">
        <v>1145</v>
      </c>
      <c r="J326" t="s">
        <v>3</v>
      </c>
      <c r="K326" t="s">
        <v>1146</v>
      </c>
      <c r="L326">
        <v>1344</v>
      </c>
      <c r="N326">
        <v>1008</v>
      </c>
      <c r="O326" t="s">
        <v>1138</v>
      </c>
      <c r="P326" t="s">
        <v>1138</v>
      </c>
      <c r="Q326">
        <v>1</v>
      </c>
      <c r="W326">
        <v>0</v>
      </c>
      <c r="X326">
        <v>-1180195794</v>
      </c>
      <c r="Y326">
        <f>(AT326*1.25)</f>
        <v>32.450000000000003</v>
      </c>
      <c r="AA326">
        <v>0</v>
      </c>
      <c r="AB326">
        <v>1</v>
      </c>
      <c r="AC326">
        <v>0</v>
      </c>
      <c r="AD326">
        <v>0</v>
      </c>
      <c r="AE326">
        <v>0</v>
      </c>
      <c r="AF326">
        <v>1</v>
      </c>
      <c r="AG326">
        <v>0</v>
      </c>
      <c r="AH326">
        <v>0</v>
      </c>
      <c r="AI326">
        <v>1</v>
      </c>
      <c r="AJ326">
        <v>1</v>
      </c>
      <c r="AK326">
        <v>1</v>
      </c>
      <c r="AL326">
        <v>1</v>
      </c>
      <c r="AN326">
        <v>0</v>
      </c>
      <c r="AO326">
        <v>1</v>
      </c>
      <c r="AP326">
        <v>1</v>
      </c>
      <c r="AQ326">
        <v>0</v>
      </c>
      <c r="AR326">
        <v>0</v>
      </c>
      <c r="AS326" t="s">
        <v>3</v>
      </c>
      <c r="AT326">
        <v>25.96</v>
      </c>
      <c r="AU326" t="s">
        <v>86</v>
      </c>
      <c r="AV326">
        <v>0</v>
      </c>
      <c r="AW326">
        <v>2</v>
      </c>
      <c r="AX326">
        <v>129763569</v>
      </c>
      <c r="AY326">
        <v>1</v>
      </c>
      <c r="AZ326">
        <v>0</v>
      </c>
      <c r="BA326">
        <v>332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>ROUND(Y326*Source!I307,9)</f>
        <v>1.9794499999999999</v>
      </c>
      <c r="CY326">
        <f>AB326</f>
        <v>1</v>
      </c>
      <c r="CZ326">
        <f>AF326</f>
        <v>1</v>
      </c>
      <c r="DA326">
        <f>AJ326</f>
        <v>1</v>
      </c>
      <c r="DB326">
        <f>ROUND((ROUND(AT326*CZ326,2)*1.25),6)</f>
        <v>32.450000000000003</v>
      </c>
      <c r="DC326">
        <f>ROUND((ROUND(AT326*AG326,2)*1.25),6)</f>
        <v>0</v>
      </c>
      <c r="DD326" t="s">
        <v>3</v>
      </c>
      <c r="DE326" t="s">
        <v>3</v>
      </c>
      <c r="DF326">
        <f t="shared" si="122"/>
        <v>0</v>
      </c>
      <c r="DG326">
        <f t="shared" si="118"/>
        <v>1.98</v>
      </c>
      <c r="DH326">
        <f t="shared" si="119"/>
        <v>0</v>
      </c>
      <c r="DI326">
        <f t="shared" si="121"/>
        <v>0</v>
      </c>
      <c r="DJ326">
        <f>DG326</f>
        <v>1.98</v>
      </c>
      <c r="DK326">
        <v>0</v>
      </c>
    </row>
    <row r="327" spans="1:115" x14ac:dyDescent="0.2">
      <c r="A327">
        <f>ROW(Source!A307)</f>
        <v>307</v>
      </c>
      <c r="B327">
        <v>129761636</v>
      </c>
      <c r="C327">
        <v>129763556</v>
      </c>
      <c r="D327">
        <v>37393552</v>
      </c>
      <c r="E327">
        <v>1</v>
      </c>
      <c r="F327">
        <v>1</v>
      </c>
      <c r="G327">
        <v>37345137</v>
      </c>
      <c r="H327">
        <v>3</v>
      </c>
      <c r="I327" t="s">
        <v>348</v>
      </c>
      <c r="J327" t="s">
        <v>350</v>
      </c>
      <c r="K327" t="s">
        <v>349</v>
      </c>
      <c r="L327">
        <v>1339</v>
      </c>
      <c r="N327">
        <v>1007</v>
      </c>
      <c r="O327" t="s">
        <v>94</v>
      </c>
      <c r="P327" t="s">
        <v>94</v>
      </c>
      <c r="Q327">
        <v>1</v>
      </c>
      <c r="W327">
        <v>0</v>
      </c>
      <c r="X327">
        <v>-862991314</v>
      </c>
      <c r="Y327">
        <f t="shared" ref="Y327:Y332" si="123">AT327</f>
        <v>0.13300000000000001</v>
      </c>
      <c r="AA327">
        <v>7.07</v>
      </c>
      <c r="AB327">
        <v>0</v>
      </c>
      <c r="AC327">
        <v>0</v>
      </c>
      <c r="AD327">
        <v>0</v>
      </c>
      <c r="AE327">
        <v>7.07</v>
      </c>
      <c r="AF327">
        <v>0</v>
      </c>
      <c r="AG327">
        <v>0</v>
      </c>
      <c r="AH327">
        <v>0</v>
      </c>
      <c r="AI327">
        <v>1</v>
      </c>
      <c r="AJ327">
        <v>1</v>
      </c>
      <c r="AK327">
        <v>1</v>
      </c>
      <c r="AL327">
        <v>1</v>
      </c>
      <c r="AN327">
        <v>0</v>
      </c>
      <c r="AO327">
        <v>1</v>
      </c>
      <c r="AP327">
        <v>0</v>
      </c>
      <c r="AQ327">
        <v>0</v>
      </c>
      <c r="AR327">
        <v>0</v>
      </c>
      <c r="AS327" t="s">
        <v>3</v>
      </c>
      <c r="AT327">
        <v>0.13300000000000001</v>
      </c>
      <c r="AU327" t="s">
        <v>3</v>
      </c>
      <c r="AV327">
        <v>0</v>
      </c>
      <c r="AW327">
        <v>2</v>
      </c>
      <c r="AX327">
        <v>129763570</v>
      </c>
      <c r="AY327">
        <v>1</v>
      </c>
      <c r="AZ327">
        <v>0</v>
      </c>
      <c r="BA327">
        <v>333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>ROUND(Y327*Source!I307,9)</f>
        <v>8.1130000000000004E-3</v>
      </c>
      <c r="CY327">
        <f t="shared" ref="CY327:CY332" si="124">AA327</f>
        <v>7.07</v>
      </c>
      <c r="CZ327">
        <f t="shared" ref="CZ327:CZ332" si="125">AE327</f>
        <v>7.07</v>
      </c>
      <c r="DA327">
        <f t="shared" ref="DA327:DA332" si="126">AI327</f>
        <v>1</v>
      </c>
      <c r="DB327">
        <f t="shared" ref="DB327:DB332" si="127">ROUND(ROUND(AT327*CZ327,2),6)</f>
        <v>0.94</v>
      </c>
      <c r="DC327">
        <f t="shared" ref="DC327:DC332" si="128">ROUND(ROUND(AT327*AG327,2),6)</f>
        <v>0</v>
      </c>
      <c r="DD327" t="s">
        <v>3</v>
      </c>
      <c r="DE327" t="s">
        <v>3</v>
      </c>
      <c r="DF327">
        <f t="shared" si="122"/>
        <v>0.06</v>
      </c>
      <c r="DG327">
        <f t="shared" si="118"/>
        <v>0</v>
      </c>
      <c r="DH327">
        <f t="shared" si="119"/>
        <v>0</v>
      </c>
      <c r="DI327">
        <f t="shared" si="121"/>
        <v>0</v>
      </c>
      <c r="DJ327">
        <f t="shared" ref="DJ327:DJ332" si="129">DF327</f>
        <v>0.06</v>
      </c>
      <c r="DK327">
        <v>0</v>
      </c>
    </row>
    <row r="328" spans="1:115" x14ac:dyDescent="0.2">
      <c r="A328">
        <f>ROW(Source!A307)</f>
        <v>307</v>
      </c>
      <c r="B328">
        <v>129761636</v>
      </c>
      <c r="C328">
        <v>129763556</v>
      </c>
      <c r="D328">
        <v>37395603</v>
      </c>
      <c r="E328">
        <v>1</v>
      </c>
      <c r="F328">
        <v>1</v>
      </c>
      <c r="G328">
        <v>37345137</v>
      </c>
      <c r="H328">
        <v>3</v>
      </c>
      <c r="I328" t="s">
        <v>416</v>
      </c>
      <c r="J328" t="s">
        <v>418</v>
      </c>
      <c r="K328" t="s">
        <v>417</v>
      </c>
      <c r="L328">
        <v>1327</v>
      </c>
      <c r="N328">
        <v>1005</v>
      </c>
      <c r="O328" t="s">
        <v>258</v>
      </c>
      <c r="P328" t="s">
        <v>258</v>
      </c>
      <c r="Q328">
        <v>1</v>
      </c>
      <c r="W328">
        <v>0</v>
      </c>
      <c r="X328">
        <v>344513916</v>
      </c>
      <c r="Y328">
        <f t="shared" si="123"/>
        <v>0</v>
      </c>
      <c r="AA328">
        <v>92.02</v>
      </c>
      <c r="AB328">
        <v>0</v>
      </c>
      <c r="AC328">
        <v>0</v>
      </c>
      <c r="AD328">
        <v>0</v>
      </c>
      <c r="AE328">
        <v>92.02</v>
      </c>
      <c r="AF328">
        <v>0</v>
      </c>
      <c r="AG328">
        <v>0</v>
      </c>
      <c r="AH328">
        <v>0</v>
      </c>
      <c r="AI328">
        <v>1</v>
      </c>
      <c r="AJ328">
        <v>1</v>
      </c>
      <c r="AK328">
        <v>1</v>
      </c>
      <c r="AL328">
        <v>1</v>
      </c>
      <c r="AN328">
        <v>0</v>
      </c>
      <c r="AO328">
        <v>0</v>
      </c>
      <c r="AP328">
        <v>1</v>
      </c>
      <c r="AQ328">
        <v>0</v>
      </c>
      <c r="AR328">
        <v>0</v>
      </c>
      <c r="AS328" t="s">
        <v>3</v>
      </c>
      <c r="AT328">
        <v>0</v>
      </c>
      <c r="AU328" t="s">
        <v>3</v>
      </c>
      <c r="AV328">
        <v>0</v>
      </c>
      <c r="AW328">
        <v>1</v>
      </c>
      <c r="AX328">
        <v>-1</v>
      </c>
      <c r="AY328">
        <v>0</v>
      </c>
      <c r="AZ328">
        <v>0</v>
      </c>
      <c r="BA328" t="s">
        <v>3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>ROUND(Y328*Source!I307,9)</f>
        <v>0</v>
      </c>
      <c r="CY328">
        <f t="shared" si="124"/>
        <v>92.02</v>
      </c>
      <c r="CZ328">
        <f t="shared" si="125"/>
        <v>92.02</v>
      </c>
      <c r="DA328">
        <f t="shared" si="126"/>
        <v>1</v>
      </c>
      <c r="DB328">
        <f t="shared" si="127"/>
        <v>0</v>
      </c>
      <c r="DC328">
        <f t="shared" si="128"/>
        <v>0</v>
      </c>
      <c r="DD328" t="s">
        <v>3</v>
      </c>
      <c r="DE328" t="s">
        <v>3</v>
      </c>
      <c r="DF328">
        <f t="shared" si="122"/>
        <v>0</v>
      </c>
      <c r="DG328">
        <f t="shared" si="118"/>
        <v>0</v>
      </c>
      <c r="DH328">
        <f t="shared" si="119"/>
        <v>0</v>
      </c>
      <c r="DI328">
        <f t="shared" si="121"/>
        <v>0</v>
      </c>
      <c r="DJ328">
        <f t="shared" si="129"/>
        <v>0</v>
      </c>
      <c r="DK328">
        <v>0</v>
      </c>
    </row>
    <row r="329" spans="1:115" x14ac:dyDescent="0.2">
      <c r="A329">
        <f>ROW(Source!A307)</f>
        <v>307</v>
      </c>
      <c r="B329">
        <v>129761636</v>
      </c>
      <c r="C329">
        <v>129763556</v>
      </c>
      <c r="D329">
        <v>37395665</v>
      </c>
      <c r="E329">
        <v>1</v>
      </c>
      <c r="F329">
        <v>1</v>
      </c>
      <c r="G329">
        <v>37345137</v>
      </c>
      <c r="H329">
        <v>3</v>
      </c>
      <c r="I329" t="s">
        <v>1264</v>
      </c>
      <c r="J329" t="s">
        <v>1265</v>
      </c>
      <c r="K329" t="s">
        <v>1266</v>
      </c>
      <c r="L329">
        <v>1348</v>
      </c>
      <c r="N329">
        <v>1009</v>
      </c>
      <c r="O329" t="s">
        <v>114</v>
      </c>
      <c r="P329" t="s">
        <v>114</v>
      </c>
      <c r="Q329">
        <v>1000</v>
      </c>
      <c r="W329">
        <v>0</v>
      </c>
      <c r="X329">
        <v>-162804234</v>
      </c>
      <c r="Y329">
        <f t="shared" si="123"/>
        <v>0.01</v>
      </c>
      <c r="AA329">
        <v>69883.649999999994</v>
      </c>
      <c r="AB329">
        <v>0</v>
      </c>
      <c r="AC329">
        <v>0</v>
      </c>
      <c r="AD329">
        <v>0</v>
      </c>
      <c r="AE329">
        <v>69883.649999999994</v>
      </c>
      <c r="AF329">
        <v>0</v>
      </c>
      <c r="AG329">
        <v>0</v>
      </c>
      <c r="AH329">
        <v>0</v>
      </c>
      <c r="AI329">
        <v>1</v>
      </c>
      <c r="AJ329">
        <v>1</v>
      </c>
      <c r="AK329">
        <v>1</v>
      </c>
      <c r="AL329">
        <v>1</v>
      </c>
      <c r="AN329">
        <v>0</v>
      </c>
      <c r="AO329">
        <v>1</v>
      </c>
      <c r="AP329">
        <v>0</v>
      </c>
      <c r="AQ329">
        <v>0</v>
      </c>
      <c r="AR329">
        <v>0</v>
      </c>
      <c r="AS329" t="s">
        <v>3</v>
      </c>
      <c r="AT329">
        <v>0.01</v>
      </c>
      <c r="AU329" t="s">
        <v>3</v>
      </c>
      <c r="AV329">
        <v>0</v>
      </c>
      <c r="AW329">
        <v>2</v>
      </c>
      <c r="AX329">
        <v>129763571</v>
      </c>
      <c r="AY329">
        <v>1</v>
      </c>
      <c r="AZ329">
        <v>0</v>
      </c>
      <c r="BA329">
        <v>334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>ROUND(Y329*Source!I307,9)</f>
        <v>6.0999999999999997E-4</v>
      </c>
      <c r="CY329">
        <f t="shared" si="124"/>
        <v>69883.649999999994</v>
      </c>
      <c r="CZ329">
        <f t="shared" si="125"/>
        <v>69883.649999999994</v>
      </c>
      <c r="DA329">
        <f t="shared" si="126"/>
        <v>1</v>
      </c>
      <c r="DB329">
        <f t="shared" si="127"/>
        <v>698.84</v>
      </c>
      <c r="DC329">
        <f t="shared" si="128"/>
        <v>0</v>
      </c>
      <c r="DD329" t="s">
        <v>3</v>
      </c>
      <c r="DE329" t="s">
        <v>3</v>
      </c>
      <c r="DF329">
        <f t="shared" si="122"/>
        <v>42.63</v>
      </c>
      <c r="DG329">
        <f t="shared" si="118"/>
        <v>0</v>
      </c>
      <c r="DH329">
        <f t="shared" si="119"/>
        <v>0</v>
      </c>
      <c r="DI329">
        <f t="shared" si="121"/>
        <v>0</v>
      </c>
      <c r="DJ329">
        <f t="shared" si="129"/>
        <v>42.63</v>
      </c>
      <c r="DK329">
        <v>0</v>
      </c>
    </row>
    <row r="330" spans="1:115" x14ac:dyDescent="0.2">
      <c r="A330">
        <f>ROW(Source!A307)</f>
        <v>307</v>
      </c>
      <c r="B330">
        <v>129761636</v>
      </c>
      <c r="C330">
        <v>129763556</v>
      </c>
      <c r="D330">
        <v>37412156</v>
      </c>
      <c r="E330">
        <v>1</v>
      </c>
      <c r="F330">
        <v>1</v>
      </c>
      <c r="G330">
        <v>37345137</v>
      </c>
      <c r="H330">
        <v>3</v>
      </c>
      <c r="I330" t="s">
        <v>409</v>
      </c>
      <c r="J330" t="s">
        <v>411</v>
      </c>
      <c r="K330" t="s">
        <v>410</v>
      </c>
      <c r="L330">
        <v>1348</v>
      </c>
      <c r="N330">
        <v>1009</v>
      </c>
      <c r="O330" t="s">
        <v>114</v>
      </c>
      <c r="P330" t="s">
        <v>114</v>
      </c>
      <c r="Q330">
        <v>1000</v>
      </c>
      <c r="W330">
        <v>0</v>
      </c>
      <c r="X330">
        <v>1192135998</v>
      </c>
      <c r="Y330">
        <f t="shared" si="123"/>
        <v>0.47</v>
      </c>
      <c r="AA330">
        <v>1424.67</v>
      </c>
      <c r="AB330">
        <v>0</v>
      </c>
      <c r="AC330">
        <v>0</v>
      </c>
      <c r="AD330">
        <v>0</v>
      </c>
      <c r="AE330">
        <v>1424.67</v>
      </c>
      <c r="AF330">
        <v>0</v>
      </c>
      <c r="AG330">
        <v>0</v>
      </c>
      <c r="AH330">
        <v>0</v>
      </c>
      <c r="AI330">
        <v>1</v>
      </c>
      <c r="AJ330">
        <v>1</v>
      </c>
      <c r="AK330">
        <v>1</v>
      </c>
      <c r="AL330">
        <v>1</v>
      </c>
      <c r="AN330">
        <v>0</v>
      </c>
      <c r="AO330">
        <v>0</v>
      </c>
      <c r="AP330">
        <v>0</v>
      </c>
      <c r="AQ330">
        <v>0</v>
      </c>
      <c r="AR330">
        <v>0</v>
      </c>
      <c r="AS330" t="s">
        <v>3</v>
      </c>
      <c r="AT330">
        <v>0.47</v>
      </c>
      <c r="AU330" t="s">
        <v>3</v>
      </c>
      <c r="AV330">
        <v>0</v>
      </c>
      <c r="AW330">
        <v>1</v>
      </c>
      <c r="AX330">
        <v>-1</v>
      </c>
      <c r="AY330">
        <v>0</v>
      </c>
      <c r="AZ330">
        <v>0</v>
      </c>
      <c r="BA330" t="s">
        <v>3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>ROUND(Y330*Source!I307,9)</f>
        <v>2.8670000000000001E-2</v>
      </c>
      <c r="CY330">
        <f t="shared" si="124"/>
        <v>1424.67</v>
      </c>
      <c r="CZ330">
        <f t="shared" si="125"/>
        <v>1424.67</v>
      </c>
      <c r="DA330">
        <f t="shared" si="126"/>
        <v>1</v>
      </c>
      <c r="DB330">
        <f t="shared" si="127"/>
        <v>669.59</v>
      </c>
      <c r="DC330">
        <f t="shared" si="128"/>
        <v>0</v>
      </c>
      <c r="DD330" t="s">
        <v>3</v>
      </c>
      <c r="DE330" t="s">
        <v>3</v>
      </c>
      <c r="DF330">
        <f t="shared" si="122"/>
        <v>40.85</v>
      </c>
      <c r="DG330">
        <f t="shared" si="118"/>
        <v>0</v>
      </c>
      <c r="DH330">
        <f t="shared" si="119"/>
        <v>0</v>
      </c>
      <c r="DI330">
        <f t="shared" si="121"/>
        <v>0</v>
      </c>
      <c r="DJ330">
        <f t="shared" si="129"/>
        <v>40.85</v>
      </c>
      <c r="DK330">
        <v>0</v>
      </c>
    </row>
    <row r="331" spans="1:115" x14ac:dyDescent="0.2">
      <c r="A331">
        <f>ROW(Source!A307)</f>
        <v>307</v>
      </c>
      <c r="B331">
        <v>129761636</v>
      </c>
      <c r="C331">
        <v>129763556</v>
      </c>
      <c r="D331">
        <v>37412158</v>
      </c>
      <c r="E331">
        <v>1</v>
      </c>
      <c r="F331">
        <v>1</v>
      </c>
      <c r="G331">
        <v>37345137</v>
      </c>
      <c r="H331">
        <v>3</v>
      </c>
      <c r="I331" t="s">
        <v>405</v>
      </c>
      <c r="J331" t="s">
        <v>407</v>
      </c>
      <c r="K331" t="s">
        <v>406</v>
      </c>
      <c r="L331">
        <v>1348</v>
      </c>
      <c r="N331">
        <v>1009</v>
      </c>
      <c r="O331" t="s">
        <v>114</v>
      </c>
      <c r="P331" t="s">
        <v>114</v>
      </c>
      <c r="Q331">
        <v>1000</v>
      </c>
      <c r="W331">
        <v>0</v>
      </c>
      <c r="X331">
        <v>1389983172</v>
      </c>
      <c r="Y331">
        <f t="shared" si="123"/>
        <v>0.1</v>
      </c>
      <c r="AA331">
        <v>27362.67</v>
      </c>
      <c r="AB331">
        <v>0</v>
      </c>
      <c r="AC331">
        <v>0</v>
      </c>
      <c r="AD331">
        <v>0</v>
      </c>
      <c r="AE331">
        <v>27362.67</v>
      </c>
      <c r="AF331">
        <v>0</v>
      </c>
      <c r="AG331">
        <v>0</v>
      </c>
      <c r="AH331">
        <v>0</v>
      </c>
      <c r="AI331">
        <v>1</v>
      </c>
      <c r="AJ331">
        <v>1</v>
      </c>
      <c r="AK331">
        <v>1</v>
      </c>
      <c r="AL331">
        <v>1</v>
      </c>
      <c r="AN331">
        <v>0</v>
      </c>
      <c r="AO331">
        <v>0</v>
      </c>
      <c r="AP331">
        <v>0</v>
      </c>
      <c r="AQ331">
        <v>0</v>
      </c>
      <c r="AR331">
        <v>0</v>
      </c>
      <c r="AS331" t="s">
        <v>3</v>
      </c>
      <c r="AT331">
        <v>0.1</v>
      </c>
      <c r="AU331" t="s">
        <v>3</v>
      </c>
      <c r="AV331">
        <v>0</v>
      </c>
      <c r="AW331">
        <v>1</v>
      </c>
      <c r="AX331">
        <v>-1</v>
      </c>
      <c r="AY331">
        <v>0</v>
      </c>
      <c r="AZ331">
        <v>0</v>
      </c>
      <c r="BA331" t="s">
        <v>3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>ROUND(Y331*Source!I307,9)</f>
        <v>6.1000000000000004E-3</v>
      </c>
      <c r="CY331">
        <f t="shared" si="124"/>
        <v>27362.67</v>
      </c>
      <c r="CZ331">
        <f t="shared" si="125"/>
        <v>27362.67</v>
      </c>
      <c r="DA331">
        <f t="shared" si="126"/>
        <v>1</v>
      </c>
      <c r="DB331">
        <f t="shared" si="127"/>
        <v>2736.27</v>
      </c>
      <c r="DC331">
        <f t="shared" si="128"/>
        <v>0</v>
      </c>
      <c r="DD331" t="s">
        <v>3</v>
      </c>
      <c r="DE331" t="s">
        <v>3</v>
      </c>
      <c r="DF331">
        <f t="shared" si="122"/>
        <v>166.91</v>
      </c>
      <c r="DG331">
        <f t="shared" si="118"/>
        <v>0</v>
      </c>
      <c r="DH331">
        <f t="shared" si="119"/>
        <v>0</v>
      </c>
      <c r="DI331">
        <f t="shared" si="121"/>
        <v>0</v>
      </c>
      <c r="DJ331">
        <f t="shared" si="129"/>
        <v>166.91</v>
      </c>
      <c r="DK331">
        <v>0</v>
      </c>
    </row>
    <row r="332" spans="1:115" x14ac:dyDescent="0.2">
      <c r="A332">
        <f>ROW(Source!A307)</f>
        <v>307</v>
      </c>
      <c r="B332">
        <v>129761636</v>
      </c>
      <c r="C332">
        <v>129763556</v>
      </c>
      <c r="D332">
        <v>0</v>
      </c>
      <c r="E332">
        <v>0</v>
      </c>
      <c r="F332">
        <v>1</v>
      </c>
      <c r="G332">
        <v>37345137</v>
      </c>
      <c r="H332">
        <v>3</v>
      </c>
      <c r="I332" t="s">
        <v>248</v>
      </c>
      <c r="J332" t="s">
        <v>3</v>
      </c>
      <c r="K332" t="s">
        <v>413</v>
      </c>
      <c r="L332">
        <v>1327</v>
      </c>
      <c r="N332">
        <v>1005</v>
      </c>
      <c r="O332" t="s">
        <v>258</v>
      </c>
      <c r="P332" t="s">
        <v>258</v>
      </c>
      <c r="Q332">
        <v>1</v>
      </c>
      <c r="W332">
        <v>0</v>
      </c>
      <c r="X332">
        <v>1228675506</v>
      </c>
      <c r="Y332">
        <f t="shared" si="123"/>
        <v>102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1</v>
      </c>
      <c r="AJ332">
        <v>1</v>
      </c>
      <c r="AK332">
        <v>1</v>
      </c>
      <c r="AL332">
        <v>1</v>
      </c>
      <c r="AN332">
        <v>0</v>
      </c>
      <c r="AO332">
        <v>0</v>
      </c>
      <c r="AP332">
        <v>1</v>
      </c>
      <c r="AQ332">
        <v>0</v>
      </c>
      <c r="AR332">
        <v>0</v>
      </c>
      <c r="AS332" t="s">
        <v>3</v>
      </c>
      <c r="AT332">
        <v>102</v>
      </c>
      <c r="AU332" t="s">
        <v>3</v>
      </c>
      <c r="AV332">
        <v>0</v>
      </c>
      <c r="AW332">
        <v>1</v>
      </c>
      <c r="AX332">
        <v>-1</v>
      </c>
      <c r="AY332">
        <v>0</v>
      </c>
      <c r="AZ332">
        <v>0</v>
      </c>
      <c r="BA332" t="s">
        <v>3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>ROUND(Y332*Source!I307,9)</f>
        <v>6.2220000000000004</v>
      </c>
      <c r="CY332">
        <f t="shared" si="124"/>
        <v>0</v>
      </c>
      <c r="CZ332">
        <f t="shared" si="125"/>
        <v>0</v>
      </c>
      <c r="DA332">
        <f t="shared" si="126"/>
        <v>1</v>
      </c>
      <c r="DB332">
        <f t="shared" si="127"/>
        <v>0</v>
      </c>
      <c r="DC332">
        <f t="shared" si="128"/>
        <v>0</v>
      </c>
      <c r="DD332" t="s">
        <v>3</v>
      </c>
      <c r="DE332" t="s">
        <v>3</v>
      </c>
      <c r="DF332">
        <f t="shared" si="122"/>
        <v>0</v>
      </c>
      <c r="DG332">
        <f t="shared" si="118"/>
        <v>0</v>
      </c>
      <c r="DH332">
        <f t="shared" si="119"/>
        <v>0</v>
      </c>
      <c r="DI332">
        <f t="shared" si="121"/>
        <v>0</v>
      </c>
      <c r="DJ332">
        <f t="shared" si="129"/>
        <v>0</v>
      </c>
      <c r="DK332">
        <v>0</v>
      </c>
    </row>
    <row r="333" spans="1:115" x14ac:dyDescent="0.2">
      <c r="A333">
        <f>ROW(Source!A308)</f>
        <v>308</v>
      </c>
      <c r="B333">
        <v>129761633</v>
      </c>
      <c r="C333">
        <v>129763556</v>
      </c>
      <c r="D333">
        <v>37345142</v>
      </c>
      <c r="E333">
        <v>37345137</v>
      </c>
      <c r="F333">
        <v>1</v>
      </c>
      <c r="G333">
        <v>37345137</v>
      </c>
      <c r="H333">
        <v>1</v>
      </c>
      <c r="I333" t="s">
        <v>1096</v>
      </c>
      <c r="J333" t="s">
        <v>3</v>
      </c>
      <c r="K333" t="s">
        <v>1097</v>
      </c>
      <c r="L333">
        <v>1191</v>
      </c>
      <c r="N333">
        <v>1013</v>
      </c>
      <c r="O333" t="s">
        <v>1098</v>
      </c>
      <c r="P333" t="s">
        <v>1098</v>
      </c>
      <c r="Q333">
        <v>1</v>
      </c>
      <c r="W333">
        <v>0</v>
      </c>
      <c r="X333">
        <v>476480486</v>
      </c>
      <c r="Y333">
        <f>(AT333*1.15)</f>
        <v>96.691999999999993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1</v>
      </c>
      <c r="AJ333">
        <v>1</v>
      </c>
      <c r="AK333">
        <v>1</v>
      </c>
      <c r="AL333">
        <v>1</v>
      </c>
      <c r="AN333">
        <v>0</v>
      </c>
      <c r="AO333">
        <v>1</v>
      </c>
      <c r="AP333">
        <v>1</v>
      </c>
      <c r="AQ333">
        <v>0</v>
      </c>
      <c r="AR333">
        <v>0</v>
      </c>
      <c r="AS333" t="s">
        <v>3</v>
      </c>
      <c r="AT333">
        <v>84.08</v>
      </c>
      <c r="AU333" t="s">
        <v>87</v>
      </c>
      <c r="AV333">
        <v>1</v>
      </c>
      <c r="AW333">
        <v>2</v>
      </c>
      <c r="AX333">
        <v>129763566</v>
      </c>
      <c r="AY333">
        <v>1</v>
      </c>
      <c r="AZ333">
        <v>0</v>
      </c>
      <c r="BA333">
        <v>338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>ROUND(Y333*Source!I308,9)</f>
        <v>5.898212</v>
      </c>
      <c r="CY333">
        <f>AD333</f>
        <v>0</v>
      </c>
      <c r="CZ333">
        <f>AH333</f>
        <v>0</v>
      </c>
      <c r="DA333">
        <f>AL333</f>
        <v>1</v>
      </c>
      <c r="DB333">
        <f>ROUND((ROUND(AT333*CZ333,2)*1.15),6)</f>
        <v>0</v>
      </c>
      <c r="DC333">
        <f>ROUND((ROUND(AT333*AG333,2)*1.15),6)</f>
        <v>0</v>
      </c>
      <c r="DD333" t="s">
        <v>3</v>
      </c>
      <c r="DE333" t="s">
        <v>3</v>
      </c>
      <c r="DF333">
        <f t="shared" si="122"/>
        <v>0</v>
      </c>
      <c r="DG333">
        <f t="shared" si="118"/>
        <v>0</v>
      </c>
      <c r="DH333">
        <f t="shared" si="119"/>
        <v>0</v>
      </c>
      <c r="DI333">
        <f t="shared" si="121"/>
        <v>0</v>
      </c>
      <c r="DJ333">
        <f>DI333</f>
        <v>0</v>
      </c>
      <c r="DK333">
        <v>0</v>
      </c>
    </row>
    <row r="334" spans="1:115" x14ac:dyDescent="0.2">
      <c r="A334">
        <f>ROW(Source!A308)</f>
        <v>308</v>
      </c>
      <c r="B334">
        <v>129761633</v>
      </c>
      <c r="C334">
        <v>129763556</v>
      </c>
      <c r="D334">
        <v>37418479</v>
      </c>
      <c r="E334">
        <v>1</v>
      </c>
      <c r="F334">
        <v>1</v>
      </c>
      <c r="G334">
        <v>37345137</v>
      </c>
      <c r="H334">
        <v>2</v>
      </c>
      <c r="I334" t="s">
        <v>1183</v>
      </c>
      <c r="J334" t="s">
        <v>1184</v>
      </c>
      <c r="K334" t="s">
        <v>1185</v>
      </c>
      <c r="L334">
        <v>1367</v>
      </c>
      <c r="N334">
        <v>1011</v>
      </c>
      <c r="O334" t="s">
        <v>1102</v>
      </c>
      <c r="P334" t="s">
        <v>1102</v>
      </c>
      <c r="Q334">
        <v>1</v>
      </c>
      <c r="W334">
        <v>0</v>
      </c>
      <c r="X334">
        <v>950854334</v>
      </c>
      <c r="Y334">
        <f>(AT334*1.25)</f>
        <v>33.862499999999997</v>
      </c>
      <c r="AA334">
        <v>0</v>
      </c>
      <c r="AB334">
        <v>2.4700000000000002</v>
      </c>
      <c r="AC334">
        <v>0.1</v>
      </c>
      <c r="AD334">
        <v>0</v>
      </c>
      <c r="AE334">
        <v>0</v>
      </c>
      <c r="AF334">
        <v>2.36</v>
      </c>
      <c r="AG334">
        <v>0.1</v>
      </c>
      <c r="AH334">
        <v>0</v>
      </c>
      <c r="AI334">
        <v>1</v>
      </c>
      <c r="AJ334">
        <v>1</v>
      </c>
      <c r="AK334">
        <v>1</v>
      </c>
      <c r="AL334">
        <v>1</v>
      </c>
      <c r="AN334">
        <v>0</v>
      </c>
      <c r="AO334">
        <v>1</v>
      </c>
      <c r="AP334">
        <v>1</v>
      </c>
      <c r="AQ334">
        <v>0</v>
      </c>
      <c r="AR334">
        <v>0</v>
      </c>
      <c r="AS334" t="s">
        <v>3</v>
      </c>
      <c r="AT334">
        <v>27.09</v>
      </c>
      <c r="AU334" t="s">
        <v>86</v>
      </c>
      <c r="AV334">
        <v>0</v>
      </c>
      <c r="AW334">
        <v>2</v>
      </c>
      <c r="AX334">
        <v>129763567</v>
      </c>
      <c r="AY334">
        <v>1</v>
      </c>
      <c r="AZ334">
        <v>0</v>
      </c>
      <c r="BA334">
        <v>339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>ROUND(Y334*Source!I308,9)</f>
        <v>2.0656124999999999</v>
      </c>
      <c r="CY334">
        <f>AB334</f>
        <v>2.4700000000000002</v>
      </c>
      <c r="CZ334">
        <f>AF334</f>
        <v>2.36</v>
      </c>
      <c r="DA334">
        <f>AJ334</f>
        <v>1</v>
      </c>
      <c r="DB334">
        <f>ROUND((ROUND(AT334*CZ334,2)*1.25),6)</f>
        <v>79.912499999999994</v>
      </c>
      <c r="DC334">
        <f>ROUND((ROUND(AT334*AG334,2)*1.25),6)</f>
        <v>3.3875000000000002</v>
      </c>
      <c r="DD334" t="s">
        <v>3</v>
      </c>
      <c r="DE334" t="s">
        <v>3</v>
      </c>
      <c r="DF334">
        <f t="shared" si="122"/>
        <v>0</v>
      </c>
      <c r="DG334">
        <f t="shared" si="118"/>
        <v>4.87</v>
      </c>
      <c r="DH334">
        <f t="shared" si="119"/>
        <v>0.21</v>
      </c>
      <c r="DI334">
        <f t="shared" si="121"/>
        <v>0</v>
      </c>
      <c r="DJ334">
        <f>DG334</f>
        <v>4.87</v>
      </c>
      <c r="DK334">
        <v>0</v>
      </c>
    </row>
    <row r="335" spans="1:115" x14ac:dyDescent="0.2">
      <c r="A335">
        <f>ROW(Source!A308)</f>
        <v>308</v>
      </c>
      <c r="B335">
        <v>129761633</v>
      </c>
      <c r="C335">
        <v>129763556</v>
      </c>
      <c r="D335">
        <v>37418541</v>
      </c>
      <c r="E335">
        <v>1</v>
      </c>
      <c r="F335">
        <v>1</v>
      </c>
      <c r="G335">
        <v>37345137</v>
      </c>
      <c r="H335">
        <v>2</v>
      </c>
      <c r="I335" t="s">
        <v>1261</v>
      </c>
      <c r="J335" t="s">
        <v>1262</v>
      </c>
      <c r="K335" t="s">
        <v>1263</v>
      </c>
      <c r="L335">
        <v>1367</v>
      </c>
      <c r="N335">
        <v>1011</v>
      </c>
      <c r="O335" t="s">
        <v>1102</v>
      </c>
      <c r="P335" t="s">
        <v>1102</v>
      </c>
      <c r="Q335">
        <v>1</v>
      </c>
      <c r="W335">
        <v>0</v>
      </c>
      <c r="X335">
        <v>-1931009994</v>
      </c>
      <c r="Y335">
        <f>(AT335*1.25)</f>
        <v>0.38750000000000001</v>
      </c>
      <c r="AA335">
        <v>0</v>
      </c>
      <c r="AB335">
        <v>33.35</v>
      </c>
      <c r="AC335">
        <v>15.59</v>
      </c>
      <c r="AD335">
        <v>0</v>
      </c>
      <c r="AE335">
        <v>0</v>
      </c>
      <c r="AF335">
        <v>31.85</v>
      </c>
      <c r="AG335">
        <v>14.89</v>
      </c>
      <c r="AH335">
        <v>0</v>
      </c>
      <c r="AI335">
        <v>1</v>
      </c>
      <c r="AJ335">
        <v>1</v>
      </c>
      <c r="AK335">
        <v>1</v>
      </c>
      <c r="AL335">
        <v>1</v>
      </c>
      <c r="AN335">
        <v>0</v>
      </c>
      <c r="AO335">
        <v>1</v>
      </c>
      <c r="AP335">
        <v>1</v>
      </c>
      <c r="AQ335">
        <v>0</v>
      </c>
      <c r="AR335">
        <v>0</v>
      </c>
      <c r="AS335" t="s">
        <v>3</v>
      </c>
      <c r="AT335">
        <v>0.31</v>
      </c>
      <c r="AU335" t="s">
        <v>86</v>
      </c>
      <c r="AV335">
        <v>0</v>
      </c>
      <c r="AW335">
        <v>2</v>
      </c>
      <c r="AX335">
        <v>129763568</v>
      </c>
      <c r="AY335">
        <v>1</v>
      </c>
      <c r="AZ335">
        <v>0</v>
      </c>
      <c r="BA335">
        <v>340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>ROUND(Y335*Source!I308,9)</f>
        <v>2.3637499999999999E-2</v>
      </c>
      <c r="CY335">
        <f>AB335</f>
        <v>33.35</v>
      </c>
      <c r="CZ335">
        <f>AF335</f>
        <v>31.85</v>
      </c>
      <c r="DA335">
        <f>AJ335</f>
        <v>1</v>
      </c>
      <c r="DB335">
        <f>ROUND((ROUND(AT335*CZ335,2)*1.25),6)</f>
        <v>12.3375</v>
      </c>
      <c r="DC335">
        <f>ROUND((ROUND(AT335*AG335,2)*1.25),6)</f>
        <v>5.7750000000000004</v>
      </c>
      <c r="DD335" t="s">
        <v>3</v>
      </c>
      <c r="DE335" t="s">
        <v>3</v>
      </c>
      <c r="DF335">
        <f t="shared" si="122"/>
        <v>0</v>
      </c>
      <c r="DG335">
        <f t="shared" si="118"/>
        <v>0.75</v>
      </c>
      <c r="DH335">
        <f t="shared" si="119"/>
        <v>0.35</v>
      </c>
      <c r="DI335">
        <f t="shared" si="121"/>
        <v>0</v>
      </c>
      <c r="DJ335">
        <f>DG335</f>
        <v>0.75</v>
      </c>
      <c r="DK335">
        <v>0</v>
      </c>
    </row>
    <row r="336" spans="1:115" x14ac:dyDescent="0.2">
      <c r="A336">
        <f>ROW(Source!A308)</f>
        <v>308</v>
      </c>
      <c r="B336">
        <v>129761633</v>
      </c>
      <c r="C336">
        <v>129763556</v>
      </c>
      <c r="D336">
        <v>37345890</v>
      </c>
      <c r="E336">
        <v>37345137</v>
      </c>
      <c r="F336">
        <v>1</v>
      </c>
      <c r="G336">
        <v>37345137</v>
      </c>
      <c r="H336">
        <v>2</v>
      </c>
      <c r="I336" t="s">
        <v>1145</v>
      </c>
      <c r="J336" t="s">
        <v>3</v>
      </c>
      <c r="K336" t="s">
        <v>1146</v>
      </c>
      <c r="L336">
        <v>1344</v>
      </c>
      <c r="N336">
        <v>1008</v>
      </c>
      <c r="O336" t="s">
        <v>1138</v>
      </c>
      <c r="P336" t="s">
        <v>1138</v>
      </c>
      <c r="Q336">
        <v>1</v>
      </c>
      <c r="W336">
        <v>0</v>
      </c>
      <c r="X336">
        <v>-1180195794</v>
      </c>
      <c r="Y336">
        <f>(AT336*1.25)</f>
        <v>32.450000000000003</v>
      </c>
      <c r="AA336">
        <v>0</v>
      </c>
      <c r="AB336">
        <v>1.05</v>
      </c>
      <c r="AC336">
        <v>0</v>
      </c>
      <c r="AD336">
        <v>0</v>
      </c>
      <c r="AE336">
        <v>0</v>
      </c>
      <c r="AF336">
        <v>1</v>
      </c>
      <c r="AG336">
        <v>0</v>
      </c>
      <c r="AH336">
        <v>0</v>
      </c>
      <c r="AI336">
        <v>1</v>
      </c>
      <c r="AJ336">
        <v>1</v>
      </c>
      <c r="AK336">
        <v>1</v>
      </c>
      <c r="AL336">
        <v>1</v>
      </c>
      <c r="AN336">
        <v>0</v>
      </c>
      <c r="AO336">
        <v>1</v>
      </c>
      <c r="AP336">
        <v>1</v>
      </c>
      <c r="AQ336">
        <v>0</v>
      </c>
      <c r="AR336">
        <v>0</v>
      </c>
      <c r="AS336" t="s">
        <v>3</v>
      </c>
      <c r="AT336">
        <v>25.96</v>
      </c>
      <c r="AU336" t="s">
        <v>86</v>
      </c>
      <c r="AV336">
        <v>0</v>
      </c>
      <c r="AW336">
        <v>2</v>
      </c>
      <c r="AX336">
        <v>129763569</v>
      </c>
      <c r="AY336">
        <v>1</v>
      </c>
      <c r="AZ336">
        <v>0</v>
      </c>
      <c r="BA336">
        <v>341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>ROUND(Y336*Source!I308,9)</f>
        <v>1.9794499999999999</v>
      </c>
      <c r="CY336">
        <f>AB336</f>
        <v>1.05</v>
      </c>
      <c r="CZ336">
        <f>AF336</f>
        <v>1</v>
      </c>
      <c r="DA336">
        <f>AJ336</f>
        <v>1</v>
      </c>
      <c r="DB336">
        <f>ROUND((ROUND(AT336*CZ336,2)*1.25),6)</f>
        <v>32.450000000000003</v>
      </c>
      <c r="DC336">
        <f>ROUND((ROUND(AT336*AG336,2)*1.25),6)</f>
        <v>0</v>
      </c>
      <c r="DD336" t="s">
        <v>3</v>
      </c>
      <c r="DE336" t="s">
        <v>3</v>
      </c>
      <c r="DF336">
        <f t="shared" si="122"/>
        <v>0</v>
      </c>
      <c r="DG336">
        <f t="shared" si="118"/>
        <v>1.98</v>
      </c>
      <c r="DH336">
        <f t="shared" si="119"/>
        <v>0</v>
      </c>
      <c r="DI336">
        <f t="shared" si="121"/>
        <v>0</v>
      </c>
      <c r="DJ336">
        <f>DG336</f>
        <v>1.98</v>
      </c>
      <c r="DK336">
        <v>0</v>
      </c>
    </row>
    <row r="337" spans="1:115" x14ac:dyDescent="0.2">
      <c r="A337">
        <f>ROW(Source!A308)</f>
        <v>308</v>
      </c>
      <c r="B337">
        <v>129761633</v>
      </c>
      <c r="C337">
        <v>129763556</v>
      </c>
      <c r="D337">
        <v>37393552</v>
      </c>
      <c r="E337">
        <v>1</v>
      </c>
      <c r="F337">
        <v>1</v>
      </c>
      <c r="G337">
        <v>37345137</v>
      </c>
      <c r="H337">
        <v>3</v>
      </c>
      <c r="I337" t="s">
        <v>348</v>
      </c>
      <c r="J337" t="s">
        <v>350</v>
      </c>
      <c r="K337" t="s">
        <v>349</v>
      </c>
      <c r="L337">
        <v>1339</v>
      </c>
      <c r="N337">
        <v>1007</v>
      </c>
      <c r="O337" t="s">
        <v>94</v>
      </c>
      <c r="P337" t="s">
        <v>94</v>
      </c>
      <c r="Q337">
        <v>1</v>
      </c>
      <c r="W337">
        <v>0</v>
      </c>
      <c r="X337">
        <v>-862991314</v>
      </c>
      <c r="Y337">
        <f t="shared" ref="Y337:Y342" si="130">AT337</f>
        <v>0.13300000000000001</v>
      </c>
      <c r="AA337">
        <v>42.42</v>
      </c>
      <c r="AB337">
        <v>0</v>
      </c>
      <c r="AC337">
        <v>0</v>
      </c>
      <c r="AD337">
        <v>0</v>
      </c>
      <c r="AE337">
        <v>7.07</v>
      </c>
      <c r="AF337">
        <v>0</v>
      </c>
      <c r="AG337">
        <v>0</v>
      </c>
      <c r="AH337">
        <v>0</v>
      </c>
      <c r="AI337">
        <v>6</v>
      </c>
      <c r="AJ337">
        <v>1</v>
      </c>
      <c r="AK337">
        <v>1</v>
      </c>
      <c r="AL337">
        <v>1</v>
      </c>
      <c r="AN337">
        <v>0</v>
      </c>
      <c r="AO337">
        <v>1</v>
      </c>
      <c r="AP337">
        <v>0</v>
      </c>
      <c r="AQ337">
        <v>0</v>
      </c>
      <c r="AR337">
        <v>0</v>
      </c>
      <c r="AS337" t="s">
        <v>3</v>
      </c>
      <c r="AT337">
        <v>0.13300000000000001</v>
      </c>
      <c r="AU337" t="s">
        <v>3</v>
      </c>
      <c r="AV337">
        <v>0</v>
      </c>
      <c r="AW337">
        <v>2</v>
      </c>
      <c r="AX337">
        <v>129763570</v>
      </c>
      <c r="AY337">
        <v>1</v>
      </c>
      <c r="AZ337">
        <v>0</v>
      </c>
      <c r="BA337">
        <v>342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>ROUND(Y337*Source!I308,9)</f>
        <v>8.1130000000000004E-3</v>
      </c>
      <c r="CY337">
        <f t="shared" ref="CY337:CY342" si="131">AA337</f>
        <v>42.42</v>
      </c>
      <c r="CZ337">
        <f t="shared" ref="CZ337:CZ342" si="132">AE337</f>
        <v>7.07</v>
      </c>
      <c r="DA337">
        <f t="shared" ref="DA337:DA342" si="133">AI337</f>
        <v>6</v>
      </c>
      <c r="DB337">
        <f t="shared" ref="DB337:DB342" si="134">ROUND(ROUND(AT337*CZ337,2),6)</f>
        <v>0.94</v>
      </c>
      <c r="DC337">
        <f t="shared" ref="DC337:DC342" si="135">ROUND(ROUND(AT337*AG337,2),6)</f>
        <v>0</v>
      </c>
      <c r="DD337" t="s">
        <v>3</v>
      </c>
      <c r="DE337" t="s">
        <v>3</v>
      </c>
      <c r="DF337">
        <f t="shared" ref="DF337:DF342" si="136">ROUND(ROUND(AE337*CX337,2)*AI337,2)</f>
        <v>0.36</v>
      </c>
      <c r="DG337">
        <f t="shared" si="118"/>
        <v>0</v>
      </c>
      <c r="DH337">
        <f t="shared" si="119"/>
        <v>0</v>
      </c>
      <c r="DI337">
        <f t="shared" si="121"/>
        <v>0</v>
      </c>
      <c r="DJ337">
        <f t="shared" ref="DJ337:DJ342" si="137">DF337</f>
        <v>0.36</v>
      </c>
      <c r="DK337">
        <v>0</v>
      </c>
    </row>
    <row r="338" spans="1:115" x14ac:dyDescent="0.2">
      <c r="A338">
        <f>ROW(Source!A308)</f>
        <v>308</v>
      </c>
      <c r="B338">
        <v>129761633</v>
      </c>
      <c r="C338">
        <v>129763556</v>
      </c>
      <c r="D338">
        <v>37395603</v>
      </c>
      <c r="E338">
        <v>1</v>
      </c>
      <c r="F338">
        <v>1</v>
      </c>
      <c r="G338">
        <v>37345137</v>
      </c>
      <c r="H338">
        <v>3</v>
      </c>
      <c r="I338" t="s">
        <v>416</v>
      </c>
      <c r="J338" t="s">
        <v>418</v>
      </c>
      <c r="K338" t="s">
        <v>417</v>
      </c>
      <c r="L338">
        <v>1327</v>
      </c>
      <c r="N338">
        <v>1005</v>
      </c>
      <c r="O338" t="s">
        <v>258</v>
      </c>
      <c r="P338" t="s">
        <v>258</v>
      </c>
      <c r="Q338">
        <v>1</v>
      </c>
      <c r="W338">
        <v>0</v>
      </c>
      <c r="X338">
        <v>344513916</v>
      </c>
      <c r="Y338">
        <f t="shared" si="130"/>
        <v>0</v>
      </c>
      <c r="AA338">
        <v>690.15</v>
      </c>
      <c r="AB338">
        <v>0</v>
      </c>
      <c r="AC338">
        <v>0</v>
      </c>
      <c r="AD338">
        <v>0</v>
      </c>
      <c r="AE338">
        <v>92.02</v>
      </c>
      <c r="AF338">
        <v>0</v>
      </c>
      <c r="AG338">
        <v>0</v>
      </c>
      <c r="AH338">
        <v>0</v>
      </c>
      <c r="AI338">
        <v>7.5</v>
      </c>
      <c r="AJ338">
        <v>1</v>
      </c>
      <c r="AK338">
        <v>1</v>
      </c>
      <c r="AL338">
        <v>1</v>
      </c>
      <c r="AN338">
        <v>0</v>
      </c>
      <c r="AO338">
        <v>0</v>
      </c>
      <c r="AP338">
        <v>1</v>
      </c>
      <c r="AQ338">
        <v>0</v>
      </c>
      <c r="AR338">
        <v>0</v>
      </c>
      <c r="AS338" t="s">
        <v>3</v>
      </c>
      <c r="AT338">
        <v>0</v>
      </c>
      <c r="AU338" t="s">
        <v>3</v>
      </c>
      <c r="AV338">
        <v>0</v>
      </c>
      <c r="AW338">
        <v>1</v>
      </c>
      <c r="AX338">
        <v>-1</v>
      </c>
      <c r="AY338">
        <v>0</v>
      </c>
      <c r="AZ338">
        <v>0</v>
      </c>
      <c r="BA338" t="s">
        <v>3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>ROUND(Y338*Source!I308,9)</f>
        <v>0</v>
      </c>
      <c r="CY338">
        <f t="shared" si="131"/>
        <v>690.15</v>
      </c>
      <c r="CZ338">
        <f t="shared" si="132"/>
        <v>92.02</v>
      </c>
      <c r="DA338">
        <f t="shared" si="133"/>
        <v>7.5</v>
      </c>
      <c r="DB338">
        <f t="shared" si="134"/>
        <v>0</v>
      </c>
      <c r="DC338">
        <f t="shared" si="135"/>
        <v>0</v>
      </c>
      <c r="DD338" t="s">
        <v>3</v>
      </c>
      <c r="DE338" t="s">
        <v>3</v>
      </c>
      <c r="DF338">
        <f t="shared" si="136"/>
        <v>0</v>
      </c>
      <c r="DG338">
        <f t="shared" si="118"/>
        <v>0</v>
      </c>
      <c r="DH338">
        <f t="shared" si="119"/>
        <v>0</v>
      </c>
      <c r="DI338">
        <f t="shared" si="121"/>
        <v>0</v>
      </c>
      <c r="DJ338">
        <f t="shared" si="137"/>
        <v>0</v>
      </c>
      <c r="DK338">
        <v>0</v>
      </c>
    </row>
    <row r="339" spans="1:115" x14ac:dyDescent="0.2">
      <c r="A339">
        <f>ROW(Source!A308)</f>
        <v>308</v>
      </c>
      <c r="B339">
        <v>129761633</v>
      </c>
      <c r="C339">
        <v>129763556</v>
      </c>
      <c r="D339">
        <v>37395665</v>
      </c>
      <c r="E339">
        <v>1</v>
      </c>
      <c r="F339">
        <v>1</v>
      </c>
      <c r="G339">
        <v>37345137</v>
      </c>
      <c r="H339">
        <v>3</v>
      </c>
      <c r="I339" t="s">
        <v>1264</v>
      </c>
      <c r="J339" t="s">
        <v>1265</v>
      </c>
      <c r="K339" t="s">
        <v>1266</v>
      </c>
      <c r="L339">
        <v>1348</v>
      </c>
      <c r="N339">
        <v>1009</v>
      </c>
      <c r="O339" t="s">
        <v>114</v>
      </c>
      <c r="P339" t="s">
        <v>114</v>
      </c>
      <c r="Q339">
        <v>1000</v>
      </c>
      <c r="W339">
        <v>0</v>
      </c>
      <c r="X339">
        <v>-162804234</v>
      </c>
      <c r="Y339">
        <f t="shared" si="130"/>
        <v>0.01</v>
      </c>
      <c r="AA339">
        <v>224326.52</v>
      </c>
      <c r="AB339">
        <v>0</v>
      </c>
      <c r="AC339">
        <v>0</v>
      </c>
      <c r="AD339">
        <v>0</v>
      </c>
      <c r="AE339">
        <v>69883.649999999994</v>
      </c>
      <c r="AF339">
        <v>0</v>
      </c>
      <c r="AG339">
        <v>0</v>
      </c>
      <c r="AH339">
        <v>0</v>
      </c>
      <c r="AI339">
        <v>3.21</v>
      </c>
      <c r="AJ339">
        <v>1</v>
      </c>
      <c r="AK339">
        <v>1</v>
      </c>
      <c r="AL339">
        <v>1</v>
      </c>
      <c r="AN339">
        <v>0</v>
      </c>
      <c r="AO339">
        <v>1</v>
      </c>
      <c r="AP339">
        <v>0</v>
      </c>
      <c r="AQ339">
        <v>0</v>
      </c>
      <c r="AR339">
        <v>0</v>
      </c>
      <c r="AS339" t="s">
        <v>3</v>
      </c>
      <c r="AT339">
        <v>0.01</v>
      </c>
      <c r="AU339" t="s">
        <v>3</v>
      </c>
      <c r="AV339">
        <v>0</v>
      </c>
      <c r="AW339">
        <v>2</v>
      </c>
      <c r="AX339">
        <v>129763571</v>
      </c>
      <c r="AY339">
        <v>1</v>
      </c>
      <c r="AZ339">
        <v>0</v>
      </c>
      <c r="BA339">
        <v>343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>ROUND(Y339*Source!I308,9)</f>
        <v>6.0999999999999997E-4</v>
      </c>
      <c r="CY339">
        <f t="shared" si="131"/>
        <v>224326.52</v>
      </c>
      <c r="CZ339">
        <f t="shared" si="132"/>
        <v>69883.649999999994</v>
      </c>
      <c r="DA339">
        <f t="shared" si="133"/>
        <v>3.21</v>
      </c>
      <c r="DB339">
        <f t="shared" si="134"/>
        <v>698.84</v>
      </c>
      <c r="DC339">
        <f t="shared" si="135"/>
        <v>0</v>
      </c>
      <c r="DD339" t="s">
        <v>3</v>
      </c>
      <c r="DE339" t="s">
        <v>3</v>
      </c>
      <c r="DF339">
        <f t="shared" si="136"/>
        <v>136.84</v>
      </c>
      <c r="DG339">
        <f t="shared" ref="DG339:DG364" si="138">ROUND(AF339*CX339,2)</f>
        <v>0</v>
      </c>
      <c r="DH339">
        <f t="shared" ref="DH339:DH364" si="139">ROUND(AG339*CX339,2)</f>
        <v>0</v>
      </c>
      <c r="DI339">
        <f t="shared" si="121"/>
        <v>0</v>
      </c>
      <c r="DJ339">
        <f t="shared" si="137"/>
        <v>136.84</v>
      </c>
      <c r="DK339">
        <v>0</v>
      </c>
    </row>
    <row r="340" spans="1:115" x14ac:dyDescent="0.2">
      <c r="A340">
        <f>ROW(Source!A308)</f>
        <v>308</v>
      </c>
      <c r="B340">
        <v>129761633</v>
      </c>
      <c r="C340">
        <v>129763556</v>
      </c>
      <c r="D340">
        <v>37412156</v>
      </c>
      <c r="E340">
        <v>1</v>
      </c>
      <c r="F340">
        <v>1</v>
      </c>
      <c r="G340">
        <v>37345137</v>
      </c>
      <c r="H340">
        <v>3</v>
      </c>
      <c r="I340" t="s">
        <v>409</v>
      </c>
      <c r="J340" t="s">
        <v>411</v>
      </c>
      <c r="K340" t="s">
        <v>410</v>
      </c>
      <c r="L340">
        <v>1348</v>
      </c>
      <c r="N340">
        <v>1009</v>
      </c>
      <c r="O340" t="s">
        <v>114</v>
      </c>
      <c r="P340" t="s">
        <v>114</v>
      </c>
      <c r="Q340">
        <v>1000</v>
      </c>
      <c r="W340">
        <v>0</v>
      </c>
      <c r="X340">
        <v>1192135998</v>
      </c>
      <c r="Y340">
        <f t="shared" si="130"/>
        <v>0.47</v>
      </c>
      <c r="AA340">
        <v>27054.48</v>
      </c>
      <c r="AB340">
        <v>0</v>
      </c>
      <c r="AC340">
        <v>0</v>
      </c>
      <c r="AD340">
        <v>0</v>
      </c>
      <c r="AE340">
        <v>1424.67</v>
      </c>
      <c r="AF340">
        <v>0</v>
      </c>
      <c r="AG340">
        <v>0</v>
      </c>
      <c r="AH340">
        <v>0</v>
      </c>
      <c r="AI340">
        <v>18.989999999999998</v>
      </c>
      <c r="AJ340">
        <v>1</v>
      </c>
      <c r="AK340">
        <v>1</v>
      </c>
      <c r="AL340">
        <v>1</v>
      </c>
      <c r="AN340">
        <v>0</v>
      </c>
      <c r="AO340">
        <v>0</v>
      </c>
      <c r="AP340">
        <v>0</v>
      </c>
      <c r="AQ340">
        <v>0</v>
      </c>
      <c r="AR340">
        <v>0</v>
      </c>
      <c r="AS340" t="s">
        <v>3</v>
      </c>
      <c r="AT340">
        <v>0.47</v>
      </c>
      <c r="AU340" t="s">
        <v>3</v>
      </c>
      <c r="AV340">
        <v>0</v>
      </c>
      <c r="AW340">
        <v>1</v>
      </c>
      <c r="AX340">
        <v>-1</v>
      </c>
      <c r="AY340">
        <v>0</v>
      </c>
      <c r="AZ340">
        <v>0</v>
      </c>
      <c r="BA340" t="s">
        <v>3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>ROUND(Y340*Source!I308,9)</f>
        <v>2.8670000000000001E-2</v>
      </c>
      <c r="CY340">
        <f t="shared" si="131"/>
        <v>27054.48</v>
      </c>
      <c r="CZ340">
        <f t="shared" si="132"/>
        <v>1424.67</v>
      </c>
      <c r="DA340">
        <f t="shared" si="133"/>
        <v>18.989999999999998</v>
      </c>
      <c r="DB340">
        <f t="shared" si="134"/>
        <v>669.59</v>
      </c>
      <c r="DC340">
        <f t="shared" si="135"/>
        <v>0</v>
      </c>
      <c r="DD340" t="s">
        <v>3</v>
      </c>
      <c r="DE340" t="s">
        <v>3</v>
      </c>
      <c r="DF340">
        <f t="shared" si="136"/>
        <v>775.74</v>
      </c>
      <c r="DG340">
        <f t="shared" si="138"/>
        <v>0</v>
      </c>
      <c r="DH340">
        <f t="shared" si="139"/>
        <v>0</v>
      </c>
      <c r="DI340">
        <f t="shared" si="121"/>
        <v>0</v>
      </c>
      <c r="DJ340">
        <f t="shared" si="137"/>
        <v>775.74</v>
      </c>
      <c r="DK340">
        <v>0</v>
      </c>
    </row>
    <row r="341" spans="1:115" x14ac:dyDescent="0.2">
      <c r="A341">
        <f>ROW(Source!A308)</f>
        <v>308</v>
      </c>
      <c r="B341">
        <v>129761633</v>
      </c>
      <c r="C341">
        <v>129763556</v>
      </c>
      <c r="D341">
        <v>37412158</v>
      </c>
      <c r="E341">
        <v>1</v>
      </c>
      <c r="F341">
        <v>1</v>
      </c>
      <c r="G341">
        <v>37345137</v>
      </c>
      <c r="H341">
        <v>3</v>
      </c>
      <c r="I341" t="s">
        <v>405</v>
      </c>
      <c r="J341" t="s">
        <v>407</v>
      </c>
      <c r="K341" t="s">
        <v>406</v>
      </c>
      <c r="L341">
        <v>1348</v>
      </c>
      <c r="N341">
        <v>1009</v>
      </c>
      <c r="O341" t="s">
        <v>114</v>
      </c>
      <c r="P341" t="s">
        <v>114</v>
      </c>
      <c r="Q341">
        <v>1000</v>
      </c>
      <c r="W341">
        <v>0</v>
      </c>
      <c r="X341">
        <v>1389983172</v>
      </c>
      <c r="Y341">
        <f t="shared" si="130"/>
        <v>0.1</v>
      </c>
      <c r="AA341">
        <v>63481.39</v>
      </c>
      <c r="AB341">
        <v>0</v>
      </c>
      <c r="AC341">
        <v>0</v>
      </c>
      <c r="AD341">
        <v>0</v>
      </c>
      <c r="AE341">
        <v>27362.67</v>
      </c>
      <c r="AF341">
        <v>0</v>
      </c>
      <c r="AG341">
        <v>0</v>
      </c>
      <c r="AH341">
        <v>0</v>
      </c>
      <c r="AI341">
        <v>2.3199999999999998</v>
      </c>
      <c r="AJ341">
        <v>1</v>
      </c>
      <c r="AK341">
        <v>1</v>
      </c>
      <c r="AL341">
        <v>1</v>
      </c>
      <c r="AN341">
        <v>0</v>
      </c>
      <c r="AO341">
        <v>0</v>
      </c>
      <c r="AP341">
        <v>0</v>
      </c>
      <c r="AQ341">
        <v>0</v>
      </c>
      <c r="AR341">
        <v>0</v>
      </c>
      <c r="AS341" t="s">
        <v>3</v>
      </c>
      <c r="AT341">
        <v>0.1</v>
      </c>
      <c r="AU341" t="s">
        <v>3</v>
      </c>
      <c r="AV341">
        <v>0</v>
      </c>
      <c r="AW341">
        <v>1</v>
      </c>
      <c r="AX341">
        <v>-1</v>
      </c>
      <c r="AY341">
        <v>0</v>
      </c>
      <c r="AZ341">
        <v>0</v>
      </c>
      <c r="BA341" t="s">
        <v>3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>ROUND(Y341*Source!I308,9)</f>
        <v>6.1000000000000004E-3</v>
      </c>
      <c r="CY341">
        <f t="shared" si="131"/>
        <v>63481.39</v>
      </c>
      <c r="CZ341">
        <f t="shared" si="132"/>
        <v>27362.67</v>
      </c>
      <c r="DA341">
        <f t="shared" si="133"/>
        <v>2.3199999999999998</v>
      </c>
      <c r="DB341">
        <f t="shared" si="134"/>
        <v>2736.27</v>
      </c>
      <c r="DC341">
        <f t="shared" si="135"/>
        <v>0</v>
      </c>
      <c r="DD341" t="s">
        <v>3</v>
      </c>
      <c r="DE341" t="s">
        <v>3</v>
      </c>
      <c r="DF341">
        <f t="shared" si="136"/>
        <v>387.23</v>
      </c>
      <c r="DG341">
        <f t="shared" si="138"/>
        <v>0</v>
      </c>
      <c r="DH341">
        <f t="shared" si="139"/>
        <v>0</v>
      </c>
      <c r="DI341">
        <f t="shared" si="121"/>
        <v>0</v>
      </c>
      <c r="DJ341">
        <f t="shared" si="137"/>
        <v>387.23</v>
      </c>
      <c r="DK341">
        <v>0</v>
      </c>
    </row>
    <row r="342" spans="1:115" x14ac:dyDescent="0.2">
      <c r="A342">
        <f>ROW(Source!A308)</f>
        <v>308</v>
      </c>
      <c r="B342">
        <v>129761633</v>
      </c>
      <c r="C342">
        <v>129763556</v>
      </c>
      <c r="D342">
        <v>0</v>
      </c>
      <c r="E342">
        <v>0</v>
      </c>
      <c r="F342">
        <v>1</v>
      </c>
      <c r="G342">
        <v>37345137</v>
      </c>
      <c r="H342">
        <v>3</v>
      </c>
      <c r="I342" t="s">
        <v>248</v>
      </c>
      <c r="J342" t="s">
        <v>3</v>
      </c>
      <c r="K342" t="s">
        <v>413</v>
      </c>
      <c r="L342">
        <v>1327</v>
      </c>
      <c r="N342">
        <v>1005</v>
      </c>
      <c r="O342" t="s">
        <v>258</v>
      </c>
      <c r="P342" t="s">
        <v>258</v>
      </c>
      <c r="Q342">
        <v>1</v>
      </c>
      <c r="W342">
        <v>0</v>
      </c>
      <c r="X342">
        <v>1228675506</v>
      </c>
      <c r="Y342">
        <f t="shared" si="130"/>
        <v>102</v>
      </c>
      <c r="AA342">
        <v>1241.02</v>
      </c>
      <c r="AB342">
        <v>0</v>
      </c>
      <c r="AC342">
        <v>0</v>
      </c>
      <c r="AD342">
        <v>0</v>
      </c>
      <c r="AE342">
        <v>143.47</v>
      </c>
      <c r="AF342">
        <v>0</v>
      </c>
      <c r="AG342">
        <v>0</v>
      </c>
      <c r="AH342">
        <v>0</v>
      </c>
      <c r="AI342">
        <v>8.65</v>
      </c>
      <c r="AJ342">
        <v>1</v>
      </c>
      <c r="AK342">
        <v>1</v>
      </c>
      <c r="AL342">
        <v>1</v>
      </c>
      <c r="AN342">
        <v>0</v>
      </c>
      <c r="AO342">
        <v>0</v>
      </c>
      <c r="AP342">
        <v>1</v>
      </c>
      <c r="AQ342">
        <v>0</v>
      </c>
      <c r="AR342">
        <v>0</v>
      </c>
      <c r="AS342" t="s">
        <v>3</v>
      </c>
      <c r="AT342">
        <v>102</v>
      </c>
      <c r="AU342" t="s">
        <v>3</v>
      </c>
      <c r="AV342">
        <v>0</v>
      </c>
      <c r="AW342">
        <v>1</v>
      </c>
      <c r="AX342">
        <v>-1</v>
      </c>
      <c r="AY342">
        <v>0</v>
      </c>
      <c r="AZ342">
        <v>0</v>
      </c>
      <c r="BA342" t="s">
        <v>3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>ROUND(Y342*Source!I308,9)</f>
        <v>6.2220000000000004</v>
      </c>
      <c r="CY342">
        <f t="shared" si="131"/>
        <v>1241.02</v>
      </c>
      <c r="CZ342">
        <f t="shared" si="132"/>
        <v>143.47</v>
      </c>
      <c r="DA342">
        <f t="shared" si="133"/>
        <v>8.65</v>
      </c>
      <c r="DB342">
        <f t="shared" si="134"/>
        <v>14633.94</v>
      </c>
      <c r="DC342">
        <f t="shared" si="135"/>
        <v>0</v>
      </c>
      <c r="DD342" t="s">
        <v>3</v>
      </c>
      <c r="DE342" t="s">
        <v>3</v>
      </c>
      <c r="DF342">
        <f t="shared" si="136"/>
        <v>7721.6</v>
      </c>
      <c r="DG342">
        <f t="shared" si="138"/>
        <v>0</v>
      </c>
      <c r="DH342">
        <f t="shared" si="139"/>
        <v>0</v>
      </c>
      <c r="DI342">
        <f t="shared" si="121"/>
        <v>0</v>
      </c>
      <c r="DJ342">
        <f t="shared" si="137"/>
        <v>7721.6</v>
      </c>
      <c r="DK342">
        <v>0</v>
      </c>
    </row>
    <row r="343" spans="1:115" x14ac:dyDescent="0.2">
      <c r="A343">
        <f>ROW(Source!A317)</f>
        <v>317</v>
      </c>
      <c r="B343">
        <v>129761636</v>
      </c>
      <c r="C343">
        <v>129763578</v>
      </c>
      <c r="D343">
        <v>37345142</v>
      </c>
      <c r="E343">
        <v>37345137</v>
      </c>
      <c r="F343">
        <v>1</v>
      </c>
      <c r="G343">
        <v>37345137</v>
      </c>
      <c r="H343">
        <v>1</v>
      </c>
      <c r="I343" t="s">
        <v>1096</v>
      </c>
      <c r="J343" t="s">
        <v>3</v>
      </c>
      <c r="K343" t="s">
        <v>1097</v>
      </c>
      <c r="L343">
        <v>1191</v>
      </c>
      <c r="N343">
        <v>1013</v>
      </c>
      <c r="O343" t="s">
        <v>1098</v>
      </c>
      <c r="P343" t="s">
        <v>1098</v>
      </c>
      <c r="Q343">
        <v>1</v>
      </c>
      <c r="W343">
        <v>0</v>
      </c>
      <c r="X343">
        <v>476480486</v>
      </c>
      <c r="Y343">
        <f>(AT343*1.15)</f>
        <v>36.799999999999997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1</v>
      </c>
      <c r="AJ343">
        <v>1</v>
      </c>
      <c r="AK343">
        <v>1</v>
      </c>
      <c r="AL343">
        <v>1</v>
      </c>
      <c r="AN343">
        <v>0</v>
      </c>
      <c r="AO343">
        <v>1</v>
      </c>
      <c r="AP343">
        <v>1</v>
      </c>
      <c r="AQ343">
        <v>0</v>
      </c>
      <c r="AR343">
        <v>0</v>
      </c>
      <c r="AS343" t="s">
        <v>3</v>
      </c>
      <c r="AT343">
        <v>32</v>
      </c>
      <c r="AU343" t="s">
        <v>87</v>
      </c>
      <c r="AV343">
        <v>1</v>
      </c>
      <c r="AW343">
        <v>2</v>
      </c>
      <c r="AX343">
        <v>129763585</v>
      </c>
      <c r="AY343">
        <v>1</v>
      </c>
      <c r="AZ343">
        <v>0</v>
      </c>
      <c r="BA343">
        <v>347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>ROUND(Y343*Source!I317,9)</f>
        <v>2.5760000000000001</v>
      </c>
      <c r="CY343">
        <f>AD343</f>
        <v>0</v>
      </c>
      <c r="CZ343">
        <f>AH343</f>
        <v>0</v>
      </c>
      <c r="DA343">
        <f>AL343</f>
        <v>1</v>
      </c>
      <c r="DB343">
        <f>ROUND((ROUND(AT343*CZ343,2)*1.15),6)</f>
        <v>0</v>
      </c>
      <c r="DC343">
        <f>ROUND((ROUND(AT343*AG343,2)*1.15),6)</f>
        <v>0</v>
      </c>
      <c r="DD343" t="s">
        <v>3</v>
      </c>
      <c r="DE343" t="s">
        <v>3</v>
      </c>
      <c r="DF343">
        <f t="shared" ref="DF343:DF350" si="140">ROUND(AE343*CX343,2)</f>
        <v>0</v>
      </c>
      <c r="DG343">
        <f t="shared" si="138"/>
        <v>0</v>
      </c>
      <c r="DH343">
        <f t="shared" si="139"/>
        <v>0</v>
      </c>
      <c r="DI343">
        <f t="shared" si="121"/>
        <v>0</v>
      </c>
      <c r="DJ343">
        <f>DI343</f>
        <v>0</v>
      </c>
      <c r="DK343">
        <v>0</v>
      </c>
    </row>
    <row r="344" spans="1:115" x14ac:dyDescent="0.2">
      <c r="A344">
        <f>ROW(Source!A317)</f>
        <v>317</v>
      </c>
      <c r="B344">
        <v>129761636</v>
      </c>
      <c r="C344">
        <v>129763578</v>
      </c>
      <c r="D344">
        <v>37345890</v>
      </c>
      <c r="E344">
        <v>37345137</v>
      </c>
      <c r="F344">
        <v>1</v>
      </c>
      <c r="G344">
        <v>37345137</v>
      </c>
      <c r="H344">
        <v>2</v>
      </c>
      <c r="I344" t="s">
        <v>1145</v>
      </c>
      <c r="J344" t="s">
        <v>3</v>
      </c>
      <c r="K344" t="s">
        <v>1146</v>
      </c>
      <c r="L344">
        <v>1344</v>
      </c>
      <c r="N344">
        <v>1008</v>
      </c>
      <c r="O344" t="s">
        <v>1138</v>
      </c>
      <c r="P344" t="s">
        <v>1138</v>
      </c>
      <c r="Q344">
        <v>1</v>
      </c>
      <c r="W344">
        <v>0</v>
      </c>
      <c r="X344">
        <v>-1180195794</v>
      </c>
      <c r="Y344">
        <f>(AT344*1.25)</f>
        <v>503.76249999999999</v>
      </c>
      <c r="AA344">
        <v>0</v>
      </c>
      <c r="AB344">
        <v>1</v>
      </c>
      <c r="AC344">
        <v>0</v>
      </c>
      <c r="AD344">
        <v>0</v>
      </c>
      <c r="AE344">
        <v>0</v>
      </c>
      <c r="AF344">
        <v>1</v>
      </c>
      <c r="AG344">
        <v>0</v>
      </c>
      <c r="AH344">
        <v>0</v>
      </c>
      <c r="AI344">
        <v>1</v>
      </c>
      <c r="AJ344">
        <v>1</v>
      </c>
      <c r="AK344">
        <v>1</v>
      </c>
      <c r="AL344">
        <v>1</v>
      </c>
      <c r="AN344">
        <v>0</v>
      </c>
      <c r="AO344">
        <v>1</v>
      </c>
      <c r="AP344">
        <v>1</v>
      </c>
      <c r="AQ344">
        <v>0</v>
      </c>
      <c r="AR344">
        <v>0</v>
      </c>
      <c r="AS344" t="s">
        <v>3</v>
      </c>
      <c r="AT344">
        <v>403.01</v>
      </c>
      <c r="AU344" t="s">
        <v>86</v>
      </c>
      <c r="AV344">
        <v>0</v>
      </c>
      <c r="AW344">
        <v>2</v>
      </c>
      <c r="AX344">
        <v>129763586</v>
      </c>
      <c r="AY344">
        <v>1</v>
      </c>
      <c r="AZ344">
        <v>0</v>
      </c>
      <c r="BA344">
        <v>348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>ROUND(Y344*Source!I317,9)</f>
        <v>35.263375000000003</v>
      </c>
      <c r="CY344">
        <f>AB344</f>
        <v>1</v>
      </c>
      <c r="CZ344">
        <f>AF344</f>
        <v>1</v>
      </c>
      <c r="DA344">
        <f>AJ344</f>
        <v>1</v>
      </c>
      <c r="DB344">
        <f>ROUND((ROUND(AT344*CZ344,2)*1.25),6)</f>
        <v>503.76249999999999</v>
      </c>
      <c r="DC344">
        <f>ROUND((ROUND(AT344*AG344,2)*1.25),6)</f>
        <v>0</v>
      </c>
      <c r="DD344" t="s">
        <v>3</v>
      </c>
      <c r="DE344" t="s">
        <v>3</v>
      </c>
      <c r="DF344">
        <f t="shared" si="140"/>
        <v>0</v>
      </c>
      <c r="DG344">
        <f t="shared" si="138"/>
        <v>35.26</v>
      </c>
      <c r="DH344">
        <f t="shared" si="139"/>
        <v>0</v>
      </c>
      <c r="DI344">
        <f t="shared" si="121"/>
        <v>0</v>
      </c>
      <c r="DJ344">
        <f>DG344</f>
        <v>35.26</v>
      </c>
      <c r="DK344">
        <v>0</v>
      </c>
    </row>
    <row r="345" spans="1:115" x14ac:dyDescent="0.2">
      <c r="A345">
        <f>ROW(Source!A317)</f>
        <v>317</v>
      </c>
      <c r="B345">
        <v>129761636</v>
      </c>
      <c r="C345">
        <v>129763578</v>
      </c>
      <c r="D345">
        <v>37394337</v>
      </c>
      <c r="E345">
        <v>1</v>
      </c>
      <c r="F345">
        <v>1</v>
      </c>
      <c r="G345">
        <v>37345137</v>
      </c>
      <c r="H345">
        <v>3</v>
      </c>
      <c r="I345" t="s">
        <v>427</v>
      </c>
      <c r="J345" t="s">
        <v>429</v>
      </c>
      <c r="K345" t="s">
        <v>428</v>
      </c>
      <c r="L345">
        <v>1327</v>
      </c>
      <c r="N345">
        <v>1005</v>
      </c>
      <c r="O345" t="s">
        <v>258</v>
      </c>
      <c r="P345" t="s">
        <v>258</v>
      </c>
      <c r="Q345">
        <v>1</v>
      </c>
      <c r="W345">
        <v>0</v>
      </c>
      <c r="X345">
        <v>-684642042</v>
      </c>
      <c r="Y345">
        <f>AT345</f>
        <v>112</v>
      </c>
      <c r="AA345">
        <v>7</v>
      </c>
      <c r="AB345">
        <v>0</v>
      </c>
      <c r="AC345">
        <v>0</v>
      </c>
      <c r="AD345">
        <v>0</v>
      </c>
      <c r="AE345">
        <v>7</v>
      </c>
      <c r="AF345">
        <v>0</v>
      </c>
      <c r="AG345">
        <v>0</v>
      </c>
      <c r="AH345">
        <v>0</v>
      </c>
      <c r="AI345">
        <v>1</v>
      </c>
      <c r="AJ345">
        <v>1</v>
      </c>
      <c r="AK345">
        <v>1</v>
      </c>
      <c r="AL345">
        <v>1</v>
      </c>
      <c r="AN345">
        <v>0</v>
      </c>
      <c r="AO345">
        <v>0</v>
      </c>
      <c r="AP345">
        <v>0</v>
      </c>
      <c r="AQ345">
        <v>0</v>
      </c>
      <c r="AR345">
        <v>0</v>
      </c>
      <c r="AS345" t="s">
        <v>3</v>
      </c>
      <c r="AT345">
        <v>112</v>
      </c>
      <c r="AU345" t="s">
        <v>3</v>
      </c>
      <c r="AV345">
        <v>0</v>
      </c>
      <c r="AW345">
        <v>1</v>
      </c>
      <c r="AX345">
        <v>-1</v>
      </c>
      <c r="AY345">
        <v>0</v>
      </c>
      <c r="AZ345">
        <v>0</v>
      </c>
      <c r="BA345" t="s">
        <v>3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>ROUND(Y345*Source!I317,9)</f>
        <v>7.84</v>
      </c>
      <c r="CY345">
        <f>AA345</f>
        <v>7</v>
      </c>
      <c r="CZ345">
        <f>AE345</f>
        <v>7</v>
      </c>
      <c r="DA345">
        <f>AI345</f>
        <v>1</v>
      </c>
      <c r="DB345">
        <f>ROUND(ROUND(AT345*CZ345,2),6)</f>
        <v>784</v>
      </c>
      <c r="DC345">
        <f>ROUND(ROUND(AT345*AG345,2),6)</f>
        <v>0</v>
      </c>
      <c r="DD345" t="s">
        <v>3</v>
      </c>
      <c r="DE345" t="s">
        <v>3</v>
      </c>
      <c r="DF345">
        <f t="shared" si="140"/>
        <v>54.88</v>
      </c>
      <c r="DG345">
        <f t="shared" si="138"/>
        <v>0</v>
      </c>
      <c r="DH345">
        <f t="shared" si="139"/>
        <v>0</v>
      </c>
      <c r="DI345">
        <f t="shared" si="121"/>
        <v>0</v>
      </c>
      <c r="DJ345">
        <f>DF345</f>
        <v>54.88</v>
      </c>
      <c r="DK345">
        <v>0</v>
      </c>
    </row>
    <row r="346" spans="1:115" x14ac:dyDescent="0.2">
      <c r="A346">
        <f>ROW(Source!A317)</f>
        <v>317</v>
      </c>
      <c r="B346">
        <v>129761636</v>
      </c>
      <c r="C346">
        <v>129763578</v>
      </c>
      <c r="D346">
        <v>37393773</v>
      </c>
      <c r="E346">
        <v>1</v>
      </c>
      <c r="F346">
        <v>1</v>
      </c>
      <c r="G346">
        <v>37345137</v>
      </c>
      <c r="H346">
        <v>3</v>
      </c>
      <c r="I346" t="s">
        <v>1267</v>
      </c>
      <c r="J346" t="s">
        <v>1268</v>
      </c>
      <c r="K346" t="s">
        <v>1269</v>
      </c>
      <c r="L346">
        <v>1348</v>
      </c>
      <c r="N346">
        <v>1009</v>
      </c>
      <c r="O346" t="s">
        <v>114</v>
      </c>
      <c r="P346" t="s">
        <v>114</v>
      </c>
      <c r="Q346">
        <v>1000</v>
      </c>
      <c r="W346">
        <v>0</v>
      </c>
      <c r="X346">
        <v>-378770251</v>
      </c>
      <c r="Y346">
        <f>AT346</f>
        <v>5.5E-2</v>
      </c>
      <c r="AA346">
        <v>7359.71</v>
      </c>
      <c r="AB346">
        <v>0</v>
      </c>
      <c r="AC346">
        <v>0</v>
      </c>
      <c r="AD346">
        <v>0</v>
      </c>
      <c r="AE346">
        <v>7359.71</v>
      </c>
      <c r="AF346">
        <v>0</v>
      </c>
      <c r="AG346">
        <v>0</v>
      </c>
      <c r="AH346">
        <v>0</v>
      </c>
      <c r="AI346">
        <v>1</v>
      </c>
      <c r="AJ346">
        <v>1</v>
      </c>
      <c r="AK346">
        <v>1</v>
      </c>
      <c r="AL346">
        <v>1</v>
      </c>
      <c r="AN346">
        <v>0</v>
      </c>
      <c r="AO346">
        <v>1</v>
      </c>
      <c r="AP346">
        <v>0</v>
      </c>
      <c r="AQ346">
        <v>0</v>
      </c>
      <c r="AR346">
        <v>0</v>
      </c>
      <c r="AS346" t="s">
        <v>3</v>
      </c>
      <c r="AT346">
        <v>5.5E-2</v>
      </c>
      <c r="AU346" t="s">
        <v>3</v>
      </c>
      <c r="AV346">
        <v>0</v>
      </c>
      <c r="AW346">
        <v>2</v>
      </c>
      <c r="AX346">
        <v>129763587</v>
      </c>
      <c r="AY346">
        <v>1</v>
      </c>
      <c r="AZ346">
        <v>0</v>
      </c>
      <c r="BA346">
        <v>349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>ROUND(Y346*Source!I317,9)</f>
        <v>3.8500000000000001E-3</v>
      </c>
      <c r="CY346">
        <f>AA346</f>
        <v>7359.71</v>
      </c>
      <c r="CZ346">
        <f>AE346</f>
        <v>7359.71</v>
      </c>
      <c r="DA346">
        <f>AI346</f>
        <v>1</v>
      </c>
      <c r="DB346">
        <f>ROUND(ROUND(AT346*CZ346,2),6)</f>
        <v>404.78</v>
      </c>
      <c r="DC346">
        <f>ROUND(ROUND(AT346*AG346,2),6)</f>
        <v>0</v>
      </c>
      <c r="DD346" t="s">
        <v>3</v>
      </c>
      <c r="DE346" t="s">
        <v>3</v>
      </c>
      <c r="DF346">
        <f t="shared" si="140"/>
        <v>28.33</v>
      </c>
      <c r="DG346">
        <f t="shared" si="138"/>
        <v>0</v>
      </c>
      <c r="DH346">
        <f t="shared" si="139"/>
        <v>0</v>
      </c>
      <c r="DI346">
        <f t="shared" si="121"/>
        <v>0</v>
      </c>
      <c r="DJ346">
        <f>DF346</f>
        <v>28.33</v>
      </c>
      <c r="DK346">
        <v>0</v>
      </c>
    </row>
    <row r="347" spans="1:115" x14ac:dyDescent="0.2">
      <c r="A347">
        <f>ROW(Source!A317)</f>
        <v>317</v>
      </c>
      <c r="B347">
        <v>129761636</v>
      </c>
      <c r="C347">
        <v>129763578</v>
      </c>
      <c r="D347">
        <v>37393493</v>
      </c>
      <c r="E347">
        <v>1</v>
      </c>
      <c r="F347">
        <v>1</v>
      </c>
      <c r="G347">
        <v>37345137</v>
      </c>
      <c r="H347">
        <v>3</v>
      </c>
      <c r="I347" t="s">
        <v>1270</v>
      </c>
      <c r="J347" t="s">
        <v>1271</v>
      </c>
      <c r="K347" t="s">
        <v>1272</v>
      </c>
      <c r="L347">
        <v>1348</v>
      </c>
      <c r="N347">
        <v>1009</v>
      </c>
      <c r="O347" t="s">
        <v>114</v>
      </c>
      <c r="P347" t="s">
        <v>114</v>
      </c>
      <c r="Q347">
        <v>1000</v>
      </c>
      <c r="W347">
        <v>0</v>
      </c>
      <c r="X347">
        <v>1062224468</v>
      </c>
      <c r="Y347">
        <f>AT347</f>
        <v>2.4E-2</v>
      </c>
      <c r="AA347">
        <v>3389.74</v>
      </c>
      <c r="AB347">
        <v>0</v>
      </c>
      <c r="AC347">
        <v>0</v>
      </c>
      <c r="AD347">
        <v>0</v>
      </c>
      <c r="AE347">
        <v>3389.74</v>
      </c>
      <c r="AF347">
        <v>0</v>
      </c>
      <c r="AG347">
        <v>0</v>
      </c>
      <c r="AH347">
        <v>0</v>
      </c>
      <c r="AI347">
        <v>1</v>
      </c>
      <c r="AJ347">
        <v>1</v>
      </c>
      <c r="AK347">
        <v>1</v>
      </c>
      <c r="AL347">
        <v>1</v>
      </c>
      <c r="AN347">
        <v>0</v>
      </c>
      <c r="AO347">
        <v>1</v>
      </c>
      <c r="AP347">
        <v>0</v>
      </c>
      <c r="AQ347">
        <v>0</v>
      </c>
      <c r="AR347">
        <v>0</v>
      </c>
      <c r="AS347" t="s">
        <v>3</v>
      </c>
      <c r="AT347">
        <v>2.4E-2</v>
      </c>
      <c r="AU347" t="s">
        <v>3</v>
      </c>
      <c r="AV347">
        <v>0</v>
      </c>
      <c r="AW347">
        <v>2</v>
      </c>
      <c r="AX347">
        <v>129763588</v>
      </c>
      <c r="AY347">
        <v>1</v>
      </c>
      <c r="AZ347">
        <v>0</v>
      </c>
      <c r="BA347">
        <v>350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>ROUND(Y347*Source!I317,9)</f>
        <v>1.6800000000000001E-3</v>
      </c>
      <c r="CY347">
        <f>AA347</f>
        <v>3389.74</v>
      </c>
      <c r="CZ347">
        <f>AE347</f>
        <v>3389.74</v>
      </c>
      <c r="DA347">
        <f>AI347</f>
        <v>1</v>
      </c>
      <c r="DB347">
        <f>ROUND(ROUND(AT347*CZ347,2),6)</f>
        <v>81.349999999999994</v>
      </c>
      <c r="DC347">
        <f>ROUND(ROUND(AT347*AG347,2),6)</f>
        <v>0</v>
      </c>
      <c r="DD347" t="s">
        <v>3</v>
      </c>
      <c r="DE347" t="s">
        <v>3</v>
      </c>
      <c r="DF347">
        <f t="shared" si="140"/>
        <v>5.69</v>
      </c>
      <c r="DG347">
        <f t="shared" si="138"/>
        <v>0</v>
      </c>
      <c r="DH347">
        <f t="shared" si="139"/>
        <v>0</v>
      </c>
      <c r="DI347">
        <f t="shared" si="121"/>
        <v>0</v>
      </c>
      <c r="DJ347">
        <f>DF347</f>
        <v>5.69</v>
      </c>
      <c r="DK347">
        <v>0</v>
      </c>
    </row>
    <row r="348" spans="1:115" x14ac:dyDescent="0.2">
      <c r="A348">
        <f>ROW(Source!A317)</f>
        <v>317</v>
      </c>
      <c r="B348">
        <v>129761636</v>
      </c>
      <c r="C348">
        <v>129763578</v>
      </c>
      <c r="D348">
        <v>37393981</v>
      </c>
      <c r="E348">
        <v>1</v>
      </c>
      <c r="F348">
        <v>1</v>
      </c>
      <c r="G348">
        <v>37345137</v>
      </c>
      <c r="H348">
        <v>3</v>
      </c>
      <c r="I348" t="s">
        <v>1273</v>
      </c>
      <c r="J348" t="s">
        <v>1274</v>
      </c>
      <c r="K348" t="s">
        <v>1275</v>
      </c>
      <c r="L348">
        <v>1348</v>
      </c>
      <c r="N348">
        <v>1009</v>
      </c>
      <c r="O348" t="s">
        <v>114</v>
      </c>
      <c r="P348" t="s">
        <v>114</v>
      </c>
      <c r="Q348">
        <v>1000</v>
      </c>
      <c r="W348">
        <v>0</v>
      </c>
      <c r="X348">
        <v>1387058064</v>
      </c>
      <c r="Y348">
        <f>AT348</f>
        <v>0.53</v>
      </c>
      <c r="AA348">
        <v>18910.8</v>
      </c>
      <c r="AB348">
        <v>0</v>
      </c>
      <c r="AC348">
        <v>0</v>
      </c>
      <c r="AD348">
        <v>0</v>
      </c>
      <c r="AE348">
        <v>18910.8</v>
      </c>
      <c r="AF348">
        <v>0</v>
      </c>
      <c r="AG348">
        <v>0</v>
      </c>
      <c r="AH348">
        <v>0</v>
      </c>
      <c r="AI348">
        <v>1</v>
      </c>
      <c r="AJ348">
        <v>1</v>
      </c>
      <c r="AK348">
        <v>1</v>
      </c>
      <c r="AL348">
        <v>1</v>
      </c>
      <c r="AN348">
        <v>0</v>
      </c>
      <c r="AO348">
        <v>1</v>
      </c>
      <c r="AP348">
        <v>0</v>
      </c>
      <c r="AQ348">
        <v>0</v>
      </c>
      <c r="AR348">
        <v>0</v>
      </c>
      <c r="AS348" t="s">
        <v>3</v>
      </c>
      <c r="AT348">
        <v>0.53</v>
      </c>
      <c r="AU348" t="s">
        <v>3</v>
      </c>
      <c r="AV348">
        <v>0</v>
      </c>
      <c r="AW348">
        <v>2</v>
      </c>
      <c r="AX348">
        <v>129763589</v>
      </c>
      <c r="AY348">
        <v>1</v>
      </c>
      <c r="AZ348">
        <v>0</v>
      </c>
      <c r="BA348">
        <v>351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>ROUND(Y348*Source!I317,9)</f>
        <v>3.7100000000000001E-2</v>
      </c>
      <c r="CY348">
        <f>AA348</f>
        <v>18910.8</v>
      </c>
      <c r="CZ348">
        <f>AE348</f>
        <v>18910.8</v>
      </c>
      <c r="DA348">
        <f>AI348</f>
        <v>1</v>
      </c>
      <c r="DB348">
        <f>ROUND(ROUND(AT348*CZ348,2),6)</f>
        <v>10022.719999999999</v>
      </c>
      <c r="DC348">
        <f>ROUND(ROUND(AT348*AG348,2),6)</f>
        <v>0</v>
      </c>
      <c r="DD348" t="s">
        <v>3</v>
      </c>
      <c r="DE348" t="s">
        <v>3</v>
      </c>
      <c r="DF348">
        <f t="shared" si="140"/>
        <v>701.59</v>
      </c>
      <c r="DG348">
        <f t="shared" si="138"/>
        <v>0</v>
      </c>
      <c r="DH348">
        <f t="shared" si="139"/>
        <v>0</v>
      </c>
      <c r="DI348">
        <f t="shared" si="121"/>
        <v>0</v>
      </c>
      <c r="DJ348">
        <f>DF348</f>
        <v>701.59</v>
      </c>
      <c r="DK348">
        <v>0</v>
      </c>
    </row>
    <row r="349" spans="1:115" x14ac:dyDescent="0.2">
      <c r="A349">
        <f>ROW(Source!A318)</f>
        <v>318</v>
      </c>
      <c r="B349">
        <v>129761633</v>
      </c>
      <c r="C349">
        <v>129763578</v>
      </c>
      <c r="D349">
        <v>37345142</v>
      </c>
      <c r="E349">
        <v>37345137</v>
      </c>
      <c r="F349">
        <v>1</v>
      </c>
      <c r="G349">
        <v>37345137</v>
      </c>
      <c r="H349">
        <v>1</v>
      </c>
      <c r="I349" t="s">
        <v>1096</v>
      </c>
      <c r="J349" t="s">
        <v>3</v>
      </c>
      <c r="K349" t="s">
        <v>1097</v>
      </c>
      <c r="L349">
        <v>1191</v>
      </c>
      <c r="N349">
        <v>1013</v>
      </c>
      <c r="O349" t="s">
        <v>1098</v>
      </c>
      <c r="P349" t="s">
        <v>1098</v>
      </c>
      <c r="Q349">
        <v>1</v>
      </c>
      <c r="W349">
        <v>0</v>
      </c>
      <c r="X349">
        <v>476480486</v>
      </c>
      <c r="Y349">
        <f>(AT349*1.15)</f>
        <v>36.799999999999997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1</v>
      </c>
      <c r="AJ349">
        <v>1</v>
      </c>
      <c r="AK349">
        <v>1</v>
      </c>
      <c r="AL349">
        <v>1</v>
      </c>
      <c r="AN349">
        <v>0</v>
      </c>
      <c r="AO349">
        <v>1</v>
      </c>
      <c r="AP349">
        <v>1</v>
      </c>
      <c r="AQ349">
        <v>0</v>
      </c>
      <c r="AR349">
        <v>0</v>
      </c>
      <c r="AS349" t="s">
        <v>3</v>
      </c>
      <c r="AT349">
        <v>32</v>
      </c>
      <c r="AU349" t="s">
        <v>87</v>
      </c>
      <c r="AV349">
        <v>1</v>
      </c>
      <c r="AW349">
        <v>2</v>
      </c>
      <c r="AX349">
        <v>129763585</v>
      </c>
      <c r="AY349">
        <v>1</v>
      </c>
      <c r="AZ349">
        <v>0</v>
      </c>
      <c r="BA349">
        <v>353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>ROUND(Y349*Source!I318,9)</f>
        <v>2.5760000000000001</v>
      </c>
      <c r="CY349">
        <f>AD349</f>
        <v>0</v>
      </c>
      <c r="CZ349">
        <f>AH349</f>
        <v>0</v>
      </c>
      <c r="DA349">
        <f>AL349</f>
        <v>1</v>
      </c>
      <c r="DB349">
        <f>ROUND((ROUND(AT349*CZ349,2)*1.15),6)</f>
        <v>0</v>
      </c>
      <c r="DC349">
        <f>ROUND((ROUND(AT349*AG349,2)*1.15),6)</f>
        <v>0</v>
      </c>
      <c r="DD349" t="s">
        <v>3</v>
      </c>
      <c r="DE349" t="s">
        <v>3</v>
      </c>
      <c r="DF349">
        <f t="shared" si="140"/>
        <v>0</v>
      </c>
      <c r="DG349">
        <f t="shared" si="138"/>
        <v>0</v>
      </c>
      <c r="DH349">
        <f t="shared" si="139"/>
        <v>0</v>
      </c>
      <c r="DI349">
        <f t="shared" si="121"/>
        <v>0</v>
      </c>
      <c r="DJ349">
        <f>DI349</f>
        <v>0</v>
      </c>
      <c r="DK349">
        <v>0</v>
      </c>
    </row>
    <row r="350" spans="1:115" x14ac:dyDescent="0.2">
      <c r="A350">
        <f>ROW(Source!A318)</f>
        <v>318</v>
      </c>
      <c r="B350">
        <v>129761633</v>
      </c>
      <c r="C350">
        <v>129763578</v>
      </c>
      <c r="D350">
        <v>37345890</v>
      </c>
      <c r="E350">
        <v>37345137</v>
      </c>
      <c r="F350">
        <v>1</v>
      </c>
      <c r="G350">
        <v>37345137</v>
      </c>
      <c r="H350">
        <v>2</v>
      </c>
      <c r="I350" t="s">
        <v>1145</v>
      </c>
      <c r="J350" t="s">
        <v>3</v>
      </c>
      <c r="K350" t="s">
        <v>1146</v>
      </c>
      <c r="L350">
        <v>1344</v>
      </c>
      <c r="N350">
        <v>1008</v>
      </c>
      <c r="O350" t="s">
        <v>1138</v>
      </c>
      <c r="P350" t="s">
        <v>1138</v>
      </c>
      <c r="Q350">
        <v>1</v>
      </c>
      <c r="W350">
        <v>0</v>
      </c>
      <c r="X350">
        <v>-1180195794</v>
      </c>
      <c r="Y350">
        <f>(AT350*1.25)</f>
        <v>503.76249999999999</v>
      </c>
      <c r="AA350">
        <v>0</v>
      </c>
      <c r="AB350">
        <v>1.05</v>
      </c>
      <c r="AC350">
        <v>0</v>
      </c>
      <c r="AD350">
        <v>0</v>
      </c>
      <c r="AE350">
        <v>0</v>
      </c>
      <c r="AF350">
        <v>1</v>
      </c>
      <c r="AG350">
        <v>0</v>
      </c>
      <c r="AH350">
        <v>0</v>
      </c>
      <c r="AI350">
        <v>1</v>
      </c>
      <c r="AJ350">
        <v>1</v>
      </c>
      <c r="AK350">
        <v>1</v>
      </c>
      <c r="AL350">
        <v>1</v>
      </c>
      <c r="AN350">
        <v>0</v>
      </c>
      <c r="AO350">
        <v>1</v>
      </c>
      <c r="AP350">
        <v>1</v>
      </c>
      <c r="AQ350">
        <v>0</v>
      </c>
      <c r="AR350">
        <v>0</v>
      </c>
      <c r="AS350" t="s">
        <v>3</v>
      </c>
      <c r="AT350">
        <v>403.01</v>
      </c>
      <c r="AU350" t="s">
        <v>86</v>
      </c>
      <c r="AV350">
        <v>0</v>
      </c>
      <c r="AW350">
        <v>2</v>
      </c>
      <c r="AX350">
        <v>129763586</v>
      </c>
      <c r="AY350">
        <v>1</v>
      </c>
      <c r="AZ350">
        <v>0</v>
      </c>
      <c r="BA350">
        <v>354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>ROUND(Y350*Source!I318,9)</f>
        <v>35.263375000000003</v>
      </c>
      <c r="CY350">
        <f>AB350</f>
        <v>1.05</v>
      </c>
      <c r="CZ350">
        <f>AF350</f>
        <v>1</v>
      </c>
      <c r="DA350">
        <f>AJ350</f>
        <v>1</v>
      </c>
      <c r="DB350">
        <f>ROUND((ROUND(AT350*CZ350,2)*1.25),6)</f>
        <v>503.76249999999999</v>
      </c>
      <c r="DC350">
        <f>ROUND((ROUND(AT350*AG350,2)*1.25),6)</f>
        <v>0</v>
      </c>
      <c r="DD350" t="s">
        <v>3</v>
      </c>
      <c r="DE350" t="s">
        <v>3</v>
      </c>
      <c r="DF350">
        <f t="shared" si="140"/>
        <v>0</v>
      </c>
      <c r="DG350">
        <f t="shared" si="138"/>
        <v>35.26</v>
      </c>
      <c r="DH350">
        <f t="shared" si="139"/>
        <v>0</v>
      </c>
      <c r="DI350">
        <f t="shared" si="121"/>
        <v>0</v>
      </c>
      <c r="DJ350">
        <f>DG350</f>
        <v>35.26</v>
      </c>
      <c r="DK350">
        <v>0</v>
      </c>
    </row>
    <row r="351" spans="1:115" x14ac:dyDescent="0.2">
      <c r="A351">
        <f>ROW(Source!A318)</f>
        <v>318</v>
      </c>
      <c r="B351">
        <v>129761633</v>
      </c>
      <c r="C351">
        <v>129763578</v>
      </c>
      <c r="D351">
        <v>37394337</v>
      </c>
      <c r="E351">
        <v>1</v>
      </c>
      <c r="F351">
        <v>1</v>
      </c>
      <c r="G351">
        <v>37345137</v>
      </c>
      <c r="H351">
        <v>3</v>
      </c>
      <c r="I351" t="s">
        <v>427</v>
      </c>
      <c r="J351" t="s">
        <v>429</v>
      </c>
      <c r="K351" t="s">
        <v>428</v>
      </c>
      <c r="L351">
        <v>1327</v>
      </c>
      <c r="N351">
        <v>1005</v>
      </c>
      <c r="O351" t="s">
        <v>258</v>
      </c>
      <c r="P351" t="s">
        <v>258</v>
      </c>
      <c r="Q351">
        <v>1</v>
      </c>
      <c r="W351">
        <v>0</v>
      </c>
      <c r="X351">
        <v>-684642042</v>
      </c>
      <c r="Y351">
        <f>AT351</f>
        <v>112</v>
      </c>
      <c r="AA351">
        <v>60.55</v>
      </c>
      <c r="AB351">
        <v>0</v>
      </c>
      <c r="AC351">
        <v>0</v>
      </c>
      <c r="AD351">
        <v>0</v>
      </c>
      <c r="AE351">
        <v>7</v>
      </c>
      <c r="AF351">
        <v>0</v>
      </c>
      <c r="AG351">
        <v>0</v>
      </c>
      <c r="AH351">
        <v>0</v>
      </c>
      <c r="AI351">
        <v>8.65</v>
      </c>
      <c r="AJ351">
        <v>1</v>
      </c>
      <c r="AK351">
        <v>1</v>
      </c>
      <c r="AL351">
        <v>1</v>
      </c>
      <c r="AN351">
        <v>0</v>
      </c>
      <c r="AO351">
        <v>0</v>
      </c>
      <c r="AP351">
        <v>0</v>
      </c>
      <c r="AQ351">
        <v>0</v>
      </c>
      <c r="AR351">
        <v>0</v>
      </c>
      <c r="AS351" t="s">
        <v>3</v>
      </c>
      <c r="AT351">
        <v>112</v>
      </c>
      <c r="AU351" t="s">
        <v>3</v>
      </c>
      <c r="AV351">
        <v>0</v>
      </c>
      <c r="AW351">
        <v>1</v>
      </c>
      <c r="AX351">
        <v>-1</v>
      </c>
      <c r="AY351">
        <v>0</v>
      </c>
      <c r="AZ351">
        <v>0</v>
      </c>
      <c r="BA351" t="s">
        <v>3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>ROUND(Y351*Source!I318,9)</f>
        <v>7.84</v>
      </c>
      <c r="CY351">
        <f>AA351</f>
        <v>60.55</v>
      </c>
      <c r="CZ351">
        <f>AE351</f>
        <v>7</v>
      </c>
      <c r="DA351">
        <f>AI351</f>
        <v>8.65</v>
      </c>
      <c r="DB351">
        <f>ROUND(ROUND(AT351*CZ351,2),6)</f>
        <v>784</v>
      </c>
      <c r="DC351">
        <f>ROUND(ROUND(AT351*AG351,2),6)</f>
        <v>0</v>
      </c>
      <c r="DD351" t="s">
        <v>3</v>
      </c>
      <c r="DE351" t="s">
        <v>3</v>
      </c>
      <c r="DF351">
        <f>ROUND(ROUND(AE351*CX351,2)*AI351,2)</f>
        <v>474.71</v>
      </c>
      <c r="DG351">
        <f t="shared" si="138"/>
        <v>0</v>
      </c>
      <c r="DH351">
        <f t="shared" si="139"/>
        <v>0</v>
      </c>
      <c r="DI351">
        <f t="shared" si="121"/>
        <v>0</v>
      </c>
      <c r="DJ351">
        <f>DF351</f>
        <v>474.71</v>
      </c>
      <c r="DK351">
        <v>0</v>
      </c>
    </row>
    <row r="352" spans="1:115" x14ac:dyDescent="0.2">
      <c r="A352">
        <f>ROW(Source!A318)</f>
        <v>318</v>
      </c>
      <c r="B352">
        <v>129761633</v>
      </c>
      <c r="C352">
        <v>129763578</v>
      </c>
      <c r="D352">
        <v>37393773</v>
      </c>
      <c r="E352">
        <v>1</v>
      </c>
      <c r="F352">
        <v>1</v>
      </c>
      <c r="G352">
        <v>37345137</v>
      </c>
      <c r="H352">
        <v>3</v>
      </c>
      <c r="I352" t="s">
        <v>1267</v>
      </c>
      <c r="J352" t="s">
        <v>1268</v>
      </c>
      <c r="K352" t="s">
        <v>1269</v>
      </c>
      <c r="L352">
        <v>1348</v>
      </c>
      <c r="N352">
        <v>1009</v>
      </c>
      <c r="O352" t="s">
        <v>114</v>
      </c>
      <c r="P352" t="s">
        <v>114</v>
      </c>
      <c r="Q352">
        <v>1000</v>
      </c>
      <c r="W352">
        <v>0</v>
      </c>
      <c r="X352">
        <v>-378770251</v>
      </c>
      <c r="Y352">
        <f>AT352</f>
        <v>5.5E-2</v>
      </c>
      <c r="AA352">
        <v>51002.79</v>
      </c>
      <c r="AB352">
        <v>0</v>
      </c>
      <c r="AC352">
        <v>0</v>
      </c>
      <c r="AD352">
        <v>0</v>
      </c>
      <c r="AE352">
        <v>7359.71</v>
      </c>
      <c r="AF352">
        <v>0</v>
      </c>
      <c r="AG352">
        <v>0</v>
      </c>
      <c r="AH352">
        <v>0</v>
      </c>
      <c r="AI352">
        <v>6.93</v>
      </c>
      <c r="AJ352">
        <v>1</v>
      </c>
      <c r="AK352">
        <v>1</v>
      </c>
      <c r="AL352">
        <v>1</v>
      </c>
      <c r="AN352">
        <v>0</v>
      </c>
      <c r="AO352">
        <v>1</v>
      </c>
      <c r="AP352">
        <v>0</v>
      </c>
      <c r="AQ352">
        <v>0</v>
      </c>
      <c r="AR352">
        <v>0</v>
      </c>
      <c r="AS352" t="s">
        <v>3</v>
      </c>
      <c r="AT352">
        <v>5.5E-2</v>
      </c>
      <c r="AU352" t="s">
        <v>3</v>
      </c>
      <c r="AV352">
        <v>0</v>
      </c>
      <c r="AW352">
        <v>2</v>
      </c>
      <c r="AX352">
        <v>129763587</v>
      </c>
      <c r="AY352">
        <v>1</v>
      </c>
      <c r="AZ352">
        <v>0</v>
      </c>
      <c r="BA352">
        <v>355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>ROUND(Y352*Source!I318,9)</f>
        <v>3.8500000000000001E-3</v>
      </c>
      <c r="CY352">
        <f>AA352</f>
        <v>51002.79</v>
      </c>
      <c r="CZ352">
        <f>AE352</f>
        <v>7359.71</v>
      </c>
      <c r="DA352">
        <f>AI352</f>
        <v>6.93</v>
      </c>
      <c r="DB352">
        <f>ROUND(ROUND(AT352*CZ352,2),6)</f>
        <v>404.78</v>
      </c>
      <c r="DC352">
        <f>ROUND(ROUND(AT352*AG352,2),6)</f>
        <v>0</v>
      </c>
      <c r="DD352" t="s">
        <v>3</v>
      </c>
      <c r="DE352" t="s">
        <v>3</v>
      </c>
      <c r="DF352">
        <f>ROUND(ROUND(AE352*CX352,2)*AI352,2)</f>
        <v>196.33</v>
      </c>
      <c r="DG352">
        <f t="shared" si="138"/>
        <v>0</v>
      </c>
      <c r="DH352">
        <f t="shared" si="139"/>
        <v>0</v>
      </c>
      <c r="DI352">
        <f t="shared" si="121"/>
        <v>0</v>
      </c>
      <c r="DJ352">
        <f>DF352</f>
        <v>196.33</v>
      </c>
      <c r="DK352">
        <v>0</v>
      </c>
    </row>
    <row r="353" spans="1:115" x14ac:dyDescent="0.2">
      <c r="A353">
        <f>ROW(Source!A318)</f>
        <v>318</v>
      </c>
      <c r="B353">
        <v>129761633</v>
      </c>
      <c r="C353">
        <v>129763578</v>
      </c>
      <c r="D353">
        <v>37393493</v>
      </c>
      <c r="E353">
        <v>1</v>
      </c>
      <c r="F353">
        <v>1</v>
      </c>
      <c r="G353">
        <v>37345137</v>
      </c>
      <c r="H353">
        <v>3</v>
      </c>
      <c r="I353" t="s">
        <v>1270</v>
      </c>
      <c r="J353" t="s">
        <v>1271</v>
      </c>
      <c r="K353" t="s">
        <v>1272</v>
      </c>
      <c r="L353">
        <v>1348</v>
      </c>
      <c r="N353">
        <v>1009</v>
      </c>
      <c r="O353" t="s">
        <v>114</v>
      </c>
      <c r="P353" t="s">
        <v>114</v>
      </c>
      <c r="Q353">
        <v>1000</v>
      </c>
      <c r="W353">
        <v>0</v>
      </c>
      <c r="X353">
        <v>1062224468</v>
      </c>
      <c r="Y353">
        <f>AT353</f>
        <v>2.4E-2</v>
      </c>
      <c r="AA353">
        <v>18982.54</v>
      </c>
      <c r="AB353">
        <v>0</v>
      </c>
      <c r="AC353">
        <v>0</v>
      </c>
      <c r="AD353">
        <v>0</v>
      </c>
      <c r="AE353">
        <v>3389.74</v>
      </c>
      <c r="AF353">
        <v>0</v>
      </c>
      <c r="AG353">
        <v>0</v>
      </c>
      <c r="AH353">
        <v>0</v>
      </c>
      <c r="AI353">
        <v>5.6</v>
      </c>
      <c r="AJ353">
        <v>1</v>
      </c>
      <c r="AK353">
        <v>1</v>
      </c>
      <c r="AL353">
        <v>1</v>
      </c>
      <c r="AN353">
        <v>0</v>
      </c>
      <c r="AO353">
        <v>1</v>
      </c>
      <c r="AP353">
        <v>0</v>
      </c>
      <c r="AQ353">
        <v>0</v>
      </c>
      <c r="AR353">
        <v>0</v>
      </c>
      <c r="AS353" t="s">
        <v>3</v>
      </c>
      <c r="AT353">
        <v>2.4E-2</v>
      </c>
      <c r="AU353" t="s">
        <v>3</v>
      </c>
      <c r="AV353">
        <v>0</v>
      </c>
      <c r="AW353">
        <v>2</v>
      </c>
      <c r="AX353">
        <v>129763588</v>
      </c>
      <c r="AY353">
        <v>1</v>
      </c>
      <c r="AZ353">
        <v>0</v>
      </c>
      <c r="BA353">
        <v>356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>ROUND(Y353*Source!I318,9)</f>
        <v>1.6800000000000001E-3</v>
      </c>
      <c r="CY353">
        <f>AA353</f>
        <v>18982.54</v>
      </c>
      <c r="CZ353">
        <f>AE353</f>
        <v>3389.74</v>
      </c>
      <c r="DA353">
        <f>AI353</f>
        <v>5.6</v>
      </c>
      <c r="DB353">
        <f>ROUND(ROUND(AT353*CZ353,2),6)</f>
        <v>81.349999999999994</v>
      </c>
      <c r="DC353">
        <f>ROUND(ROUND(AT353*AG353,2),6)</f>
        <v>0</v>
      </c>
      <c r="DD353" t="s">
        <v>3</v>
      </c>
      <c r="DE353" t="s">
        <v>3</v>
      </c>
      <c r="DF353">
        <f>ROUND(ROUND(AE353*CX353,2)*AI353,2)</f>
        <v>31.86</v>
      </c>
      <c r="DG353">
        <f t="shared" si="138"/>
        <v>0</v>
      </c>
      <c r="DH353">
        <f t="shared" si="139"/>
        <v>0</v>
      </c>
      <c r="DI353">
        <f t="shared" si="121"/>
        <v>0</v>
      </c>
      <c r="DJ353">
        <f>DF353</f>
        <v>31.86</v>
      </c>
      <c r="DK353">
        <v>0</v>
      </c>
    </row>
    <row r="354" spans="1:115" x14ac:dyDescent="0.2">
      <c r="A354">
        <f>ROW(Source!A318)</f>
        <v>318</v>
      </c>
      <c r="B354">
        <v>129761633</v>
      </c>
      <c r="C354">
        <v>129763578</v>
      </c>
      <c r="D354">
        <v>37393981</v>
      </c>
      <c r="E354">
        <v>1</v>
      </c>
      <c r="F354">
        <v>1</v>
      </c>
      <c r="G354">
        <v>37345137</v>
      </c>
      <c r="H354">
        <v>3</v>
      </c>
      <c r="I354" t="s">
        <v>1273</v>
      </c>
      <c r="J354" t="s">
        <v>1274</v>
      </c>
      <c r="K354" t="s">
        <v>1275</v>
      </c>
      <c r="L354">
        <v>1348</v>
      </c>
      <c r="N354">
        <v>1009</v>
      </c>
      <c r="O354" t="s">
        <v>114</v>
      </c>
      <c r="P354" t="s">
        <v>114</v>
      </c>
      <c r="Q354">
        <v>1000</v>
      </c>
      <c r="W354">
        <v>0</v>
      </c>
      <c r="X354">
        <v>1387058064</v>
      </c>
      <c r="Y354">
        <f>AT354</f>
        <v>0.53</v>
      </c>
      <c r="AA354">
        <v>72239.259999999995</v>
      </c>
      <c r="AB354">
        <v>0</v>
      </c>
      <c r="AC354">
        <v>0</v>
      </c>
      <c r="AD354">
        <v>0</v>
      </c>
      <c r="AE354">
        <v>18910.8</v>
      </c>
      <c r="AF354">
        <v>0</v>
      </c>
      <c r="AG354">
        <v>0</v>
      </c>
      <c r="AH354">
        <v>0</v>
      </c>
      <c r="AI354">
        <v>3.82</v>
      </c>
      <c r="AJ354">
        <v>1</v>
      </c>
      <c r="AK354">
        <v>1</v>
      </c>
      <c r="AL354">
        <v>1</v>
      </c>
      <c r="AN354">
        <v>0</v>
      </c>
      <c r="AO354">
        <v>1</v>
      </c>
      <c r="AP354">
        <v>0</v>
      </c>
      <c r="AQ354">
        <v>0</v>
      </c>
      <c r="AR354">
        <v>0</v>
      </c>
      <c r="AS354" t="s">
        <v>3</v>
      </c>
      <c r="AT354">
        <v>0.53</v>
      </c>
      <c r="AU354" t="s">
        <v>3</v>
      </c>
      <c r="AV354">
        <v>0</v>
      </c>
      <c r="AW354">
        <v>2</v>
      </c>
      <c r="AX354">
        <v>129763589</v>
      </c>
      <c r="AY354">
        <v>1</v>
      </c>
      <c r="AZ354">
        <v>0</v>
      </c>
      <c r="BA354">
        <v>357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>ROUND(Y354*Source!I318,9)</f>
        <v>3.7100000000000001E-2</v>
      </c>
      <c r="CY354">
        <f>AA354</f>
        <v>72239.259999999995</v>
      </c>
      <c r="CZ354">
        <f>AE354</f>
        <v>18910.8</v>
      </c>
      <c r="DA354">
        <f>AI354</f>
        <v>3.82</v>
      </c>
      <c r="DB354">
        <f>ROUND(ROUND(AT354*CZ354,2),6)</f>
        <v>10022.719999999999</v>
      </c>
      <c r="DC354">
        <f>ROUND(ROUND(AT354*AG354,2),6)</f>
        <v>0</v>
      </c>
      <c r="DD354" t="s">
        <v>3</v>
      </c>
      <c r="DE354" t="s">
        <v>3</v>
      </c>
      <c r="DF354">
        <f>ROUND(ROUND(AE354*CX354,2)*AI354,2)</f>
        <v>2680.07</v>
      </c>
      <c r="DG354">
        <f t="shared" si="138"/>
        <v>0</v>
      </c>
      <c r="DH354">
        <f t="shared" si="139"/>
        <v>0</v>
      </c>
      <c r="DI354">
        <f t="shared" si="121"/>
        <v>0</v>
      </c>
      <c r="DJ354">
        <f>DF354</f>
        <v>2680.07</v>
      </c>
      <c r="DK354">
        <v>0</v>
      </c>
    </row>
    <row r="355" spans="1:115" x14ac:dyDescent="0.2">
      <c r="A355">
        <f>ROW(Source!A321)</f>
        <v>321</v>
      </c>
      <c r="B355">
        <v>129761636</v>
      </c>
      <c r="C355">
        <v>129763592</v>
      </c>
      <c r="D355">
        <v>37345142</v>
      </c>
      <c r="E355">
        <v>37345137</v>
      </c>
      <c r="F355">
        <v>1</v>
      </c>
      <c r="G355">
        <v>37345137</v>
      </c>
      <c r="H355">
        <v>1</v>
      </c>
      <c r="I355" t="s">
        <v>1096</v>
      </c>
      <c r="J355" t="s">
        <v>3</v>
      </c>
      <c r="K355" t="s">
        <v>1097</v>
      </c>
      <c r="L355">
        <v>1191</v>
      </c>
      <c r="N355">
        <v>1013</v>
      </c>
      <c r="O355" t="s">
        <v>1098</v>
      </c>
      <c r="P355" t="s">
        <v>1098</v>
      </c>
      <c r="Q355">
        <v>1</v>
      </c>
      <c r="W355">
        <v>0</v>
      </c>
      <c r="X355">
        <v>476480486</v>
      </c>
      <c r="Y355">
        <f>(AT355*1.15)</f>
        <v>37.972999999999999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1</v>
      </c>
      <c r="AJ355">
        <v>1</v>
      </c>
      <c r="AK355">
        <v>1</v>
      </c>
      <c r="AL355">
        <v>1</v>
      </c>
      <c r="AN355">
        <v>0</v>
      </c>
      <c r="AO355">
        <v>1</v>
      </c>
      <c r="AP355">
        <v>1</v>
      </c>
      <c r="AQ355">
        <v>0</v>
      </c>
      <c r="AR355">
        <v>0</v>
      </c>
      <c r="AS355" t="s">
        <v>3</v>
      </c>
      <c r="AT355">
        <v>33.020000000000003</v>
      </c>
      <c r="AU355" t="s">
        <v>87</v>
      </c>
      <c r="AV355">
        <v>1</v>
      </c>
      <c r="AW355">
        <v>2</v>
      </c>
      <c r="AX355">
        <v>129763602</v>
      </c>
      <c r="AY355">
        <v>1</v>
      </c>
      <c r="AZ355">
        <v>0</v>
      </c>
      <c r="BA355">
        <v>359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>ROUND(Y355*Source!I321,9)</f>
        <v>2.6581100000000002</v>
      </c>
      <c r="CY355">
        <f>AD355</f>
        <v>0</v>
      </c>
      <c r="CZ355">
        <f>AH355</f>
        <v>0</v>
      </c>
      <c r="DA355">
        <f>AL355</f>
        <v>1</v>
      </c>
      <c r="DB355">
        <f>ROUND((ROUND(AT355*CZ355,2)*1.15),6)</f>
        <v>0</v>
      </c>
      <c r="DC355">
        <f>ROUND((ROUND(AT355*AG355,2)*1.15),6)</f>
        <v>0</v>
      </c>
      <c r="DD355" t="s">
        <v>3</v>
      </c>
      <c r="DE355" t="s">
        <v>3</v>
      </c>
      <c r="DF355">
        <f t="shared" ref="DF355:DF368" si="141">ROUND(AE355*CX355,2)</f>
        <v>0</v>
      </c>
      <c r="DG355">
        <f t="shared" si="138"/>
        <v>0</v>
      </c>
      <c r="DH355">
        <f t="shared" si="139"/>
        <v>0</v>
      </c>
      <c r="DI355">
        <f t="shared" si="121"/>
        <v>0</v>
      </c>
      <c r="DJ355">
        <f>DI355</f>
        <v>0</v>
      </c>
      <c r="DK355">
        <v>0</v>
      </c>
    </row>
    <row r="356" spans="1:115" x14ac:dyDescent="0.2">
      <c r="A356">
        <f>ROW(Source!A321)</f>
        <v>321</v>
      </c>
      <c r="B356">
        <v>129761636</v>
      </c>
      <c r="C356">
        <v>129763592</v>
      </c>
      <c r="D356">
        <v>37418193</v>
      </c>
      <c r="E356">
        <v>1</v>
      </c>
      <c r="F356">
        <v>1</v>
      </c>
      <c r="G356">
        <v>37345137</v>
      </c>
      <c r="H356">
        <v>2</v>
      </c>
      <c r="I356" t="s">
        <v>1276</v>
      </c>
      <c r="J356" t="s">
        <v>1277</v>
      </c>
      <c r="K356" t="s">
        <v>1278</v>
      </c>
      <c r="L356">
        <v>1367</v>
      </c>
      <c r="N356">
        <v>1011</v>
      </c>
      <c r="O356" t="s">
        <v>1102</v>
      </c>
      <c r="P356" t="s">
        <v>1102</v>
      </c>
      <c r="Q356">
        <v>1</v>
      </c>
      <c r="W356">
        <v>0</v>
      </c>
      <c r="X356">
        <v>-1547019182</v>
      </c>
      <c r="Y356">
        <f>(AT356*1.25)</f>
        <v>3</v>
      </c>
      <c r="AA356">
        <v>0</v>
      </c>
      <c r="AB356">
        <v>8.65</v>
      </c>
      <c r="AC356">
        <v>0.81</v>
      </c>
      <c r="AD356">
        <v>0</v>
      </c>
      <c r="AE356">
        <v>0</v>
      </c>
      <c r="AF356">
        <v>8.65</v>
      </c>
      <c r="AG356">
        <v>0.81</v>
      </c>
      <c r="AH356">
        <v>0</v>
      </c>
      <c r="AI356">
        <v>1</v>
      </c>
      <c r="AJ356">
        <v>1</v>
      </c>
      <c r="AK356">
        <v>1</v>
      </c>
      <c r="AL356">
        <v>1</v>
      </c>
      <c r="AN356">
        <v>0</v>
      </c>
      <c r="AO356">
        <v>1</v>
      </c>
      <c r="AP356">
        <v>1</v>
      </c>
      <c r="AQ356">
        <v>0</v>
      </c>
      <c r="AR356">
        <v>0</v>
      </c>
      <c r="AS356" t="s">
        <v>3</v>
      </c>
      <c r="AT356">
        <v>2.4</v>
      </c>
      <c r="AU356" t="s">
        <v>86</v>
      </c>
      <c r="AV356">
        <v>0</v>
      </c>
      <c r="AW356">
        <v>2</v>
      </c>
      <c r="AX356">
        <v>129763603</v>
      </c>
      <c r="AY356">
        <v>1</v>
      </c>
      <c r="AZ356">
        <v>0</v>
      </c>
      <c r="BA356">
        <v>360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>ROUND(Y356*Source!I321,9)</f>
        <v>0.21</v>
      </c>
      <c r="CY356">
        <f>AB356</f>
        <v>8.65</v>
      </c>
      <c r="CZ356">
        <f>AF356</f>
        <v>8.65</v>
      </c>
      <c r="DA356">
        <f>AJ356</f>
        <v>1</v>
      </c>
      <c r="DB356">
        <f>ROUND((ROUND(AT356*CZ356,2)*1.25),6)</f>
        <v>25.95</v>
      </c>
      <c r="DC356">
        <f>ROUND((ROUND(AT356*AG356,2)*1.25),6)</f>
        <v>2.4249999999999998</v>
      </c>
      <c r="DD356" t="s">
        <v>3</v>
      </c>
      <c r="DE356" t="s">
        <v>3</v>
      </c>
      <c r="DF356">
        <f t="shared" si="141"/>
        <v>0</v>
      </c>
      <c r="DG356">
        <f t="shared" si="138"/>
        <v>1.82</v>
      </c>
      <c r="DH356">
        <f t="shared" si="139"/>
        <v>0.17</v>
      </c>
      <c r="DI356">
        <f t="shared" si="121"/>
        <v>0</v>
      </c>
      <c r="DJ356">
        <f>DG356</f>
        <v>1.82</v>
      </c>
      <c r="DK356">
        <v>0</v>
      </c>
    </row>
    <row r="357" spans="1:115" x14ac:dyDescent="0.2">
      <c r="A357">
        <f>ROW(Source!A321)</f>
        <v>321</v>
      </c>
      <c r="B357">
        <v>129761636</v>
      </c>
      <c r="C357">
        <v>129763592</v>
      </c>
      <c r="D357">
        <v>37418445</v>
      </c>
      <c r="E357">
        <v>1</v>
      </c>
      <c r="F357">
        <v>1</v>
      </c>
      <c r="G357">
        <v>37345137</v>
      </c>
      <c r="H357">
        <v>2</v>
      </c>
      <c r="I357" t="s">
        <v>1189</v>
      </c>
      <c r="J357" t="s">
        <v>1190</v>
      </c>
      <c r="K357" t="s">
        <v>1191</v>
      </c>
      <c r="L357">
        <v>1367</v>
      </c>
      <c r="N357">
        <v>1011</v>
      </c>
      <c r="O357" t="s">
        <v>1102</v>
      </c>
      <c r="P357" t="s">
        <v>1102</v>
      </c>
      <c r="Q357">
        <v>1</v>
      </c>
      <c r="W357">
        <v>0</v>
      </c>
      <c r="X357">
        <v>-628430174</v>
      </c>
      <c r="Y357">
        <f>(AT357*1.25)</f>
        <v>0.58749999999999991</v>
      </c>
      <c r="AA357">
        <v>0</v>
      </c>
      <c r="AB357">
        <v>76.81</v>
      </c>
      <c r="AC357">
        <v>14.36</v>
      </c>
      <c r="AD357">
        <v>0</v>
      </c>
      <c r="AE357">
        <v>0</v>
      </c>
      <c r="AF357">
        <v>76.81</v>
      </c>
      <c r="AG357">
        <v>14.36</v>
      </c>
      <c r="AH357">
        <v>0</v>
      </c>
      <c r="AI357">
        <v>1</v>
      </c>
      <c r="AJ357">
        <v>1</v>
      </c>
      <c r="AK357">
        <v>1</v>
      </c>
      <c r="AL357">
        <v>1</v>
      </c>
      <c r="AN357">
        <v>0</v>
      </c>
      <c r="AO357">
        <v>1</v>
      </c>
      <c r="AP357">
        <v>1</v>
      </c>
      <c r="AQ357">
        <v>0</v>
      </c>
      <c r="AR357">
        <v>0</v>
      </c>
      <c r="AS357" t="s">
        <v>3</v>
      </c>
      <c r="AT357">
        <v>0.47</v>
      </c>
      <c r="AU357" t="s">
        <v>86</v>
      </c>
      <c r="AV357">
        <v>0</v>
      </c>
      <c r="AW357">
        <v>2</v>
      </c>
      <c r="AX357">
        <v>129763604</v>
      </c>
      <c r="AY357">
        <v>1</v>
      </c>
      <c r="AZ357">
        <v>0</v>
      </c>
      <c r="BA357">
        <v>361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>ROUND(Y357*Source!I321,9)</f>
        <v>4.1125000000000002E-2</v>
      </c>
      <c r="CY357">
        <f>AB357</f>
        <v>76.81</v>
      </c>
      <c r="CZ357">
        <f>AF357</f>
        <v>76.81</v>
      </c>
      <c r="DA357">
        <f>AJ357</f>
        <v>1</v>
      </c>
      <c r="DB357">
        <f>ROUND((ROUND(AT357*CZ357,2)*1.25),6)</f>
        <v>45.125</v>
      </c>
      <c r="DC357">
        <f>ROUND((ROUND(AT357*AG357,2)*1.25),6)</f>
        <v>8.4375</v>
      </c>
      <c r="DD357" t="s">
        <v>3</v>
      </c>
      <c r="DE357" t="s">
        <v>3</v>
      </c>
      <c r="DF357">
        <f t="shared" si="141"/>
        <v>0</v>
      </c>
      <c r="DG357">
        <f t="shared" si="138"/>
        <v>3.16</v>
      </c>
      <c r="DH357">
        <f t="shared" si="139"/>
        <v>0.59</v>
      </c>
      <c r="DI357">
        <f t="shared" si="121"/>
        <v>0</v>
      </c>
      <c r="DJ357">
        <f>DG357</f>
        <v>3.16</v>
      </c>
      <c r="DK357">
        <v>0</v>
      </c>
    </row>
    <row r="358" spans="1:115" x14ac:dyDescent="0.2">
      <c r="A358">
        <f>ROW(Source!A321)</f>
        <v>321</v>
      </c>
      <c r="B358">
        <v>129761636</v>
      </c>
      <c r="C358">
        <v>129763592</v>
      </c>
      <c r="D358">
        <v>37418568</v>
      </c>
      <c r="E358">
        <v>1</v>
      </c>
      <c r="F358">
        <v>1</v>
      </c>
      <c r="G358">
        <v>37345137</v>
      </c>
      <c r="H358">
        <v>2</v>
      </c>
      <c r="I358" t="s">
        <v>1279</v>
      </c>
      <c r="J358" t="s">
        <v>1280</v>
      </c>
      <c r="K358" t="s">
        <v>1281</v>
      </c>
      <c r="L358">
        <v>1367</v>
      </c>
      <c r="N358">
        <v>1011</v>
      </c>
      <c r="O358" t="s">
        <v>1102</v>
      </c>
      <c r="P358" t="s">
        <v>1102</v>
      </c>
      <c r="Q358">
        <v>1</v>
      </c>
      <c r="W358">
        <v>0</v>
      </c>
      <c r="X358">
        <v>593980231</v>
      </c>
      <c r="Y358">
        <f>(AT358*1.25)</f>
        <v>4.1499999999999995</v>
      </c>
      <c r="AA358">
        <v>0</v>
      </c>
      <c r="AB358">
        <v>2.36</v>
      </c>
      <c r="AC358">
        <v>0.04</v>
      </c>
      <c r="AD358">
        <v>0</v>
      </c>
      <c r="AE358">
        <v>0</v>
      </c>
      <c r="AF358">
        <v>2.36</v>
      </c>
      <c r="AG358">
        <v>0.04</v>
      </c>
      <c r="AH358">
        <v>0</v>
      </c>
      <c r="AI358">
        <v>1</v>
      </c>
      <c r="AJ358">
        <v>1</v>
      </c>
      <c r="AK358">
        <v>1</v>
      </c>
      <c r="AL358">
        <v>1</v>
      </c>
      <c r="AN358">
        <v>0</v>
      </c>
      <c r="AO358">
        <v>1</v>
      </c>
      <c r="AP358">
        <v>1</v>
      </c>
      <c r="AQ358">
        <v>0</v>
      </c>
      <c r="AR358">
        <v>0</v>
      </c>
      <c r="AS358" t="s">
        <v>3</v>
      </c>
      <c r="AT358">
        <v>3.32</v>
      </c>
      <c r="AU358" t="s">
        <v>86</v>
      </c>
      <c r="AV358">
        <v>0</v>
      </c>
      <c r="AW358">
        <v>2</v>
      </c>
      <c r="AX358">
        <v>129763605</v>
      </c>
      <c r="AY358">
        <v>1</v>
      </c>
      <c r="AZ358">
        <v>0</v>
      </c>
      <c r="BA358">
        <v>362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>ROUND(Y358*Source!I321,9)</f>
        <v>0.29049999999999998</v>
      </c>
      <c r="CY358">
        <f>AB358</f>
        <v>2.36</v>
      </c>
      <c r="CZ358">
        <f>AF358</f>
        <v>2.36</v>
      </c>
      <c r="DA358">
        <f>AJ358</f>
        <v>1</v>
      </c>
      <c r="DB358">
        <f>ROUND((ROUND(AT358*CZ358,2)*1.25),6)</f>
        <v>9.8000000000000007</v>
      </c>
      <c r="DC358">
        <f>ROUND((ROUND(AT358*AG358,2)*1.25),6)</f>
        <v>0.16250000000000001</v>
      </c>
      <c r="DD358" t="s">
        <v>3</v>
      </c>
      <c r="DE358" t="s">
        <v>3</v>
      </c>
      <c r="DF358">
        <f t="shared" si="141"/>
        <v>0</v>
      </c>
      <c r="DG358">
        <f t="shared" si="138"/>
        <v>0.69</v>
      </c>
      <c r="DH358">
        <f t="shared" si="139"/>
        <v>0.01</v>
      </c>
      <c r="DI358">
        <f t="shared" si="121"/>
        <v>0</v>
      </c>
      <c r="DJ358">
        <f>DG358</f>
        <v>0.69</v>
      </c>
      <c r="DK358">
        <v>0</v>
      </c>
    </row>
    <row r="359" spans="1:115" x14ac:dyDescent="0.2">
      <c r="A359">
        <f>ROW(Source!A321)</f>
        <v>321</v>
      </c>
      <c r="B359">
        <v>129761636</v>
      </c>
      <c r="C359">
        <v>129763592</v>
      </c>
      <c r="D359">
        <v>37417779</v>
      </c>
      <c r="E359">
        <v>1</v>
      </c>
      <c r="F359">
        <v>1</v>
      </c>
      <c r="G359">
        <v>37345137</v>
      </c>
      <c r="H359">
        <v>2</v>
      </c>
      <c r="I359" t="s">
        <v>1282</v>
      </c>
      <c r="J359" t="s">
        <v>1283</v>
      </c>
      <c r="K359" t="s">
        <v>1284</v>
      </c>
      <c r="L359">
        <v>1367</v>
      </c>
      <c r="N359">
        <v>1011</v>
      </c>
      <c r="O359" t="s">
        <v>1102</v>
      </c>
      <c r="P359" t="s">
        <v>1102</v>
      </c>
      <c r="Q359">
        <v>1</v>
      </c>
      <c r="W359">
        <v>0</v>
      </c>
      <c r="X359">
        <v>-1552106381</v>
      </c>
      <c r="Y359">
        <f>(AT359*1.25)</f>
        <v>2.5000000000000001E-2</v>
      </c>
      <c r="AA359">
        <v>0</v>
      </c>
      <c r="AB359">
        <v>58.48</v>
      </c>
      <c r="AC359">
        <v>18.350000000000001</v>
      </c>
      <c r="AD359">
        <v>0</v>
      </c>
      <c r="AE359">
        <v>0</v>
      </c>
      <c r="AF359">
        <v>58.48</v>
      </c>
      <c r="AG359">
        <v>18.350000000000001</v>
      </c>
      <c r="AH359">
        <v>0</v>
      </c>
      <c r="AI359">
        <v>1</v>
      </c>
      <c r="AJ359">
        <v>1</v>
      </c>
      <c r="AK359">
        <v>1</v>
      </c>
      <c r="AL359">
        <v>1</v>
      </c>
      <c r="AN359">
        <v>0</v>
      </c>
      <c r="AO359">
        <v>1</v>
      </c>
      <c r="AP359">
        <v>1</v>
      </c>
      <c r="AQ359">
        <v>0</v>
      </c>
      <c r="AR359">
        <v>0</v>
      </c>
      <c r="AS359" t="s">
        <v>3</v>
      </c>
      <c r="AT359">
        <v>0.02</v>
      </c>
      <c r="AU359" t="s">
        <v>86</v>
      </c>
      <c r="AV359">
        <v>0</v>
      </c>
      <c r="AW359">
        <v>2</v>
      </c>
      <c r="AX359">
        <v>129763606</v>
      </c>
      <c r="AY359">
        <v>1</v>
      </c>
      <c r="AZ359">
        <v>0</v>
      </c>
      <c r="BA359">
        <v>363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>ROUND(Y359*Source!I321,9)</f>
        <v>1.75E-3</v>
      </c>
      <c r="CY359">
        <f>AB359</f>
        <v>58.48</v>
      </c>
      <c r="CZ359">
        <f>AF359</f>
        <v>58.48</v>
      </c>
      <c r="DA359">
        <f>AJ359</f>
        <v>1</v>
      </c>
      <c r="DB359">
        <f>ROUND((ROUND(AT359*CZ359,2)*1.25),6)</f>
        <v>1.4624999999999999</v>
      </c>
      <c r="DC359">
        <f>ROUND((ROUND(AT359*AG359,2)*1.25),6)</f>
        <v>0.46250000000000002</v>
      </c>
      <c r="DD359" t="s">
        <v>3</v>
      </c>
      <c r="DE359" t="s">
        <v>3</v>
      </c>
      <c r="DF359">
        <f t="shared" si="141"/>
        <v>0</v>
      </c>
      <c r="DG359">
        <f t="shared" si="138"/>
        <v>0.1</v>
      </c>
      <c r="DH359">
        <f t="shared" si="139"/>
        <v>0.03</v>
      </c>
      <c r="DI359">
        <f t="shared" si="121"/>
        <v>0</v>
      </c>
      <c r="DJ359">
        <f>DG359</f>
        <v>0.1</v>
      </c>
      <c r="DK359">
        <v>0</v>
      </c>
    </row>
    <row r="360" spans="1:115" x14ac:dyDescent="0.2">
      <c r="A360">
        <f>ROW(Source!A321)</f>
        <v>321</v>
      </c>
      <c r="B360">
        <v>129761636</v>
      </c>
      <c r="C360">
        <v>129763592</v>
      </c>
      <c r="D360">
        <v>37393552</v>
      </c>
      <c r="E360">
        <v>1</v>
      </c>
      <c r="F360">
        <v>1</v>
      </c>
      <c r="G360">
        <v>37345137</v>
      </c>
      <c r="H360">
        <v>3</v>
      </c>
      <c r="I360" t="s">
        <v>348</v>
      </c>
      <c r="J360" t="s">
        <v>350</v>
      </c>
      <c r="K360" t="s">
        <v>349</v>
      </c>
      <c r="L360">
        <v>1339</v>
      </c>
      <c r="N360">
        <v>1007</v>
      </c>
      <c r="O360" t="s">
        <v>94</v>
      </c>
      <c r="P360" t="s">
        <v>94</v>
      </c>
      <c r="Q360">
        <v>1</v>
      </c>
      <c r="W360">
        <v>0</v>
      </c>
      <c r="X360">
        <v>-862991314</v>
      </c>
      <c r="Y360">
        <f>AT360</f>
        <v>0.30199999999999999</v>
      </c>
      <c r="AA360">
        <v>7.07</v>
      </c>
      <c r="AB360">
        <v>0</v>
      </c>
      <c r="AC360">
        <v>0</v>
      </c>
      <c r="AD360">
        <v>0</v>
      </c>
      <c r="AE360">
        <v>7.07</v>
      </c>
      <c r="AF360">
        <v>0</v>
      </c>
      <c r="AG360">
        <v>0</v>
      </c>
      <c r="AH360">
        <v>0</v>
      </c>
      <c r="AI360">
        <v>1</v>
      </c>
      <c r="AJ360">
        <v>1</v>
      </c>
      <c r="AK360">
        <v>1</v>
      </c>
      <c r="AL360">
        <v>1</v>
      </c>
      <c r="AN360">
        <v>0</v>
      </c>
      <c r="AO360">
        <v>1</v>
      </c>
      <c r="AP360">
        <v>0</v>
      </c>
      <c r="AQ360">
        <v>0</v>
      </c>
      <c r="AR360">
        <v>0</v>
      </c>
      <c r="AS360" t="s">
        <v>3</v>
      </c>
      <c r="AT360">
        <v>0.30199999999999999</v>
      </c>
      <c r="AU360" t="s">
        <v>3</v>
      </c>
      <c r="AV360">
        <v>0</v>
      </c>
      <c r="AW360">
        <v>2</v>
      </c>
      <c r="AX360">
        <v>129763607</v>
      </c>
      <c r="AY360">
        <v>1</v>
      </c>
      <c r="AZ360">
        <v>0</v>
      </c>
      <c r="BA360">
        <v>364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>ROUND(Y360*Source!I321,9)</f>
        <v>2.1139999999999999E-2</v>
      </c>
      <c r="CY360">
        <f>AA360</f>
        <v>7.07</v>
      </c>
      <c r="CZ360">
        <f>AE360</f>
        <v>7.07</v>
      </c>
      <c r="DA360">
        <f>AI360</f>
        <v>1</v>
      </c>
      <c r="DB360">
        <f>ROUND(ROUND(AT360*CZ360,2),6)</f>
        <v>2.14</v>
      </c>
      <c r="DC360">
        <f>ROUND(ROUND(AT360*AG360,2),6)</f>
        <v>0</v>
      </c>
      <c r="DD360" t="s">
        <v>3</v>
      </c>
      <c r="DE360" t="s">
        <v>3</v>
      </c>
      <c r="DF360">
        <f t="shared" si="141"/>
        <v>0.15</v>
      </c>
      <c r="DG360">
        <f t="shared" si="138"/>
        <v>0</v>
      </c>
      <c r="DH360">
        <f t="shared" si="139"/>
        <v>0</v>
      </c>
      <c r="DI360">
        <f t="shared" si="121"/>
        <v>0</v>
      </c>
      <c r="DJ360">
        <f>DF360</f>
        <v>0.15</v>
      </c>
      <c r="DK360">
        <v>0</v>
      </c>
    </row>
    <row r="361" spans="1:115" x14ac:dyDescent="0.2">
      <c r="A361">
        <f>ROW(Source!A321)</f>
        <v>321</v>
      </c>
      <c r="B361">
        <v>129761636</v>
      </c>
      <c r="C361">
        <v>129763592</v>
      </c>
      <c r="D361">
        <v>37395676</v>
      </c>
      <c r="E361">
        <v>1</v>
      </c>
      <c r="F361">
        <v>1</v>
      </c>
      <c r="G361">
        <v>37345137</v>
      </c>
      <c r="H361">
        <v>3</v>
      </c>
      <c r="I361" t="s">
        <v>1285</v>
      </c>
      <c r="J361" t="s">
        <v>1286</v>
      </c>
      <c r="K361" t="s">
        <v>1287</v>
      </c>
      <c r="L361">
        <v>1327</v>
      </c>
      <c r="N361">
        <v>1005</v>
      </c>
      <c r="O361" t="s">
        <v>258</v>
      </c>
      <c r="P361" t="s">
        <v>258</v>
      </c>
      <c r="Q361">
        <v>1</v>
      </c>
      <c r="W361">
        <v>0</v>
      </c>
      <c r="X361">
        <v>-934687686</v>
      </c>
      <c r="Y361">
        <f>AT361</f>
        <v>10</v>
      </c>
      <c r="AA361">
        <v>2.31</v>
      </c>
      <c r="AB361">
        <v>0</v>
      </c>
      <c r="AC361">
        <v>0</v>
      </c>
      <c r="AD361">
        <v>0</v>
      </c>
      <c r="AE361">
        <v>2.31</v>
      </c>
      <c r="AF361">
        <v>0</v>
      </c>
      <c r="AG361">
        <v>0</v>
      </c>
      <c r="AH361">
        <v>0</v>
      </c>
      <c r="AI361">
        <v>1</v>
      </c>
      <c r="AJ361">
        <v>1</v>
      </c>
      <c r="AK361">
        <v>1</v>
      </c>
      <c r="AL361">
        <v>1</v>
      </c>
      <c r="AN361">
        <v>0</v>
      </c>
      <c r="AO361">
        <v>1</v>
      </c>
      <c r="AP361">
        <v>0</v>
      </c>
      <c r="AQ361">
        <v>0</v>
      </c>
      <c r="AR361">
        <v>0</v>
      </c>
      <c r="AS361" t="s">
        <v>3</v>
      </c>
      <c r="AT361">
        <v>10</v>
      </c>
      <c r="AU361" t="s">
        <v>3</v>
      </c>
      <c r="AV361">
        <v>0</v>
      </c>
      <c r="AW361">
        <v>2</v>
      </c>
      <c r="AX361">
        <v>129763608</v>
      </c>
      <c r="AY361">
        <v>1</v>
      </c>
      <c r="AZ361">
        <v>0</v>
      </c>
      <c r="BA361">
        <v>365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>ROUND(Y361*Source!I321,9)</f>
        <v>0.7</v>
      </c>
      <c r="CY361">
        <f>AA361</f>
        <v>2.31</v>
      </c>
      <c r="CZ361">
        <f>AE361</f>
        <v>2.31</v>
      </c>
      <c r="DA361">
        <f>AI361</f>
        <v>1</v>
      </c>
      <c r="DB361">
        <f>ROUND(ROUND(AT361*CZ361,2),6)</f>
        <v>23.1</v>
      </c>
      <c r="DC361">
        <f>ROUND(ROUND(AT361*AG361,2),6)</f>
        <v>0</v>
      </c>
      <c r="DD361" t="s">
        <v>3</v>
      </c>
      <c r="DE361" t="s">
        <v>3</v>
      </c>
      <c r="DF361">
        <f t="shared" si="141"/>
        <v>1.62</v>
      </c>
      <c r="DG361">
        <f t="shared" si="138"/>
        <v>0</v>
      </c>
      <c r="DH361">
        <f t="shared" si="139"/>
        <v>0</v>
      </c>
      <c r="DI361">
        <f t="shared" si="121"/>
        <v>0</v>
      </c>
      <c r="DJ361">
        <f>DF361</f>
        <v>1.62</v>
      </c>
      <c r="DK361">
        <v>0</v>
      </c>
    </row>
    <row r="362" spans="1:115" x14ac:dyDescent="0.2">
      <c r="A362">
        <f>ROW(Source!A321)</f>
        <v>321</v>
      </c>
      <c r="B362">
        <v>129761636</v>
      </c>
      <c r="C362">
        <v>129763592</v>
      </c>
      <c r="D362">
        <v>37396308</v>
      </c>
      <c r="E362">
        <v>1</v>
      </c>
      <c r="F362">
        <v>1</v>
      </c>
      <c r="G362">
        <v>37345137</v>
      </c>
      <c r="H362">
        <v>3</v>
      </c>
      <c r="I362" t="s">
        <v>438</v>
      </c>
      <c r="J362" t="s">
        <v>440</v>
      </c>
      <c r="K362" t="s">
        <v>439</v>
      </c>
      <c r="L362">
        <v>1346</v>
      </c>
      <c r="N362">
        <v>1009</v>
      </c>
      <c r="O362" t="s">
        <v>369</v>
      </c>
      <c r="P362" t="s">
        <v>369</v>
      </c>
      <c r="Q362">
        <v>1</v>
      </c>
      <c r="W362">
        <v>0</v>
      </c>
      <c r="X362">
        <v>-219381173</v>
      </c>
      <c r="Y362">
        <f>AT362</f>
        <v>20</v>
      </c>
      <c r="AA362">
        <v>53.76</v>
      </c>
      <c r="AB362">
        <v>0</v>
      </c>
      <c r="AC362">
        <v>0</v>
      </c>
      <c r="AD362">
        <v>0</v>
      </c>
      <c r="AE362">
        <v>53.76</v>
      </c>
      <c r="AF362">
        <v>0</v>
      </c>
      <c r="AG362">
        <v>0</v>
      </c>
      <c r="AH362">
        <v>0</v>
      </c>
      <c r="AI362">
        <v>1</v>
      </c>
      <c r="AJ362">
        <v>1</v>
      </c>
      <c r="AK362">
        <v>1</v>
      </c>
      <c r="AL362">
        <v>1</v>
      </c>
      <c r="AN362">
        <v>0</v>
      </c>
      <c r="AO362">
        <v>0</v>
      </c>
      <c r="AP362">
        <v>0</v>
      </c>
      <c r="AQ362">
        <v>0</v>
      </c>
      <c r="AR362">
        <v>0</v>
      </c>
      <c r="AS362" t="s">
        <v>3</v>
      </c>
      <c r="AT362">
        <v>20</v>
      </c>
      <c r="AU362" t="s">
        <v>3</v>
      </c>
      <c r="AV362">
        <v>0</v>
      </c>
      <c r="AW362">
        <v>1</v>
      </c>
      <c r="AX362">
        <v>-1</v>
      </c>
      <c r="AY362">
        <v>0</v>
      </c>
      <c r="AZ362">
        <v>0</v>
      </c>
      <c r="BA362" t="s">
        <v>3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>ROUND(Y362*Source!I321,9)</f>
        <v>1.4</v>
      </c>
      <c r="CY362">
        <f>AA362</f>
        <v>53.76</v>
      </c>
      <c r="CZ362">
        <f>AE362</f>
        <v>53.76</v>
      </c>
      <c r="DA362">
        <f>AI362</f>
        <v>1</v>
      </c>
      <c r="DB362">
        <f>ROUND(ROUND(AT362*CZ362,2),6)</f>
        <v>1075.2</v>
      </c>
      <c r="DC362">
        <f>ROUND(ROUND(AT362*AG362,2),6)</f>
        <v>0</v>
      </c>
      <c r="DD362" t="s">
        <v>3</v>
      </c>
      <c r="DE362" t="s">
        <v>3</v>
      </c>
      <c r="DF362">
        <f t="shared" si="141"/>
        <v>75.260000000000005</v>
      </c>
      <c r="DG362">
        <f t="shared" si="138"/>
        <v>0</v>
      </c>
      <c r="DH362">
        <f t="shared" si="139"/>
        <v>0</v>
      </c>
      <c r="DI362">
        <f t="shared" si="121"/>
        <v>0</v>
      </c>
      <c r="DJ362">
        <f>DF362</f>
        <v>75.260000000000005</v>
      </c>
      <c r="DK362">
        <v>0</v>
      </c>
    </row>
    <row r="363" spans="1:115" x14ac:dyDescent="0.2">
      <c r="A363">
        <f>ROW(Source!A321)</f>
        <v>321</v>
      </c>
      <c r="B363">
        <v>129761636</v>
      </c>
      <c r="C363">
        <v>129763592</v>
      </c>
      <c r="D363">
        <v>37412094</v>
      </c>
      <c r="E363">
        <v>1</v>
      </c>
      <c r="F363">
        <v>1</v>
      </c>
      <c r="G363">
        <v>37345137</v>
      </c>
      <c r="H363">
        <v>3</v>
      </c>
      <c r="I363" t="s">
        <v>442</v>
      </c>
      <c r="J363" t="s">
        <v>444</v>
      </c>
      <c r="K363" t="s">
        <v>443</v>
      </c>
      <c r="L363">
        <v>1348</v>
      </c>
      <c r="N363">
        <v>1009</v>
      </c>
      <c r="O363" t="s">
        <v>114</v>
      </c>
      <c r="P363" t="s">
        <v>114</v>
      </c>
      <c r="Q363">
        <v>1000</v>
      </c>
      <c r="W363">
        <v>0</v>
      </c>
      <c r="X363">
        <v>1287606245</v>
      </c>
      <c r="Y363">
        <f>AT363</f>
        <v>0.84199999999999997</v>
      </c>
      <c r="AA363">
        <v>10322.83</v>
      </c>
      <c r="AB363">
        <v>0</v>
      </c>
      <c r="AC363">
        <v>0</v>
      </c>
      <c r="AD363">
        <v>0</v>
      </c>
      <c r="AE363">
        <v>10322.83</v>
      </c>
      <c r="AF363">
        <v>0</v>
      </c>
      <c r="AG363">
        <v>0</v>
      </c>
      <c r="AH363">
        <v>0</v>
      </c>
      <c r="AI363">
        <v>1</v>
      </c>
      <c r="AJ363">
        <v>1</v>
      </c>
      <c r="AK363">
        <v>1</v>
      </c>
      <c r="AL363">
        <v>1</v>
      </c>
      <c r="AN363">
        <v>0</v>
      </c>
      <c r="AO363">
        <v>0</v>
      </c>
      <c r="AP363">
        <v>0</v>
      </c>
      <c r="AQ363">
        <v>0</v>
      </c>
      <c r="AR363">
        <v>0</v>
      </c>
      <c r="AS363" t="s">
        <v>3</v>
      </c>
      <c r="AT363">
        <v>0.84199999999999997</v>
      </c>
      <c r="AU363" t="s">
        <v>3</v>
      </c>
      <c r="AV363">
        <v>0</v>
      </c>
      <c r="AW363">
        <v>1</v>
      </c>
      <c r="AX363">
        <v>-1</v>
      </c>
      <c r="AY363">
        <v>0</v>
      </c>
      <c r="AZ363">
        <v>0</v>
      </c>
      <c r="BA363" t="s">
        <v>3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>ROUND(Y363*Source!I321,9)</f>
        <v>5.8939999999999999E-2</v>
      </c>
      <c r="CY363">
        <f>AA363</f>
        <v>10322.83</v>
      </c>
      <c r="CZ363">
        <f>AE363</f>
        <v>10322.83</v>
      </c>
      <c r="DA363">
        <f>AI363</f>
        <v>1</v>
      </c>
      <c r="DB363">
        <f>ROUND(ROUND(AT363*CZ363,2),6)</f>
        <v>8691.82</v>
      </c>
      <c r="DC363">
        <f>ROUND(ROUND(AT363*AG363,2),6)</f>
        <v>0</v>
      </c>
      <c r="DD363" t="s">
        <v>3</v>
      </c>
      <c r="DE363" t="s">
        <v>3</v>
      </c>
      <c r="DF363">
        <f t="shared" si="141"/>
        <v>608.42999999999995</v>
      </c>
      <c r="DG363">
        <f t="shared" si="138"/>
        <v>0</v>
      </c>
      <c r="DH363">
        <f t="shared" si="139"/>
        <v>0</v>
      </c>
      <c r="DI363">
        <f t="shared" si="121"/>
        <v>0</v>
      </c>
      <c r="DJ363">
        <f>DF363</f>
        <v>608.42999999999995</v>
      </c>
      <c r="DK363">
        <v>0</v>
      </c>
    </row>
    <row r="364" spans="1:115" x14ac:dyDescent="0.2">
      <c r="A364">
        <f>ROW(Source!A322)</f>
        <v>322</v>
      </c>
      <c r="B364">
        <v>129761633</v>
      </c>
      <c r="C364">
        <v>129763592</v>
      </c>
      <c r="D364">
        <v>37345142</v>
      </c>
      <c r="E364">
        <v>37345137</v>
      </c>
      <c r="F364">
        <v>1</v>
      </c>
      <c r="G364">
        <v>37345137</v>
      </c>
      <c r="H364">
        <v>1</v>
      </c>
      <c r="I364" t="s">
        <v>1096</v>
      </c>
      <c r="J364" t="s">
        <v>3</v>
      </c>
      <c r="K364" t="s">
        <v>1097</v>
      </c>
      <c r="L364">
        <v>1191</v>
      </c>
      <c r="N364">
        <v>1013</v>
      </c>
      <c r="O364" t="s">
        <v>1098</v>
      </c>
      <c r="P364" t="s">
        <v>1098</v>
      </c>
      <c r="Q364">
        <v>1</v>
      </c>
      <c r="W364">
        <v>0</v>
      </c>
      <c r="X364">
        <v>476480486</v>
      </c>
      <c r="Y364">
        <f>(AT364*1.15)</f>
        <v>37.972999999999999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1</v>
      </c>
      <c r="AJ364">
        <v>1</v>
      </c>
      <c r="AK364">
        <v>1</v>
      </c>
      <c r="AL364">
        <v>1</v>
      </c>
      <c r="AN364">
        <v>0</v>
      </c>
      <c r="AO364">
        <v>1</v>
      </c>
      <c r="AP364">
        <v>1</v>
      </c>
      <c r="AQ364">
        <v>0</v>
      </c>
      <c r="AR364">
        <v>0</v>
      </c>
      <c r="AS364" t="s">
        <v>3</v>
      </c>
      <c r="AT364">
        <v>33.020000000000003</v>
      </c>
      <c r="AU364" t="s">
        <v>87</v>
      </c>
      <c r="AV364">
        <v>1</v>
      </c>
      <c r="AW364">
        <v>2</v>
      </c>
      <c r="AX364">
        <v>129763602</v>
      </c>
      <c r="AY364">
        <v>1</v>
      </c>
      <c r="AZ364">
        <v>0</v>
      </c>
      <c r="BA364">
        <v>368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>ROUND(Y364*Source!I322,9)</f>
        <v>2.6581100000000002</v>
      </c>
      <c r="CY364">
        <f>AD364</f>
        <v>0</v>
      </c>
      <c r="CZ364">
        <f>AH364</f>
        <v>0</v>
      </c>
      <c r="DA364">
        <f>AL364</f>
        <v>1</v>
      </c>
      <c r="DB364">
        <f>ROUND((ROUND(AT364*CZ364,2)*1.15),6)</f>
        <v>0</v>
      </c>
      <c r="DC364">
        <f>ROUND((ROUND(AT364*AG364,2)*1.15),6)</f>
        <v>0</v>
      </c>
      <c r="DD364" t="s">
        <v>3</v>
      </c>
      <c r="DE364" t="s">
        <v>3</v>
      </c>
      <c r="DF364">
        <f t="shared" si="141"/>
        <v>0</v>
      </c>
      <c r="DG364">
        <f t="shared" si="138"/>
        <v>0</v>
      </c>
      <c r="DH364">
        <f t="shared" si="139"/>
        <v>0</v>
      </c>
      <c r="DI364">
        <f t="shared" si="121"/>
        <v>0</v>
      </c>
      <c r="DJ364">
        <f>DI364</f>
        <v>0</v>
      </c>
      <c r="DK364">
        <v>0</v>
      </c>
    </row>
    <row r="365" spans="1:115" x14ac:dyDescent="0.2">
      <c r="A365">
        <f>ROW(Source!A322)</f>
        <v>322</v>
      </c>
      <c r="B365">
        <v>129761633</v>
      </c>
      <c r="C365">
        <v>129763592</v>
      </c>
      <c r="D365">
        <v>37418193</v>
      </c>
      <c r="E365">
        <v>1</v>
      </c>
      <c r="F365">
        <v>1</v>
      </c>
      <c r="G365">
        <v>37345137</v>
      </c>
      <c r="H365">
        <v>2</v>
      </c>
      <c r="I365" t="s">
        <v>1276</v>
      </c>
      <c r="J365" t="s">
        <v>1277</v>
      </c>
      <c r="K365" t="s">
        <v>1278</v>
      </c>
      <c r="L365">
        <v>1367</v>
      </c>
      <c r="N365">
        <v>1011</v>
      </c>
      <c r="O365" t="s">
        <v>1102</v>
      </c>
      <c r="P365" t="s">
        <v>1102</v>
      </c>
      <c r="Q365">
        <v>1</v>
      </c>
      <c r="W365">
        <v>0</v>
      </c>
      <c r="X365">
        <v>-1547019182</v>
      </c>
      <c r="Y365">
        <f>(AT365*1.25)</f>
        <v>3</v>
      </c>
      <c r="AA365">
        <v>0</v>
      </c>
      <c r="AB365">
        <v>75.8</v>
      </c>
      <c r="AC365">
        <v>24.62</v>
      </c>
      <c r="AD365">
        <v>0</v>
      </c>
      <c r="AE365">
        <v>0</v>
      </c>
      <c r="AF365">
        <v>8.65</v>
      </c>
      <c r="AG365">
        <v>0.81</v>
      </c>
      <c r="AH365">
        <v>0</v>
      </c>
      <c r="AI365">
        <v>1</v>
      </c>
      <c r="AJ365">
        <v>8.3699999999999992</v>
      </c>
      <c r="AK365">
        <v>29.03</v>
      </c>
      <c r="AL365">
        <v>1</v>
      </c>
      <c r="AN365">
        <v>0</v>
      </c>
      <c r="AO365">
        <v>1</v>
      </c>
      <c r="AP365">
        <v>1</v>
      </c>
      <c r="AQ365">
        <v>0</v>
      </c>
      <c r="AR365">
        <v>0</v>
      </c>
      <c r="AS365" t="s">
        <v>3</v>
      </c>
      <c r="AT365">
        <v>2.4</v>
      </c>
      <c r="AU365" t="s">
        <v>86</v>
      </c>
      <c r="AV365">
        <v>0</v>
      </c>
      <c r="AW365">
        <v>2</v>
      </c>
      <c r="AX365">
        <v>129763603</v>
      </c>
      <c r="AY365">
        <v>1</v>
      </c>
      <c r="AZ365">
        <v>0</v>
      </c>
      <c r="BA365">
        <v>369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>ROUND(Y365*Source!I322,9)</f>
        <v>0.21</v>
      </c>
      <c r="CY365">
        <f>AB365</f>
        <v>75.8</v>
      </c>
      <c r="CZ365">
        <f>AF365</f>
        <v>8.65</v>
      </c>
      <c r="DA365">
        <f>AJ365</f>
        <v>8.3699999999999992</v>
      </c>
      <c r="DB365">
        <f>ROUND((ROUND(AT365*CZ365,2)*1.25),6)</f>
        <v>25.95</v>
      </c>
      <c r="DC365">
        <f>ROUND((ROUND(AT365*AG365,2)*1.25),6)</f>
        <v>2.4249999999999998</v>
      </c>
      <c r="DD365" t="s">
        <v>3</v>
      </c>
      <c r="DE365" t="s">
        <v>3</v>
      </c>
      <c r="DF365">
        <f t="shared" si="141"/>
        <v>0</v>
      </c>
      <c r="DG365">
        <f>ROUND(ROUND(AF365*CX365,2)*AJ365,2)</f>
        <v>15.23</v>
      </c>
      <c r="DH365">
        <f>ROUND(ROUND(AG365*CX365,2)*AK365,2)</f>
        <v>4.9400000000000004</v>
      </c>
      <c r="DI365">
        <f t="shared" si="121"/>
        <v>0</v>
      </c>
      <c r="DJ365">
        <f>DG365</f>
        <v>15.23</v>
      </c>
      <c r="DK365">
        <v>0</v>
      </c>
    </row>
    <row r="366" spans="1:115" x14ac:dyDescent="0.2">
      <c r="A366">
        <f>ROW(Source!A322)</f>
        <v>322</v>
      </c>
      <c r="B366">
        <v>129761633</v>
      </c>
      <c r="C366">
        <v>129763592</v>
      </c>
      <c r="D366">
        <v>37418445</v>
      </c>
      <c r="E366">
        <v>1</v>
      </c>
      <c r="F366">
        <v>1</v>
      </c>
      <c r="G366">
        <v>37345137</v>
      </c>
      <c r="H366">
        <v>2</v>
      </c>
      <c r="I366" t="s">
        <v>1189</v>
      </c>
      <c r="J366" t="s">
        <v>1190</v>
      </c>
      <c r="K366" t="s">
        <v>1191</v>
      </c>
      <c r="L366">
        <v>1367</v>
      </c>
      <c r="N366">
        <v>1011</v>
      </c>
      <c r="O366" t="s">
        <v>1102</v>
      </c>
      <c r="P366" t="s">
        <v>1102</v>
      </c>
      <c r="Q366">
        <v>1</v>
      </c>
      <c r="W366">
        <v>0</v>
      </c>
      <c r="X366">
        <v>-628430174</v>
      </c>
      <c r="Y366">
        <f>(AT366*1.25)</f>
        <v>0.58749999999999991</v>
      </c>
      <c r="AA366">
        <v>0</v>
      </c>
      <c r="AB366">
        <v>918.4</v>
      </c>
      <c r="AC366">
        <v>436.46</v>
      </c>
      <c r="AD366">
        <v>0</v>
      </c>
      <c r="AE366">
        <v>0</v>
      </c>
      <c r="AF366">
        <v>76.81</v>
      </c>
      <c r="AG366">
        <v>14.36</v>
      </c>
      <c r="AH366">
        <v>0</v>
      </c>
      <c r="AI366">
        <v>1</v>
      </c>
      <c r="AJ366">
        <v>11.42</v>
      </c>
      <c r="AK366">
        <v>29.03</v>
      </c>
      <c r="AL366">
        <v>1</v>
      </c>
      <c r="AN366">
        <v>0</v>
      </c>
      <c r="AO366">
        <v>1</v>
      </c>
      <c r="AP366">
        <v>1</v>
      </c>
      <c r="AQ366">
        <v>0</v>
      </c>
      <c r="AR366">
        <v>0</v>
      </c>
      <c r="AS366" t="s">
        <v>3</v>
      </c>
      <c r="AT366">
        <v>0.47</v>
      </c>
      <c r="AU366" t="s">
        <v>86</v>
      </c>
      <c r="AV366">
        <v>0</v>
      </c>
      <c r="AW366">
        <v>2</v>
      </c>
      <c r="AX366">
        <v>129763604</v>
      </c>
      <c r="AY366">
        <v>1</v>
      </c>
      <c r="AZ366">
        <v>0</v>
      </c>
      <c r="BA366">
        <v>370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>ROUND(Y366*Source!I322,9)</f>
        <v>4.1125000000000002E-2</v>
      </c>
      <c r="CY366">
        <f>AB366</f>
        <v>918.4</v>
      </c>
      <c r="CZ366">
        <f>AF366</f>
        <v>76.81</v>
      </c>
      <c r="DA366">
        <f>AJ366</f>
        <v>11.42</v>
      </c>
      <c r="DB366">
        <f>ROUND((ROUND(AT366*CZ366,2)*1.25),6)</f>
        <v>45.125</v>
      </c>
      <c r="DC366">
        <f>ROUND((ROUND(AT366*AG366,2)*1.25),6)</f>
        <v>8.4375</v>
      </c>
      <c r="DD366" t="s">
        <v>3</v>
      </c>
      <c r="DE366" t="s">
        <v>3</v>
      </c>
      <c r="DF366">
        <f t="shared" si="141"/>
        <v>0</v>
      </c>
      <c r="DG366">
        <f>ROUND(ROUND(AF366*CX366,2)*AJ366,2)</f>
        <v>36.090000000000003</v>
      </c>
      <c r="DH366">
        <f>ROUND(ROUND(AG366*CX366,2)*AK366,2)</f>
        <v>17.13</v>
      </c>
      <c r="DI366">
        <f t="shared" si="121"/>
        <v>0</v>
      </c>
      <c r="DJ366">
        <f>DG366</f>
        <v>36.090000000000003</v>
      </c>
      <c r="DK366">
        <v>0</v>
      </c>
    </row>
    <row r="367" spans="1:115" x14ac:dyDescent="0.2">
      <c r="A367">
        <f>ROW(Source!A322)</f>
        <v>322</v>
      </c>
      <c r="B367">
        <v>129761633</v>
      </c>
      <c r="C367">
        <v>129763592</v>
      </c>
      <c r="D367">
        <v>37418568</v>
      </c>
      <c r="E367">
        <v>1</v>
      </c>
      <c r="F367">
        <v>1</v>
      </c>
      <c r="G367">
        <v>37345137</v>
      </c>
      <c r="H367">
        <v>2</v>
      </c>
      <c r="I367" t="s">
        <v>1279</v>
      </c>
      <c r="J367" t="s">
        <v>1280</v>
      </c>
      <c r="K367" t="s">
        <v>1281</v>
      </c>
      <c r="L367">
        <v>1367</v>
      </c>
      <c r="N367">
        <v>1011</v>
      </c>
      <c r="O367" t="s">
        <v>1102</v>
      </c>
      <c r="P367" t="s">
        <v>1102</v>
      </c>
      <c r="Q367">
        <v>1</v>
      </c>
      <c r="W367">
        <v>0</v>
      </c>
      <c r="X367">
        <v>593980231</v>
      </c>
      <c r="Y367">
        <f>(AT367*1.25)</f>
        <v>4.1499999999999995</v>
      </c>
      <c r="AA367">
        <v>0</v>
      </c>
      <c r="AB367">
        <v>19.52</v>
      </c>
      <c r="AC367">
        <v>1.22</v>
      </c>
      <c r="AD367">
        <v>0</v>
      </c>
      <c r="AE367">
        <v>0</v>
      </c>
      <c r="AF367">
        <v>2.36</v>
      </c>
      <c r="AG367">
        <v>0.04</v>
      </c>
      <c r="AH367">
        <v>0</v>
      </c>
      <c r="AI367">
        <v>1</v>
      </c>
      <c r="AJ367">
        <v>7.9</v>
      </c>
      <c r="AK367">
        <v>29.03</v>
      </c>
      <c r="AL367">
        <v>1</v>
      </c>
      <c r="AN367">
        <v>0</v>
      </c>
      <c r="AO367">
        <v>1</v>
      </c>
      <c r="AP367">
        <v>1</v>
      </c>
      <c r="AQ367">
        <v>0</v>
      </c>
      <c r="AR367">
        <v>0</v>
      </c>
      <c r="AS367" t="s">
        <v>3</v>
      </c>
      <c r="AT367">
        <v>3.32</v>
      </c>
      <c r="AU367" t="s">
        <v>86</v>
      </c>
      <c r="AV367">
        <v>0</v>
      </c>
      <c r="AW367">
        <v>2</v>
      </c>
      <c r="AX367">
        <v>129763605</v>
      </c>
      <c r="AY367">
        <v>1</v>
      </c>
      <c r="AZ367">
        <v>0</v>
      </c>
      <c r="BA367">
        <v>371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>ROUND(Y367*Source!I322,9)</f>
        <v>0.29049999999999998</v>
      </c>
      <c r="CY367">
        <f>AB367</f>
        <v>19.52</v>
      </c>
      <c r="CZ367">
        <f>AF367</f>
        <v>2.36</v>
      </c>
      <c r="DA367">
        <f>AJ367</f>
        <v>7.9</v>
      </c>
      <c r="DB367">
        <f>ROUND((ROUND(AT367*CZ367,2)*1.25),6)</f>
        <v>9.8000000000000007</v>
      </c>
      <c r="DC367">
        <f>ROUND((ROUND(AT367*AG367,2)*1.25),6)</f>
        <v>0.16250000000000001</v>
      </c>
      <c r="DD367" t="s">
        <v>3</v>
      </c>
      <c r="DE367" t="s">
        <v>3</v>
      </c>
      <c r="DF367">
        <f t="shared" si="141"/>
        <v>0</v>
      </c>
      <c r="DG367">
        <f>ROUND(ROUND(AF367*CX367,2)*AJ367,2)</f>
        <v>5.45</v>
      </c>
      <c r="DH367">
        <f>ROUND(ROUND(AG367*CX367,2)*AK367,2)</f>
        <v>0.28999999999999998</v>
      </c>
      <c r="DI367">
        <f t="shared" si="121"/>
        <v>0</v>
      </c>
      <c r="DJ367">
        <f>DG367</f>
        <v>5.45</v>
      </c>
      <c r="DK367">
        <v>0</v>
      </c>
    </row>
    <row r="368" spans="1:115" x14ac:dyDescent="0.2">
      <c r="A368">
        <f>ROW(Source!A322)</f>
        <v>322</v>
      </c>
      <c r="B368">
        <v>129761633</v>
      </c>
      <c r="C368">
        <v>129763592</v>
      </c>
      <c r="D368">
        <v>37417779</v>
      </c>
      <c r="E368">
        <v>1</v>
      </c>
      <c r="F368">
        <v>1</v>
      </c>
      <c r="G368">
        <v>37345137</v>
      </c>
      <c r="H368">
        <v>2</v>
      </c>
      <c r="I368" t="s">
        <v>1282</v>
      </c>
      <c r="J368" t="s">
        <v>1283</v>
      </c>
      <c r="K368" t="s">
        <v>1284</v>
      </c>
      <c r="L368">
        <v>1367</v>
      </c>
      <c r="N368">
        <v>1011</v>
      </c>
      <c r="O368" t="s">
        <v>1102</v>
      </c>
      <c r="P368" t="s">
        <v>1102</v>
      </c>
      <c r="Q368">
        <v>1</v>
      </c>
      <c r="W368">
        <v>0</v>
      </c>
      <c r="X368">
        <v>-1552106381</v>
      </c>
      <c r="Y368">
        <f>(AT368*1.25)</f>
        <v>2.5000000000000001E-2</v>
      </c>
      <c r="AA368">
        <v>0</v>
      </c>
      <c r="AB368">
        <v>759.85</v>
      </c>
      <c r="AC368">
        <v>557.74</v>
      </c>
      <c r="AD368">
        <v>0</v>
      </c>
      <c r="AE368">
        <v>0</v>
      </c>
      <c r="AF368">
        <v>58.48</v>
      </c>
      <c r="AG368">
        <v>18.350000000000001</v>
      </c>
      <c r="AH368">
        <v>0</v>
      </c>
      <c r="AI368">
        <v>1</v>
      </c>
      <c r="AJ368">
        <v>12.41</v>
      </c>
      <c r="AK368">
        <v>29.03</v>
      </c>
      <c r="AL368">
        <v>1</v>
      </c>
      <c r="AN368">
        <v>0</v>
      </c>
      <c r="AO368">
        <v>1</v>
      </c>
      <c r="AP368">
        <v>1</v>
      </c>
      <c r="AQ368">
        <v>0</v>
      </c>
      <c r="AR368">
        <v>0</v>
      </c>
      <c r="AS368" t="s">
        <v>3</v>
      </c>
      <c r="AT368">
        <v>0.02</v>
      </c>
      <c r="AU368" t="s">
        <v>86</v>
      </c>
      <c r="AV368">
        <v>0</v>
      </c>
      <c r="AW368">
        <v>2</v>
      </c>
      <c r="AX368">
        <v>129763606</v>
      </c>
      <c r="AY368">
        <v>1</v>
      </c>
      <c r="AZ368">
        <v>0</v>
      </c>
      <c r="BA368">
        <v>372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>ROUND(Y368*Source!I322,9)</f>
        <v>1.75E-3</v>
      </c>
      <c r="CY368">
        <f>AB368</f>
        <v>759.85</v>
      </c>
      <c r="CZ368">
        <f>AF368</f>
        <v>58.48</v>
      </c>
      <c r="DA368">
        <f>AJ368</f>
        <v>12.41</v>
      </c>
      <c r="DB368">
        <f>ROUND((ROUND(AT368*CZ368,2)*1.25),6)</f>
        <v>1.4624999999999999</v>
      </c>
      <c r="DC368">
        <f>ROUND((ROUND(AT368*AG368,2)*1.25),6)</f>
        <v>0.46250000000000002</v>
      </c>
      <c r="DD368" t="s">
        <v>3</v>
      </c>
      <c r="DE368" t="s">
        <v>3</v>
      </c>
      <c r="DF368">
        <f t="shared" si="141"/>
        <v>0</v>
      </c>
      <c r="DG368">
        <f>ROUND(ROUND(AF368*CX368,2)*AJ368,2)</f>
        <v>1.24</v>
      </c>
      <c r="DH368">
        <f>ROUND(ROUND(AG368*CX368,2)*AK368,2)</f>
        <v>0.87</v>
      </c>
      <c r="DI368">
        <f t="shared" si="121"/>
        <v>0</v>
      </c>
      <c r="DJ368">
        <f>DG368</f>
        <v>1.24</v>
      </c>
      <c r="DK368">
        <v>0</v>
      </c>
    </row>
    <row r="369" spans="1:115" x14ac:dyDescent="0.2">
      <c r="A369">
        <f>ROW(Source!A322)</f>
        <v>322</v>
      </c>
      <c r="B369">
        <v>129761633</v>
      </c>
      <c r="C369">
        <v>129763592</v>
      </c>
      <c r="D369">
        <v>37393552</v>
      </c>
      <c r="E369">
        <v>1</v>
      </c>
      <c r="F369">
        <v>1</v>
      </c>
      <c r="G369">
        <v>37345137</v>
      </c>
      <c r="H369">
        <v>3</v>
      </c>
      <c r="I369" t="s">
        <v>348</v>
      </c>
      <c r="J369" t="s">
        <v>350</v>
      </c>
      <c r="K369" t="s">
        <v>349</v>
      </c>
      <c r="L369">
        <v>1339</v>
      </c>
      <c r="N369">
        <v>1007</v>
      </c>
      <c r="O369" t="s">
        <v>94</v>
      </c>
      <c r="P369" t="s">
        <v>94</v>
      </c>
      <c r="Q369">
        <v>1</v>
      </c>
      <c r="W369">
        <v>0</v>
      </c>
      <c r="X369">
        <v>-862991314</v>
      </c>
      <c r="Y369">
        <f>AT369</f>
        <v>0.30199999999999999</v>
      </c>
      <c r="AA369">
        <v>42.42</v>
      </c>
      <c r="AB369">
        <v>0</v>
      </c>
      <c r="AC369">
        <v>0</v>
      </c>
      <c r="AD369">
        <v>0</v>
      </c>
      <c r="AE369">
        <v>7.07</v>
      </c>
      <c r="AF369">
        <v>0</v>
      </c>
      <c r="AG369">
        <v>0</v>
      </c>
      <c r="AH369">
        <v>0</v>
      </c>
      <c r="AI369">
        <v>6</v>
      </c>
      <c r="AJ369">
        <v>1</v>
      </c>
      <c r="AK369">
        <v>1</v>
      </c>
      <c r="AL369">
        <v>1</v>
      </c>
      <c r="AN369">
        <v>0</v>
      </c>
      <c r="AO369">
        <v>1</v>
      </c>
      <c r="AP369">
        <v>0</v>
      </c>
      <c r="AQ369">
        <v>0</v>
      </c>
      <c r="AR369">
        <v>0</v>
      </c>
      <c r="AS369" t="s">
        <v>3</v>
      </c>
      <c r="AT369">
        <v>0.30199999999999999</v>
      </c>
      <c r="AU369" t="s">
        <v>3</v>
      </c>
      <c r="AV369">
        <v>0</v>
      </c>
      <c r="AW369">
        <v>2</v>
      </c>
      <c r="AX369">
        <v>129763607</v>
      </c>
      <c r="AY369">
        <v>1</v>
      </c>
      <c r="AZ369">
        <v>0</v>
      </c>
      <c r="BA369">
        <v>373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>ROUND(Y369*Source!I322,9)</f>
        <v>2.1139999999999999E-2</v>
      </c>
      <c r="CY369">
        <f>AA369</f>
        <v>42.42</v>
      </c>
      <c r="CZ369">
        <f>AE369</f>
        <v>7.07</v>
      </c>
      <c r="DA369">
        <f>AI369</f>
        <v>6</v>
      </c>
      <c r="DB369">
        <f>ROUND(ROUND(AT369*CZ369,2),6)</f>
        <v>2.14</v>
      </c>
      <c r="DC369">
        <f>ROUND(ROUND(AT369*AG369,2),6)</f>
        <v>0</v>
      </c>
      <c r="DD369" t="s">
        <v>3</v>
      </c>
      <c r="DE369" t="s">
        <v>3</v>
      </c>
      <c r="DF369">
        <f>ROUND(ROUND(AE369*CX369,2)*AI369,2)</f>
        <v>0.9</v>
      </c>
      <c r="DG369">
        <f t="shared" ref="DG369:DG413" si="142">ROUND(AF369*CX369,2)</f>
        <v>0</v>
      </c>
      <c r="DH369">
        <f t="shared" ref="DH369:DH413" si="143">ROUND(AG369*CX369,2)</f>
        <v>0</v>
      </c>
      <c r="DI369">
        <f t="shared" si="121"/>
        <v>0</v>
      </c>
      <c r="DJ369">
        <f>DF369</f>
        <v>0.9</v>
      </c>
      <c r="DK369">
        <v>0</v>
      </c>
    </row>
    <row r="370" spans="1:115" x14ac:dyDescent="0.2">
      <c r="A370">
        <f>ROW(Source!A322)</f>
        <v>322</v>
      </c>
      <c r="B370">
        <v>129761633</v>
      </c>
      <c r="C370">
        <v>129763592</v>
      </c>
      <c r="D370">
        <v>37395676</v>
      </c>
      <c r="E370">
        <v>1</v>
      </c>
      <c r="F370">
        <v>1</v>
      </c>
      <c r="G370">
        <v>37345137</v>
      </c>
      <c r="H370">
        <v>3</v>
      </c>
      <c r="I370" t="s">
        <v>1285</v>
      </c>
      <c r="J370" t="s">
        <v>1286</v>
      </c>
      <c r="K370" t="s">
        <v>1287</v>
      </c>
      <c r="L370">
        <v>1327</v>
      </c>
      <c r="N370">
        <v>1005</v>
      </c>
      <c r="O370" t="s">
        <v>258</v>
      </c>
      <c r="P370" t="s">
        <v>258</v>
      </c>
      <c r="Q370">
        <v>1</v>
      </c>
      <c r="W370">
        <v>0</v>
      </c>
      <c r="X370">
        <v>-934687686</v>
      </c>
      <c r="Y370">
        <f>AT370</f>
        <v>10</v>
      </c>
      <c r="AA370">
        <v>7.83</v>
      </c>
      <c r="AB370">
        <v>0</v>
      </c>
      <c r="AC370">
        <v>0</v>
      </c>
      <c r="AD370">
        <v>0</v>
      </c>
      <c r="AE370">
        <v>2.31</v>
      </c>
      <c r="AF370">
        <v>0</v>
      </c>
      <c r="AG370">
        <v>0</v>
      </c>
      <c r="AH370">
        <v>0</v>
      </c>
      <c r="AI370">
        <v>3.39</v>
      </c>
      <c r="AJ370">
        <v>1</v>
      </c>
      <c r="AK370">
        <v>1</v>
      </c>
      <c r="AL370">
        <v>1</v>
      </c>
      <c r="AN370">
        <v>0</v>
      </c>
      <c r="AO370">
        <v>1</v>
      </c>
      <c r="AP370">
        <v>0</v>
      </c>
      <c r="AQ370">
        <v>0</v>
      </c>
      <c r="AR370">
        <v>0</v>
      </c>
      <c r="AS370" t="s">
        <v>3</v>
      </c>
      <c r="AT370">
        <v>10</v>
      </c>
      <c r="AU370" t="s">
        <v>3</v>
      </c>
      <c r="AV370">
        <v>0</v>
      </c>
      <c r="AW370">
        <v>2</v>
      </c>
      <c r="AX370">
        <v>129763608</v>
      </c>
      <c r="AY370">
        <v>1</v>
      </c>
      <c r="AZ370">
        <v>0</v>
      </c>
      <c r="BA370">
        <v>374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>ROUND(Y370*Source!I322,9)</f>
        <v>0.7</v>
      </c>
      <c r="CY370">
        <f>AA370</f>
        <v>7.83</v>
      </c>
      <c r="CZ370">
        <f>AE370</f>
        <v>2.31</v>
      </c>
      <c r="DA370">
        <f>AI370</f>
        <v>3.39</v>
      </c>
      <c r="DB370">
        <f>ROUND(ROUND(AT370*CZ370,2),6)</f>
        <v>23.1</v>
      </c>
      <c r="DC370">
        <f>ROUND(ROUND(AT370*AG370,2),6)</f>
        <v>0</v>
      </c>
      <c r="DD370" t="s">
        <v>3</v>
      </c>
      <c r="DE370" t="s">
        <v>3</v>
      </c>
      <c r="DF370">
        <f>ROUND(ROUND(AE370*CX370,2)*AI370,2)</f>
        <v>5.49</v>
      </c>
      <c r="DG370">
        <f t="shared" si="142"/>
        <v>0</v>
      </c>
      <c r="DH370">
        <f t="shared" si="143"/>
        <v>0</v>
      </c>
      <c r="DI370">
        <f t="shared" si="121"/>
        <v>0</v>
      </c>
      <c r="DJ370">
        <f>DF370</f>
        <v>5.49</v>
      </c>
      <c r="DK370">
        <v>0</v>
      </c>
    </row>
    <row r="371" spans="1:115" x14ac:dyDescent="0.2">
      <c r="A371">
        <f>ROW(Source!A322)</f>
        <v>322</v>
      </c>
      <c r="B371">
        <v>129761633</v>
      </c>
      <c r="C371">
        <v>129763592</v>
      </c>
      <c r="D371">
        <v>37396308</v>
      </c>
      <c r="E371">
        <v>1</v>
      </c>
      <c r="F371">
        <v>1</v>
      </c>
      <c r="G371">
        <v>37345137</v>
      </c>
      <c r="H371">
        <v>3</v>
      </c>
      <c r="I371" t="s">
        <v>438</v>
      </c>
      <c r="J371" t="s">
        <v>440</v>
      </c>
      <c r="K371" t="s">
        <v>439</v>
      </c>
      <c r="L371">
        <v>1346</v>
      </c>
      <c r="N371">
        <v>1009</v>
      </c>
      <c r="O371" t="s">
        <v>369</v>
      </c>
      <c r="P371" t="s">
        <v>369</v>
      </c>
      <c r="Q371">
        <v>1</v>
      </c>
      <c r="W371">
        <v>0</v>
      </c>
      <c r="X371">
        <v>-219381173</v>
      </c>
      <c r="Y371">
        <f>AT371</f>
        <v>20</v>
      </c>
      <c r="AA371">
        <v>744.58</v>
      </c>
      <c r="AB371">
        <v>0</v>
      </c>
      <c r="AC371">
        <v>0</v>
      </c>
      <c r="AD371">
        <v>0</v>
      </c>
      <c r="AE371">
        <v>53.76</v>
      </c>
      <c r="AF371">
        <v>0</v>
      </c>
      <c r="AG371">
        <v>0</v>
      </c>
      <c r="AH371">
        <v>0</v>
      </c>
      <c r="AI371">
        <v>13.85</v>
      </c>
      <c r="AJ371">
        <v>1</v>
      </c>
      <c r="AK371">
        <v>1</v>
      </c>
      <c r="AL371">
        <v>1</v>
      </c>
      <c r="AN371">
        <v>0</v>
      </c>
      <c r="AO371">
        <v>0</v>
      </c>
      <c r="AP371">
        <v>0</v>
      </c>
      <c r="AQ371">
        <v>0</v>
      </c>
      <c r="AR371">
        <v>0</v>
      </c>
      <c r="AS371" t="s">
        <v>3</v>
      </c>
      <c r="AT371">
        <v>20</v>
      </c>
      <c r="AU371" t="s">
        <v>3</v>
      </c>
      <c r="AV371">
        <v>0</v>
      </c>
      <c r="AW371">
        <v>1</v>
      </c>
      <c r="AX371">
        <v>-1</v>
      </c>
      <c r="AY371">
        <v>0</v>
      </c>
      <c r="AZ371">
        <v>0</v>
      </c>
      <c r="BA371" t="s">
        <v>3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>ROUND(Y371*Source!I322,9)</f>
        <v>1.4</v>
      </c>
      <c r="CY371">
        <f>AA371</f>
        <v>744.58</v>
      </c>
      <c r="CZ371">
        <f>AE371</f>
        <v>53.76</v>
      </c>
      <c r="DA371">
        <f>AI371</f>
        <v>13.85</v>
      </c>
      <c r="DB371">
        <f>ROUND(ROUND(AT371*CZ371,2),6)</f>
        <v>1075.2</v>
      </c>
      <c r="DC371">
        <f>ROUND(ROUND(AT371*AG371,2),6)</f>
        <v>0</v>
      </c>
      <c r="DD371" t="s">
        <v>3</v>
      </c>
      <c r="DE371" t="s">
        <v>3</v>
      </c>
      <c r="DF371">
        <f>ROUND(ROUND(AE371*CX371,2)*AI371,2)</f>
        <v>1042.3499999999999</v>
      </c>
      <c r="DG371">
        <f t="shared" si="142"/>
        <v>0</v>
      </c>
      <c r="DH371">
        <f t="shared" si="143"/>
        <v>0</v>
      </c>
      <c r="DI371">
        <f t="shared" si="121"/>
        <v>0</v>
      </c>
      <c r="DJ371">
        <f>DF371</f>
        <v>1042.3499999999999</v>
      </c>
      <c r="DK371">
        <v>0</v>
      </c>
    </row>
    <row r="372" spans="1:115" x14ac:dyDescent="0.2">
      <c r="A372">
        <f>ROW(Source!A322)</f>
        <v>322</v>
      </c>
      <c r="B372">
        <v>129761633</v>
      </c>
      <c r="C372">
        <v>129763592</v>
      </c>
      <c r="D372">
        <v>37412094</v>
      </c>
      <c r="E372">
        <v>1</v>
      </c>
      <c r="F372">
        <v>1</v>
      </c>
      <c r="G372">
        <v>37345137</v>
      </c>
      <c r="H372">
        <v>3</v>
      </c>
      <c r="I372" t="s">
        <v>442</v>
      </c>
      <c r="J372" t="s">
        <v>444</v>
      </c>
      <c r="K372" t="s">
        <v>443</v>
      </c>
      <c r="L372">
        <v>1348</v>
      </c>
      <c r="N372">
        <v>1009</v>
      </c>
      <c r="O372" t="s">
        <v>114</v>
      </c>
      <c r="P372" t="s">
        <v>114</v>
      </c>
      <c r="Q372">
        <v>1000</v>
      </c>
      <c r="W372">
        <v>0</v>
      </c>
      <c r="X372">
        <v>1287606245</v>
      </c>
      <c r="Y372">
        <f>AT372</f>
        <v>0.84199999999999997</v>
      </c>
      <c r="AA372">
        <v>38194.47</v>
      </c>
      <c r="AB372">
        <v>0</v>
      </c>
      <c r="AC372">
        <v>0</v>
      </c>
      <c r="AD372">
        <v>0</v>
      </c>
      <c r="AE372">
        <v>10322.83</v>
      </c>
      <c r="AF372">
        <v>0</v>
      </c>
      <c r="AG372">
        <v>0</v>
      </c>
      <c r="AH372">
        <v>0</v>
      </c>
      <c r="AI372">
        <v>3.7</v>
      </c>
      <c r="AJ372">
        <v>1</v>
      </c>
      <c r="AK372">
        <v>1</v>
      </c>
      <c r="AL372">
        <v>1</v>
      </c>
      <c r="AN372">
        <v>0</v>
      </c>
      <c r="AO372">
        <v>0</v>
      </c>
      <c r="AP372">
        <v>0</v>
      </c>
      <c r="AQ372">
        <v>0</v>
      </c>
      <c r="AR372">
        <v>0</v>
      </c>
      <c r="AS372" t="s">
        <v>3</v>
      </c>
      <c r="AT372">
        <v>0.84199999999999997</v>
      </c>
      <c r="AU372" t="s">
        <v>3</v>
      </c>
      <c r="AV372">
        <v>0</v>
      </c>
      <c r="AW372">
        <v>1</v>
      </c>
      <c r="AX372">
        <v>-1</v>
      </c>
      <c r="AY372">
        <v>0</v>
      </c>
      <c r="AZ372">
        <v>0</v>
      </c>
      <c r="BA372" t="s">
        <v>3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>ROUND(Y372*Source!I322,9)</f>
        <v>5.8939999999999999E-2</v>
      </c>
      <c r="CY372">
        <f>AA372</f>
        <v>38194.47</v>
      </c>
      <c r="CZ372">
        <f>AE372</f>
        <v>10322.83</v>
      </c>
      <c r="DA372">
        <f>AI372</f>
        <v>3.7</v>
      </c>
      <c r="DB372">
        <f>ROUND(ROUND(AT372*CZ372,2),6)</f>
        <v>8691.82</v>
      </c>
      <c r="DC372">
        <f>ROUND(ROUND(AT372*AG372,2),6)</f>
        <v>0</v>
      </c>
      <c r="DD372" t="s">
        <v>3</v>
      </c>
      <c r="DE372" t="s">
        <v>3</v>
      </c>
      <c r="DF372">
        <f>ROUND(ROUND(AE372*CX372,2)*AI372,2)</f>
        <v>2251.19</v>
      </c>
      <c r="DG372">
        <f t="shared" si="142"/>
        <v>0</v>
      </c>
      <c r="DH372">
        <f t="shared" si="143"/>
        <v>0</v>
      </c>
      <c r="DI372">
        <f t="shared" si="121"/>
        <v>0</v>
      </c>
      <c r="DJ372">
        <f>DF372</f>
        <v>2251.19</v>
      </c>
      <c r="DK372">
        <v>0</v>
      </c>
    </row>
    <row r="373" spans="1:115" x14ac:dyDescent="0.2">
      <c r="A373">
        <f>ROW(Source!A327)</f>
        <v>327</v>
      </c>
      <c r="B373">
        <v>129761636</v>
      </c>
      <c r="C373">
        <v>129763613</v>
      </c>
      <c r="D373">
        <v>37345142</v>
      </c>
      <c r="E373">
        <v>37345137</v>
      </c>
      <c r="F373">
        <v>1</v>
      </c>
      <c r="G373">
        <v>37345137</v>
      </c>
      <c r="H373">
        <v>1</v>
      </c>
      <c r="I373" t="s">
        <v>1096</v>
      </c>
      <c r="J373" t="s">
        <v>3</v>
      </c>
      <c r="K373" t="s">
        <v>1097</v>
      </c>
      <c r="L373">
        <v>1191</v>
      </c>
      <c r="N373">
        <v>1013</v>
      </c>
      <c r="O373" t="s">
        <v>1098</v>
      </c>
      <c r="P373" t="s">
        <v>1098</v>
      </c>
      <c r="Q373">
        <v>1</v>
      </c>
      <c r="W373">
        <v>0</v>
      </c>
      <c r="X373">
        <v>476480486</v>
      </c>
      <c r="Y373">
        <f>(AT373*1.15)</f>
        <v>96.691999999999993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1</v>
      </c>
      <c r="AJ373">
        <v>1</v>
      </c>
      <c r="AK373">
        <v>1</v>
      </c>
      <c r="AL373">
        <v>1</v>
      </c>
      <c r="AN373">
        <v>0</v>
      </c>
      <c r="AO373">
        <v>1</v>
      </c>
      <c r="AP373">
        <v>1</v>
      </c>
      <c r="AQ373">
        <v>0</v>
      </c>
      <c r="AR373">
        <v>0</v>
      </c>
      <c r="AS373" t="s">
        <v>3</v>
      </c>
      <c r="AT373">
        <v>84.08</v>
      </c>
      <c r="AU373" t="s">
        <v>87</v>
      </c>
      <c r="AV373">
        <v>1</v>
      </c>
      <c r="AW373">
        <v>2</v>
      </c>
      <c r="AX373">
        <v>129763623</v>
      </c>
      <c r="AY373">
        <v>1</v>
      </c>
      <c r="AZ373">
        <v>0</v>
      </c>
      <c r="BA373">
        <v>377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>ROUND(Y373*Source!I327,9)</f>
        <v>6.76844</v>
      </c>
      <c r="CY373">
        <f>AD373</f>
        <v>0</v>
      </c>
      <c r="CZ373">
        <f>AH373</f>
        <v>0</v>
      </c>
      <c r="DA373">
        <f>AL373</f>
        <v>1</v>
      </c>
      <c r="DB373">
        <f>ROUND((ROUND(AT373*CZ373,2)*1.15),6)</f>
        <v>0</v>
      </c>
      <c r="DC373">
        <f>ROUND((ROUND(AT373*AG373,2)*1.15),6)</f>
        <v>0</v>
      </c>
      <c r="DD373" t="s">
        <v>3</v>
      </c>
      <c r="DE373" t="s">
        <v>3</v>
      </c>
      <c r="DF373">
        <f t="shared" ref="DF373:DF386" si="144">ROUND(AE373*CX373,2)</f>
        <v>0</v>
      </c>
      <c r="DG373">
        <f t="shared" si="142"/>
        <v>0</v>
      </c>
      <c r="DH373">
        <f t="shared" si="143"/>
        <v>0</v>
      </c>
      <c r="DI373">
        <f t="shared" si="121"/>
        <v>0</v>
      </c>
      <c r="DJ373">
        <f>DI373</f>
        <v>0</v>
      </c>
      <c r="DK373">
        <v>0</v>
      </c>
    </row>
    <row r="374" spans="1:115" x14ac:dyDescent="0.2">
      <c r="A374">
        <f>ROW(Source!A327)</f>
        <v>327</v>
      </c>
      <c r="B374">
        <v>129761636</v>
      </c>
      <c r="C374">
        <v>129763613</v>
      </c>
      <c r="D374">
        <v>37418479</v>
      </c>
      <c r="E374">
        <v>1</v>
      </c>
      <c r="F374">
        <v>1</v>
      </c>
      <c r="G374">
        <v>37345137</v>
      </c>
      <c r="H374">
        <v>2</v>
      </c>
      <c r="I374" t="s">
        <v>1183</v>
      </c>
      <c r="J374" t="s">
        <v>1184</v>
      </c>
      <c r="K374" t="s">
        <v>1185</v>
      </c>
      <c r="L374">
        <v>1367</v>
      </c>
      <c r="N374">
        <v>1011</v>
      </c>
      <c r="O374" t="s">
        <v>1102</v>
      </c>
      <c r="P374" t="s">
        <v>1102</v>
      </c>
      <c r="Q374">
        <v>1</v>
      </c>
      <c r="W374">
        <v>0</v>
      </c>
      <c r="X374">
        <v>950854334</v>
      </c>
      <c r="Y374">
        <f>(AT374*1.25)</f>
        <v>33.862499999999997</v>
      </c>
      <c r="AA374">
        <v>0</v>
      </c>
      <c r="AB374">
        <v>2.36</v>
      </c>
      <c r="AC374">
        <v>0.1</v>
      </c>
      <c r="AD374">
        <v>0</v>
      </c>
      <c r="AE374">
        <v>0</v>
      </c>
      <c r="AF374">
        <v>2.36</v>
      </c>
      <c r="AG374">
        <v>0.1</v>
      </c>
      <c r="AH374">
        <v>0</v>
      </c>
      <c r="AI374">
        <v>1</v>
      </c>
      <c r="AJ374">
        <v>1</v>
      </c>
      <c r="AK374">
        <v>1</v>
      </c>
      <c r="AL374">
        <v>1</v>
      </c>
      <c r="AN374">
        <v>0</v>
      </c>
      <c r="AO374">
        <v>1</v>
      </c>
      <c r="AP374">
        <v>1</v>
      </c>
      <c r="AQ374">
        <v>0</v>
      </c>
      <c r="AR374">
        <v>0</v>
      </c>
      <c r="AS374" t="s">
        <v>3</v>
      </c>
      <c r="AT374">
        <v>27.09</v>
      </c>
      <c r="AU374" t="s">
        <v>86</v>
      </c>
      <c r="AV374">
        <v>0</v>
      </c>
      <c r="AW374">
        <v>2</v>
      </c>
      <c r="AX374">
        <v>129763624</v>
      </c>
      <c r="AY374">
        <v>1</v>
      </c>
      <c r="AZ374">
        <v>0</v>
      </c>
      <c r="BA374">
        <v>378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X374">
        <f>ROUND(Y374*Source!I327,9)</f>
        <v>2.3703750000000001</v>
      </c>
      <c r="CY374">
        <f>AB374</f>
        <v>2.36</v>
      </c>
      <c r="CZ374">
        <f>AF374</f>
        <v>2.36</v>
      </c>
      <c r="DA374">
        <f>AJ374</f>
        <v>1</v>
      </c>
      <c r="DB374">
        <f>ROUND((ROUND(AT374*CZ374,2)*1.25),6)</f>
        <v>79.912499999999994</v>
      </c>
      <c r="DC374">
        <f>ROUND((ROUND(AT374*AG374,2)*1.25),6)</f>
        <v>3.3875000000000002</v>
      </c>
      <c r="DD374" t="s">
        <v>3</v>
      </c>
      <c r="DE374" t="s">
        <v>3</v>
      </c>
      <c r="DF374">
        <f t="shared" si="144"/>
        <v>0</v>
      </c>
      <c r="DG374">
        <f t="shared" si="142"/>
        <v>5.59</v>
      </c>
      <c r="DH374">
        <f t="shared" si="143"/>
        <v>0.24</v>
      </c>
      <c r="DI374">
        <f t="shared" si="121"/>
        <v>0</v>
      </c>
      <c r="DJ374">
        <f>DG374</f>
        <v>5.59</v>
      </c>
      <c r="DK374">
        <v>0</v>
      </c>
    </row>
    <row r="375" spans="1:115" x14ac:dyDescent="0.2">
      <c r="A375">
        <f>ROW(Source!A327)</f>
        <v>327</v>
      </c>
      <c r="B375">
        <v>129761636</v>
      </c>
      <c r="C375">
        <v>129763613</v>
      </c>
      <c r="D375">
        <v>37418541</v>
      </c>
      <c r="E375">
        <v>1</v>
      </c>
      <c r="F375">
        <v>1</v>
      </c>
      <c r="G375">
        <v>37345137</v>
      </c>
      <c r="H375">
        <v>2</v>
      </c>
      <c r="I375" t="s">
        <v>1261</v>
      </c>
      <c r="J375" t="s">
        <v>1262</v>
      </c>
      <c r="K375" t="s">
        <v>1263</v>
      </c>
      <c r="L375">
        <v>1367</v>
      </c>
      <c r="N375">
        <v>1011</v>
      </c>
      <c r="O375" t="s">
        <v>1102</v>
      </c>
      <c r="P375" t="s">
        <v>1102</v>
      </c>
      <c r="Q375">
        <v>1</v>
      </c>
      <c r="W375">
        <v>0</v>
      </c>
      <c r="X375">
        <v>-1931009994</v>
      </c>
      <c r="Y375">
        <f>(AT375*1.25)</f>
        <v>0.38750000000000001</v>
      </c>
      <c r="AA375">
        <v>0</v>
      </c>
      <c r="AB375">
        <v>31.85</v>
      </c>
      <c r="AC375">
        <v>14.89</v>
      </c>
      <c r="AD375">
        <v>0</v>
      </c>
      <c r="AE375">
        <v>0</v>
      </c>
      <c r="AF375">
        <v>31.85</v>
      </c>
      <c r="AG375">
        <v>14.89</v>
      </c>
      <c r="AH375">
        <v>0</v>
      </c>
      <c r="AI375">
        <v>1</v>
      </c>
      <c r="AJ375">
        <v>1</v>
      </c>
      <c r="AK375">
        <v>1</v>
      </c>
      <c r="AL375">
        <v>1</v>
      </c>
      <c r="AN375">
        <v>0</v>
      </c>
      <c r="AO375">
        <v>1</v>
      </c>
      <c r="AP375">
        <v>1</v>
      </c>
      <c r="AQ375">
        <v>0</v>
      </c>
      <c r="AR375">
        <v>0</v>
      </c>
      <c r="AS375" t="s">
        <v>3</v>
      </c>
      <c r="AT375">
        <v>0.31</v>
      </c>
      <c r="AU375" t="s">
        <v>86</v>
      </c>
      <c r="AV375">
        <v>0</v>
      </c>
      <c r="AW375">
        <v>2</v>
      </c>
      <c r="AX375">
        <v>129763625</v>
      </c>
      <c r="AY375">
        <v>1</v>
      </c>
      <c r="AZ375">
        <v>0</v>
      </c>
      <c r="BA375">
        <v>379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X375">
        <f>ROUND(Y375*Source!I327,9)</f>
        <v>2.7125E-2</v>
      </c>
      <c r="CY375">
        <f>AB375</f>
        <v>31.85</v>
      </c>
      <c r="CZ375">
        <f>AF375</f>
        <v>31.85</v>
      </c>
      <c r="DA375">
        <f>AJ375</f>
        <v>1</v>
      </c>
      <c r="DB375">
        <f>ROUND((ROUND(AT375*CZ375,2)*1.25),6)</f>
        <v>12.3375</v>
      </c>
      <c r="DC375">
        <f>ROUND((ROUND(AT375*AG375,2)*1.25),6)</f>
        <v>5.7750000000000004</v>
      </c>
      <c r="DD375" t="s">
        <v>3</v>
      </c>
      <c r="DE375" t="s">
        <v>3</v>
      </c>
      <c r="DF375">
        <f t="shared" si="144"/>
        <v>0</v>
      </c>
      <c r="DG375">
        <f t="shared" si="142"/>
        <v>0.86</v>
      </c>
      <c r="DH375">
        <f t="shared" si="143"/>
        <v>0.4</v>
      </c>
      <c r="DI375">
        <f t="shared" si="121"/>
        <v>0</v>
      </c>
      <c r="DJ375">
        <f>DG375</f>
        <v>0.86</v>
      </c>
      <c r="DK375">
        <v>0</v>
      </c>
    </row>
    <row r="376" spans="1:115" x14ac:dyDescent="0.2">
      <c r="A376">
        <f>ROW(Source!A327)</f>
        <v>327</v>
      </c>
      <c r="B376">
        <v>129761636</v>
      </c>
      <c r="C376">
        <v>129763613</v>
      </c>
      <c r="D376">
        <v>37345890</v>
      </c>
      <c r="E376">
        <v>37345137</v>
      </c>
      <c r="F376">
        <v>1</v>
      </c>
      <c r="G376">
        <v>37345137</v>
      </c>
      <c r="H376">
        <v>2</v>
      </c>
      <c r="I376" t="s">
        <v>1145</v>
      </c>
      <c r="J376" t="s">
        <v>3</v>
      </c>
      <c r="K376" t="s">
        <v>1146</v>
      </c>
      <c r="L376">
        <v>1344</v>
      </c>
      <c r="N376">
        <v>1008</v>
      </c>
      <c r="O376" t="s">
        <v>1138</v>
      </c>
      <c r="P376" t="s">
        <v>1138</v>
      </c>
      <c r="Q376">
        <v>1</v>
      </c>
      <c r="W376">
        <v>0</v>
      </c>
      <c r="X376">
        <v>-1180195794</v>
      </c>
      <c r="Y376">
        <f>(AT376*1.25)</f>
        <v>32.450000000000003</v>
      </c>
      <c r="AA376">
        <v>0</v>
      </c>
      <c r="AB376">
        <v>1</v>
      </c>
      <c r="AC376">
        <v>0</v>
      </c>
      <c r="AD376">
        <v>0</v>
      </c>
      <c r="AE376">
        <v>0</v>
      </c>
      <c r="AF376">
        <v>1</v>
      </c>
      <c r="AG376">
        <v>0</v>
      </c>
      <c r="AH376">
        <v>0</v>
      </c>
      <c r="AI376">
        <v>1</v>
      </c>
      <c r="AJ376">
        <v>1</v>
      </c>
      <c r="AK376">
        <v>1</v>
      </c>
      <c r="AL376">
        <v>1</v>
      </c>
      <c r="AN376">
        <v>0</v>
      </c>
      <c r="AO376">
        <v>1</v>
      </c>
      <c r="AP376">
        <v>1</v>
      </c>
      <c r="AQ376">
        <v>0</v>
      </c>
      <c r="AR376">
        <v>0</v>
      </c>
      <c r="AS376" t="s">
        <v>3</v>
      </c>
      <c r="AT376">
        <v>25.96</v>
      </c>
      <c r="AU376" t="s">
        <v>86</v>
      </c>
      <c r="AV376">
        <v>0</v>
      </c>
      <c r="AW376">
        <v>2</v>
      </c>
      <c r="AX376">
        <v>129763626</v>
      </c>
      <c r="AY376">
        <v>1</v>
      </c>
      <c r="AZ376">
        <v>0</v>
      </c>
      <c r="BA376">
        <v>380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X376">
        <f>ROUND(Y376*Source!I327,9)</f>
        <v>2.2715000000000001</v>
      </c>
      <c r="CY376">
        <f>AB376</f>
        <v>1</v>
      </c>
      <c r="CZ376">
        <f>AF376</f>
        <v>1</v>
      </c>
      <c r="DA376">
        <f>AJ376</f>
        <v>1</v>
      </c>
      <c r="DB376">
        <f>ROUND((ROUND(AT376*CZ376,2)*1.25),6)</f>
        <v>32.450000000000003</v>
      </c>
      <c r="DC376">
        <f>ROUND((ROUND(AT376*AG376,2)*1.25),6)</f>
        <v>0</v>
      </c>
      <c r="DD376" t="s">
        <v>3</v>
      </c>
      <c r="DE376" t="s">
        <v>3</v>
      </c>
      <c r="DF376">
        <f t="shared" si="144"/>
        <v>0</v>
      </c>
      <c r="DG376">
        <f t="shared" si="142"/>
        <v>2.27</v>
      </c>
      <c r="DH376">
        <f t="shared" si="143"/>
        <v>0</v>
      </c>
      <c r="DI376">
        <f t="shared" si="121"/>
        <v>0</v>
      </c>
      <c r="DJ376">
        <f>DG376</f>
        <v>2.27</v>
      </c>
      <c r="DK376">
        <v>0</v>
      </c>
    </row>
    <row r="377" spans="1:115" x14ac:dyDescent="0.2">
      <c r="A377">
        <f>ROW(Source!A327)</f>
        <v>327</v>
      </c>
      <c r="B377">
        <v>129761636</v>
      </c>
      <c r="C377">
        <v>129763613</v>
      </c>
      <c r="D377">
        <v>37393552</v>
      </c>
      <c r="E377">
        <v>1</v>
      </c>
      <c r="F377">
        <v>1</v>
      </c>
      <c r="G377">
        <v>37345137</v>
      </c>
      <c r="H377">
        <v>3</v>
      </c>
      <c r="I377" t="s">
        <v>348</v>
      </c>
      <c r="J377" t="s">
        <v>350</v>
      </c>
      <c r="K377" t="s">
        <v>349</v>
      </c>
      <c r="L377">
        <v>1339</v>
      </c>
      <c r="N377">
        <v>1007</v>
      </c>
      <c r="O377" t="s">
        <v>94</v>
      </c>
      <c r="P377" t="s">
        <v>94</v>
      </c>
      <c r="Q377">
        <v>1</v>
      </c>
      <c r="W377">
        <v>0</v>
      </c>
      <c r="X377">
        <v>-862991314</v>
      </c>
      <c r="Y377">
        <f t="shared" ref="Y377:Y382" si="145">AT377</f>
        <v>0.13300000000000001</v>
      </c>
      <c r="AA377">
        <v>7.07</v>
      </c>
      <c r="AB377">
        <v>0</v>
      </c>
      <c r="AC377">
        <v>0</v>
      </c>
      <c r="AD377">
        <v>0</v>
      </c>
      <c r="AE377">
        <v>7.07</v>
      </c>
      <c r="AF377">
        <v>0</v>
      </c>
      <c r="AG377">
        <v>0</v>
      </c>
      <c r="AH377">
        <v>0</v>
      </c>
      <c r="AI377">
        <v>1</v>
      </c>
      <c r="AJ377">
        <v>1</v>
      </c>
      <c r="AK377">
        <v>1</v>
      </c>
      <c r="AL377">
        <v>1</v>
      </c>
      <c r="AN377">
        <v>0</v>
      </c>
      <c r="AO377">
        <v>1</v>
      </c>
      <c r="AP377">
        <v>0</v>
      </c>
      <c r="AQ377">
        <v>0</v>
      </c>
      <c r="AR377">
        <v>0</v>
      </c>
      <c r="AS377" t="s">
        <v>3</v>
      </c>
      <c r="AT377">
        <v>0.13300000000000001</v>
      </c>
      <c r="AU377" t="s">
        <v>3</v>
      </c>
      <c r="AV377">
        <v>0</v>
      </c>
      <c r="AW377">
        <v>2</v>
      </c>
      <c r="AX377">
        <v>129763627</v>
      </c>
      <c r="AY377">
        <v>1</v>
      </c>
      <c r="AZ377">
        <v>0</v>
      </c>
      <c r="BA377">
        <v>381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X377">
        <f>ROUND(Y377*Source!I327,9)</f>
        <v>9.3100000000000006E-3</v>
      </c>
      <c r="CY377">
        <f t="shared" ref="CY377:CY382" si="146">AA377</f>
        <v>7.07</v>
      </c>
      <c r="CZ377">
        <f t="shared" ref="CZ377:CZ382" si="147">AE377</f>
        <v>7.07</v>
      </c>
      <c r="DA377">
        <f t="shared" ref="DA377:DA382" si="148">AI377</f>
        <v>1</v>
      </c>
      <c r="DB377">
        <f t="shared" ref="DB377:DB382" si="149">ROUND(ROUND(AT377*CZ377,2),6)</f>
        <v>0.94</v>
      </c>
      <c r="DC377">
        <f t="shared" ref="DC377:DC382" si="150">ROUND(ROUND(AT377*AG377,2),6)</f>
        <v>0</v>
      </c>
      <c r="DD377" t="s">
        <v>3</v>
      </c>
      <c r="DE377" t="s">
        <v>3</v>
      </c>
      <c r="DF377">
        <f t="shared" si="144"/>
        <v>7.0000000000000007E-2</v>
      </c>
      <c r="DG377">
        <f t="shared" si="142"/>
        <v>0</v>
      </c>
      <c r="DH377">
        <f t="shared" si="143"/>
        <v>0</v>
      </c>
      <c r="DI377">
        <f t="shared" si="121"/>
        <v>0</v>
      </c>
      <c r="DJ377">
        <f t="shared" ref="DJ377:DJ382" si="151">DF377</f>
        <v>7.0000000000000007E-2</v>
      </c>
      <c r="DK377">
        <v>0</v>
      </c>
    </row>
    <row r="378" spans="1:115" x14ac:dyDescent="0.2">
      <c r="A378">
        <f>ROW(Source!A327)</f>
        <v>327</v>
      </c>
      <c r="B378">
        <v>129761636</v>
      </c>
      <c r="C378">
        <v>129763613</v>
      </c>
      <c r="D378">
        <v>37395603</v>
      </c>
      <c r="E378">
        <v>1</v>
      </c>
      <c r="F378">
        <v>1</v>
      </c>
      <c r="G378">
        <v>37345137</v>
      </c>
      <c r="H378">
        <v>3</v>
      </c>
      <c r="I378" t="s">
        <v>416</v>
      </c>
      <c r="J378" t="s">
        <v>451</v>
      </c>
      <c r="K378" t="s">
        <v>450</v>
      </c>
      <c r="L378">
        <v>1327</v>
      </c>
      <c r="N378">
        <v>1005</v>
      </c>
      <c r="O378" t="s">
        <v>258</v>
      </c>
      <c r="P378" t="s">
        <v>258</v>
      </c>
      <c r="Q378">
        <v>1</v>
      </c>
      <c r="W378">
        <v>0</v>
      </c>
      <c r="X378">
        <v>1213652254</v>
      </c>
      <c r="Y378">
        <f t="shared" si="145"/>
        <v>0</v>
      </c>
      <c r="AA378">
        <v>92.02</v>
      </c>
      <c r="AB378">
        <v>0</v>
      </c>
      <c r="AC378">
        <v>0</v>
      </c>
      <c r="AD378">
        <v>0</v>
      </c>
      <c r="AE378">
        <v>92.02</v>
      </c>
      <c r="AF378">
        <v>0</v>
      </c>
      <c r="AG378">
        <v>0</v>
      </c>
      <c r="AH378">
        <v>0</v>
      </c>
      <c r="AI378">
        <v>1</v>
      </c>
      <c r="AJ378">
        <v>1</v>
      </c>
      <c r="AK378">
        <v>1</v>
      </c>
      <c r="AL378">
        <v>1</v>
      </c>
      <c r="AN378">
        <v>0</v>
      </c>
      <c r="AO378">
        <v>0</v>
      </c>
      <c r="AP378">
        <v>0</v>
      </c>
      <c r="AQ378">
        <v>0</v>
      </c>
      <c r="AR378">
        <v>0</v>
      </c>
      <c r="AS378" t="s">
        <v>3</v>
      </c>
      <c r="AT378">
        <v>0</v>
      </c>
      <c r="AU378" t="s">
        <v>3</v>
      </c>
      <c r="AV378">
        <v>0</v>
      </c>
      <c r="AW378">
        <v>1</v>
      </c>
      <c r="AX378">
        <v>-1</v>
      </c>
      <c r="AY378">
        <v>0</v>
      </c>
      <c r="AZ378">
        <v>0</v>
      </c>
      <c r="BA378" t="s">
        <v>3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X378">
        <f>ROUND(Y378*Source!I327,9)</f>
        <v>0</v>
      </c>
      <c r="CY378">
        <f t="shared" si="146"/>
        <v>92.02</v>
      </c>
      <c r="CZ378">
        <f t="shared" si="147"/>
        <v>92.02</v>
      </c>
      <c r="DA378">
        <f t="shared" si="148"/>
        <v>1</v>
      </c>
      <c r="DB378">
        <f t="shared" si="149"/>
        <v>0</v>
      </c>
      <c r="DC378">
        <f t="shared" si="150"/>
        <v>0</v>
      </c>
      <c r="DD378" t="s">
        <v>3</v>
      </c>
      <c r="DE378" t="s">
        <v>3</v>
      </c>
      <c r="DF378">
        <f t="shared" si="144"/>
        <v>0</v>
      </c>
      <c r="DG378">
        <f t="shared" si="142"/>
        <v>0</v>
      </c>
      <c r="DH378">
        <f t="shared" si="143"/>
        <v>0</v>
      </c>
      <c r="DI378">
        <f t="shared" si="121"/>
        <v>0</v>
      </c>
      <c r="DJ378">
        <f t="shared" si="151"/>
        <v>0</v>
      </c>
      <c r="DK378">
        <v>0</v>
      </c>
    </row>
    <row r="379" spans="1:115" x14ac:dyDescent="0.2">
      <c r="A379">
        <f>ROW(Source!A327)</f>
        <v>327</v>
      </c>
      <c r="B379">
        <v>129761636</v>
      </c>
      <c r="C379">
        <v>129763613</v>
      </c>
      <c r="D379">
        <v>37395665</v>
      </c>
      <c r="E379">
        <v>1</v>
      </c>
      <c r="F379">
        <v>1</v>
      </c>
      <c r="G379">
        <v>37345137</v>
      </c>
      <c r="H379">
        <v>3</v>
      </c>
      <c r="I379" t="s">
        <v>1264</v>
      </c>
      <c r="J379" t="s">
        <v>1265</v>
      </c>
      <c r="K379" t="s">
        <v>1266</v>
      </c>
      <c r="L379">
        <v>1348</v>
      </c>
      <c r="N379">
        <v>1009</v>
      </c>
      <c r="O379" t="s">
        <v>114</v>
      </c>
      <c r="P379" t="s">
        <v>114</v>
      </c>
      <c r="Q379">
        <v>1000</v>
      </c>
      <c r="W379">
        <v>0</v>
      </c>
      <c r="X379">
        <v>-162804234</v>
      </c>
      <c r="Y379">
        <f t="shared" si="145"/>
        <v>0.01</v>
      </c>
      <c r="AA379">
        <v>69883.649999999994</v>
      </c>
      <c r="AB379">
        <v>0</v>
      </c>
      <c r="AC379">
        <v>0</v>
      </c>
      <c r="AD379">
        <v>0</v>
      </c>
      <c r="AE379">
        <v>69883.649999999994</v>
      </c>
      <c r="AF379">
        <v>0</v>
      </c>
      <c r="AG379">
        <v>0</v>
      </c>
      <c r="AH379">
        <v>0</v>
      </c>
      <c r="AI379">
        <v>1</v>
      </c>
      <c r="AJ379">
        <v>1</v>
      </c>
      <c r="AK379">
        <v>1</v>
      </c>
      <c r="AL379">
        <v>1</v>
      </c>
      <c r="AN379">
        <v>0</v>
      </c>
      <c r="AO379">
        <v>1</v>
      </c>
      <c r="AP379">
        <v>0</v>
      </c>
      <c r="AQ379">
        <v>0</v>
      </c>
      <c r="AR379">
        <v>0</v>
      </c>
      <c r="AS379" t="s">
        <v>3</v>
      </c>
      <c r="AT379">
        <v>0.01</v>
      </c>
      <c r="AU379" t="s">
        <v>3</v>
      </c>
      <c r="AV379">
        <v>0</v>
      </c>
      <c r="AW379">
        <v>2</v>
      </c>
      <c r="AX379">
        <v>129763628</v>
      </c>
      <c r="AY379">
        <v>1</v>
      </c>
      <c r="AZ379">
        <v>0</v>
      </c>
      <c r="BA379">
        <v>382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X379">
        <f>ROUND(Y379*Source!I327,9)</f>
        <v>6.9999999999999999E-4</v>
      </c>
      <c r="CY379">
        <f t="shared" si="146"/>
        <v>69883.649999999994</v>
      </c>
      <c r="CZ379">
        <f t="shared" si="147"/>
        <v>69883.649999999994</v>
      </c>
      <c r="DA379">
        <f t="shared" si="148"/>
        <v>1</v>
      </c>
      <c r="DB379">
        <f t="shared" si="149"/>
        <v>698.84</v>
      </c>
      <c r="DC379">
        <f t="shared" si="150"/>
        <v>0</v>
      </c>
      <c r="DD379" t="s">
        <v>3</v>
      </c>
      <c r="DE379" t="s">
        <v>3</v>
      </c>
      <c r="DF379">
        <f t="shared" si="144"/>
        <v>48.92</v>
      </c>
      <c r="DG379">
        <f t="shared" si="142"/>
        <v>0</v>
      </c>
      <c r="DH379">
        <f t="shared" si="143"/>
        <v>0</v>
      </c>
      <c r="DI379">
        <f t="shared" si="121"/>
        <v>0</v>
      </c>
      <c r="DJ379">
        <f t="shared" si="151"/>
        <v>48.92</v>
      </c>
      <c r="DK379">
        <v>0</v>
      </c>
    </row>
    <row r="380" spans="1:115" x14ac:dyDescent="0.2">
      <c r="A380">
        <f>ROW(Source!A327)</f>
        <v>327</v>
      </c>
      <c r="B380">
        <v>129761636</v>
      </c>
      <c r="C380">
        <v>129763613</v>
      </c>
      <c r="D380">
        <v>37412156</v>
      </c>
      <c r="E380">
        <v>1</v>
      </c>
      <c r="F380">
        <v>1</v>
      </c>
      <c r="G380">
        <v>37345137</v>
      </c>
      <c r="H380">
        <v>3</v>
      </c>
      <c r="I380" t="s">
        <v>409</v>
      </c>
      <c r="J380" t="s">
        <v>411</v>
      </c>
      <c r="K380" t="s">
        <v>410</v>
      </c>
      <c r="L380">
        <v>1348</v>
      </c>
      <c r="N380">
        <v>1009</v>
      </c>
      <c r="O380" t="s">
        <v>114</v>
      </c>
      <c r="P380" t="s">
        <v>114</v>
      </c>
      <c r="Q380">
        <v>1000</v>
      </c>
      <c r="W380">
        <v>0</v>
      </c>
      <c r="X380">
        <v>1192135998</v>
      </c>
      <c r="Y380">
        <f t="shared" si="145"/>
        <v>0.47</v>
      </c>
      <c r="AA380">
        <v>1424.67</v>
      </c>
      <c r="AB380">
        <v>0</v>
      </c>
      <c r="AC380">
        <v>0</v>
      </c>
      <c r="AD380">
        <v>0</v>
      </c>
      <c r="AE380">
        <v>1424.67</v>
      </c>
      <c r="AF380">
        <v>0</v>
      </c>
      <c r="AG380">
        <v>0</v>
      </c>
      <c r="AH380">
        <v>0</v>
      </c>
      <c r="AI380">
        <v>1</v>
      </c>
      <c r="AJ380">
        <v>1</v>
      </c>
      <c r="AK380">
        <v>1</v>
      </c>
      <c r="AL380">
        <v>1</v>
      </c>
      <c r="AN380">
        <v>0</v>
      </c>
      <c r="AO380">
        <v>0</v>
      </c>
      <c r="AP380">
        <v>0</v>
      </c>
      <c r="AQ380">
        <v>0</v>
      </c>
      <c r="AR380">
        <v>0</v>
      </c>
      <c r="AS380" t="s">
        <v>3</v>
      </c>
      <c r="AT380">
        <v>0.47</v>
      </c>
      <c r="AU380" t="s">
        <v>3</v>
      </c>
      <c r="AV380">
        <v>0</v>
      </c>
      <c r="AW380">
        <v>1</v>
      </c>
      <c r="AX380">
        <v>-1</v>
      </c>
      <c r="AY380">
        <v>0</v>
      </c>
      <c r="AZ380">
        <v>0</v>
      </c>
      <c r="BA380" t="s">
        <v>3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X380">
        <f>ROUND(Y380*Source!I327,9)</f>
        <v>3.2899999999999999E-2</v>
      </c>
      <c r="CY380">
        <f t="shared" si="146"/>
        <v>1424.67</v>
      </c>
      <c r="CZ380">
        <f t="shared" si="147"/>
        <v>1424.67</v>
      </c>
      <c r="DA380">
        <f t="shared" si="148"/>
        <v>1</v>
      </c>
      <c r="DB380">
        <f t="shared" si="149"/>
        <v>669.59</v>
      </c>
      <c r="DC380">
        <f t="shared" si="150"/>
        <v>0</v>
      </c>
      <c r="DD380" t="s">
        <v>3</v>
      </c>
      <c r="DE380" t="s">
        <v>3</v>
      </c>
      <c r="DF380">
        <f t="shared" si="144"/>
        <v>46.87</v>
      </c>
      <c r="DG380">
        <f t="shared" si="142"/>
        <v>0</v>
      </c>
      <c r="DH380">
        <f t="shared" si="143"/>
        <v>0</v>
      </c>
      <c r="DI380">
        <f t="shared" si="121"/>
        <v>0</v>
      </c>
      <c r="DJ380">
        <f t="shared" si="151"/>
        <v>46.87</v>
      </c>
      <c r="DK380">
        <v>0</v>
      </c>
    </row>
    <row r="381" spans="1:115" x14ac:dyDescent="0.2">
      <c r="A381">
        <f>ROW(Source!A327)</f>
        <v>327</v>
      </c>
      <c r="B381">
        <v>129761636</v>
      </c>
      <c r="C381">
        <v>129763613</v>
      </c>
      <c r="D381">
        <v>37412158</v>
      </c>
      <c r="E381">
        <v>1</v>
      </c>
      <c r="F381">
        <v>1</v>
      </c>
      <c r="G381">
        <v>37345137</v>
      </c>
      <c r="H381">
        <v>3</v>
      </c>
      <c r="I381" t="s">
        <v>405</v>
      </c>
      <c r="J381" t="s">
        <v>407</v>
      </c>
      <c r="K381" t="s">
        <v>406</v>
      </c>
      <c r="L381">
        <v>1348</v>
      </c>
      <c r="N381">
        <v>1009</v>
      </c>
      <c r="O381" t="s">
        <v>114</v>
      </c>
      <c r="P381" t="s">
        <v>114</v>
      </c>
      <c r="Q381">
        <v>1000</v>
      </c>
      <c r="W381">
        <v>0</v>
      </c>
      <c r="X381">
        <v>1389983172</v>
      </c>
      <c r="Y381">
        <f t="shared" si="145"/>
        <v>0.1</v>
      </c>
      <c r="AA381">
        <v>27362.67</v>
      </c>
      <c r="AB381">
        <v>0</v>
      </c>
      <c r="AC381">
        <v>0</v>
      </c>
      <c r="AD381">
        <v>0</v>
      </c>
      <c r="AE381">
        <v>27362.67</v>
      </c>
      <c r="AF381">
        <v>0</v>
      </c>
      <c r="AG381">
        <v>0</v>
      </c>
      <c r="AH381">
        <v>0</v>
      </c>
      <c r="AI381">
        <v>1</v>
      </c>
      <c r="AJ381">
        <v>1</v>
      </c>
      <c r="AK381">
        <v>1</v>
      </c>
      <c r="AL381">
        <v>1</v>
      </c>
      <c r="AN381">
        <v>0</v>
      </c>
      <c r="AO381">
        <v>0</v>
      </c>
      <c r="AP381">
        <v>0</v>
      </c>
      <c r="AQ381">
        <v>0</v>
      </c>
      <c r="AR381">
        <v>0</v>
      </c>
      <c r="AS381" t="s">
        <v>3</v>
      </c>
      <c r="AT381">
        <v>0.1</v>
      </c>
      <c r="AU381" t="s">
        <v>3</v>
      </c>
      <c r="AV381">
        <v>0</v>
      </c>
      <c r="AW381">
        <v>1</v>
      </c>
      <c r="AX381">
        <v>-1</v>
      </c>
      <c r="AY381">
        <v>0</v>
      </c>
      <c r="AZ381">
        <v>0</v>
      </c>
      <c r="BA381" t="s">
        <v>3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X381">
        <f>ROUND(Y381*Source!I327,9)</f>
        <v>7.0000000000000001E-3</v>
      </c>
      <c r="CY381">
        <f t="shared" si="146"/>
        <v>27362.67</v>
      </c>
      <c r="CZ381">
        <f t="shared" si="147"/>
        <v>27362.67</v>
      </c>
      <c r="DA381">
        <f t="shared" si="148"/>
        <v>1</v>
      </c>
      <c r="DB381">
        <f t="shared" si="149"/>
        <v>2736.27</v>
      </c>
      <c r="DC381">
        <f t="shared" si="150"/>
        <v>0</v>
      </c>
      <c r="DD381" t="s">
        <v>3</v>
      </c>
      <c r="DE381" t="s">
        <v>3</v>
      </c>
      <c r="DF381">
        <f t="shared" si="144"/>
        <v>191.54</v>
      </c>
      <c r="DG381">
        <f t="shared" si="142"/>
        <v>0</v>
      </c>
      <c r="DH381">
        <f t="shared" si="143"/>
        <v>0</v>
      </c>
      <c r="DI381">
        <f t="shared" si="121"/>
        <v>0</v>
      </c>
      <c r="DJ381">
        <f t="shared" si="151"/>
        <v>191.54</v>
      </c>
      <c r="DK381">
        <v>0</v>
      </c>
    </row>
    <row r="382" spans="1:115" x14ac:dyDescent="0.2">
      <c r="A382">
        <f>ROW(Source!A327)</f>
        <v>327</v>
      </c>
      <c r="B382">
        <v>129761636</v>
      </c>
      <c r="C382">
        <v>129763613</v>
      </c>
      <c r="D382">
        <v>0</v>
      </c>
      <c r="E382">
        <v>37345137</v>
      </c>
      <c r="F382">
        <v>1</v>
      </c>
      <c r="G382">
        <v>37345137</v>
      </c>
      <c r="H382">
        <v>3</v>
      </c>
      <c r="I382" t="s">
        <v>248</v>
      </c>
      <c r="J382" t="s">
        <v>3</v>
      </c>
      <c r="K382" t="s">
        <v>413</v>
      </c>
      <c r="L382">
        <v>1327</v>
      </c>
      <c r="N382">
        <v>1005</v>
      </c>
      <c r="O382" t="s">
        <v>258</v>
      </c>
      <c r="P382" t="s">
        <v>258</v>
      </c>
      <c r="Q382">
        <v>1</v>
      </c>
      <c r="W382">
        <v>0</v>
      </c>
      <c r="X382">
        <v>1228675506</v>
      </c>
      <c r="Y382">
        <f t="shared" si="145"/>
        <v>102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1</v>
      </c>
      <c r="AJ382">
        <v>1</v>
      </c>
      <c r="AK382">
        <v>1</v>
      </c>
      <c r="AL382">
        <v>1</v>
      </c>
      <c r="AN382">
        <v>0</v>
      </c>
      <c r="AO382">
        <v>0</v>
      </c>
      <c r="AP382">
        <v>0</v>
      </c>
      <c r="AQ382">
        <v>0</v>
      </c>
      <c r="AR382">
        <v>0</v>
      </c>
      <c r="AS382" t="s">
        <v>3</v>
      </c>
      <c r="AT382">
        <v>102</v>
      </c>
      <c r="AU382" t="s">
        <v>3</v>
      </c>
      <c r="AV382">
        <v>0</v>
      </c>
      <c r="AW382">
        <v>1</v>
      </c>
      <c r="AX382">
        <v>-1</v>
      </c>
      <c r="AY382">
        <v>0</v>
      </c>
      <c r="AZ382">
        <v>0</v>
      </c>
      <c r="BA382" t="s">
        <v>3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X382">
        <f>ROUND(Y382*Source!I327,9)</f>
        <v>7.14</v>
      </c>
      <c r="CY382">
        <f t="shared" si="146"/>
        <v>0</v>
      </c>
      <c r="CZ382">
        <f t="shared" si="147"/>
        <v>0</v>
      </c>
      <c r="DA382">
        <f t="shared" si="148"/>
        <v>1</v>
      </c>
      <c r="DB382">
        <f t="shared" si="149"/>
        <v>0</v>
      </c>
      <c r="DC382">
        <f t="shared" si="150"/>
        <v>0</v>
      </c>
      <c r="DD382" t="s">
        <v>3</v>
      </c>
      <c r="DE382" t="s">
        <v>3</v>
      </c>
      <c r="DF382">
        <f t="shared" si="144"/>
        <v>0</v>
      </c>
      <c r="DG382">
        <f t="shared" si="142"/>
        <v>0</v>
      </c>
      <c r="DH382">
        <f t="shared" si="143"/>
        <v>0</v>
      </c>
      <c r="DI382">
        <f t="shared" si="121"/>
        <v>0</v>
      </c>
      <c r="DJ382">
        <f t="shared" si="151"/>
        <v>0</v>
      </c>
      <c r="DK382">
        <v>0</v>
      </c>
    </row>
    <row r="383" spans="1:115" x14ac:dyDescent="0.2">
      <c r="A383">
        <f>ROW(Source!A328)</f>
        <v>328</v>
      </c>
      <c r="B383">
        <v>129761633</v>
      </c>
      <c r="C383">
        <v>129763613</v>
      </c>
      <c r="D383">
        <v>37345142</v>
      </c>
      <c r="E383">
        <v>37345137</v>
      </c>
      <c r="F383">
        <v>1</v>
      </c>
      <c r="G383">
        <v>37345137</v>
      </c>
      <c r="H383">
        <v>1</v>
      </c>
      <c r="I383" t="s">
        <v>1096</v>
      </c>
      <c r="J383" t="s">
        <v>3</v>
      </c>
      <c r="K383" t="s">
        <v>1097</v>
      </c>
      <c r="L383">
        <v>1191</v>
      </c>
      <c r="N383">
        <v>1013</v>
      </c>
      <c r="O383" t="s">
        <v>1098</v>
      </c>
      <c r="P383" t="s">
        <v>1098</v>
      </c>
      <c r="Q383">
        <v>1</v>
      </c>
      <c r="W383">
        <v>0</v>
      </c>
      <c r="X383">
        <v>476480486</v>
      </c>
      <c r="Y383">
        <f>(AT383*1.15)</f>
        <v>96.691999999999993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1</v>
      </c>
      <c r="AJ383">
        <v>1</v>
      </c>
      <c r="AK383">
        <v>1</v>
      </c>
      <c r="AL383">
        <v>1</v>
      </c>
      <c r="AN383">
        <v>0</v>
      </c>
      <c r="AO383">
        <v>1</v>
      </c>
      <c r="AP383">
        <v>1</v>
      </c>
      <c r="AQ383">
        <v>0</v>
      </c>
      <c r="AR383">
        <v>0</v>
      </c>
      <c r="AS383" t="s">
        <v>3</v>
      </c>
      <c r="AT383">
        <v>84.08</v>
      </c>
      <c r="AU383" t="s">
        <v>87</v>
      </c>
      <c r="AV383">
        <v>1</v>
      </c>
      <c r="AW383">
        <v>2</v>
      </c>
      <c r="AX383">
        <v>129763623</v>
      </c>
      <c r="AY383">
        <v>1</v>
      </c>
      <c r="AZ383">
        <v>0</v>
      </c>
      <c r="BA383">
        <v>386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X383">
        <f>ROUND(Y383*Source!I328,9)</f>
        <v>6.76844</v>
      </c>
      <c r="CY383">
        <f>AD383</f>
        <v>0</v>
      </c>
      <c r="CZ383">
        <f>AH383</f>
        <v>0</v>
      </c>
      <c r="DA383">
        <f>AL383</f>
        <v>1</v>
      </c>
      <c r="DB383">
        <f>ROUND((ROUND(AT383*CZ383,2)*1.15),6)</f>
        <v>0</v>
      </c>
      <c r="DC383">
        <f>ROUND((ROUND(AT383*AG383,2)*1.15),6)</f>
        <v>0</v>
      </c>
      <c r="DD383" t="s">
        <v>3</v>
      </c>
      <c r="DE383" t="s">
        <v>3</v>
      </c>
      <c r="DF383">
        <f t="shared" si="144"/>
        <v>0</v>
      </c>
      <c r="DG383">
        <f t="shared" si="142"/>
        <v>0</v>
      </c>
      <c r="DH383">
        <f t="shared" si="143"/>
        <v>0</v>
      </c>
      <c r="DI383">
        <f t="shared" si="121"/>
        <v>0</v>
      </c>
      <c r="DJ383">
        <f>DI383</f>
        <v>0</v>
      </c>
      <c r="DK383">
        <v>0</v>
      </c>
    </row>
    <row r="384" spans="1:115" x14ac:dyDescent="0.2">
      <c r="A384">
        <f>ROW(Source!A328)</f>
        <v>328</v>
      </c>
      <c r="B384">
        <v>129761633</v>
      </c>
      <c r="C384">
        <v>129763613</v>
      </c>
      <c r="D384">
        <v>37418479</v>
      </c>
      <c r="E384">
        <v>1</v>
      </c>
      <c r="F384">
        <v>1</v>
      </c>
      <c r="G384">
        <v>37345137</v>
      </c>
      <c r="H384">
        <v>2</v>
      </c>
      <c r="I384" t="s">
        <v>1183</v>
      </c>
      <c r="J384" t="s">
        <v>1184</v>
      </c>
      <c r="K384" t="s">
        <v>1185</v>
      </c>
      <c r="L384">
        <v>1367</v>
      </c>
      <c r="N384">
        <v>1011</v>
      </c>
      <c r="O384" t="s">
        <v>1102</v>
      </c>
      <c r="P384" t="s">
        <v>1102</v>
      </c>
      <c r="Q384">
        <v>1</v>
      </c>
      <c r="W384">
        <v>0</v>
      </c>
      <c r="X384">
        <v>950854334</v>
      </c>
      <c r="Y384">
        <f>(AT384*1.25)</f>
        <v>33.862499999999997</v>
      </c>
      <c r="AA384">
        <v>0</v>
      </c>
      <c r="AB384">
        <v>2.4700000000000002</v>
      </c>
      <c r="AC384">
        <v>0.1</v>
      </c>
      <c r="AD384">
        <v>0</v>
      </c>
      <c r="AE384">
        <v>0</v>
      </c>
      <c r="AF384">
        <v>2.36</v>
      </c>
      <c r="AG384">
        <v>0.1</v>
      </c>
      <c r="AH384">
        <v>0</v>
      </c>
      <c r="AI384">
        <v>1</v>
      </c>
      <c r="AJ384">
        <v>1</v>
      </c>
      <c r="AK384">
        <v>1</v>
      </c>
      <c r="AL384">
        <v>1</v>
      </c>
      <c r="AN384">
        <v>0</v>
      </c>
      <c r="AO384">
        <v>1</v>
      </c>
      <c r="AP384">
        <v>1</v>
      </c>
      <c r="AQ384">
        <v>0</v>
      </c>
      <c r="AR384">
        <v>0</v>
      </c>
      <c r="AS384" t="s">
        <v>3</v>
      </c>
      <c r="AT384">
        <v>27.09</v>
      </c>
      <c r="AU384" t="s">
        <v>86</v>
      </c>
      <c r="AV384">
        <v>0</v>
      </c>
      <c r="AW384">
        <v>2</v>
      </c>
      <c r="AX384">
        <v>129763624</v>
      </c>
      <c r="AY384">
        <v>1</v>
      </c>
      <c r="AZ384">
        <v>0</v>
      </c>
      <c r="BA384">
        <v>387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X384">
        <f>ROUND(Y384*Source!I328,9)</f>
        <v>2.3703750000000001</v>
      </c>
      <c r="CY384">
        <f>AB384</f>
        <v>2.4700000000000002</v>
      </c>
      <c r="CZ384">
        <f>AF384</f>
        <v>2.36</v>
      </c>
      <c r="DA384">
        <f>AJ384</f>
        <v>1</v>
      </c>
      <c r="DB384">
        <f>ROUND((ROUND(AT384*CZ384,2)*1.25),6)</f>
        <v>79.912499999999994</v>
      </c>
      <c r="DC384">
        <f>ROUND((ROUND(AT384*AG384,2)*1.25),6)</f>
        <v>3.3875000000000002</v>
      </c>
      <c r="DD384" t="s">
        <v>3</v>
      </c>
      <c r="DE384" t="s">
        <v>3</v>
      </c>
      <c r="DF384">
        <f t="shared" si="144"/>
        <v>0</v>
      </c>
      <c r="DG384">
        <f t="shared" si="142"/>
        <v>5.59</v>
      </c>
      <c r="DH384">
        <f t="shared" si="143"/>
        <v>0.24</v>
      </c>
      <c r="DI384">
        <f t="shared" si="121"/>
        <v>0</v>
      </c>
      <c r="DJ384">
        <f>DG384</f>
        <v>5.59</v>
      </c>
      <c r="DK384">
        <v>0</v>
      </c>
    </row>
    <row r="385" spans="1:115" x14ac:dyDescent="0.2">
      <c r="A385">
        <f>ROW(Source!A328)</f>
        <v>328</v>
      </c>
      <c r="B385">
        <v>129761633</v>
      </c>
      <c r="C385">
        <v>129763613</v>
      </c>
      <c r="D385">
        <v>37418541</v>
      </c>
      <c r="E385">
        <v>1</v>
      </c>
      <c r="F385">
        <v>1</v>
      </c>
      <c r="G385">
        <v>37345137</v>
      </c>
      <c r="H385">
        <v>2</v>
      </c>
      <c r="I385" t="s">
        <v>1261</v>
      </c>
      <c r="J385" t="s">
        <v>1262</v>
      </c>
      <c r="K385" t="s">
        <v>1263</v>
      </c>
      <c r="L385">
        <v>1367</v>
      </c>
      <c r="N385">
        <v>1011</v>
      </c>
      <c r="O385" t="s">
        <v>1102</v>
      </c>
      <c r="P385" t="s">
        <v>1102</v>
      </c>
      <c r="Q385">
        <v>1</v>
      </c>
      <c r="W385">
        <v>0</v>
      </c>
      <c r="X385">
        <v>-1931009994</v>
      </c>
      <c r="Y385">
        <f>(AT385*1.25)</f>
        <v>0.38750000000000001</v>
      </c>
      <c r="AA385">
        <v>0</v>
      </c>
      <c r="AB385">
        <v>33.35</v>
      </c>
      <c r="AC385">
        <v>15.59</v>
      </c>
      <c r="AD385">
        <v>0</v>
      </c>
      <c r="AE385">
        <v>0</v>
      </c>
      <c r="AF385">
        <v>31.85</v>
      </c>
      <c r="AG385">
        <v>14.89</v>
      </c>
      <c r="AH385">
        <v>0</v>
      </c>
      <c r="AI385">
        <v>1</v>
      </c>
      <c r="AJ385">
        <v>1</v>
      </c>
      <c r="AK385">
        <v>1</v>
      </c>
      <c r="AL385">
        <v>1</v>
      </c>
      <c r="AN385">
        <v>0</v>
      </c>
      <c r="AO385">
        <v>1</v>
      </c>
      <c r="AP385">
        <v>1</v>
      </c>
      <c r="AQ385">
        <v>0</v>
      </c>
      <c r="AR385">
        <v>0</v>
      </c>
      <c r="AS385" t="s">
        <v>3</v>
      </c>
      <c r="AT385">
        <v>0.31</v>
      </c>
      <c r="AU385" t="s">
        <v>86</v>
      </c>
      <c r="AV385">
        <v>0</v>
      </c>
      <c r="AW385">
        <v>2</v>
      </c>
      <c r="AX385">
        <v>129763625</v>
      </c>
      <c r="AY385">
        <v>1</v>
      </c>
      <c r="AZ385">
        <v>0</v>
      </c>
      <c r="BA385">
        <v>388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X385">
        <f>ROUND(Y385*Source!I328,9)</f>
        <v>2.7125E-2</v>
      </c>
      <c r="CY385">
        <f>AB385</f>
        <v>33.35</v>
      </c>
      <c r="CZ385">
        <f>AF385</f>
        <v>31.85</v>
      </c>
      <c r="DA385">
        <f>AJ385</f>
        <v>1</v>
      </c>
      <c r="DB385">
        <f>ROUND((ROUND(AT385*CZ385,2)*1.25),6)</f>
        <v>12.3375</v>
      </c>
      <c r="DC385">
        <f>ROUND((ROUND(AT385*AG385,2)*1.25),6)</f>
        <v>5.7750000000000004</v>
      </c>
      <c r="DD385" t="s">
        <v>3</v>
      </c>
      <c r="DE385" t="s">
        <v>3</v>
      </c>
      <c r="DF385">
        <f t="shared" si="144"/>
        <v>0</v>
      </c>
      <c r="DG385">
        <f t="shared" si="142"/>
        <v>0.86</v>
      </c>
      <c r="DH385">
        <f t="shared" si="143"/>
        <v>0.4</v>
      </c>
      <c r="DI385">
        <f t="shared" ref="DI385:DI448" si="152">ROUND(AH385*CX385,2)</f>
        <v>0</v>
      </c>
      <c r="DJ385">
        <f>DG385</f>
        <v>0.86</v>
      </c>
      <c r="DK385">
        <v>0</v>
      </c>
    </row>
    <row r="386" spans="1:115" x14ac:dyDescent="0.2">
      <c r="A386">
        <f>ROW(Source!A328)</f>
        <v>328</v>
      </c>
      <c r="B386">
        <v>129761633</v>
      </c>
      <c r="C386">
        <v>129763613</v>
      </c>
      <c r="D386">
        <v>37345890</v>
      </c>
      <c r="E386">
        <v>37345137</v>
      </c>
      <c r="F386">
        <v>1</v>
      </c>
      <c r="G386">
        <v>37345137</v>
      </c>
      <c r="H386">
        <v>2</v>
      </c>
      <c r="I386" t="s">
        <v>1145</v>
      </c>
      <c r="J386" t="s">
        <v>3</v>
      </c>
      <c r="K386" t="s">
        <v>1146</v>
      </c>
      <c r="L386">
        <v>1344</v>
      </c>
      <c r="N386">
        <v>1008</v>
      </c>
      <c r="O386" t="s">
        <v>1138</v>
      </c>
      <c r="P386" t="s">
        <v>1138</v>
      </c>
      <c r="Q386">
        <v>1</v>
      </c>
      <c r="W386">
        <v>0</v>
      </c>
      <c r="X386">
        <v>-1180195794</v>
      </c>
      <c r="Y386">
        <f>(AT386*1.25)</f>
        <v>32.450000000000003</v>
      </c>
      <c r="AA386">
        <v>0</v>
      </c>
      <c r="AB386">
        <v>1.05</v>
      </c>
      <c r="AC386">
        <v>0</v>
      </c>
      <c r="AD386">
        <v>0</v>
      </c>
      <c r="AE386">
        <v>0</v>
      </c>
      <c r="AF386">
        <v>1</v>
      </c>
      <c r="AG386">
        <v>0</v>
      </c>
      <c r="AH386">
        <v>0</v>
      </c>
      <c r="AI386">
        <v>1</v>
      </c>
      <c r="AJ386">
        <v>1</v>
      </c>
      <c r="AK386">
        <v>1</v>
      </c>
      <c r="AL386">
        <v>1</v>
      </c>
      <c r="AN386">
        <v>0</v>
      </c>
      <c r="AO386">
        <v>1</v>
      </c>
      <c r="AP386">
        <v>1</v>
      </c>
      <c r="AQ386">
        <v>0</v>
      </c>
      <c r="AR386">
        <v>0</v>
      </c>
      <c r="AS386" t="s">
        <v>3</v>
      </c>
      <c r="AT386">
        <v>25.96</v>
      </c>
      <c r="AU386" t="s">
        <v>86</v>
      </c>
      <c r="AV386">
        <v>0</v>
      </c>
      <c r="AW386">
        <v>2</v>
      </c>
      <c r="AX386">
        <v>129763626</v>
      </c>
      <c r="AY386">
        <v>1</v>
      </c>
      <c r="AZ386">
        <v>0</v>
      </c>
      <c r="BA386">
        <v>389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X386">
        <f>ROUND(Y386*Source!I328,9)</f>
        <v>2.2715000000000001</v>
      </c>
      <c r="CY386">
        <f>AB386</f>
        <v>1.05</v>
      </c>
      <c r="CZ386">
        <f>AF386</f>
        <v>1</v>
      </c>
      <c r="DA386">
        <f>AJ386</f>
        <v>1</v>
      </c>
      <c r="DB386">
        <f>ROUND((ROUND(AT386*CZ386,2)*1.25),6)</f>
        <v>32.450000000000003</v>
      </c>
      <c r="DC386">
        <f>ROUND((ROUND(AT386*AG386,2)*1.25),6)</f>
        <v>0</v>
      </c>
      <c r="DD386" t="s">
        <v>3</v>
      </c>
      <c r="DE386" t="s">
        <v>3</v>
      </c>
      <c r="DF386">
        <f t="shared" si="144"/>
        <v>0</v>
      </c>
      <c r="DG386">
        <f t="shared" si="142"/>
        <v>2.27</v>
      </c>
      <c r="DH386">
        <f t="shared" si="143"/>
        <v>0</v>
      </c>
      <c r="DI386">
        <f t="shared" si="152"/>
        <v>0</v>
      </c>
      <c r="DJ386">
        <f>DG386</f>
        <v>2.27</v>
      </c>
      <c r="DK386">
        <v>0</v>
      </c>
    </row>
    <row r="387" spans="1:115" x14ac:dyDescent="0.2">
      <c r="A387">
        <f>ROW(Source!A328)</f>
        <v>328</v>
      </c>
      <c r="B387">
        <v>129761633</v>
      </c>
      <c r="C387">
        <v>129763613</v>
      </c>
      <c r="D387">
        <v>37393552</v>
      </c>
      <c r="E387">
        <v>1</v>
      </c>
      <c r="F387">
        <v>1</v>
      </c>
      <c r="G387">
        <v>37345137</v>
      </c>
      <c r="H387">
        <v>3</v>
      </c>
      <c r="I387" t="s">
        <v>348</v>
      </c>
      <c r="J387" t="s">
        <v>350</v>
      </c>
      <c r="K387" t="s">
        <v>349</v>
      </c>
      <c r="L387">
        <v>1339</v>
      </c>
      <c r="N387">
        <v>1007</v>
      </c>
      <c r="O387" t="s">
        <v>94</v>
      </c>
      <c r="P387" t="s">
        <v>94</v>
      </c>
      <c r="Q387">
        <v>1</v>
      </c>
      <c r="W387">
        <v>0</v>
      </c>
      <c r="X387">
        <v>-862991314</v>
      </c>
      <c r="Y387">
        <f t="shared" ref="Y387:Y418" si="153">AT387</f>
        <v>0.13300000000000001</v>
      </c>
      <c r="AA387">
        <v>42.42</v>
      </c>
      <c r="AB387">
        <v>0</v>
      </c>
      <c r="AC387">
        <v>0</v>
      </c>
      <c r="AD387">
        <v>0</v>
      </c>
      <c r="AE387">
        <v>7.07</v>
      </c>
      <c r="AF387">
        <v>0</v>
      </c>
      <c r="AG387">
        <v>0</v>
      </c>
      <c r="AH387">
        <v>0</v>
      </c>
      <c r="AI387">
        <v>6</v>
      </c>
      <c r="AJ387">
        <v>1</v>
      </c>
      <c r="AK387">
        <v>1</v>
      </c>
      <c r="AL387">
        <v>1</v>
      </c>
      <c r="AN387">
        <v>0</v>
      </c>
      <c r="AO387">
        <v>1</v>
      </c>
      <c r="AP387">
        <v>0</v>
      </c>
      <c r="AQ387">
        <v>0</v>
      </c>
      <c r="AR387">
        <v>0</v>
      </c>
      <c r="AS387" t="s">
        <v>3</v>
      </c>
      <c r="AT387">
        <v>0.13300000000000001</v>
      </c>
      <c r="AU387" t="s">
        <v>3</v>
      </c>
      <c r="AV387">
        <v>0</v>
      </c>
      <c r="AW387">
        <v>2</v>
      </c>
      <c r="AX387">
        <v>129763627</v>
      </c>
      <c r="AY387">
        <v>1</v>
      </c>
      <c r="AZ387">
        <v>0</v>
      </c>
      <c r="BA387">
        <v>390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X387">
        <f>ROUND(Y387*Source!I328,9)</f>
        <v>9.3100000000000006E-3</v>
      </c>
      <c r="CY387">
        <f t="shared" ref="CY387:CY392" si="154">AA387</f>
        <v>42.42</v>
      </c>
      <c r="CZ387">
        <f t="shared" ref="CZ387:CZ392" si="155">AE387</f>
        <v>7.07</v>
      </c>
      <c r="DA387">
        <f t="shared" ref="DA387:DA392" si="156">AI387</f>
        <v>6</v>
      </c>
      <c r="DB387">
        <f t="shared" ref="DB387:DB418" si="157">ROUND(ROUND(AT387*CZ387,2),6)</f>
        <v>0.94</v>
      </c>
      <c r="DC387">
        <f t="shared" ref="DC387:DC418" si="158">ROUND(ROUND(AT387*AG387,2),6)</f>
        <v>0</v>
      </c>
      <c r="DD387" t="s">
        <v>3</v>
      </c>
      <c r="DE387" t="s">
        <v>3</v>
      </c>
      <c r="DF387">
        <f t="shared" ref="DF387:DF392" si="159">ROUND(ROUND(AE387*CX387,2)*AI387,2)</f>
        <v>0.42</v>
      </c>
      <c r="DG387">
        <f t="shared" si="142"/>
        <v>0</v>
      </c>
      <c r="DH387">
        <f t="shared" si="143"/>
        <v>0</v>
      </c>
      <c r="DI387">
        <f t="shared" si="152"/>
        <v>0</v>
      </c>
      <c r="DJ387">
        <f t="shared" ref="DJ387:DJ392" si="160">DF387</f>
        <v>0.42</v>
      </c>
      <c r="DK387">
        <v>0</v>
      </c>
    </row>
    <row r="388" spans="1:115" x14ac:dyDescent="0.2">
      <c r="A388">
        <f>ROW(Source!A328)</f>
        <v>328</v>
      </c>
      <c r="B388">
        <v>129761633</v>
      </c>
      <c r="C388">
        <v>129763613</v>
      </c>
      <c r="D388">
        <v>37395603</v>
      </c>
      <c r="E388">
        <v>1</v>
      </c>
      <c r="F388">
        <v>1</v>
      </c>
      <c r="G388">
        <v>37345137</v>
      </c>
      <c r="H388">
        <v>3</v>
      </c>
      <c r="I388" t="s">
        <v>416</v>
      </c>
      <c r="J388" t="s">
        <v>451</v>
      </c>
      <c r="K388" t="s">
        <v>450</v>
      </c>
      <c r="L388">
        <v>1327</v>
      </c>
      <c r="N388">
        <v>1005</v>
      </c>
      <c r="O388" t="s">
        <v>258</v>
      </c>
      <c r="P388" t="s">
        <v>258</v>
      </c>
      <c r="Q388">
        <v>1</v>
      </c>
      <c r="W388">
        <v>0</v>
      </c>
      <c r="X388">
        <v>1213652254</v>
      </c>
      <c r="Y388">
        <f t="shared" si="153"/>
        <v>0</v>
      </c>
      <c r="AA388">
        <v>690.15</v>
      </c>
      <c r="AB388">
        <v>0</v>
      </c>
      <c r="AC388">
        <v>0</v>
      </c>
      <c r="AD388">
        <v>0</v>
      </c>
      <c r="AE388">
        <v>92.02</v>
      </c>
      <c r="AF388">
        <v>0</v>
      </c>
      <c r="AG388">
        <v>0</v>
      </c>
      <c r="AH388">
        <v>0</v>
      </c>
      <c r="AI388">
        <v>7.5</v>
      </c>
      <c r="AJ388">
        <v>1</v>
      </c>
      <c r="AK388">
        <v>1</v>
      </c>
      <c r="AL388">
        <v>1</v>
      </c>
      <c r="AN388">
        <v>0</v>
      </c>
      <c r="AO388">
        <v>0</v>
      </c>
      <c r="AP388">
        <v>0</v>
      </c>
      <c r="AQ388">
        <v>0</v>
      </c>
      <c r="AR388">
        <v>0</v>
      </c>
      <c r="AS388" t="s">
        <v>3</v>
      </c>
      <c r="AT388">
        <v>0</v>
      </c>
      <c r="AU388" t="s">
        <v>3</v>
      </c>
      <c r="AV388">
        <v>0</v>
      </c>
      <c r="AW388">
        <v>1</v>
      </c>
      <c r="AX388">
        <v>-1</v>
      </c>
      <c r="AY388">
        <v>0</v>
      </c>
      <c r="AZ388">
        <v>0</v>
      </c>
      <c r="BA388" t="s">
        <v>3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X388">
        <f>ROUND(Y388*Source!I328,9)</f>
        <v>0</v>
      </c>
      <c r="CY388">
        <f t="shared" si="154"/>
        <v>690.15</v>
      </c>
      <c r="CZ388">
        <f t="shared" si="155"/>
        <v>92.02</v>
      </c>
      <c r="DA388">
        <f t="shared" si="156"/>
        <v>7.5</v>
      </c>
      <c r="DB388">
        <f t="shared" si="157"/>
        <v>0</v>
      </c>
      <c r="DC388">
        <f t="shared" si="158"/>
        <v>0</v>
      </c>
      <c r="DD388" t="s">
        <v>3</v>
      </c>
      <c r="DE388" t="s">
        <v>3</v>
      </c>
      <c r="DF388">
        <f t="shared" si="159"/>
        <v>0</v>
      </c>
      <c r="DG388">
        <f t="shared" si="142"/>
        <v>0</v>
      </c>
      <c r="DH388">
        <f t="shared" si="143"/>
        <v>0</v>
      </c>
      <c r="DI388">
        <f t="shared" si="152"/>
        <v>0</v>
      </c>
      <c r="DJ388">
        <f t="shared" si="160"/>
        <v>0</v>
      </c>
      <c r="DK388">
        <v>0</v>
      </c>
    </row>
    <row r="389" spans="1:115" x14ac:dyDescent="0.2">
      <c r="A389">
        <f>ROW(Source!A328)</f>
        <v>328</v>
      </c>
      <c r="B389">
        <v>129761633</v>
      </c>
      <c r="C389">
        <v>129763613</v>
      </c>
      <c r="D389">
        <v>37395665</v>
      </c>
      <c r="E389">
        <v>1</v>
      </c>
      <c r="F389">
        <v>1</v>
      </c>
      <c r="G389">
        <v>37345137</v>
      </c>
      <c r="H389">
        <v>3</v>
      </c>
      <c r="I389" t="s">
        <v>1264</v>
      </c>
      <c r="J389" t="s">
        <v>1265</v>
      </c>
      <c r="K389" t="s">
        <v>1266</v>
      </c>
      <c r="L389">
        <v>1348</v>
      </c>
      <c r="N389">
        <v>1009</v>
      </c>
      <c r="O389" t="s">
        <v>114</v>
      </c>
      <c r="P389" t="s">
        <v>114</v>
      </c>
      <c r="Q389">
        <v>1000</v>
      </c>
      <c r="W389">
        <v>0</v>
      </c>
      <c r="X389">
        <v>-162804234</v>
      </c>
      <c r="Y389">
        <f t="shared" si="153"/>
        <v>0.01</v>
      </c>
      <c r="AA389">
        <v>224326.52</v>
      </c>
      <c r="AB389">
        <v>0</v>
      </c>
      <c r="AC389">
        <v>0</v>
      </c>
      <c r="AD389">
        <v>0</v>
      </c>
      <c r="AE389">
        <v>69883.649999999994</v>
      </c>
      <c r="AF389">
        <v>0</v>
      </c>
      <c r="AG389">
        <v>0</v>
      </c>
      <c r="AH389">
        <v>0</v>
      </c>
      <c r="AI389">
        <v>3.21</v>
      </c>
      <c r="AJ389">
        <v>1</v>
      </c>
      <c r="AK389">
        <v>1</v>
      </c>
      <c r="AL389">
        <v>1</v>
      </c>
      <c r="AN389">
        <v>0</v>
      </c>
      <c r="AO389">
        <v>1</v>
      </c>
      <c r="AP389">
        <v>0</v>
      </c>
      <c r="AQ389">
        <v>0</v>
      </c>
      <c r="AR389">
        <v>0</v>
      </c>
      <c r="AS389" t="s">
        <v>3</v>
      </c>
      <c r="AT389">
        <v>0.01</v>
      </c>
      <c r="AU389" t="s">
        <v>3</v>
      </c>
      <c r="AV389">
        <v>0</v>
      </c>
      <c r="AW389">
        <v>2</v>
      </c>
      <c r="AX389">
        <v>129763628</v>
      </c>
      <c r="AY389">
        <v>1</v>
      </c>
      <c r="AZ389">
        <v>0</v>
      </c>
      <c r="BA389">
        <v>391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X389">
        <f>ROUND(Y389*Source!I328,9)</f>
        <v>6.9999999999999999E-4</v>
      </c>
      <c r="CY389">
        <f t="shared" si="154"/>
        <v>224326.52</v>
      </c>
      <c r="CZ389">
        <f t="shared" si="155"/>
        <v>69883.649999999994</v>
      </c>
      <c r="DA389">
        <f t="shared" si="156"/>
        <v>3.21</v>
      </c>
      <c r="DB389">
        <f t="shared" si="157"/>
        <v>698.84</v>
      </c>
      <c r="DC389">
        <f t="shared" si="158"/>
        <v>0</v>
      </c>
      <c r="DD389" t="s">
        <v>3</v>
      </c>
      <c r="DE389" t="s">
        <v>3</v>
      </c>
      <c r="DF389">
        <f t="shared" si="159"/>
        <v>157.03</v>
      </c>
      <c r="DG389">
        <f t="shared" si="142"/>
        <v>0</v>
      </c>
      <c r="DH389">
        <f t="shared" si="143"/>
        <v>0</v>
      </c>
      <c r="DI389">
        <f t="shared" si="152"/>
        <v>0</v>
      </c>
      <c r="DJ389">
        <f t="shared" si="160"/>
        <v>157.03</v>
      </c>
      <c r="DK389">
        <v>0</v>
      </c>
    </row>
    <row r="390" spans="1:115" x14ac:dyDescent="0.2">
      <c r="A390">
        <f>ROW(Source!A328)</f>
        <v>328</v>
      </c>
      <c r="B390">
        <v>129761633</v>
      </c>
      <c r="C390">
        <v>129763613</v>
      </c>
      <c r="D390">
        <v>37412156</v>
      </c>
      <c r="E390">
        <v>1</v>
      </c>
      <c r="F390">
        <v>1</v>
      </c>
      <c r="G390">
        <v>37345137</v>
      </c>
      <c r="H390">
        <v>3</v>
      </c>
      <c r="I390" t="s">
        <v>409</v>
      </c>
      <c r="J390" t="s">
        <v>411</v>
      </c>
      <c r="K390" t="s">
        <v>410</v>
      </c>
      <c r="L390">
        <v>1348</v>
      </c>
      <c r="N390">
        <v>1009</v>
      </c>
      <c r="O390" t="s">
        <v>114</v>
      </c>
      <c r="P390" t="s">
        <v>114</v>
      </c>
      <c r="Q390">
        <v>1000</v>
      </c>
      <c r="W390">
        <v>0</v>
      </c>
      <c r="X390">
        <v>1192135998</v>
      </c>
      <c r="Y390">
        <f t="shared" si="153"/>
        <v>0.47</v>
      </c>
      <c r="AA390">
        <v>27054.48</v>
      </c>
      <c r="AB390">
        <v>0</v>
      </c>
      <c r="AC390">
        <v>0</v>
      </c>
      <c r="AD390">
        <v>0</v>
      </c>
      <c r="AE390">
        <v>1424.67</v>
      </c>
      <c r="AF390">
        <v>0</v>
      </c>
      <c r="AG390">
        <v>0</v>
      </c>
      <c r="AH390">
        <v>0</v>
      </c>
      <c r="AI390">
        <v>18.989999999999998</v>
      </c>
      <c r="AJ390">
        <v>1</v>
      </c>
      <c r="AK390">
        <v>1</v>
      </c>
      <c r="AL390">
        <v>1</v>
      </c>
      <c r="AN390">
        <v>0</v>
      </c>
      <c r="AO390">
        <v>0</v>
      </c>
      <c r="AP390">
        <v>0</v>
      </c>
      <c r="AQ390">
        <v>0</v>
      </c>
      <c r="AR390">
        <v>0</v>
      </c>
      <c r="AS390" t="s">
        <v>3</v>
      </c>
      <c r="AT390">
        <v>0.47</v>
      </c>
      <c r="AU390" t="s">
        <v>3</v>
      </c>
      <c r="AV390">
        <v>0</v>
      </c>
      <c r="AW390">
        <v>1</v>
      </c>
      <c r="AX390">
        <v>-1</v>
      </c>
      <c r="AY390">
        <v>0</v>
      </c>
      <c r="AZ390">
        <v>0</v>
      </c>
      <c r="BA390" t="s">
        <v>3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X390">
        <f>ROUND(Y390*Source!I328,9)</f>
        <v>3.2899999999999999E-2</v>
      </c>
      <c r="CY390">
        <f t="shared" si="154"/>
        <v>27054.48</v>
      </c>
      <c r="CZ390">
        <f t="shared" si="155"/>
        <v>1424.67</v>
      </c>
      <c r="DA390">
        <f t="shared" si="156"/>
        <v>18.989999999999998</v>
      </c>
      <c r="DB390">
        <f t="shared" si="157"/>
        <v>669.59</v>
      </c>
      <c r="DC390">
        <f t="shared" si="158"/>
        <v>0</v>
      </c>
      <c r="DD390" t="s">
        <v>3</v>
      </c>
      <c r="DE390" t="s">
        <v>3</v>
      </c>
      <c r="DF390">
        <f t="shared" si="159"/>
        <v>890.06</v>
      </c>
      <c r="DG390">
        <f t="shared" si="142"/>
        <v>0</v>
      </c>
      <c r="DH390">
        <f t="shared" si="143"/>
        <v>0</v>
      </c>
      <c r="DI390">
        <f t="shared" si="152"/>
        <v>0</v>
      </c>
      <c r="DJ390">
        <f t="shared" si="160"/>
        <v>890.06</v>
      </c>
      <c r="DK390">
        <v>0</v>
      </c>
    </row>
    <row r="391" spans="1:115" x14ac:dyDescent="0.2">
      <c r="A391">
        <f>ROW(Source!A328)</f>
        <v>328</v>
      </c>
      <c r="B391">
        <v>129761633</v>
      </c>
      <c r="C391">
        <v>129763613</v>
      </c>
      <c r="D391">
        <v>37412158</v>
      </c>
      <c r="E391">
        <v>1</v>
      </c>
      <c r="F391">
        <v>1</v>
      </c>
      <c r="G391">
        <v>37345137</v>
      </c>
      <c r="H391">
        <v>3</v>
      </c>
      <c r="I391" t="s">
        <v>405</v>
      </c>
      <c r="J391" t="s">
        <v>407</v>
      </c>
      <c r="K391" t="s">
        <v>406</v>
      </c>
      <c r="L391">
        <v>1348</v>
      </c>
      <c r="N391">
        <v>1009</v>
      </c>
      <c r="O391" t="s">
        <v>114</v>
      </c>
      <c r="P391" t="s">
        <v>114</v>
      </c>
      <c r="Q391">
        <v>1000</v>
      </c>
      <c r="W391">
        <v>0</v>
      </c>
      <c r="X391">
        <v>1389983172</v>
      </c>
      <c r="Y391">
        <f t="shared" si="153"/>
        <v>0.1</v>
      </c>
      <c r="AA391">
        <v>63481.39</v>
      </c>
      <c r="AB391">
        <v>0</v>
      </c>
      <c r="AC391">
        <v>0</v>
      </c>
      <c r="AD391">
        <v>0</v>
      </c>
      <c r="AE391">
        <v>27362.67</v>
      </c>
      <c r="AF391">
        <v>0</v>
      </c>
      <c r="AG391">
        <v>0</v>
      </c>
      <c r="AH391">
        <v>0</v>
      </c>
      <c r="AI391">
        <v>2.3199999999999998</v>
      </c>
      <c r="AJ391">
        <v>1</v>
      </c>
      <c r="AK391">
        <v>1</v>
      </c>
      <c r="AL391">
        <v>1</v>
      </c>
      <c r="AN391">
        <v>0</v>
      </c>
      <c r="AO391">
        <v>0</v>
      </c>
      <c r="AP391">
        <v>0</v>
      </c>
      <c r="AQ391">
        <v>0</v>
      </c>
      <c r="AR391">
        <v>0</v>
      </c>
      <c r="AS391" t="s">
        <v>3</v>
      </c>
      <c r="AT391">
        <v>0.1</v>
      </c>
      <c r="AU391" t="s">
        <v>3</v>
      </c>
      <c r="AV391">
        <v>0</v>
      </c>
      <c r="AW391">
        <v>1</v>
      </c>
      <c r="AX391">
        <v>-1</v>
      </c>
      <c r="AY391">
        <v>0</v>
      </c>
      <c r="AZ391">
        <v>0</v>
      </c>
      <c r="BA391" t="s">
        <v>3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X391">
        <f>ROUND(Y391*Source!I328,9)</f>
        <v>7.0000000000000001E-3</v>
      </c>
      <c r="CY391">
        <f t="shared" si="154"/>
        <v>63481.39</v>
      </c>
      <c r="CZ391">
        <f t="shared" si="155"/>
        <v>27362.67</v>
      </c>
      <c r="DA391">
        <f t="shared" si="156"/>
        <v>2.3199999999999998</v>
      </c>
      <c r="DB391">
        <f t="shared" si="157"/>
        <v>2736.27</v>
      </c>
      <c r="DC391">
        <f t="shared" si="158"/>
        <v>0</v>
      </c>
      <c r="DD391" t="s">
        <v>3</v>
      </c>
      <c r="DE391" t="s">
        <v>3</v>
      </c>
      <c r="DF391">
        <f t="shared" si="159"/>
        <v>444.37</v>
      </c>
      <c r="DG391">
        <f t="shared" si="142"/>
        <v>0</v>
      </c>
      <c r="DH391">
        <f t="shared" si="143"/>
        <v>0</v>
      </c>
      <c r="DI391">
        <f t="shared" si="152"/>
        <v>0</v>
      </c>
      <c r="DJ391">
        <f t="shared" si="160"/>
        <v>444.37</v>
      </c>
      <c r="DK391">
        <v>0</v>
      </c>
    </row>
    <row r="392" spans="1:115" x14ac:dyDescent="0.2">
      <c r="A392">
        <f>ROW(Source!A328)</f>
        <v>328</v>
      </c>
      <c r="B392">
        <v>129761633</v>
      </c>
      <c r="C392">
        <v>129763613</v>
      </c>
      <c r="D392">
        <v>0</v>
      </c>
      <c r="E392">
        <v>37345137</v>
      </c>
      <c r="F392">
        <v>1</v>
      </c>
      <c r="G392">
        <v>37345137</v>
      </c>
      <c r="H392">
        <v>3</v>
      </c>
      <c r="I392" t="s">
        <v>248</v>
      </c>
      <c r="J392" t="s">
        <v>3</v>
      </c>
      <c r="K392" t="s">
        <v>413</v>
      </c>
      <c r="L392">
        <v>1327</v>
      </c>
      <c r="N392">
        <v>1005</v>
      </c>
      <c r="O392" t="s">
        <v>258</v>
      </c>
      <c r="P392" t="s">
        <v>258</v>
      </c>
      <c r="Q392">
        <v>1</v>
      </c>
      <c r="W392">
        <v>0</v>
      </c>
      <c r="X392">
        <v>1228675506</v>
      </c>
      <c r="Y392">
        <f t="shared" si="153"/>
        <v>102</v>
      </c>
      <c r="AA392">
        <v>1241.02</v>
      </c>
      <c r="AB392">
        <v>0</v>
      </c>
      <c r="AC392">
        <v>0</v>
      </c>
      <c r="AD392">
        <v>0</v>
      </c>
      <c r="AE392">
        <v>143.47</v>
      </c>
      <c r="AF392">
        <v>0</v>
      </c>
      <c r="AG392">
        <v>0</v>
      </c>
      <c r="AH392">
        <v>0</v>
      </c>
      <c r="AI392">
        <v>8.65</v>
      </c>
      <c r="AJ392">
        <v>1</v>
      </c>
      <c r="AK392">
        <v>1</v>
      </c>
      <c r="AL392">
        <v>1</v>
      </c>
      <c r="AN392">
        <v>0</v>
      </c>
      <c r="AO392">
        <v>0</v>
      </c>
      <c r="AP392">
        <v>0</v>
      </c>
      <c r="AQ392">
        <v>0</v>
      </c>
      <c r="AR392">
        <v>0</v>
      </c>
      <c r="AS392" t="s">
        <v>3</v>
      </c>
      <c r="AT392">
        <v>102</v>
      </c>
      <c r="AU392" t="s">
        <v>3</v>
      </c>
      <c r="AV392">
        <v>0</v>
      </c>
      <c r="AW392">
        <v>1</v>
      </c>
      <c r="AX392">
        <v>-1</v>
      </c>
      <c r="AY392">
        <v>0</v>
      </c>
      <c r="AZ392">
        <v>0</v>
      </c>
      <c r="BA392" t="s">
        <v>3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X392">
        <f>ROUND(Y392*Source!I328,9)</f>
        <v>7.14</v>
      </c>
      <c r="CY392">
        <f t="shared" si="154"/>
        <v>1241.02</v>
      </c>
      <c r="CZ392">
        <f t="shared" si="155"/>
        <v>143.47</v>
      </c>
      <c r="DA392">
        <f t="shared" si="156"/>
        <v>8.65</v>
      </c>
      <c r="DB392">
        <f t="shared" si="157"/>
        <v>14633.94</v>
      </c>
      <c r="DC392">
        <f t="shared" si="158"/>
        <v>0</v>
      </c>
      <c r="DD392" t="s">
        <v>3</v>
      </c>
      <c r="DE392" t="s">
        <v>3</v>
      </c>
      <c r="DF392">
        <f t="shared" si="159"/>
        <v>8860.89</v>
      </c>
      <c r="DG392">
        <f t="shared" si="142"/>
        <v>0</v>
      </c>
      <c r="DH392">
        <f t="shared" si="143"/>
        <v>0</v>
      </c>
      <c r="DI392">
        <f t="shared" si="152"/>
        <v>0</v>
      </c>
      <c r="DJ392">
        <f t="shared" si="160"/>
        <v>8860.89</v>
      </c>
      <c r="DK392">
        <v>0</v>
      </c>
    </row>
    <row r="393" spans="1:115" x14ac:dyDescent="0.2">
      <c r="A393">
        <f>ROW(Source!A337)</f>
        <v>337</v>
      </c>
      <c r="B393">
        <v>129761636</v>
      </c>
      <c r="C393">
        <v>129763635</v>
      </c>
      <c r="D393">
        <v>37345142</v>
      </c>
      <c r="E393">
        <v>37345137</v>
      </c>
      <c r="F393">
        <v>1</v>
      </c>
      <c r="G393">
        <v>37345137</v>
      </c>
      <c r="H393">
        <v>1</v>
      </c>
      <c r="I393" t="s">
        <v>1096</v>
      </c>
      <c r="J393" t="s">
        <v>3</v>
      </c>
      <c r="K393" t="s">
        <v>1097</v>
      </c>
      <c r="L393">
        <v>1191</v>
      </c>
      <c r="N393">
        <v>1013</v>
      </c>
      <c r="O393" t="s">
        <v>1098</v>
      </c>
      <c r="P393" t="s">
        <v>1098</v>
      </c>
      <c r="Q393">
        <v>1</v>
      </c>
      <c r="W393">
        <v>0</v>
      </c>
      <c r="X393">
        <v>476480486</v>
      </c>
      <c r="Y393">
        <f t="shared" si="153"/>
        <v>21.51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1</v>
      </c>
      <c r="AJ393">
        <v>1</v>
      </c>
      <c r="AK393">
        <v>1</v>
      </c>
      <c r="AL393">
        <v>1</v>
      </c>
      <c r="AN393">
        <v>0</v>
      </c>
      <c r="AO393">
        <v>1</v>
      </c>
      <c r="AP393">
        <v>0</v>
      </c>
      <c r="AQ393">
        <v>0</v>
      </c>
      <c r="AR393">
        <v>0</v>
      </c>
      <c r="AS393" t="s">
        <v>3</v>
      </c>
      <c r="AT393">
        <v>21.51</v>
      </c>
      <c r="AU393" t="s">
        <v>3</v>
      </c>
      <c r="AV393">
        <v>1</v>
      </c>
      <c r="AW393">
        <v>2</v>
      </c>
      <c r="AX393">
        <v>129763641</v>
      </c>
      <c r="AY393">
        <v>1</v>
      </c>
      <c r="AZ393">
        <v>0</v>
      </c>
      <c r="BA393">
        <v>395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X393">
        <f>ROUND(Y393*Source!I337,9)</f>
        <v>1.1400300000000001</v>
      </c>
      <c r="CY393">
        <f>AD393</f>
        <v>0</v>
      </c>
      <c r="CZ393">
        <f>AH393</f>
        <v>0</v>
      </c>
      <c r="DA393">
        <f>AL393</f>
        <v>1</v>
      </c>
      <c r="DB393">
        <f t="shared" si="157"/>
        <v>0</v>
      </c>
      <c r="DC393">
        <f t="shared" si="158"/>
        <v>0</v>
      </c>
      <c r="DD393" t="s">
        <v>3</v>
      </c>
      <c r="DE393" t="s">
        <v>3</v>
      </c>
      <c r="DF393">
        <f t="shared" ref="DF393:DF398" si="161">ROUND(AE393*CX393,2)</f>
        <v>0</v>
      </c>
      <c r="DG393">
        <f t="shared" si="142"/>
        <v>0</v>
      </c>
      <c r="DH393">
        <f t="shared" si="143"/>
        <v>0</v>
      </c>
      <c r="DI393">
        <f t="shared" si="152"/>
        <v>0</v>
      </c>
      <c r="DJ393">
        <f>DI393</f>
        <v>0</v>
      </c>
      <c r="DK393">
        <v>0</v>
      </c>
    </row>
    <row r="394" spans="1:115" x14ac:dyDescent="0.2">
      <c r="A394">
        <f>ROW(Source!A337)</f>
        <v>337</v>
      </c>
      <c r="B394">
        <v>129761636</v>
      </c>
      <c r="C394">
        <v>129763635</v>
      </c>
      <c r="D394">
        <v>37394395</v>
      </c>
      <c r="E394">
        <v>1</v>
      </c>
      <c r="F394">
        <v>1</v>
      </c>
      <c r="G394">
        <v>37345137</v>
      </c>
      <c r="H394">
        <v>3</v>
      </c>
      <c r="I394" t="s">
        <v>464</v>
      </c>
      <c r="J394" t="s">
        <v>466</v>
      </c>
      <c r="K394" t="s">
        <v>465</v>
      </c>
      <c r="L394">
        <v>1348</v>
      </c>
      <c r="N394">
        <v>1009</v>
      </c>
      <c r="O394" t="s">
        <v>114</v>
      </c>
      <c r="P394" t="s">
        <v>114</v>
      </c>
      <c r="Q394">
        <v>1000</v>
      </c>
      <c r="W394">
        <v>0</v>
      </c>
      <c r="X394">
        <v>497599956</v>
      </c>
      <c r="Y394">
        <f t="shared" si="153"/>
        <v>0.30599999999999999</v>
      </c>
      <c r="AA394">
        <v>15328.48</v>
      </c>
      <c r="AB394">
        <v>0</v>
      </c>
      <c r="AC394">
        <v>0</v>
      </c>
      <c r="AD394">
        <v>0</v>
      </c>
      <c r="AE394">
        <v>15328.48</v>
      </c>
      <c r="AF394">
        <v>0</v>
      </c>
      <c r="AG394">
        <v>0</v>
      </c>
      <c r="AH394">
        <v>0</v>
      </c>
      <c r="AI394">
        <v>1</v>
      </c>
      <c r="AJ394">
        <v>1</v>
      </c>
      <c r="AK394">
        <v>1</v>
      </c>
      <c r="AL394">
        <v>1</v>
      </c>
      <c r="AN394">
        <v>0</v>
      </c>
      <c r="AO394">
        <v>0</v>
      </c>
      <c r="AP394">
        <v>0</v>
      </c>
      <c r="AQ394">
        <v>0</v>
      </c>
      <c r="AR394">
        <v>0</v>
      </c>
      <c r="AS394" t="s">
        <v>3</v>
      </c>
      <c r="AT394">
        <v>0.30599999999999999</v>
      </c>
      <c r="AU394" t="s">
        <v>3</v>
      </c>
      <c r="AV394">
        <v>0</v>
      </c>
      <c r="AW394">
        <v>1</v>
      </c>
      <c r="AX394">
        <v>-1</v>
      </c>
      <c r="AY394">
        <v>0</v>
      </c>
      <c r="AZ394">
        <v>0</v>
      </c>
      <c r="BA394" t="s">
        <v>3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X394">
        <f>ROUND(Y394*Source!I337,9)</f>
        <v>1.6218E-2</v>
      </c>
      <c r="CY394">
        <f>AA394</f>
        <v>15328.48</v>
      </c>
      <c r="CZ394">
        <f>AE394</f>
        <v>15328.48</v>
      </c>
      <c r="DA394">
        <f>AI394</f>
        <v>1</v>
      </c>
      <c r="DB394">
        <f t="shared" si="157"/>
        <v>4690.51</v>
      </c>
      <c r="DC394">
        <f t="shared" si="158"/>
        <v>0</v>
      </c>
      <c r="DD394" t="s">
        <v>3</v>
      </c>
      <c r="DE394" t="s">
        <v>3</v>
      </c>
      <c r="DF394">
        <f t="shared" si="161"/>
        <v>248.6</v>
      </c>
      <c r="DG394">
        <f t="shared" si="142"/>
        <v>0</v>
      </c>
      <c r="DH394">
        <f t="shared" si="143"/>
        <v>0</v>
      </c>
      <c r="DI394">
        <f t="shared" si="152"/>
        <v>0</v>
      </c>
      <c r="DJ394">
        <f>DF394</f>
        <v>248.6</v>
      </c>
      <c r="DK394">
        <v>0</v>
      </c>
    </row>
    <row r="395" spans="1:115" x14ac:dyDescent="0.2">
      <c r="A395">
        <f>ROW(Source!A337)</f>
        <v>337</v>
      </c>
      <c r="B395">
        <v>129761636</v>
      </c>
      <c r="C395">
        <v>129763635</v>
      </c>
      <c r="D395">
        <v>37393565</v>
      </c>
      <c r="E395">
        <v>1</v>
      </c>
      <c r="F395">
        <v>1</v>
      </c>
      <c r="G395">
        <v>37345137</v>
      </c>
      <c r="H395">
        <v>3</v>
      </c>
      <c r="I395" t="s">
        <v>1198</v>
      </c>
      <c r="J395" t="s">
        <v>1199</v>
      </c>
      <c r="K395" t="s">
        <v>1200</v>
      </c>
      <c r="L395">
        <v>1348</v>
      </c>
      <c r="N395">
        <v>1009</v>
      </c>
      <c r="O395" t="s">
        <v>114</v>
      </c>
      <c r="P395" t="s">
        <v>114</v>
      </c>
      <c r="Q395">
        <v>1000</v>
      </c>
      <c r="W395">
        <v>0</v>
      </c>
      <c r="X395">
        <v>563176784</v>
      </c>
      <c r="Y395">
        <f t="shared" si="153"/>
        <v>2E-3</v>
      </c>
      <c r="AA395">
        <v>6521.42</v>
      </c>
      <c r="AB395">
        <v>0</v>
      </c>
      <c r="AC395">
        <v>0</v>
      </c>
      <c r="AD395">
        <v>0</v>
      </c>
      <c r="AE395">
        <v>6521.42</v>
      </c>
      <c r="AF395">
        <v>0</v>
      </c>
      <c r="AG395">
        <v>0</v>
      </c>
      <c r="AH395">
        <v>0</v>
      </c>
      <c r="AI395">
        <v>1</v>
      </c>
      <c r="AJ395">
        <v>1</v>
      </c>
      <c r="AK395">
        <v>1</v>
      </c>
      <c r="AL395">
        <v>1</v>
      </c>
      <c r="AN395">
        <v>0</v>
      </c>
      <c r="AO395">
        <v>1</v>
      </c>
      <c r="AP395">
        <v>0</v>
      </c>
      <c r="AQ395">
        <v>0</v>
      </c>
      <c r="AR395">
        <v>0</v>
      </c>
      <c r="AS395" t="s">
        <v>3</v>
      </c>
      <c r="AT395">
        <v>2E-3</v>
      </c>
      <c r="AU395" t="s">
        <v>3</v>
      </c>
      <c r="AV395">
        <v>0</v>
      </c>
      <c r="AW395">
        <v>2</v>
      </c>
      <c r="AX395">
        <v>129763644</v>
      </c>
      <c r="AY395">
        <v>1</v>
      </c>
      <c r="AZ395">
        <v>0</v>
      </c>
      <c r="BA395">
        <v>398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X395">
        <f>ROUND(Y395*Source!I337,9)</f>
        <v>1.06E-4</v>
      </c>
      <c r="CY395">
        <f>AA395</f>
        <v>6521.42</v>
      </c>
      <c r="CZ395">
        <f>AE395</f>
        <v>6521.42</v>
      </c>
      <c r="DA395">
        <f>AI395</f>
        <v>1</v>
      </c>
      <c r="DB395">
        <f t="shared" si="157"/>
        <v>13.04</v>
      </c>
      <c r="DC395">
        <f t="shared" si="158"/>
        <v>0</v>
      </c>
      <c r="DD395" t="s">
        <v>3</v>
      </c>
      <c r="DE395" t="s">
        <v>3</v>
      </c>
      <c r="DF395">
        <f t="shared" si="161"/>
        <v>0.69</v>
      </c>
      <c r="DG395">
        <f t="shared" si="142"/>
        <v>0</v>
      </c>
      <c r="DH395">
        <f t="shared" si="143"/>
        <v>0</v>
      </c>
      <c r="DI395">
        <f t="shared" si="152"/>
        <v>0</v>
      </c>
      <c r="DJ395">
        <f>DF395</f>
        <v>0.69</v>
      </c>
      <c r="DK395">
        <v>0</v>
      </c>
    </row>
    <row r="396" spans="1:115" x14ac:dyDescent="0.2">
      <c r="A396">
        <f>ROW(Source!A337)</f>
        <v>337</v>
      </c>
      <c r="B396">
        <v>129761636</v>
      </c>
      <c r="C396">
        <v>129763635</v>
      </c>
      <c r="D396">
        <v>37393826</v>
      </c>
      <c r="E396">
        <v>1</v>
      </c>
      <c r="F396">
        <v>1</v>
      </c>
      <c r="G396">
        <v>37345137</v>
      </c>
      <c r="H396">
        <v>3</v>
      </c>
      <c r="I396" t="s">
        <v>1288</v>
      </c>
      <c r="J396" t="s">
        <v>1289</v>
      </c>
      <c r="K396" t="s">
        <v>1290</v>
      </c>
      <c r="L396">
        <v>1348</v>
      </c>
      <c r="N396">
        <v>1009</v>
      </c>
      <c r="O396" t="s">
        <v>114</v>
      </c>
      <c r="P396" t="s">
        <v>114</v>
      </c>
      <c r="Q396">
        <v>1000</v>
      </c>
      <c r="W396">
        <v>0</v>
      </c>
      <c r="X396">
        <v>1127058177</v>
      </c>
      <c r="Y396">
        <f t="shared" si="153"/>
        <v>5.11E-2</v>
      </c>
      <c r="AA396">
        <v>9865.7999999999993</v>
      </c>
      <c r="AB396">
        <v>0</v>
      </c>
      <c r="AC396">
        <v>0</v>
      </c>
      <c r="AD396">
        <v>0</v>
      </c>
      <c r="AE396">
        <v>9865.7999999999993</v>
      </c>
      <c r="AF396">
        <v>0</v>
      </c>
      <c r="AG396">
        <v>0</v>
      </c>
      <c r="AH396">
        <v>0</v>
      </c>
      <c r="AI396">
        <v>1</v>
      </c>
      <c r="AJ396">
        <v>1</v>
      </c>
      <c r="AK396">
        <v>1</v>
      </c>
      <c r="AL396">
        <v>1</v>
      </c>
      <c r="AN396">
        <v>0</v>
      </c>
      <c r="AO396">
        <v>1</v>
      </c>
      <c r="AP396">
        <v>0</v>
      </c>
      <c r="AQ396">
        <v>0</v>
      </c>
      <c r="AR396">
        <v>0</v>
      </c>
      <c r="AS396" t="s">
        <v>3</v>
      </c>
      <c r="AT396">
        <v>5.11E-2</v>
      </c>
      <c r="AU396" t="s">
        <v>3</v>
      </c>
      <c r="AV396">
        <v>0</v>
      </c>
      <c r="AW396">
        <v>2</v>
      </c>
      <c r="AX396">
        <v>129763645</v>
      </c>
      <c r="AY396">
        <v>1</v>
      </c>
      <c r="AZ396">
        <v>0</v>
      </c>
      <c r="BA396">
        <v>399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X396">
        <f>ROUND(Y396*Source!I337,9)</f>
        <v>2.7082999999999999E-3</v>
      </c>
      <c r="CY396">
        <f>AA396</f>
        <v>9865.7999999999993</v>
      </c>
      <c r="CZ396">
        <f>AE396</f>
        <v>9865.7999999999993</v>
      </c>
      <c r="DA396">
        <f>AI396</f>
        <v>1</v>
      </c>
      <c r="DB396">
        <f t="shared" si="157"/>
        <v>504.14</v>
      </c>
      <c r="DC396">
        <f t="shared" si="158"/>
        <v>0</v>
      </c>
      <c r="DD396" t="s">
        <v>3</v>
      </c>
      <c r="DE396" t="s">
        <v>3</v>
      </c>
      <c r="DF396">
        <f t="shared" si="161"/>
        <v>26.72</v>
      </c>
      <c r="DG396">
        <f t="shared" si="142"/>
        <v>0</v>
      </c>
      <c r="DH396">
        <f t="shared" si="143"/>
        <v>0</v>
      </c>
      <c r="DI396">
        <f t="shared" si="152"/>
        <v>0</v>
      </c>
      <c r="DJ396">
        <f>DF396</f>
        <v>26.72</v>
      </c>
      <c r="DK396">
        <v>0</v>
      </c>
    </row>
    <row r="397" spans="1:115" x14ac:dyDescent="0.2">
      <c r="A397">
        <f>ROW(Source!A337)</f>
        <v>337</v>
      </c>
      <c r="B397">
        <v>129761636</v>
      </c>
      <c r="C397">
        <v>129763635</v>
      </c>
      <c r="D397">
        <v>37394253</v>
      </c>
      <c r="E397">
        <v>1</v>
      </c>
      <c r="F397">
        <v>1</v>
      </c>
      <c r="G397">
        <v>37345137</v>
      </c>
      <c r="H397">
        <v>3</v>
      </c>
      <c r="I397" t="s">
        <v>460</v>
      </c>
      <c r="J397" t="s">
        <v>462</v>
      </c>
      <c r="K397" t="s">
        <v>461</v>
      </c>
      <c r="L397">
        <v>1348</v>
      </c>
      <c r="N397">
        <v>1009</v>
      </c>
      <c r="O397" t="s">
        <v>114</v>
      </c>
      <c r="P397" t="s">
        <v>114</v>
      </c>
      <c r="Q397">
        <v>1000</v>
      </c>
      <c r="W397">
        <v>0</v>
      </c>
      <c r="X397">
        <v>1257892944</v>
      </c>
      <c r="Y397">
        <f t="shared" si="153"/>
        <v>6.6000000000000003E-2</v>
      </c>
      <c r="AA397">
        <v>6870.66</v>
      </c>
      <c r="AB397">
        <v>0</v>
      </c>
      <c r="AC397">
        <v>0</v>
      </c>
      <c r="AD397">
        <v>0</v>
      </c>
      <c r="AE397">
        <v>6870.66</v>
      </c>
      <c r="AF397">
        <v>0</v>
      </c>
      <c r="AG397">
        <v>0</v>
      </c>
      <c r="AH397">
        <v>0</v>
      </c>
      <c r="AI397">
        <v>1</v>
      </c>
      <c r="AJ397">
        <v>1</v>
      </c>
      <c r="AK397">
        <v>1</v>
      </c>
      <c r="AL397">
        <v>1</v>
      </c>
      <c r="AN397">
        <v>0</v>
      </c>
      <c r="AO397">
        <v>0</v>
      </c>
      <c r="AP397">
        <v>0</v>
      </c>
      <c r="AQ397">
        <v>0</v>
      </c>
      <c r="AR397">
        <v>0</v>
      </c>
      <c r="AS397" t="s">
        <v>3</v>
      </c>
      <c r="AT397">
        <v>6.6000000000000003E-2</v>
      </c>
      <c r="AU397" t="s">
        <v>3</v>
      </c>
      <c r="AV397">
        <v>0</v>
      </c>
      <c r="AW397">
        <v>1</v>
      </c>
      <c r="AX397">
        <v>-1</v>
      </c>
      <c r="AY397">
        <v>0</v>
      </c>
      <c r="AZ397">
        <v>0</v>
      </c>
      <c r="BA397" t="s">
        <v>3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X397">
        <f>ROUND(Y397*Source!I337,9)</f>
        <v>3.4979999999999998E-3</v>
      </c>
      <c r="CY397">
        <f>AA397</f>
        <v>6870.66</v>
      </c>
      <c r="CZ397">
        <f>AE397</f>
        <v>6870.66</v>
      </c>
      <c r="DA397">
        <f>AI397</f>
        <v>1</v>
      </c>
      <c r="DB397">
        <f t="shared" si="157"/>
        <v>453.46</v>
      </c>
      <c r="DC397">
        <f t="shared" si="158"/>
        <v>0</v>
      </c>
      <c r="DD397" t="s">
        <v>3</v>
      </c>
      <c r="DE397" t="s">
        <v>3</v>
      </c>
      <c r="DF397">
        <f t="shared" si="161"/>
        <v>24.03</v>
      </c>
      <c r="DG397">
        <f t="shared" si="142"/>
        <v>0</v>
      </c>
      <c r="DH397">
        <f t="shared" si="143"/>
        <v>0</v>
      </c>
      <c r="DI397">
        <f t="shared" si="152"/>
        <v>0</v>
      </c>
      <c r="DJ397">
        <f>DF397</f>
        <v>24.03</v>
      </c>
      <c r="DK397">
        <v>0</v>
      </c>
    </row>
    <row r="398" spans="1:115" x14ac:dyDescent="0.2">
      <c r="A398">
        <f>ROW(Source!A338)</f>
        <v>338</v>
      </c>
      <c r="B398">
        <v>129761633</v>
      </c>
      <c r="C398">
        <v>129763635</v>
      </c>
      <c r="D398">
        <v>37345142</v>
      </c>
      <c r="E398">
        <v>37345137</v>
      </c>
      <c r="F398">
        <v>1</v>
      </c>
      <c r="G398">
        <v>37345137</v>
      </c>
      <c r="H398">
        <v>1</v>
      </c>
      <c r="I398" t="s">
        <v>1096</v>
      </c>
      <c r="J398" t="s">
        <v>3</v>
      </c>
      <c r="K398" t="s">
        <v>1097</v>
      </c>
      <c r="L398">
        <v>1191</v>
      </c>
      <c r="N398">
        <v>1013</v>
      </c>
      <c r="O398" t="s">
        <v>1098</v>
      </c>
      <c r="P398" t="s">
        <v>1098</v>
      </c>
      <c r="Q398">
        <v>1</v>
      </c>
      <c r="W398">
        <v>0</v>
      </c>
      <c r="X398">
        <v>476480486</v>
      </c>
      <c r="Y398">
        <f t="shared" si="153"/>
        <v>21.51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1</v>
      </c>
      <c r="AJ398">
        <v>1</v>
      </c>
      <c r="AK398">
        <v>1</v>
      </c>
      <c r="AL398">
        <v>1</v>
      </c>
      <c r="AN398">
        <v>0</v>
      </c>
      <c r="AO398">
        <v>1</v>
      </c>
      <c r="AP398">
        <v>0</v>
      </c>
      <c r="AQ398">
        <v>0</v>
      </c>
      <c r="AR398">
        <v>0</v>
      </c>
      <c r="AS398" t="s">
        <v>3</v>
      </c>
      <c r="AT398">
        <v>21.51</v>
      </c>
      <c r="AU398" t="s">
        <v>3</v>
      </c>
      <c r="AV398">
        <v>1</v>
      </c>
      <c r="AW398">
        <v>2</v>
      </c>
      <c r="AX398">
        <v>129763641</v>
      </c>
      <c r="AY398">
        <v>1</v>
      </c>
      <c r="AZ398">
        <v>0</v>
      </c>
      <c r="BA398">
        <v>400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X398">
        <f>ROUND(Y398*Source!I338,9)</f>
        <v>1.1400300000000001</v>
      </c>
      <c r="CY398">
        <f>AD398</f>
        <v>0</v>
      </c>
      <c r="CZ398">
        <f>AH398</f>
        <v>0</v>
      </c>
      <c r="DA398">
        <f>AL398</f>
        <v>1</v>
      </c>
      <c r="DB398">
        <f t="shared" si="157"/>
        <v>0</v>
      </c>
      <c r="DC398">
        <f t="shared" si="158"/>
        <v>0</v>
      </c>
      <c r="DD398" t="s">
        <v>3</v>
      </c>
      <c r="DE398" t="s">
        <v>3</v>
      </c>
      <c r="DF398">
        <f t="shared" si="161"/>
        <v>0</v>
      </c>
      <c r="DG398">
        <f t="shared" si="142"/>
        <v>0</v>
      </c>
      <c r="DH398">
        <f t="shared" si="143"/>
        <v>0</v>
      </c>
      <c r="DI398">
        <f t="shared" si="152"/>
        <v>0</v>
      </c>
      <c r="DJ398">
        <f>DI398</f>
        <v>0</v>
      </c>
      <c r="DK398">
        <v>0</v>
      </c>
    </row>
    <row r="399" spans="1:115" x14ac:dyDescent="0.2">
      <c r="A399">
        <f>ROW(Source!A338)</f>
        <v>338</v>
      </c>
      <c r="B399">
        <v>129761633</v>
      </c>
      <c r="C399">
        <v>129763635</v>
      </c>
      <c r="D399">
        <v>37394395</v>
      </c>
      <c r="E399">
        <v>1</v>
      </c>
      <c r="F399">
        <v>1</v>
      </c>
      <c r="G399">
        <v>37345137</v>
      </c>
      <c r="H399">
        <v>3</v>
      </c>
      <c r="I399" t="s">
        <v>464</v>
      </c>
      <c r="J399" t="s">
        <v>466</v>
      </c>
      <c r="K399" t="s">
        <v>465</v>
      </c>
      <c r="L399">
        <v>1348</v>
      </c>
      <c r="N399">
        <v>1009</v>
      </c>
      <c r="O399" t="s">
        <v>114</v>
      </c>
      <c r="P399" t="s">
        <v>114</v>
      </c>
      <c r="Q399">
        <v>1000</v>
      </c>
      <c r="W399">
        <v>0</v>
      </c>
      <c r="X399">
        <v>497599956</v>
      </c>
      <c r="Y399">
        <f t="shared" si="153"/>
        <v>0.30599999999999999</v>
      </c>
      <c r="AA399">
        <v>69967.77</v>
      </c>
      <c r="AB399">
        <v>0</v>
      </c>
      <c r="AC399">
        <v>0</v>
      </c>
      <c r="AD399">
        <v>0</v>
      </c>
      <c r="AE399">
        <v>15328.48</v>
      </c>
      <c r="AF399">
        <v>0</v>
      </c>
      <c r="AG399">
        <v>0</v>
      </c>
      <c r="AH399">
        <v>0</v>
      </c>
      <c r="AI399">
        <v>4.5599999999999996</v>
      </c>
      <c r="AJ399">
        <v>1</v>
      </c>
      <c r="AK399">
        <v>1</v>
      </c>
      <c r="AL399">
        <v>1</v>
      </c>
      <c r="AN399">
        <v>0</v>
      </c>
      <c r="AO399">
        <v>0</v>
      </c>
      <c r="AP399">
        <v>0</v>
      </c>
      <c r="AQ399">
        <v>0</v>
      </c>
      <c r="AR399">
        <v>0</v>
      </c>
      <c r="AS399" t="s">
        <v>3</v>
      </c>
      <c r="AT399">
        <v>0.30599999999999999</v>
      </c>
      <c r="AU399" t="s">
        <v>3</v>
      </c>
      <c r="AV399">
        <v>0</v>
      </c>
      <c r="AW399">
        <v>1</v>
      </c>
      <c r="AX399">
        <v>-1</v>
      </c>
      <c r="AY399">
        <v>0</v>
      </c>
      <c r="AZ399">
        <v>0</v>
      </c>
      <c r="BA399" t="s">
        <v>3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X399">
        <f>ROUND(Y399*Source!I338,9)</f>
        <v>1.6218E-2</v>
      </c>
      <c r="CY399">
        <f>AA399</f>
        <v>69967.77</v>
      </c>
      <c r="CZ399">
        <f>AE399</f>
        <v>15328.48</v>
      </c>
      <c r="DA399">
        <f>AI399</f>
        <v>4.5599999999999996</v>
      </c>
      <c r="DB399">
        <f t="shared" si="157"/>
        <v>4690.51</v>
      </c>
      <c r="DC399">
        <f t="shared" si="158"/>
        <v>0</v>
      </c>
      <c r="DD399" t="s">
        <v>3</v>
      </c>
      <c r="DE399" t="s">
        <v>3</v>
      </c>
      <c r="DF399">
        <f>ROUND(ROUND(AE399*CX399,2)*AI399,2)</f>
        <v>1133.6199999999999</v>
      </c>
      <c r="DG399">
        <f t="shared" si="142"/>
        <v>0</v>
      </c>
      <c r="DH399">
        <f t="shared" si="143"/>
        <v>0</v>
      </c>
      <c r="DI399">
        <f t="shared" si="152"/>
        <v>0</v>
      </c>
      <c r="DJ399">
        <f>DF399</f>
        <v>1133.6199999999999</v>
      </c>
      <c r="DK399">
        <v>0</v>
      </c>
    </row>
    <row r="400" spans="1:115" x14ac:dyDescent="0.2">
      <c r="A400">
        <f>ROW(Source!A338)</f>
        <v>338</v>
      </c>
      <c r="B400">
        <v>129761633</v>
      </c>
      <c r="C400">
        <v>129763635</v>
      </c>
      <c r="D400">
        <v>37393565</v>
      </c>
      <c r="E400">
        <v>1</v>
      </c>
      <c r="F400">
        <v>1</v>
      </c>
      <c r="G400">
        <v>37345137</v>
      </c>
      <c r="H400">
        <v>3</v>
      </c>
      <c r="I400" t="s">
        <v>1198</v>
      </c>
      <c r="J400" t="s">
        <v>1199</v>
      </c>
      <c r="K400" t="s">
        <v>1200</v>
      </c>
      <c r="L400">
        <v>1348</v>
      </c>
      <c r="N400">
        <v>1009</v>
      </c>
      <c r="O400" t="s">
        <v>114</v>
      </c>
      <c r="P400" t="s">
        <v>114</v>
      </c>
      <c r="Q400">
        <v>1000</v>
      </c>
      <c r="W400">
        <v>0</v>
      </c>
      <c r="X400">
        <v>563176784</v>
      </c>
      <c r="Y400">
        <f t="shared" si="153"/>
        <v>2E-3</v>
      </c>
      <c r="AA400">
        <v>63190.47</v>
      </c>
      <c r="AB400">
        <v>0</v>
      </c>
      <c r="AC400">
        <v>0</v>
      </c>
      <c r="AD400">
        <v>0</v>
      </c>
      <c r="AE400">
        <v>6521.42</v>
      </c>
      <c r="AF400">
        <v>0</v>
      </c>
      <c r="AG400">
        <v>0</v>
      </c>
      <c r="AH400">
        <v>0</v>
      </c>
      <c r="AI400">
        <v>9.68</v>
      </c>
      <c r="AJ400">
        <v>1</v>
      </c>
      <c r="AK400">
        <v>1</v>
      </c>
      <c r="AL400">
        <v>1</v>
      </c>
      <c r="AN400">
        <v>0</v>
      </c>
      <c r="AO400">
        <v>1</v>
      </c>
      <c r="AP400">
        <v>0</v>
      </c>
      <c r="AQ400">
        <v>0</v>
      </c>
      <c r="AR400">
        <v>0</v>
      </c>
      <c r="AS400" t="s">
        <v>3</v>
      </c>
      <c r="AT400">
        <v>2E-3</v>
      </c>
      <c r="AU400" t="s">
        <v>3</v>
      </c>
      <c r="AV400">
        <v>0</v>
      </c>
      <c r="AW400">
        <v>2</v>
      </c>
      <c r="AX400">
        <v>129763644</v>
      </c>
      <c r="AY400">
        <v>1</v>
      </c>
      <c r="AZ400">
        <v>0</v>
      </c>
      <c r="BA400">
        <v>403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X400">
        <f>ROUND(Y400*Source!I338,9)</f>
        <v>1.06E-4</v>
      </c>
      <c r="CY400">
        <f>AA400</f>
        <v>63190.47</v>
      </c>
      <c r="CZ400">
        <f>AE400</f>
        <v>6521.42</v>
      </c>
      <c r="DA400">
        <f>AI400</f>
        <v>9.68</v>
      </c>
      <c r="DB400">
        <f t="shared" si="157"/>
        <v>13.04</v>
      </c>
      <c r="DC400">
        <f t="shared" si="158"/>
        <v>0</v>
      </c>
      <c r="DD400" t="s">
        <v>3</v>
      </c>
      <c r="DE400" t="s">
        <v>3</v>
      </c>
      <c r="DF400">
        <f>ROUND(ROUND(AE400*CX400,2)*AI400,2)</f>
        <v>6.68</v>
      </c>
      <c r="DG400">
        <f t="shared" si="142"/>
        <v>0</v>
      </c>
      <c r="DH400">
        <f t="shared" si="143"/>
        <v>0</v>
      </c>
      <c r="DI400">
        <f t="shared" si="152"/>
        <v>0</v>
      </c>
      <c r="DJ400">
        <f>DF400</f>
        <v>6.68</v>
      </c>
      <c r="DK400">
        <v>0</v>
      </c>
    </row>
    <row r="401" spans="1:115" x14ac:dyDescent="0.2">
      <c r="A401">
        <f>ROW(Source!A338)</f>
        <v>338</v>
      </c>
      <c r="B401">
        <v>129761633</v>
      </c>
      <c r="C401">
        <v>129763635</v>
      </c>
      <c r="D401">
        <v>37393826</v>
      </c>
      <c r="E401">
        <v>1</v>
      </c>
      <c r="F401">
        <v>1</v>
      </c>
      <c r="G401">
        <v>37345137</v>
      </c>
      <c r="H401">
        <v>3</v>
      </c>
      <c r="I401" t="s">
        <v>1288</v>
      </c>
      <c r="J401" t="s">
        <v>1289</v>
      </c>
      <c r="K401" t="s">
        <v>1290</v>
      </c>
      <c r="L401">
        <v>1348</v>
      </c>
      <c r="N401">
        <v>1009</v>
      </c>
      <c r="O401" t="s">
        <v>114</v>
      </c>
      <c r="P401" t="s">
        <v>114</v>
      </c>
      <c r="Q401">
        <v>1000</v>
      </c>
      <c r="W401">
        <v>0</v>
      </c>
      <c r="X401">
        <v>1127058177</v>
      </c>
      <c r="Y401">
        <f t="shared" si="153"/>
        <v>5.11E-2</v>
      </c>
      <c r="AA401">
        <v>893747.75</v>
      </c>
      <c r="AB401">
        <v>0</v>
      </c>
      <c r="AC401">
        <v>0</v>
      </c>
      <c r="AD401">
        <v>0</v>
      </c>
      <c r="AE401">
        <v>9865.7999999999993</v>
      </c>
      <c r="AF401">
        <v>0</v>
      </c>
      <c r="AG401">
        <v>0</v>
      </c>
      <c r="AH401">
        <v>0</v>
      </c>
      <c r="AI401">
        <v>90.5</v>
      </c>
      <c r="AJ401">
        <v>1</v>
      </c>
      <c r="AK401">
        <v>1</v>
      </c>
      <c r="AL401">
        <v>1</v>
      </c>
      <c r="AN401">
        <v>0</v>
      </c>
      <c r="AO401">
        <v>1</v>
      </c>
      <c r="AP401">
        <v>0</v>
      </c>
      <c r="AQ401">
        <v>0</v>
      </c>
      <c r="AR401">
        <v>0</v>
      </c>
      <c r="AS401" t="s">
        <v>3</v>
      </c>
      <c r="AT401">
        <v>5.11E-2</v>
      </c>
      <c r="AU401" t="s">
        <v>3</v>
      </c>
      <c r="AV401">
        <v>0</v>
      </c>
      <c r="AW401">
        <v>2</v>
      </c>
      <c r="AX401">
        <v>129763645</v>
      </c>
      <c r="AY401">
        <v>1</v>
      </c>
      <c r="AZ401">
        <v>0</v>
      </c>
      <c r="BA401">
        <v>404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X401">
        <f>ROUND(Y401*Source!I338,9)</f>
        <v>2.7082999999999999E-3</v>
      </c>
      <c r="CY401">
        <f>AA401</f>
        <v>893747.75</v>
      </c>
      <c r="CZ401">
        <f>AE401</f>
        <v>9865.7999999999993</v>
      </c>
      <c r="DA401">
        <f>AI401</f>
        <v>90.5</v>
      </c>
      <c r="DB401">
        <f t="shared" si="157"/>
        <v>504.14</v>
      </c>
      <c r="DC401">
        <f t="shared" si="158"/>
        <v>0</v>
      </c>
      <c r="DD401" t="s">
        <v>3</v>
      </c>
      <c r="DE401" t="s">
        <v>3</v>
      </c>
      <c r="DF401">
        <f>ROUND(ROUND(AE401*CX401,2)*AI401,2)</f>
        <v>2418.16</v>
      </c>
      <c r="DG401">
        <f t="shared" si="142"/>
        <v>0</v>
      </c>
      <c r="DH401">
        <f t="shared" si="143"/>
        <v>0</v>
      </c>
      <c r="DI401">
        <f t="shared" si="152"/>
        <v>0</v>
      </c>
      <c r="DJ401">
        <f>DF401</f>
        <v>2418.16</v>
      </c>
      <c r="DK401">
        <v>0</v>
      </c>
    </row>
    <row r="402" spans="1:115" x14ac:dyDescent="0.2">
      <c r="A402">
        <f>ROW(Source!A338)</f>
        <v>338</v>
      </c>
      <c r="B402">
        <v>129761633</v>
      </c>
      <c r="C402">
        <v>129763635</v>
      </c>
      <c r="D402">
        <v>37394253</v>
      </c>
      <c r="E402">
        <v>1</v>
      </c>
      <c r="F402">
        <v>1</v>
      </c>
      <c r="G402">
        <v>37345137</v>
      </c>
      <c r="H402">
        <v>3</v>
      </c>
      <c r="I402" t="s">
        <v>460</v>
      </c>
      <c r="J402" t="s">
        <v>462</v>
      </c>
      <c r="K402" t="s">
        <v>461</v>
      </c>
      <c r="L402">
        <v>1348</v>
      </c>
      <c r="N402">
        <v>1009</v>
      </c>
      <c r="O402" t="s">
        <v>114</v>
      </c>
      <c r="P402" t="s">
        <v>114</v>
      </c>
      <c r="Q402">
        <v>1000</v>
      </c>
      <c r="W402">
        <v>0</v>
      </c>
      <c r="X402">
        <v>1257892944</v>
      </c>
      <c r="Y402">
        <f t="shared" si="153"/>
        <v>6.6000000000000003E-2</v>
      </c>
      <c r="AA402">
        <v>54607.59</v>
      </c>
      <c r="AB402">
        <v>0</v>
      </c>
      <c r="AC402">
        <v>0</v>
      </c>
      <c r="AD402">
        <v>0</v>
      </c>
      <c r="AE402">
        <v>6870.66</v>
      </c>
      <c r="AF402">
        <v>0</v>
      </c>
      <c r="AG402">
        <v>0</v>
      </c>
      <c r="AH402">
        <v>0</v>
      </c>
      <c r="AI402">
        <v>7.94</v>
      </c>
      <c r="AJ402">
        <v>1</v>
      </c>
      <c r="AK402">
        <v>1</v>
      </c>
      <c r="AL402">
        <v>1</v>
      </c>
      <c r="AN402">
        <v>0</v>
      </c>
      <c r="AO402">
        <v>0</v>
      </c>
      <c r="AP402">
        <v>0</v>
      </c>
      <c r="AQ402">
        <v>0</v>
      </c>
      <c r="AR402">
        <v>0</v>
      </c>
      <c r="AS402" t="s">
        <v>3</v>
      </c>
      <c r="AT402">
        <v>6.6000000000000003E-2</v>
      </c>
      <c r="AU402" t="s">
        <v>3</v>
      </c>
      <c r="AV402">
        <v>0</v>
      </c>
      <c r="AW402">
        <v>1</v>
      </c>
      <c r="AX402">
        <v>-1</v>
      </c>
      <c r="AY402">
        <v>0</v>
      </c>
      <c r="AZ402">
        <v>0</v>
      </c>
      <c r="BA402" t="s">
        <v>3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X402">
        <f>ROUND(Y402*Source!I338,9)</f>
        <v>3.4979999999999998E-3</v>
      </c>
      <c r="CY402">
        <f>AA402</f>
        <v>54607.59</v>
      </c>
      <c r="CZ402">
        <f>AE402</f>
        <v>6870.66</v>
      </c>
      <c r="DA402">
        <f>AI402</f>
        <v>7.94</v>
      </c>
      <c r="DB402">
        <f t="shared" si="157"/>
        <v>453.46</v>
      </c>
      <c r="DC402">
        <f t="shared" si="158"/>
        <v>0</v>
      </c>
      <c r="DD402" t="s">
        <v>3</v>
      </c>
      <c r="DE402" t="s">
        <v>3</v>
      </c>
      <c r="DF402">
        <f>ROUND(ROUND(AE402*CX402,2)*AI402,2)</f>
        <v>190.8</v>
      </c>
      <c r="DG402">
        <f t="shared" si="142"/>
        <v>0</v>
      </c>
      <c r="DH402">
        <f t="shared" si="143"/>
        <v>0</v>
      </c>
      <c r="DI402">
        <f t="shared" si="152"/>
        <v>0</v>
      </c>
      <c r="DJ402">
        <f>DF402</f>
        <v>190.8</v>
      </c>
      <c r="DK402">
        <v>0</v>
      </c>
    </row>
    <row r="403" spans="1:115" x14ac:dyDescent="0.2">
      <c r="A403">
        <f>ROW(Source!A343)</f>
        <v>343</v>
      </c>
      <c r="B403">
        <v>129761636</v>
      </c>
      <c r="C403">
        <v>129763648</v>
      </c>
      <c r="D403">
        <v>37345142</v>
      </c>
      <c r="E403">
        <v>37345137</v>
      </c>
      <c r="F403">
        <v>1</v>
      </c>
      <c r="G403">
        <v>37345137</v>
      </c>
      <c r="H403">
        <v>1</v>
      </c>
      <c r="I403" t="s">
        <v>1096</v>
      </c>
      <c r="J403" t="s">
        <v>3</v>
      </c>
      <c r="K403" t="s">
        <v>1097</v>
      </c>
      <c r="L403">
        <v>1191</v>
      </c>
      <c r="N403">
        <v>1013</v>
      </c>
      <c r="O403" t="s">
        <v>1098</v>
      </c>
      <c r="P403" t="s">
        <v>1098</v>
      </c>
      <c r="Q403">
        <v>1</v>
      </c>
      <c r="W403">
        <v>0</v>
      </c>
      <c r="X403">
        <v>476480486</v>
      </c>
      <c r="Y403">
        <f t="shared" si="153"/>
        <v>35.04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1</v>
      </c>
      <c r="AJ403">
        <v>1</v>
      </c>
      <c r="AK403">
        <v>1</v>
      </c>
      <c r="AL403">
        <v>1</v>
      </c>
      <c r="AN403">
        <v>0</v>
      </c>
      <c r="AO403">
        <v>1</v>
      </c>
      <c r="AP403">
        <v>0</v>
      </c>
      <c r="AQ403">
        <v>0</v>
      </c>
      <c r="AR403">
        <v>0</v>
      </c>
      <c r="AS403" t="s">
        <v>3</v>
      </c>
      <c r="AT403">
        <v>35.04</v>
      </c>
      <c r="AU403" t="s">
        <v>3</v>
      </c>
      <c r="AV403">
        <v>1</v>
      </c>
      <c r="AW403">
        <v>2</v>
      </c>
      <c r="AX403">
        <v>129763653</v>
      </c>
      <c r="AY403">
        <v>1</v>
      </c>
      <c r="AZ403">
        <v>0</v>
      </c>
      <c r="BA403">
        <v>405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X403">
        <f>ROUND(Y403*Source!I343,9)</f>
        <v>2.1724800000000002</v>
      </c>
      <c r="CY403">
        <f>AD403</f>
        <v>0</v>
      </c>
      <c r="CZ403">
        <f>AH403</f>
        <v>0</v>
      </c>
      <c r="DA403">
        <f>AL403</f>
        <v>1</v>
      </c>
      <c r="DB403">
        <f t="shared" si="157"/>
        <v>0</v>
      </c>
      <c r="DC403">
        <f t="shared" si="158"/>
        <v>0</v>
      </c>
      <c r="DD403" t="s">
        <v>3</v>
      </c>
      <c r="DE403" t="s">
        <v>3</v>
      </c>
      <c r="DF403">
        <f t="shared" ref="DF403:DF408" si="162">ROUND(AE403*CX403,2)</f>
        <v>0</v>
      </c>
      <c r="DG403">
        <f t="shared" si="142"/>
        <v>0</v>
      </c>
      <c r="DH403">
        <f t="shared" si="143"/>
        <v>0</v>
      </c>
      <c r="DI403">
        <f t="shared" si="152"/>
        <v>0</v>
      </c>
      <c r="DJ403">
        <f>DI403</f>
        <v>0</v>
      </c>
      <c r="DK403">
        <v>0</v>
      </c>
    </row>
    <row r="404" spans="1:115" x14ac:dyDescent="0.2">
      <c r="A404">
        <f>ROW(Source!A343)</f>
        <v>343</v>
      </c>
      <c r="B404">
        <v>129761636</v>
      </c>
      <c r="C404">
        <v>129763648</v>
      </c>
      <c r="D404">
        <v>37345890</v>
      </c>
      <c r="E404">
        <v>37345137</v>
      </c>
      <c r="F404">
        <v>1</v>
      </c>
      <c r="G404">
        <v>37345137</v>
      </c>
      <c r="H404">
        <v>2</v>
      </c>
      <c r="I404" t="s">
        <v>1145</v>
      </c>
      <c r="J404" t="s">
        <v>3</v>
      </c>
      <c r="K404" t="s">
        <v>1146</v>
      </c>
      <c r="L404">
        <v>1344</v>
      </c>
      <c r="N404">
        <v>1008</v>
      </c>
      <c r="O404" t="s">
        <v>1138</v>
      </c>
      <c r="P404" t="s">
        <v>1138</v>
      </c>
      <c r="Q404">
        <v>1</v>
      </c>
      <c r="W404">
        <v>0</v>
      </c>
      <c r="X404">
        <v>-1180195794</v>
      </c>
      <c r="Y404">
        <f t="shared" si="153"/>
        <v>2.15</v>
      </c>
      <c r="AA404">
        <v>0</v>
      </c>
      <c r="AB404">
        <v>1</v>
      </c>
      <c r="AC404">
        <v>0</v>
      </c>
      <c r="AD404">
        <v>0</v>
      </c>
      <c r="AE404">
        <v>0</v>
      </c>
      <c r="AF404">
        <v>1</v>
      </c>
      <c r="AG404">
        <v>0</v>
      </c>
      <c r="AH404">
        <v>0</v>
      </c>
      <c r="AI404">
        <v>1</v>
      </c>
      <c r="AJ404">
        <v>1</v>
      </c>
      <c r="AK404">
        <v>1</v>
      </c>
      <c r="AL404">
        <v>1</v>
      </c>
      <c r="AN404">
        <v>0</v>
      </c>
      <c r="AO404">
        <v>1</v>
      </c>
      <c r="AP404">
        <v>0</v>
      </c>
      <c r="AQ404">
        <v>0</v>
      </c>
      <c r="AR404">
        <v>0</v>
      </c>
      <c r="AS404" t="s">
        <v>3</v>
      </c>
      <c r="AT404">
        <v>2.15</v>
      </c>
      <c r="AU404" t="s">
        <v>3</v>
      </c>
      <c r="AV404">
        <v>0</v>
      </c>
      <c r="AW404">
        <v>2</v>
      </c>
      <c r="AX404">
        <v>129763654</v>
      </c>
      <c r="AY404">
        <v>1</v>
      </c>
      <c r="AZ404">
        <v>0</v>
      </c>
      <c r="BA404">
        <v>406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X404">
        <f>ROUND(Y404*Source!I343,9)</f>
        <v>0.1333</v>
      </c>
      <c r="CY404">
        <f>AB404</f>
        <v>1</v>
      </c>
      <c r="CZ404">
        <f>AF404</f>
        <v>1</v>
      </c>
      <c r="DA404">
        <f>AJ404</f>
        <v>1</v>
      </c>
      <c r="DB404">
        <f t="shared" si="157"/>
        <v>2.15</v>
      </c>
      <c r="DC404">
        <f t="shared" si="158"/>
        <v>0</v>
      </c>
      <c r="DD404" t="s">
        <v>3</v>
      </c>
      <c r="DE404" t="s">
        <v>3</v>
      </c>
      <c r="DF404">
        <f t="shared" si="162"/>
        <v>0</v>
      </c>
      <c r="DG404">
        <f t="shared" si="142"/>
        <v>0.13</v>
      </c>
      <c r="DH404">
        <f t="shared" si="143"/>
        <v>0</v>
      </c>
      <c r="DI404">
        <f t="shared" si="152"/>
        <v>0</v>
      </c>
      <c r="DJ404">
        <f>DG404</f>
        <v>0.13</v>
      </c>
      <c r="DK404">
        <v>0</v>
      </c>
    </row>
    <row r="405" spans="1:115" x14ac:dyDescent="0.2">
      <c r="A405">
        <f>ROW(Source!A343)</f>
        <v>343</v>
      </c>
      <c r="B405">
        <v>129761636</v>
      </c>
      <c r="C405">
        <v>129763648</v>
      </c>
      <c r="D405">
        <v>37394252</v>
      </c>
      <c r="E405">
        <v>1</v>
      </c>
      <c r="F405">
        <v>1</v>
      </c>
      <c r="G405">
        <v>37345137</v>
      </c>
      <c r="H405">
        <v>3</v>
      </c>
      <c r="I405" t="s">
        <v>1237</v>
      </c>
      <c r="J405" t="s">
        <v>1238</v>
      </c>
      <c r="K405" t="s">
        <v>1239</v>
      </c>
      <c r="L405">
        <v>1348</v>
      </c>
      <c r="N405">
        <v>1009</v>
      </c>
      <c r="O405" t="s">
        <v>114</v>
      </c>
      <c r="P405" t="s">
        <v>114</v>
      </c>
      <c r="Q405">
        <v>1000</v>
      </c>
      <c r="W405">
        <v>0</v>
      </c>
      <c r="X405">
        <v>-1557622869</v>
      </c>
      <c r="Y405">
        <f t="shared" si="153"/>
        <v>9.5000000000000001E-2</v>
      </c>
      <c r="AA405">
        <v>6870.66</v>
      </c>
      <c r="AB405">
        <v>0</v>
      </c>
      <c r="AC405">
        <v>0</v>
      </c>
      <c r="AD405">
        <v>0</v>
      </c>
      <c r="AE405">
        <v>6870.66</v>
      </c>
      <c r="AF405">
        <v>0</v>
      </c>
      <c r="AG405">
        <v>0</v>
      </c>
      <c r="AH405">
        <v>0</v>
      </c>
      <c r="AI405">
        <v>1</v>
      </c>
      <c r="AJ405">
        <v>1</v>
      </c>
      <c r="AK405">
        <v>1</v>
      </c>
      <c r="AL405">
        <v>1</v>
      </c>
      <c r="AN405">
        <v>0</v>
      </c>
      <c r="AO405">
        <v>1</v>
      </c>
      <c r="AP405">
        <v>0</v>
      </c>
      <c r="AQ405">
        <v>0</v>
      </c>
      <c r="AR405">
        <v>0</v>
      </c>
      <c r="AS405" t="s">
        <v>3</v>
      </c>
      <c r="AT405">
        <v>9.5000000000000001E-2</v>
      </c>
      <c r="AU405" t="s">
        <v>3</v>
      </c>
      <c r="AV405">
        <v>0</v>
      </c>
      <c r="AW405">
        <v>2</v>
      </c>
      <c r="AX405">
        <v>129763655</v>
      </c>
      <c r="AY405">
        <v>1</v>
      </c>
      <c r="AZ405">
        <v>0</v>
      </c>
      <c r="BA405">
        <v>407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X405">
        <f>ROUND(Y405*Source!I343,9)</f>
        <v>5.8900000000000003E-3</v>
      </c>
      <c r="CY405">
        <f>AA405</f>
        <v>6870.66</v>
      </c>
      <c r="CZ405">
        <f>AE405</f>
        <v>6870.66</v>
      </c>
      <c r="DA405">
        <f>AI405</f>
        <v>1</v>
      </c>
      <c r="DB405">
        <f t="shared" si="157"/>
        <v>652.71</v>
      </c>
      <c r="DC405">
        <f t="shared" si="158"/>
        <v>0</v>
      </c>
      <c r="DD405" t="s">
        <v>3</v>
      </c>
      <c r="DE405" t="s">
        <v>3</v>
      </c>
      <c r="DF405">
        <f t="shared" si="162"/>
        <v>40.47</v>
      </c>
      <c r="DG405">
        <f t="shared" si="142"/>
        <v>0</v>
      </c>
      <c r="DH405">
        <f t="shared" si="143"/>
        <v>0</v>
      </c>
      <c r="DI405">
        <f t="shared" si="152"/>
        <v>0</v>
      </c>
      <c r="DJ405">
        <f>DF405</f>
        <v>40.47</v>
      </c>
      <c r="DK405">
        <v>0</v>
      </c>
    </row>
    <row r="406" spans="1:115" x14ac:dyDescent="0.2">
      <c r="A406">
        <f>ROW(Source!A343)</f>
        <v>343</v>
      </c>
      <c r="B406">
        <v>129761636</v>
      </c>
      <c r="C406">
        <v>129763648</v>
      </c>
      <c r="D406">
        <v>37415356</v>
      </c>
      <c r="E406">
        <v>1</v>
      </c>
      <c r="F406">
        <v>1</v>
      </c>
      <c r="G406">
        <v>37345137</v>
      </c>
      <c r="H406">
        <v>3</v>
      </c>
      <c r="I406" t="s">
        <v>473</v>
      </c>
      <c r="J406" t="s">
        <v>475</v>
      </c>
      <c r="K406" t="s">
        <v>474</v>
      </c>
      <c r="L406">
        <v>1301</v>
      </c>
      <c r="N406">
        <v>1003</v>
      </c>
      <c r="O406" t="s">
        <v>270</v>
      </c>
      <c r="P406" t="s">
        <v>270</v>
      </c>
      <c r="Q406">
        <v>1</v>
      </c>
      <c r="W406">
        <v>0</v>
      </c>
      <c r="X406">
        <v>-1545163299</v>
      </c>
      <c r="Y406">
        <f t="shared" si="153"/>
        <v>100</v>
      </c>
      <c r="AA406">
        <v>137</v>
      </c>
      <c r="AB406">
        <v>0</v>
      </c>
      <c r="AC406">
        <v>0</v>
      </c>
      <c r="AD406">
        <v>0</v>
      </c>
      <c r="AE406">
        <v>137</v>
      </c>
      <c r="AF406">
        <v>0</v>
      </c>
      <c r="AG406">
        <v>0</v>
      </c>
      <c r="AH406">
        <v>0</v>
      </c>
      <c r="AI406">
        <v>1</v>
      </c>
      <c r="AJ406">
        <v>1</v>
      </c>
      <c r="AK406">
        <v>1</v>
      </c>
      <c r="AL406">
        <v>1</v>
      </c>
      <c r="AN406">
        <v>0</v>
      </c>
      <c r="AO406">
        <v>0</v>
      </c>
      <c r="AP406">
        <v>0</v>
      </c>
      <c r="AQ406">
        <v>0</v>
      </c>
      <c r="AR406">
        <v>0</v>
      </c>
      <c r="AS406" t="s">
        <v>3</v>
      </c>
      <c r="AT406">
        <v>100</v>
      </c>
      <c r="AU406" t="s">
        <v>3</v>
      </c>
      <c r="AV406">
        <v>0</v>
      </c>
      <c r="AW406">
        <v>1</v>
      </c>
      <c r="AX406">
        <v>-1</v>
      </c>
      <c r="AY406">
        <v>0</v>
      </c>
      <c r="AZ406">
        <v>0</v>
      </c>
      <c r="BA406" t="s">
        <v>3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X406">
        <f>ROUND(Y406*Source!I343,9)</f>
        <v>6.2</v>
      </c>
      <c r="CY406">
        <f>AA406</f>
        <v>137</v>
      </c>
      <c r="CZ406">
        <f>AE406</f>
        <v>137</v>
      </c>
      <c r="DA406">
        <f>AI406</f>
        <v>1</v>
      </c>
      <c r="DB406">
        <f t="shared" si="157"/>
        <v>13700</v>
      </c>
      <c r="DC406">
        <f t="shared" si="158"/>
        <v>0</v>
      </c>
      <c r="DD406" t="s">
        <v>3</v>
      </c>
      <c r="DE406" t="s">
        <v>3</v>
      </c>
      <c r="DF406">
        <f t="shared" si="162"/>
        <v>849.4</v>
      </c>
      <c r="DG406">
        <f t="shared" si="142"/>
        <v>0</v>
      </c>
      <c r="DH406">
        <f t="shared" si="143"/>
        <v>0</v>
      </c>
      <c r="DI406">
        <f t="shared" si="152"/>
        <v>0</v>
      </c>
      <c r="DJ406">
        <f>DF406</f>
        <v>849.4</v>
      </c>
      <c r="DK406">
        <v>0</v>
      </c>
    </row>
    <row r="407" spans="1:115" x14ac:dyDescent="0.2">
      <c r="A407">
        <f>ROW(Source!A344)</f>
        <v>344</v>
      </c>
      <c r="B407">
        <v>129761633</v>
      </c>
      <c r="C407">
        <v>129763648</v>
      </c>
      <c r="D407">
        <v>37345142</v>
      </c>
      <c r="E407">
        <v>37345137</v>
      </c>
      <c r="F407">
        <v>1</v>
      </c>
      <c r="G407">
        <v>37345137</v>
      </c>
      <c r="H407">
        <v>1</v>
      </c>
      <c r="I407" t="s">
        <v>1096</v>
      </c>
      <c r="J407" t="s">
        <v>3</v>
      </c>
      <c r="K407" t="s">
        <v>1097</v>
      </c>
      <c r="L407">
        <v>1191</v>
      </c>
      <c r="N407">
        <v>1013</v>
      </c>
      <c r="O407" t="s">
        <v>1098</v>
      </c>
      <c r="P407" t="s">
        <v>1098</v>
      </c>
      <c r="Q407">
        <v>1</v>
      </c>
      <c r="W407">
        <v>0</v>
      </c>
      <c r="X407">
        <v>476480486</v>
      </c>
      <c r="Y407">
        <f t="shared" si="153"/>
        <v>35.04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1</v>
      </c>
      <c r="AJ407">
        <v>1</v>
      </c>
      <c r="AK407">
        <v>1</v>
      </c>
      <c r="AL407">
        <v>1</v>
      </c>
      <c r="AN407">
        <v>0</v>
      </c>
      <c r="AO407">
        <v>1</v>
      </c>
      <c r="AP407">
        <v>0</v>
      </c>
      <c r="AQ407">
        <v>0</v>
      </c>
      <c r="AR407">
        <v>0</v>
      </c>
      <c r="AS407" t="s">
        <v>3</v>
      </c>
      <c r="AT407">
        <v>35.04</v>
      </c>
      <c r="AU407" t="s">
        <v>3</v>
      </c>
      <c r="AV407">
        <v>1</v>
      </c>
      <c r="AW407">
        <v>2</v>
      </c>
      <c r="AX407">
        <v>129763653</v>
      </c>
      <c r="AY407">
        <v>1</v>
      </c>
      <c r="AZ407">
        <v>0</v>
      </c>
      <c r="BA407">
        <v>409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X407">
        <f>ROUND(Y407*Source!I344,9)</f>
        <v>2.1724800000000002</v>
      </c>
      <c r="CY407">
        <f>AD407</f>
        <v>0</v>
      </c>
      <c r="CZ407">
        <f>AH407</f>
        <v>0</v>
      </c>
      <c r="DA407">
        <f>AL407</f>
        <v>1</v>
      </c>
      <c r="DB407">
        <f t="shared" si="157"/>
        <v>0</v>
      </c>
      <c r="DC407">
        <f t="shared" si="158"/>
        <v>0</v>
      </c>
      <c r="DD407" t="s">
        <v>3</v>
      </c>
      <c r="DE407" t="s">
        <v>3</v>
      </c>
      <c r="DF407">
        <f t="shared" si="162"/>
        <v>0</v>
      </c>
      <c r="DG407">
        <f t="shared" si="142"/>
        <v>0</v>
      </c>
      <c r="DH407">
        <f t="shared" si="143"/>
        <v>0</v>
      </c>
      <c r="DI407">
        <f t="shared" si="152"/>
        <v>0</v>
      </c>
      <c r="DJ407">
        <f>DI407</f>
        <v>0</v>
      </c>
      <c r="DK407">
        <v>0</v>
      </c>
    </row>
    <row r="408" spans="1:115" x14ac:dyDescent="0.2">
      <c r="A408">
        <f>ROW(Source!A344)</f>
        <v>344</v>
      </c>
      <c r="B408">
        <v>129761633</v>
      </c>
      <c r="C408">
        <v>129763648</v>
      </c>
      <c r="D408">
        <v>37345890</v>
      </c>
      <c r="E408">
        <v>37345137</v>
      </c>
      <c r="F408">
        <v>1</v>
      </c>
      <c r="G408">
        <v>37345137</v>
      </c>
      <c r="H408">
        <v>2</v>
      </c>
      <c r="I408" t="s">
        <v>1145</v>
      </c>
      <c r="J408" t="s">
        <v>3</v>
      </c>
      <c r="K408" t="s">
        <v>1146</v>
      </c>
      <c r="L408">
        <v>1344</v>
      </c>
      <c r="N408">
        <v>1008</v>
      </c>
      <c r="O408" t="s">
        <v>1138</v>
      </c>
      <c r="P408" t="s">
        <v>1138</v>
      </c>
      <c r="Q408">
        <v>1</v>
      </c>
      <c r="W408">
        <v>0</v>
      </c>
      <c r="X408">
        <v>-1180195794</v>
      </c>
      <c r="Y408">
        <f t="shared" si="153"/>
        <v>2.15</v>
      </c>
      <c r="AA408">
        <v>0</v>
      </c>
      <c r="AB408">
        <v>1.0900000000000001</v>
      </c>
      <c r="AC408">
        <v>0</v>
      </c>
      <c r="AD408">
        <v>0</v>
      </c>
      <c r="AE408">
        <v>0</v>
      </c>
      <c r="AF408">
        <v>1</v>
      </c>
      <c r="AG408">
        <v>0</v>
      </c>
      <c r="AH408">
        <v>0</v>
      </c>
      <c r="AI408">
        <v>1</v>
      </c>
      <c r="AJ408">
        <v>1</v>
      </c>
      <c r="AK408">
        <v>1</v>
      </c>
      <c r="AL408">
        <v>1</v>
      </c>
      <c r="AN408">
        <v>0</v>
      </c>
      <c r="AO408">
        <v>1</v>
      </c>
      <c r="AP408">
        <v>0</v>
      </c>
      <c r="AQ408">
        <v>0</v>
      </c>
      <c r="AR408">
        <v>0</v>
      </c>
      <c r="AS408" t="s">
        <v>3</v>
      </c>
      <c r="AT408">
        <v>2.15</v>
      </c>
      <c r="AU408" t="s">
        <v>3</v>
      </c>
      <c r="AV408">
        <v>0</v>
      </c>
      <c r="AW408">
        <v>2</v>
      </c>
      <c r="AX408">
        <v>129763654</v>
      </c>
      <c r="AY408">
        <v>1</v>
      </c>
      <c r="AZ408">
        <v>0</v>
      </c>
      <c r="BA408">
        <v>410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X408">
        <f>ROUND(Y408*Source!I344,9)</f>
        <v>0.1333</v>
      </c>
      <c r="CY408">
        <f>AB408</f>
        <v>1.0900000000000001</v>
      </c>
      <c r="CZ408">
        <f>AF408</f>
        <v>1</v>
      </c>
      <c r="DA408">
        <f>AJ408</f>
        <v>1</v>
      </c>
      <c r="DB408">
        <f t="shared" si="157"/>
        <v>2.15</v>
      </c>
      <c r="DC408">
        <f t="shared" si="158"/>
        <v>0</v>
      </c>
      <c r="DD408" t="s">
        <v>3</v>
      </c>
      <c r="DE408" t="s">
        <v>3</v>
      </c>
      <c r="DF408">
        <f t="shared" si="162"/>
        <v>0</v>
      </c>
      <c r="DG408">
        <f t="shared" si="142"/>
        <v>0.13</v>
      </c>
      <c r="DH408">
        <f t="shared" si="143"/>
        <v>0</v>
      </c>
      <c r="DI408">
        <f t="shared" si="152"/>
        <v>0</v>
      </c>
      <c r="DJ408">
        <f>DG408</f>
        <v>0.13</v>
      </c>
      <c r="DK408">
        <v>0</v>
      </c>
    </row>
    <row r="409" spans="1:115" x14ac:dyDescent="0.2">
      <c r="A409">
        <f>ROW(Source!A344)</f>
        <v>344</v>
      </c>
      <c r="B409">
        <v>129761633</v>
      </c>
      <c r="C409">
        <v>129763648</v>
      </c>
      <c r="D409">
        <v>37394252</v>
      </c>
      <c r="E409">
        <v>1</v>
      </c>
      <c r="F409">
        <v>1</v>
      </c>
      <c r="G409">
        <v>37345137</v>
      </c>
      <c r="H409">
        <v>3</v>
      </c>
      <c r="I409" t="s">
        <v>1237</v>
      </c>
      <c r="J409" t="s">
        <v>1238</v>
      </c>
      <c r="K409" t="s">
        <v>1239</v>
      </c>
      <c r="L409">
        <v>1348</v>
      </c>
      <c r="N409">
        <v>1009</v>
      </c>
      <c r="O409" t="s">
        <v>114</v>
      </c>
      <c r="P409" t="s">
        <v>114</v>
      </c>
      <c r="Q409">
        <v>1000</v>
      </c>
      <c r="W409">
        <v>0</v>
      </c>
      <c r="X409">
        <v>-1557622869</v>
      </c>
      <c r="Y409">
        <f t="shared" si="153"/>
        <v>9.5000000000000001E-2</v>
      </c>
      <c r="AA409">
        <v>54607.59</v>
      </c>
      <c r="AB409">
        <v>0</v>
      </c>
      <c r="AC409">
        <v>0</v>
      </c>
      <c r="AD409">
        <v>0</v>
      </c>
      <c r="AE409">
        <v>6870.66</v>
      </c>
      <c r="AF409">
        <v>0</v>
      </c>
      <c r="AG409">
        <v>0</v>
      </c>
      <c r="AH409">
        <v>0</v>
      </c>
      <c r="AI409">
        <v>7.94</v>
      </c>
      <c r="AJ409">
        <v>1</v>
      </c>
      <c r="AK409">
        <v>1</v>
      </c>
      <c r="AL409">
        <v>1</v>
      </c>
      <c r="AN409">
        <v>0</v>
      </c>
      <c r="AO409">
        <v>1</v>
      </c>
      <c r="AP409">
        <v>0</v>
      </c>
      <c r="AQ409">
        <v>0</v>
      </c>
      <c r="AR409">
        <v>0</v>
      </c>
      <c r="AS409" t="s">
        <v>3</v>
      </c>
      <c r="AT409">
        <v>9.5000000000000001E-2</v>
      </c>
      <c r="AU409" t="s">
        <v>3</v>
      </c>
      <c r="AV409">
        <v>0</v>
      </c>
      <c r="AW409">
        <v>2</v>
      </c>
      <c r="AX409">
        <v>129763655</v>
      </c>
      <c r="AY409">
        <v>1</v>
      </c>
      <c r="AZ409">
        <v>0</v>
      </c>
      <c r="BA409">
        <v>411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X409">
        <f>ROUND(Y409*Source!I344,9)</f>
        <v>5.8900000000000003E-3</v>
      </c>
      <c r="CY409">
        <f>AA409</f>
        <v>54607.59</v>
      </c>
      <c r="CZ409">
        <f>AE409</f>
        <v>6870.66</v>
      </c>
      <c r="DA409">
        <f>AI409</f>
        <v>7.94</v>
      </c>
      <c r="DB409">
        <f t="shared" si="157"/>
        <v>652.71</v>
      </c>
      <c r="DC409">
        <f t="shared" si="158"/>
        <v>0</v>
      </c>
      <c r="DD409" t="s">
        <v>3</v>
      </c>
      <c r="DE409" t="s">
        <v>3</v>
      </c>
      <c r="DF409">
        <f>ROUND(ROUND(AE409*CX409,2)*AI409,2)</f>
        <v>321.33</v>
      </c>
      <c r="DG409">
        <f t="shared" si="142"/>
        <v>0</v>
      </c>
      <c r="DH409">
        <f t="shared" si="143"/>
        <v>0</v>
      </c>
      <c r="DI409">
        <f t="shared" si="152"/>
        <v>0</v>
      </c>
      <c r="DJ409">
        <f>DF409</f>
        <v>321.33</v>
      </c>
      <c r="DK409">
        <v>0</v>
      </c>
    </row>
    <row r="410" spans="1:115" x14ac:dyDescent="0.2">
      <c r="A410">
        <f>ROW(Source!A344)</f>
        <v>344</v>
      </c>
      <c r="B410">
        <v>129761633</v>
      </c>
      <c r="C410">
        <v>129763648</v>
      </c>
      <c r="D410">
        <v>37415356</v>
      </c>
      <c r="E410">
        <v>1</v>
      </c>
      <c r="F410">
        <v>1</v>
      </c>
      <c r="G410">
        <v>37345137</v>
      </c>
      <c r="H410">
        <v>3</v>
      </c>
      <c r="I410" t="s">
        <v>473</v>
      </c>
      <c r="J410" t="s">
        <v>475</v>
      </c>
      <c r="K410" t="s">
        <v>474</v>
      </c>
      <c r="L410">
        <v>1301</v>
      </c>
      <c r="N410">
        <v>1003</v>
      </c>
      <c r="O410" t="s">
        <v>270</v>
      </c>
      <c r="P410" t="s">
        <v>270</v>
      </c>
      <c r="Q410">
        <v>1</v>
      </c>
      <c r="W410">
        <v>0</v>
      </c>
      <c r="X410">
        <v>-1545163299</v>
      </c>
      <c r="Y410">
        <f t="shared" si="153"/>
        <v>100</v>
      </c>
      <c r="AA410">
        <v>493.69</v>
      </c>
      <c r="AB410">
        <v>0</v>
      </c>
      <c r="AC410">
        <v>0</v>
      </c>
      <c r="AD410">
        <v>0</v>
      </c>
      <c r="AE410">
        <v>137</v>
      </c>
      <c r="AF410">
        <v>0</v>
      </c>
      <c r="AG410">
        <v>0</v>
      </c>
      <c r="AH410">
        <v>0</v>
      </c>
      <c r="AI410">
        <v>3.6</v>
      </c>
      <c r="AJ410">
        <v>1</v>
      </c>
      <c r="AK410">
        <v>1</v>
      </c>
      <c r="AL410">
        <v>1</v>
      </c>
      <c r="AN410">
        <v>0</v>
      </c>
      <c r="AO410">
        <v>0</v>
      </c>
      <c r="AP410">
        <v>0</v>
      </c>
      <c r="AQ410">
        <v>0</v>
      </c>
      <c r="AR410">
        <v>0</v>
      </c>
      <c r="AS410" t="s">
        <v>3</v>
      </c>
      <c r="AT410">
        <v>100</v>
      </c>
      <c r="AU410" t="s">
        <v>3</v>
      </c>
      <c r="AV410">
        <v>0</v>
      </c>
      <c r="AW410">
        <v>1</v>
      </c>
      <c r="AX410">
        <v>-1</v>
      </c>
      <c r="AY410">
        <v>0</v>
      </c>
      <c r="AZ410">
        <v>0</v>
      </c>
      <c r="BA410" t="s">
        <v>3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X410">
        <f>ROUND(Y410*Source!I344,9)</f>
        <v>6.2</v>
      </c>
      <c r="CY410">
        <f>AA410</f>
        <v>493.69</v>
      </c>
      <c r="CZ410">
        <f>AE410</f>
        <v>137</v>
      </c>
      <c r="DA410">
        <f>AI410</f>
        <v>3.6</v>
      </c>
      <c r="DB410">
        <f t="shared" si="157"/>
        <v>13700</v>
      </c>
      <c r="DC410">
        <f t="shared" si="158"/>
        <v>0</v>
      </c>
      <c r="DD410" t="s">
        <v>3</v>
      </c>
      <c r="DE410" t="s">
        <v>3</v>
      </c>
      <c r="DF410">
        <f>ROUND(ROUND(AE410*CX410,2)*AI410,2)</f>
        <v>3057.84</v>
      </c>
      <c r="DG410">
        <f t="shared" si="142"/>
        <v>0</v>
      </c>
      <c r="DH410">
        <f t="shared" si="143"/>
        <v>0</v>
      </c>
      <c r="DI410">
        <f t="shared" si="152"/>
        <v>0</v>
      </c>
      <c r="DJ410">
        <f>DF410</f>
        <v>3057.84</v>
      </c>
      <c r="DK410">
        <v>0</v>
      </c>
    </row>
    <row r="411" spans="1:115" x14ac:dyDescent="0.2">
      <c r="A411">
        <f>ROW(Source!A382)</f>
        <v>382</v>
      </c>
      <c r="B411">
        <v>129761636</v>
      </c>
      <c r="C411">
        <v>129763658</v>
      </c>
      <c r="D411">
        <v>37345890</v>
      </c>
      <c r="E411">
        <v>37345137</v>
      </c>
      <c r="F411">
        <v>1</v>
      </c>
      <c r="G411">
        <v>37345137</v>
      </c>
      <c r="H411">
        <v>2</v>
      </c>
      <c r="I411" t="s">
        <v>1145</v>
      </c>
      <c r="J411" t="s">
        <v>3</v>
      </c>
      <c r="K411" t="s">
        <v>1146</v>
      </c>
      <c r="L411">
        <v>1344</v>
      </c>
      <c r="N411">
        <v>1008</v>
      </c>
      <c r="O411" t="s">
        <v>1138</v>
      </c>
      <c r="P411" t="s">
        <v>1138</v>
      </c>
      <c r="Q411">
        <v>1</v>
      </c>
      <c r="W411">
        <v>0</v>
      </c>
      <c r="X411">
        <v>-1180195794</v>
      </c>
      <c r="Y411">
        <f t="shared" si="153"/>
        <v>8.86</v>
      </c>
      <c r="AA411">
        <v>0</v>
      </c>
      <c r="AB411">
        <v>1</v>
      </c>
      <c r="AC411">
        <v>0</v>
      </c>
      <c r="AD411">
        <v>0</v>
      </c>
      <c r="AE411">
        <v>0</v>
      </c>
      <c r="AF411">
        <v>1</v>
      </c>
      <c r="AG411">
        <v>0</v>
      </c>
      <c r="AH411">
        <v>0</v>
      </c>
      <c r="AI411">
        <v>1</v>
      </c>
      <c r="AJ411">
        <v>1</v>
      </c>
      <c r="AK411">
        <v>1</v>
      </c>
      <c r="AL411">
        <v>1</v>
      </c>
      <c r="AN411">
        <v>0</v>
      </c>
      <c r="AO411">
        <v>1</v>
      </c>
      <c r="AP411">
        <v>0</v>
      </c>
      <c r="AQ411">
        <v>0</v>
      </c>
      <c r="AR411">
        <v>0</v>
      </c>
      <c r="AS411" t="s">
        <v>3</v>
      </c>
      <c r="AT411">
        <v>8.86</v>
      </c>
      <c r="AU411" t="s">
        <v>3</v>
      </c>
      <c r="AV411">
        <v>0</v>
      </c>
      <c r="AW411">
        <v>2</v>
      </c>
      <c r="AX411">
        <v>129763660</v>
      </c>
      <c r="AY411">
        <v>1</v>
      </c>
      <c r="AZ411">
        <v>0</v>
      </c>
      <c r="BA411">
        <v>413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X411">
        <f>ROUND(Y411*Source!I382,9)</f>
        <v>352.37549000000001</v>
      </c>
      <c r="CY411">
        <f t="shared" ref="CY411:CY418" si="163">AB411</f>
        <v>1</v>
      </c>
      <c r="CZ411">
        <f t="shared" ref="CZ411:CZ418" si="164">AF411</f>
        <v>1</v>
      </c>
      <c r="DA411">
        <f t="shared" ref="DA411:DA418" si="165">AJ411</f>
        <v>1</v>
      </c>
      <c r="DB411">
        <f t="shared" si="157"/>
        <v>8.86</v>
      </c>
      <c r="DC411">
        <f t="shared" si="158"/>
        <v>0</v>
      </c>
      <c r="DD411" t="s">
        <v>3</v>
      </c>
      <c r="DE411" t="s">
        <v>3</v>
      </c>
      <c r="DF411">
        <f t="shared" ref="DF411:DF427" si="166">ROUND(AE411*CX411,2)</f>
        <v>0</v>
      </c>
      <c r="DG411">
        <f t="shared" si="142"/>
        <v>352.38</v>
      </c>
      <c r="DH411">
        <f t="shared" si="143"/>
        <v>0</v>
      </c>
      <c r="DI411">
        <f t="shared" si="152"/>
        <v>0</v>
      </c>
      <c r="DJ411">
        <f t="shared" ref="DJ411:DJ418" si="167">DG411</f>
        <v>352.38</v>
      </c>
      <c r="DK411">
        <v>0</v>
      </c>
    </row>
    <row r="412" spans="1:115" x14ac:dyDescent="0.2">
      <c r="A412">
        <f>ROW(Source!A383)</f>
        <v>383</v>
      </c>
      <c r="B412">
        <v>129761633</v>
      </c>
      <c r="C412">
        <v>129763658</v>
      </c>
      <c r="D412">
        <v>37345890</v>
      </c>
      <c r="E412">
        <v>37345137</v>
      </c>
      <c r="F412">
        <v>1</v>
      </c>
      <c r="G412">
        <v>37345137</v>
      </c>
      <c r="H412">
        <v>2</v>
      </c>
      <c r="I412" t="s">
        <v>1145</v>
      </c>
      <c r="J412" t="s">
        <v>3</v>
      </c>
      <c r="K412" t="s">
        <v>1146</v>
      </c>
      <c r="L412">
        <v>1344</v>
      </c>
      <c r="N412">
        <v>1008</v>
      </c>
      <c r="O412" t="s">
        <v>1138</v>
      </c>
      <c r="P412" t="s">
        <v>1138</v>
      </c>
      <c r="Q412">
        <v>1</v>
      </c>
      <c r="W412">
        <v>0</v>
      </c>
      <c r="X412">
        <v>-1180195794</v>
      </c>
      <c r="Y412">
        <f t="shared" si="153"/>
        <v>8.86</v>
      </c>
      <c r="AA412">
        <v>0</v>
      </c>
      <c r="AB412">
        <v>1.05</v>
      </c>
      <c r="AC412">
        <v>0</v>
      </c>
      <c r="AD412">
        <v>0</v>
      </c>
      <c r="AE412">
        <v>0</v>
      </c>
      <c r="AF412">
        <v>1</v>
      </c>
      <c r="AG412">
        <v>0</v>
      </c>
      <c r="AH412">
        <v>0</v>
      </c>
      <c r="AI412">
        <v>1</v>
      </c>
      <c r="AJ412">
        <v>1</v>
      </c>
      <c r="AK412">
        <v>1</v>
      </c>
      <c r="AL412">
        <v>1</v>
      </c>
      <c r="AN412">
        <v>0</v>
      </c>
      <c r="AO412">
        <v>1</v>
      </c>
      <c r="AP412">
        <v>0</v>
      </c>
      <c r="AQ412">
        <v>0</v>
      </c>
      <c r="AR412">
        <v>0</v>
      </c>
      <c r="AS412" t="s">
        <v>3</v>
      </c>
      <c r="AT412">
        <v>8.86</v>
      </c>
      <c r="AU412" t="s">
        <v>3</v>
      </c>
      <c r="AV412">
        <v>0</v>
      </c>
      <c r="AW412">
        <v>2</v>
      </c>
      <c r="AX412">
        <v>129763660</v>
      </c>
      <c r="AY412">
        <v>1</v>
      </c>
      <c r="AZ412">
        <v>0</v>
      </c>
      <c r="BA412">
        <v>414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X412">
        <f>ROUND(Y412*Source!I383,9)</f>
        <v>352.37549000000001</v>
      </c>
      <c r="CY412">
        <f t="shared" si="163"/>
        <v>1.05</v>
      </c>
      <c r="CZ412">
        <f t="shared" si="164"/>
        <v>1</v>
      </c>
      <c r="DA412">
        <f t="shared" si="165"/>
        <v>1</v>
      </c>
      <c r="DB412">
        <f t="shared" si="157"/>
        <v>8.86</v>
      </c>
      <c r="DC412">
        <f t="shared" si="158"/>
        <v>0</v>
      </c>
      <c r="DD412" t="s">
        <v>3</v>
      </c>
      <c r="DE412" t="s">
        <v>3</v>
      </c>
      <c r="DF412">
        <f t="shared" si="166"/>
        <v>0</v>
      </c>
      <c r="DG412">
        <f t="shared" si="142"/>
        <v>352.38</v>
      </c>
      <c r="DH412">
        <f t="shared" si="143"/>
        <v>0</v>
      </c>
      <c r="DI412">
        <f t="shared" si="152"/>
        <v>0</v>
      </c>
      <c r="DJ412">
        <f t="shared" si="167"/>
        <v>352.38</v>
      </c>
      <c r="DK412">
        <v>0</v>
      </c>
    </row>
    <row r="413" spans="1:115" x14ac:dyDescent="0.2">
      <c r="A413">
        <f>ROW(Source!A384)</f>
        <v>384</v>
      </c>
      <c r="B413">
        <v>129761636</v>
      </c>
      <c r="C413">
        <v>129763661</v>
      </c>
      <c r="D413">
        <v>39148095</v>
      </c>
      <c r="E413">
        <v>1</v>
      </c>
      <c r="F413">
        <v>1</v>
      </c>
      <c r="G413">
        <v>37345137</v>
      </c>
      <c r="H413">
        <v>2</v>
      </c>
      <c r="I413" t="s">
        <v>1291</v>
      </c>
      <c r="J413" t="s">
        <v>1292</v>
      </c>
      <c r="K413" t="s">
        <v>1293</v>
      </c>
      <c r="L413">
        <v>1367</v>
      </c>
      <c r="N413">
        <v>1011</v>
      </c>
      <c r="O413" t="s">
        <v>1102</v>
      </c>
      <c r="P413" t="s">
        <v>1102</v>
      </c>
      <c r="Q413">
        <v>1</v>
      </c>
      <c r="W413">
        <v>0</v>
      </c>
      <c r="X413">
        <v>-1132105959</v>
      </c>
      <c r="Y413">
        <f t="shared" si="153"/>
        <v>1</v>
      </c>
      <c r="AA413">
        <v>0</v>
      </c>
      <c r="AB413">
        <v>115.66</v>
      </c>
      <c r="AC413">
        <v>14.4</v>
      </c>
      <c r="AD413">
        <v>0</v>
      </c>
      <c r="AE413">
        <v>0</v>
      </c>
      <c r="AF413">
        <v>115.66</v>
      </c>
      <c r="AG413">
        <v>14.4</v>
      </c>
      <c r="AH413">
        <v>0</v>
      </c>
      <c r="AI413">
        <v>1</v>
      </c>
      <c r="AJ413">
        <v>1</v>
      </c>
      <c r="AK413">
        <v>1</v>
      </c>
      <c r="AL413">
        <v>1</v>
      </c>
      <c r="AN413">
        <v>0</v>
      </c>
      <c r="AO413">
        <v>1</v>
      </c>
      <c r="AP413">
        <v>0</v>
      </c>
      <c r="AQ413">
        <v>0</v>
      </c>
      <c r="AR413">
        <v>0</v>
      </c>
      <c r="AS413" t="s">
        <v>3</v>
      </c>
      <c r="AT413">
        <v>1</v>
      </c>
      <c r="AU413" t="s">
        <v>3</v>
      </c>
      <c r="AV413">
        <v>0</v>
      </c>
      <c r="AW413">
        <v>2</v>
      </c>
      <c r="AX413">
        <v>129763663</v>
      </c>
      <c r="AY413">
        <v>1</v>
      </c>
      <c r="AZ413">
        <v>0</v>
      </c>
      <c r="BA413">
        <v>415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X413">
        <f>ROUND(Y413*Source!I384,9)</f>
        <v>39.771500000000003</v>
      </c>
      <c r="CY413">
        <f t="shared" si="163"/>
        <v>115.66</v>
      </c>
      <c r="CZ413">
        <f t="shared" si="164"/>
        <v>115.66</v>
      </c>
      <c r="DA413">
        <f t="shared" si="165"/>
        <v>1</v>
      </c>
      <c r="DB413">
        <f t="shared" si="157"/>
        <v>115.66</v>
      </c>
      <c r="DC413">
        <f t="shared" si="158"/>
        <v>14.4</v>
      </c>
      <c r="DD413" t="s">
        <v>3</v>
      </c>
      <c r="DE413" t="s">
        <v>3</v>
      </c>
      <c r="DF413">
        <f t="shared" si="166"/>
        <v>0</v>
      </c>
      <c r="DG413">
        <f t="shared" si="142"/>
        <v>4599.97</v>
      </c>
      <c r="DH413">
        <f t="shared" si="143"/>
        <v>572.71</v>
      </c>
      <c r="DI413">
        <f t="shared" si="152"/>
        <v>0</v>
      </c>
      <c r="DJ413">
        <f t="shared" si="167"/>
        <v>4599.97</v>
      </c>
      <c r="DK413">
        <v>0</v>
      </c>
    </row>
    <row r="414" spans="1:115" x14ac:dyDescent="0.2">
      <c r="A414">
        <f>ROW(Source!A385)</f>
        <v>385</v>
      </c>
      <c r="B414">
        <v>129761633</v>
      </c>
      <c r="C414">
        <v>129763661</v>
      </c>
      <c r="D414">
        <v>39148095</v>
      </c>
      <c r="E414">
        <v>1</v>
      </c>
      <c r="F414">
        <v>1</v>
      </c>
      <c r="G414">
        <v>37345137</v>
      </c>
      <c r="H414">
        <v>2</v>
      </c>
      <c r="I414" t="s">
        <v>1291</v>
      </c>
      <c r="J414" t="s">
        <v>1292</v>
      </c>
      <c r="K414" t="s">
        <v>1293</v>
      </c>
      <c r="L414">
        <v>1367</v>
      </c>
      <c r="N414">
        <v>1011</v>
      </c>
      <c r="O414" t="s">
        <v>1102</v>
      </c>
      <c r="P414" t="s">
        <v>1102</v>
      </c>
      <c r="Q414">
        <v>1</v>
      </c>
      <c r="W414">
        <v>0</v>
      </c>
      <c r="X414">
        <v>-1132105959</v>
      </c>
      <c r="Y414">
        <f t="shared" si="153"/>
        <v>1</v>
      </c>
      <c r="AA414">
        <v>0</v>
      </c>
      <c r="AB414">
        <v>1279.2</v>
      </c>
      <c r="AC414">
        <v>418.03</v>
      </c>
      <c r="AD414">
        <v>0</v>
      </c>
      <c r="AE414">
        <v>0</v>
      </c>
      <c r="AF414">
        <v>115.66</v>
      </c>
      <c r="AG414">
        <v>14.4</v>
      </c>
      <c r="AH414">
        <v>0</v>
      </c>
      <c r="AI414">
        <v>1</v>
      </c>
      <c r="AJ414">
        <v>11.06</v>
      </c>
      <c r="AK414">
        <v>29.03</v>
      </c>
      <c r="AL414">
        <v>1</v>
      </c>
      <c r="AN414">
        <v>0</v>
      </c>
      <c r="AO414">
        <v>1</v>
      </c>
      <c r="AP414">
        <v>0</v>
      </c>
      <c r="AQ414">
        <v>0</v>
      </c>
      <c r="AR414">
        <v>0</v>
      </c>
      <c r="AS414" t="s">
        <v>3</v>
      </c>
      <c r="AT414">
        <v>1</v>
      </c>
      <c r="AU414" t="s">
        <v>3</v>
      </c>
      <c r="AV414">
        <v>0</v>
      </c>
      <c r="AW414">
        <v>2</v>
      </c>
      <c r="AX414">
        <v>129763663</v>
      </c>
      <c r="AY414">
        <v>1</v>
      </c>
      <c r="AZ414">
        <v>0</v>
      </c>
      <c r="BA414">
        <v>416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X414">
        <f>ROUND(Y414*Source!I385,9)</f>
        <v>39.771500000000003</v>
      </c>
      <c r="CY414">
        <f t="shared" si="163"/>
        <v>1279.2</v>
      </c>
      <c r="CZ414">
        <f t="shared" si="164"/>
        <v>115.66</v>
      </c>
      <c r="DA414">
        <f t="shared" si="165"/>
        <v>11.06</v>
      </c>
      <c r="DB414">
        <f t="shared" si="157"/>
        <v>115.66</v>
      </c>
      <c r="DC414">
        <f t="shared" si="158"/>
        <v>14.4</v>
      </c>
      <c r="DD414" t="s">
        <v>3</v>
      </c>
      <c r="DE414" t="s">
        <v>3</v>
      </c>
      <c r="DF414">
        <f t="shared" si="166"/>
        <v>0</v>
      </c>
      <c r="DG414">
        <f>ROUND(ROUND(AF414*CX414,2)*AJ414,2)</f>
        <v>50875.67</v>
      </c>
      <c r="DH414">
        <f>ROUND(ROUND(AG414*CX414,2)*AK414,2)</f>
        <v>16625.77</v>
      </c>
      <c r="DI414">
        <f t="shared" si="152"/>
        <v>0</v>
      </c>
      <c r="DJ414">
        <f t="shared" si="167"/>
        <v>50875.67</v>
      </c>
      <c r="DK414">
        <v>0</v>
      </c>
    </row>
    <row r="415" spans="1:115" x14ac:dyDescent="0.2">
      <c r="A415">
        <f>ROW(Source!A386)</f>
        <v>386</v>
      </c>
      <c r="B415">
        <v>129761636</v>
      </c>
      <c r="C415">
        <v>129763664</v>
      </c>
      <c r="D415">
        <v>37345890</v>
      </c>
      <c r="E415">
        <v>37345137</v>
      </c>
      <c r="F415">
        <v>1</v>
      </c>
      <c r="G415">
        <v>37345137</v>
      </c>
      <c r="H415">
        <v>2</v>
      </c>
      <c r="I415" t="s">
        <v>1145</v>
      </c>
      <c r="J415" t="s">
        <v>3</v>
      </c>
      <c r="K415" t="s">
        <v>1146</v>
      </c>
      <c r="L415">
        <v>1344</v>
      </c>
      <c r="N415">
        <v>1008</v>
      </c>
      <c r="O415" t="s">
        <v>1138</v>
      </c>
      <c r="P415" t="s">
        <v>1138</v>
      </c>
      <c r="Q415">
        <v>1</v>
      </c>
      <c r="W415">
        <v>0</v>
      </c>
      <c r="X415">
        <v>-1180195794</v>
      </c>
      <c r="Y415">
        <f t="shared" si="153"/>
        <v>31.67</v>
      </c>
      <c r="AA415">
        <v>0</v>
      </c>
      <c r="AB415">
        <v>1</v>
      </c>
      <c r="AC415">
        <v>0</v>
      </c>
      <c r="AD415">
        <v>0</v>
      </c>
      <c r="AE415">
        <v>0</v>
      </c>
      <c r="AF415">
        <v>1</v>
      </c>
      <c r="AG415">
        <v>0</v>
      </c>
      <c r="AH415">
        <v>0</v>
      </c>
      <c r="AI415">
        <v>1</v>
      </c>
      <c r="AJ415">
        <v>1</v>
      </c>
      <c r="AK415">
        <v>1</v>
      </c>
      <c r="AL415">
        <v>1</v>
      </c>
      <c r="AN415">
        <v>0</v>
      </c>
      <c r="AO415">
        <v>1</v>
      </c>
      <c r="AP415">
        <v>0</v>
      </c>
      <c r="AQ415">
        <v>0</v>
      </c>
      <c r="AR415">
        <v>0</v>
      </c>
      <c r="AS415" t="s">
        <v>3</v>
      </c>
      <c r="AT415">
        <v>31.67</v>
      </c>
      <c r="AU415" t="s">
        <v>3</v>
      </c>
      <c r="AV415">
        <v>0</v>
      </c>
      <c r="AW415">
        <v>2</v>
      </c>
      <c r="AX415">
        <v>129763666</v>
      </c>
      <c r="AY415">
        <v>1</v>
      </c>
      <c r="AZ415">
        <v>0</v>
      </c>
      <c r="BA415">
        <v>417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X415">
        <f>ROUND(Y415*Source!I386,9)</f>
        <v>37.411771000000002</v>
      </c>
      <c r="CY415">
        <f t="shared" si="163"/>
        <v>1</v>
      </c>
      <c r="CZ415">
        <f t="shared" si="164"/>
        <v>1</v>
      </c>
      <c r="DA415">
        <f t="shared" si="165"/>
        <v>1</v>
      </c>
      <c r="DB415">
        <f t="shared" si="157"/>
        <v>31.67</v>
      </c>
      <c r="DC415">
        <f t="shared" si="158"/>
        <v>0</v>
      </c>
      <c r="DD415" t="s">
        <v>3</v>
      </c>
      <c r="DE415" t="s">
        <v>3</v>
      </c>
      <c r="DF415">
        <f t="shared" si="166"/>
        <v>0</v>
      </c>
      <c r="DG415">
        <f t="shared" ref="DG415:DG424" si="168">ROUND(AF415*CX415,2)</f>
        <v>37.409999999999997</v>
      </c>
      <c r="DH415">
        <f t="shared" ref="DH415:DH424" si="169">ROUND(AG415*CX415,2)</f>
        <v>0</v>
      </c>
      <c r="DI415">
        <f t="shared" si="152"/>
        <v>0</v>
      </c>
      <c r="DJ415">
        <f t="shared" si="167"/>
        <v>37.409999999999997</v>
      </c>
      <c r="DK415">
        <v>0</v>
      </c>
    </row>
    <row r="416" spans="1:115" x14ac:dyDescent="0.2">
      <c r="A416">
        <f>ROW(Source!A387)</f>
        <v>387</v>
      </c>
      <c r="B416">
        <v>129761633</v>
      </c>
      <c r="C416">
        <v>129763664</v>
      </c>
      <c r="D416">
        <v>37345890</v>
      </c>
      <c r="E416">
        <v>37345137</v>
      </c>
      <c r="F416">
        <v>1</v>
      </c>
      <c r="G416">
        <v>37345137</v>
      </c>
      <c r="H416">
        <v>2</v>
      </c>
      <c r="I416" t="s">
        <v>1145</v>
      </c>
      <c r="J416" t="s">
        <v>3</v>
      </c>
      <c r="K416" t="s">
        <v>1146</v>
      </c>
      <c r="L416">
        <v>1344</v>
      </c>
      <c r="N416">
        <v>1008</v>
      </c>
      <c r="O416" t="s">
        <v>1138</v>
      </c>
      <c r="P416" t="s">
        <v>1138</v>
      </c>
      <c r="Q416">
        <v>1</v>
      </c>
      <c r="W416">
        <v>0</v>
      </c>
      <c r="X416">
        <v>-1180195794</v>
      </c>
      <c r="Y416">
        <f t="shared" si="153"/>
        <v>31.67</v>
      </c>
      <c r="AA416">
        <v>0</v>
      </c>
      <c r="AB416">
        <v>1</v>
      </c>
      <c r="AC416">
        <v>0</v>
      </c>
      <c r="AD416">
        <v>0</v>
      </c>
      <c r="AE416">
        <v>0</v>
      </c>
      <c r="AF416">
        <v>1</v>
      </c>
      <c r="AG416">
        <v>0</v>
      </c>
      <c r="AH416">
        <v>0</v>
      </c>
      <c r="AI416">
        <v>1</v>
      </c>
      <c r="AJ416">
        <v>1</v>
      </c>
      <c r="AK416">
        <v>1</v>
      </c>
      <c r="AL416">
        <v>1</v>
      </c>
      <c r="AN416">
        <v>0</v>
      </c>
      <c r="AO416">
        <v>1</v>
      </c>
      <c r="AP416">
        <v>0</v>
      </c>
      <c r="AQ416">
        <v>0</v>
      </c>
      <c r="AR416">
        <v>0</v>
      </c>
      <c r="AS416" t="s">
        <v>3</v>
      </c>
      <c r="AT416">
        <v>31.67</v>
      </c>
      <c r="AU416" t="s">
        <v>3</v>
      </c>
      <c r="AV416">
        <v>0</v>
      </c>
      <c r="AW416">
        <v>2</v>
      </c>
      <c r="AX416">
        <v>129763666</v>
      </c>
      <c r="AY416">
        <v>1</v>
      </c>
      <c r="AZ416">
        <v>0</v>
      </c>
      <c r="BA416">
        <v>418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X416">
        <f>ROUND(Y416*Source!I387,9)</f>
        <v>37.411771000000002</v>
      </c>
      <c r="CY416">
        <f t="shared" si="163"/>
        <v>1</v>
      </c>
      <c r="CZ416">
        <f t="shared" si="164"/>
        <v>1</v>
      </c>
      <c r="DA416">
        <f t="shared" si="165"/>
        <v>1</v>
      </c>
      <c r="DB416">
        <f t="shared" si="157"/>
        <v>31.67</v>
      </c>
      <c r="DC416">
        <f t="shared" si="158"/>
        <v>0</v>
      </c>
      <c r="DD416" t="s">
        <v>3</v>
      </c>
      <c r="DE416" t="s">
        <v>3</v>
      </c>
      <c r="DF416">
        <f t="shared" si="166"/>
        <v>0</v>
      </c>
      <c r="DG416">
        <f t="shared" si="168"/>
        <v>37.409999999999997</v>
      </c>
      <c r="DH416">
        <f t="shared" si="169"/>
        <v>0</v>
      </c>
      <c r="DI416">
        <f t="shared" si="152"/>
        <v>0</v>
      </c>
      <c r="DJ416">
        <f t="shared" si="167"/>
        <v>37.409999999999997</v>
      </c>
      <c r="DK416">
        <v>0</v>
      </c>
    </row>
    <row r="417" spans="1:115" x14ac:dyDescent="0.2">
      <c r="A417">
        <f>ROW(Source!A388)</f>
        <v>388</v>
      </c>
      <c r="B417">
        <v>129761636</v>
      </c>
      <c r="C417">
        <v>129763667</v>
      </c>
      <c r="D417">
        <v>37345890</v>
      </c>
      <c r="E417">
        <v>37345137</v>
      </c>
      <c r="F417">
        <v>1</v>
      </c>
      <c r="G417">
        <v>37345137</v>
      </c>
      <c r="H417">
        <v>2</v>
      </c>
      <c r="I417" t="s">
        <v>1145</v>
      </c>
      <c r="J417" t="s">
        <v>3</v>
      </c>
      <c r="K417" t="s">
        <v>1146</v>
      </c>
      <c r="L417">
        <v>1344</v>
      </c>
      <c r="N417">
        <v>1008</v>
      </c>
      <c r="O417" t="s">
        <v>1138</v>
      </c>
      <c r="P417" t="s">
        <v>1138</v>
      </c>
      <c r="Q417">
        <v>1</v>
      </c>
      <c r="W417">
        <v>0</v>
      </c>
      <c r="X417">
        <v>-1180195794</v>
      </c>
      <c r="Y417">
        <f t="shared" si="153"/>
        <v>22.57</v>
      </c>
      <c r="AA417">
        <v>0</v>
      </c>
      <c r="AB417">
        <v>1</v>
      </c>
      <c r="AC417">
        <v>0</v>
      </c>
      <c r="AD417">
        <v>0</v>
      </c>
      <c r="AE417">
        <v>0</v>
      </c>
      <c r="AF417">
        <v>1</v>
      </c>
      <c r="AG417">
        <v>0</v>
      </c>
      <c r="AH417">
        <v>0</v>
      </c>
      <c r="AI417">
        <v>1</v>
      </c>
      <c r="AJ417">
        <v>1</v>
      </c>
      <c r="AK417">
        <v>1</v>
      </c>
      <c r="AL417">
        <v>1</v>
      </c>
      <c r="AN417">
        <v>0</v>
      </c>
      <c r="AO417">
        <v>1</v>
      </c>
      <c r="AP417">
        <v>0</v>
      </c>
      <c r="AQ417">
        <v>0</v>
      </c>
      <c r="AR417">
        <v>0</v>
      </c>
      <c r="AS417" t="s">
        <v>3</v>
      </c>
      <c r="AT417">
        <v>22.57</v>
      </c>
      <c r="AU417" t="s">
        <v>3</v>
      </c>
      <c r="AV417">
        <v>0</v>
      </c>
      <c r="AW417">
        <v>2</v>
      </c>
      <c r="AX417">
        <v>129763669</v>
      </c>
      <c r="AY417">
        <v>1</v>
      </c>
      <c r="AZ417">
        <v>0</v>
      </c>
      <c r="BA417">
        <v>419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X417">
        <f>ROUND(Y417*Source!I388,9)</f>
        <v>870.98081400000001</v>
      </c>
      <c r="CY417">
        <f t="shared" si="163"/>
        <v>1</v>
      </c>
      <c r="CZ417">
        <f t="shared" si="164"/>
        <v>1</v>
      </c>
      <c r="DA417">
        <f t="shared" si="165"/>
        <v>1</v>
      </c>
      <c r="DB417">
        <f t="shared" si="157"/>
        <v>22.57</v>
      </c>
      <c r="DC417">
        <f t="shared" si="158"/>
        <v>0</v>
      </c>
      <c r="DD417" t="s">
        <v>3</v>
      </c>
      <c r="DE417" t="s">
        <v>3</v>
      </c>
      <c r="DF417">
        <f t="shared" si="166"/>
        <v>0</v>
      </c>
      <c r="DG417">
        <f t="shared" si="168"/>
        <v>870.98</v>
      </c>
      <c r="DH417">
        <f t="shared" si="169"/>
        <v>0</v>
      </c>
      <c r="DI417">
        <f t="shared" si="152"/>
        <v>0</v>
      </c>
      <c r="DJ417">
        <f t="shared" si="167"/>
        <v>870.98</v>
      </c>
      <c r="DK417">
        <v>0</v>
      </c>
    </row>
    <row r="418" spans="1:115" x14ac:dyDescent="0.2">
      <c r="A418">
        <f>ROW(Source!A389)</f>
        <v>389</v>
      </c>
      <c r="B418">
        <v>129761633</v>
      </c>
      <c r="C418">
        <v>129763667</v>
      </c>
      <c r="D418">
        <v>37345890</v>
      </c>
      <c r="E418">
        <v>37345137</v>
      </c>
      <c r="F418">
        <v>1</v>
      </c>
      <c r="G418">
        <v>37345137</v>
      </c>
      <c r="H418">
        <v>2</v>
      </c>
      <c r="I418" t="s">
        <v>1145</v>
      </c>
      <c r="J418" t="s">
        <v>3</v>
      </c>
      <c r="K418" t="s">
        <v>1146</v>
      </c>
      <c r="L418">
        <v>1344</v>
      </c>
      <c r="N418">
        <v>1008</v>
      </c>
      <c r="O418" t="s">
        <v>1138</v>
      </c>
      <c r="P418" t="s">
        <v>1138</v>
      </c>
      <c r="Q418">
        <v>1</v>
      </c>
      <c r="W418">
        <v>0</v>
      </c>
      <c r="X418">
        <v>-1180195794</v>
      </c>
      <c r="Y418">
        <f t="shared" si="153"/>
        <v>22.57</v>
      </c>
      <c r="AA418">
        <v>0</v>
      </c>
      <c r="AB418">
        <v>1</v>
      </c>
      <c r="AC418">
        <v>0</v>
      </c>
      <c r="AD418">
        <v>0</v>
      </c>
      <c r="AE418">
        <v>0</v>
      </c>
      <c r="AF418">
        <v>1</v>
      </c>
      <c r="AG418">
        <v>0</v>
      </c>
      <c r="AH418">
        <v>0</v>
      </c>
      <c r="AI418">
        <v>1</v>
      </c>
      <c r="AJ418">
        <v>1</v>
      </c>
      <c r="AK418">
        <v>1</v>
      </c>
      <c r="AL418">
        <v>1</v>
      </c>
      <c r="AN418">
        <v>0</v>
      </c>
      <c r="AO418">
        <v>1</v>
      </c>
      <c r="AP418">
        <v>0</v>
      </c>
      <c r="AQ418">
        <v>0</v>
      </c>
      <c r="AR418">
        <v>0</v>
      </c>
      <c r="AS418" t="s">
        <v>3</v>
      </c>
      <c r="AT418">
        <v>22.57</v>
      </c>
      <c r="AU418" t="s">
        <v>3</v>
      </c>
      <c r="AV418">
        <v>0</v>
      </c>
      <c r="AW418">
        <v>2</v>
      </c>
      <c r="AX418">
        <v>129763669</v>
      </c>
      <c r="AY418">
        <v>1</v>
      </c>
      <c r="AZ418">
        <v>0</v>
      </c>
      <c r="BA418">
        <v>420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X418">
        <f>ROUND(Y418*Source!I389,9)</f>
        <v>870.98081400000001</v>
      </c>
      <c r="CY418">
        <f t="shared" si="163"/>
        <v>1</v>
      </c>
      <c r="CZ418">
        <f t="shared" si="164"/>
        <v>1</v>
      </c>
      <c r="DA418">
        <f t="shared" si="165"/>
        <v>1</v>
      </c>
      <c r="DB418">
        <f t="shared" si="157"/>
        <v>22.57</v>
      </c>
      <c r="DC418">
        <f t="shared" si="158"/>
        <v>0</v>
      </c>
      <c r="DD418" t="s">
        <v>3</v>
      </c>
      <c r="DE418" t="s">
        <v>3</v>
      </c>
      <c r="DF418">
        <f t="shared" si="166"/>
        <v>0</v>
      </c>
      <c r="DG418">
        <f t="shared" si="168"/>
        <v>870.98</v>
      </c>
      <c r="DH418">
        <f t="shared" si="169"/>
        <v>0</v>
      </c>
      <c r="DI418">
        <f t="shared" si="152"/>
        <v>0</v>
      </c>
      <c r="DJ418">
        <f t="shared" si="167"/>
        <v>870.98</v>
      </c>
      <c r="DK418">
        <v>0</v>
      </c>
    </row>
    <row r="419" spans="1:115" x14ac:dyDescent="0.2">
      <c r="A419">
        <f>ROW(Source!A459)</f>
        <v>459</v>
      </c>
      <c r="B419">
        <v>129761636</v>
      </c>
      <c r="C419">
        <v>129763670</v>
      </c>
      <c r="D419">
        <v>37345142</v>
      </c>
      <c r="E419">
        <v>37345137</v>
      </c>
      <c r="F419">
        <v>1</v>
      </c>
      <c r="G419">
        <v>37345137</v>
      </c>
      <c r="H419">
        <v>1</v>
      </c>
      <c r="I419" t="s">
        <v>1096</v>
      </c>
      <c r="J419" t="s">
        <v>3</v>
      </c>
      <c r="K419" t="s">
        <v>1097</v>
      </c>
      <c r="L419">
        <v>1191</v>
      </c>
      <c r="N419">
        <v>1013</v>
      </c>
      <c r="O419" t="s">
        <v>1098</v>
      </c>
      <c r="P419" t="s">
        <v>1098</v>
      </c>
      <c r="Q419">
        <v>1</v>
      </c>
      <c r="W419">
        <v>0</v>
      </c>
      <c r="X419">
        <v>476480486</v>
      </c>
      <c r="Y419">
        <f>(AT419*0.33)</f>
        <v>70.095300000000009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1</v>
      </c>
      <c r="AJ419">
        <v>1</v>
      </c>
      <c r="AK419">
        <v>1</v>
      </c>
      <c r="AL419">
        <v>1</v>
      </c>
      <c r="AN419">
        <v>0</v>
      </c>
      <c r="AO419">
        <v>1</v>
      </c>
      <c r="AP419">
        <v>1</v>
      </c>
      <c r="AQ419">
        <v>0</v>
      </c>
      <c r="AR419">
        <v>0</v>
      </c>
      <c r="AS419" t="s">
        <v>3</v>
      </c>
      <c r="AT419">
        <v>212.41</v>
      </c>
      <c r="AU419" t="s">
        <v>505</v>
      </c>
      <c r="AV419">
        <v>1</v>
      </c>
      <c r="AW419">
        <v>2</v>
      </c>
      <c r="AX419">
        <v>129763676</v>
      </c>
      <c r="AY419">
        <v>1</v>
      </c>
      <c r="AZ419">
        <v>0</v>
      </c>
      <c r="BA419">
        <v>421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X419">
        <f>ROUND(Y419*Source!I459,9)</f>
        <v>24.603450299999999</v>
      </c>
      <c r="CY419">
        <f>AD419</f>
        <v>0</v>
      </c>
      <c r="CZ419">
        <f>AH419</f>
        <v>0</v>
      </c>
      <c r="DA419">
        <f>AL419</f>
        <v>1</v>
      </c>
      <c r="DB419">
        <f>ROUND((ROUND(AT419*CZ419,2)*0.33),6)</f>
        <v>0</v>
      </c>
      <c r="DC419">
        <f>ROUND((ROUND(AT419*AG419,2)*0.33),6)</f>
        <v>0</v>
      </c>
      <c r="DD419" t="s">
        <v>3</v>
      </c>
      <c r="DE419" t="s">
        <v>3</v>
      </c>
      <c r="DF419">
        <f t="shared" si="166"/>
        <v>0</v>
      </c>
      <c r="DG419">
        <f t="shared" si="168"/>
        <v>0</v>
      </c>
      <c r="DH419">
        <f t="shared" si="169"/>
        <v>0</v>
      </c>
      <c r="DI419">
        <f t="shared" si="152"/>
        <v>0</v>
      </c>
      <c r="DJ419">
        <f>DI419</f>
        <v>0</v>
      </c>
      <c r="DK419">
        <v>0</v>
      </c>
    </row>
    <row r="420" spans="1:115" x14ac:dyDescent="0.2">
      <c r="A420">
        <f>ROW(Source!A459)</f>
        <v>459</v>
      </c>
      <c r="B420">
        <v>129761636</v>
      </c>
      <c r="C420">
        <v>129763670</v>
      </c>
      <c r="D420">
        <v>37418063</v>
      </c>
      <c r="E420">
        <v>1</v>
      </c>
      <c r="F420">
        <v>1</v>
      </c>
      <c r="G420">
        <v>37345137</v>
      </c>
      <c r="H420">
        <v>2</v>
      </c>
      <c r="I420" t="s">
        <v>1153</v>
      </c>
      <c r="J420" t="s">
        <v>1154</v>
      </c>
      <c r="K420" t="s">
        <v>1155</v>
      </c>
      <c r="L420">
        <v>1367</v>
      </c>
      <c r="N420">
        <v>1011</v>
      </c>
      <c r="O420" t="s">
        <v>1102</v>
      </c>
      <c r="P420" t="s">
        <v>1102</v>
      </c>
      <c r="Q420">
        <v>1</v>
      </c>
      <c r="W420">
        <v>0</v>
      </c>
      <c r="X420">
        <v>-668768829</v>
      </c>
      <c r="Y420">
        <f>AT420</f>
        <v>27.5</v>
      </c>
      <c r="AA420">
        <v>0</v>
      </c>
      <c r="AB420">
        <v>41.62</v>
      </c>
      <c r="AC420">
        <v>13.33</v>
      </c>
      <c r="AD420">
        <v>0</v>
      </c>
      <c r="AE420">
        <v>0</v>
      </c>
      <c r="AF420">
        <v>41.62</v>
      </c>
      <c r="AG420">
        <v>13.33</v>
      </c>
      <c r="AH420">
        <v>0</v>
      </c>
      <c r="AI420">
        <v>1</v>
      </c>
      <c r="AJ420">
        <v>1</v>
      </c>
      <c r="AK420">
        <v>1</v>
      </c>
      <c r="AL420">
        <v>1</v>
      </c>
      <c r="AN420">
        <v>0</v>
      </c>
      <c r="AO420">
        <v>1</v>
      </c>
      <c r="AP420">
        <v>0</v>
      </c>
      <c r="AQ420">
        <v>0</v>
      </c>
      <c r="AR420">
        <v>0</v>
      </c>
      <c r="AS420" t="s">
        <v>3</v>
      </c>
      <c r="AT420">
        <v>27.5</v>
      </c>
      <c r="AU420" t="s">
        <v>3</v>
      </c>
      <c r="AV420">
        <v>0</v>
      </c>
      <c r="AW420">
        <v>2</v>
      </c>
      <c r="AX420">
        <v>129763677</v>
      </c>
      <c r="AY420">
        <v>1</v>
      </c>
      <c r="AZ420">
        <v>0</v>
      </c>
      <c r="BA420">
        <v>422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X420">
        <f>ROUND(Y420*Source!I459,9)</f>
        <v>9.6524999999999999</v>
      </c>
      <c r="CY420">
        <f>AB420</f>
        <v>41.62</v>
      </c>
      <c r="CZ420">
        <f>AF420</f>
        <v>41.62</v>
      </c>
      <c r="DA420">
        <f>AJ420</f>
        <v>1</v>
      </c>
      <c r="DB420">
        <f>ROUND(ROUND(AT420*CZ420,2),6)</f>
        <v>1144.55</v>
      </c>
      <c r="DC420">
        <f>ROUND(ROUND(AT420*AG420,2),6)</f>
        <v>366.58</v>
      </c>
      <c r="DD420" t="s">
        <v>3</v>
      </c>
      <c r="DE420" t="s">
        <v>3</v>
      </c>
      <c r="DF420">
        <f t="shared" si="166"/>
        <v>0</v>
      </c>
      <c r="DG420">
        <f t="shared" si="168"/>
        <v>401.74</v>
      </c>
      <c r="DH420">
        <f t="shared" si="169"/>
        <v>128.66999999999999</v>
      </c>
      <c r="DI420">
        <f t="shared" si="152"/>
        <v>0</v>
      </c>
      <c r="DJ420">
        <f>DG420</f>
        <v>401.74</v>
      </c>
      <c r="DK420">
        <v>0</v>
      </c>
    </row>
    <row r="421" spans="1:115" x14ac:dyDescent="0.2">
      <c r="A421">
        <f>ROW(Source!A459)</f>
        <v>459</v>
      </c>
      <c r="B421">
        <v>129761636</v>
      </c>
      <c r="C421">
        <v>129763670</v>
      </c>
      <c r="D421">
        <v>37418523</v>
      </c>
      <c r="E421">
        <v>1</v>
      </c>
      <c r="F421">
        <v>1</v>
      </c>
      <c r="G421">
        <v>37345137</v>
      </c>
      <c r="H421">
        <v>2</v>
      </c>
      <c r="I421" t="s">
        <v>1156</v>
      </c>
      <c r="J421" t="s">
        <v>1157</v>
      </c>
      <c r="K421" t="s">
        <v>1158</v>
      </c>
      <c r="L421">
        <v>1367</v>
      </c>
      <c r="N421">
        <v>1011</v>
      </c>
      <c r="O421" t="s">
        <v>1102</v>
      </c>
      <c r="P421" t="s">
        <v>1102</v>
      </c>
      <c r="Q421">
        <v>1</v>
      </c>
      <c r="W421">
        <v>0</v>
      </c>
      <c r="X421">
        <v>-48163219</v>
      </c>
      <c r="Y421">
        <f>AT421</f>
        <v>27.5</v>
      </c>
      <c r="AA421">
        <v>0</v>
      </c>
      <c r="AB421">
        <v>3.16</v>
      </c>
      <c r="AC421">
        <v>0.04</v>
      </c>
      <c r="AD421">
        <v>0</v>
      </c>
      <c r="AE421">
        <v>0</v>
      </c>
      <c r="AF421">
        <v>3.16</v>
      </c>
      <c r="AG421">
        <v>0.04</v>
      </c>
      <c r="AH421">
        <v>0</v>
      </c>
      <c r="AI421">
        <v>1</v>
      </c>
      <c r="AJ421">
        <v>1</v>
      </c>
      <c r="AK421">
        <v>1</v>
      </c>
      <c r="AL421">
        <v>1</v>
      </c>
      <c r="AN421">
        <v>0</v>
      </c>
      <c r="AO421">
        <v>1</v>
      </c>
      <c r="AP421">
        <v>0</v>
      </c>
      <c r="AQ421">
        <v>0</v>
      </c>
      <c r="AR421">
        <v>0</v>
      </c>
      <c r="AS421" t="s">
        <v>3</v>
      </c>
      <c r="AT421">
        <v>27.5</v>
      </c>
      <c r="AU421" t="s">
        <v>3</v>
      </c>
      <c r="AV421">
        <v>0</v>
      </c>
      <c r="AW421">
        <v>2</v>
      </c>
      <c r="AX421">
        <v>129763678</v>
      </c>
      <c r="AY421">
        <v>1</v>
      </c>
      <c r="AZ421">
        <v>0</v>
      </c>
      <c r="BA421">
        <v>423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CX421">
        <f>ROUND(Y421*Source!I459,9)</f>
        <v>9.6524999999999999</v>
      </c>
      <c r="CY421">
        <f>AB421</f>
        <v>3.16</v>
      </c>
      <c r="CZ421">
        <f>AF421</f>
        <v>3.16</v>
      </c>
      <c r="DA421">
        <f>AJ421</f>
        <v>1</v>
      </c>
      <c r="DB421">
        <f>ROUND(ROUND(AT421*CZ421,2),6)</f>
        <v>86.9</v>
      </c>
      <c r="DC421">
        <f>ROUND(ROUND(AT421*AG421,2),6)</f>
        <v>1.1000000000000001</v>
      </c>
      <c r="DD421" t="s">
        <v>3</v>
      </c>
      <c r="DE421" t="s">
        <v>3</v>
      </c>
      <c r="DF421">
        <f t="shared" si="166"/>
        <v>0</v>
      </c>
      <c r="DG421">
        <f t="shared" si="168"/>
        <v>30.5</v>
      </c>
      <c r="DH421">
        <f t="shared" si="169"/>
        <v>0.39</v>
      </c>
      <c r="DI421">
        <f t="shared" si="152"/>
        <v>0</v>
      </c>
      <c r="DJ421">
        <f>DG421</f>
        <v>30.5</v>
      </c>
      <c r="DK421">
        <v>0</v>
      </c>
    </row>
    <row r="422" spans="1:115" x14ac:dyDescent="0.2">
      <c r="A422">
        <f>ROW(Source!A459)</f>
        <v>459</v>
      </c>
      <c r="B422">
        <v>129761636</v>
      </c>
      <c r="C422">
        <v>129763670</v>
      </c>
      <c r="D422">
        <v>37345890</v>
      </c>
      <c r="E422">
        <v>37345137</v>
      </c>
      <c r="F422">
        <v>1</v>
      </c>
      <c r="G422">
        <v>37345137</v>
      </c>
      <c r="H422">
        <v>2</v>
      </c>
      <c r="I422" t="s">
        <v>1145</v>
      </c>
      <c r="J422" t="s">
        <v>3</v>
      </c>
      <c r="K422" t="s">
        <v>1146</v>
      </c>
      <c r="L422">
        <v>1344</v>
      </c>
      <c r="N422">
        <v>1008</v>
      </c>
      <c r="O422" t="s">
        <v>1138</v>
      </c>
      <c r="P422" t="s">
        <v>1138</v>
      </c>
      <c r="Q422">
        <v>1</v>
      </c>
      <c r="W422">
        <v>0</v>
      </c>
      <c r="X422">
        <v>-1180195794</v>
      </c>
      <c r="Y422">
        <f>AT422</f>
        <v>162.80000000000001</v>
      </c>
      <c r="AA422">
        <v>0</v>
      </c>
      <c r="AB422">
        <v>1</v>
      </c>
      <c r="AC422">
        <v>0</v>
      </c>
      <c r="AD422">
        <v>0</v>
      </c>
      <c r="AE422">
        <v>0</v>
      </c>
      <c r="AF422">
        <v>1</v>
      </c>
      <c r="AG422">
        <v>0</v>
      </c>
      <c r="AH422">
        <v>0</v>
      </c>
      <c r="AI422">
        <v>1</v>
      </c>
      <c r="AJ422">
        <v>1</v>
      </c>
      <c r="AK422">
        <v>1</v>
      </c>
      <c r="AL422">
        <v>1</v>
      </c>
      <c r="AN422">
        <v>0</v>
      </c>
      <c r="AO422">
        <v>1</v>
      </c>
      <c r="AP422">
        <v>0</v>
      </c>
      <c r="AQ422">
        <v>0</v>
      </c>
      <c r="AR422">
        <v>0</v>
      </c>
      <c r="AS422" t="s">
        <v>3</v>
      </c>
      <c r="AT422">
        <v>162.80000000000001</v>
      </c>
      <c r="AU422" t="s">
        <v>3</v>
      </c>
      <c r="AV422">
        <v>0</v>
      </c>
      <c r="AW422">
        <v>2</v>
      </c>
      <c r="AX422">
        <v>129763679</v>
      </c>
      <c r="AY422">
        <v>1</v>
      </c>
      <c r="AZ422">
        <v>0</v>
      </c>
      <c r="BA422">
        <v>424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CX422">
        <f>ROUND(Y422*Source!I459,9)</f>
        <v>57.142800000000001</v>
      </c>
      <c r="CY422">
        <f>AB422</f>
        <v>1</v>
      </c>
      <c r="CZ422">
        <f>AF422</f>
        <v>1</v>
      </c>
      <c r="DA422">
        <f>AJ422</f>
        <v>1</v>
      </c>
      <c r="DB422">
        <f>ROUND(ROUND(AT422*CZ422,2),6)</f>
        <v>162.80000000000001</v>
      </c>
      <c r="DC422">
        <f>ROUND(ROUND(AT422*AG422,2),6)</f>
        <v>0</v>
      </c>
      <c r="DD422" t="s">
        <v>3</v>
      </c>
      <c r="DE422" t="s">
        <v>3</v>
      </c>
      <c r="DF422">
        <f t="shared" si="166"/>
        <v>0</v>
      </c>
      <c r="DG422">
        <f t="shared" si="168"/>
        <v>57.14</v>
      </c>
      <c r="DH422">
        <f t="shared" si="169"/>
        <v>0</v>
      </c>
      <c r="DI422">
        <f t="shared" si="152"/>
        <v>0</v>
      </c>
      <c r="DJ422">
        <f>DG422</f>
        <v>57.14</v>
      </c>
      <c r="DK422">
        <v>0</v>
      </c>
    </row>
    <row r="423" spans="1:115" x14ac:dyDescent="0.2">
      <c r="A423">
        <f>ROW(Source!A459)</f>
        <v>459</v>
      </c>
      <c r="B423">
        <v>129761636</v>
      </c>
      <c r="C423">
        <v>129763670</v>
      </c>
      <c r="D423">
        <v>37367068</v>
      </c>
      <c r="E423">
        <v>37345137</v>
      </c>
      <c r="F423">
        <v>1</v>
      </c>
      <c r="G423">
        <v>37345137</v>
      </c>
      <c r="H423">
        <v>3</v>
      </c>
      <c r="I423" t="s">
        <v>162</v>
      </c>
      <c r="J423" t="s">
        <v>3</v>
      </c>
      <c r="K423" t="s">
        <v>163</v>
      </c>
      <c r="L423">
        <v>1348</v>
      </c>
      <c r="N423">
        <v>1009</v>
      </c>
      <c r="O423" t="s">
        <v>114</v>
      </c>
      <c r="P423" t="s">
        <v>114</v>
      </c>
      <c r="Q423">
        <v>1000</v>
      </c>
      <c r="W423">
        <v>1</v>
      </c>
      <c r="X423">
        <v>1489638031</v>
      </c>
      <c r="Y423">
        <f>AT423</f>
        <v>-20.61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1</v>
      </c>
      <c r="AJ423">
        <v>1</v>
      </c>
      <c r="AK423">
        <v>1</v>
      </c>
      <c r="AL423">
        <v>1</v>
      </c>
      <c r="AN423">
        <v>0</v>
      </c>
      <c r="AO423">
        <v>1</v>
      </c>
      <c r="AP423">
        <v>0</v>
      </c>
      <c r="AQ423">
        <v>0</v>
      </c>
      <c r="AR423">
        <v>0</v>
      </c>
      <c r="AS423" t="s">
        <v>3</v>
      </c>
      <c r="AT423">
        <v>-20.61</v>
      </c>
      <c r="AU423" t="s">
        <v>3</v>
      </c>
      <c r="AV423">
        <v>0</v>
      </c>
      <c r="AW423">
        <v>2</v>
      </c>
      <c r="AX423">
        <v>129763680</v>
      </c>
      <c r="AY423">
        <v>1</v>
      </c>
      <c r="AZ423">
        <v>6144</v>
      </c>
      <c r="BA423">
        <v>425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CX423">
        <f>ROUND(Y423*Source!I459,9)</f>
        <v>-7.2341100000000003</v>
      </c>
      <c r="CY423">
        <f>AA423</f>
        <v>0</v>
      </c>
      <c r="CZ423">
        <f>AE423</f>
        <v>0</v>
      </c>
      <c r="DA423">
        <f>AI423</f>
        <v>1</v>
      </c>
      <c r="DB423">
        <f>ROUND(ROUND(AT423*CZ423,2),6)</f>
        <v>0</v>
      </c>
      <c r="DC423">
        <f>ROUND(ROUND(AT423*AG423,2),6)</f>
        <v>0</v>
      </c>
      <c r="DD423" t="s">
        <v>3</v>
      </c>
      <c r="DE423" t="s">
        <v>3</v>
      </c>
      <c r="DF423">
        <f t="shared" si="166"/>
        <v>0</v>
      </c>
      <c r="DG423">
        <f t="shared" si="168"/>
        <v>0</v>
      </c>
      <c r="DH423">
        <f t="shared" si="169"/>
        <v>0</v>
      </c>
      <c r="DI423">
        <f t="shared" si="152"/>
        <v>0</v>
      </c>
      <c r="DJ423">
        <f>DF423</f>
        <v>0</v>
      </c>
      <c r="DK423">
        <v>0</v>
      </c>
    </row>
    <row r="424" spans="1:115" x14ac:dyDescent="0.2">
      <c r="A424">
        <f>ROW(Source!A460)</f>
        <v>460</v>
      </c>
      <c r="B424">
        <v>129761633</v>
      </c>
      <c r="C424">
        <v>129763670</v>
      </c>
      <c r="D424">
        <v>37345142</v>
      </c>
      <c r="E424">
        <v>37345137</v>
      </c>
      <c r="F424">
        <v>1</v>
      </c>
      <c r="G424">
        <v>37345137</v>
      </c>
      <c r="H424">
        <v>1</v>
      </c>
      <c r="I424" t="s">
        <v>1096</v>
      </c>
      <c r="J424" t="s">
        <v>3</v>
      </c>
      <c r="K424" t="s">
        <v>1097</v>
      </c>
      <c r="L424">
        <v>1191</v>
      </c>
      <c r="N424">
        <v>1013</v>
      </c>
      <c r="O424" t="s">
        <v>1098</v>
      </c>
      <c r="P424" t="s">
        <v>1098</v>
      </c>
      <c r="Q424">
        <v>1</v>
      </c>
      <c r="W424">
        <v>0</v>
      </c>
      <c r="X424">
        <v>476480486</v>
      </c>
      <c r="Y424">
        <f>(AT424*0.33)</f>
        <v>70.095300000000009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1</v>
      </c>
      <c r="AJ424">
        <v>1</v>
      </c>
      <c r="AK424">
        <v>1</v>
      </c>
      <c r="AL424">
        <v>1</v>
      </c>
      <c r="AN424">
        <v>0</v>
      </c>
      <c r="AO424">
        <v>1</v>
      </c>
      <c r="AP424">
        <v>1</v>
      </c>
      <c r="AQ424">
        <v>0</v>
      </c>
      <c r="AR424">
        <v>0</v>
      </c>
      <c r="AS424" t="s">
        <v>3</v>
      </c>
      <c r="AT424">
        <v>212.41</v>
      </c>
      <c r="AU424" t="s">
        <v>505</v>
      </c>
      <c r="AV424">
        <v>1</v>
      </c>
      <c r="AW424">
        <v>2</v>
      </c>
      <c r="AX424">
        <v>129763676</v>
      </c>
      <c r="AY424">
        <v>1</v>
      </c>
      <c r="AZ424">
        <v>0</v>
      </c>
      <c r="BA424">
        <v>426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CX424">
        <f>ROUND(Y424*Source!I460,9)</f>
        <v>24.603450299999999</v>
      </c>
      <c r="CY424">
        <f>AD424</f>
        <v>0</v>
      </c>
      <c r="CZ424">
        <f>AH424</f>
        <v>0</v>
      </c>
      <c r="DA424">
        <f>AL424</f>
        <v>1</v>
      </c>
      <c r="DB424">
        <f>ROUND((ROUND(AT424*CZ424,2)*0.33),6)</f>
        <v>0</v>
      </c>
      <c r="DC424">
        <f>ROUND((ROUND(AT424*AG424,2)*0.33),6)</f>
        <v>0</v>
      </c>
      <c r="DD424" t="s">
        <v>3</v>
      </c>
      <c r="DE424" t="s">
        <v>3</v>
      </c>
      <c r="DF424">
        <f t="shared" si="166"/>
        <v>0</v>
      </c>
      <c r="DG424">
        <f t="shared" si="168"/>
        <v>0</v>
      </c>
      <c r="DH424">
        <f t="shared" si="169"/>
        <v>0</v>
      </c>
      <c r="DI424">
        <f t="shared" si="152"/>
        <v>0</v>
      </c>
      <c r="DJ424">
        <f>DI424</f>
        <v>0</v>
      </c>
      <c r="DK424">
        <v>0</v>
      </c>
    </row>
    <row r="425" spans="1:115" x14ac:dyDescent="0.2">
      <c r="A425">
        <f>ROW(Source!A460)</f>
        <v>460</v>
      </c>
      <c r="B425">
        <v>129761633</v>
      </c>
      <c r="C425">
        <v>129763670</v>
      </c>
      <c r="D425">
        <v>37418063</v>
      </c>
      <c r="E425">
        <v>1</v>
      </c>
      <c r="F425">
        <v>1</v>
      </c>
      <c r="G425">
        <v>37345137</v>
      </c>
      <c r="H425">
        <v>2</v>
      </c>
      <c r="I425" t="s">
        <v>1153</v>
      </c>
      <c r="J425" t="s">
        <v>1154</v>
      </c>
      <c r="K425" t="s">
        <v>1155</v>
      </c>
      <c r="L425">
        <v>1367</v>
      </c>
      <c r="N425">
        <v>1011</v>
      </c>
      <c r="O425" t="s">
        <v>1102</v>
      </c>
      <c r="P425" t="s">
        <v>1102</v>
      </c>
      <c r="Q425">
        <v>1</v>
      </c>
      <c r="W425">
        <v>0</v>
      </c>
      <c r="X425">
        <v>-668768829</v>
      </c>
      <c r="Y425">
        <f>AT425</f>
        <v>27.5</v>
      </c>
      <c r="AA425">
        <v>0</v>
      </c>
      <c r="AB425">
        <v>721.62</v>
      </c>
      <c r="AC425">
        <v>405.16</v>
      </c>
      <c r="AD425">
        <v>0</v>
      </c>
      <c r="AE425">
        <v>0</v>
      </c>
      <c r="AF425">
        <v>41.62</v>
      </c>
      <c r="AG425">
        <v>13.33</v>
      </c>
      <c r="AH425">
        <v>0</v>
      </c>
      <c r="AI425">
        <v>1</v>
      </c>
      <c r="AJ425">
        <v>16.559999999999999</v>
      </c>
      <c r="AK425">
        <v>29.03</v>
      </c>
      <c r="AL425">
        <v>1</v>
      </c>
      <c r="AN425">
        <v>0</v>
      </c>
      <c r="AO425">
        <v>1</v>
      </c>
      <c r="AP425">
        <v>0</v>
      </c>
      <c r="AQ425">
        <v>0</v>
      </c>
      <c r="AR425">
        <v>0</v>
      </c>
      <c r="AS425" t="s">
        <v>3</v>
      </c>
      <c r="AT425">
        <v>27.5</v>
      </c>
      <c r="AU425" t="s">
        <v>3</v>
      </c>
      <c r="AV425">
        <v>0</v>
      </c>
      <c r="AW425">
        <v>2</v>
      </c>
      <c r="AX425">
        <v>129763677</v>
      </c>
      <c r="AY425">
        <v>1</v>
      </c>
      <c r="AZ425">
        <v>0</v>
      </c>
      <c r="BA425">
        <v>427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CX425">
        <f>ROUND(Y425*Source!I460,9)</f>
        <v>9.6524999999999999</v>
      </c>
      <c r="CY425">
        <f>AB425</f>
        <v>721.62</v>
      </c>
      <c r="CZ425">
        <f>AF425</f>
        <v>41.62</v>
      </c>
      <c r="DA425">
        <f>AJ425</f>
        <v>16.559999999999999</v>
      </c>
      <c r="DB425">
        <f>ROUND(ROUND(AT425*CZ425,2),6)</f>
        <v>1144.55</v>
      </c>
      <c r="DC425">
        <f>ROUND(ROUND(AT425*AG425,2),6)</f>
        <v>366.58</v>
      </c>
      <c r="DD425" t="s">
        <v>3</v>
      </c>
      <c r="DE425" t="s">
        <v>3</v>
      </c>
      <c r="DF425">
        <f t="shared" si="166"/>
        <v>0</v>
      </c>
      <c r="DG425">
        <f>ROUND(ROUND(AF425*CX425,2)*AJ425,2)</f>
        <v>6652.81</v>
      </c>
      <c r="DH425">
        <f>ROUND(ROUND(AG425*CX425,2)*AK425,2)</f>
        <v>3735.29</v>
      </c>
      <c r="DI425">
        <f t="shared" si="152"/>
        <v>0</v>
      </c>
      <c r="DJ425">
        <f>DG425</f>
        <v>6652.81</v>
      </c>
      <c r="DK425">
        <v>0</v>
      </c>
    </row>
    <row r="426" spans="1:115" x14ac:dyDescent="0.2">
      <c r="A426">
        <f>ROW(Source!A460)</f>
        <v>460</v>
      </c>
      <c r="B426">
        <v>129761633</v>
      </c>
      <c r="C426">
        <v>129763670</v>
      </c>
      <c r="D426">
        <v>37418523</v>
      </c>
      <c r="E426">
        <v>1</v>
      </c>
      <c r="F426">
        <v>1</v>
      </c>
      <c r="G426">
        <v>37345137</v>
      </c>
      <c r="H426">
        <v>2</v>
      </c>
      <c r="I426" t="s">
        <v>1156</v>
      </c>
      <c r="J426" t="s">
        <v>1157</v>
      </c>
      <c r="K426" t="s">
        <v>1158</v>
      </c>
      <c r="L426">
        <v>1367</v>
      </c>
      <c r="N426">
        <v>1011</v>
      </c>
      <c r="O426" t="s">
        <v>1102</v>
      </c>
      <c r="P426" t="s">
        <v>1102</v>
      </c>
      <c r="Q426">
        <v>1</v>
      </c>
      <c r="W426">
        <v>0</v>
      </c>
      <c r="X426">
        <v>-48163219</v>
      </c>
      <c r="Y426">
        <f>AT426</f>
        <v>27.5</v>
      </c>
      <c r="AA426">
        <v>0</v>
      </c>
      <c r="AB426">
        <v>25.61</v>
      </c>
      <c r="AC426">
        <v>1.22</v>
      </c>
      <c r="AD426">
        <v>0</v>
      </c>
      <c r="AE426">
        <v>0</v>
      </c>
      <c r="AF426">
        <v>3.16</v>
      </c>
      <c r="AG426">
        <v>0.04</v>
      </c>
      <c r="AH426">
        <v>0</v>
      </c>
      <c r="AI426">
        <v>1</v>
      </c>
      <c r="AJ426">
        <v>7.74</v>
      </c>
      <c r="AK426">
        <v>29.03</v>
      </c>
      <c r="AL426">
        <v>1</v>
      </c>
      <c r="AN426">
        <v>0</v>
      </c>
      <c r="AO426">
        <v>1</v>
      </c>
      <c r="AP426">
        <v>0</v>
      </c>
      <c r="AQ426">
        <v>0</v>
      </c>
      <c r="AR426">
        <v>0</v>
      </c>
      <c r="AS426" t="s">
        <v>3</v>
      </c>
      <c r="AT426">
        <v>27.5</v>
      </c>
      <c r="AU426" t="s">
        <v>3</v>
      </c>
      <c r="AV426">
        <v>0</v>
      </c>
      <c r="AW426">
        <v>2</v>
      </c>
      <c r="AX426">
        <v>129763678</v>
      </c>
      <c r="AY426">
        <v>1</v>
      </c>
      <c r="AZ426">
        <v>0</v>
      </c>
      <c r="BA426">
        <v>428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CX426">
        <f>ROUND(Y426*Source!I460,9)</f>
        <v>9.6524999999999999</v>
      </c>
      <c r="CY426">
        <f>AB426</f>
        <v>25.61</v>
      </c>
      <c r="CZ426">
        <f>AF426</f>
        <v>3.16</v>
      </c>
      <c r="DA426">
        <f>AJ426</f>
        <v>7.74</v>
      </c>
      <c r="DB426">
        <f>ROUND(ROUND(AT426*CZ426,2),6)</f>
        <v>86.9</v>
      </c>
      <c r="DC426">
        <f>ROUND(ROUND(AT426*AG426,2),6)</f>
        <v>1.1000000000000001</v>
      </c>
      <c r="DD426" t="s">
        <v>3</v>
      </c>
      <c r="DE426" t="s">
        <v>3</v>
      </c>
      <c r="DF426">
        <f t="shared" si="166"/>
        <v>0</v>
      </c>
      <c r="DG426">
        <f>ROUND(ROUND(AF426*CX426,2)*AJ426,2)</f>
        <v>236.07</v>
      </c>
      <c r="DH426">
        <f>ROUND(ROUND(AG426*CX426,2)*AK426,2)</f>
        <v>11.32</v>
      </c>
      <c r="DI426">
        <f t="shared" si="152"/>
        <v>0</v>
      </c>
      <c r="DJ426">
        <f>DG426</f>
        <v>236.07</v>
      </c>
      <c r="DK426">
        <v>0</v>
      </c>
    </row>
    <row r="427" spans="1:115" x14ac:dyDescent="0.2">
      <c r="A427">
        <f>ROW(Source!A460)</f>
        <v>460</v>
      </c>
      <c r="B427">
        <v>129761633</v>
      </c>
      <c r="C427">
        <v>129763670</v>
      </c>
      <c r="D427">
        <v>37345890</v>
      </c>
      <c r="E427">
        <v>37345137</v>
      </c>
      <c r="F427">
        <v>1</v>
      </c>
      <c r="G427">
        <v>37345137</v>
      </c>
      <c r="H427">
        <v>2</v>
      </c>
      <c r="I427" t="s">
        <v>1145</v>
      </c>
      <c r="J427" t="s">
        <v>3</v>
      </c>
      <c r="K427" t="s">
        <v>1146</v>
      </c>
      <c r="L427">
        <v>1344</v>
      </c>
      <c r="N427">
        <v>1008</v>
      </c>
      <c r="O427" t="s">
        <v>1138</v>
      </c>
      <c r="P427" t="s">
        <v>1138</v>
      </c>
      <c r="Q427">
        <v>1</v>
      </c>
      <c r="W427">
        <v>0</v>
      </c>
      <c r="X427">
        <v>-1180195794</v>
      </c>
      <c r="Y427">
        <f>AT427</f>
        <v>162.80000000000001</v>
      </c>
      <c r="AA427">
        <v>0</v>
      </c>
      <c r="AB427">
        <v>1.05</v>
      </c>
      <c r="AC427">
        <v>0</v>
      </c>
      <c r="AD427">
        <v>0</v>
      </c>
      <c r="AE427">
        <v>0</v>
      </c>
      <c r="AF427">
        <v>1</v>
      </c>
      <c r="AG427">
        <v>0</v>
      </c>
      <c r="AH427">
        <v>0</v>
      </c>
      <c r="AI427">
        <v>1</v>
      </c>
      <c r="AJ427">
        <v>1</v>
      </c>
      <c r="AK427">
        <v>1</v>
      </c>
      <c r="AL427">
        <v>1</v>
      </c>
      <c r="AN427">
        <v>0</v>
      </c>
      <c r="AO427">
        <v>1</v>
      </c>
      <c r="AP427">
        <v>0</v>
      </c>
      <c r="AQ427">
        <v>0</v>
      </c>
      <c r="AR427">
        <v>0</v>
      </c>
      <c r="AS427" t="s">
        <v>3</v>
      </c>
      <c r="AT427">
        <v>162.80000000000001</v>
      </c>
      <c r="AU427" t="s">
        <v>3</v>
      </c>
      <c r="AV427">
        <v>0</v>
      </c>
      <c r="AW427">
        <v>2</v>
      </c>
      <c r="AX427">
        <v>129763679</v>
      </c>
      <c r="AY427">
        <v>1</v>
      </c>
      <c r="AZ427">
        <v>0</v>
      </c>
      <c r="BA427">
        <v>429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CX427">
        <f>ROUND(Y427*Source!I460,9)</f>
        <v>57.142800000000001</v>
      </c>
      <c r="CY427">
        <f>AB427</f>
        <v>1.05</v>
      </c>
      <c r="CZ427">
        <f>AF427</f>
        <v>1</v>
      </c>
      <c r="DA427">
        <f>AJ427</f>
        <v>1</v>
      </c>
      <c r="DB427">
        <f>ROUND(ROUND(AT427*CZ427,2),6)</f>
        <v>162.80000000000001</v>
      </c>
      <c r="DC427">
        <f>ROUND(ROUND(AT427*AG427,2),6)</f>
        <v>0</v>
      </c>
      <c r="DD427" t="s">
        <v>3</v>
      </c>
      <c r="DE427" t="s">
        <v>3</v>
      </c>
      <c r="DF427">
        <f t="shared" si="166"/>
        <v>0</v>
      </c>
      <c r="DG427">
        <f t="shared" ref="DG427:DG438" si="170">ROUND(AF427*CX427,2)</f>
        <v>57.14</v>
      </c>
      <c r="DH427">
        <f t="shared" ref="DH427:DH438" si="171">ROUND(AG427*CX427,2)</f>
        <v>0</v>
      </c>
      <c r="DI427">
        <f t="shared" si="152"/>
        <v>0</v>
      </c>
      <c r="DJ427">
        <f>DG427</f>
        <v>57.14</v>
      </c>
      <c r="DK427">
        <v>0</v>
      </c>
    </row>
    <row r="428" spans="1:115" x14ac:dyDescent="0.2">
      <c r="A428">
        <f>ROW(Source!A460)</f>
        <v>460</v>
      </c>
      <c r="B428">
        <v>129761633</v>
      </c>
      <c r="C428">
        <v>129763670</v>
      </c>
      <c r="D428">
        <v>37367068</v>
      </c>
      <c r="E428">
        <v>37345137</v>
      </c>
      <c r="F428">
        <v>1</v>
      </c>
      <c r="G428">
        <v>37345137</v>
      </c>
      <c r="H428">
        <v>3</v>
      </c>
      <c r="I428" t="s">
        <v>162</v>
      </c>
      <c r="J428" t="s">
        <v>3</v>
      </c>
      <c r="K428" t="s">
        <v>163</v>
      </c>
      <c r="L428">
        <v>1348</v>
      </c>
      <c r="N428">
        <v>1009</v>
      </c>
      <c r="O428" t="s">
        <v>114</v>
      </c>
      <c r="P428" t="s">
        <v>114</v>
      </c>
      <c r="Q428">
        <v>1000</v>
      </c>
      <c r="W428">
        <v>1</v>
      </c>
      <c r="X428">
        <v>1489638031</v>
      </c>
      <c r="Y428">
        <f>AT428</f>
        <v>-20.61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8.65</v>
      </c>
      <c r="AJ428">
        <v>1</v>
      </c>
      <c r="AK428">
        <v>1</v>
      </c>
      <c r="AL428">
        <v>1</v>
      </c>
      <c r="AN428">
        <v>0</v>
      </c>
      <c r="AO428">
        <v>1</v>
      </c>
      <c r="AP428">
        <v>0</v>
      </c>
      <c r="AQ428">
        <v>0</v>
      </c>
      <c r="AR428">
        <v>0</v>
      </c>
      <c r="AS428" t="s">
        <v>3</v>
      </c>
      <c r="AT428">
        <v>-20.61</v>
      </c>
      <c r="AU428" t="s">
        <v>3</v>
      </c>
      <c r="AV428">
        <v>0</v>
      </c>
      <c r="AW428">
        <v>2</v>
      </c>
      <c r="AX428">
        <v>129763680</v>
      </c>
      <c r="AY428">
        <v>1</v>
      </c>
      <c r="AZ428">
        <v>6144</v>
      </c>
      <c r="BA428">
        <v>430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CX428">
        <f>ROUND(Y428*Source!I460,9)</f>
        <v>-7.2341100000000003</v>
      </c>
      <c r="CY428">
        <f>AA428</f>
        <v>0</v>
      </c>
      <c r="CZ428">
        <f>AE428</f>
        <v>0</v>
      </c>
      <c r="DA428">
        <f>AI428</f>
        <v>8.65</v>
      </c>
      <c r="DB428">
        <f>ROUND(ROUND(AT428*CZ428,2),6)</f>
        <v>0</v>
      </c>
      <c r="DC428">
        <f>ROUND(ROUND(AT428*AG428,2),6)</f>
        <v>0</v>
      </c>
      <c r="DD428" t="s">
        <v>3</v>
      </c>
      <c r="DE428" t="s">
        <v>3</v>
      </c>
      <c r="DF428">
        <f>ROUND(ROUND(AE428*CX428,2)*AI428,2)</f>
        <v>0</v>
      </c>
      <c r="DG428">
        <f t="shared" si="170"/>
        <v>0</v>
      </c>
      <c r="DH428">
        <f t="shared" si="171"/>
        <v>0</v>
      </c>
      <c r="DI428">
        <f t="shared" si="152"/>
        <v>0</v>
      </c>
      <c r="DJ428">
        <f>DF428</f>
        <v>0</v>
      </c>
      <c r="DK428">
        <v>0</v>
      </c>
    </row>
    <row r="429" spans="1:115" x14ac:dyDescent="0.2">
      <c r="A429">
        <f>ROW(Source!A463)</f>
        <v>463</v>
      </c>
      <c r="B429">
        <v>129761636</v>
      </c>
      <c r="C429">
        <v>129763682</v>
      </c>
      <c r="D429">
        <v>37345142</v>
      </c>
      <c r="E429">
        <v>37345137</v>
      </c>
      <c r="F429">
        <v>1</v>
      </c>
      <c r="G429">
        <v>37345137</v>
      </c>
      <c r="H429">
        <v>1</v>
      </c>
      <c r="I429" t="s">
        <v>1096</v>
      </c>
      <c r="J429" t="s">
        <v>3</v>
      </c>
      <c r="K429" t="s">
        <v>1097</v>
      </c>
      <c r="L429">
        <v>1191</v>
      </c>
      <c r="N429">
        <v>1013</v>
      </c>
      <c r="O429" t="s">
        <v>1098</v>
      </c>
      <c r="P429" t="s">
        <v>1098</v>
      </c>
      <c r="Q429">
        <v>1</v>
      </c>
      <c r="W429">
        <v>0</v>
      </c>
      <c r="X429">
        <v>476480486</v>
      </c>
      <c r="Y429">
        <f t="shared" ref="Y429:Y436" si="172">(AT429*0.6)</f>
        <v>54.6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1</v>
      </c>
      <c r="AJ429">
        <v>1</v>
      </c>
      <c r="AK429">
        <v>1</v>
      </c>
      <c r="AL429">
        <v>1</v>
      </c>
      <c r="AN429">
        <v>0</v>
      </c>
      <c r="AO429">
        <v>1</v>
      </c>
      <c r="AP429">
        <v>1</v>
      </c>
      <c r="AQ429">
        <v>0</v>
      </c>
      <c r="AR429">
        <v>0</v>
      </c>
      <c r="AS429" t="s">
        <v>3</v>
      </c>
      <c r="AT429">
        <v>91</v>
      </c>
      <c r="AU429" t="s">
        <v>142</v>
      </c>
      <c r="AV429">
        <v>1</v>
      </c>
      <c r="AW429">
        <v>2</v>
      </c>
      <c r="AX429">
        <v>129763692</v>
      </c>
      <c r="AY429">
        <v>1</v>
      </c>
      <c r="AZ429">
        <v>0</v>
      </c>
      <c r="BA429">
        <v>431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CX429">
        <f>ROUND(Y429*Source!I463,9)</f>
        <v>43.68</v>
      </c>
      <c r="CY429">
        <f>AD429</f>
        <v>0</v>
      </c>
      <c r="CZ429">
        <f>AH429</f>
        <v>0</v>
      </c>
      <c r="DA429">
        <f>AL429</f>
        <v>1</v>
      </c>
      <c r="DB429">
        <f t="shared" ref="DB429:DB436" si="173">ROUND((ROUND(AT429*CZ429,2)*0.6),6)</f>
        <v>0</v>
      </c>
      <c r="DC429">
        <f t="shared" ref="DC429:DC436" si="174">ROUND((ROUND(AT429*AG429,2)*0.6),6)</f>
        <v>0</v>
      </c>
      <c r="DD429" t="s">
        <v>3</v>
      </c>
      <c r="DE429" t="s">
        <v>3</v>
      </c>
      <c r="DF429">
        <f t="shared" ref="DF429:DF444" si="175">ROUND(AE429*CX429,2)</f>
        <v>0</v>
      </c>
      <c r="DG429">
        <f t="shared" si="170"/>
        <v>0</v>
      </c>
      <c r="DH429">
        <f t="shared" si="171"/>
        <v>0</v>
      </c>
      <c r="DI429">
        <f t="shared" si="152"/>
        <v>0</v>
      </c>
      <c r="DJ429">
        <f>DI429</f>
        <v>0</v>
      </c>
      <c r="DK429">
        <v>0</v>
      </c>
    </row>
    <row r="430" spans="1:115" x14ac:dyDescent="0.2">
      <c r="A430">
        <f>ROW(Source!A463)</f>
        <v>463</v>
      </c>
      <c r="B430">
        <v>129761636</v>
      </c>
      <c r="C430">
        <v>129763682</v>
      </c>
      <c r="D430">
        <v>37418162</v>
      </c>
      <c r="E430">
        <v>1</v>
      </c>
      <c r="F430">
        <v>1</v>
      </c>
      <c r="G430">
        <v>37345137</v>
      </c>
      <c r="H430">
        <v>2</v>
      </c>
      <c r="I430" t="s">
        <v>1174</v>
      </c>
      <c r="J430" t="s">
        <v>1175</v>
      </c>
      <c r="K430" t="s">
        <v>1176</v>
      </c>
      <c r="L430">
        <v>1367</v>
      </c>
      <c r="N430">
        <v>1011</v>
      </c>
      <c r="O430" t="s">
        <v>1102</v>
      </c>
      <c r="P430" t="s">
        <v>1102</v>
      </c>
      <c r="Q430">
        <v>1</v>
      </c>
      <c r="W430">
        <v>0</v>
      </c>
      <c r="X430">
        <v>49912578</v>
      </c>
      <c r="Y430">
        <f t="shared" si="172"/>
        <v>16.38</v>
      </c>
      <c r="AA430">
        <v>0</v>
      </c>
      <c r="AB430">
        <v>6.15</v>
      </c>
      <c r="AC430">
        <v>0.02</v>
      </c>
      <c r="AD430">
        <v>0</v>
      </c>
      <c r="AE430">
        <v>0</v>
      </c>
      <c r="AF430">
        <v>6.15</v>
      </c>
      <c r="AG430">
        <v>0.02</v>
      </c>
      <c r="AH430">
        <v>0</v>
      </c>
      <c r="AI430">
        <v>1</v>
      </c>
      <c r="AJ430">
        <v>1</v>
      </c>
      <c r="AK430">
        <v>1</v>
      </c>
      <c r="AL430">
        <v>1</v>
      </c>
      <c r="AN430">
        <v>0</v>
      </c>
      <c r="AO430">
        <v>1</v>
      </c>
      <c r="AP430">
        <v>1</v>
      </c>
      <c r="AQ430">
        <v>0</v>
      </c>
      <c r="AR430">
        <v>0</v>
      </c>
      <c r="AS430" t="s">
        <v>3</v>
      </c>
      <c r="AT430">
        <v>27.3</v>
      </c>
      <c r="AU430" t="s">
        <v>142</v>
      </c>
      <c r="AV430">
        <v>0</v>
      </c>
      <c r="AW430">
        <v>2</v>
      </c>
      <c r="AX430">
        <v>129763693</v>
      </c>
      <c r="AY430">
        <v>1</v>
      </c>
      <c r="AZ430">
        <v>0</v>
      </c>
      <c r="BA430">
        <v>432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CX430">
        <f>ROUND(Y430*Source!I463,9)</f>
        <v>13.103999999999999</v>
      </c>
      <c r="CY430">
        <f t="shared" ref="CY430:CY435" si="176">AB430</f>
        <v>6.15</v>
      </c>
      <c r="CZ430">
        <f t="shared" ref="CZ430:CZ435" si="177">AF430</f>
        <v>6.15</v>
      </c>
      <c r="DA430">
        <f t="shared" ref="DA430:DA435" si="178">AJ430</f>
        <v>1</v>
      </c>
      <c r="DB430">
        <f t="shared" si="173"/>
        <v>100.74</v>
      </c>
      <c r="DC430">
        <f t="shared" si="174"/>
        <v>0.33</v>
      </c>
      <c r="DD430" t="s">
        <v>3</v>
      </c>
      <c r="DE430" t="s">
        <v>3</v>
      </c>
      <c r="DF430">
        <f t="shared" si="175"/>
        <v>0</v>
      </c>
      <c r="DG430">
        <f t="shared" si="170"/>
        <v>80.59</v>
      </c>
      <c r="DH430">
        <f t="shared" si="171"/>
        <v>0.26</v>
      </c>
      <c r="DI430">
        <f t="shared" si="152"/>
        <v>0</v>
      </c>
      <c r="DJ430">
        <f t="shared" ref="DJ430:DJ435" si="179">DG430</f>
        <v>80.59</v>
      </c>
      <c r="DK430">
        <v>0</v>
      </c>
    </row>
    <row r="431" spans="1:115" x14ac:dyDescent="0.2">
      <c r="A431">
        <f>ROW(Source!A463)</f>
        <v>463</v>
      </c>
      <c r="B431">
        <v>129761636</v>
      </c>
      <c r="C431">
        <v>129763682</v>
      </c>
      <c r="D431">
        <v>37418164</v>
      </c>
      <c r="E431">
        <v>1</v>
      </c>
      <c r="F431">
        <v>1</v>
      </c>
      <c r="G431">
        <v>37345137</v>
      </c>
      <c r="H431">
        <v>2</v>
      </c>
      <c r="I431" t="s">
        <v>1294</v>
      </c>
      <c r="J431" t="s">
        <v>1295</v>
      </c>
      <c r="K431" t="s">
        <v>1296</v>
      </c>
      <c r="L431">
        <v>1367</v>
      </c>
      <c r="N431">
        <v>1011</v>
      </c>
      <c r="O431" t="s">
        <v>1102</v>
      </c>
      <c r="P431" t="s">
        <v>1102</v>
      </c>
      <c r="Q431">
        <v>1</v>
      </c>
      <c r="W431">
        <v>0</v>
      </c>
      <c r="X431">
        <v>-157737218</v>
      </c>
      <c r="Y431">
        <f t="shared" si="172"/>
        <v>0.6</v>
      </c>
      <c r="AA431">
        <v>0</v>
      </c>
      <c r="AB431">
        <v>1.0900000000000001</v>
      </c>
      <c r="AC431">
        <v>0.09</v>
      </c>
      <c r="AD431">
        <v>0</v>
      </c>
      <c r="AE431">
        <v>0</v>
      </c>
      <c r="AF431">
        <v>1.0900000000000001</v>
      </c>
      <c r="AG431">
        <v>0.09</v>
      </c>
      <c r="AH431">
        <v>0</v>
      </c>
      <c r="AI431">
        <v>1</v>
      </c>
      <c r="AJ431">
        <v>1</v>
      </c>
      <c r="AK431">
        <v>1</v>
      </c>
      <c r="AL431">
        <v>1</v>
      </c>
      <c r="AN431">
        <v>0</v>
      </c>
      <c r="AO431">
        <v>1</v>
      </c>
      <c r="AP431">
        <v>1</v>
      </c>
      <c r="AQ431">
        <v>0</v>
      </c>
      <c r="AR431">
        <v>0</v>
      </c>
      <c r="AS431" t="s">
        <v>3</v>
      </c>
      <c r="AT431">
        <v>1</v>
      </c>
      <c r="AU431" t="s">
        <v>142</v>
      </c>
      <c r="AV431">
        <v>0</v>
      </c>
      <c r="AW431">
        <v>2</v>
      </c>
      <c r="AX431">
        <v>129763694</v>
      </c>
      <c r="AY431">
        <v>1</v>
      </c>
      <c r="AZ431">
        <v>0</v>
      </c>
      <c r="BA431">
        <v>433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CX431">
        <f>ROUND(Y431*Source!I463,9)</f>
        <v>0.48</v>
      </c>
      <c r="CY431">
        <f t="shared" si="176"/>
        <v>1.0900000000000001</v>
      </c>
      <c r="CZ431">
        <f t="shared" si="177"/>
        <v>1.0900000000000001</v>
      </c>
      <c r="DA431">
        <f t="shared" si="178"/>
        <v>1</v>
      </c>
      <c r="DB431">
        <f t="shared" si="173"/>
        <v>0.65400000000000003</v>
      </c>
      <c r="DC431">
        <f t="shared" si="174"/>
        <v>5.3999999999999999E-2</v>
      </c>
      <c r="DD431" t="s">
        <v>3</v>
      </c>
      <c r="DE431" t="s">
        <v>3</v>
      </c>
      <c r="DF431">
        <f t="shared" si="175"/>
        <v>0</v>
      </c>
      <c r="DG431">
        <f t="shared" si="170"/>
        <v>0.52</v>
      </c>
      <c r="DH431">
        <f t="shared" si="171"/>
        <v>0.04</v>
      </c>
      <c r="DI431">
        <f t="shared" si="152"/>
        <v>0</v>
      </c>
      <c r="DJ431">
        <f t="shared" si="179"/>
        <v>0.52</v>
      </c>
      <c r="DK431">
        <v>0</v>
      </c>
    </row>
    <row r="432" spans="1:115" x14ac:dyDescent="0.2">
      <c r="A432">
        <f>ROW(Source!A463)</f>
        <v>463</v>
      </c>
      <c r="B432">
        <v>129761636</v>
      </c>
      <c r="C432">
        <v>129763682</v>
      </c>
      <c r="D432">
        <v>37418491</v>
      </c>
      <c r="E432">
        <v>1</v>
      </c>
      <c r="F432">
        <v>1</v>
      </c>
      <c r="G432">
        <v>37345137</v>
      </c>
      <c r="H432">
        <v>2</v>
      </c>
      <c r="I432" t="s">
        <v>1177</v>
      </c>
      <c r="J432" t="s">
        <v>1178</v>
      </c>
      <c r="K432" t="s">
        <v>1179</v>
      </c>
      <c r="L432">
        <v>1367</v>
      </c>
      <c r="N432">
        <v>1011</v>
      </c>
      <c r="O432" t="s">
        <v>1102</v>
      </c>
      <c r="P432" t="s">
        <v>1102</v>
      </c>
      <c r="Q432">
        <v>1</v>
      </c>
      <c r="W432">
        <v>0</v>
      </c>
      <c r="X432">
        <v>-1780114133</v>
      </c>
      <c r="Y432">
        <f t="shared" si="172"/>
        <v>0.66</v>
      </c>
      <c r="AA432">
        <v>0</v>
      </c>
      <c r="AB432">
        <v>0.44</v>
      </c>
      <c r="AC432">
        <v>0</v>
      </c>
      <c r="AD432">
        <v>0</v>
      </c>
      <c r="AE432">
        <v>0</v>
      </c>
      <c r="AF432">
        <v>0.44</v>
      </c>
      <c r="AG432">
        <v>0</v>
      </c>
      <c r="AH432">
        <v>0</v>
      </c>
      <c r="AI432">
        <v>1</v>
      </c>
      <c r="AJ432">
        <v>1</v>
      </c>
      <c r="AK432">
        <v>1</v>
      </c>
      <c r="AL432">
        <v>1</v>
      </c>
      <c r="AN432">
        <v>0</v>
      </c>
      <c r="AO432">
        <v>1</v>
      </c>
      <c r="AP432">
        <v>1</v>
      </c>
      <c r="AQ432">
        <v>0</v>
      </c>
      <c r="AR432">
        <v>0</v>
      </c>
      <c r="AS432" t="s">
        <v>3</v>
      </c>
      <c r="AT432">
        <v>1.1000000000000001</v>
      </c>
      <c r="AU432" t="s">
        <v>142</v>
      </c>
      <c r="AV432">
        <v>0</v>
      </c>
      <c r="AW432">
        <v>2</v>
      </c>
      <c r="AX432">
        <v>129763695</v>
      </c>
      <c r="AY432">
        <v>1</v>
      </c>
      <c r="AZ432">
        <v>0</v>
      </c>
      <c r="BA432">
        <v>434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CX432">
        <f>ROUND(Y432*Source!I463,9)</f>
        <v>0.52800000000000002</v>
      </c>
      <c r="CY432">
        <f t="shared" si="176"/>
        <v>0.44</v>
      </c>
      <c r="CZ432">
        <f t="shared" si="177"/>
        <v>0.44</v>
      </c>
      <c r="DA432">
        <f t="shared" si="178"/>
        <v>1</v>
      </c>
      <c r="DB432">
        <f t="shared" si="173"/>
        <v>0.28799999999999998</v>
      </c>
      <c r="DC432">
        <f t="shared" si="174"/>
        <v>0</v>
      </c>
      <c r="DD432" t="s">
        <v>3</v>
      </c>
      <c r="DE432" t="s">
        <v>3</v>
      </c>
      <c r="DF432">
        <f t="shared" si="175"/>
        <v>0</v>
      </c>
      <c r="DG432">
        <f t="shared" si="170"/>
        <v>0.23</v>
      </c>
      <c r="DH432">
        <f t="shared" si="171"/>
        <v>0</v>
      </c>
      <c r="DI432">
        <f t="shared" si="152"/>
        <v>0</v>
      </c>
      <c r="DJ432">
        <f t="shared" si="179"/>
        <v>0.23</v>
      </c>
      <c r="DK432">
        <v>0</v>
      </c>
    </row>
    <row r="433" spans="1:115" x14ac:dyDescent="0.2">
      <c r="A433">
        <f>ROW(Source!A463)</f>
        <v>463</v>
      </c>
      <c r="B433">
        <v>129761636</v>
      </c>
      <c r="C433">
        <v>129763682</v>
      </c>
      <c r="D433">
        <v>37418479</v>
      </c>
      <c r="E433">
        <v>1</v>
      </c>
      <c r="F433">
        <v>1</v>
      </c>
      <c r="G433">
        <v>37345137</v>
      </c>
      <c r="H433">
        <v>2</v>
      </c>
      <c r="I433" t="s">
        <v>1183</v>
      </c>
      <c r="J433" t="s">
        <v>1184</v>
      </c>
      <c r="K433" t="s">
        <v>1185</v>
      </c>
      <c r="L433">
        <v>1367</v>
      </c>
      <c r="N433">
        <v>1011</v>
      </c>
      <c r="O433" t="s">
        <v>1102</v>
      </c>
      <c r="P433" t="s">
        <v>1102</v>
      </c>
      <c r="Q433">
        <v>1</v>
      </c>
      <c r="W433">
        <v>0</v>
      </c>
      <c r="X433">
        <v>950854334</v>
      </c>
      <c r="Y433">
        <f t="shared" si="172"/>
        <v>0.18</v>
      </c>
      <c r="AA433">
        <v>0</v>
      </c>
      <c r="AB433">
        <v>2.36</v>
      </c>
      <c r="AC433">
        <v>0.1</v>
      </c>
      <c r="AD433">
        <v>0</v>
      </c>
      <c r="AE433">
        <v>0</v>
      </c>
      <c r="AF433">
        <v>2.36</v>
      </c>
      <c r="AG433">
        <v>0.1</v>
      </c>
      <c r="AH433">
        <v>0</v>
      </c>
      <c r="AI433">
        <v>1</v>
      </c>
      <c r="AJ433">
        <v>1</v>
      </c>
      <c r="AK433">
        <v>1</v>
      </c>
      <c r="AL433">
        <v>1</v>
      </c>
      <c r="AN433">
        <v>0</v>
      </c>
      <c r="AO433">
        <v>1</v>
      </c>
      <c r="AP433">
        <v>1</v>
      </c>
      <c r="AQ433">
        <v>0</v>
      </c>
      <c r="AR433">
        <v>0</v>
      </c>
      <c r="AS433" t="s">
        <v>3</v>
      </c>
      <c r="AT433">
        <v>0.3</v>
      </c>
      <c r="AU433" t="s">
        <v>142</v>
      </c>
      <c r="AV433">
        <v>0</v>
      </c>
      <c r="AW433">
        <v>2</v>
      </c>
      <c r="AX433">
        <v>129763696</v>
      </c>
      <c r="AY433">
        <v>1</v>
      </c>
      <c r="AZ433">
        <v>0</v>
      </c>
      <c r="BA433">
        <v>435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CX433">
        <f>ROUND(Y433*Source!I463,9)</f>
        <v>0.14399999999999999</v>
      </c>
      <c r="CY433">
        <f t="shared" si="176"/>
        <v>2.36</v>
      </c>
      <c r="CZ433">
        <f t="shared" si="177"/>
        <v>2.36</v>
      </c>
      <c r="DA433">
        <f t="shared" si="178"/>
        <v>1</v>
      </c>
      <c r="DB433">
        <f t="shared" si="173"/>
        <v>0.42599999999999999</v>
      </c>
      <c r="DC433">
        <f t="shared" si="174"/>
        <v>1.7999999999999999E-2</v>
      </c>
      <c r="DD433" t="s">
        <v>3</v>
      </c>
      <c r="DE433" t="s">
        <v>3</v>
      </c>
      <c r="DF433">
        <f t="shared" si="175"/>
        <v>0</v>
      </c>
      <c r="DG433">
        <f t="shared" si="170"/>
        <v>0.34</v>
      </c>
      <c r="DH433">
        <f t="shared" si="171"/>
        <v>0.01</v>
      </c>
      <c r="DI433">
        <f t="shared" si="152"/>
        <v>0</v>
      </c>
      <c r="DJ433">
        <f t="shared" si="179"/>
        <v>0.34</v>
      </c>
      <c r="DK433">
        <v>0</v>
      </c>
    </row>
    <row r="434" spans="1:115" x14ac:dyDescent="0.2">
      <c r="A434">
        <f>ROW(Source!A463)</f>
        <v>463</v>
      </c>
      <c r="B434">
        <v>129761636</v>
      </c>
      <c r="C434">
        <v>129763682</v>
      </c>
      <c r="D434">
        <v>37418532</v>
      </c>
      <c r="E434">
        <v>1</v>
      </c>
      <c r="F434">
        <v>1</v>
      </c>
      <c r="G434">
        <v>37345137</v>
      </c>
      <c r="H434">
        <v>2</v>
      </c>
      <c r="I434" t="s">
        <v>1297</v>
      </c>
      <c r="J434" t="s">
        <v>1298</v>
      </c>
      <c r="K434" t="s">
        <v>1299</v>
      </c>
      <c r="L434">
        <v>1367</v>
      </c>
      <c r="N434">
        <v>1011</v>
      </c>
      <c r="O434" t="s">
        <v>1102</v>
      </c>
      <c r="P434" t="s">
        <v>1102</v>
      </c>
      <c r="Q434">
        <v>1</v>
      </c>
      <c r="W434">
        <v>0</v>
      </c>
      <c r="X434">
        <v>-1280649501</v>
      </c>
      <c r="Y434">
        <f t="shared" si="172"/>
        <v>0.504</v>
      </c>
      <c r="AA434">
        <v>0</v>
      </c>
      <c r="AB434">
        <v>18.309999999999999</v>
      </c>
      <c r="AC434">
        <v>13.46</v>
      </c>
      <c r="AD434">
        <v>0</v>
      </c>
      <c r="AE434">
        <v>0</v>
      </c>
      <c r="AF434">
        <v>18.309999999999999</v>
      </c>
      <c r="AG434">
        <v>13.46</v>
      </c>
      <c r="AH434">
        <v>0</v>
      </c>
      <c r="AI434">
        <v>1</v>
      </c>
      <c r="AJ434">
        <v>1</v>
      </c>
      <c r="AK434">
        <v>1</v>
      </c>
      <c r="AL434">
        <v>1</v>
      </c>
      <c r="AN434">
        <v>0</v>
      </c>
      <c r="AO434">
        <v>1</v>
      </c>
      <c r="AP434">
        <v>1</v>
      </c>
      <c r="AQ434">
        <v>0</v>
      </c>
      <c r="AR434">
        <v>0</v>
      </c>
      <c r="AS434" t="s">
        <v>3</v>
      </c>
      <c r="AT434">
        <v>0.84</v>
      </c>
      <c r="AU434" t="s">
        <v>142</v>
      </c>
      <c r="AV434">
        <v>0</v>
      </c>
      <c r="AW434">
        <v>2</v>
      </c>
      <c r="AX434">
        <v>129763697</v>
      </c>
      <c r="AY434">
        <v>1</v>
      </c>
      <c r="AZ434">
        <v>0</v>
      </c>
      <c r="BA434">
        <v>436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CX434">
        <f>ROUND(Y434*Source!I463,9)</f>
        <v>0.4032</v>
      </c>
      <c r="CY434">
        <f t="shared" si="176"/>
        <v>18.309999999999999</v>
      </c>
      <c r="CZ434">
        <f t="shared" si="177"/>
        <v>18.309999999999999</v>
      </c>
      <c r="DA434">
        <f t="shared" si="178"/>
        <v>1</v>
      </c>
      <c r="DB434">
        <f t="shared" si="173"/>
        <v>9.2279999999999998</v>
      </c>
      <c r="DC434">
        <f t="shared" si="174"/>
        <v>6.7859999999999996</v>
      </c>
      <c r="DD434" t="s">
        <v>3</v>
      </c>
      <c r="DE434" t="s">
        <v>3</v>
      </c>
      <c r="DF434">
        <f t="shared" si="175"/>
        <v>0</v>
      </c>
      <c r="DG434">
        <f t="shared" si="170"/>
        <v>7.38</v>
      </c>
      <c r="DH434">
        <f t="shared" si="171"/>
        <v>5.43</v>
      </c>
      <c r="DI434">
        <f t="shared" si="152"/>
        <v>0</v>
      </c>
      <c r="DJ434">
        <f t="shared" si="179"/>
        <v>7.38</v>
      </c>
      <c r="DK434">
        <v>0</v>
      </c>
    </row>
    <row r="435" spans="1:115" x14ac:dyDescent="0.2">
      <c r="A435">
        <f>ROW(Source!A463)</f>
        <v>463</v>
      </c>
      <c r="B435">
        <v>129761636</v>
      </c>
      <c r="C435">
        <v>129763682</v>
      </c>
      <c r="D435">
        <v>37345890</v>
      </c>
      <c r="E435">
        <v>37345137</v>
      </c>
      <c r="F435">
        <v>1</v>
      </c>
      <c r="G435">
        <v>37345137</v>
      </c>
      <c r="H435">
        <v>2</v>
      </c>
      <c r="I435" t="s">
        <v>1145</v>
      </c>
      <c r="J435" t="s">
        <v>3</v>
      </c>
      <c r="K435" t="s">
        <v>1146</v>
      </c>
      <c r="L435">
        <v>1344</v>
      </c>
      <c r="N435">
        <v>1008</v>
      </c>
      <c r="O435" t="s">
        <v>1138</v>
      </c>
      <c r="P435" t="s">
        <v>1138</v>
      </c>
      <c r="Q435">
        <v>1</v>
      </c>
      <c r="W435">
        <v>0</v>
      </c>
      <c r="X435">
        <v>-1180195794</v>
      </c>
      <c r="Y435">
        <f t="shared" si="172"/>
        <v>22.337999999999997</v>
      </c>
      <c r="AA435">
        <v>0</v>
      </c>
      <c r="AB435">
        <v>1</v>
      </c>
      <c r="AC435">
        <v>0</v>
      </c>
      <c r="AD435">
        <v>0</v>
      </c>
      <c r="AE435">
        <v>0</v>
      </c>
      <c r="AF435">
        <v>1</v>
      </c>
      <c r="AG435">
        <v>0</v>
      </c>
      <c r="AH435">
        <v>0</v>
      </c>
      <c r="AI435">
        <v>1</v>
      </c>
      <c r="AJ435">
        <v>1</v>
      </c>
      <c r="AK435">
        <v>1</v>
      </c>
      <c r="AL435">
        <v>1</v>
      </c>
      <c r="AN435">
        <v>0</v>
      </c>
      <c r="AO435">
        <v>1</v>
      </c>
      <c r="AP435">
        <v>1</v>
      </c>
      <c r="AQ435">
        <v>0</v>
      </c>
      <c r="AR435">
        <v>0</v>
      </c>
      <c r="AS435" t="s">
        <v>3</v>
      </c>
      <c r="AT435">
        <v>37.229999999999997</v>
      </c>
      <c r="AU435" t="s">
        <v>142</v>
      </c>
      <c r="AV435">
        <v>0</v>
      </c>
      <c r="AW435">
        <v>2</v>
      </c>
      <c r="AX435">
        <v>129763698</v>
      </c>
      <c r="AY435">
        <v>1</v>
      </c>
      <c r="AZ435">
        <v>0</v>
      </c>
      <c r="BA435">
        <v>437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CX435">
        <f>ROUND(Y435*Source!I463,9)</f>
        <v>17.8704</v>
      </c>
      <c r="CY435">
        <f t="shared" si="176"/>
        <v>1</v>
      </c>
      <c r="CZ435">
        <f t="shared" si="177"/>
        <v>1</v>
      </c>
      <c r="DA435">
        <f t="shared" si="178"/>
        <v>1</v>
      </c>
      <c r="DB435">
        <f t="shared" si="173"/>
        <v>22.338000000000001</v>
      </c>
      <c r="DC435">
        <f t="shared" si="174"/>
        <v>0</v>
      </c>
      <c r="DD435" t="s">
        <v>3</v>
      </c>
      <c r="DE435" t="s">
        <v>3</v>
      </c>
      <c r="DF435">
        <f t="shared" si="175"/>
        <v>0</v>
      </c>
      <c r="DG435">
        <f t="shared" si="170"/>
        <v>17.87</v>
      </c>
      <c r="DH435">
        <f t="shared" si="171"/>
        <v>0</v>
      </c>
      <c r="DI435">
        <f t="shared" si="152"/>
        <v>0</v>
      </c>
      <c r="DJ435">
        <f t="shared" si="179"/>
        <v>17.87</v>
      </c>
      <c r="DK435">
        <v>0</v>
      </c>
    </row>
    <row r="436" spans="1:115" x14ac:dyDescent="0.2">
      <c r="A436">
        <f>ROW(Source!A463)</f>
        <v>463</v>
      </c>
      <c r="B436">
        <v>129761636</v>
      </c>
      <c r="C436">
        <v>129763682</v>
      </c>
      <c r="D436">
        <v>37394864</v>
      </c>
      <c r="E436">
        <v>1</v>
      </c>
      <c r="F436">
        <v>1</v>
      </c>
      <c r="G436">
        <v>37345137</v>
      </c>
      <c r="H436">
        <v>3</v>
      </c>
      <c r="I436" t="s">
        <v>1147</v>
      </c>
      <c r="J436" t="s">
        <v>1148</v>
      </c>
      <c r="K436" t="s">
        <v>1149</v>
      </c>
      <c r="L436">
        <v>1348</v>
      </c>
      <c r="N436">
        <v>1009</v>
      </c>
      <c r="O436" t="s">
        <v>114</v>
      </c>
      <c r="P436" t="s">
        <v>114</v>
      </c>
      <c r="Q436">
        <v>1000</v>
      </c>
      <c r="W436">
        <v>0</v>
      </c>
      <c r="X436">
        <v>1310716689</v>
      </c>
      <c r="Y436">
        <f t="shared" si="172"/>
        <v>1.2899999999999998E-2</v>
      </c>
      <c r="AA436">
        <v>7191.81</v>
      </c>
      <c r="AB436">
        <v>0</v>
      </c>
      <c r="AC436">
        <v>0</v>
      </c>
      <c r="AD436">
        <v>0</v>
      </c>
      <c r="AE436">
        <v>7191.81</v>
      </c>
      <c r="AF436">
        <v>0</v>
      </c>
      <c r="AG436">
        <v>0</v>
      </c>
      <c r="AH436">
        <v>0</v>
      </c>
      <c r="AI436">
        <v>1</v>
      </c>
      <c r="AJ436">
        <v>1</v>
      </c>
      <c r="AK436">
        <v>1</v>
      </c>
      <c r="AL436">
        <v>1</v>
      </c>
      <c r="AN436">
        <v>0</v>
      </c>
      <c r="AO436">
        <v>1</v>
      </c>
      <c r="AP436">
        <v>1</v>
      </c>
      <c r="AQ436">
        <v>0</v>
      </c>
      <c r="AR436">
        <v>0</v>
      </c>
      <c r="AS436" t="s">
        <v>3</v>
      </c>
      <c r="AT436">
        <v>2.1499999999999998E-2</v>
      </c>
      <c r="AU436" t="s">
        <v>142</v>
      </c>
      <c r="AV436">
        <v>0</v>
      </c>
      <c r="AW436">
        <v>2</v>
      </c>
      <c r="AX436">
        <v>129763701</v>
      </c>
      <c r="AY436">
        <v>1</v>
      </c>
      <c r="AZ436">
        <v>0</v>
      </c>
      <c r="BA436">
        <v>440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CX436">
        <f>ROUND(Y436*Source!I463,9)</f>
        <v>1.0319999999999999E-2</v>
      </c>
      <c r="CY436">
        <f>AA436</f>
        <v>7191.81</v>
      </c>
      <c r="CZ436">
        <f>AE436</f>
        <v>7191.81</v>
      </c>
      <c r="DA436">
        <f>AI436</f>
        <v>1</v>
      </c>
      <c r="DB436">
        <f t="shared" si="173"/>
        <v>92.772000000000006</v>
      </c>
      <c r="DC436">
        <f t="shared" si="174"/>
        <v>0</v>
      </c>
      <c r="DD436" t="s">
        <v>3</v>
      </c>
      <c r="DE436" t="s">
        <v>3</v>
      </c>
      <c r="DF436">
        <f t="shared" si="175"/>
        <v>74.22</v>
      </c>
      <c r="DG436">
        <f t="shared" si="170"/>
        <v>0</v>
      </c>
      <c r="DH436">
        <f t="shared" si="171"/>
        <v>0</v>
      </c>
      <c r="DI436">
        <f t="shared" si="152"/>
        <v>0</v>
      </c>
      <c r="DJ436">
        <f>DF436</f>
        <v>74.22</v>
      </c>
      <c r="DK436">
        <v>0</v>
      </c>
    </row>
    <row r="437" spans="1:115" x14ac:dyDescent="0.2">
      <c r="A437">
        <f>ROW(Source!A463)</f>
        <v>463</v>
      </c>
      <c r="B437">
        <v>129761636</v>
      </c>
      <c r="C437">
        <v>129763682</v>
      </c>
      <c r="D437">
        <v>0</v>
      </c>
      <c r="E437">
        <v>1</v>
      </c>
      <c r="F437">
        <v>1</v>
      </c>
      <c r="G437">
        <v>37345137</v>
      </c>
      <c r="H437">
        <v>3</v>
      </c>
      <c r="I437" t="s">
        <v>162</v>
      </c>
      <c r="J437" t="s">
        <v>3</v>
      </c>
      <c r="K437" t="s">
        <v>163</v>
      </c>
      <c r="L437">
        <v>1348</v>
      </c>
      <c r="N437">
        <v>1009</v>
      </c>
      <c r="O437" t="s">
        <v>114</v>
      </c>
      <c r="P437" t="s">
        <v>114</v>
      </c>
      <c r="Q437">
        <v>1000</v>
      </c>
      <c r="W437">
        <v>0</v>
      </c>
      <c r="X437">
        <v>1489638031</v>
      </c>
      <c r="Y437">
        <f>AT437</f>
        <v>-0.6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1</v>
      </c>
      <c r="AJ437">
        <v>1</v>
      </c>
      <c r="AK437">
        <v>1</v>
      </c>
      <c r="AL437">
        <v>1</v>
      </c>
      <c r="AN437">
        <v>0</v>
      </c>
      <c r="AO437">
        <v>0</v>
      </c>
      <c r="AP437">
        <v>0</v>
      </c>
      <c r="AQ437">
        <v>0</v>
      </c>
      <c r="AR437">
        <v>0</v>
      </c>
      <c r="AS437" t="s">
        <v>3</v>
      </c>
      <c r="AT437">
        <v>-0.6</v>
      </c>
      <c r="AU437" t="s">
        <v>3</v>
      </c>
      <c r="AV437">
        <v>0</v>
      </c>
      <c r="AW437">
        <v>1</v>
      </c>
      <c r="AX437">
        <v>-1</v>
      </c>
      <c r="AY437">
        <v>0</v>
      </c>
      <c r="AZ437">
        <v>0</v>
      </c>
      <c r="BA437" t="s">
        <v>3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CX437">
        <f>ROUND(Y437*Source!I463,9)</f>
        <v>-0.48</v>
      </c>
      <c r="CY437">
        <f>AA437</f>
        <v>0</v>
      </c>
      <c r="CZ437">
        <f>AE437</f>
        <v>0</v>
      </c>
      <c r="DA437">
        <f>AI437</f>
        <v>1</v>
      </c>
      <c r="DB437">
        <f>ROUND(ROUND(AT437*CZ437,2),6)</f>
        <v>0</v>
      </c>
      <c r="DC437">
        <f>ROUND(ROUND(AT437*AG437,2),6)</f>
        <v>0</v>
      </c>
      <c r="DD437" t="s">
        <v>3</v>
      </c>
      <c r="DE437" t="s">
        <v>3</v>
      </c>
      <c r="DF437">
        <f t="shared" si="175"/>
        <v>0</v>
      </c>
      <c r="DG437">
        <f t="shared" si="170"/>
        <v>0</v>
      </c>
      <c r="DH437">
        <f t="shared" si="171"/>
        <v>0</v>
      </c>
      <c r="DI437">
        <f t="shared" si="152"/>
        <v>0</v>
      </c>
      <c r="DJ437">
        <f>DF437</f>
        <v>0</v>
      </c>
      <c r="DK437">
        <v>0</v>
      </c>
    </row>
    <row r="438" spans="1:115" x14ac:dyDescent="0.2">
      <c r="A438">
        <f>ROW(Source!A464)</f>
        <v>464</v>
      </c>
      <c r="B438">
        <v>129761633</v>
      </c>
      <c r="C438">
        <v>129763682</v>
      </c>
      <c r="D438">
        <v>37345142</v>
      </c>
      <c r="E438">
        <v>37345137</v>
      </c>
      <c r="F438">
        <v>1</v>
      </c>
      <c r="G438">
        <v>37345137</v>
      </c>
      <c r="H438">
        <v>1</v>
      </c>
      <c r="I438" t="s">
        <v>1096</v>
      </c>
      <c r="J438" t="s">
        <v>3</v>
      </c>
      <c r="K438" t="s">
        <v>1097</v>
      </c>
      <c r="L438">
        <v>1191</v>
      </c>
      <c r="N438">
        <v>1013</v>
      </c>
      <c r="O438" t="s">
        <v>1098</v>
      </c>
      <c r="P438" t="s">
        <v>1098</v>
      </c>
      <c r="Q438">
        <v>1</v>
      </c>
      <c r="W438">
        <v>0</v>
      </c>
      <c r="X438">
        <v>476480486</v>
      </c>
      <c r="Y438">
        <f t="shared" ref="Y438:Y445" si="180">(AT438*0.6)</f>
        <v>54.6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1</v>
      </c>
      <c r="AJ438">
        <v>1</v>
      </c>
      <c r="AK438">
        <v>1</v>
      </c>
      <c r="AL438">
        <v>1</v>
      </c>
      <c r="AN438">
        <v>0</v>
      </c>
      <c r="AO438">
        <v>1</v>
      </c>
      <c r="AP438">
        <v>1</v>
      </c>
      <c r="AQ438">
        <v>0</v>
      </c>
      <c r="AR438">
        <v>0</v>
      </c>
      <c r="AS438" t="s">
        <v>3</v>
      </c>
      <c r="AT438">
        <v>91</v>
      </c>
      <c r="AU438" t="s">
        <v>142</v>
      </c>
      <c r="AV438">
        <v>1</v>
      </c>
      <c r="AW438">
        <v>2</v>
      </c>
      <c r="AX438">
        <v>129763692</v>
      </c>
      <c r="AY438">
        <v>1</v>
      </c>
      <c r="AZ438">
        <v>0</v>
      </c>
      <c r="BA438">
        <v>442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CX438">
        <f>ROUND(Y438*Source!I464,9)</f>
        <v>43.68</v>
      </c>
      <c r="CY438">
        <f>AD438</f>
        <v>0</v>
      </c>
      <c r="CZ438">
        <f>AH438</f>
        <v>0</v>
      </c>
      <c r="DA438">
        <f>AL438</f>
        <v>1</v>
      </c>
      <c r="DB438">
        <f t="shared" ref="DB438:DB445" si="181">ROUND((ROUND(AT438*CZ438,2)*0.6),6)</f>
        <v>0</v>
      </c>
      <c r="DC438">
        <f t="shared" ref="DC438:DC445" si="182">ROUND((ROUND(AT438*AG438,2)*0.6),6)</f>
        <v>0</v>
      </c>
      <c r="DD438" t="s">
        <v>3</v>
      </c>
      <c r="DE438" t="s">
        <v>3</v>
      </c>
      <c r="DF438">
        <f t="shared" si="175"/>
        <v>0</v>
      </c>
      <c r="DG438">
        <f t="shared" si="170"/>
        <v>0</v>
      </c>
      <c r="DH438">
        <f t="shared" si="171"/>
        <v>0</v>
      </c>
      <c r="DI438">
        <f t="shared" si="152"/>
        <v>0</v>
      </c>
      <c r="DJ438">
        <f>DI438</f>
        <v>0</v>
      </c>
      <c r="DK438">
        <v>0</v>
      </c>
    </row>
    <row r="439" spans="1:115" x14ac:dyDescent="0.2">
      <c r="A439">
        <f>ROW(Source!A464)</f>
        <v>464</v>
      </c>
      <c r="B439">
        <v>129761633</v>
      </c>
      <c r="C439">
        <v>129763682</v>
      </c>
      <c r="D439">
        <v>37418162</v>
      </c>
      <c r="E439">
        <v>1</v>
      </c>
      <c r="F439">
        <v>1</v>
      </c>
      <c r="G439">
        <v>37345137</v>
      </c>
      <c r="H439">
        <v>2</v>
      </c>
      <c r="I439" t="s">
        <v>1174</v>
      </c>
      <c r="J439" t="s">
        <v>1175</v>
      </c>
      <c r="K439" t="s">
        <v>1176</v>
      </c>
      <c r="L439">
        <v>1367</v>
      </c>
      <c r="N439">
        <v>1011</v>
      </c>
      <c r="O439" t="s">
        <v>1102</v>
      </c>
      <c r="P439" t="s">
        <v>1102</v>
      </c>
      <c r="Q439">
        <v>1</v>
      </c>
      <c r="W439">
        <v>0</v>
      </c>
      <c r="X439">
        <v>49912578</v>
      </c>
      <c r="Y439">
        <f t="shared" si="180"/>
        <v>16.38</v>
      </c>
      <c r="AA439">
        <v>0</v>
      </c>
      <c r="AB439">
        <v>68.39</v>
      </c>
      <c r="AC439">
        <v>0.63</v>
      </c>
      <c r="AD439">
        <v>0</v>
      </c>
      <c r="AE439">
        <v>0</v>
      </c>
      <c r="AF439">
        <v>6.15</v>
      </c>
      <c r="AG439">
        <v>0.02</v>
      </c>
      <c r="AH439">
        <v>0</v>
      </c>
      <c r="AI439">
        <v>1</v>
      </c>
      <c r="AJ439">
        <v>10.23</v>
      </c>
      <c r="AK439">
        <v>29.03</v>
      </c>
      <c r="AL439">
        <v>1</v>
      </c>
      <c r="AN439">
        <v>0</v>
      </c>
      <c r="AO439">
        <v>1</v>
      </c>
      <c r="AP439">
        <v>1</v>
      </c>
      <c r="AQ439">
        <v>0</v>
      </c>
      <c r="AR439">
        <v>0</v>
      </c>
      <c r="AS439" t="s">
        <v>3</v>
      </c>
      <c r="AT439">
        <v>27.3</v>
      </c>
      <c r="AU439" t="s">
        <v>142</v>
      </c>
      <c r="AV439">
        <v>0</v>
      </c>
      <c r="AW439">
        <v>2</v>
      </c>
      <c r="AX439">
        <v>129763693</v>
      </c>
      <c r="AY439">
        <v>1</v>
      </c>
      <c r="AZ439">
        <v>0</v>
      </c>
      <c r="BA439">
        <v>443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CX439">
        <f>ROUND(Y439*Source!I464,9)</f>
        <v>13.103999999999999</v>
      </c>
      <c r="CY439">
        <f t="shared" ref="CY439:CY444" si="183">AB439</f>
        <v>68.39</v>
      </c>
      <c r="CZ439">
        <f t="shared" ref="CZ439:CZ444" si="184">AF439</f>
        <v>6.15</v>
      </c>
      <c r="DA439">
        <f t="shared" ref="DA439:DA444" si="185">AJ439</f>
        <v>10.23</v>
      </c>
      <c r="DB439">
        <f t="shared" si="181"/>
        <v>100.74</v>
      </c>
      <c r="DC439">
        <f t="shared" si="182"/>
        <v>0.33</v>
      </c>
      <c r="DD439" t="s">
        <v>3</v>
      </c>
      <c r="DE439" t="s">
        <v>3</v>
      </c>
      <c r="DF439">
        <f t="shared" si="175"/>
        <v>0</v>
      </c>
      <c r="DG439">
        <f>ROUND(ROUND(AF439*CX439,2)*AJ439,2)</f>
        <v>824.44</v>
      </c>
      <c r="DH439">
        <f>ROUND(ROUND(AG439*CX439,2)*AK439,2)</f>
        <v>7.55</v>
      </c>
      <c r="DI439">
        <f t="shared" si="152"/>
        <v>0</v>
      </c>
      <c r="DJ439">
        <f t="shared" ref="DJ439:DJ444" si="186">DG439</f>
        <v>824.44</v>
      </c>
      <c r="DK439">
        <v>0</v>
      </c>
    </row>
    <row r="440" spans="1:115" x14ac:dyDescent="0.2">
      <c r="A440">
        <f>ROW(Source!A464)</f>
        <v>464</v>
      </c>
      <c r="B440">
        <v>129761633</v>
      </c>
      <c r="C440">
        <v>129763682</v>
      </c>
      <c r="D440">
        <v>37418164</v>
      </c>
      <c r="E440">
        <v>1</v>
      </c>
      <c r="F440">
        <v>1</v>
      </c>
      <c r="G440">
        <v>37345137</v>
      </c>
      <c r="H440">
        <v>2</v>
      </c>
      <c r="I440" t="s">
        <v>1294</v>
      </c>
      <c r="J440" t="s">
        <v>1295</v>
      </c>
      <c r="K440" t="s">
        <v>1296</v>
      </c>
      <c r="L440">
        <v>1367</v>
      </c>
      <c r="N440">
        <v>1011</v>
      </c>
      <c r="O440" t="s">
        <v>1102</v>
      </c>
      <c r="P440" t="s">
        <v>1102</v>
      </c>
      <c r="Q440">
        <v>1</v>
      </c>
      <c r="W440">
        <v>0</v>
      </c>
      <c r="X440">
        <v>-157737218</v>
      </c>
      <c r="Y440">
        <f t="shared" si="180"/>
        <v>0.6</v>
      </c>
      <c r="AA440">
        <v>0</v>
      </c>
      <c r="AB440">
        <v>9.18</v>
      </c>
      <c r="AC440">
        <v>2.84</v>
      </c>
      <c r="AD440">
        <v>0</v>
      </c>
      <c r="AE440">
        <v>0</v>
      </c>
      <c r="AF440">
        <v>1.0900000000000001</v>
      </c>
      <c r="AG440">
        <v>0.09</v>
      </c>
      <c r="AH440">
        <v>0</v>
      </c>
      <c r="AI440">
        <v>1</v>
      </c>
      <c r="AJ440">
        <v>7.75</v>
      </c>
      <c r="AK440">
        <v>29.03</v>
      </c>
      <c r="AL440">
        <v>1</v>
      </c>
      <c r="AN440">
        <v>0</v>
      </c>
      <c r="AO440">
        <v>1</v>
      </c>
      <c r="AP440">
        <v>1</v>
      </c>
      <c r="AQ440">
        <v>0</v>
      </c>
      <c r="AR440">
        <v>0</v>
      </c>
      <c r="AS440" t="s">
        <v>3</v>
      </c>
      <c r="AT440">
        <v>1</v>
      </c>
      <c r="AU440" t="s">
        <v>142</v>
      </c>
      <c r="AV440">
        <v>0</v>
      </c>
      <c r="AW440">
        <v>2</v>
      </c>
      <c r="AX440">
        <v>129763694</v>
      </c>
      <c r="AY440">
        <v>1</v>
      </c>
      <c r="AZ440">
        <v>0</v>
      </c>
      <c r="BA440">
        <v>444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CX440">
        <f>ROUND(Y440*Source!I464,9)</f>
        <v>0.48</v>
      </c>
      <c r="CY440">
        <f t="shared" si="183"/>
        <v>9.18</v>
      </c>
      <c r="CZ440">
        <f t="shared" si="184"/>
        <v>1.0900000000000001</v>
      </c>
      <c r="DA440">
        <f t="shared" si="185"/>
        <v>7.75</v>
      </c>
      <c r="DB440">
        <f t="shared" si="181"/>
        <v>0.65400000000000003</v>
      </c>
      <c r="DC440">
        <f t="shared" si="182"/>
        <v>5.3999999999999999E-2</v>
      </c>
      <c r="DD440" t="s">
        <v>3</v>
      </c>
      <c r="DE440" t="s">
        <v>3</v>
      </c>
      <c r="DF440">
        <f t="shared" si="175"/>
        <v>0</v>
      </c>
      <c r="DG440">
        <f>ROUND(ROUND(AF440*CX440,2)*AJ440,2)</f>
        <v>4.03</v>
      </c>
      <c r="DH440">
        <f>ROUND(ROUND(AG440*CX440,2)*AK440,2)</f>
        <v>1.1599999999999999</v>
      </c>
      <c r="DI440">
        <f t="shared" si="152"/>
        <v>0</v>
      </c>
      <c r="DJ440">
        <f t="shared" si="186"/>
        <v>4.03</v>
      </c>
      <c r="DK440">
        <v>0</v>
      </c>
    </row>
    <row r="441" spans="1:115" x14ac:dyDescent="0.2">
      <c r="A441">
        <f>ROW(Source!A464)</f>
        <v>464</v>
      </c>
      <c r="B441">
        <v>129761633</v>
      </c>
      <c r="C441">
        <v>129763682</v>
      </c>
      <c r="D441">
        <v>37418491</v>
      </c>
      <c r="E441">
        <v>1</v>
      </c>
      <c r="F441">
        <v>1</v>
      </c>
      <c r="G441">
        <v>37345137</v>
      </c>
      <c r="H441">
        <v>2</v>
      </c>
      <c r="I441" t="s">
        <v>1177</v>
      </c>
      <c r="J441" t="s">
        <v>1178</v>
      </c>
      <c r="K441" t="s">
        <v>1179</v>
      </c>
      <c r="L441">
        <v>1367</v>
      </c>
      <c r="N441">
        <v>1011</v>
      </c>
      <c r="O441" t="s">
        <v>1102</v>
      </c>
      <c r="P441" t="s">
        <v>1102</v>
      </c>
      <c r="Q441">
        <v>1</v>
      </c>
      <c r="W441">
        <v>0</v>
      </c>
      <c r="X441">
        <v>-1780114133</v>
      </c>
      <c r="Y441">
        <f t="shared" si="180"/>
        <v>0.66</v>
      </c>
      <c r="AA441">
        <v>0</v>
      </c>
      <c r="AB441">
        <v>3.86</v>
      </c>
      <c r="AC441">
        <v>0</v>
      </c>
      <c r="AD441">
        <v>0</v>
      </c>
      <c r="AE441">
        <v>0</v>
      </c>
      <c r="AF441">
        <v>0.44</v>
      </c>
      <c r="AG441">
        <v>0</v>
      </c>
      <c r="AH441">
        <v>0</v>
      </c>
      <c r="AI441">
        <v>1</v>
      </c>
      <c r="AJ441">
        <v>8.07</v>
      </c>
      <c r="AK441">
        <v>29.03</v>
      </c>
      <c r="AL441">
        <v>1</v>
      </c>
      <c r="AN441">
        <v>0</v>
      </c>
      <c r="AO441">
        <v>1</v>
      </c>
      <c r="AP441">
        <v>1</v>
      </c>
      <c r="AQ441">
        <v>0</v>
      </c>
      <c r="AR441">
        <v>0</v>
      </c>
      <c r="AS441" t="s">
        <v>3</v>
      </c>
      <c r="AT441">
        <v>1.1000000000000001</v>
      </c>
      <c r="AU441" t="s">
        <v>142</v>
      </c>
      <c r="AV441">
        <v>0</v>
      </c>
      <c r="AW441">
        <v>2</v>
      </c>
      <c r="AX441">
        <v>129763695</v>
      </c>
      <c r="AY441">
        <v>1</v>
      </c>
      <c r="AZ441">
        <v>0</v>
      </c>
      <c r="BA441">
        <v>445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CX441">
        <f>ROUND(Y441*Source!I464,9)</f>
        <v>0.52800000000000002</v>
      </c>
      <c r="CY441">
        <f t="shared" si="183"/>
        <v>3.86</v>
      </c>
      <c r="CZ441">
        <f t="shared" si="184"/>
        <v>0.44</v>
      </c>
      <c r="DA441">
        <f t="shared" si="185"/>
        <v>8.07</v>
      </c>
      <c r="DB441">
        <f t="shared" si="181"/>
        <v>0.28799999999999998</v>
      </c>
      <c r="DC441">
        <f t="shared" si="182"/>
        <v>0</v>
      </c>
      <c r="DD441" t="s">
        <v>3</v>
      </c>
      <c r="DE441" t="s">
        <v>3</v>
      </c>
      <c r="DF441">
        <f t="shared" si="175"/>
        <v>0</v>
      </c>
      <c r="DG441">
        <f>ROUND(ROUND(AF441*CX441,2)*AJ441,2)</f>
        <v>1.86</v>
      </c>
      <c r="DH441">
        <f>ROUND(ROUND(AG441*CX441,2)*AK441,2)</f>
        <v>0</v>
      </c>
      <c r="DI441">
        <f t="shared" si="152"/>
        <v>0</v>
      </c>
      <c r="DJ441">
        <f t="shared" si="186"/>
        <v>1.86</v>
      </c>
      <c r="DK441">
        <v>0</v>
      </c>
    </row>
    <row r="442" spans="1:115" x14ac:dyDescent="0.2">
      <c r="A442">
        <f>ROW(Source!A464)</f>
        <v>464</v>
      </c>
      <c r="B442">
        <v>129761633</v>
      </c>
      <c r="C442">
        <v>129763682</v>
      </c>
      <c r="D442">
        <v>37418479</v>
      </c>
      <c r="E442">
        <v>1</v>
      </c>
      <c r="F442">
        <v>1</v>
      </c>
      <c r="G442">
        <v>37345137</v>
      </c>
      <c r="H442">
        <v>2</v>
      </c>
      <c r="I442" t="s">
        <v>1183</v>
      </c>
      <c r="J442" t="s">
        <v>1184</v>
      </c>
      <c r="K442" t="s">
        <v>1185</v>
      </c>
      <c r="L442">
        <v>1367</v>
      </c>
      <c r="N442">
        <v>1011</v>
      </c>
      <c r="O442" t="s">
        <v>1102</v>
      </c>
      <c r="P442" t="s">
        <v>1102</v>
      </c>
      <c r="Q442">
        <v>1</v>
      </c>
      <c r="W442">
        <v>0</v>
      </c>
      <c r="X442">
        <v>950854334</v>
      </c>
      <c r="Y442">
        <f t="shared" si="180"/>
        <v>0.18</v>
      </c>
      <c r="AA442">
        <v>0</v>
      </c>
      <c r="AB442">
        <v>2.57</v>
      </c>
      <c r="AC442">
        <v>0.11</v>
      </c>
      <c r="AD442">
        <v>0</v>
      </c>
      <c r="AE442">
        <v>0</v>
      </c>
      <c r="AF442">
        <v>2.36</v>
      </c>
      <c r="AG442">
        <v>0.1</v>
      </c>
      <c r="AH442">
        <v>0</v>
      </c>
      <c r="AI442">
        <v>1</v>
      </c>
      <c r="AJ442">
        <v>1</v>
      </c>
      <c r="AK442">
        <v>1</v>
      </c>
      <c r="AL442">
        <v>1</v>
      </c>
      <c r="AN442">
        <v>0</v>
      </c>
      <c r="AO442">
        <v>1</v>
      </c>
      <c r="AP442">
        <v>1</v>
      </c>
      <c r="AQ442">
        <v>0</v>
      </c>
      <c r="AR442">
        <v>0</v>
      </c>
      <c r="AS442" t="s">
        <v>3</v>
      </c>
      <c r="AT442">
        <v>0.3</v>
      </c>
      <c r="AU442" t="s">
        <v>142</v>
      </c>
      <c r="AV442">
        <v>0</v>
      </c>
      <c r="AW442">
        <v>2</v>
      </c>
      <c r="AX442">
        <v>129763696</v>
      </c>
      <c r="AY442">
        <v>1</v>
      </c>
      <c r="AZ442">
        <v>0</v>
      </c>
      <c r="BA442">
        <v>446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CX442">
        <f>ROUND(Y442*Source!I464,9)</f>
        <v>0.14399999999999999</v>
      </c>
      <c r="CY442">
        <f t="shared" si="183"/>
        <v>2.57</v>
      </c>
      <c r="CZ442">
        <f t="shared" si="184"/>
        <v>2.36</v>
      </c>
      <c r="DA442">
        <f t="shared" si="185"/>
        <v>1</v>
      </c>
      <c r="DB442">
        <f t="shared" si="181"/>
        <v>0.42599999999999999</v>
      </c>
      <c r="DC442">
        <f t="shared" si="182"/>
        <v>1.7999999999999999E-2</v>
      </c>
      <c r="DD442" t="s">
        <v>3</v>
      </c>
      <c r="DE442" t="s">
        <v>3</v>
      </c>
      <c r="DF442">
        <f t="shared" si="175"/>
        <v>0</v>
      </c>
      <c r="DG442">
        <f>ROUND(AF442*CX442,2)</f>
        <v>0.34</v>
      </c>
      <c r="DH442">
        <f>ROUND(AG442*CX442,2)</f>
        <v>0.01</v>
      </c>
      <c r="DI442">
        <f t="shared" si="152"/>
        <v>0</v>
      </c>
      <c r="DJ442">
        <f t="shared" si="186"/>
        <v>0.34</v>
      </c>
      <c r="DK442">
        <v>0</v>
      </c>
    </row>
    <row r="443" spans="1:115" x14ac:dyDescent="0.2">
      <c r="A443">
        <f>ROW(Source!A464)</f>
        <v>464</v>
      </c>
      <c r="B443">
        <v>129761633</v>
      </c>
      <c r="C443">
        <v>129763682</v>
      </c>
      <c r="D443">
        <v>37418532</v>
      </c>
      <c r="E443">
        <v>1</v>
      </c>
      <c r="F443">
        <v>1</v>
      </c>
      <c r="G443">
        <v>37345137</v>
      </c>
      <c r="H443">
        <v>2</v>
      </c>
      <c r="I443" t="s">
        <v>1297</v>
      </c>
      <c r="J443" t="s">
        <v>1298</v>
      </c>
      <c r="K443" t="s">
        <v>1299</v>
      </c>
      <c r="L443">
        <v>1367</v>
      </c>
      <c r="N443">
        <v>1011</v>
      </c>
      <c r="O443" t="s">
        <v>1102</v>
      </c>
      <c r="P443" t="s">
        <v>1102</v>
      </c>
      <c r="Q443">
        <v>1</v>
      </c>
      <c r="W443">
        <v>0</v>
      </c>
      <c r="X443">
        <v>-1280649501</v>
      </c>
      <c r="Y443">
        <f t="shared" si="180"/>
        <v>0.504</v>
      </c>
      <c r="AA443">
        <v>0</v>
      </c>
      <c r="AB443">
        <v>364.62</v>
      </c>
      <c r="AC443">
        <v>424.74</v>
      </c>
      <c r="AD443">
        <v>0</v>
      </c>
      <c r="AE443">
        <v>0</v>
      </c>
      <c r="AF443">
        <v>18.309999999999999</v>
      </c>
      <c r="AG443">
        <v>13.46</v>
      </c>
      <c r="AH443">
        <v>0</v>
      </c>
      <c r="AI443">
        <v>1</v>
      </c>
      <c r="AJ443">
        <v>18.32</v>
      </c>
      <c r="AK443">
        <v>29.03</v>
      </c>
      <c r="AL443">
        <v>1</v>
      </c>
      <c r="AN443">
        <v>0</v>
      </c>
      <c r="AO443">
        <v>1</v>
      </c>
      <c r="AP443">
        <v>1</v>
      </c>
      <c r="AQ443">
        <v>0</v>
      </c>
      <c r="AR443">
        <v>0</v>
      </c>
      <c r="AS443" t="s">
        <v>3</v>
      </c>
      <c r="AT443">
        <v>0.84</v>
      </c>
      <c r="AU443" t="s">
        <v>142</v>
      </c>
      <c r="AV443">
        <v>0</v>
      </c>
      <c r="AW443">
        <v>2</v>
      </c>
      <c r="AX443">
        <v>129763697</v>
      </c>
      <c r="AY443">
        <v>1</v>
      </c>
      <c r="AZ443">
        <v>0</v>
      </c>
      <c r="BA443">
        <v>447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CX443">
        <f>ROUND(Y443*Source!I464,9)</f>
        <v>0.4032</v>
      </c>
      <c r="CY443">
        <f t="shared" si="183"/>
        <v>364.62</v>
      </c>
      <c r="CZ443">
        <f t="shared" si="184"/>
        <v>18.309999999999999</v>
      </c>
      <c r="DA443">
        <f t="shared" si="185"/>
        <v>18.32</v>
      </c>
      <c r="DB443">
        <f t="shared" si="181"/>
        <v>9.2279999999999998</v>
      </c>
      <c r="DC443">
        <f t="shared" si="182"/>
        <v>6.7859999999999996</v>
      </c>
      <c r="DD443" t="s">
        <v>3</v>
      </c>
      <c r="DE443" t="s">
        <v>3</v>
      </c>
      <c r="DF443">
        <f t="shared" si="175"/>
        <v>0</v>
      </c>
      <c r="DG443">
        <f>ROUND(ROUND(AF443*CX443,2)*AJ443,2)</f>
        <v>135.19999999999999</v>
      </c>
      <c r="DH443">
        <f>ROUND(ROUND(AG443*CX443,2)*AK443,2)</f>
        <v>157.63</v>
      </c>
      <c r="DI443">
        <f t="shared" si="152"/>
        <v>0</v>
      </c>
      <c r="DJ443">
        <f t="shared" si="186"/>
        <v>135.19999999999999</v>
      </c>
      <c r="DK443">
        <v>0</v>
      </c>
    </row>
    <row r="444" spans="1:115" x14ac:dyDescent="0.2">
      <c r="A444">
        <f>ROW(Source!A464)</f>
        <v>464</v>
      </c>
      <c r="B444">
        <v>129761633</v>
      </c>
      <c r="C444">
        <v>129763682</v>
      </c>
      <c r="D444">
        <v>37345890</v>
      </c>
      <c r="E444">
        <v>37345137</v>
      </c>
      <c r="F444">
        <v>1</v>
      </c>
      <c r="G444">
        <v>37345137</v>
      </c>
      <c r="H444">
        <v>2</v>
      </c>
      <c r="I444" t="s">
        <v>1145</v>
      </c>
      <c r="J444" t="s">
        <v>3</v>
      </c>
      <c r="K444" t="s">
        <v>1146</v>
      </c>
      <c r="L444">
        <v>1344</v>
      </c>
      <c r="N444">
        <v>1008</v>
      </c>
      <c r="O444" t="s">
        <v>1138</v>
      </c>
      <c r="P444" t="s">
        <v>1138</v>
      </c>
      <c r="Q444">
        <v>1</v>
      </c>
      <c r="W444">
        <v>0</v>
      </c>
      <c r="X444">
        <v>-1180195794</v>
      </c>
      <c r="Y444">
        <f t="shared" si="180"/>
        <v>22.337999999999997</v>
      </c>
      <c r="AA444">
        <v>0</v>
      </c>
      <c r="AB444">
        <v>1.0900000000000001</v>
      </c>
      <c r="AC444">
        <v>0</v>
      </c>
      <c r="AD444">
        <v>0</v>
      </c>
      <c r="AE444">
        <v>0</v>
      </c>
      <c r="AF444">
        <v>1</v>
      </c>
      <c r="AG444">
        <v>0</v>
      </c>
      <c r="AH444">
        <v>0</v>
      </c>
      <c r="AI444">
        <v>1</v>
      </c>
      <c r="AJ444">
        <v>1</v>
      </c>
      <c r="AK444">
        <v>1</v>
      </c>
      <c r="AL444">
        <v>1</v>
      </c>
      <c r="AN444">
        <v>0</v>
      </c>
      <c r="AO444">
        <v>1</v>
      </c>
      <c r="AP444">
        <v>1</v>
      </c>
      <c r="AQ444">
        <v>0</v>
      </c>
      <c r="AR444">
        <v>0</v>
      </c>
      <c r="AS444" t="s">
        <v>3</v>
      </c>
      <c r="AT444">
        <v>37.229999999999997</v>
      </c>
      <c r="AU444" t="s">
        <v>142</v>
      </c>
      <c r="AV444">
        <v>0</v>
      </c>
      <c r="AW444">
        <v>2</v>
      </c>
      <c r="AX444">
        <v>129763698</v>
      </c>
      <c r="AY444">
        <v>1</v>
      </c>
      <c r="AZ444">
        <v>0</v>
      </c>
      <c r="BA444">
        <v>448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CX444">
        <f>ROUND(Y444*Source!I464,9)</f>
        <v>17.8704</v>
      </c>
      <c r="CY444">
        <f t="shared" si="183"/>
        <v>1.0900000000000001</v>
      </c>
      <c r="CZ444">
        <f t="shared" si="184"/>
        <v>1</v>
      </c>
      <c r="DA444">
        <f t="shared" si="185"/>
        <v>1</v>
      </c>
      <c r="DB444">
        <f t="shared" si="181"/>
        <v>22.338000000000001</v>
      </c>
      <c r="DC444">
        <f t="shared" si="182"/>
        <v>0</v>
      </c>
      <c r="DD444" t="s">
        <v>3</v>
      </c>
      <c r="DE444" t="s">
        <v>3</v>
      </c>
      <c r="DF444">
        <f t="shared" si="175"/>
        <v>0</v>
      </c>
      <c r="DG444">
        <f t="shared" ref="DG444:DG453" si="187">ROUND(AF444*CX444,2)</f>
        <v>17.87</v>
      </c>
      <c r="DH444">
        <f t="shared" ref="DH444:DH453" si="188">ROUND(AG444*CX444,2)</f>
        <v>0</v>
      </c>
      <c r="DI444">
        <f t="shared" si="152"/>
        <v>0</v>
      </c>
      <c r="DJ444">
        <f t="shared" si="186"/>
        <v>17.87</v>
      </c>
      <c r="DK444">
        <v>0</v>
      </c>
    </row>
    <row r="445" spans="1:115" x14ac:dyDescent="0.2">
      <c r="A445">
        <f>ROW(Source!A464)</f>
        <v>464</v>
      </c>
      <c r="B445">
        <v>129761633</v>
      </c>
      <c r="C445">
        <v>129763682</v>
      </c>
      <c r="D445">
        <v>37394864</v>
      </c>
      <c r="E445">
        <v>1</v>
      </c>
      <c r="F445">
        <v>1</v>
      </c>
      <c r="G445">
        <v>37345137</v>
      </c>
      <c r="H445">
        <v>3</v>
      </c>
      <c r="I445" t="s">
        <v>1147</v>
      </c>
      <c r="J445" t="s">
        <v>1148</v>
      </c>
      <c r="K445" t="s">
        <v>1149</v>
      </c>
      <c r="L445">
        <v>1348</v>
      </c>
      <c r="N445">
        <v>1009</v>
      </c>
      <c r="O445" t="s">
        <v>114</v>
      </c>
      <c r="P445" t="s">
        <v>114</v>
      </c>
      <c r="Q445">
        <v>1000</v>
      </c>
      <c r="W445">
        <v>0</v>
      </c>
      <c r="X445">
        <v>1310716689</v>
      </c>
      <c r="Y445">
        <f t="shared" si="180"/>
        <v>1.2899999999999998E-2</v>
      </c>
      <c r="AA445">
        <v>145777.99</v>
      </c>
      <c r="AB445">
        <v>0</v>
      </c>
      <c r="AC445">
        <v>0</v>
      </c>
      <c r="AD445">
        <v>0</v>
      </c>
      <c r="AE445">
        <v>7191.81</v>
      </c>
      <c r="AF445">
        <v>0</v>
      </c>
      <c r="AG445">
        <v>0</v>
      </c>
      <c r="AH445">
        <v>0</v>
      </c>
      <c r="AI445">
        <v>20.27</v>
      </c>
      <c r="AJ445">
        <v>1</v>
      </c>
      <c r="AK445">
        <v>1</v>
      </c>
      <c r="AL445">
        <v>1</v>
      </c>
      <c r="AN445">
        <v>0</v>
      </c>
      <c r="AO445">
        <v>1</v>
      </c>
      <c r="AP445">
        <v>1</v>
      </c>
      <c r="AQ445">
        <v>0</v>
      </c>
      <c r="AR445">
        <v>0</v>
      </c>
      <c r="AS445" t="s">
        <v>3</v>
      </c>
      <c r="AT445">
        <v>2.1499999999999998E-2</v>
      </c>
      <c r="AU445" t="s">
        <v>142</v>
      </c>
      <c r="AV445">
        <v>0</v>
      </c>
      <c r="AW445">
        <v>2</v>
      </c>
      <c r="AX445">
        <v>129763701</v>
      </c>
      <c r="AY445">
        <v>1</v>
      </c>
      <c r="AZ445">
        <v>0</v>
      </c>
      <c r="BA445">
        <v>451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CX445">
        <f>ROUND(Y445*Source!I464,9)</f>
        <v>1.0319999999999999E-2</v>
      </c>
      <c r="CY445">
        <f>AA445</f>
        <v>145777.99</v>
      </c>
      <c r="CZ445">
        <f>AE445</f>
        <v>7191.81</v>
      </c>
      <c r="DA445">
        <f>AI445</f>
        <v>20.27</v>
      </c>
      <c r="DB445">
        <f t="shared" si="181"/>
        <v>92.772000000000006</v>
      </c>
      <c r="DC445">
        <f t="shared" si="182"/>
        <v>0</v>
      </c>
      <c r="DD445" t="s">
        <v>3</v>
      </c>
      <c r="DE445" t="s">
        <v>3</v>
      </c>
      <c r="DF445">
        <f>ROUND(ROUND(AE445*CX445,2)*AI445,2)</f>
        <v>1504.44</v>
      </c>
      <c r="DG445">
        <f t="shared" si="187"/>
        <v>0</v>
      </c>
      <c r="DH445">
        <f t="shared" si="188"/>
        <v>0</v>
      </c>
      <c r="DI445">
        <f t="shared" si="152"/>
        <v>0</v>
      </c>
      <c r="DJ445">
        <f>DF445</f>
        <v>1504.44</v>
      </c>
      <c r="DK445">
        <v>0</v>
      </c>
    </row>
    <row r="446" spans="1:115" x14ac:dyDescent="0.2">
      <c r="A446">
        <f>ROW(Source!A464)</f>
        <v>464</v>
      </c>
      <c r="B446">
        <v>129761633</v>
      </c>
      <c r="C446">
        <v>129763682</v>
      </c>
      <c r="D446">
        <v>0</v>
      </c>
      <c r="E446">
        <v>1</v>
      </c>
      <c r="F446">
        <v>1</v>
      </c>
      <c r="G446">
        <v>37345137</v>
      </c>
      <c r="H446">
        <v>3</v>
      </c>
      <c r="I446" t="s">
        <v>162</v>
      </c>
      <c r="J446" t="s">
        <v>3</v>
      </c>
      <c r="K446" t="s">
        <v>163</v>
      </c>
      <c r="L446">
        <v>1348</v>
      </c>
      <c r="N446">
        <v>1009</v>
      </c>
      <c r="O446" t="s">
        <v>114</v>
      </c>
      <c r="P446" t="s">
        <v>114</v>
      </c>
      <c r="Q446">
        <v>1000</v>
      </c>
      <c r="W446">
        <v>0</v>
      </c>
      <c r="X446">
        <v>1489638031</v>
      </c>
      <c r="Y446">
        <f>AT446</f>
        <v>-0.6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8.65</v>
      </c>
      <c r="AJ446">
        <v>1</v>
      </c>
      <c r="AK446">
        <v>1</v>
      </c>
      <c r="AL446">
        <v>1</v>
      </c>
      <c r="AN446">
        <v>0</v>
      </c>
      <c r="AO446">
        <v>0</v>
      </c>
      <c r="AP446">
        <v>0</v>
      </c>
      <c r="AQ446">
        <v>0</v>
      </c>
      <c r="AR446">
        <v>0</v>
      </c>
      <c r="AS446" t="s">
        <v>3</v>
      </c>
      <c r="AT446">
        <v>-0.6</v>
      </c>
      <c r="AU446" t="s">
        <v>3</v>
      </c>
      <c r="AV446">
        <v>0</v>
      </c>
      <c r="AW446">
        <v>1</v>
      </c>
      <c r="AX446">
        <v>-1</v>
      </c>
      <c r="AY446">
        <v>0</v>
      </c>
      <c r="AZ446">
        <v>0</v>
      </c>
      <c r="BA446" t="s">
        <v>3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CX446">
        <f>ROUND(Y446*Source!I464,9)</f>
        <v>-0.48</v>
      </c>
      <c r="CY446">
        <f>AA446</f>
        <v>0</v>
      </c>
      <c r="CZ446">
        <f>AE446</f>
        <v>0</v>
      </c>
      <c r="DA446">
        <f>AI446</f>
        <v>8.65</v>
      </c>
      <c r="DB446">
        <f>ROUND(ROUND(AT446*CZ446,2),6)</f>
        <v>0</v>
      </c>
      <c r="DC446">
        <f>ROUND(ROUND(AT446*AG446,2),6)</f>
        <v>0</v>
      </c>
      <c r="DD446" t="s">
        <v>3</v>
      </c>
      <c r="DE446" t="s">
        <v>3</v>
      </c>
      <c r="DF446">
        <f>ROUND(ROUND(AE446*CX446,2)*AI446,2)</f>
        <v>0</v>
      </c>
      <c r="DG446">
        <f t="shared" si="187"/>
        <v>0</v>
      </c>
      <c r="DH446">
        <f t="shared" si="188"/>
        <v>0</v>
      </c>
      <c r="DI446">
        <f t="shared" si="152"/>
        <v>0</v>
      </c>
      <c r="DJ446">
        <f>DF446</f>
        <v>0</v>
      </c>
      <c r="DK446">
        <v>2</v>
      </c>
    </row>
    <row r="447" spans="1:115" x14ac:dyDescent="0.2">
      <c r="A447">
        <f>ROW(Source!A502)</f>
        <v>502</v>
      </c>
      <c r="B447">
        <v>129761636</v>
      </c>
      <c r="C447">
        <v>129763704</v>
      </c>
      <c r="D447">
        <v>37345142</v>
      </c>
      <c r="E447">
        <v>37345137</v>
      </c>
      <c r="F447">
        <v>1</v>
      </c>
      <c r="G447">
        <v>37345137</v>
      </c>
      <c r="H447">
        <v>1</v>
      </c>
      <c r="I447" t="s">
        <v>1096</v>
      </c>
      <c r="J447" t="s">
        <v>3</v>
      </c>
      <c r="K447" t="s">
        <v>1097</v>
      </c>
      <c r="L447">
        <v>1191</v>
      </c>
      <c r="N447">
        <v>1013</v>
      </c>
      <c r="O447" t="s">
        <v>1098</v>
      </c>
      <c r="P447" t="s">
        <v>1098</v>
      </c>
      <c r="Q447">
        <v>1</v>
      </c>
      <c r="W447">
        <v>0</v>
      </c>
      <c r="X447">
        <v>476480486</v>
      </c>
      <c r="Y447">
        <f>(AT447*1.15)</f>
        <v>0.89699999999999991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1</v>
      </c>
      <c r="AJ447">
        <v>1</v>
      </c>
      <c r="AK447">
        <v>1</v>
      </c>
      <c r="AL447">
        <v>1</v>
      </c>
      <c r="AN447">
        <v>0</v>
      </c>
      <c r="AO447">
        <v>1</v>
      </c>
      <c r="AP447">
        <v>1</v>
      </c>
      <c r="AQ447">
        <v>0</v>
      </c>
      <c r="AR447">
        <v>0</v>
      </c>
      <c r="AS447" t="s">
        <v>3</v>
      </c>
      <c r="AT447">
        <v>0.78</v>
      </c>
      <c r="AU447" t="s">
        <v>87</v>
      </c>
      <c r="AV447">
        <v>1</v>
      </c>
      <c r="AW447">
        <v>2</v>
      </c>
      <c r="AX447">
        <v>129763711</v>
      </c>
      <c r="AY447">
        <v>1</v>
      </c>
      <c r="AZ447">
        <v>0</v>
      </c>
      <c r="BA447">
        <v>453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CX447">
        <f>ROUND(Y447*Source!I502,9)</f>
        <v>1.8926700000000001</v>
      </c>
      <c r="CY447">
        <f>AD447</f>
        <v>0</v>
      </c>
      <c r="CZ447">
        <f>AH447</f>
        <v>0</v>
      </c>
      <c r="DA447">
        <f>AL447</f>
        <v>1</v>
      </c>
      <c r="DB447">
        <f>ROUND((ROUND(AT447*CZ447,2)*1.15),6)</f>
        <v>0</v>
      </c>
      <c r="DC447">
        <f>ROUND((ROUND(AT447*AG447,2)*1.15),6)</f>
        <v>0</v>
      </c>
      <c r="DD447" t="s">
        <v>3</v>
      </c>
      <c r="DE447" t="s">
        <v>3</v>
      </c>
      <c r="DF447">
        <f t="shared" ref="DF447:DF456" si="189">ROUND(AE447*CX447,2)</f>
        <v>0</v>
      </c>
      <c r="DG447">
        <f t="shared" si="187"/>
        <v>0</v>
      </c>
      <c r="DH447">
        <f t="shared" si="188"/>
        <v>0</v>
      </c>
      <c r="DI447">
        <f t="shared" si="152"/>
        <v>0</v>
      </c>
      <c r="DJ447">
        <f>DI447</f>
        <v>0</v>
      </c>
      <c r="DK447">
        <v>0</v>
      </c>
    </row>
    <row r="448" spans="1:115" x14ac:dyDescent="0.2">
      <c r="A448">
        <f>ROW(Source!A502)</f>
        <v>502</v>
      </c>
      <c r="B448">
        <v>129761636</v>
      </c>
      <c r="C448">
        <v>129763704</v>
      </c>
      <c r="D448">
        <v>37418063</v>
      </c>
      <c r="E448">
        <v>1</v>
      </c>
      <c r="F448">
        <v>1</v>
      </c>
      <c r="G448">
        <v>37345137</v>
      </c>
      <c r="H448">
        <v>2</v>
      </c>
      <c r="I448" t="s">
        <v>1153</v>
      </c>
      <c r="J448" t="s">
        <v>1154</v>
      </c>
      <c r="K448" t="s">
        <v>1155</v>
      </c>
      <c r="L448">
        <v>1367</v>
      </c>
      <c r="N448">
        <v>1011</v>
      </c>
      <c r="O448" t="s">
        <v>1102</v>
      </c>
      <c r="P448" t="s">
        <v>1102</v>
      </c>
      <c r="Q448">
        <v>1</v>
      </c>
      <c r="W448">
        <v>0</v>
      </c>
      <c r="X448">
        <v>-668768829</v>
      </c>
      <c r="Y448">
        <f>(AT448*1.25)</f>
        <v>0.22499999999999998</v>
      </c>
      <c r="AA448">
        <v>0</v>
      </c>
      <c r="AB448">
        <v>41.62</v>
      </c>
      <c r="AC448">
        <v>13.33</v>
      </c>
      <c r="AD448">
        <v>0</v>
      </c>
      <c r="AE448">
        <v>0</v>
      </c>
      <c r="AF448">
        <v>41.62</v>
      </c>
      <c r="AG448">
        <v>13.33</v>
      </c>
      <c r="AH448">
        <v>0</v>
      </c>
      <c r="AI448">
        <v>1</v>
      </c>
      <c r="AJ448">
        <v>1</v>
      </c>
      <c r="AK448">
        <v>1</v>
      </c>
      <c r="AL448">
        <v>1</v>
      </c>
      <c r="AN448">
        <v>0</v>
      </c>
      <c r="AO448">
        <v>1</v>
      </c>
      <c r="AP448">
        <v>1</v>
      </c>
      <c r="AQ448">
        <v>0</v>
      </c>
      <c r="AR448">
        <v>0</v>
      </c>
      <c r="AS448" t="s">
        <v>3</v>
      </c>
      <c r="AT448">
        <v>0.18</v>
      </c>
      <c r="AU448" t="s">
        <v>86</v>
      </c>
      <c r="AV448">
        <v>0</v>
      </c>
      <c r="AW448">
        <v>2</v>
      </c>
      <c r="AX448">
        <v>129763712</v>
      </c>
      <c r="AY448">
        <v>1</v>
      </c>
      <c r="AZ448">
        <v>0</v>
      </c>
      <c r="BA448">
        <v>454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CX448">
        <f>ROUND(Y448*Source!I502,9)</f>
        <v>0.47475000000000001</v>
      </c>
      <c r="CY448">
        <f>AB448</f>
        <v>41.62</v>
      </c>
      <c r="CZ448">
        <f>AF448</f>
        <v>41.62</v>
      </c>
      <c r="DA448">
        <f>AJ448</f>
        <v>1</v>
      </c>
      <c r="DB448">
        <f>ROUND((ROUND(AT448*CZ448,2)*1.25),6)</f>
        <v>9.3625000000000007</v>
      </c>
      <c r="DC448">
        <f>ROUND((ROUND(AT448*AG448,2)*1.25),6)</f>
        <v>3</v>
      </c>
      <c r="DD448" t="s">
        <v>3</v>
      </c>
      <c r="DE448" t="s">
        <v>3</v>
      </c>
      <c r="DF448">
        <f t="shared" si="189"/>
        <v>0</v>
      </c>
      <c r="DG448">
        <f t="shared" si="187"/>
        <v>19.760000000000002</v>
      </c>
      <c r="DH448">
        <f t="shared" si="188"/>
        <v>6.33</v>
      </c>
      <c r="DI448">
        <f t="shared" si="152"/>
        <v>0</v>
      </c>
      <c r="DJ448">
        <f>DG448</f>
        <v>19.760000000000002</v>
      </c>
      <c r="DK448">
        <v>0</v>
      </c>
    </row>
    <row r="449" spans="1:115" x14ac:dyDescent="0.2">
      <c r="A449">
        <f>ROW(Source!A502)</f>
        <v>502</v>
      </c>
      <c r="B449">
        <v>129761636</v>
      </c>
      <c r="C449">
        <v>129763704</v>
      </c>
      <c r="D449">
        <v>37418474</v>
      </c>
      <c r="E449">
        <v>1</v>
      </c>
      <c r="F449">
        <v>1</v>
      </c>
      <c r="G449">
        <v>37345137</v>
      </c>
      <c r="H449">
        <v>2</v>
      </c>
      <c r="I449" t="s">
        <v>1300</v>
      </c>
      <c r="J449" t="s">
        <v>1301</v>
      </c>
      <c r="K449" t="s">
        <v>1302</v>
      </c>
      <c r="L449">
        <v>1367</v>
      </c>
      <c r="N449">
        <v>1011</v>
      </c>
      <c r="O449" t="s">
        <v>1102</v>
      </c>
      <c r="P449" t="s">
        <v>1102</v>
      </c>
      <c r="Q449">
        <v>1</v>
      </c>
      <c r="W449">
        <v>0</v>
      </c>
      <c r="X449">
        <v>1280158331</v>
      </c>
      <c r="Y449">
        <f>(AT449*1.25)</f>
        <v>0.44999999999999996</v>
      </c>
      <c r="AA449">
        <v>0</v>
      </c>
      <c r="AB449">
        <v>0.56000000000000005</v>
      </c>
      <c r="AC449">
        <v>0.09</v>
      </c>
      <c r="AD449">
        <v>0</v>
      </c>
      <c r="AE449">
        <v>0</v>
      </c>
      <c r="AF449">
        <v>0.56000000000000005</v>
      </c>
      <c r="AG449">
        <v>0.09</v>
      </c>
      <c r="AH449">
        <v>0</v>
      </c>
      <c r="AI449">
        <v>1</v>
      </c>
      <c r="AJ449">
        <v>1</v>
      </c>
      <c r="AK449">
        <v>1</v>
      </c>
      <c r="AL449">
        <v>1</v>
      </c>
      <c r="AN449">
        <v>0</v>
      </c>
      <c r="AO449">
        <v>1</v>
      </c>
      <c r="AP449">
        <v>1</v>
      </c>
      <c r="AQ449">
        <v>0</v>
      </c>
      <c r="AR449">
        <v>0</v>
      </c>
      <c r="AS449" t="s">
        <v>3</v>
      </c>
      <c r="AT449">
        <v>0.36</v>
      </c>
      <c r="AU449" t="s">
        <v>86</v>
      </c>
      <c r="AV449">
        <v>0</v>
      </c>
      <c r="AW449">
        <v>2</v>
      </c>
      <c r="AX449">
        <v>129763713</v>
      </c>
      <c r="AY449">
        <v>1</v>
      </c>
      <c r="AZ449">
        <v>0</v>
      </c>
      <c r="BA449">
        <v>455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CX449">
        <f>ROUND(Y449*Source!I502,9)</f>
        <v>0.94950000000000001</v>
      </c>
      <c r="CY449">
        <f>AB449</f>
        <v>0.56000000000000005</v>
      </c>
      <c r="CZ449">
        <f>AF449</f>
        <v>0.56000000000000005</v>
      </c>
      <c r="DA449">
        <f>AJ449</f>
        <v>1</v>
      </c>
      <c r="DB449">
        <f>ROUND((ROUND(AT449*CZ449,2)*1.25),6)</f>
        <v>0.25</v>
      </c>
      <c r="DC449">
        <f>ROUND((ROUND(AT449*AG449,2)*1.25),6)</f>
        <v>3.7499999999999999E-2</v>
      </c>
      <c r="DD449" t="s">
        <v>3</v>
      </c>
      <c r="DE449" t="s">
        <v>3</v>
      </c>
      <c r="DF449">
        <f t="shared" si="189"/>
        <v>0</v>
      </c>
      <c r="DG449">
        <f t="shared" si="187"/>
        <v>0.53</v>
      </c>
      <c r="DH449">
        <f t="shared" si="188"/>
        <v>0.09</v>
      </c>
      <c r="DI449">
        <f t="shared" ref="DI449:DI512" si="190">ROUND(AH449*CX449,2)</f>
        <v>0</v>
      </c>
      <c r="DJ449">
        <f>DG449</f>
        <v>0.53</v>
      </c>
      <c r="DK449">
        <v>0</v>
      </c>
    </row>
    <row r="450" spans="1:115" x14ac:dyDescent="0.2">
      <c r="A450">
        <f>ROW(Source!A502)</f>
        <v>502</v>
      </c>
      <c r="B450">
        <v>129761636</v>
      </c>
      <c r="C450">
        <v>129763704</v>
      </c>
      <c r="D450">
        <v>37417781</v>
      </c>
      <c r="E450">
        <v>1</v>
      </c>
      <c r="F450">
        <v>1</v>
      </c>
      <c r="G450">
        <v>37345137</v>
      </c>
      <c r="H450">
        <v>2</v>
      </c>
      <c r="I450" t="s">
        <v>1303</v>
      </c>
      <c r="J450" t="s">
        <v>1304</v>
      </c>
      <c r="K450" t="s">
        <v>1305</v>
      </c>
      <c r="L450">
        <v>1367</v>
      </c>
      <c r="N450">
        <v>1011</v>
      </c>
      <c r="O450" t="s">
        <v>1102</v>
      </c>
      <c r="P450" t="s">
        <v>1102</v>
      </c>
      <c r="Q450">
        <v>1</v>
      </c>
      <c r="W450">
        <v>0</v>
      </c>
      <c r="X450">
        <v>1022351366</v>
      </c>
      <c r="Y450">
        <f>(AT450*1.25)</f>
        <v>8.7500000000000008E-2</v>
      </c>
      <c r="AA450">
        <v>0</v>
      </c>
      <c r="AB450">
        <v>106.74</v>
      </c>
      <c r="AC450">
        <v>19.2</v>
      </c>
      <c r="AD450">
        <v>0</v>
      </c>
      <c r="AE450">
        <v>0</v>
      </c>
      <c r="AF450">
        <v>106.74</v>
      </c>
      <c r="AG450">
        <v>19.2</v>
      </c>
      <c r="AH450">
        <v>0</v>
      </c>
      <c r="AI450">
        <v>1</v>
      </c>
      <c r="AJ450">
        <v>1</v>
      </c>
      <c r="AK450">
        <v>1</v>
      </c>
      <c r="AL450">
        <v>1</v>
      </c>
      <c r="AN450">
        <v>0</v>
      </c>
      <c r="AO450">
        <v>1</v>
      </c>
      <c r="AP450">
        <v>1</v>
      </c>
      <c r="AQ450">
        <v>0</v>
      </c>
      <c r="AR450">
        <v>0</v>
      </c>
      <c r="AS450" t="s">
        <v>3</v>
      </c>
      <c r="AT450">
        <v>7.0000000000000007E-2</v>
      </c>
      <c r="AU450" t="s">
        <v>86</v>
      </c>
      <c r="AV450">
        <v>0</v>
      </c>
      <c r="AW450">
        <v>2</v>
      </c>
      <c r="AX450">
        <v>129763714</v>
      </c>
      <c r="AY450">
        <v>1</v>
      </c>
      <c r="AZ450">
        <v>0</v>
      </c>
      <c r="BA450">
        <v>456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CX450">
        <f>ROUND(Y450*Source!I502,9)</f>
        <v>0.18462500000000001</v>
      </c>
      <c r="CY450">
        <f>AB450</f>
        <v>106.74</v>
      </c>
      <c r="CZ450">
        <f>AF450</f>
        <v>106.74</v>
      </c>
      <c r="DA450">
        <f>AJ450</f>
        <v>1</v>
      </c>
      <c r="DB450">
        <f>ROUND((ROUND(AT450*CZ450,2)*1.25),6)</f>
        <v>9.3375000000000004</v>
      </c>
      <c r="DC450">
        <f>ROUND((ROUND(AT450*AG450,2)*1.25),6)</f>
        <v>1.675</v>
      </c>
      <c r="DD450" t="s">
        <v>3</v>
      </c>
      <c r="DE450" t="s">
        <v>3</v>
      </c>
      <c r="DF450">
        <f t="shared" si="189"/>
        <v>0</v>
      </c>
      <c r="DG450">
        <f t="shared" si="187"/>
        <v>19.71</v>
      </c>
      <c r="DH450">
        <f t="shared" si="188"/>
        <v>3.54</v>
      </c>
      <c r="DI450">
        <f t="shared" si="190"/>
        <v>0</v>
      </c>
      <c r="DJ450">
        <f>DG450</f>
        <v>19.71</v>
      </c>
      <c r="DK450">
        <v>0</v>
      </c>
    </row>
    <row r="451" spans="1:115" x14ac:dyDescent="0.2">
      <c r="A451">
        <f>ROW(Source!A502)</f>
        <v>502</v>
      </c>
      <c r="B451">
        <v>129761636</v>
      </c>
      <c r="C451">
        <v>129763704</v>
      </c>
      <c r="D451">
        <v>37393552</v>
      </c>
      <c r="E451">
        <v>1</v>
      </c>
      <c r="F451">
        <v>1</v>
      </c>
      <c r="G451">
        <v>37345137</v>
      </c>
      <c r="H451">
        <v>3</v>
      </c>
      <c r="I451" t="s">
        <v>348</v>
      </c>
      <c r="J451" t="s">
        <v>350</v>
      </c>
      <c r="K451" t="s">
        <v>349</v>
      </c>
      <c r="L451">
        <v>1339</v>
      </c>
      <c r="N451">
        <v>1007</v>
      </c>
      <c r="O451" t="s">
        <v>94</v>
      </c>
      <c r="P451" t="s">
        <v>94</v>
      </c>
      <c r="Q451">
        <v>1</v>
      </c>
      <c r="W451">
        <v>0</v>
      </c>
      <c r="X451">
        <v>-862991314</v>
      </c>
      <c r="Y451">
        <f>AT451</f>
        <v>0.15</v>
      </c>
      <c r="AA451">
        <v>7.07</v>
      </c>
      <c r="AB451">
        <v>0</v>
      </c>
      <c r="AC451">
        <v>0</v>
      </c>
      <c r="AD451">
        <v>0</v>
      </c>
      <c r="AE451">
        <v>7.07</v>
      </c>
      <c r="AF451">
        <v>0</v>
      </c>
      <c r="AG451">
        <v>0</v>
      </c>
      <c r="AH451">
        <v>0</v>
      </c>
      <c r="AI451">
        <v>1</v>
      </c>
      <c r="AJ451">
        <v>1</v>
      </c>
      <c r="AK451">
        <v>1</v>
      </c>
      <c r="AL451">
        <v>1</v>
      </c>
      <c r="AN451">
        <v>0</v>
      </c>
      <c r="AO451">
        <v>1</v>
      </c>
      <c r="AP451">
        <v>0</v>
      </c>
      <c r="AQ451">
        <v>0</v>
      </c>
      <c r="AR451">
        <v>0</v>
      </c>
      <c r="AS451" t="s">
        <v>3</v>
      </c>
      <c r="AT451">
        <v>0.15</v>
      </c>
      <c r="AU451" t="s">
        <v>3</v>
      </c>
      <c r="AV451">
        <v>0</v>
      </c>
      <c r="AW451">
        <v>2</v>
      </c>
      <c r="AX451">
        <v>129763715</v>
      </c>
      <c r="AY451">
        <v>1</v>
      </c>
      <c r="AZ451">
        <v>0</v>
      </c>
      <c r="BA451">
        <v>457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CX451">
        <f>ROUND(Y451*Source!I502,9)</f>
        <v>0.3165</v>
      </c>
      <c r="CY451">
        <f>AA451</f>
        <v>7.07</v>
      </c>
      <c r="CZ451">
        <f>AE451</f>
        <v>7.07</v>
      </c>
      <c r="DA451">
        <f>AI451</f>
        <v>1</v>
      </c>
      <c r="DB451">
        <f>ROUND(ROUND(AT451*CZ451,2),6)</f>
        <v>1.06</v>
      </c>
      <c r="DC451">
        <f>ROUND(ROUND(AT451*AG451,2),6)</f>
        <v>0</v>
      </c>
      <c r="DD451" t="s">
        <v>3</v>
      </c>
      <c r="DE451" t="s">
        <v>3</v>
      </c>
      <c r="DF451">
        <f t="shared" si="189"/>
        <v>2.2400000000000002</v>
      </c>
      <c r="DG451">
        <f t="shared" si="187"/>
        <v>0</v>
      </c>
      <c r="DH451">
        <f t="shared" si="188"/>
        <v>0</v>
      </c>
      <c r="DI451">
        <f t="shared" si="190"/>
        <v>0</v>
      </c>
      <c r="DJ451">
        <f>DF451</f>
        <v>2.2400000000000002</v>
      </c>
      <c r="DK451">
        <v>0</v>
      </c>
    </row>
    <row r="452" spans="1:115" x14ac:dyDescent="0.2">
      <c r="A452">
        <f>ROW(Source!A502)</f>
        <v>502</v>
      </c>
      <c r="B452">
        <v>129761636</v>
      </c>
      <c r="C452">
        <v>129763704</v>
      </c>
      <c r="D452">
        <v>37394111</v>
      </c>
      <c r="E452">
        <v>1</v>
      </c>
      <c r="F452">
        <v>1</v>
      </c>
      <c r="G452">
        <v>37345137</v>
      </c>
      <c r="H452">
        <v>3</v>
      </c>
      <c r="I452" t="s">
        <v>92</v>
      </c>
      <c r="J452" t="s">
        <v>95</v>
      </c>
      <c r="K452" t="s">
        <v>93</v>
      </c>
      <c r="L452">
        <v>1339</v>
      </c>
      <c r="N452">
        <v>1007</v>
      </c>
      <c r="O452" t="s">
        <v>94</v>
      </c>
      <c r="P452" t="s">
        <v>94</v>
      </c>
      <c r="Q452">
        <v>1</v>
      </c>
      <c r="W452">
        <v>0</v>
      </c>
      <c r="X452">
        <v>2069056849</v>
      </c>
      <c r="Y452">
        <f>AT452</f>
        <v>1.1000000000000001</v>
      </c>
      <c r="AA452">
        <v>104.99</v>
      </c>
      <c r="AB452">
        <v>0</v>
      </c>
      <c r="AC452">
        <v>0</v>
      </c>
      <c r="AD452">
        <v>0</v>
      </c>
      <c r="AE452">
        <v>104.99</v>
      </c>
      <c r="AF452">
        <v>0</v>
      </c>
      <c r="AG452">
        <v>0</v>
      </c>
      <c r="AH452">
        <v>0</v>
      </c>
      <c r="AI452">
        <v>1</v>
      </c>
      <c r="AJ452">
        <v>1</v>
      </c>
      <c r="AK452">
        <v>1</v>
      </c>
      <c r="AL452">
        <v>1</v>
      </c>
      <c r="AN452">
        <v>0</v>
      </c>
      <c r="AO452">
        <v>0</v>
      </c>
      <c r="AP452">
        <v>0</v>
      </c>
      <c r="AQ452">
        <v>0</v>
      </c>
      <c r="AR452">
        <v>0</v>
      </c>
      <c r="AS452" t="s">
        <v>3</v>
      </c>
      <c r="AT452">
        <v>1.1000000000000001</v>
      </c>
      <c r="AU452" t="s">
        <v>3</v>
      </c>
      <c r="AV452">
        <v>0</v>
      </c>
      <c r="AW452">
        <v>1</v>
      </c>
      <c r="AX452">
        <v>-1</v>
      </c>
      <c r="AY452">
        <v>0</v>
      </c>
      <c r="AZ452">
        <v>0</v>
      </c>
      <c r="BA452" t="s">
        <v>3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CX452">
        <f>ROUND(Y452*Source!I502,9)</f>
        <v>2.3210000000000002</v>
      </c>
      <c r="CY452">
        <f>AA452</f>
        <v>104.99</v>
      </c>
      <c r="CZ452">
        <f>AE452</f>
        <v>104.99</v>
      </c>
      <c r="DA452">
        <f>AI452</f>
        <v>1</v>
      </c>
      <c r="DB452">
        <f>ROUND(ROUND(AT452*CZ452,2),6)</f>
        <v>115.49</v>
      </c>
      <c r="DC452">
        <f>ROUND(ROUND(AT452*AG452,2),6)</f>
        <v>0</v>
      </c>
      <c r="DD452" t="s">
        <v>3</v>
      </c>
      <c r="DE452" t="s">
        <v>3</v>
      </c>
      <c r="DF452">
        <f t="shared" si="189"/>
        <v>243.68</v>
      </c>
      <c r="DG452">
        <f t="shared" si="187"/>
        <v>0</v>
      </c>
      <c r="DH452">
        <f t="shared" si="188"/>
        <v>0</v>
      </c>
      <c r="DI452">
        <f t="shared" si="190"/>
        <v>0</v>
      </c>
      <c r="DJ452">
        <f>DF452</f>
        <v>243.68</v>
      </c>
      <c r="DK452">
        <v>0</v>
      </c>
    </row>
    <row r="453" spans="1:115" x14ac:dyDescent="0.2">
      <c r="A453">
        <f>ROW(Source!A503)</f>
        <v>503</v>
      </c>
      <c r="B453">
        <v>129761633</v>
      </c>
      <c r="C453">
        <v>129763704</v>
      </c>
      <c r="D453">
        <v>37345142</v>
      </c>
      <c r="E453">
        <v>37345137</v>
      </c>
      <c r="F453">
        <v>1</v>
      </c>
      <c r="G453">
        <v>37345137</v>
      </c>
      <c r="H453">
        <v>1</v>
      </c>
      <c r="I453" t="s">
        <v>1096</v>
      </c>
      <c r="J453" t="s">
        <v>3</v>
      </c>
      <c r="K453" t="s">
        <v>1097</v>
      </c>
      <c r="L453">
        <v>1191</v>
      </c>
      <c r="N453">
        <v>1013</v>
      </c>
      <c r="O453" t="s">
        <v>1098</v>
      </c>
      <c r="P453" t="s">
        <v>1098</v>
      </c>
      <c r="Q453">
        <v>1</v>
      </c>
      <c r="W453">
        <v>0</v>
      </c>
      <c r="X453">
        <v>476480486</v>
      </c>
      <c r="Y453">
        <f>(AT453*1.15)</f>
        <v>0.89699999999999991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1</v>
      </c>
      <c r="AJ453">
        <v>1</v>
      </c>
      <c r="AK453">
        <v>1</v>
      </c>
      <c r="AL453">
        <v>1</v>
      </c>
      <c r="AN453">
        <v>0</v>
      </c>
      <c r="AO453">
        <v>1</v>
      </c>
      <c r="AP453">
        <v>1</v>
      </c>
      <c r="AQ453">
        <v>0</v>
      </c>
      <c r="AR453">
        <v>0</v>
      </c>
      <c r="AS453" t="s">
        <v>3</v>
      </c>
      <c r="AT453">
        <v>0.78</v>
      </c>
      <c r="AU453" t="s">
        <v>87</v>
      </c>
      <c r="AV453">
        <v>1</v>
      </c>
      <c r="AW453">
        <v>2</v>
      </c>
      <c r="AX453">
        <v>129763711</v>
      </c>
      <c r="AY453">
        <v>1</v>
      </c>
      <c r="AZ453">
        <v>0</v>
      </c>
      <c r="BA453">
        <v>459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CX453">
        <f>ROUND(Y453*Source!I503,9)</f>
        <v>1.8926700000000001</v>
      </c>
      <c r="CY453">
        <f>AD453</f>
        <v>0</v>
      </c>
      <c r="CZ453">
        <f>AH453</f>
        <v>0</v>
      </c>
      <c r="DA453">
        <f>AL453</f>
        <v>1</v>
      </c>
      <c r="DB453">
        <f>ROUND((ROUND(AT453*CZ453,2)*1.15),6)</f>
        <v>0</v>
      </c>
      <c r="DC453">
        <f>ROUND((ROUND(AT453*AG453,2)*1.15),6)</f>
        <v>0</v>
      </c>
      <c r="DD453" t="s">
        <v>3</v>
      </c>
      <c r="DE453" t="s">
        <v>3</v>
      </c>
      <c r="DF453">
        <f t="shared" si="189"/>
        <v>0</v>
      </c>
      <c r="DG453">
        <f t="shared" si="187"/>
        <v>0</v>
      </c>
      <c r="DH453">
        <f t="shared" si="188"/>
        <v>0</v>
      </c>
      <c r="DI453">
        <f t="shared" si="190"/>
        <v>0</v>
      </c>
      <c r="DJ453">
        <f>DI453</f>
        <v>0</v>
      </c>
      <c r="DK453">
        <v>0</v>
      </c>
    </row>
    <row r="454" spans="1:115" x14ac:dyDescent="0.2">
      <c r="A454">
        <f>ROW(Source!A503)</f>
        <v>503</v>
      </c>
      <c r="B454">
        <v>129761633</v>
      </c>
      <c r="C454">
        <v>129763704</v>
      </c>
      <c r="D454">
        <v>37418063</v>
      </c>
      <c r="E454">
        <v>1</v>
      </c>
      <c r="F454">
        <v>1</v>
      </c>
      <c r="G454">
        <v>37345137</v>
      </c>
      <c r="H454">
        <v>2</v>
      </c>
      <c r="I454" t="s">
        <v>1153</v>
      </c>
      <c r="J454" t="s">
        <v>1154</v>
      </c>
      <c r="K454" t="s">
        <v>1155</v>
      </c>
      <c r="L454">
        <v>1367</v>
      </c>
      <c r="N454">
        <v>1011</v>
      </c>
      <c r="O454" t="s">
        <v>1102</v>
      </c>
      <c r="P454" t="s">
        <v>1102</v>
      </c>
      <c r="Q454">
        <v>1</v>
      </c>
      <c r="W454">
        <v>0</v>
      </c>
      <c r="X454">
        <v>-668768829</v>
      </c>
      <c r="Y454">
        <f>(AT454*1.25)</f>
        <v>0.22499999999999998</v>
      </c>
      <c r="AA454">
        <v>0</v>
      </c>
      <c r="AB454">
        <v>721.62</v>
      </c>
      <c r="AC454">
        <v>405.16</v>
      </c>
      <c r="AD454">
        <v>0</v>
      </c>
      <c r="AE454">
        <v>0</v>
      </c>
      <c r="AF454">
        <v>41.62</v>
      </c>
      <c r="AG454">
        <v>13.33</v>
      </c>
      <c r="AH454">
        <v>0</v>
      </c>
      <c r="AI454">
        <v>1</v>
      </c>
      <c r="AJ454">
        <v>16.559999999999999</v>
      </c>
      <c r="AK454">
        <v>29.03</v>
      </c>
      <c r="AL454">
        <v>1</v>
      </c>
      <c r="AN454">
        <v>0</v>
      </c>
      <c r="AO454">
        <v>1</v>
      </c>
      <c r="AP454">
        <v>1</v>
      </c>
      <c r="AQ454">
        <v>0</v>
      </c>
      <c r="AR454">
        <v>0</v>
      </c>
      <c r="AS454" t="s">
        <v>3</v>
      </c>
      <c r="AT454">
        <v>0.18</v>
      </c>
      <c r="AU454" t="s">
        <v>86</v>
      </c>
      <c r="AV454">
        <v>0</v>
      </c>
      <c r="AW454">
        <v>2</v>
      </c>
      <c r="AX454">
        <v>129763712</v>
      </c>
      <c r="AY454">
        <v>1</v>
      </c>
      <c r="AZ454">
        <v>0</v>
      </c>
      <c r="BA454">
        <v>460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CX454">
        <f>ROUND(Y454*Source!I503,9)</f>
        <v>0.47475000000000001</v>
      </c>
      <c r="CY454">
        <f>AB454</f>
        <v>721.62</v>
      </c>
      <c r="CZ454">
        <f>AF454</f>
        <v>41.62</v>
      </c>
      <c r="DA454">
        <f>AJ454</f>
        <v>16.559999999999999</v>
      </c>
      <c r="DB454">
        <f>ROUND((ROUND(AT454*CZ454,2)*1.25),6)</f>
        <v>9.3625000000000007</v>
      </c>
      <c r="DC454">
        <f>ROUND((ROUND(AT454*AG454,2)*1.25),6)</f>
        <v>3</v>
      </c>
      <c r="DD454" t="s">
        <v>3</v>
      </c>
      <c r="DE454" t="s">
        <v>3</v>
      </c>
      <c r="DF454">
        <f t="shared" si="189"/>
        <v>0</v>
      </c>
      <c r="DG454">
        <f>ROUND(ROUND(AF454*CX454,2)*AJ454,2)</f>
        <v>327.23</v>
      </c>
      <c r="DH454">
        <f>ROUND(ROUND(AG454*CX454,2)*AK454,2)</f>
        <v>183.76</v>
      </c>
      <c r="DI454">
        <f t="shared" si="190"/>
        <v>0</v>
      </c>
      <c r="DJ454">
        <f>DG454</f>
        <v>327.23</v>
      </c>
      <c r="DK454">
        <v>0</v>
      </c>
    </row>
    <row r="455" spans="1:115" x14ac:dyDescent="0.2">
      <c r="A455">
        <f>ROW(Source!A503)</f>
        <v>503</v>
      </c>
      <c r="B455">
        <v>129761633</v>
      </c>
      <c r="C455">
        <v>129763704</v>
      </c>
      <c r="D455">
        <v>37418474</v>
      </c>
      <c r="E455">
        <v>1</v>
      </c>
      <c r="F455">
        <v>1</v>
      </c>
      <c r="G455">
        <v>37345137</v>
      </c>
      <c r="H455">
        <v>2</v>
      </c>
      <c r="I455" t="s">
        <v>1300</v>
      </c>
      <c r="J455" t="s">
        <v>1301</v>
      </c>
      <c r="K455" t="s">
        <v>1302</v>
      </c>
      <c r="L455">
        <v>1367</v>
      </c>
      <c r="N455">
        <v>1011</v>
      </c>
      <c r="O455" t="s">
        <v>1102</v>
      </c>
      <c r="P455" t="s">
        <v>1102</v>
      </c>
      <c r="Q455">
        <v>1</v>
      </c>
      <c r="W455">
        <v>0</v>
      </c>
      <c r="X455">
        <v>1280158331</v>
      </c>
      <c r="Y455">
        <f>(AT455*1.25)</f>
        <v>0.44999999999999996</v>
      </c>
      <c r="AA455">
        <v>0</v>
      </c>
      <c r="AB455">
        <v>4.51</v>
      </c>
      <c r="AC455">
        <v>2.74</v>
      </c>
      <c r="AD455">
        <v>0</v>
      </c>
      <c r="AE455">
        <v>0</v>
      </c>
      <c r="AF455">
        <v>0.56000000000000005</v>
      </c>
      <c r="AG455">
        <v>0.09</v>
      </c>
      <c r="AH455">
        <v>0</v>
      </c>
      <c r="AI455">
        <v>1</v>
      </c>
      <c r="AJ455">
        <v>7.7</v>
      </c>
      <c r="AK455">
        <v>29.03</v>
      </c>
      <c r="AL455">
        <v>1</v>
      </c>
      <c r="AN455">
        <v>0</v>
      </c>
      <c r="AO455">
        <v>1</v>
      </c>
      <c r="AP455">
        <v>1</v>
      </c>
      <c r="AQ455">
        <v>0</v>
      </c>
      <c r="AR455">
        <v>0</v>
      </c>
      <c r="AS455" t="s">
        <v>3</v>
      </c>
      <c r="AT455">
        <v>0.36</v>
      </c>
      <c r="AU455" t="s">
        <v>86</v>
      </c>
      <c r="AV455">
        <v>0</v>
      </c>
      <c r="AW455">
        <v>2</v>
      </c>
      <c r="AX455">
        <v>129763713</v>
      </c>
      <c r="AY455">
        <v>1</v>
      </c>
      <c r="AZ455">
        <v>0</v>
      </c>
      <c r="BA455">
        <v>461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CX455">
        <f>ROUND(Y455*Source!I503,9)</f>
        <v>0.94950000000000001</v>
      </c>
      <c r="CY455">
        <f>AB455</f>
        <v>4.51</v>
      </c>
      <c r="CZ455">
        <f>AF455</f>
        <v>0.56000000000000005</v>
      </c>
      <c r="DA455">
        <f>AJ455</f>
        <v>7.7</v>
      </c>
      <c r="DB455">
        <f>ROUND((ROUND(AT455*CZ455,2)*1.25),6)</f>
        <v>0.25</v>
      </c>
      <c r="DC455">
        <f>ROUND((ROUND(AT455*AG455,2)*1.25),6)</f>
        <v>3.7499999999999999E-2</v>
      </c>
      <c r="DD455" t="s">
        <v>3</v>
      </c>
      <c r="DE455" t="s">
        <v>3</v>
      </c>
      <c r="DF455">
        <f t="shared" si="189"/>
        <v>0</v>
      </c>
      <c r="DG455">
        <f>ROUND(ROUND(AF455*CX455,2)*AJ455,2)</f>
        <v>4.08</v>
      </c>
      <c r="DH455">
        <f>ROUND(ROUND(AG455*CX455,2)*AK455,2)</f>
        <v>2.61</v>
      </c>
      <c r="DI455">
        <f t="shared" si="190"/>
        <v>0</v>
      </c>
      <c r="DJ455">
        <f>DG455</f>
        <v>4.08</v>
      </c>
      <c r="DK455">
        <v>0</v>
      </c>
    </row>
    <row r="456" spans="1:115" x14ac:dyDescent="0.2">
      <c r="A456">
        <f>ROW(Source!A503)</f>
        <v>503</v>
      </c>
      <c r="B456">
        <v>129761633</v>
      </c>
      <c r="C456">
        <v>129763704</v>
      </c>
      <c r="D456">
        <v>37417781</v>
      </c>
      <c r="E456">
        <v>1</v>
      </c>
      <c r="F456">
        <v>1</v>
      </c>
      <c r="G456">
        <v>37345137</v>
      </c>
      <c r="H456">
        <v>2</v>
      </c>
      <c r="I456" t="s">
        <v>1303</v>
      </c>
      <c r="J456" t="s">
        <v>1304</v>
      </c>
      <c r="K456" t="s">
        <v>1305</v>
      </c>
      <c r="L456">
        <v>1367</v>
      </c>
      <c r="N456">
        <v>1011</v>
      </c>
      <c r="O456" t="s">
        <v>1102</v>
      </c>
      <c r="P456" t="s">
        <v>1102</v>
      </c>
      <c r="Q456">
        <v>1</v>
      </c>
      <c r="W456">
        <v>0</v>
      </c>
      <c r="X456">
        <v>1022351366</v>
      </c>
      <c r="Y456">
        <f>(AT456*1.25)</f>
        <v>8.7500000000000008E-2</v>
      </c>
      <c r="AA456">
        <v>0</v>
      </c>
      <c r="AB456">
        <v>1242.74</v>
      </c>
      <c r="AC456">
        <v>583.57000000000005</v>
      </c>
      <c r="AD456">
        <v>0</v>
      </c>
      <c r="AE456">
        <v>0</v>
      </c>
      <c r="AF456">
        <v>106.74</v>
      </c>
      <c r="AG456">
        <v>19.2</v>
      </c>
      <c r="AH456">
        <v>0</v>
      </c>
      <c r="AI456">
        <v>1</v>
      </c>
      <c r="AJ456">
        <v>11.12</v>
      </c>
      <c r="AK456">
        <v>29.03</v>
      </c>
      <c r="AL456">
        <v>1</v>
      </c>
      <c r="AN456">
        <v>0</v>
      </c>
      <c r="AO456">
        <v>1</v>
      </c>
      <c r="AP456">
        <v>1</v>
      </c>
      <c r="AQ456">
        <v>0</v>
      </c>
      <c r="AR456">
        <v>0</v>
      </c>
      <c r="AS456" t="s">
        <v>3</v>
      </c>
      <c r="AT456">
        <v>7.0000000000000007E-2</v>
      </c>
      <c r="AU456" t="s">
        <v>86</v>
      </c>
      <c r="AV456">
        <v>0</v>
      </c>
      <c r="AW456">
        <v>2</v>
      </c>
      <c r="AX456">
        <v>129763714</v>
      </c>
      <c r="AY456">
        <v>1</v>
      </c>
      <c r="AZ456">
        <v>0</v>
      </c>
      <c r="BA456">
        <v>462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CX456">
        <f>ROUND(Y456*Source!I503,9)</f>
        <v>0.18462500000000001</v>
      </c>
      <c r="CY456">
        <f>AB456</f>
        <v>1242.74</v>
      </c>
      <c r="CZ456">
        <f>AF456</f>
        <v>106.74</v>
      </c>
      <c r="DA456">
        <f>AJ456</f>
        <v>11.12</v>
      </c>
      <c r="DB456">
        <f>ROUND((ROUND(AT456*CZ456,2)*1.25),6)</f>
        <v>9.3375000000000004</v>
      </c>
      <c r="DC456">
        <f>ROUND((ROUND(AT456*AG456,2)*1.25),6)</f>
        <v>1.675</v>
      </c>
      <c r="DD456" t="s">
        <v>3</v>
      </c>
      <c r="DE456" t="s">
        <v>3</v>
      </c>
      <c r="DF456">
        <f t="shared" si="189"/>
        <v>0</v>
      </c>
      <c r="DG456">
        <f>ROUND(ROUND(AF456*CX456,2)*AJ456,2)</f>
        <v>219.18</v>
      </c>
      <c r="DH456">
        <f>ROUND(ROUND(AG456*CX456,2)*AK456,2)</f>
        <v>102.77</v>
      </c>
      <c r="DI456">
        <f t="shared" si="190"/>
        <v>0</v>
      </c>
      <c r="DJ456">
        <f>DG456</f>
        <v>219.18</v>
      </c>
      <c r="DK456">
        <v>0</v>
      </c>
    </row>
    <row r="457" spans="1:115" x14ac:dyDescent="0.2">
      <c r="A457">
        <f>ROW(Source!A503)</f>
        <v>503</v>
      </c>
      <c r="B457">
        <v>129761633</v>
      </c>
      <c r="C457">
        <v>129763704</v>
      </c>
      <c r="D457">
        <v>37393552</v>
      </c>
      <c r="E457">
        <v>1</v>
      </c>
      <c r="F457">
        <v>1</v>
      </c>
      <c r="G457">
        <v>37345137</v>
      </c>
      <c r="H457">
        <v>3</v>
      </c>
      <c r="I457" t="s">
        <v>348</v>
      </c>
      <c r="J457" t="s">
        <v>350</v>
      </c>
      <c r="K457" t="s">
        <v>349</v>
      </c>
      <c r="L457">
        <v>1339</v>
      </c>
      <c r="N457">
        <v>1007</v>
      </c>
      <c r="O457" t="s">
        <v>94</v>
      </c>
      <c r="P457" t="s">
        <v>94</v>
      </c>
      <c r="Q457">
        <v>1</v>
      </c>
      <c r="W457">
        <v>0</v>
      </c>
      <c r="X457">
        <v>-862991314</v>
      </c>
      <c r="Y457">
        <f>AT457</f>
        <v>0.15</v>
      </c>
      <c r="AA457">
        <v>42.55</v>
      </c>
      <c r="AB457">
        <v>0</v>
      </c>
      <c r="AC457">
        <v>0</v>
      </c>
      <c r="AD457">
        <v>0</v>
      </c>
      <c r="AE457">
        <v>7.07</v>
      </c>
      <c r="AF457">
        <v>0</v>
      </c>
      <c r="AG457">
        <v>0</v>
      </c>
      <c r="AH457">
        <v>0</v>
      </c>
      <c r="AI457">
        <v>6</v>
      </c>
      <c r="AJ457">
        <v>1</v>
      </c>
      <c r="AK457">
        <v>1</v>
      </c>
      <c r="AL457">
        <v>1</v>
      </c>
      <c r="AN457">
        <v>0</v>
      </c>
      <c r="AO457">
        <v>1</v>
      </c>
      <c r="AP457">
        <v>0</v>
      </c>
      <c r="AQ457">
        <v>0</v>
      </c>
      <c r="AR457">
        <v>0</v>
      </c>
      <c r="AS457" t="s">
        <v>3</v>
      </c>
      <c r="AT457">
        <v>0.15</v>
      </c>
      <c r="AU457" t="s">
        <v>3</v>
      </c>
      <c r="AV457">
        <v>0</v>
      </c>
      <c r="AW457">
        <v>2</v>
      </c>
      <c r="AX457">
        <v>129763715</v>
      </c>
      <c r="AY457">
        <v>1</v>
      </c>
      <c r="AZ457">
        <v>0</v>
      </c>
      <c r="BA457">
        <v>463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CX457">
        <f>ROUND(Y457*Source!I503,9)</f>
        <v>0.3165</v>
      </c>
      <c r="CY457">
        <f>AA457</f>
        <v>42.55</v>
      </c>
      <c r="CZ457">
        <f>AE457</f>
        <v>7.07</v>
      </c>
      <c r="DA457">
        <f>AI457</f>
        <v>6</v>
      </c>
      <c r="DB457">
        <f>ROUND(ROUND(AT457*CZ457,2),6)</f>
        <v>1.06</v>
      </c>
      <c r="DC457">
        <f>ROUND(ROUND(AT457*AG457,2),6)</f>
        <v>0</v>
      </c>
      <c r="DD457" t="s">
        <v>3</v>
      </c>
      <c r="DE457" t="s">
        <v>3</v>
      </c>
      <c r="DF457">
        <f>ROUND(ROUND(AE457*CX457,2)*AI457,2)</f>
        <v>13.44</v>
      </c>
      <c r="DG457">
        <f t="shared" ref="DG457:DG465" si="191">ROUND(AF457*CX457,2)</f>
        <v>0</v>
      </c>
      <c r="DH457">
        <f t="shared" ref="DH457:DH465" si="192">ROUND(AG457*CX457,2)</f>
        <v>0</v>
      </c>
      <c r="DI457">
        <f t="shared" si="190"/>
        <v>0</v>
      </c>
      <c r="DJ457">
        <f>DF457</f>
        <v>13.44</v>
      </c>
      <c r="DK457">
        <v>0</v>
      </c>
    </row>
    <row r="458" spans="1:115" x14ac:dyDescent="0.2">
      <c r="A458">
        <f>ROW(Source!A503)</f>
        <v>503</v>
      </c>
      <c r="B458">
        <v>129761633</v>
      </c>
      <c r="C458">
        <v>129763704</v>
      </c>
      <c r="D458">
        <v>37394111</v>
      </c>
      <c r="E458">
        <v>1</v>
      </c>
      <c r="F458">
        <v>1</v>
      </c>
      <c r="G458">
        <v>37345137</v>
      </c>
      <c r="H458">
        <v>3</v>
      </c>
      <c r="I458" t="s">
        <v>92</v>
      </c>
      <c r="J458" t="s">
        <v>95</v>
      </c>
      <c r="K458" t="s">
        <v>93</v>
      </c>
      <c r="L458">
        <v>1339</v>
      </c>
      <c r="N458">
        <v>1007</v>
      </c>
      <c r="O458" t="s">
        <v>94</v>
      </c>
      <c r="P458" t="s">
        <v>94</v>
      </c>
      <c r="Q458">
        <v>1</v>
      </c>
      <c r="W458">
        <v>0</v>
      </c>
      <c r="X458">
        <v>2069056849</v>
      </c>
      <c r="Y458">
        <f>AT458</f>
        <v>1.1000000000000001</v>
      </c>
      <c r="AA458">
        <v>724.5</v>
      </c>
      <c r="AB458">
        <v>0</v>
      </c>
      <c r="AC458">
        <v>0</v>
      </c>
      <c r="AD458">
        <v>0</v>
      </c>
      <c r="AE458">
        <v>104.99</v>
      </c>
      <c r="AF458">
        <v>0</v>
      </c>
      <c r="AG458">
        <v>0</v>
      </c>
      <c r="AH458">
        <v>0</v>
      </c>
      <c r="AI458">
        <v>6.88</v>
      </c>
      <c r="AJ458">
        <v>1</v>
      </c>
      <c r="AK458">
        <v>1</v>
      </c>
      <c r="AL458">
        <v>1</v>
      </c>
      <c r="AN458">
        <v>0</v>
      </c>
      <c r="AO458">
        <v>0</v>
      </c>
      <c r="AP458">
        <v>0</v>
      </c>
      <c r="AQ458">
        <v>0</v>
      </c>
      <c r="AR458">
        <v>0</v>
      </c>
      <c r="AS458" t="s">
        <v>3</v>
      </c>
      <c r="AT458">
        <v>1.1000000000000001</v>
      </c>
      <c r="AU458" t="s">
        <v>3</v>
      </c>
      <c r="AV458">
        <v>0</v>
      </c>
      <c r="AW458">
        <v>1</v>
      </c>
      <c r="AX458">
        <v>-1</v>
      </c>
      <c r="AY458">
        <v>0</v>
      </c>
      <c r="AZ458">
        <v>0</v>
      </c>
      <c r="BA458" t="s">
        <v>3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CX458">
        <f>ROUND(Y458*Source!I503,9)</f>
        <v>2.3210000000000002</v>
      </c>
      <c r="CY458">
        <f>AA458</f>
        <v>724.5</v>
      </c>
      <c r="CZ458">
        <f>AE458</f>
        <v>104.99</v>
      </c>
      <c r="DA458">
        <f>AI458</f>
        <v>6.88</v>
      </c>
      <c r="DB458">
        <f>ROUND(ROUND(AT458*CZ458,2),6)</f>
        <v>115.49</v>
      </c>
      <c r="DC458">
        <f>ROUND(ROUND(AT458*AG458,2),6)</f>
        <v>0</v>
      </c>
      <c r="DD458" t="s">
        <v>3</v>
      </c>
      <c r="DE458" t="s">
        <v>3</v>
      </c>
      <c r="DF458">
        <f>ROUND(ROUND(AE458*CX458,2)*AI458,2)</f>
        <v>1676.52</v>
      </c>
      <c r="DG458">
        <f t="shared" si="191"/>
        <v>0</v>
      </c>
      <c r="DH458">
        <f t="shared" si="192"/>
        <v>0</v>
      </c>
      <c r="DI458">
        <f t="shared" si="190"/>
        <v>0</v>
      </c>
      <c r="DJ458">
        <f>DF458</f>
        <v>1676.52</v>
      </c>
      <c r="DK458">
        <v>0</v>
      </c>
    </row>
    <row r="459" spans="1:115" x14ac:dyDescent="0.2">
      <c r="A459">
        <f>ROW(Source!A506)</f>
        <v>506</v>
      </c>
      <c r="B459">
        <v>129761636</v>
      </c>
      <c r="C459">
        <v>129763718</v>
      </c>
      <c r="D459">
        <v>37345142</v>
      </c>
      <c r="E459">
        <v>37345137</v>
      </c>
      <c r="F459">
        <v>1</v>
      </c>
      <c r="G459">
        <v>37345137</v>
      </c>
      <c r="H459">
        <v>1</v>
      </c>
      <c r="I459" t="s">
        <v>1096</v>
      </c>
      <c r="J459" t="s">
        <v>3</v>
      </c>
      <c r="K459" t="s">
        <v>1097</v>
      </c>
      <c r="L459">
        <v>1191</v>
      </c>
      <c r="N459">
        <v>1013</v>
      </c>
      <c r="O459" t="s">
        <v>1098</v>
      </c>
      <c r="P459" t="s">
        <v>1098</v>
      </c>
      <c r="Q459">
        <v>1</v>
      </c>
      <c r="W459">
        <v>0</v>
      </c>
      <c r="X459">
        <v>476480486</v>
      </c>
      <c r="Y459">
        <f>(AT459*1.15)</f>
        <v>0.97749999999999992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1</v>
      </c>
      <c r="AJ459">
        <v>1</v>
      </c>
      <c r="AK459">
        <v>1</v>
      </c>
      <c r="AL459">
        <v>1</v>
      </c>
      <c r="AN459">
        <v>0</v>
      </c>
      <c r="AO459">
        <v>1</v>
      </c>
      <c r="AP459">
        <v>1</v>
      </c>
      <c r="AQ459">
        <v>0</v>
      </c>
      <c r="AR459">
        <v>0</v>
      </c>
      <c r="AS459" t="s">
        <v>3</v>
      </c>
      <c r="AT459">
        <v>0.85</v>
      </c>
      <c r="AU459" t="s">
        <v>87</v>
      </c>
      <c r="AV459">
        <v>1</v>
      </c>
      <c r="AW459">
        <v>2</v>
      </c>
      <c r="AX459">
        <v>129763725</v>
      </c>
      <c r="AY459">
        <v>1</v>
      </c>
      <c r="AZ459">
        <v>0</v>
      </c>
      <c r="BA459">
        <v>465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CX459">
        <f>ROUND(Y459*Source!I506,9)</f>
        <v>2.0625249999999999</v>
      </c>
      <c r="CY459">
        <f>AD459</f>
        <v>0</v>
      </c>
      <c r="CZ459">
        <f>AH459</f>
        <v>0</v>
      </c>
      <c r="DA459">
        <f>AL459</f>
        <v>1</v>
      </c>
      <c r="DB459">
        <f>ROUND((ROUND(AT459*CZ459,2)*1.15),6)</f>
        <v>0</v>
      </c>
      <c r="DC459">
        <f>ROUND((ROUND(AT459*AG459,2)*1.15),6)</f>
        <v>0</v>
      </c>
      <c r="DD459" t="s">
        <v>3</v>
      </c>
      <c r="DE459" t="s">
        <v>3</v>
      </c>
      <c r="DF459">
        <f t="shared" ref="DF459:DF468" si="193">ROUND(AE459*CX459,2)</f>
        <v>0</v>
      </c>
      <c r="DG459">
        <f t="shared" si="191"/>
        <v>0</v>
      </c>
      <c r="DH459">
        <f t="shared" si="192"/>
        <v>0</v>
      </c>
      <c r="DI459">
        <f t="shared" si="190"/>
        <v>0</v>
      </c>
      <c r="DJ459">
        <f>DI459</f>
        <v>0</v>
      </c>
      <c r="DK459">
        <v>0</v>
      </c>
    </row>
    <row r="460" spans="1:115" x14ac:dyDescent="0.2">
      <c r="A460">
        <f>ROW(Source!A506)</f>
        <v>506</v>
      </c>
      <c r="B460">
        <v>129761636</v>
      </c>
      <c r="C460">
        <v>129763718</v>
      </c>
      <c r="D460">
        <v>37418063</v>
      </c>
      <c r="E460">
        <v>1</v>
      </c>
      <c r="F460">
        <v>1</v>
      </c>
      <c r="G460">
        <v>37345137</v>
      </c>
      <c r="H460">
        <v>2</v>
      </c>
      <c r="I460" t="s">
        <v>1153</v>
      </c>
      <c r="J460" t="s">
        <v>1154</v>
      </c>
      <c r="K460" t="s">
        <v>1155</v>
      </c>
      <c r="L460">
        <v>1367</v>
      </c>
      <c r="N460">
        <v>1011</v>
      </c>
      <c r="O460" t="s">
        <v>1102</v>
      </c>
      <c r="P460" t="s">
        <v>1102</v>
      </c>
      <c r="Q460">
        <v>1</v>
      </c>
      <c r="W460">
        <v>0</v>
      </c>
      <c r="X460">
        <v>-668768829</v>
      </c>
      <c r="Y460">
        <f>(AT460*1.25)</f>
        <v>0.25</v>
      </c>
      <c r="AA460">
        <v>0</v>
      </c>
      <c r="AB460">
        <v>41.62</v>
      </c>
      <c r="AC460">
        <v>13.33</v>
      </c>
      <c r="AD460">
        <v>0</v>
      </c>
      <c r="AE460">
        <v>0</v>
      </c>
      <c r="AF460">
        <v>41.62</v>
      </c>
      <c r="AG460">
        <v>13.33</v>
      </c>
      <c r="AH460">
        <v>0</v>
      </c>
      <c r="AI460">
        <v>1</v>
      </c>
      <c r="AJ460">
        <v>1</v>
      </c>
      <c r="AK460">
        <v>1</v>
      </c>
      <c r="AL460">
        <v>1</v>
      </c>
      <c r="AN460">
        <v>0</v>
      </c>
      <c r="AO460">
        <v>1</v>
      </c>
      <c r="AP460">
        <v>1</v>
      </c>
      <c r="AQ460">
        <v>0</v>
      </c>
      <c r="AR460">
        <v>0</v>
      </c>
      <c r="AS460" t="s">
        <v>3</v>
      </c>
      <c r="AT460">
        <v>0.2</v>
      </c>
      <c r="AU460" t="s">
        <v>86</v>
      </c>
      <c r="AV460">
        <v>0</v>
      </c>
      <c r="AW460">
        <v>2</v>
      </c>
      <c r="AX460">
        <v>129763726</v>
      </c>
      <c r="AY460">
        <v>1</v>
      </c>
      <c r="AZ460">
        <v>0</v>
      </c>
      <c r="BA460">
        <v>466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CX460">
        <f>ROUND(Y460*Source!I506,9)</f>
        <v>0.52749999999999997</v>
      </c>
      <c r="CY460">
        <f>AB460</f>
        <v>41.62</v>
      </c>
      <c r="CZ460">
        <f>AF460</f>
        <v>41.62</v>
      </c>
      <c r="DA460">
        <f>AJ460</f>
        <v>1</v>
      </c>
      <c r="DB460">
        <f>ROUND((ROUND(AT460*CZ460,2)*1.25),6)</f>
        <v>10.4</v>
      </c>
      <c r="DC460">
        <f>ROUND((ROUND(AT460*AG460,2)*1.25),6)</f>
        <v>3.3374999999999999</v>
      </c>
      <c r="DD460" t="s">
        <v>3</v>
      </c>
      <c r="DE460" t="s">
        <v>3</v>
      </c>
      <c r="DF460">
        <f t="shared" si="193"/>
        <v>0</v>
      </c>
      <c r="DG460">
        <f t="shared" si="191"/>
        <v>21.95</v>
      </c>
      <c r="DH460">
        <f t="shared" si="192"/>
        <v>7.03</v>
      </c>
      <c r="DI460">
        <f t="shared" si="190"/>
        <v>0</v>
      </c>
      <c r="DJ460">
        <f>DG460</f>
        <v>21.95</v>
      </c>
      <c r="DK460">
        <v>0</v>
      </c>
    </row>
    <row r="461" spans="1:115" x14ac:dyDescent="0.2">
      <c r="A461">
        <f>ROW(Source!A506)</f>
        <v>506</v>
      </c>
      <c r="B461">
        <v>129761636</v>
      </c>
      <c r="C461">
        <v>129763718</v>
      </c>
      <c r="D461">
        <v>37418474</v>
      </c>
      <c r="E461">
        <v>1</v>
      </c>
      <c r="F461">
        <v>1</v>
      </c>
      <c r="G461">
        <v>37345137</v>
      </c>
      <c r="H461">
        <v>2</v>
      </c>
      <c r="I461" t="s">
        <v>1300</v>
      </c>
      <c r="J461" t="s">
        <v>1301</v>
      </c>
      <c r="K461" t="s">
        <v>1302</v>
      </c>
      <c r="L461">
        <v>1367</v>
      </c>
      <c r="N461">
        <v>1011</v>
      </c>
      <c r="O461" t="s">
        <v>1102</v>
      </c>
      <c r="P461" t="s">
        <v>1102</v>
      </c>
      <c r="Q461">
        <v>1</v>
      </c>
      <c r="W461">
        <v>0</v>
      </c>
      <c r="X461">
        <v>1280158331</v>
      </c>
      <c r="Y461">
        <f>(AT461*1.25)</f>
        <v>0.5</v>
      </c>
      <c r="AA461">
        <v>0</v>
      </c>
      <c r="AB461">
        <v>0.56000000000000005</v>
      </c>
      <c r="AC461">
        <v>0.09</v>
      </c>
      <c r="AD461">
        <v>0</v>
      </c>
      <c r="AE461">
        <v>0</v>
      </c>
      <c r="AF461">
        <v>0.56000000000000005</v>
      </c>
      <c r="AG461">
        <v>0.09</v>
      </c>
      <c r="AH461">
        <v>0</v>
      </c>
      <c r="AI461">
        <v>1</v>
      </c>
      <c r="AJ461">
        <v>1</v>
      </c>
      <c r="AK461">
        <v>1</v>
      </c>
      <c r="AL461">
        <v>1</v>
      </c>
      <c r="AN461">
        <v>0</v>
      </c>
      <c r="AO461">
        <v>1</v>
      </c>
      <c r="AP461">
        <v>1</v>
      </c>
      <c r="AQ461">
        <v>0</v>
      </c>
      <c r="AR461">
        <v>0</v>
      </c>
      <c r="AS461" t="s">
        <v>3</v>
      </c>
      <c r="AT461">
        <v>0.4</v>
      </c>
      <c r="AU461" t="s">
        <v>86</v>
      </c>
      <c r="AV461">
        <v>0</v>
      </c>
      <c r="AW461">
        <v>2</v>
      </c>
      <c r="AX461">
        <v>129763727</v>
      </c>
      <c r="AY461">
        <v>1</v>
      </c>
      <c r="AZ461">
        <v>0</v>
      </c>
      <c r="BA461">
        <v>467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CX461">
        <f>ROUND(Y461*Source!I506,9)</f>
        <v>1.0549999999999999</v>
      </c>
      <c r="CY461">
        <f>AB461</f>
        <v>0.56000000000000005</v>
      </c>
      <c r="CZ461">
        <f>AF461</f>
        <v>0.56000000000000005</v>
      </c>
      <c r="DA461">
        <f>AJ461</f>
        <v>1</v>
      </c>
      <c r="DB461">
        <f>ROUND((ROUND(AT461*CZ461,2)*1.25),6)</f>
        <v>0.27500000000000002</v>
      </c>
      <c r="DC461">
        <f>ROUND((ROUND(AT461*AG461,2)*1.25),6)</f>
        <v>0.05</v>
      </c>
      <c r="DD461" t="s">
        <v>3</v>
      </c>
      <c r="DE461" t="s">
        <v>3</v>
      </c>
      <c r="DF461">
        <f t="shared" si="193"/>
        <v>0</v>
      </c>
      <c r="DG461">
        <f t="shared" si="191"/>
        <v>0.59</v>
      </c>
      <c r="DH461">
        <f t="shared" si="192"/>
        <v>0.09</v>
      </c>
      <c r="DI461">
        <f t="shared" si="190"/>
        <v>0</v>
      </c>
      <c r="DJ461">
        <f>DG461</f>
        <v>0.59</v>
      </c>
      <c r="DK461">
        <v>0</v>
      </c>
    </row>
    <row r="462" spans="1:115" x14ac:dyDescent="0.2">
      <c r="A462">
        <f>ROW(Source!A506)</f>
        <v>506</v>
      </c>
      <c r="B462">
        <v>129761636</v>
      </c>
      <c r="C462">
        <v>129763718</v>
      </c>
      <c r="D462">
        <v>37417781</v>
      </c>
      <c r="E462">
        <v>1</v>
      </c>
      <c r="F462">
        <v>1</v>
      </c>
      <c r="G462">
        <v>37345137</v>
      </c>
      <c r="H462">
        <v>2</v>
      </c>
      <c r="I462" t="s">
        <v>1303</v>
      </c>
      <c r="J462" t="s">
        <v>1304</v>
      </c>
      <c r="K462" t="s">
        <v>1305</v>
      </c>
      <c r="L462">
        <v>1367</v>
      </c>
      <c r="N462">
        <v>1011</v>
      </c>
      <c r="O462" t="s">
        <v>1102</v>
      </c>
      <c r="P462" t="s">
        <v>1102</v>
      </c>
      <c r="Q462">
        <v>1</v>
      </c>
      <c r="W462">
        <v>0</v>
      </c>
      <c r="X462">
        <v>1022351366</v>
      </c>
      <c r="Y462">
        <f>(AT462*1.25)</f>
        <v>8.7500000000000008E-2</v>
      </c>
      <c r="AA462">
        <v>0</v>
      </c>
      <c r="AB462">
        <v>106.74</v>
      </c>
      <c r="AC462">
        <v>19.2</v>
      </c>
      <c r="AD462">
        <v>0</v>
      </c>
      <c r="AE462">
        <v>0</v>
      </c>
      <c r="AF462">
        <v>106.74</v>
      </c>
      <c r="AG462">
        <v>19.2</v>
      </c>
      <c r="AH462">
        <v>0</v>
      </c>
      <c r="AI462">
        <v>1</v>
      </c>
      <c r="AJ462">
        <v>1</v>
      </c>
      <c r="AK462">
        <v>1</v>
      </c>
      <c r="AL462">
        <v>1</v>
      </c>
      <c r="AN462">
        <v>0</v>
      </c>
      <c r="AO462">
        <v>1</v>
      </c>
      <c r="AP462">
        <v>1</v>
      </c>
      <c r="AQ462">
        <v>0</v>
      </c>
      <c r="AR462">
        <v>0</v>
      </c>
      <c r="AS462" t="s">
        <v>3</v>
      </c>
      <c r="AT462">
        <v>7.0000000000000007E-2</v>
      </c>
      <c r="AU462" t="s">
        <v>86</v>
      </c>
      <c r="AV462">
        <v>0</v>
      </c>
      <c r="AW462">
        <v>2</v>
      </c>
      <c r="AX462">
        <v>129763728</v>
      </c>
      <c r="AY462">
        <v>1</v>
      </c>
      <c r="AZ462">
        <v>0</v>
      </c>
      <c r="BA462">
        <v>468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CX462">
        <f>ROUND(Y462*Source!I506,9)</f>
        <v>0.18462500000000001</v>
      </c>
      <c r="CY462">
        <f>AB462</f>
        <v>106.74</v>
      </c>
      <c r="CZ462">
        <f>AF462</f>
        <v>106.74</v>
      </c>
      <c r="DA462">
        <f>AJ462</f>
        <v>1</v>
      </c>
      <c r="DB462">
        <f>ROUND((ROUND(AT462*CZ462,2)*1.25),6)</f>
        <v>9.3375000000000004</v>
      </c>
      <c r="DC462">
        <f>ROUND((ROUND(AT462*AG462,2)*1.25),6)</f>
        <v>1.675</v>
      </c>
      <c r="DD462" t="s">
        <v>3</v>
      </c>
      <c r="DE462" t="s">
        <v>3</v>
      </c>
      <c r="DF462">
        <f t="shared" si="193"/>
        <v>0</v>
      </c>
      <c r="DG462">
        <f t="shared" si="191"/>
        <v>19.71</v>
      </c>
      <c r="DH462">
        <f t="shared" si="192"/>
        <v>3.54</v>
      </c>
      <c r="DI462">
        <f t="shared" si="190"/>
        <v>0</v>
      </c>
      <c r="DJ462">
        <f>DG462</f>
        <v>19.71</v>
      </c>
      <c r="DK462">
        <v>0</v>
      </c>
    </row>
    <row r="463" spans="1:115" x14ac:dyDescent="0.2">
      <c r="A463">
        <f>ROW(Source!A506)</f>
        <v>506</v>
      </c>
      <c r="B463">
        <v>129761636</v>
      </c>
      <c r="C463">
        <v>129763718</v>
      </c>
      <c r="D463">
        <v>37393552</v>
      </c>
      <c r="E463">
        <v>1</v>
      </c>
      <c r="F463">
        <v>1</v>
      </c>
      <c r="G463">
        <v>37345137</v>
      </c>
      <c r="H463">
        <v>3</v>
      </c>
      <c r="I463" t="s">
        <v>348</v>
      </c>
      <c r="J463" t="s">
        <v>350</v>
      </c>
      <c r="K463" t="s">
        <v>349</v>
      </c>
      <c r="L463">
        <v>1339</v>
      </c>
      <c r="N463">
        <v>1007</v>
      </c>
      <c r="O463" t="s">
        <v>94</v>
      </c>
      <c r="P463" t="s">
        <v>94</v>
      </c>
      <c r="Q463">
        <v>1</v>
      </c>
      <c r="W463">
        <v>0</v>
      </c>
      <c r="X463">
        <v>-862991314</v>
      </c>
      <c r="Y463">
        <f>AT463</f>
        <v>0.15</v>
      </c>
      <c r="AA463">
        <v>7.07</v>
      </c>
      <c r="AB463">
        <v>0</v>
      </c>
      <c r="AC463">
        <v>0</v>
      </c>
      <c r="AD463">
        <v>0</v>
      </c>
      <c r="AE463">
        <v>7.07</v>
      </c>
      <c r="AF463">
        <v>0</v>
      </c>
      <c r="AG463">
        <v>0</v>
      </c>
      <c r="AH463">
        <v>0</v>
      </c>
      <c r="AI463">
        <v>1</v>
      </c>
      <c r="AJ463">
        <v>1</v>
      </c>
      <c r="AK463">
        <v>1</v>
      </c>
      <c r="AL463">
        <v>1</v>
      </c>
      <c r="AN463">
        <v>0</v>
      </c>
      <c r="AO463">
        <v>1</v>
      </c>
      <c r="AP463">
        <v>0</v>
      </c>
      <c r="AQ463">
        <v>0</v>
      </c>
      <c r="AR463">
        <v>0</v>
      </c>
      <c r="AS463" t="s">
        <v>3</v>
      </c>
      <c r="AT463">
        <v>0.15</v>
      </c>
      <c r="AU463" t="s">
        <v>3</v>
      </c>
      <c r="AV463">
        <v>0</v>
      </c>
      <c r="AW463">
        <v>2</v>
      </c>
      <c r="AX463">
        <v>129763729</v>
      </c>
      <c r="AY463">
        <v>1</v>
      </c>
      <c r="AZ463">
        <v>0</v>
      </c>
      <c r="BA463">
        <v>469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CX463">
        <f>ROUND(Y463*Source!I506,9)</f>
        <v>0.3165</v>
      </c>
      <c r="CY463">
        <f>AA463</f>
        <v>7.07</v>
      </c>
      <c r="CZ463">
        <f>AE463</f>
        <v>7.07</v>
      </c>
      <c r="DA463">
        <f>AI463</f>
        <v>1</v>
      </c>
      <c r="DB463">
        <f>ROUND(ROUND(AT463*CZ463,2),6)</f>
        <v>1.06</v>
      </c>
      <c r="DC463">
        <f>ROUND(ROUND(AT463*AG463,2),6)</f>
        <v>0</v>
      </c>
      <c r="DD463" t="s">
        <v>3</v>
      </c>
      <c r="DE463" t="s">
        <v>3</v>
      </c>
      <c r="DF463">
        <f t="shared" si="193"/>
        <v>2.2400000000000002</v>
      </c>
      <c r="DG463">
        <f t="shared" si="191"/>
        <v>0</v>
      </c>
      <c r="DH463">
        <f t="shared" si="192"/>
        <v>0</v>
      </c>
      <c r="DI463">
        <f t="shared" si="190"/>
        <v>0</v>
      </c>
      <c r="DJ463">
        <f>DF463</f>
        <v>2.2400000000000002</v>
      </c>
      <c r="DK463">
        <v>0</v>
      </c>
    </row>
    <row r="464" spans="1:115" x14ac:dyDescent="0.2">
      <c r="A464">
        <f>ROW(Source!A506)</f>
        <v>506</v>
      </c>
      <c r="B464">
        <v>129761636</v>
      </c>
      <c r="C464">
        <v>129763718</v>
      </c>
      <c r="D464">
        <v>37394816</v>
      </c>
      <c r="E464">
        <v>1</v>
      </c>
      <c r="F464">
        <v>1</v>
      </c>
      <c r="G464">
        <v>37345137</v>
      </c>
      <c r="H464">
        <v>3</v>
      </c>
      <c r="I464" t="s">
        <v>522</v>
      </c>
      <c r="J464" t="s">
        <v>524</v>
      </c>
      <c r="K464" t="s">
        <v>523</v>
      </c>
      <c r="L464">
        <v>1339</v>
      </c>
      <c r="N464">
        <v>1007</v>
      </c>
      <c r="O464" t="s">
        <v>94</v>
      </c>
      <c r="P464" t="s">
        <v>94</v>
      </c>
      <c r="Q464">
        <v>1</v>
      </c>
      <c r="W464">
        <v>0</v>
      </c>
      <c r="X464">
        <v>-1946291914</v>
      </c>
      <c r="Y464">
        <f>AT464</f>
        <v>1.1499999999999999</v>
      </c>
      <c r="AA464">
        <v>197.51</v>
      </c>
      <c r="AB464">
        <v>0</v>
      </c>
      <c r="AC464">
        <v>0</v>
      </c>
      <c r="AD464">
        <v>0</v>
      </c>
      <c r="AE464">
        <v>197.51</v>
      </c>
      <c r="AF464">
        <v>0</v>
      </c>
      <c r="AG464">
        <v>0</v>
      </c>
      <c r="AH464">
        <v>0</v>
      </c>
      <c r="AI464">
        <v>1</v>
      </c>
      <c r="AJ464">
        <v>1</v>
      </c>
      <c r="AK464">
        <v>1</v>
      </c>
      <c r="AL464">
        <v>1</v>
      </c>
      <c r="AN464">
        <v>0</v>
      </c>
      <c r="AO464">
        <v>0</v>
      </c>
      <c r="AP464">
        <v>0</v>
      </c>
      <c r="AQ464">
        <v>0</v>
      </c>
      <c r="AR464">
        <v>0</v>
      </c>
      <c r="AS464" t="s">
        <v>3</v>
      </c>
      <c r="AT464">
        <v>1.1499999999999999</v>
      </c>
      <c r="AU464" t="s">
        <v>3</v>
      </c>
      <c r="AV464">
        <v>0</v>
      </c>
      <c r="AW464">
        <v>1</v>
      </c>
      <c r="AX464">
        <v>-1</v>
      </c>
      <c r="AY464">
        <v>0</v>
      </c>
      <c r="AZ464">
        <v>0</v>
      </c>
      <c r="BA464" t="s">
        <v>3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CX464">
        <f>ROUND(Y464*Source!I506,9)</f>
        <v>2.4264999999999999</v>
      </c>
      <c r="CY464">
        <f>AA464</f>
        <v>197.51</v>
      </c>
      <c r="CZ464">
        <f>AE464</f>
        <v>197.51</v>
      </c>
      <c r="DA464">
        <f>AI464</f>
        <v>1</v>
      </c>
      <c r="DB464">
        <f>ROUND(ROUND(AT464*CZ464,2),6)</f>
        <v>227.14</v>
      </c>
      <c r="DC464">
        <f>ROUND(ROUND(AT464*AG464,2),6)</f>
        <v>0</v>
      </c>
      <c r="DD464" t="s">
        <v>3</v>
      </c>
      <c r="DE464" t="s">
        <v>3</v>
      </c>
      <c r="DF464">
        <f t="shared" si="193"/>
        <v>479.26</v>
      </c>
      <c r="DG464">
        <f t="shared" si="191"/>
        <v>0</v>
      </c>
      <c r="DH464">
        <f t="shared" si="192"/>
        <v>0</v>
      </c>
      <c r="DI464">
        <f t="shared" si="190"/>
        <v>0</v>
      </c>
      <c r="DJ464">
        <f>DF464</f>
        <v>479.26</v>
      </c>
      <c r="DK464">
        <v>0</v>
      </c>
    </row>
    <row r="465" spans="1:115" x14ac:dyDescent="0.2">
      <c r="A465">
        <f>ROW(Source!A507)</f>
        <v>507</v>
      </c>
      <c r="B465">
        <v>129761633</v>
      </c>
      <c r="C465">
        <v>129763718</v>
      </c>
      <c r="D465">
        <v>37345142</v>
      </c>
      <c r="E465">
        <v>37345137</v>
      </c>
      <c r="F465">
        <v>1</v>
      </c>
      <c r="G465">
        <v>37345137</v>
      </c>
      <c r="H465">
        <v>1</v>
      </c>
      <c r="I465" t="s">
        <v>1096</v>
      </c>
      <c r="J465" t="s">
        <v>3</v>
      </c>
      <c r="K465" t="s">
        <v>1097</v>
      </c>
      <c r="L465">
        <v>1191</v>
      </c>
      <c r="N465">
        <v>1013</v>
      </c>
      <c r="O465" t="s">
        <v>1098</v>
      </c>
      <c r="P465" t="s">
        <v>1098</v>
      </c>
      <c r="Q465">
        <v>1</v>
      </c>
      <c r="W465">
        <v>0</v>
      </c>
      <c r="X465">
        <v>476480486</v>
      </c>
      <c r="Y465">
        <f>(AT465*1.15)</f>
        <v>0.97749999999999992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1</v>
      </c>
      <c r="AJ465">
        <v>1</v>
      </c>
      <c r="AK465">
        <v>1</v>
      </c>
      <c r="AL465">
        <v>1</v>
      </c>
      <c r="AN465">
        <v>0</v>
      </c>
      <c r="AO465">
        <v>1</v>
      </c>
      <c r="AP465">
        <v>1</v>
      </c>
      <c r="AQ465">
        <v>0</v>
      </c>
      <c r="AR465">
        <v>0</v>
      </c>
      <c r="AS465" t="s">
        <v>3</v>
      </c>
      <c r="AT465">
        <v>0.85</v>
      </c>
      <c r="AU465" t="s">
        <v>87</v>
      </c>
      <c r="AV465">
        <v>1</v>
      </c>
      <c r="AW465">
        <v>2</v>
      </c>
      <c r="AX465">
        <v>129763725</v>
      </c>
      <c r="AY465">
        <v>1</v>
      </c>
      <c r="AZ465">
        <v>0</v>
      </c>
      <c r="BA465">
        <v>471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CX465">
        <f>ROUND(Y465*Source!I507,9)</f>
        <v>2.0625249999999999</v>
      </c>
      <c r="CY465">
        <f>AD465</f>
        <v>0</v>
      </c>
      <c r="CZ465">
        <f>AH465</f>
        <v>0</v>
      </c>
      <c r="DA465">
        <f>AL465</f>
        <v>1</v>
      </c>
      <c r="DB465">
        <f>ROUND((ROUND(AT465*CZ465,2)*1.15),6)</f>
        <v>0</v>
      </c>
      <c r="DC465">
        <f>ROUND((ROUND(AT465*AG465,2)*1.15),6)</f>
        <v>0</v>
      </c>
      <c r="DD465" t="s">
        <v>3</v>
      </c>
      <c r="DE465" t="s">
        <v>3</v>
      </c>
      <c r="DF465">
        <f t="shared" si="193"/>
        <v>0</v>
      </c>
      <c r="DG465">
        <f t="shared" si="191"/>
        <v>0</v>
      </c>
      <c r="DH465">
        <f t="shared" si="192"/>
        <v>0</v>
      </c>
      <c r="DI465">
        <f t="shared" si="190"/>
        <v>0</v>
      </c>
      <c r="DJ465">
        <f>DI465</f>
        <v>0</v>
      </c>
      <c r="DK465">
        <v>0</v>
      </c>
    </row>
    <row r="466" spans="1:115" x14ac:dyDescent="0.2">
      <c r="A466">
        <f>ROW(Source!A507)</f>
        <v>507</v>
      </c>
      <c r="B466">
        <v>129761633</v>
      </c>
      <c r="C466">
        <v>129763718</v>
      </c>
      <c r="D466">
        <v>37418063</v>
      </c>
      <c r="E466">
        <v>1</v>
      </c>
      <c r="F466">
        <v>1</v>
      </c>
      <c r="G466">
        <v>37345137</v>
      </c>
      <c r="H466">
        <v>2</v>
      </c>
      <c r="I466" t="s">
        <v>1153</v>
      </c>
      <c r="J466" t="s">
        <v>1154</v>
      </c>
      <c r="K466" t="s">
        <v>1155</v>
      </c>
      <c r="L466">
        <v>1367</v>
      </c>
      <c r="N466">
        <v>1011</v>
      </c>
      <c r="O466" t="s">
        <v>1102</v>
      </c>
      <c r="P466" t="s">
        <v>1102</v>
      </c>
      <c r="Q466">
        <v>1</v>
      </c>
      <c r="W466">
        <v>0</v>
      </c>
      <c r="X466">
        <v>-668768829</v>
      </c>
      <c r="Y466">
        <f>(AT466*1.25)</f>
        <v>0.25</v>
      </c>
      <c r="AA466">
        <v>0</v>
      </c>
      <c r="AB466">
        <v>721.62</v>
      </c>
      <c r="AC466">
        <v>405.16</v>
      </c>
      <c r="AD466">
        <v>0</v>
      </c>
      <c r="AE466">
        <v>0</v>
      </c>
      <c r="AF466">
        <v>41.62</v>
      </c>
      <c r="AG466">
        <v>13.33</v>
      </c>
      <c r="AH466">
        <v>0</v>
      </c>
      <c r="AI466">
        <v>1</v>
      </c>
      <c r="AJ466">
        <v>16.559999999999999</v>
      </c>
      <c r="AK466">
        <v>29.03</v>
      </c>
      <c r="AL466">
        <v>1</v>
      </c>
      <c r="AN466">
        <v>0</v>
      </c>
      <c r="AO466">
        <v>1</v>
      </c>
      <c r="AP466">
        <v>1</v>
      </c>
      <c r="AQ466">
        <v>0</v>
      </c>
      <c r="AR466">
        <v>0</v>
      </c>
      <c r="AS466" t="s">
        <v>3</v>
      </c>
      <c r="AT466">
        <v>0.2</v>
      </c>
      <c r="AU466" t="s">
        <v>86</v>
      </c>
      <c r="AV466">
        <v>0</v>
      </c>
      <c r="AW466">
        <v>2</v>
      </c>
      <c r="AX466">
        <v>129763726</v>
      </c>
      <c r="AY466">
        <v>1</v>
      </c>
      <c r="AZ466">
        <v>0</v>
      </c>
      <c r="BA466">
        <v>472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CX466">
        <f>ROUND(Y466*Source!I507,9)</f>
        <v>0.52749999999999997</v>
      </c>
      <c r="CY466">
        <f>AB466</f>
        <v>721.62</v>
      </c>
      <c r="CZ466">
        <f>AF466</f>
        <v>41.62</v>
      </c>
      <c r="DA466">
        <f>AJ466</f>
        <v>16.559999999999999</v>
      </c>
      <c r="DB466">
        <f>ROUND((ROUND(AT466*CZ466,2)*1.25),6)</f>
        <v>10.4</v>
      </c>
      <c r="DC466">
        <f>ROUND((ROUND(AT466*AG466,2)*1.25),6)</f>
        <v>3.3374999999999999</v>
      </c>
      <c r="DD466" t="s">
        <v>3</v>
      </c>
      <c r="DE466" t="s">
        <v>3</v>
      </c>
      <c r="DF466">
        <f t="shared" si="193"/>
        <v>0</v>
      </c>
      <c r="DG466">
        <f>ROUND(ROUND(AF466*CX466,2)*AJ466,2)</f>
        <v>363.49</v>
      </c>
      <c r="DH466">
        <f>ROUND(ROUND(AG466*CX466,2)*AK466,2)</f>
        <v>204.08</v>
      </c>
      <c r="DI466">
        <f t="shared" si="190"/>
        <v>0</v>
      </c>
      <c r="DJ466">
        <f>DG466</f>
        <v>363.49</v>
      </c>
      <c r="DK466">
        <v>0</v>
      </c>
    </row>
    <row r="467" spans="1:115" x14ac:dyDescent="0.2">
      <c r="A467">
        <f>ROW(Source!A507)</f>
        <v>507</v>
      </c>
      <c r="B467">
        <v>129761633</v>
      </c>
      <c r="C467">
        <v>129763718</v>
      </c>
      <c r="D467">
        <v>37418474</v>
      </c>
      <c r="E467">
        <v>1</v>
      </c>
      <c r="F467">
        <v>1</v>
      </c>
      <c r="G467">
        <v>37345137</v>
      </c>
      <c r="H467">
        <v>2</v>
      </c>
      <c r="I467" t="s">
        <v>1300</v>
      </c>
      <c r="J467" t="s">
        <v>1301</v>
      </c>
      <c r="K467" t="s">
        <v>1302</v>
      </c>
      <c r="L467">
        <v>1367</v>
      </c>
      <c r="N467">
        <v>1011</v>
      </c>
      <c r="O467" t="s">
        <v>1102</v>
      </c>
      <c r="P467" t="s">
        <v>1102</v>
      </c>
      <c r="Q467">
        <v>1</v>
      </c>
      <c r="W467">
        <v>0</v>
      </c>
      <c r="X467">
        <v>1280158331</v>
      </c>
      <c r="Y467">
        <f>(AT467*1.25)</f>
        <v>0.5</v>
      </c>
      <c r="AA467">
        <v>0</v>
      </c>
      <c r="AB467">
        <v>4.51</v>
      </c>
      <c r="AC467">
        <v>2.74</v>
      </c>
      <c r="AD467">
        <v>0</v>
      </c>
      <c r="AE467">
        <v>0</v>
      </c>
      <c r="AF467">
        <v>0.56000000000000005</v>
      </c>
      <c r="AG467">
        <v>0.09</v>
      </c>
      <c r="AH467">
        <v>0</v>
      </c>
      <c r="AI467">
        <v>1</v>
      </c>
      <c r="AJ467">
        <v>7.7</v>
      </c>
      <c r="AK467">
        <v>29.03</v>
      </c>
      <c r="AL467">
        <v>1</v>
      </c>
      <c r="AN467">
        <v>0</v>
      </c>
      <c r="AO467">
        <v>1</v>
      </c>
      <c r="AP467">
        <v>1</v>
      </c>
      <c r="AQ467">
        <v>0</v>
      </c>
      <c r="AR467">
        <v>0</v>
      </c>
      <c r="AS467" t="s">
        <v>3</v>
      </c>
      <c r="AT467">
        <v>0.4</v>
      </c>
      <c r="AU467" t="s">
        <v>86</v>
      </c>
      <c r="AV467">
        <v>0</v>
      </c>
      <c r="AW467">
        <v>2</v>
      </c>
      <c r="AX467">
        <v>129763727</v>
      </c>
      <c r="AY467">
        <v>1</v>
      </c>
      <c r="AZ467">
        <v>0</v>
      </c>
      <c r="BA467">
        <v>473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CX467">
        <f>ROUND(Y467*Source!I507,9)</f>
        <v>1.0549999999999999</v>
      </c>
      <c r="CY467">
        <f>AB467</f>
        <v>4.51</v>
      </c>
      <c r="CZ467">
        <f>AF467</f>
        <v>0.56000000000000005</v>
      </c>
      <c r="DA467">
        <f>AJ467</f>
        <v>7.7</v>
      </c>
      <c r="DB467">
        <f>ROUND((ROUND(AT467*CZ467,2)*1.25),6)</f>
        <v>0.27500000000000002</v>
      </c>
      <c r="DC467">
        <f>ROUND((ROUND(AT467*AG467,2)*1.25),6)</f>
        <v>0.05</v>
      </c>
      <c r="DD467" t="s">
        <v>3</v>
      </c>
      <c r="DE467" t="s">
        <v>3</v>
      </c>
      <c r="DF467">
        <f t="shared" si="193"/>
        <v>0</v>
      </c>
      <c r="DG467">
        <f>ROUND(ROUND(AF467*CX467,2)*AJ467,2)</f>
        <v>4.54</v>
      </c>
      <c r="DH467">
        <f>ROUND(ROUND(AG467*CX467,2)*AK467,2)</f>
        <v>2.61</v>
      </c>
      <c r="DI467">
        <f t="shared" si="190"/>
        <v>0</v>
      </c>
      <c r="DJ467">
        <f>DG467</f>
        <v>4.54</v>
      </c>
      <c r="DK467">
        <v>0</v>
      </c>
    </row>
    <row r="468" spans="1:115" x14ac:dyDescent="0.2">
      <c r="A468">
        <f>ROW(Source!A507)</f>
        <v>507</v>
      </c>
      <c r="B468">
        <v>129761633</v>
      </c>
      <c r="C468">
        <v>129763718</v>
      </c>
      <c r="D468">
        <v>37417781</v>
      </c>
      <c r="E468">
        <v>1</v>
      </c>
      <c r="F468">
        <v>1</v>
      </c>
      <c r="G468">
        <v>37345137</v>
      </c>
      <c r="H468">
        <v>2</v>
      </c>
      <c r="I468" t="s">
        <v>1303</v>
      </c>
      <c r="J468" t="s">
        <v>1304</v>
      </c>
      <c r="K468" t="s">
        <v>1305</v>
      </c>
      <c r="L468">
        <v>1367</v>
      </c>
      <c r="N468">
        <v>1011</v>
      </c>
      <c r="O468" t="s">
        <v>1102</v>
      </c>
      <c r="P468" t="s">
        <v>1102</v>
      </c>
      <c r="Q468">
        <v>1</v>
      </c>
      <c r="W468">
        <v>0</v>
      </c>
      <c r="X468">
        <v>1022351366</v>
      </c>
      <c r="Y468">
        <f>(AT468*1.25)</f>
        <v>8.7500000000000008E-2</v>
      </c>
      <c r="AA468">
        <v>0</v>
      </c>
      <c r="AB468">
        <v>1242.74</v>
      </c>
      <c r="AC468">
        <v>583.57000000000005</v>
      </c>
      <c r="AD468">
        <v>0</v>
      </c>
      <c r="AE468">
        <v>0</v>
      </c>
      <c r="AF468">
        <v>106.74</v>
      </c>
      <c r="AG468">
        <v>19.2</v>
      </c>
      <c r="AH468">
        <v>0</v>
      </c>
      <c r="AI468">
        <v>1</v>
      </c>
      <c r="AJ468">
        <v>11.12</v>
      </c>
      <c r="AK468">
        <v>29.03</v>
      </c>
      <c r="AL468">
        <v>1</v>
      </c>
      <c r="AN468">
        <v>0</v>
      </c>
      <c r="AO468">
        <v>1</v>
      </c>
      <c r="AP468">
        <v>1</v>
      </c>
      <c r="AQ468">
        <v>0</v>
      </c>
      <c r="AR468">
        <v>0</v>
      </c>
      <c r="AS468" t="s">
        <v>3</v>
      </c>
      <c r="AT468">
        <v>7.0000000000000007E-2</v>
      </c>
      <c r="AU468" t="s">
        <v>86</v>
      </c>
      <c r="AV468">
        <v>0</v>
      </c>
      <c r="AW468">
        <v>2</v>
      </c>
      <c r="AX468">
        <v>129763728</v>
      </c>
      <c r="AY468">
        <v>1</v>
      </c>
      <c r="AZ468">
        <v>0</v>
      </c>
      <c r="BA468">
        <v>474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CX468">
        <f>ROUND(Y468*Source!I507,9)</f>
        <v>0.18462500000000001</v>
      </c>
      <c r="CY468">
        <f>AB468</f>
        <v>1242.74</v>
      </c>
      <c r="CZ468">
        <f>AF468</f>
        <v>106.74</v>
      </c>
      <c r="DA468">
        <f>AJ468</f>
        <v>11.12</v>
      </c>
      <c r="DB468">
        <f>ROUND((ROUND(AT468*CZ468,2)*1.25),6)</f>
        <v>9.3375000000000004</v>
      </c>
      <c r="DC468">
        <f>ROUND((ROUND(AT468*AG468,2)*1.25),6)</f>
        <v>1.675</v>
      </c>
      <c r="DD468" t="s">
        <v>3</v>
      </c>
      <c r="DE468" t="s">
        <v>3</v>
      </c>
      <c r="DF468">
        <f t="shared" si="193"/>
        <v>0</v>
      </c>
      <c r="DG468">
        <f>ROUND(ROUND(AF468*CX468,2)*AJ468,2)</f>
        <v>219.18</v>
      </c>
      <c r="DH468">
        <f>ROUND(ROUND(AG468*CX468,2)*AK468,2)</f>
        <v>102.77</v>
      </c>
      <c r="DI468">
        <f t="shared" si="190"/>
        <v>0</v>
      </c>
      <c r="DJ468">
        <f>DG468</f>
        <v>219.18</v>
      </c>
      <c r="DK468">
        <v>0</v>
      </c>
    </row>
    <row r="469" spans="1:115" x14ac:dyDescent="0.2">
      <c r="A469">
        <f>ROW(Source!A507)</f>
        <v>507</v>
      </c>
      <c r="B469">
        <v>129761633</v>
      </c>
      <c r="C469">
        <v>129763718</v>
      </c>
      <c r="D469">
        <v>37393552</v>
      </c>
      <c r="E469">
        <v>1</v>
      </c>
      <c r="F469">
        <v>1</v>
      </c>
      <c r="G469">
        <v>37345137</v>
      </c>
      <c r="H469">
        <v>3</v>
      </c>
      <c r="I469" t="s">
        <v>348</v>
      </c>
      <c r="J469" t="s">
        <v>350</v>
      </c>
      <c r="K469" t="s">
        <v>349</v>
      </c>
      <c r="L469">
        <v>1339</v>
      </c>
      <c r="N469">
        <v>1007</v>
      </c>
      <c r="O469" t="s">
        <v>94</v>
      </c>
      <c r="P469" t="s">
        <v>94</v>
      </c>
      <c r="Q469">
        <v>1</v>
      </c>
      <c r="W469">
        <v>0</v>
      </c>
      <c r="X469">
        <v>-862991314</v>
      </c>
      <c r="Y469">
        <f>AT469</f>
        <v>0.15</v>
      </c>
      <c r="AA469">
        <v>42.55</v>
      </c>
      <c r="AB469">
        <v>0</v>
      </c>
      <c r="AC469">
        <v>0</v>
      </c>
      <c r="AD469">
        <v>0</v>
      </c>
      <c r="AE469">
        <v>7.07</v>
      </c>
      <c r="AF469">
        <v>0</v>
      </c>
      <c r="AG469">
        <v>0</v>
      </c>
      <c r="AH469">
        <v>0</v>
      </c>
      <c r="AI469">
        <v>6</v>
      </c>
      <c r="AJ469">
        <v>1</v>
      </c>
      <c r="AK469">
        <v>1</v>
      </c>
      <c r="AL469">
        <v>1</v>
      </c>
      <c r="AN469">
        <v>0</v>
      </c>
      <c r="AO469">
        <v>1</v>
      </c>
      <c r="AP469">
        <v>0</v>
      </c>
      <c r="AQ469">
        <v>0</v>
      </c>
      <c r="AR469">
        <v>0</v>
      </c>
      <c r="AS469" t="s">
        <v>3</v>
      </c>
      <c r="AT469">
        <v>0.15</v>
      </c>
      <c r="AU469" t="s">
        <v>3</v>
      </c>
      <c r="AV469">
        <v>0</v>
      </c>
      <c r="AW469">
        <v>2</v>
      </c>
      <c r="AX469">
        <v>129763729</v>
      </c>
      <c r="AY469">
        <v>1</v>
      </c>
      <c r="AZ469">
        <v>0</v>
      </c>
      <c r="BA469">
        <v>475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CX469">
        <f>ROUND(Y469*Source!I507,9)</f>
        <v>0.3165</v>
      </c>
      <c r="CY469">
        <f>AA469</f>
        <v>42.55</v>
      </c>
      <c r="CZ469">
        <f>AE469</f>
        <v>7.07</v>
      </c>
      <c r="DA469">
        <f>AI469</f>
        <v>6</v>
      </c>
      <c r="DB469">
        <f>ROUND(ROUND(AT469*CZ469,2),6)</f>
        <v>1.06</v>
      </c>
      <c r="DC469">
        <f>ROUND(ROUND(AT469*AG469,2),6)</f>
        <v>0</v>
      </c>
      <c r="DD469" t="s">
        <v>3</v>
      </c>
      <c r="DE469" t="s">
        <v>3</v>
      </c>
      <c r="DF469">
        <f>ROUND(ROUND(AE469*CX469,2)*AI469,2)</f>
        <v>13.44</v>
      </c>
      <c r="DG469">
        <f t="shared" ref="DG469:DG488" si="194">ROUND(AF469*CX469,2)</f>
        <v>0</v>
      </c>
      <c r="DH469">
        <f t="shared" ref="DH469:DH488" si="195">ROUND(AG469*CX469,2)</f>
        <v>0</v>
      </c>
      <c r="DI469">
        <f t="shared" si="190"/>
        <v>0</v>
      </c>
      <c r="DJ469">
        <f>DF469</f>
        <v>13.44</v>
      </c>
      <c r="DK469">
        <v>0</v>
      </c>
    </row>
    <row r="470" spans="1:115" x14ac:dyDescent="0.2">
      <c r="A470">
        <f>ROW(Source!A507)</f>
        <v>507</v>
      </c>
      <c r="B470">
        <v>129761633</v>
      </c>
      <c r="C470">
        <v>129763718</v>
      </c>
      <c r="D470">
        <v>37394816</v>
      </c>
      <c r="E470">
        <v>1</v>
      </c>
      <c r="F470">
        <v>1</v>
      </c>
      <c r="G470">
        <v>37345137</v>
      </c>
      <c r="H470">
        <v>3</v>
      </c>
      <c r="I470" t="s">
        <v>522</v>
      </c>
      <c r="J470" t="s">
        <v>524</v>
      </c>
      <c r="K470" t="s">
        <v>523</v>
      </c>
      <c r="L470">
        <v>1339</v>
      </c>
      <c r="N470">
        <v>1007</v>
      </c>
      <c r="O470" t="s">
        <v>94</v>
      </c>
      <c r="P470" t="s">
        <v>94</v>
      </c>
      <c r="Q470">
        <v>1</v>
      </c>
      <c r="W470">
        <v>0</v>
      </c>
      <c r="X470">
        <v>-1946291914</v>
      </c>
      <c r="Y470">
        <f>AT470</f>
        <v>1.1499999999999999</v>
      </c>
      <c r="AA470">
        <v>2105.83</v>
      </c>
      <c r="AB470">
        <v>0</v>
      </c>
      <c r="AC470">
        <v>0</v>
      </c>
      <c r="AD470">
        <v>0</v>
      </c>
      <c r="AE470">
        <v>197.51</v>
      </c>
      <c r="AF470">
        <v>0</v>
      </c>
      <c r="AG470">
        <v>0</v>
      </c>
      <c r="AH470">
        <v>0</v>
      </c>
      <c r="AI470">
        <v>10.63</v>
      </c>
      <c r="AJ470">
        <v>1</v>
      </c>
      <c r="AK470">
        <v>1</v>
      </c>
      <c r="AL470">
        <v>1</v>
      </c>
      <c r="AN470">
        <v>0</v>
      </c>
      <c r="AO470">
        <v>0</v>
      </c>
      <c r="AP470">
        <v>0</v>
      </c>
      <c r="AQ470">
        <v>0</v>
      </c>
      <c r="AR470">
        <v>0</v>
      </c>
      <c r="AS470" t="s">
        <v>3</v>
      </c>
      <c r="AT470">
        <v>1.1499999999999999</v>
      </c>
      <c r="AU470" t="s">
        <v>3</v>
      </c>
      <c r="AV470">
        <v>0</v>
      </c>
      <c r="AW470">
        <v>1</v>
      </c>
      <c r="AX470">
        <v>-1</v>
      </c>
      <c r="AY470">
        <v>0</v>
      </c>
      <c r="AZ470">
        <v>0</v>
      </c>
      <c r="BA470" t="s">
        <v>3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CX470">
        <f>ROUND(Y470*Source!I507,9)</f>
        <v>2.4264999999999999</v>
      </c>
      <c r="CY470">
        <f>AA470</f>
        <v>2105.83</v>
      </c>
      <c r="CZ470">
        <f>AE470</f>
        <v>197.51</v>
      </c>
      <c r="DA470">
        <f>AI470</f>
        <v>10.63</v>
      </c>
      <c r="DB470">
        <f>ROUND(ROUND(AT470*CZ470,2),6)</f>
        <v>227.14</v>
      </c>
      <c r="DC470">
        <f>ROUND(ROUND(AT470*AG470,2),6)</f>
        <v>0</v>
      </c>
      <c r="DD470" t="s">
        <v>3</v>
      </c>
      <c r="DE470" t="s">
        <v>3</v>
      </c>
      <c r="DF470">
        <f>ROUND(ROUND(AE470*CX470,2)*AI470,2)</f>
        <v>5094.53</v>
      </c>
      <c r="DG470">
        <f t="shared" si="194"/>
        <v>0</v>
      </c>
      <c r="DH470">
        <f t="shared" si="195"/>
        <v>0</v>
      </c>
      <c r="DI470">
        <f t="shared" si="190"/>
        <v>0</v>
      </c>
      <c r="DJ470">
        <f>DF470</f>
        <v>5094.53</v>
      </c>
      <c r="DK470">
        <v>0</v>
      </c>
    </row>
    <row r="471" spans="1:115" x14ac:dyDescent="0.2">
      <c r="A471">
        <f>ROW(Source!A510)</f>
        <v>510</v>
      </c>
      <c r="B471">
        <v>129761636</v>
      </c>
      <c r="C471">
        <v>129763732</v>
      </c>
      <c r="D471">
        <v>37345142</v>
      </c>
      <c r="E471">
        <v>37345137</v>
      </c>
      <c r="F471">
        <v>1</v>
      </c>
      <c r="G471">
        <v>37345137</v>
      </c>
      <c r="H471">
        <v>1</v>
      </c>
      <c r="I471" t="s">
        <v>1096</v>
      </c>
      <c r="J471" t="s">
        <v>3</v>
      </c>
      <c r="K471" t="s">
        <v>1097</v>
      </c>
      <c r="L471">
        <v>1191</v>
      </c>
      <c r="N471">
        <v>1013</v>
      </c>
      <c r="O471" t="s">
        <v>1098</v>
      </c>
      <c r="P471" t="s">
        <v>1098</v>
      </c>
      <c r="Q471">
        <v>1</v>
      </c>
      <c r="W471">
        <v>0</v>
      </c>
      <c r="X471">
        <v>476480486</v>
      </c>
      <c r="Y471">
        <f>(AT471*1.15)</f>
        <v>205.85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1</v>
      </c>
      <c r="AJ471">
        <v>1</v>
      </c>
      <c r="AK471">
        <v>1</v>
      </c>
      <c r="AL471">
        <v>1</v>
      </c>
      <c r="AN471">
        <v>0</v>
      </c>
      <c r="AO471">
        <v>1</v>
      </c>
      <c r="AP471">
        <v>1</v>
      </c>
      <c r="AQ471">
        <v>0</v>
      </c>
      <c r="AR471">
        <v>0</v>
      </c>
      <c r="AS471" t="s">
        <v>3</v>
      </c>
      <c r="AT471">
        <v>179</v>
      </c>
      <c r="AU471" t="s">
        <v>87</v>
      </c>
      <c r="AV471">
        <v>1</v>
      </c>
      <c r="AW471">
        <v>2</v>
      </c>
      <c r="AX471">
        <v>129763750</v>
      </c>
      <c r="AY471">
        <v>1</v>
      </c>
      <c r="AZ471">
        <v>0</v>
      </c>
      <c r="BA471">
        <v>477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CX471">
        <f>ROUND(Y471*Source!I510,9)</f>
        <v>9.5514399999999995</v>
      </c>
      <c r="CY471">
        <f>AD471</f>
        <v>0</v>
      </c>
      <c r="CZ471">
        <f>AH471</f>
        <v>0</v>
      </c>
      <c r="DA471">
        <f>AL471</f>
        <v>1</v>
      </c>
      <c r="DB471">
        <f>ROUND((ROUND(AT471*CZ471,2)*1.15),6)</f>
        <v>0</v>
      </c>
      <c r="DC471">
        <f>ROUND((ROUND(AT471*AG471,2)*1.15),6)</f>
        <v>0</v>
      </c>
      <c r="DD471" t="s">
        <v>3</v>
      </c>
      <c r="DE471" t="s">
        <v>3</v>
      </c>
      <c r="DF471">
        <f t="shared" ref="DF471:DF494" si="196">ROUND(AE471*CX471,2)</f>
        <v>0</v>
      </c>
      <c r="DG471">
        <f t="shared" si="194"/>
        <v>0</v>
      </c>
      <c r="DH471">
        <f t="shared" si="195"/>
        <v>0</v>
      </c>
      <c r="DI471">
        <f t="shared" si="190"/>
        <v>0</v>
      </c>
      <c r="DJ471">
        <f>DI471</f>
        <v>0</v>
      </c>
      <c r="DK471">
        <v>0</v>
      </c>
    </row>
    <row r="472" spans="1:115" x14ac:dyDescent="0.2">
      <c r="A472">
        <f>ROW(Source!A510)</f>
        <v>510</v>
      </c>
      <c r="B472">
        <v>129761636</v>
      </c>
      <c r="C472">
        <v>129763732</v>
      </c>
      <c r="D472">
        <v>37418162</v>
      </c>
      <c r="E472">
        <v>1</v>
      </c>
      <c r="F472">
        <v>1</v>
      </c>
      <c r="G472">
        <v>37345137</v>
      </c>
      <c r="H472">
        <v>2</v>
      </c>
      <c r="I472" t="s">
        <v>1174</v>
      </c>
      <c r="J472" t="s">
        <v>1175</v>
      </c>
      <c r="K472" t="s">
        <v>1176</v>
      </c>
      <c r="L472">
        <v>1367</v>
      </c>
      <c r="N472">
        <v>1011</v>
      </c>
      <c r="O472" t="s">
        <v>1102</v>
      </c>
      <c r="P472" t="s">
        <v>1102</v>
      </c>
      <c r="Q472">
        <v>1</v>
      </c>
      <c r="W472">
        <v>0</v>
      </c>
      <c r="X472">
        <v>49912578</v>
      </c>
      <c r="Y472">
        <f t="shared" ref="Y472:Y477" si="197">(AT472*1.25)</f>
        <v>150</v>
      </c>
      <c r="AA472">
        <v>0</v>
      </c>
      <c r="AB472">
        <v>6.15</v>
      </c>
      <c r="AC472">
        <v>0.02</v>
      </c>
      <c r="AD472">
        <v>0</v>
      </c>
      <c r="AE472">
        <v>0</v>
      </c>
      <c r="AF472">
        <v>6.15</v>
      </c>
      <c r="AG472">
        <v>0.02</v>
      </c>
      <c r="AH472">
        <v>0</v>
      </c>
      <c r="AI472">
        <v>1</v>
      </c>
      <c r="AJ472">
        <v>1</v>
      </c>
      <c r="AK472">
        <v>1</v>
      </c>
      <c r="AL472">
        <v>1</v>
      </c>
      <c r="AN472">
        <v>0</v>
      </c>
      <c r="AO472">
        <v>1</v>
      </c>
      <c r="AP472">
        <v>1</v>
      </c>
      <c r="AQ472">
        <v>0</v>
      </c>
      <c r="AR472">
        <v>0</v>
      </c>
      <c r="AS472" t="s">
        <v>3</v>
      </c>
      <c r="AT472">
        <v>120</v>
      </c>
      <c r="AU472" t="s">
        <v>86</v>
      </c>
      <c r="AV472">
        <v>0</v>
      </c>
      <c r="AW472">
        <v>2</v>
      </c>
      <c r="AX472">
        <v>129763751</v>
      </c>
      <c r="AY472">
        <v>1</v>
      </c>
      <c r="AZ472">
        <v>0</v>
      </c>
      <c r="BA472">
        <v>478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CX472">
        <f>ROUND(Y472*Source!I510,9)</f>
        <v>6.96</v>
      </c>
      <c r="CY472">
        <f t="shared" ref="CY472:CY477" si="198">AB472</f>
        <v>6.15</v>
      </c>
      <c r="CZ472">
        <f t="shared" ref="CZ472:CZ477" si="199">AF472</f>
        <v>6.15</v>
      </c>
      <c r="DA472">
        <f t="shared" ref="DA472:DA477" si="200">AJ472</f>
        <v>1</v>
      </c>
      <c r="DB472">
        <f t="shared" ref="DB472:DB477" si="201">ROUND((ROUND(AT472*CZ472,2)*1.25),6)</f>
        <v>922.5</v>
      </c>
      <c r="DC472">
        <f t="shared" ref="DC472:DC477" si="202">ROUND((ROUND(AT472*AG472,2)*1.25),6)</f>
        <v>3</v>
      </c>
      <c r="DD472" t="s">
        <v>3</v>
      </c>
      <c r="DE472" t="s">
        <v>3</v>
      </c>
      <c r="DF472">
        <f t="shared" si="196"/>
        <v>0</v>
      </c>
      <c r="DG472">
        <f t="shared" si="194"/>
        <v>42.8</v>
      </c>
      <c r="DH472">
        <f t="shared" si="195"/>
        <v>0.14000000000000001</v>
      </c>
      <c r="DI472">
        <f t="shared" si="190"/>
        <v>0</v>
      </c>
      <c r="DJ472">
        <f t="shared" ref="DJ472:DJ477" si="203">DG472</f>
        <v>42.8</v>
      </c>
      <c r="DK472">
        <v>0</v>
      </c>
    </row>
    <row r="473" spans="1:115" x14ac:dyDescent="0.2">
      <c r="A473">
        <f>ROW(Source!A510)</f>
        <v>510</v>
      </c>
      <c r="B473">
        <v>129761636</v>
      </c>
      <c r="C473">
        <v>129763732</v>
      </c>
      <c r="D473">
        <v>37418445</v>
      </c>
      <c r="E473">
        <v>1</v>
      </c>
      <c r="F473">
        <v>1</v>
      </c>
      <c r="G473">
        <v>37345137</v>
      </c>
      <c r="H473">
        <v>2</v>
      </c>
      <c r="I473" t="s">
        <v>1189</v>
      </c>
      <c r="J473" t="s">
        <v>1190</v>
      </c>
      <c r="K473" t="s">
        <v>1191</v>
      </c>
      <c r="L473">
        <v>1367</v>
      </c>
      <c r="N473">
        <v>1011</v>
      </c>
      <c r="O473" t="s">
        <v>1102</v>
      </c>
      <c r="P473" t="s">
        <v>1102</v>
      </c>
      <c r="Q473">
        <v>1</v>
      </c>
      <c r="W473">
        <v>0</v>
      </c>
      <c r="X473">
        <v>-628430174</v>
      </c>
      <c r="Y473">
        <f t="shared" si="197"/>
        <v>1.6875</v>
      </c>
      <c r="AA473">
        <v>0</v>
      </c>
      <c r="AB473">
        <v>76.81</v>
      </c>
      <c r="AC473">
        <v>14.36</v>
      </c>
      <c r="AD473">
        <v>0</v>
      </c>
      <c r="AE473">
        <v>0</v>
      </c>
      <c r="AF473">
        <v>76.81</v>
      </c>
      <c r="AG473">
        <v>14.36</v>
      </c>
      <c r="AH473">
        <v>0</v>
      </c>
      <c r="AI473">
        <v>1</v>
      </c>
      <c r="AJ473">
        <v>1</v>
      </c>
      <c r="AK473">
        <v>1</v>
      </c>
      <c r="AL473">
        <v>1</v>
      </c>
      <c r="AN473">
        <v>0</v>
      </c>
      <c r="AO473">
        <v>1</v>
      </c>
      <c r="AP473">
        <v>1</v>
      </c>
      <c r="AQ473">
        <v>0</v>
      </c>
      <c r="AR473">
        <v>0</v>
      </c>
      <c r="AS473" t="s">
        <v>3</v>
      </c>
      <c r="AT473">
        <v>1.35</v>
      </c>
      <c r="AU473" t="s">
        <v>86</v>
      </c>
      <c r="AV473">
        <v>0</v>
      </c>
      <c r="AW473">
        <v>2</v>
      </c>
      <c r="AX473">
        <v>129763752</v>
      </c>
      <c r="AY473">
        <v>1</v>
      </c>
      <c r="AZ473">
        <v>0</v>
      </c>
      <c r="BA473">
        <v>479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CX473">
        <f>ROUND(Y473*Source!I510,9)</f>
        <v>7.8299999999999995E-2</v>
      </c>
      <c r="CY473">
        <f t="shared" si="198"/>
        <v>76.81</v>
      </c>
      <c r="CZ473">
        <f t="shared" si="199"/>
        <v>76.81</v>
      </c>
      <c r="DA473">
        <f t="shared" si="200"/>
        <v>1</v>
      </c>
      <c r="DB473">
        <f t="shared" si="201"/>
        <v>129.61250000000001</v>
      </c>
      <c r="DC473">
        <f t="shared" si="202"/>
        <v>24.237500000000001</v>
      </c>
      <c r="DD473" t="s">
        <v>3</v>
      </c>
      <c r="DE473" t="s">
        <v>3</v>
      </c>
      <c r="DF473">
        <f t="shared" si="196"/>
        <v>0</v>
      </c>
      <c r="DG473">
        <f t="shared" si="194"/>
        <v>6.01</v>
      </c>
      <c r="DH473">
        <f t="shared" si="195"/>
        <v>1.1200000000000001</v>
      </c>
      <c r="DI473">
        <f t="shared" si="190"/>
        <v>0</v>
      </c>
      <c r="DJ473">
        <f t="shared" si="203"/>
        <v>6.01</v>
      </c>
      <c r="DK473">
        <v>0</v>
      </c>
    </row>
    <row r="474" spans="1:115" x14ac:dyDescent="0.2">
      <c r="A474">
        <f>ROW(Source!A510)</f>
        <v>510</v>
      </c>
      <c r="B474">
        <v>129761636</v>
      </c>
      <c r="C474">
        <v>129763732</v>
      </c>
      <c r="D474">
        <v>37418498</v>
      </c>
      <c r="E474">
        <v>1</v>
      </c>
      <c r="F474">
        <v>1</v>
      </c>
      <c r="G474">
        <v>37345137</v>
      </c>
      <c r="H474">
        <v>2</v>
      </c>
      <c r="I474" t="s">
        <v>1306</v>
      </c>
      <c r="J474" t="s">
        <v>1307</v>
      </c>
      <c r="K474" t="s">
        <v>1308</v>
      </c>
      <c r="L474">
        <v>1367</v>
      </c>
      <c r="N474">
        <v>1011</v>
      </c>
      <c r="O474" t="s">
        <v>1102</v>
      </c>
      <c r="P474" t="s">
        <v>1102</v>
      </c>
      <c r="Q474">
        <v>1</v>
      </c>
      <c r="W474">
        <v>0</v>
      </c>
      <c r="X474">
        <v>1189541023</v>
      </c>
      <c r="Y474">
        <f t="shared" si="197"/>
        <v>0.125</v>
      </c>
      <c r="AA474">
        <v>0</v>
      </c>
      <c r="AB474">
        <v>0.53</v>
      </c>
      <c r="AC474">
        <v>0.04</v>
      </c>
      <c r="AD474">
        <v>0</v>
      </c>
      <c r="AE474">
        <v>0</v>
      </c>
      <c r="AF474">
        <v>0.53</v>
      </c>
      <c r="AG474">
        <v>0.04</v>
      </c>
      <c r="AH474">
        <v>0</v>
      </c>
      <c r="AI474">
        <v>1</v>
      </c>
      <c r="AJ474">
        <v>1</v>
      </c>
      <c r="AK474">
        <v>1</v>
      </c>
      <c r="AL474">
        <v>1</v>
      </c>
      <c r="AN474">
        <v>0</v>
      </c>
      <c r="AO474">
        <v>1</v>
      </c>
      <c r="AP474">
        <v>1</v>
      </c>
      <c r="AQ474">
        <v>0</v>
      </c>
      <c r="AR474">
        <v>0</v>
      </c>
      <c r="AS474" t="s">
        <v>3</v>
      </c>
      <c r="AT474">
        <v>0.1</v>
      </c>
      <c r="AU474" t="s">
        <v>86</v>
      </c>
      <c r="AV474">
        <v>0</v>
      </c>
      <c r="AW474">
        <v>2</v>
      </c>
      <c r="AX474">
        <v>129763754</v>
      </c>
      <c r="AY474">
        <v>1</v>
      </c>
      <c r="AZ474">
        <v>0</v>
      </c>
      <c r="BA474">
        <v>480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CX474">
        <f>ROUND(Y474*Source!I510,9)</f>
        <v>5.7999999999999996E-3</v>
      </c>
      <c r="CY474">
        <f t="shared" si="198"/>
        <v>0.53</v>
      </c>
      <c r="CZ474">
        <f t="shared" si="199"/>
        <v>0.53</v>
      </c>
      <c r="DA474">
        <f t="shared" si="200"/>
        <v>1</v>
      </c>
      <c r="DB474">
        <f t="shared" si="201"/>
        <v>6.25E-2</v>
      </c>
      <c r="DC474">
        <f t="shared" si="202"/>
        <v>0</v>
      </c>
      <c r="DD474" t="s">
        <v>3</v>
      </c>
      <c r="DE474" t="s">
        <v>3</v>
      </c>
      <c r="DF474">
        <f t="shared" si="196"/>
        <v>0</v>
      </c>
      <c r="DG474">
        <f t="shared" si="194"/>
        <v>0</v>
      </c>
      <c r="DH474">
        <f t="shared" si="195"/>
        <v>0</v>
      </c>
      <c r="DI474">
        <f t="shared" si="190"/>
        <v>0</v>
      </c>
      <c r="DJ474">
        <f t="shared" si="203"/>
        <v>0</v>
      </c>
      <c r="DK474">
        <v>0</v>
      </c>
    </row>
    <row r="475" spans="1:115" x14ac:dyDescent="0.2">
      <c r="A475">
        <f>ROW(Source!A510)</f>
        <v>510</v>
      </c>
      <c r="B475">
        <v>129761636</v>
      </c>
      <c r="C475">
        <v>129763732</v>
      </c>
      <c r="D475">
        <v>37417692</v>
      </c>
      <c r="E475">
        <v>1</v>
      </c>
      <c r="F475">
        <v>1</v>
      </c>
      <c r="G475">
        <v>37345137</v>
      </c>
      <c r="H475">
        <v>2</v>
      </c>
      <c r="I475" t="s">
        <v>1127</v>
      </c>
      <c r="J475" t="s">
        <v>1128</v>
      </c>
      <c r="K475" t="s">
        <v>1129</v>
      </c>
      <c r="L475">
        <v>1367</v>
      </c>
      <c r="N475">
        <v>1011</v>
      </c>
      <c r="O475" t="s">
        <v>1102</v>
      </c>
      <c r="P475" t="s">
        <v>1102</v>
      </c>
      <c r="Q475">
        <v>1</v>
      </c>
      <c r="W475">
        <v>0</v>
      </c>
      <c r="X475">
        <v>-266174272</v>
      </c>
      <c r="Y475">
        <f t="shared" si="197"/>
        <v>1.125</v>
      </c>
      <c r="AA475">
        <v>0</v>
      </c>
      <c r="AB475">
        <v>190.93</v>
      </c>
      <c r="AC475">
        <v>18.149999999999999</v>
      </c>
      <c r="AD475">
        <v>0</v>
      </c>
      <c r="AE475">
        <v>0</v>
      </c>
      <c r="AF475">
        <v>190.93</v>
      </c>
      <c r="AG475">
        <v>18.149999999999999</v>
      </c>
      <c r="AH475">
        <v>0</v>
      </c>
      <c r="AI475">
        <v>1</v>
      </c>
      <c r="AJ475">
        <v>1</v>
      </c>
      <c r="AK475">
        <v>1</v>
      </c>
      <c r="AL475">
        <v>1</v>
      </c>
      <c r="AN475">
        <v>0</v>
      </c>
      <c r="AO475">
        <v>1</v>
      </c>
      <c r="AP475">
        <v>1</v>
      </c>
      <c r="AQ475">
        <v>0</v>
      </c>
      <c r="AR475">
        <v>0</v>
      </c>
      <c r="AS475" t="s">
        <v>3</v>
      </c>
      <c r="AT475">
        <v>0.9</v>
      </c>
      <c r="AU475" t="s">
        <v>86</v>
      </c>
      <c r="AV475">
        <v>0</v>
      </c>
      <c r="AW475">
        <v>2</v>
      </c>
      <c r="AX475">
        <v>129763753</v>
      </c>
      <c r="AY475">
        <v>1</v>
      </c>
      <c r="AZ475">
        <v>0</v>
      </c>
      <c r="BA475">
        <v>481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CX475">
        <f>ROUND(Y475*Source!I510,9)</f>
        <v>5.2200000000000003E-2</v>
      </c>
      <c r="CY475">
        <f t="shared" si="198"/>
        <v>190.93</v>
      </c>
      <c r="CZ475">
        <f t="shared" si="199"/>
        <v>190.93</v>
      </c>
      <c r="DA475">
        <f t="shared" si="200"/>
        <v>1</v>
      </c>
      <c r="DB475">
        <f t="shared" si="201"/>
        <v>214.8</v>
      </c>
      <c r="DC475">
        <f t="shared" si="202"/>
        <v>20.425000000000001</v>
      </c>
      <c r="DD475" t="s">
        <v>3</v>
      </c>
      <c r="DE475" t="s">
        <v>3</v>
      </c>
      <c r="DF475">
        <f t="shared" si="196"/>
        <v>0</v>
      </c>
      <c r="DG475">
        <f t="shared" si="194"/>
        <v>9.9700000000000006</v>
      </c>
      <c r="DH475">
        <f t="shared" si="195"/>
        <v>0.95</v>
      </c>
      <c r="DI475">
        <f t="shared" si="190"/>
        <v>0</v>
      </c>
      <c r="DJ475">
        <f t="shared" si="203"/>
        <v>9.9700000000000006</v>
      </c>
      <c r="DK475">
        <v>0</v>
      </c>
    </row>
    <row r="476" spans="1:115" x14ac:dyDescent="0.2">
      <c r="A476">
        <f>ROW(Source!A510)</f>
        <v>510</v>
      </c>
      <c r="B476">
        <v>129761636</v>
      </c>
      <c r="C476">
        <v>129763732</v>
      </c>
      <c r="D476">
        <v>37417785</v>
      </c>
      <c r="E476">
        <v>1</v>
      </c>
      <c r="F476">
        <v>1</v>
      </c>
      <c r="G476">
        <v>37345137</v>
      </c>
      <c r="H476">
        <v>2</v>
      </c>
      <c r="I476" t="s">
        <v>1309</v>
      </c>
      <c r="J476" t="s">
        <v>1310</v>
      </c>
      <c r="K476" t="s">
        <v>1311</v>
      </c>
      <c r="L476">
        <v>1367</v>
      </c>
      <c r="N476">
        <v>1011</v>
      </c>
      <c r="O476" t="s">
        <v>1102</v>
      </c>
      <c r="P476" t="s">
        <v>1102</v>
      </c>
      <c r="Q476">
        <v>1</v>
      </c>
      <c r="W476">
        <v>0</v>
      </c>
      <c r="X476">
        <v>482200787</v>
      </c>
      <c r="Y476">
        <f t="shared" si="197"/>
        <v>0.3125</v>
      </c>
      <c r="AA476">
        <v>0</v>
      </c>
      <c r="AB476">
        <v>73</v>
      </c>
      <c r="AC476">
        <v>16.899999999999999</v>
      </c>
      <c r="AD476">
        <v>0</v>
      </c>
      <c r="AE476">
        <v>0</v>
      </c>
      <c r="AF476">
        <v>73</v>
      </c>
      <c r="AG476">
        <v>16.899999999999999</v>
      </c>
      <c r="AH476">
        <v>0</v>
      </c>
      <c r="AI476">
        <v>1</v>
      </c>
      <c r="AJ476">
        <v>1</v>
      </c>
      <c r="AK476">
        <v>1</v>
      </c>
      <c r="AL476">
        <v>1</v>
      </c>
      <c r="AN476">
        <v>0</v>
      </c>
      <c r="AO476">
        <v>1</v>
      </c>
      <c r="AP476">
        <v>1</v>
      </c>
      <c r="AQ476">
        <v>0</v>
      </c>
      <c r="AR476">
        <v>0</v>
      </c>
      <c r="AS476" t="s">
        <v>3</v>
      </c>
      <c r="AT476">
        <v>0.25</v>
      </c>
      <c r="AU476" t="s">
        <v>86</v>
      </c>
      <c r="AV476">
        <v>0</v>
      </c>
      <c r="AW476">
        <v>2</v>
      </c>
      <c r="AX476">
        <v>129763755</v>
      </c>
      <c r="AY476">
        <v>1</v>
      </c>
      <c r="AZ476">
        <v>0</v>
      </c>
      <c r="BA476">
        <v>482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CX476">
        <f>ROUND(Y476*Source!I510,9)</f>
        <v>1.4500000000000001E-2</v>
      </c>
      <c r="CY476">
        <f t="shared" si="198"/>
        <v>73</v>
      </c>
      <c r="CZ476">
        <f t="shared" si="199"/>
        <v>73</v>
      </c>
      <c r="DA476">
        <f t="shared" si="200"/>
        <v>1</v>
      </c>
      <c r="DB476">
        <f t="shared" si="201"/>
        <v>22.8125</v>
      </c>
      <c r="DC476">
        <f t="shared" si="202"/>
        <v>5.2874999999999996</v>
      </c>
      <c r="DD476" t="s">
        <v>3</v>
      </c>
      <c r="DE476" t="s">
        <v>3</v>
      </c>
      <c r="DF476">
        <f t="shared" si="196"/>
        <v>0</v>
      </c>
      <c r="DG476">
        <f t="shared" si="194"/>
        <v>1.06</v>
      </c>
      <c r="DH476">
        <f t="shared" si="195"/>
        <v>0.25</v>
      </c>
      <c r="DI476">
        <f t="shared" si="190"/>
        <v>0</v>
      </c>
      <c r="DJ476">
        <f t="shared" si="203"/>
        <v>1.06</v>
      </c>
      <c r="DK476">
        <v>0</v>
      </c>
    </row>
    <row r="477" spans="1:115" x14ac:dyDescent="0.2">
      <c r="A477">
        <f>ROW(Source!A510)</f>
        <v>510</v>
      </c>
      <c r="B477">
        <v>129761636</v>
      </c>
      <c r="C477">
        <v>129763732</v>
      </c>
      <c r="D477">
        <v>37417976</v>
      </c>
      <c r="E477">
        <v>1</v>
      </c>
      <c r="F477">
        <v>1</v>
      </c>
      <c r="G477">
        <v>37345137</v>
      </c>
      <c r="H477">
        <v>2</v>
      </c>
      <c r="I477" t="s">
        <v>1312</v>
      </c>
      <c r="J477" t="s">
        <v>1313</v>
      </c>
      <c r="K477" t="s">
        <v>1314</v>
      </c>
      <c r="L477">
        <v>1367</v>
      </c>
      <c r="N477">
        <v>1011</v>
      </c>
      <c r="O477" t="s">
        <v>1102</v>
      </c>
      <c r="P477" t="s">
        <v>1102</v>
      </c>
      <c r="Q477">
        <v>1</v>
      </c>
      <c r="W477">
        <v>0</v>
      </c>
      <c r="X477">
        <v>1059521099</v>
      </c>
      <c r="Y477">
        <f t="shared" si="197"/>
        <v>11.25</v>
      </c>
      <c r="AA477">
        <v>0</v>
      </c>
      <c r="AB477">
        <v>2.06</v>
      </c>
      <c r="AC477">
        <v>0.09</v>
      </c>
      <c r="AD477">
        <v>0</v>
      </c>
      <c r="AE477">
        <v>0</v>
      </c>
      <c r="AF477">
        <v>2.06</v>
      </c>
      <c r="AG477">
        <v>0.09</v>
      </c>
      <c r="AH477">
        <v>0</v>
      </c>
      <c r="AI477">
        <v>1</v>
      </c>
      <c r="AJ477">
        <v>1</v>
      </c>
      <c r="AK477">
        <v>1</v>
      </c>
      <c r="AL477">
        <v>1</v>
      </c>
      <c r="AN477">
        <v>0</v>
      </c>
      <c r="AO477">
        <v>1</v>
      </c>
      <c r="AP477">
        <v>1</v>
      </c>
      <c r="AQ477">
        <v>0</v>
      </c>
      <c r="AR477">
        <v>0</v>
      </c>
      <c r="AS477" t="s">
        <v>3</v>
      </c>
      <c r="AT477">
        <v>9</v>
      </c>
      <c r="AU477" t="s">
        <v>86</v>
      </c>
      <c r="AV477">
        <v>0</v>
      </c>
      <c r="AW477">
        <v>2</v>
      </c>
      <c r="AX477">
        <v>129763756</v>
      </c>
      <c r="AY477">
        <v>1</v>
      </c>
      <c r="AZ477">
        <v>0</v>
      </c>
      <c r="BA477">
        <v>483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CX477">
        <f>ROUND(Y477*Source!I510,9)</f>
        <v>0.52200000000000002</v>
      </c>
      <c r="CY477">
        <f t="shared" si="198"/>
        <v>2.06</v>
      </c>
      <c r="CZ477">
        <f t="shared" si="199"/>
        <v>2.06</v>
      </c>
      <c r="DA477">
        <f t="shared" si="200"/>
        <v>1</v>
      </c>
      <c r="DB477">
        <f t="shared" si="201"/>
        <v>23.175000000000001</v>
      </c>
      <c r="DC477">
        <f t="shared" si="202"/>
        <v>1.0125</v>
      </c>
      <c r="DD477" t="s">
        <v>3</v>
      </c>
      <c r="DE477" t="s">
        <v>3</v>
      </c>
      <c r="DF477">
        <f t="shared" si="196"/>
        <v>0</v>
      </c>
      <c r="DG477">
        <f t="shared" si="194"/>
        <v>1.08</v>
      </c>
      <c r="DH477">
        <f t="shared" si="195"/>
        <v>0.05</v>
      </c>
      <c r="DI477">
        <f t="shared" si="190"/>
        <v>0</v>
      </c>
      <c r="DJ477">
        <f t="shared" si="203"/>
        <v>1.08</v>
      </c>
      <c r="DK477">
        <v>0</v>
      </c>
    </row>
    <row r="478" spans="1:115" x14ac:dyDescent="0.2">
      <c r="A478">
        <f>ROW(Source!A510)</f>
        <v>510</v>
      </c>
      <c r="B478">
        <v>129761636</v>
      </c>
      <c r="C478">
        <v>129763732</v>
      </c>
      <c r="D478">
        <v>37393552</v>
      </c>
      <c r="E478">
        <v>1</v>
      </c>
      <c r="F478">
        <v>1</v>
      </c>
      <c r="G478">
        <v>37345137</v>
      </c>
      <c r="H478">
        <v>3</v>
      </c>
      <c r="I478" t="s">
        <v>348</v>
      </c>
      <c r="J478" t="s">
        <v>350</v>
      </c>
      <c r="K478" t="s">
        <v>349</v>
      </c>
      <c r="L478">
        <v>1339</v>
      </c>
      <c r="N478">
        <v>1007</v>
      </c>
      <c r="O478" t="s">
        <v>94</v>
      </c>
      <c r="P478" t="s">
        <v>94</v>
      </c>
      <c r="Q478">
        <v>1</v>
      </c>
      <c r="W478">
        <v>0</v>
      </c>
      <c r="X478">
        <v>-862991314</v>
      </c>
      <c r="Y478">
        <f t="shared" ref="Y478:Y487" si="204">AT478</f>
        <v>0.73</v>
      </c>
      <c r="AA478">
        <v>7.07</v>
      </c>
      <c r="AB478">
        <v>0</v>
      </c>
      <c r="AC478">
        <v>0</v>
      </c>
      <c r="AD478">
        <v>0</v>
      </c>
      <c r="AE478">
        <v>7.07</v>
      </c>
      <c r="AF478">
        <v>0</v>
      </c>
      <c r="AG478">
        <v>0</v>
      </c>
      <c r="AH478">
        <v>0</v>
      </c>
      <c r="AI478">
        <v>1</v>
      </c>
      <c r="AJ478">
        <v>1</v>
      </c>
      <c r="AK478">
        <v>1</v>
      </c>
      <c r="AL478">
        <v>1</v>
      </c>
      <c r="AN478">
        <v>0</v>
      </c>
      <c r="AO478">
        <v>1</v>
      </c>
      <c r="AP478">
        <v>0</v>
      </c>
      <c r="AQ478">
        <v>0</v>
      </c>
      <c r="AR478">
        <v>0</v>
      </c>
      <c r="AS478" t="s">
        <v>3</v>
      </c>
      <c r="AT478">
        <v>0.73</v>
      </c>
      <c r="AU478" t="s">
        <v>3</v>
      </c>
      <c r="AV478">
        <v>0</v>
      </c>
      <c r="AW478">
        <v>2</v>
      </c>
      <c r="AX478">
        <v>129763758</v>
      </c>
      <c r="AY478">
        <v>1</v>
      </c>
      <c r="AZ478">
        <v>0</v>
      </c>
      <c r="BA478">
        <v>485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CX478">
        <f>ROUND(Y478*Source!I510,9)</f>
        <v>3.3871999999999999E-2</v>
      </c>
      <c r="CY478">
        <f t="shared" ref="CY478:CY487" si="205">AA478</f>
        <v>7.07</v>
      </c>
      <c r="CZ478">
        <f t="shared" ref="CZ478:CZ487" si="206">AE478</f>
        <v>7.07</v>
      </c>
      <c r="DA478">
        <f t="shared" ref="DA478:DA487" si="207">AI478</f>
        <v>1</v>
      </c>
      <c r="DB478">
        <f t="shared" ref="DB478:DB487" si="208">ROUND(ROUND(AT478*CZ478,2),6)</f>
        <v>5.16</v>
      </c>
      <c r="DC478">
        <f t="shared" ref="DC478:DC487" si="209">ROUND(ROUND(AT478*AG478,2),6)</f>
        <v>0</v>
      </c>
      <c r="DD478" t="s">
        <v>3</v>
      </c>
      <c r="DE478" t="s">
        <v>3</v>
      </c>
      <c r="DF478">
        <f t="shared" si="196"/>
        <v>0.24</v>
      </c>
      <c r="DG478">
        <f t="shared" si="194"/>
        <v>0</v>
      </c>
      <c r="DH478">
        <f t="shared" si="195"/>
        <v>0</v>
      </c>
      <c r="DI478">
        <f t="shared" si="190"/>
        <v>0</v>
      </c>
      <c r="DJ478">
        <f t="shared" ref="DJ478:DJ487" si="210">DF478</f>
        <v>0.24</v>
      </c>
      <c r="DK478">
        <v>0</v>
      </c>
    </row>
    <row r="479" spans="1:115" x14ac:dyDescent="0.2">
      <c r="A479">
        <f>ROW(Source!A510)</f>
        <v>510</v>
      </c>
      <c r="B479">
        <v>129761636</v>
      </c>
      <c r="C479">
        <v>129763732</v>
      </c>
      <c r="D479">
        <v>37393565</v>
      </c>
      <c r="E479">
        <v>1</v>
      </c>
      <c r="F479">
        <v>1</v>
      </c>
      <c r="G479">
        <v>37345137</v>
      </c>
      <c r="H479">
        <v>3</v>
      </c>
      <c r="I479" t="s">
        <v>1198</v>
      </c>
      <c r="J479" t="s">
        <v>1199</v>
      </c>
      <c r="K479" t="s">
        <v>1200</v>
      </c>
      <c r="L479">
        <v>1348</v>
      </c>
      <c r="N479">
        <v>1009</v>
      </c>
      <c r="O479" t="s">
        <v>114</v>
      </c>
      <c r="P479" t="s">
        <v>114</v>
      </c>
      <c r="Q479">
        <v>1000</v>
      </c>
      <c r="W479">
        <v>0</v>
      </c>
      <c r="X479">
        <v>563176784</v>
      </c>
      <c r="Y479">
        <f t="shared" si="204"/>
        <v>2E-3</v>
      </c>
      <c r="AA479">
        <v>6521.42</v>
      </c>
      <c r="AB479">
        <v>0</v>
      </c>
      <c r="AC479">
        <v>0</v>
      </c>
      <c r="AD479">
        <v>0</v>
      </c>
      <c r="AE479">
        <v>6521.42</v>
      </c>
      <c r="AF479">
        <v>0</v>
      </c>
      <c r="AG479">
        <v>0</v>
      </c>
      <c r="AH479">
        <v>0</v>
      </c>
      <c r="AI479">
        <v>1</v>
      </c>
      <c r="AJ479">
        <v>1</v>
      </c>
      <c r="AK479">
        <v>1</v>
      </c>
      <c r="AL479">
        <v>1</v>
      </c>
      <c r="AN479">
        <v>0</v>
      </c>
      <c r="AO479">
        <v>1</v>
      </c>
      <c r="AP479">
        <v>0</v>
      </c>
      <c r="AQ479">
        <v>0</v>
      </c>
      <c r="AR479">
        <v>0</v>
      </c>
      <c r="AS479" t="s">
        <v>3</v>
      </c>
      <c r="AT479">
        <v>2E-3</v>
      </c>
      <c r="AU479" t="s">
        <v>3</v>
      </c>
      <c r="AV479">
        <v>0</v>
      </c>
      <c r="AW479">
        <v>2</v>
      </c>
      <c r="AX479">
        <v>129763759</v>
      </c>
      <c r="AY479">
        <v>1</v>
      </c>
      <c r="AZ479">
        <v>0</v>
      </c>
      <c r="BA479">
        <v>486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CX479">
        <f>ROUND(Y479*Source!I510,9)</f>
        <v>9.2800000000000006E-5</v>
      </c>
      <c r="CY479">
        <f t="shared" si="205"/>
        <v>6521.42</v>
      </c>
      <c r="CZ479">
        <f t="shared" si="206"/>
        <v>6521.42</v>
      </c>
      <c r="DA479">
        <f t="shared" si="207"/>
        <v>1</v>
      </c>
      <c r="DB479">
        <f t="shared" si="208"/>
        <v>13.04</v>
      </c>
      <c r="DC479">
        <f t="shared" si="209"/>
        <v>0</v>
      </c>
      <c r="DD479" t="s">
        <v>3</v>
      </c>
      <c r="DE479" t="s">
        <v>3</v>
      </c>
      <c r="DF479">
        <f t="shared" si="196"/>
        <v>0.61</v>
      </c>
      <c r="DG479">
        <f t="shared" si="194"/>
        <v>0</v>
      </c>
      <c r="DH479">
        <f t="shared" si="195"/>
        <v>0</v>
      </c>
      <c r="DI479">
        <f t="shared" si="190"/>
        <v>0</v>
      </c>
      <c r="DJ479">
        <f t="shared" si="210"/>
        <v>0.61</v>
      </c>
      <c r="DK479">
        <v>0</v>
      </c>
    </row>
    <row r="480" spans="1:115" x14ac:dyDescent="0.2">
      <c r="A480">
        <f>ROW(Source!A510)</f>
        <v>510</v>
      </c>
      <c r="B480">
        <v>129761636</v>
      </c>
      <c r="C480">
        <v>129763732</v>
      </c>
      <c r="D480">
        <v>37394864</v>
      </c>
      <c r="E480">
        <v>1</v>
      </c>
      <c r="F480">
        <v>1</v>
      </c>
      <c r="G480">
        <v>37345137</v>
      </c>
      <c r="H480">
        <v>3</v>
      </c>
      <c r="I480" t="s">
        <v>1147</v>
      </c>
      <c r="J480" t="s">
        <v>1148</v>
      </c>
      <c r="K480" t="s">
        <v>1149</v>
      </c>
      <c r="L480">
        <v>1348</v>
      </c>
      <c r="N480">
        <v>1009</v>
      </c>
      <c r="O480" t="s">
        <v>114</v>
      </c>
      <c r="P480" t="s">
        <v>114</v>
      </c>
      <c r="Q480">
        <v>1000</v>
      </c>
      <c r="W480">
        <v>0</v>
      </c>
      <c r="X480">
        <v>1310716689</v>
      </c>
      <c r="Y480">
        <f t="shared" si="204"/>
        <v>0.16</v>
      </c>
      <c r="AA480">
        <v>7191.81</v>
      </c>
      <c r="AB480">
        <v>0</v>
      </c>
      <c r="AC480">
        <v>0</v>
      </c>
      <c r="AD480">
        <v>0</v>
      </c>
      <c r="AE480">
        <v>7191.81</v>
      </c>
      <c r="AF480">
        <v>0</v>
      </c>
      <c r="AG480">
        <v>0</v>
      </c>
      <c r="AH480">
        <v>0</v>
      </c>
      <c r="AI480">
        <v>1</v>
      </c>
      <c r="AJ480">
        <v>1</v>
      </c>
      <c r="AK480">
        <v>1</v>
      </c>
      <c r="AL480">
        <v>1</v>
      </c>
      <c r="AN480">
        <v>0</v>
      </c>
      <c r="AO480">
        <v>1</v>
      </c>
      <c r="AP480">
        <v>0</v>
      </c>
      <c r="AQ480">
        <v>0</v>
      </c>
      <c r="AR480">
        <v>0</v>
      </c>
      <c r="AS480" t="s">
        <v>3</v>
      </c>
      <c r="AT480">
        <v>0.16</v>
      </c>
      <c r="AU480" t="s">
        <v>3</v>
      </c>
      <c r="AV480">
        <v>0</v>
      </c>
      <c r="AW480">
        <v>2</v>
      </c>
      <c r="AX480">
        <v>129763760</v>
      </c>
      <c r="AY480">
        <v>1</v>
      </c>
      <c r="AZ480">
        <v>0</v>
      </c>
      <c r="BA480">
        <v>487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CX480">
        <f>ROUND(Y480*Source!I510,9)</f>
        <v>7.424E-3</v>
      </c>
      <c r="CY480">
        <f t="shared" si="205"/>
        <v>7191.81</v>
      </c>
      <c r="CZ480">
        <f t="shared" si="206"/>
        <v>7191.81</v>
      </c>
      <c r="DA480">
        <f t="shared" si="207"/>
        <v>1</v>
      </c>
      <c r="DB480">
        <f t="shared" si="208"/>
        <v>1150.69</v>
      </c>
      <c r="DC480">
        <f t="shared" si="209"/>
        <v>0</v>
      </c>
      <c r="DD480" t="s">
        <v>3</v>
      </c>
      <c r="DE480" t="s">
        <v>3</v>
      </c>
      <c r="DF480">
        <f t="shared" si="196"/>
        <v>53.39</v>
      </c>
      <c r="DG480">
        <f t="shared" si="194"/>
        <v>0</v>
      </c>
      <c r="DH480">
        <f t="shared" si="195"/>
        <v>0</v>
      </c>
      <c r="DI480">
        <f t="shared" si="190"/>
        <v>0</v>
      </c>
      <c r="DJ480">
        <f t="shared" si="210"/>
        <v>53.39</v>
      </c>
      <c r="DK480">
        <v>0</v>
      </c>
    </row>
    <row r="481" spans="1:115" x14ac:dyDescent="0.2">
      <c r="A481">
        <f>ROW(Source!A510)</f>
        <v>510</v>
      </c>
      <c r="B481">
        <v>129761636</v>
      </c>
      <c r="C481">
        <v>129763732</v>
      </c>
      <c r="D481">
        <v>37393656</v>
      </c>
      <c r="E481">
        <v>1</v>
      </c>
      <c r="F481">
        <v>1</v>
      </c>
      <c r="G481">
        <v>37345137</v>
      </c>
      <c r="H481">
        <v>3</v>
      </c>
      <c r="I481" t="s">
        <v>1315</v>
      </c>
      <c r="J481" t="s">
        <v>1316</v>
      </c>
      <c r="K481" t="s">
        <v>1317</v>
      </c>
      <c r="L481">
        <v>1339</v>
      </c>
      <c r="N481">
        <v>1007</v>
      </c>
      <c r="O481" t="s">
        <v>94</v>
      </c>
      <c r="P481" t="s">
        <v>94</v>
      </c>
      <c r="Q481">
        <v>1</v>
      </c>
      <c r="W481">
        <v>0</v>
      </c>
      <c r="X481">
        <v>-1939393675</v>
      </c>
      <c r="Y481">
        <f t="shared" si="204"/>
        <v>0.04</v>
      </c>
      <c r="AA481">
        <v>1828.56</v>
      </c>
      <c r="AB481">
        <v>0</v>
      </c>
      <c r="AC481">
        <v>0</v>
      </c>
      <c r="AD481">
        <v>0</v>
      </c>
      <c r="AE481">
        <v>1828.56</v>
      </c>
      <c r="AF481">
        <v>0</v>
      </c>
      <c r="AG481">
        <v>0</v>
      </c>
      <c r="AH481">
        <v>0</v>
      </c>
      <c r="AI481">
        <v>1</v>
      </c>
      <c r="AJ481">
        <v>1</v>
      </c>
      <c r="AK481">
        <v>1</v>
      </c>
      <c r="AL481">
        <v>1</v>
      </c>
      <c r="AN481">
        <v>0</v>
      </c>
      <c r="AO481">
        <v>1</v>
      </c>
      <c r="AP481">
        <v>0</v>
      </c>
      <c r="AQ481">
        <v>0</v>
      </c>
      <c r="AR481">
        <v>0</v>
      </c>
      <c r="AS481" t="s">
        <v>3</v>
      </c>
      <c r="AT481">
        <v>0.04</v>
      </c>
      <c r="AU481" t="s">
        <v>3</v>
      </c>
      <c r="AV481">
        <v>0</v>
      </c>
      <c r="AW481">
        <v>2</v>
      </c>
      <c r="AX481">
        <v>129763761</v>
      </c>
      <c r="AY481">
        <v>1</v>
      </c>
      <c r="AZ481">
        <v>0</v>
      </c>
      <c r="BA481">
        <v>488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CX481">
        <f>ROUND(Y481*Source!I510,9)</f>
        <v>1.856E-3</v>
      </c>
      <c r="CY481">
        <f t="shared" si="205"/>
        <v>1828.56</v>
      </c>
      <c r="CZ481">
        <f t="shared" si="206"/>
        <v>1828.56</v>
      </c>
      <c r="DA481">
        <f t="shared" si="207"/>
        <v>1</v>
      </c>
      <c r="DB481">
        <f t="shared" si="208"/>
        <v>73.14</v>
      </c>
      <c r="DC481">
        <f t="shared" si="209"/>
        <v>0</v>
      </c>
      <c r="DD481" t="s">
        <v>3</v>
      </c>
      <c r="DE481" t="s">
        <v>3</v>
      </c>
      <c r="DF481">
        <f t="shared" si="196"/>
        <v>3.39</v>
      </c>
      <c r="DG481">
        <f t="shared" si="194"/>
        <v>0</v>
      </c>
      <c r="DH481">
        <f t="shared" si="195"/>
        <v>0</v>
      </c>
      <c r="DI481">
        <f t="shared" si="190"/>
        <v>0</v>
      </c>
      <c r="DJ481">
        <f t="shared" si="210"/>
        <v>3.39</v>
      </c>
      <c r="DK481">
        <v>0</v>
      </c>
    </row>
    <row r="482" spans="1:115" x14ac:dyDescent="0.2">
      <c r="A482">
        <f>ROW(Source!A510)</f>
        <v>510</v>
      </c>
      <c r="B482">
        <v>129761636</v>
      </c>
      <c r="C482">
        <v>129763732</v>
      </c>
      <c r="D482">
        <v>37393683</v>
      </c>
      <c r="E482">
        <v>1</v>
      </c>
      <c r="F482">
        <v>1</v>
      </c>
      <c r="G482">
        <v>37345137</v>
      </c>
      <c r="H482">
        <v>3</v>
      </c>
      <c r="I482" t="s">
        <v>1318</v>
      </c>
      <c r="J482" t="s">
        <v>1319</v>
      </c>
      <c r="K482" t="s">
        <v>1320</v>
      </c>
      <c r="L482">
        <v>1348</v>
      </c>
      <c r="N482">
        <v>1009</v>
      </c>
      <c r="O482" t="s">
        <v>114</v>
      </c>
      <c r="P482" t="s">
        <v>114</v>
      </c>
      <c r="Q482">
        <v>1000</v>
      </c>
      <c r="W482">
        <v>0</v>
      </c>
      <c r="X482">
        <v>-1753839253</v>
      </c>
      <c r="Y482">
        <f t="shared" si="204"/>
        <v>0.01</v>
      </c>
      <c r="AA482">
        <v>1260.72</v>
      </c>
      <c r="AB482">
        <v>0</v>
      </c>
      <c r="AC482">
        <v>0</v>
      </c>
      <c r="AD482">
        <v>0</v>
      </c>
      <c r="AE482">
        <v>1260.72</v>
      </c>
      <c r="AF482">
        <v>0</v>
      </c>
      <c r="AG482">
        <v>0</v>
      </c>
      <c r="AH482">
        <v>0</v>
      </c>
      <c r="AI482">
        <v>1</v>
      </c>
      <c r="AJ482">
        <v>1</v>
      </c>
      <c r="AK482">
        <v>1</v>
      </c>
      <c r="AL482">
        <v>1</v>
      </c>
      <c r="AN482">
        <v>0</v>
      </c>
      <c r="AO482">
        <v>1</v>
      </c>
      <c r="AP482">
        <v>0</v>
      </c>
      <c r="AQ482">
        <v>0</v>
      </c>
      <c r="AR482">
        <v>0</v>
      </c>
      <c r="AS482" t="s">
        <v>3</v>
      </c>
      <c r="AT482">
        <v>0.01</v>
      </c>
      <c r="AU482" t="s">
        <v>3</v>
      </c>
      <c r="AV482">
        <v>0</v>
      </c>
      <c r="AW482">
        <v>2</v>
      </c>
      <c r="AX482">
        <v>129763762</v>
      </c>
      <c r="AY482">
        <v>1</v>
      </c>
      <c r="AZ482">
        <v>0</v>
      </c>
      <c r="BA482">
        <v>489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CX482">
        <f>ROUND(Y482*Source!I510,9)</f>
        <v>4.64E-4</v>
      </c>
      <c r="CY482">
        <f t="shared" si="205"/>
        <v>1260.72</v>
      </c>
      <c r="CZ482">
        <f t="shared" si="206"/>
        <v>1260.72</v>
      </c>
      <c r="DA482">
        <f t="shared" si="207"/>
        <v>1</v>
      </c>
      <c r="DB482">
        <f t="shared" si="208"/>
        <v>12.61</v>
      </c>
      <c r="DC482">
        <f t="shared" si="209"/>
        <v>0</v>
      </c>
      <c r="DD482" t="s">
        <v>3</v>
      </c>
      <c r="DE482" t="s">
        <v>3</v>
      </c>
      <c r="DF482">
        <f t="shared" si="196"/>
        <v>0.57999999999999996</v>
      </c>
      <c r="DG482">
        <f t="shared" si="194"/>
        <v>0</v>
      </c>
      <c r="DH482">
        <f t="shared" si="195"/>
        <v>0</v>
      </c>
      <c r="DI482">
        <f t="shared" si="190"/>
        <v>0</v>
      </c>
      <c r="DJ482">
        <f t="shared" si="210"/>
        <v>0.57999999999999996</v>
      </c>
      <c r="DK482">
        <v>0</v>
      </c>
    </row>
    <row r="483" spans="1:115" x14ac:dyDescent="0.2">
      <c r="A483">
        <f>ROW(Source!A510)</f>
        <v>510</v>
      </c>
      <c r="B483">
        <v>129761636</v>
      </c>
      <c r="C483">
        <v>129763732</v>
      </c>
      <c r="D483">
        <v>37394035</v>
      </c>
      <c r="E483">
        <v>1</v>
      </c>
      <c r="F483">
        <v>1</v>
      </c>
      <c r="G483">
        <v>37345137</v>
      </c>
      <c r="H483">
        <v>3</v>
      </c>
      <c r="I483" t="s">
        <v>1321</v>
      </c>
      <c r="J483" t="s">
        <v>1322</v>
      </c>
      <c r="K483" t="s">
        <v>1323</v>
      </c>
      <c r="L483">
        <v>1327</v>
      </c>
      <c r="N483">
        <v>1005</v>
      </c>
      <c r="O483" t="s">
        <v>258</v>
      </c>
      <c r="P483" t="s">
        <v>258</v>
      </c>
      <c r="Q483">
        <v>1</v>
      </c>
      <c r="W483">
        <v>0</v>
      </c>
      <c r="X483">
        <v>-1476054991</v>
      </c>
      <c r="Y483">
        <f t="shared" si="204"/>
        <v>30</v>
      </c>
      <c r="AA483">
        <v>7.39</v>
      </c>
      <c r="AB483">
        <v>0</v>
      </c>
      <c r="AC483">
        <v>0</v>
      </c>
      <c r="AD483">
        <v>0</v>
      </c>
      <c r="AE483">
        <v>7.39</v>
      </c>
      <c r="AF483">
        <v>0</v>
      </c>
      <c r="AG483">
        <v>0</v>
      </c>
      <c r="AH483">
        <v>0</v>
      </c>
      <c r="AI483">
        <v>1</v>
      </c>
      <c r="AJ483">
        <v>1</v>
      </c>
      <c r="AK483">
        <v>1</v>
      </c>
      <c r="AL483">
        <v>1</v>
      </c>
      <c r="AN483">
        <v>0</v>
      </c>
      <c r="AO483">
        <v>1</v>
      </c>
      <c r="AP483">
        <v>0</v>
      </c>
      <c r="AQ483">
        <v>0</v>
      </c>
      <c r="AR483">
        <v>0</v>
      </c>
      <c r="AS483" t="s">
        <v>3</v>
      </c>
      <c r="AT483">
        <v>30</v>
      </c>
      <c r="AU483" t="s">
        <v>3</v>
      </c>
      <c r="AV483">
        <v>0</v>
      </c>
      <c r="AW483">
        <v>2</v>
      </c>
      <c r="AX483">
        <v>129763763</v>
      </c>
      <c r="AY483">
        <v>1</v>
      </c>
      <c r="AZ483">
        <v>0</v>
      </c>
      <c r="BA483">
        <v>490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CX483">
        <f>ROUND(Y483*Source!I510,9)</f>
        <v>1.3919999999999999</v>
      </c>
      <c r="CY483">
        <f t="shared" si="205"/>
        <v>7.39</v>
      </c>
      <c r="CZ483">
        <f t="shared" si="206"/>
        <v>7.39</v>
      </c>
      <c r="DA483">
        <f t="shared" si="207"/>
        <v>1</v>
      </c>
      <c r="DB483">
        <f t="shared" si="208"/>
        <v>221.7</v>
      </c>
      <c r="DC483">
        <f t="shared" si="209"/>
        <v>0</v>
      </c>
      <c r="DD483" t="s">
        <v>3</v>
      </c>
      <c r="DE483" t="s">
        <v>3</v>
      </c>
      <c r="DF483">
        <f t="shared" si="196"/>
        <v>10.29</v>
      </c>
      <c r="DG483">
        <f t="shared" si="194"/>
        <v>0</v>
      </c>
      <c r="DH483">
        <f t="shared" si="195"/>
        <v>0</v>
      </c>
      <c r="DI483">
        <f t="shared" si="190"/>
        <v>0</v>
      </c>
      <c r="DJ483">
        <f t="shared" si="210"/>
        <v>10.29</v>
      </c>
      <c r="DK483">
        <v>0</v>
      </c>
    </row>
    <row r="484" spans="1:115" x14ac:dyDescent="0.2">
      <c r="A484">
        <f>ROW(Source!A510)</f>
        <v>510</v>
      </c>
      <c r="B484">
        <v>129761636</v>
      </c>
      <c r="C484">
        <v>129763732</v>
      </c>
      <c r="D484">
        <v>0</v>
      </c>
      <c r="E484">
        <v>1</v>
      </c>
      <c r="F484">
        <v>1</v>
      </c>
      <c r="G484">
        <v>37345137</v>
      </c>
      <c r="H484">
        <v>3</v>
      </c>
      <c r="I484" t="s">
        <v>537</v>
      </c>
      <c r="J484" t="s">
        <v>3</v>
      </c>
      <c r="K484" t="s">
        <v>538</v>
      </c>
      <c r="L484">
        <v>1339</v>
      </c>
      <c r="N484">
        <v>1007</v>
      </c>
      <c r="O484" t="s">
        <v>94</v>
      </c>
      <c r="P484" t="s">
        <v>94</v>
      </c>
      <c r="Q484">
        <v>1</v>
      </c>
      <c r="W484">
        <v>0</v>
      </c>
      <c r="X484">
        <v>803910000</v>
      </c>
      <c r="Y484">
        <f t="shared" si="204"/>
        <v>101.50000000000001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1</v>
      </c>
      <c r="AJ484">
        <v>1</v>
      </c>
      <c r="AK484">
        <v>1</v>
      </c>
      <c r="AL484">
        <v>1</v>
      </c>
      <c r="AN484">
        <v>0</v>
      </c>
      <c r="AO484">
        <v>0</v>
      </c>
      <c r="AP484">
        <v>0</v>
      </c>
      <c r="AQ484">
        <v>0</v>
      </c>
      <c r="AR484">
        <v>0</v>
      </c>
      <c r="AS484" t="s">
        <v>3</v>
      </c>
      <c r="AT484">
        <v>101.50000000000001</v>
      </c>
      <c r="AU484" t="s">
        <v>3</v>
      </c>
      <c r="AV484">
        <v>0</v>
      </c>
      <c r="AW484">
        <v>1</v>
      </c>
      <c r="AX484">
        <v>-1</v>
      </c>
      <c r="AY484">
        <v>0</v>
      </c>
      <c r="AZ484">
        <v>0</v>
      </c>
      <c r="BA484" t="s">
        <v>3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CX484">
        <f>ROUND(Y484*Source!I510,9)</f>
        <v>4.7096</v>
      </c>
      <c r="CY484">
        <f t="shared" si="205"/>
        <v>0</v>
      </c>
      <c r="CZ484">
        <f t="shared" si="206"/>
        <v>0</v>
      </c>
      <c r="DA484">
        <f t="shared" si="207"/>
        <v>1</v>
      </c>
      <c r="DB484">
        <f t="shared" si="208"/>
        <v>0</v>
      </c>
      <c r="DC484">
        <f t="shared" si="209"/>
        <v>0</v>
      </c>
      <c r="DD484" t="s">
        <v>3</v>
      </c>
      <c r="DE484" t="s">
        <v>3</v>
      </c>
      <c r="DF484">
        <f t="shared" si="196"/>
        <v>0</v>
      </c>
      <c r="DG484">
        <f t="shared" si="194"/>
        <v>0</v>
      </c>
      <c r="DH484">
        <f t="shared" si="195"/>
        <v>0</v>
      </c>
      <c r="DI484">
        <f t="shared" si="190"/>
        <v>0</v>
      </c>
      <c r="DJ484">
        <f t="shared" si="210"/>
        <v>0</v>
      </c>
      <c r="DK484">
        <v>0</v>
      </c>
    </row>
    <row r="485" spans="1:115" x14ac:dyDescent="0.2">
      <c r="A485">
        <f>ROW(Source!A510)</f>
        <v>510</v>
      </c>
      <c r="B485">
        <v>129761636</v>
      </c>
      <c r="C485">
        <v>129763732</v>
      </c>
      <c r="D485">
        <v>0</v>
      </c>
      <c r="E485">
        <v>1</v>
      </c>
      <c r="F485">
        <v>1</v>
      </c>
      <c r="G485">
        <v>37345137</v>
      </c>
      <c r="H485">
        <v>3</v>
      </c>
      <c r="I485" t="s">
        <v>531</v>
      </c>
      <c r="J485" t="s">
        <v>3</v>
      </c>
      <c r="K485" t="s">
        <v>532</v>
      </c>
      <c r="L485">
        <v>1348</v>
      </c>
      <c r="N485">
        <v>1009</v>
      </c>
      <c r="O485" t="s">
        <v>114</v>
      </c>
      <c r="P485" t="s">
        <v>114</v>
      </c>
      <c r="Q485">
        <v>1000</v>
      </c>
      <c r="W485">
        <v>0</v>
      </c>
      <c r="X485">
        <v>-55009773</v>
      </c>
      <c r="Y485">
        <f t="shared" si="204"/>
        <v>0.31228400000000001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1</v>
      </c>
      <c r="AJ485">
        <v>1</v>
      </c>
      <c r="AK485">
        <v>1</v>
      </c>
      <c r="AL485">
        <v>1</v>
      </c>
      <c r="AN485">
        <v>0</v>
      </c>
      <c r="AO485">
        <v>0</v>
      </c>
      <c r="AP485">
        <v>0</v>
      </c>
      <c r="AQ485">
        <v>0</v>
      </c>
      <c r="AR485">
        <v>0</v>
      </c>
      <c r="AS485" t="s">
        <v>3</v>
      </c>
      <c r="AT485">
        <v>0.31228400000000001</v>
      </c>
      <c r="AU485" t="s">
        <v>3</v>
      </c>
      <c r="AV485">
        <v>0</v>
      </c>
      <c r="AW485">
        <v>1</v>
      </c>
      <c r="AX485">
        <v>-1</v>
      </c>
      <c r="AY485">
        <v>0</v>
      </c>
      <c r="AZ485">
        <v>0</v>
      </c>
      <c r="BA485" t="s">
        <v>3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CX485">
        <f>ROUND(Y485*Source!I510,9)</f>
        <v>1.4489978000000001E-2</v>
      </c>
      <c r="CY485">
        <f t="shared" si="205"/>
        <v>0</v>
      </c>
      <c r="CZ485">
        <f t="shared" si="206"/>
        <v>0</v>
      </c>
      <c r="DA485">
        <f t="shared" si="207"/>
        <v>1</v>
      </c>
      <c r="DB485">
        <f t="shared" si="208"/>
        <v>0</v>
      </c>
      <c r="DC485">
        <f t="shared" si="209"/>
        <v>0</v>
      </c>
      <c r="DD485" t="s">
        <v>3</v>
      </c>
      <c r="DE485" t="s">
        <v>3</v>
      </c>
      <c r="DF485">
        <f t="shared" si="196"/>
        <v>0</v>
      </c>
      <c r="DG485">
        <f t="shared" si="194"/>
        <v>0</v>
      </c>
      <c r="DH485">
        <f t="shared" si="195"/>
        <v>0</v>
      </c>
      <c r="DI485">
        <f t="shared" si="190"/>
        <v>0</v>
      </c>
      <c r="DJ485">
        <f t="shared" si="210"/>
        <v>0</v>
      </c>
      <c r="DK485">
        <v>0</v>
      </c>
    </row>
    <row r="486" spans="1:115" x14ac:dyDescent="0.2">
      <c r="A486">
        <f>ROW(Source!A510)</f>
        <v>510</v>
      </c>
      <c r="B486">
        <v>129761636</v>
      </c>
      <c r="C486">
        <v>129763732</v>
      </c>
      <c r="D486">
        <v>0</v>
      </c>
      <c r="E486">
        <v>1</v>
      </c>
      <c r="F486">
        <v>1</v>
      </c>
      <c r="G486">
        <v>37345137</v>
      </c>
      <c r="H486">
        <v>3</v>
      </c>
      <c r="I486" t="s">
        <v>534</v>
      </c>
      <c r="J486" t="s">
        <v>3</v>
      </c>
      <c r="K486" t="s">
        <v>535</v>
      </c>
      <c r="L486">
        <v>1348</v>
      </c>
      <c r="N486">
        <v>1009</v>
      </c>
      <c r="O486" t="s">
        <v>114</v>
      </c>
      <c r="P486" t="s">
        <v>114</v>
      </c>
      <c r="Q486">
        <v>1000</v>
      </c>
      <c r="W486">
        <v>0</v>
      </c>
      <c r="X486">
        <v>-639873665</v>
      </c>
      <c r="Y486">
        <f t="shared" si="204"/>
        <v>11.286853000000001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1</v>
      </c>
      <c r="AJ486">
        <v>1</v>
      </c>
      <c r="AK486">
        <v>1</v>
      </c>
      <c r="AL486">
        <v>1</v>
      </c>
      <c r="AN486">
        <v>0</v>
      </c>
      <c r="AO486">
        <v>0</v>
      </c>
      <c r="AP486">
        <v>0</v>
      </c>
      <c r="AQ486">
        <v>0</v>
      </c>
      <c r="AR486">
        <v>0</v>
      </c>
      <c r="AS486" t="s">
        <v>3</v>
      </c>
      <c r="AT486">
        <v>11.286853000000001</v>
      </c>
      <c r="AU486" t="s">
        <v>3</v>
      </c>
      <c r="AV486">
        <v>0</v>
      </c>
      <c r="AW486">
        <v>1</v>
      </c>
      <c r="AX486">
        <v>-1</v>
      </c>
      <c r="AY486">
        <v>0</v>
      </c>
      <c r="AZ486">
        <v>0</v>
      </c>
      <c r="BA486" t="s">
        <v>3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CX486">
        <f>ROUND(Y486*Source!I510,9)</f>
        <v>0.52370997900000005</v>
      </c>
      <c r="CY486">
        <f t="shared" si="205"/>
        <v>0</v>
      </c>
      <c r="CZ486">
        <f t="shared" si="206"/>
        <v>0</v>
      </c>
      <c r="DA486">
        <f t="shared" si="207"/>
        <v>1</v>
      </c>
      <c r="DB486">
        <f t="shared" si="208"/>
        <v>0</v>
      </c>
      <c r="DC486">
        <f t="shared" si="209"/>
        <v>0</v>
      </c>
      <c r="DD486" t="s">
        <v>3</v>
      </c>
      <c r="DE486" t="s">
        <v>3</v>
      </c>
      <c r="DF486">
        <f t="shared" si="196"/>
        <v>0</v>
      </c>
      <c r="DG486">
        <f t="shared" si="194"/>
        <v>0</v>
      </c>
      <c r="DH486">
        <f t="shared" si="195"/>
        <v>0</v>
      </c>
      <c r="DI486">
        <f t="shared" si="190"/>
        <v>0</v>
      </c>
      <c r="DJ486">
        <f t="shared" si="210"/>
        <v>0</v>
      </c>
      <c r="DK486">
        <v>0</v>
      </c>
    </row>
    <row r="487" spans="1:115" x14ac:dyDescent="0.2">
      <c r="A487">
        <f>ROW(Source!A510)</f>
        <v>510</v>
      </c>
      <c r="B487">
        <v>129761636</v>
      </c>
      <c r="C487">
        <v>129763732</v>
      </c>
      <c r="D487">
        <v>37417373</v>
      </c>
      <c r="E487">
        <v>1</v>
      </c>
      <c r="F487">
        <v>1</v>
      </c>
      <c r="G487">
        <v>37345137</v>
      </c>
      <c r="H487">
        <v>3</v>
      </c>
      <c r="I487" t="s">
        <v>1324</v>
      </c>
      <c r="J487" t="s">
        <v>1325</v>
      </c>
      <c r="K487" t="s">
        <v>1326</v>
      </c>
      <c r="L487">
        <v>1327</v>
      </c>
      <c r="N487">
        <v>1005</v>
      </c>
      <c r="O487" t="s">
        <v>258</v>
      </c>
      <c r="P487" t="s">
        <v>258</v>
      </c>
      <c r="Q487">
        <v>1</v>
      </c>
      <c r="W487">
        <v>0</v>
      </c>
      <c r="X487">
        <v>-153668504</v>
      </c>
      <c r="Y487">
        <f t="shared" si="204"/>
        <v>3.6</v>
      </c>
      <c r="AA487">
        <v>90.15</v>
      </c>
      <c r="AB487">
        <v>0</v>
      </c>
      <c r="AC487">
        <v>0</v>
      </c>
      <c r="AD487">
        <v>0</v>
      </c>
      <c r="AE487">
        <v>90.15</v>
      </c>
      <c r="AF487">
        <v>0</v>
      </c>
      <c r="AG487">
        <v>0</v>
      </c>
      <c r="AH487">
        <v>0</v>
      </c>
      <c r="AI487">
        <v>1</v>
      </c>
      <c r="AJ487">
        <v>1</v>
      </c>
      <c r="AK487">
        <v>1</v>
      </c>
      <c r="AL487">
        <v>1</v>
      </c>
      <c r="AN487">
        <v>0</v>
      </c>
      <c r="AO487">
        <v>1</v>
      </c>
      <c r="AP487">
        <v>0</v>
      </c>
      <c r="AQ487">
        <v>0</v>
      </c>
      <c r="AR487">
        <v>0</v>
      </c>
      <c r="AS487" t="s">
        <v>3</v>
      </c>
      <c r="AT487">
        <v>3.6</v>
      </c>
      <c r="AU487" t="s">
        <v>3</v>
      </c>
      <c r="AV487">
        <v>0</v>
      </c>
      <c r="AW487">
        <v>2</v>
      </c>
      <c r="AX487">
        <v>129763764</v>
      </c>
      <c r="AY487">
        <v>1</v>
      </c>
      <c r="AZ487">
        <v>0</v>
      </c>
      <c r="BA487">
        <v>491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CX487">
        <f>ROUND(Y487*Source!I510,9)</f>
        <v>0.16703999999999999</v>
      </c>
      <c r="CY487">
        <f t="shared" si="205"/>
        <v>90.15</v>
      </c>
      <c r="CZ487">
        <f t="shared" si="206"/>
        <v>90.15</v>
      </c>
      <c r="DA487">
        <f t="shared" si="207"/>
        <v>1</v>
      </c>
      <c r="DB487">
        <f t="shared" si="208"/>
        <v>324.54000000000002</v>
      </c>
      <c r="DC487">
        <f t="shared" si="209"/>
        <v>0</v>
      </c>
      <c r="DD487" t="s">
        <v>3</v>
      </c>
      <c r="DE487" t="s">
        <v>3</v>
      </c>
      <c r="DF487">
        <f t="shared" si="196"/>
        <v>15.06</v>
      </c>
      <c r="DG487">
        <f t="shared" si="194"/>
        <v>0</v>
      </c>
      <c r="DH487">
        <f t="shared" si="195"/>
        <v>0</v>
      </c>
      <c r="DI487">
        <f t="shared" si="190"/>
        <v>0</v>
      </c>
      <c r="DJ487">
        <f t="shared" si="210"/>
        <v>15.06</v>
      </c>
      <c r="DK487">
        <v>0</v>
      </c>
    </row>
    <row r="488" spans="1:115" x14ac:dyDescent="0.2">
      <c r="A488">
        <f>ROW(Source!A511)</f>
        <v>511</v>
      </c>
      <c r="B488">
        <v>129761633</v>
      </c>
      <c r="C488">
        <v>129763732</v>
      </c>
      <c r="D488">
        <v>37345142</v>
      </c>
      <c r="E488">
        <v>37345137</v>
      </c>
      <c r="F488">
        <v>1</v>
      </c>
      <c r="G488">
        <v>37345137</v>
      </c>
      <c r="H488">
        <v>1</v>
      </c>
      <c r="I488" t="s">
        <v>1096</v>
      </c>
      <c r="J488" t="s">
        <v>3</v>
      </c>
      <c r="K488" t="s">
        <v>1097</v>
      </c>
      <c r="L488">
        <v>1191</v>
      </c>
      <c r="N488">
        <v>1013</v>
      </c>
      <c r="O488" t="s">
        <v>1098</v>
      </c>
      <c r="P488" t="s">
        <v>1098</v>
      </c>
      <c r="Q488">
        <v>1</v>
      </c>
      <c r="W488">
        <v>0</v>
      </c>
      <c r="X488">
        <v>476480486</v>
      </c>
      <c r="Y488">
        <f>(AT488*1.15)</f>
        <v>205.85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1</v>
      </c>
      <c r="AJ488">
        <v>1</v>
      </c>
      <c r="AK488">
        <v>1</v>
      </c>
      <c r="AL488">
        <v>1</v>
      </c>
      <c r="AN488">
        <v>0</v>
      </c>
      <c r="AO488">
        <v>1</v>
      </c>
      <c r="AP488">
        <v>1</v>
      </c>
      <c r="AQ488">
        <v>0</v>
      </c>
      <c r="AR488">
        <v>0</v>
      </c>
      <c r="AS488" t="s">
        <v>3</v>
      </c>
      <c r="AT488">
        <v>179</v>
      </c>
      <c r="AU488" t="s">
        <v>87</v>
      </c>
      <c r="AV488">
        <v>1</v>
      </c>
      <c r="AW488">
        <v>2</v>
      </c>
      <c r="AX488">
        <v>129763750</v>
      </c>
      <c r="AY488">
        <v>1</v>
      </c>
      <c r="AZ488">
        <v>0</v>
      </c>
      <c r="BA488">
        <v>493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CX488">
        <f>ROUND(Y488*Source!I511,9)</f>
        <v>9.5514399999999995</v>
      </c>
      <c r="CY488">
        <f>AD488</f>
        <v>0</v>
      </c>
      <c r="CZ488">
        <f>AH488</f>
        <v>0</v>
      </c>
      <c r="DA488">
        <f>AL488</f>
        <v>1</v>
      </c>
      <c r="DB488">
        <f>ROUND((ROUND(AT488*CZ488,2)*1.15),6)</f>
        <v>0</v>
      </c>
      <c r="DC488">
        <f>ROUND((ROUND(AT488*AG488,2)*1.15),6)</f>
        <v>0</v>
      </c>
      <c r="DD488" t="s">
        <v>3</v>
      </c>
      <c r="DE488" t="s">
        <v>3</v>
      </c>
      <c r="DF488">
        <f t="shared" si="196"/>
        <v>0</v>
      </c>
      <c r="DG488">
        <f t="shared" si="194"/>
        <v>0</v>
      </c>
      <c r="DH488">
        <f t="shared" si="195"/>
        <v>0</v>
      </c>
      <c r="DI488">
        <f t="shared" si="190"/>
        <v>0</v>
      </c>
      <c r="DJ488">
        <f>DI488</f>
        <v>0</v>
      </c>
      <c r="DK488">
        <v>0</v>
      </c>
    </row>
    <row r="489" spans="1:115" x14ac:dyDescent="0.2">
      <c r="A489">
        <f>ROW(Source!A511)</f>
        <v>511</v>
      </c>
      <c r="B489">
        <v>129761633</v>
      </c>
      <c r="C489">
        <v>129763732</v>
      </c>
      <c r="D489">
        <v>37418162</v>
      </c>
      <c r="E489">
        <v>1</v>
      </c>
      <c r="F489">
        <v>1</v>
      </c>
      <c r="G489">
        <v>37345137</v>
      </c>
      <c r="H489">
        <v>2</v>
      </c>
      <c r="I489" t="s">
        <v>1174</v>
      </c>
      <c r="J489" t="s">
        <v>1175</v>
      </c>
      <c r="K489" t="s">
        <v>1176</v>
      </c>
      <c r="L489">
        <v>1367</v>
      </c>
      <c r="N489">
        <v>1011</v>
      </c>
      <c r="O489" t="s">
        <v>1102</v>
      </c>
      <c r="P489" t="s">
        <v>1102</v>
      </c>
      <c r="Q489">
        <v>1</v>
      </c>
      <c r="W489">
        <v>0</v>
      </c>
      <c r="X489">
        <v>49912578</v>
      </c>
      <c r="Y489">
        <f t="shared" ref="Y489:Y494" si="211">(AT489*1.25)</f>
        <v>150</v>
      </c>
      <c r="AA489">
        <v>0</v>
      </c>
      <c r="AB489">
        <v>65.87</v>
      </c>
      <c r="AC489">
        <v>0.61</v>
      </c>
      <c r="AD489">
        <v>0</v>
      </c>
      <c r="AE489">
        <v>0</v>
      </c>
      <c r="AF489">
        <v>6.15</v>
      </c>
      <c r="AG489">
        <v>0.02</v>
      </c>
      <c r="AH489">
        <v>0</v>
      </c>
      <c r="AI489">
        <v>1</v>
      </c>
      <c r="AJ489">
        <v>10.23</v>
      </c>
      <c r="AK489">
        <v>29.03</v>
      </c>
      <c r="AL489">
        <v>1</v>
      </c>
      <c r="AN489">
        <v>0</v>
      </c>
      <c r="AO489">
        <v>1</v>
      </c>
      <c r="AP489">
        <v>1</v>
      </c>
      <c r="AQ489">
        <v>0</v>
      </c>
      <c r="AR489">
        <v>0</v>
      </c>
      <c r="AS489" t="s">
        <v>3</v>
      </c>
      <c r="AT489">
        <v>120</v>
      </c>
      <c r="AU489" t="s">
        <v>86</v>
      </c>
      <c r="AV489">
        <v>0</v>
      </c>
      <c r="AW489">
        <v>2</v>
      </c>
      <c r="AX489">
        <v>129763751</v>
      </c>
      <c r="AY489">
        <v>1</v>
      </c>
      <c r="AZ489">
        <v>0</v>
      </c>
      <c r="BA489">
        <v>494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CX489">
        <f>ROUND(Y489*Source!I511,9)</f>
        <v>6.96</v>
      </c>
      <c r="CY489">
        <f t="shared" ref="CY489:CY494" si="212">AB489</f>
        <v>65.87</v>
      </c>
      <c r="CZ489">
        <f t="shared" ref="CZ489:CZ494" si="213">AF489</f>
        <v>6.15</v>
      </c>
      <c r="DA489">
        <f t="shared" ref="DA489:DA494" si="214">AJ489</f>
        <v>10.23</v>
      </c>
      <c r="DB489">
        <f t="shared" ref="DB489:DB494" si="215">ROUND((ROUND(AT489*CZ489,2)*1.25),6)</f>
        <v>922.5</v>
      </c>
      <c r="DC489">
        <f t="shared" ref="DC489:DC494" si="216">ROUND((ROUND(AT489*AG489,2)*1.25),6)</f>
        <v>3</v>
      </c>
      <c r="DD489" t="s">
        <v>3</v>
      </c>
      <c r="DE489" t="s">
        <v>3</v>
      </c>
      <c r="DF489">
        <f t="shared" si="196"/>
        <v>0</v>
      </c>
      <c r="DG489">
        <f>ROUND(ROUND(AF489*CX489,2)*AJ489,2)</f>
        <v>437.84</v>
      </c>
      <c r="DH489">
        <f>ROUND(ROUND(AG489*CX489,2)*AK489,2)</f>
        <v>4.0599999999999996</v>
      </c>
      <c r="DI489">
        <f t="shared" si="190"/>
        <v>0</v>
      </c>
      <c r="DJ489">
        <f t="shared" ref="DJ489:DJ494" si="217">DG489</f>
        <v>437.84</v>
      </c>
      <c r="DK489">
        <v>0</v>
      </c>
    </row>
    <row r="490" spans="1:115" x14ac:dyDescent="0.2">
      <c r="A490">
        <f>ROW(Source!A511)</f>
        <v>511</v>
      </c>
      <c r="B490">
        <v>129761633</v>
      </c>
      <c r="C490">
        <v>129763732</v>
      </c>
      <c r="D490">
        <v>37418445</v>
      </c>
      <c r="E490">
        <v>1</v>
      </c>
      <c r="F490">
        <v>1</v>
      </c>
      <c r="G490">
        <v>37345137</v>
      </c>
      <c r="H490">
        <v>2</v>
      </c>
      <c r="I490" t="s">
        <v>1189</v>
      </c>
      <c r="J490" t="s">
        <v>1190</v>
      </c>
      <c r="K490" t="s">
        <v>1191</v>
      </c>
      <c r="L490">
        <v>1367</v>
      </c>
      <c r="N490">
        <v>1011</v>
      </c>
      <c r="O490" t="s">
        <v>1102</v>
      </c>
      <c r="P490" t="s">
        <v>1102</v>
      </c>
      <c r="Q490">
        <v>1</v>
      </c>
      <c r="W490">
        <v>0</v>
      </c>
      <c r="X490">
        <v>-628430174</v>
      </c>
      <c r="Y490">
        <f t="shared" si="211"/>
        <v>1.6875</v>
      </c>
      <c r="AA490">
        <v>0</v>
      </c>
      <c r="AB490">
        <v>918.4</v>
      </c>
      <c r="AC490">
        <v>436.46</v>
      </c>
      <c r="AD490">
        <v>0</v>
      </c>
      <c r="AE490">
        <v>0</v>
      </c>
      <c r="AF490">
        <v>76.81</v>
      </c>
      <c r="AG490">
        <v>14.36</v>
      </c>
      <c r="AH490">
        <v>0</v>
      </c>
      <c r="AI490">
        <v>1</v>
      </c>
      <c r="AJ490">
        <v>11.42</v>
      </c>
      <c r="AK490">
        <v>29.03</v>
      </c>
      <c r="AL490">
        <v>1</v>
      </c>
      <c r="AN490">
        <v>0</v>
      </c>
      <c r="AO490">
        <v>1</v>
      </c>
      <c r="AP490">
        <v>1</v>
      </c>
      <c r="AQ490">
        <v>0</v>
      </c>
      <c r="AR490">
        <v>0</v>
      </c>
      <c r="AS490" t="s">
        <v>3</v>
      </c>
      <c r="AT490">
        <v>1.35</v>
      </c>
      <c r="AU490" t="s">
        <v>86</v>
      </c>
      <c r="AV490">
        <v>0</v>
      </c>
      <c r="AW490">
        <v>2</v>
      </c>
      <c r="AX490">
        <v>129763752</v>
      </c>
      <c r="AY490">
        <v>1</v>
      </c>
      <c r="AZ490">
        <v>0</v>
      </c>
      <c r="BA490">
        <v>495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CX490">
        <f>ROUND(Y490*Source!I511,9)</f>
        <v>7.8299999999999995E-2</v>
      </c>
      <c r="CY490">
        <f t="shared" si="212"/>
        <v>918.4</v>
      </c>
      <c r="CZ490">
        <f t="shared" si="213"/>
        <v>76.81</v>
      </c>
      <c r="DA490">
        <f t="shared" si="214"/>
        <v>11.42</v>
      </c>
      <c r="DB490">
        <f t="shared" si="215"/>
        <v>129.61250000000001</v>
      </c>
      <c r="DC490">
        <f t="shared" si="216"/>
        <v>24.237500000000001</v>
      </c>
      <c r="DD490" t="s">
        <v>3</v>
      </c>
      <c r="DE490" t="s">
        <v>3</v>
      </c>
      <c r="DF490">
        <f t="shared" si="196"/>
        <v>0</v>
      </c>
      <c r="DG490">
        <f>ROUND(ROUND(AF490*CX490,2)*AJ490,2)</f>
        <v>68.63</v>
      </c>
      <c r="DH490">
        <f>ROUND(ROUND(AG490*CX490,2)*AK490,2)</f>
        <v>32.51</v>
      </c>
      <c r="DI490">
        <f t="shared" si="190"/>
        <v>0</v>
      </c>
      <c r="DJ490">
        <f t="shared" si="217"/>
        <v>68.63</v>
      </c>
      <c r="DK490">
        <v>0</v>
      </c>
    </row>
    <row r="491" spans="1:115" x14ac:dyDescent="0.2">
      <c r="A491">
        <f>ROW(Source!A511)</f>
        <v>511</v>
      </c>
      <c r="B491">
        <v>129761633</v>
      </c>
      <c r="C491">
        <v>129763732</v>
      </c>
      <c r="D491">
        <v>37418498</v>
      </c>
      <c r="E491">
        <v>1</v>
      </c>
      <c r="F491">
        <v>1</v>
      </c>
      <c r="G491">
        <v>37345137</v>
      </c>
      <c r="H491">
        <v>2</v>
      </c>
      <c r="I491" t="s">
        <v>1306</v>
      </c>
      <c r="J491" t="s">
        <v>1307</v>
      </c>
      <c r="K491" t="s">
        <v>1308</v>
      </c>
      <c r="L491">
        <v>1367</v>
      </c>
      <c r="N491">
        <v>1011</v>
      </c>
      <c r="O491" t="s">
        <v>1102</v>
      </c>
      <c r="P491" t="s">
        <v>1102</v>
      </c>
      <c r="Q491">
        <v>1</v>
      </c>
      <c r="W491">
        <v>0</v>
      </c>
      <c r="X491">
        <v>1189541023</v>
      </c>
      <c r="Y491">
        <f t="shared" si="211"/>
        <v>0.125</v>
      </c>
      <c r="AA491">
        <v>0</v>
      </c>
      <c r="AB491">
        <v>0.55000000000000004</v>
      </c>
      <c r="AC491">
        <v>0.04</v>
      </c>
      <c r="AD491">
        <v>0</v>
      </c>
      <c r="AE491">
        <v>0</v>
      </c>
      <c r="AF491">
        <v>0.53</v>
      </c>
      <c r="AG491">
        <v>0.04</v>
      </c>
      <c r="AH491">
        <v>0</v>
      </c>
      <c r="AI491">
        <v>1</v>
      </c>
      <c r="AJ491">
        <v>1</v>
      </c>
      <c r="AK491">
        <v>1</v>
      </c>
      <c r="AL491">
        <v>1</v>
      </c>
      <c r="AN491">
        <v>0</v>
      </c>
      <c r="AO491">
        <v>1</v>
      </c>
      <c r="AP491">
        <v>1</v>
      </c>
      <c r="AQ491">
        <v>0</v>
      </c>
      <c r="AR491">
        <v>0</v>
      </c>
      <c r="AS491" t="s">
        <v>3</v>
      </c>
      <c r="AT491">
        <v>0.1</v>
      </c>
      <c r="AU491" t="s">
        <v>86</v>
      </c>
      <c r="AV491">
        <v>0</v>
      </c>
      <c r="AW491">
        <v>2</v>
      </c>
      <c r="AX491">
        <v>129763754</v>
      </c>
      <c r="AY491">
        <v>1</v>
      </c>
      <c r="AZ491">
        <v>0</v>
      </c>
      <c r="BA491">
        <v>496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CX491">
        <f>ROUND(Y491*Source!I511,9)</f>
        <v>5.7999999999999996E-3</v>
      </c>
      <c r="CY491">
        <f t="shared" si="212"/>
        <v>0.55000000000000004</v>
      </c>
      <c r="CZ491">
        <f t="shared" si="213"/>
        <v>0.53</v>
      </c>
      <c r="DA491">
        <f t="shared" si="214"/>
        <v>1</v>
      </c>
      <c r="DB491">
        <f t="shared" si="215"/>
        <v>6.25E-2</v>
      </c>
      <c r="DC491">
        <f t="shared" si="216"/>
        <v>0</v>
      </c>
      <c r="DD491" t="s">
        <v>3</v>
      </c>
      <c r="DE491" t="s">
        <v>3</v>
      </c>
      <c r="DF491">
        <f t="shared" si="196"/>
        <v>0</v>
      </c>
      <c r="DG491">
        <f>ROUND(AF491*CX491,2)</f>
        <v>0</v>
      </c>
      <c r="DH491">
        <f>ROUND(AG491*CX491,2)</f>
        <v>0</v>
      </c>
      <c r="DI491">
        <f t="shared" si="190"/>
        <v>0</v>
      </c>
      <c r="DJ491">
        <f t="shared" si="217"/>
        <v>0</v>
      </c>
      <c r="DK491">
        <v>0</v>
      </c>
    </row>
    <row r="492" spans="1:115" x14ac:dyDescent="0.2">
      <c r="A492">
        <f>ROW(Source!A511)</f>
        <v>511</v>
      </c>
      <c r="B492">
        <v>129761633</v>
      </c>
      <c r="C492">
        <v>129763732</v>
      </c>
      <c r="D492">
        <v>37417692</v>
      </c>
      <c r="E492">
        <v>1</v>
      </c>
      <c r="F492">
        <v>1</v>
      </c>
      <c r="G492">
        <v>37345137</v>
      </c>
      <c r="H492">
        <v>2</v>
      </c>
      <c r="I492" t="s">
        <v>1127</v>
      </c>
      <c r="J492" t="s">
        <v>1128</v>
      </c>
      <c r="K492" t="s">
        <v>1129</v>
      </c>
      <c r="L492">
        <v>1367</v>
      </c>
      <c r="N492">
        <v>1011</v>
      </c>
      <c r="O492" t="s">
        <v>1102</v>
      </c>
      <c r="P492" t="s">
        <v>1102</v>
      </c>
      <c r="Q492">
        <v>1</v>
      </c>
      <c r="W492">
        <v>0</v>
      </c>
      <c r="X492">
        <v>-266174272</v>
      </c>
      <c r="Y492">
        <f t="shared" si="211"/>
        <v>1.125</v>
      </c>
      <c r="AA492">
        <v>0</v>
      </c>
      <c r="AB492">
        <v>2059.0100000000002</v>
      </c>
      <c r="AC492">
        <v>551.66</v>
      </c>
      <c r="AD492">
        <v>0</v>
      </c>
      <c r="AE492">
        <v>0</v>
      </c>
      <c r="AF492">
        <v>190.93</v>
      </c>
      <c r="AG492">
        <v>18.149999999999999</v>
      </c>
      <c r="AH492">
        <v>0</v>
      </c>
      <c r="AI492">
        <v>1</v>
      </c>
      <c r="AJ492">
        <v>10.3</v>
      </c>
      <c r="AK492">
        <v>29.03</v>
      </c>
      <c r="AL492">
        <v>1</v>
      </c>
      <c r="AN492">
        <v>0</v>
      </c>
      <c r="AO492">
        <v>1</v>
      </c>
      <c r="AP492">
        <v>1</v>
      </c>
      <c r="AQ492">
        <v>0</v>
      </c>
      <c r="AR492">
        <v>0</v>
      </c>
      <c r="AS492" t="s">
        <v>3</v>
      </c>
      <c r="AT492">
        <v>0.9</v>
      </c>
      <c r="AU492" t="s">
        <v>86</v>
      </c>
      <c r="AV492">
        <v>0</v>
      </c>
      <c r="AW492">
        <v>2</v>
      </c>
      <c r="AX492">
        <v>129763753</v>
      </c>
      <c r="AY492">
        <v>1</v>
      </c>
      <c r="AZ492">
        <v>0</v>
      </c>
      <c r="BA492">
        <v>497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CX492">
        <f>ROUND(Y492*Source!I511,9)</f>
        <v>5.2200000000000003E-2</v>
      </c>
      <c r="CY492">
        <f t="shared" si="212"/>
        <v>2059.0100000000002</v>
      </c>
      <c r="CZ492">
        <f t="shared" si="213"/>
        <v>190.93</v>
      </c>
      <c r="DA492">
        <f t="shared" si="214"/>
        <v>10.3</v>
      </c>
      <c r="DB492">
        <f t="shared" si="215"/>
        <v>214.8</v>
      </c>
      <c r="DC492">
        <f t="shared" si="216"/>
        <v>20.425000000000001</v>
      </c>
      <c r="DD492" t="s">
        <v>3</v>
      </c>
      <c r="DE492" t="s">
        <v>3</v>
      </c>
      <c r="DF492">
        <f t="shared" si="196"/>
        <v>0</v>
      </c>
      <c r="DG492">
        <f>ROUND(ROUND(AF492*CX492,2)*AJ492,2)</f>
        <v>102.69</v>
      </c>
      <c r="DH492">
        <f>ROUND(ROUND(AG492*CX492,2)*AK492,2)</f>
        <v>27.58</v>
      </c>
      <c r="DI492">
        <f t="shared" si="190"/>
        <v>0</v>
      </c>
      <c r="DJ492">
        <f t="shared" si="217"/>
        <v>102.69</v>
      </c>
      <c r="DK492">
        <v>0</v>
      </c>
    </row>
    <row r="493" spans="1:115" x14ac:dyDescent="0.2">
      <c r="A493">
        <f>ROW(Source!A511)</f>
        <v>511</v>
      </c>
      <c r="B493">
        <v>129761633</v>
      </c>
      <c r="C493">
        <v>129763732</v>
      </c>
      <c r="D493">
        <v>37417785</v>
      </c>
      <c r="E493">
        <v>1</v>
      </c>
      <c r="F493">
        <v>1</v>
      </c>
      <c r="G493">
        <v>37345137</v>
      </c>
      <c r="H493">
        <v>2</v>
      </c>
      <c r="I493" t="s">
        <v>1309</v>
      </c>
      <c r="J493" t="s">
        <v>1310</v>
      </c>
      <c r="K493" t="s">
        <v>1311</v>
      </c>
      <c r="L493">
        <v>1367</v>
      </c>
      <c r="N493">
        <v>1011</v>
      </c>
      <c r="O493" t="s">
        <v>1102</v>
      </c>
      <c r="P493" t="s">
        <v>1102</v>
      </c>
      <c r="Q493">
        <v>1</v>
      </c>
      <c r="W493">
        <v>0</v>
      </c>
      <c r="X493">
        <v>482200787</v>
      </c>
      <c r="Y493">
        <f t="shared" si="211"/>
        <v>0.3125</v>
      </c>
      <c r="AA493">
        <v>0</v>
      </c>
      <c r="AB493">
        <v>865.2</v>
      </c>
      <c r="AC493">
        <v>513.66999999999996</v>
      </c>
      <c r="AD493">
        <v>0</v>
      </c>
      <c r="AE493">
        <v>0</v>
      </c>
      <c r="AF493">
        <v>73</v>
      </c>
      <c r="AG493">
        <v>16.899999999999999</v>
      </c>
      <c r="AH493">
        <v>0</v>
      </c>
      <c r="AI493">
        <v>1</v>
      </c>
      <c r="AJ493">
        <v>11.32</v>
      </c>
      <c r="AK493">
        <v>29.03</v>
      </c>
      <c r="AL493">
        <v>1</v>
      </c>
      <c r="AN493">
        <v>0</v>
      </c>
      <c r="AO493">
        <v>1</v>
      </c>
      <c r="AP493">
        <v>1</v>
      </c>
      <c r="AQ493">
        <v>0</v>
      </c>
      <c r="AR493">
        <v>0</v>
      </c>
      <c r="AS493" t="s">
        <v>3</v>
      </c>
      <c r="AT493">
        <v>0.25</v>
      </c>
      <c r="AU493" t="s">
        <v>86</v>
      </c>
      <c r="AV493">
        <v>0</v>
      </c>
      <c r="AW493">
        <v>2</v>
      </c>
      <c r="AX493">
        <v>129763755</v>
      </c>
      <c r="AY493">
        <v>1</v>
      </c>
      <c r="AZ493">
        <v>0</v>
      </c>
      <c r="BA493">
        <v>498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CX493">
        <f>ROUND(Y493*Source!I511,9)</f>
        <v>1.4500000000000001E-2</v>
      </c>
      <c r="CY493">
        <f t="shared" si="212"/>
        <v>865.2</v>
      </c>
      <c r="CZ493">
        <f t="shared" si="213"/>
        <v>73</v>
      </c>
      <c r="DA493">
        <f t="shared" si="214"/>
        <v>11.32</v>
      </c>
      <c r="DB493">
        <f t="shared" si="215"/>
        <v>22.8125</v>
      </c>
      <c r="DC493">
        <f t="shared" si="216"/>
        <v>5.2874999999999996</v>
      </c>
      <c r="DD493" t="s">
        <v>3</v>
      </c>
      <c r="DE493" t="s">
        <v>3</v>
      </c>
      <c r="DF493">
        <f t="shared" si="196"/>
        <v>0</v>
      </c>
      <c r="DG493">
        <f>ROUND(ROUND(AF493*CX493,2)*AJ493,2)</f>
        <v>12</v>
      </c>
      <c r="DH493">
        <f>ROUND(ROUND(AG493*CX493,2)*AK493,2)</f>
        <v>7.26</v>
      </c>
      <c r="DI493">
        <f t="shared" si="190"/>
        <v>0</v>
      </c>
      <c r="DJ493">
        <f t="shared" si="217"/>
        <v>12</v>
      </c>
      <c r="DK493">
        <v>0</v>
      </c>
    </row>
    <row r="494" spans="1:115" x14ac:dyDescent="0.2">
      <c r="A494">
        <f>ROW(Source!A511)</f>
        <v>511</v>
      </c>
      <c r="B494">
        <v>129761633</v>
      </c>
      <c r="C494">
        <v>129763732</v>
      </c>
      <c r="D494">
        <v>37417976</v>
      </c>
      <c r="E494">
        <v>1</v>
      </c>
      <c r="F494">
        <v>1</v>
      </c>
      <c r="G494">
        <v>37345137</v>
      </c>
      <c r="H494">
        <v>2</v>
      </c>
      <c r="I494" t="s">
        <v>1312</v>
      </c>
      <c r="J494" t="s">
        <v>1313</v>
      </c>
      <c r="K494" t="s">
        <v>1314</v>
      </c>
      <c r="L494">
        <v>1367</v>
      </c>
      <c r="N494">
        <v>1011</v>
      </c>
      <c r="O494" t="s">
        <v>1102</v>
      </c>
      <c r="P494" t="s">
        <v>1102</v>
      </c>
      <c r="Q494">
        <v>1</v>
      </c>
      <c r="W494">
        <v>0</v>
      </c>
      <c r="X494">
        <v>1059521099</v>
      </c>
      <c r="Y494">
        <f t="shared" si="211"/>
        <v>11.25</v>
      </c>
      <c r="AA494">
        <v>0</v>
      </c>
      <c r="AB494">
        <v>19.78</v>
      </c>
      <c r="AC494">
        <v>2.74</v>
      </c>
      <c r="AD494">
        <v>0</v>
      </c>
      <c r="AE494">
        <v>0</v>
      </c>
      <c r="AF494">
        <v>2.06</v>
      </c>
      <c r="AG494">
        <v>0.09</v>
      </c>
      <c r="AH494">
        <v>0</v>
      </c>
      <c r="AI494">
        <v>1</v>
      </c>
      <c r="AJ494">
        <v>9.17</v>
      </c>
      <c r="AK494">
        <v>29.03</v>
      </c>
      <c r="AL494">
        <v>1</v>
      </c>
      <c r="AN494">
        <v>0</v>
      </c>
      <c r="AO494">
        <v>1</v>
      </c>
      <c r="AP494">
        <v>1</v>
      </c>
      <c r="AQ494">
        <v>0</v>
      </c>
      <c r="AR494">
        <v>0</v>
      </c>
      <c r="AS494" t="s">
        <v>3</v>
      </c>
      <c r="AT494">
        <v>9</v>
      </c>
      <c r="AU494" t="s">
        <v>86</v>
      </c>
      <c r="AV494">
        <v>0</v>
      </c>
      <c r="AW494">
        <v>2</v>
      </c>
      <c r="AX494">
        <v>129763756</v>
      </c>
      <c r="AY494">
        <v>1</v>
      </c>
      <c r="AZ494">
        <v>0</v>
      </c>
      <c r="BA494">
        <v>499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CX494">
        <f>ROUND(Y494*Source!I511,9)</f>
        <v>0.52200000000000002</v>
      </c>
      <c r="CY494">
        <f t="shared" si="212"/>
        <v>19.78</v>
      </c>
      <c r="CZ494">
        <f t="shared" si="213"/>
        <v>2.06</v>
      </c>
      <c r="DA494">
        <f t="shared" si="214"/>
        <v>9.17</v>
      </c>
      <c r="DB494">
        <f t="shared" si="215"/>
        <v>23.175000000000001</v>
      </c>
      <c r="DC494">
        <f t="shared" si="216"/>
        <v>1.0125</v>
      </c>
      <c r="DD494" t="s">
        <v>3</v>
      </c>
      <c r="DE494" t="s">
        <v>3</v>
      </c>
      <c r="DF494">
        <f t="shared" si="196"/>
        <v>0</v>
      </c>
      <c r="DG494">
        <f>ROUND(ROUND(AF494*CX494,2)*AJ494,2)</f>
        <v>9.9</v>
      </c>
      <c r="DH494">
        <f>ROUND(ROUND(AG494*CX494,2)*AK494,2)</f>
        <v>1.45</v>
      </c>
      <c r="DI494">
        <f t="shared" si="190"/>
        <v>0</v>
      </c>
      <c r="DJ494">
        <f t="shared" si="217"/>
        <v>9.9</v>
      </c>
      <c r="DK494">
        <v>0</v>
      </c>
    </row>
    <row r="495" spans="1:115" x14ac:dyDescent="0.2">
      <c r="A495">
        <f>ROW(Source!A511)</f>
        <v>511</v>
      </c>
      <c r="B495">
        <v>129761633</v>
      </c>
      <c r="C495">
        <v>129763732</v>
      </c>
      <c r="D495">
        <v>37393552</v>
      </c>
      <c r="E495">
        <v>1</v>
      </c>
      <c r="F495">
        <v>1</v>
      </c>
      <c r="G495">
        <v>37345137</v>
      </c>
      <c r="H495">
        <v>3</v>
      </c>
      <c r="I495" t="s">
        <v>348</v>
      </c>
      <c r="J495" t="s">
        <v>350</v>
      </c>
      <c r="K495" t="s">
        <v>349</v>
      </c>
      <c r="L495">
        <v>1339</v>
      </c>
      <c r="N495">
        <v>1007</v>
      </c>
      <c r="O495" t="s">
        <v>94</v>
      </c>
      <c r="P495" t="s">
        <v>94</v>
      </c>
      <c r="Q495">
        <v>1</v>
      </c>
      <c r="W495">
        <v>0</v>
      </c>
      <c r="X495">
        <v>-862991314</v>
      </c>
      <c r="Y495">
        <f t="shared" ref="Y495:Y504" si="218">AT495</f>
        <v>0.73</v>
      </c>
      <c r="AA495">
        <v>43.35</v>
      </c>
      <c r="AB495">
        <v>0</v>
      </c>
      <c r="AC495">
        <v>0</v>
      </c>
      <c r="AD495">
        <v>0</v>
      </c>
      <c r="AE495">
        <v>7.07</v>
      </c>
      <c r="AF495">
        <v>0</v>
      </c>
      <c r="AG495">
        <v>0</v>
      </c>
      <c r="AH495">
        <v>0</v>
      </c>
      <c r="AI495">
        <v>6</v>
      </c>
      <c r="AJ495">
        <v>1</v>
      </c>
      <c r="AK495">
        <v>1</v>
      </c>
      <c r="AL495">
        <v>1</v>
      </c>
      <c r="AN495">
        <v>0</v>
      </c>
      <c r="AO495">
        <v>1</v>
      </c>
      <c r="AP495">
        <v>0</v>
      </c>
      <c r="AQ495">
        <v>0</v>
      </c>
      <c r="AR495">
        <v>0</v>
      </c>
      <c r="AS495" t="s">
        <v>3</v>
      </c>
      <c r="AT495">
        <v>0.73</v>
      </c>
      <c r="AU495" t="s">
        <v>3</v>
      </c>
      <c r="AV495">
        <v>0</v>
      </c>
      <c r="AW495">
        <v>2</v>
      </c>
      <c r="AX495">
        <v>129763758</v>
      </c>
      <c r="AY495">
        <v>1</v>
      </c>
      <c r="AZ495">
        <v>0</v>
      </c>
      <c r="BA495">
        <v>501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CX495">
        <f>ROUND(Y495*Source!I511,9)</f>
        <v>3.3871999999999999E-2</v>
      </c>
      <c r="CY495">
        <f t="shared" ref="CY495:CY504" si="219">AA495</f>
        <v>43.35</v>
      </c>
      <c r="CZ495">
        <f t="shared" ref="CZ495:CZ504" si="220">AE495</f>
        <v>7.07</v>
      </c>
      <c r="DA495">
        <f t="shared" ref="DA495:DA504" si="221">AI495</f>
        <v>6</v>
      </c>
      <c r="DB495">
        <f t="shared" ref="DB495:DB504" si="222">ROUND(ROUND(AT495*CZ495,2),6)</f>
        <v>5.16</v>
      </c>
      <c r="DC495">
        <f t="shared" ref="DC495:DC504" si="223">ROUND(ROUND(AT495*AG495,2),6)</f>
        <v>0</v>
      </c>
      <c r="DD495" t="s">
        <v>3</v>
      </c>
      <c r="DE495" t="s">
        <v>3</v>
      </c>
      <c r="DF495">
        <f t="shared" ref="DF495:DF504" si="224">ROUND(ROUND(AE495*CX495,2)*AI495,2)</f>
        <v>1.44</v>
      </c>
      <c r="DG495">
        <f t="shared" ref="DG495:DG510" si="225">ROUND(AF495*CX495,2)</f>
        <v>0</v>
      </c>
      <c r="DH495">
        <f t="shared" ref="DH495:DH510" si="226">ROUND(AG495*CX495,2)</f>
        <v>0</v>
      </c>
      <c r="DI495">
        <f t="shared" si="190"/>
        <v>0</v>
      </c>
      <c r="DJ495">
        <f t="shared" ref="DJ495:DJ504" si="227">DF495</f>
        <v>1.44</v>
      </c>
      <c r="DK495">
        <v>0</v>
      </c>
    </row>
    <row r="496" spans="1:115" x14ac:dyDescent="0.2">
      <c r="A496">
        <f>ROW(Source!A511)</f>
        <v>511</v>
      </c>
      <c r="B496">
        <v>129761633</v>
      </c>
      <c r="C496">
        <v>129763732</v>
      </c>
      <c r="D496">
        <v>37393565</v>
      </c>
      <c r="E496">
        <v>1</v>
      </c>
      <c r="F496">
        <v>1</v>
      </c>
      <c r="G496">
        <v>37345137</v>
      </c>
      <c r="H496">
        <v>3</v>
      </c>
      <c r="I496" t="s">
        <v>1198</v>
      </c>
      <c r="J496" t="s">
        <v>1199</v>
      </c>
      <c r="K496" t="s">
        <v>1200</v>
      </c>
      <c r="L496">
        <v>1348</v>
      </c>
      <c r="N496">
        <v>1009</v>
      </c>
      <c r="O496" t="s">
        <v>114</v>
      </c>
      <c r="P496" t="s">
        <v>114</v>
      </c>
      <c r="Q496">
        <v>1000</v>
      </c>
      <c r="W496">
        <v>0</v>
      </c>
      <c r="X496">
        <v>563176784</v>
      </c>
      <c r="Y496">
        <f t="shared" si="218"/>
        <v>2E-3</v>
      </c>
      <c r="AA496">
        <v>64516.15</v>
      </c>
      <c r="AB496">
        <v>0</v>
      </c>
      <c r="AC496">
        <v>0</v>
      </c>
      <c r="AD496">
        <v>0</v>
      </c>
      <c r="AE496">
        <v>6521.42</v>
      </c>
      <c r="AF496">
        <v>0</v>
      </c>
      <c r="AG496">
        <v>0</v>
      </c>
      <c r="AH496">
        <v>0</v>
      </c>
      <c r="AI496">
        <v>9.68</v>
      </c>
      <c r="AJ496">
        <v>1</v>
      </c>
      <c r="AK496">
        <v>1</v>
      </c>
      <c r="AL496">
        <v>1</v>
      </c>
      <c r="AN496">
        <v>0</v>
      </c>
      <c r="AO496">
        <v>1</v>
      </c>
      <c r="AP496">
        <v>0</v>
      </c>
      <c r="AQ496">
        <v>0</v>
      </c>
      <c r="AR496">
        <v>0</v>
      </c>
      <c r="AS496" t="s">
        <v>3</v>
      </c>
      <c r="AT496">
        <v>2E-3</v>
      </c>
      <c r="AU496" t="s">
        <v>3</v>
      </c>
      <c r="AV496">
        <v>0</v>
      </c>
      <c r="AW496">
        <v>2</v>
      </c>
      <c r="AX496">
        <v>129763759</v>
      </c>
      <c r="AY496">
        <v>1</v>
      </c>
      <c r="AZ496">
        <v>0</v>
      </c>
      <c r="BA496">
        <v>502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CX496">
        <f>ROUND(Y496*Source!I511,9)</f>
        <v>9.2800000000000006E-5</v>
      </c>
      <c r="CY496">
        <f t="shared" si="219"/>
        <v>64516.15</v>
      </c>
      <c r="CZ496">
        <f t="shared" si="220"/>
        <v>6521.42</v>
      </c>
      <c r="DA496">
        <f t="shared" si="221"/>
        <v>9.68</v>
      </c>
      <c r="DB496">
        <f t="shared" si="222"/>
        <v>13.04</v>
      </c>
      <c r="DC496">
        <f t="shared" si="223"/>
        <v>0</v>
      </c>
      <c r="DD496" t="s">
        <v>3</v>
      </c>
      <c r="DE496" t="s">
        <v>3</v>
      </c>
      <c r="DF496">
        <f t="shared" si="224"/>
        <v>5.9</v>
      </c>
      <c r="DG496">
        <f t="shared" si="225"/>
        <v>0</v>
      </c>
      <c r="DH496">
        <f t="shared" si="226"/>
        <v>0</v>
      </c>
      <c r="DI496">
        <f t="shared" si="190"/>
        <v>0</v>
      </c>
      <c r="DJ496">
        <f t="shared" si="227"/>
        <v>5.9</v>
      </c>
      <c r="DK496">
        <v>0</v>
      </c>
    </row>
    <row r="497" spans="1:115" x14ac:dyDescent="0.2">
      <c r="A497">
        <f>ROW(Source!A511)</f>
        <v>511</v>
      </c>
      <c r="B497">
        <v>129761633</v>
      </c>
      <c r="C497">
        <v>129763732</v>
      </c>
      <c r="D497">
        <v>37394864</v>
      </c>
      <c r="E497">
        <v>1</v>
      </c>
      <c r="F497">
        <v>1</v>
      </c>
      <c r="G497">
        <v>37345137</v>
      </c>
      <c r="H497">
        <v>3</v>
      </c>
      <c r="I497" t="s">
        <v>1147</v>
      </c>
      <c r="J497" t="s">
        <v>1148</v>
      </c>
      <c r="K497" t="s">
        <v>1149</v>
      </c>
      <c r="L497">
        <v>1348</v>
      </c>
      <c r="N497">
        <v>1009</v>
      </c>
      <c r="O497" t="s">
        <v>114</v>
      </c>
      <c r="P497" t="s">
        <v>114</v>
      </c>
      <c r="Q497">
        <v>1000</v>
      </c>
      <c r="W497">
        <v>0</v>
      </c>
      <c r="X497">
        <v>1310716689</v>
      </c>
      <c r="Y497">
        <f t="shared" si="218"/>
        <v>0.16</v>
      </c>
      <c r="AA497">
        <v>148985.1</v>
      </c>
      <c r="AB497">
        <v>0</v>
      </c>
      <c r="AC497">
        <v>0</v>
      </c>
      <c r="AD497">
        <v>0</v>
      </c>
      <c r="AE497">
        <v>7191.81</v>
      </c>
      <c r="AF497">
        <v>0</v>
      </c>
      <c r="AG497">
        <v>0</v>
      </c>
      <c r="AH497">
        <v>0</v>
      </c>
      <c r="AI497">
        <v>20.27</v>
      </c>
      <c r="AJ497">
        <v>1</v>
      </c>
      <c r="AK497">
        <v>1</v>
      </c>
      <c r="AL497">
        <v>1</v>
      </c>
      <c r="AN497">
        <v>0</v>
      </c>
      <c r="AO497">
        <v>1</v>
      </c>
      <c r="AP497">
        <v>0</v>
      </c>
      <c r="AQ497">
        <v>0</v>
      </c>
      <c r="AR497">
        <v>0</v>
      </c>
      <c r="AS497" t="s">
        <v>3</v>
      </c>
      <c r="AT497">
        <v>0.16</v>
      </c>
      <c r="AU497" t="s">
        <v>3</v>
      </c>
      <c r="AV497">
        <v>0</v>
      </c>
      <c r="AW497">
        <v>2</v>
      </c>
      <c r="AX497">
        <v>129763760</v>
      </c>
      <c r="AY497">
        <v>1</v>
      </c>
      <c r="AZ497">
        <v>0</v>
      </c>
      <c r="BA497">
        <v>503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CX497">
        <f>ROUND(Y497*Source!I511,9)</f>
        <v>7.424E-3</v>
      </c>
      <c r="CY497">
        <f t="shared" si="219"/>
        <v>148985.1</v>
      </c>
      <c r="CZ497">
        <f t="shared" si="220"/>
        <v>7191.81</v>
      </c>
      <c r="DA497">
        <f t="shared" si="221"/>
        <v>20.27</v>
      </c>
      <c r="DB497">
        <f t="shared" si="222"/>
        <v>1150.69</v>
      </c>
      <c r="DC497">
        <f t="shared" si="223"/>
        <v>0</v>
      </c>
      <c r="DD497" t="s">
        <v>3</v>
      </c>
      <c r="DE497" t="s">
        <v>3</v>
      </c>
      <c r="DF497">
        <f t="shared" si="224"/>
        <v>1082.22</v>
      </c>
      <c r="DG497">
        <f t="shared" si="225"/>
        <v>0</v>
      </c>
      <c r="DH497">
        <f t="shared" si="226"/>
        <v>0</v>
      </c>
      <c r="DI497">
        <f t="shared" si="190"/>
        <v>0</v>
      </c>
      <c r="DJ497">
        <f t="shared" si="227"/>
        <v>1082.22</v>
      </c>
      <c r="DK497">
        <v>0</v>
      </c>
    </row>
    <row r="498" spans="1:115" x14ac:dyDescent="0.2">
      <c r="A498">
        <f>ROW(Source!A511)</f>
        <v>511</v>
      </c>
      <c r="B498">
        <v>129761633</v>
      </c>
      <c r="C498">
        <v>129763732</v>
      </c>
      <c r="D498">
        <v>37393656</v>
      </c>
      <c r="E498">
        <v>1</v>
      </c>
      <c r="F498">
        <v>1</v>
      </c>
      <c r="G498">
        <v>37345137</v>
      </c>
      <c r="H498">
        <v>3</v>
      </c>
      <c r="I498" t="s">
        <v>1315</v>
      </c>
      <c r="J498" t="s">
        <v>1316</v>
      </c>
      <c r="K498" t="s">
        <v>1317</v>
      </c>
      <c r="L498">
        <v>1339</v>
      </c>
      <c r="N498">
        <v>1007</v>
      </c>
      <c r="O498" t="s">
        <v>94</v>
      </c>
      <c r="P498" t="s">
        <v>94</v>
      </c>
      <c r="Q498">
        <v>1</v>
      </c>
      <c r="W498">
        <v>0</v>
      </c>
      <c r="X498">
        <v>-1939393675</v>
      </c>
      <c r="Y498">
        <f t="shared" si="218"/>
        <v>0.04</v>
      </c>
      <c r="AA498">
        <v>7923.66</v>
      </c>
      <c r="AB498">
        <v>0</v>
      </c>
      <c r="AC498">
        <v>0</v>
      </c>
      <c r="AD498">
        <v>0</v>
      </c>
      <c r="AE498">
        <v>1828.56</v>
      </c>
      <c r="AF498">
        <v>0</v>
      </c>
      <c r="AG498">
        <v>0</v>
      </c>
      <c r="AH498">
        <v>0</v>
      </c>
      <c r="AI498">
        <v>4.24</v>
      </c>
      <c r="AJ498">
        <v>1</v>
      </c>
      <c r="AK498">
        <v>1</v>
      </c>
      <c r="AL498">
        <v>1</v>
      </c>
      <c r="AN498">
        <v>0</v>
      </c>
      <c r="AO498">
        <v>1</v>
      </c>
      <c r="AP498">
        <v>0</v>
      </c>
      <c r="AQ498">
        <v>0</v>
      </c>
      <c r="AR498">
        <v>0</v>
      </c>
      <c r="AS498" t="s">
        <v>3</v>
      </c>
      <c r="AT498">
        <v>0.04</v>
      </c>
      <c r="AU498" t="s">
        <v>3</v>
      </c>
      <c r="AV498">
        <v>0</v>
      </c>
      <c r="AW498">
        <v>2</v>
      </c>
      <c r="AX498">
        <v>129763761</v>
      </c>
      <c r="AY498">
        <v>1</v>
      </c>
      <c r="AZ498">
        <v>0</v>
      </c>
      <c r="BA498">
        <v>504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CX498">
        <f>ROUND(Y498*Source!I511,9)</f>
        <v>1.856E-3</v>
      </c>
      <c r="CY498">
        <f t="shared" si="219"/>
        <v>7923.66</v>
      </c>
      <c r="CZ498">
        <f t="shared" si="220"/>
        <v>1828.56</v>
      </c>
      <c r="DA498">
        <f t="shared" si="221"/>
        <v>4.24</v>
      </c>
      <c r="DB498">
        <f t="shared" si="222"/>
        <v>73.14</v>
      </c>
      <c r="DC498">
        <f t="shared" si="223"/>
        <v>0</v>
      </c>
      <c r="DD498" t="s">
        <v>3</v>
      </c>
      <c r="DE498" t="s">
        <v>3</v>
      </c>
      <c r="DF498">
        <f t="shared" si="224"/>
        <v>14.37</v>
      </c>
      <c r="DG498">
        <f t="shared" si="225"/>
        <v>0</v>
      </c>
      <c r="DH498">
        <f t="shared" si="226"/>
        <v>0</v>
      </c>
      <c r="DI498">
        <f t="shared" si="190"/>
        <v>0</v>
      </c>
      <c r="DJ498">
        <f t="shared" si="227"/>
        <v>14.37</v>
      </c>
      <c r="DK498">
        <v>0</v>
      </c>
    </row>
    <row r="499" spans="1:115" x14ac:dyDescent="0.2">
      <c r="A499">
        <f>ROW(Source!A511)</f>
        <v>511</v>
      </c>
      <c r="B499">
        <v>129761633</v>
      </c>
      <c r="C499">
        <v>129763732</v>
      </c>
      <c r="D499">
        <v>37393683</v>
      </c>
      <c r="E499">
        <v>1</v>
      </c>
      <c r="F499">
        <v>1</v>
      </c>
      <c r="G499">
        <v>37345137</v>
      </c>
      <c r="H499">
        <v>3</v>
      </c>
      <c r="I499" t="s">
        <v>1318</v>
      </c>
      <c r="J499" t="s">
        <v>1319</v>
      </c>
      <c r="K499" t="s">
        <v>1320</v>
      </c>
      <c r="L499">
        <v>1348</v>
      </c>
      <c r="N499">
        <v>1009</v>
      </c>
      <c r="O499" t="s">
        <v>114</v>
      </c>
      <c r="P499" t="s">
        <v>114</v>
      </c>
      <c r="Q499">
        <v>1000</v>
      </c>
      <c r="W499">
        <v>0</v>
      </c>
      <c r="X499">
        <v>-1753839253</v>
      </c>
      <c r="Y499">
        <f t="shared" si="218"/>
        <v>0.01</v>
      </c>
      <c r="AA499">
        <v>5965.55</v>
      </c>
      <c r="AB499">
        <v>0</v>
      </c>
      <c r="AC499">
        <v>0</v>
      </c>
      <c r="AD499">
        <v>0</v>
      </c>
      <c r="AE499">
        <v>1260.72</v>
      </c>
      <c r="AF499">
        <v>0</v>
      </c>
      <c r="AG499">
        <v>0</v>
      </c>
      <c r="AH499">
        <v>0</v>
      </c>
      <c r="AI499">
        <v>4.63</v>
      </c>
      <c r="AJ499">
        <v>1</v>
      </c>
      <c r="AK499">
        <v>1</v>
      </c>
      <c r="AL499">
        <v>1</v>
      </c>
      <c r="AN499">
        <v>0</v>
      </c>
      <c r="AO499">
        <v>1</v>
      </c>
      <c r="AP499">
        <v>0</v>
      </c>
      <c r="AQ499">
        <v>0</v>
      </c>
      <c r="AR499">
        <v>0</v>
      </c>
      <c r="AS499" t="s">
        <v>3</v>
      </c>
      <c r="AT499">
        <v>0.01</v>
      </c>
      <c r="AU499" t="s">
        <v>3</v>
      </c>
      <c r="AV499">
        <v>0</v>
      </c>
      <c r="AW499">
        <v>2</v>
      </c>
      <c r="AX499">
        <v>129763762</v>
      </c>
      <c r="AY499">
        <v>1</v>
      </c>
      <c r="AZ499">
        <v>0</v>
      </c>
      <c r="BA499">
        <v>505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CX499">
        <f>ROUND(Y499*Source!I511,9)</f>
        <v>4.64E-4</v>
      </c>
      <c r="CY499">
        <f t="shared" si="219"/>
        <v>5965.55</v>
      </c>
      <c r="CZ499">
        <f t="shared" si="220"/>
        <v>1260.72</v>
      </c>
      <c r="DA499">
        <f t="shared" si="221"/>
        <v>4.63</v>
      </c>
      <c r="DB499">
        <f t="shared" si="222"/>
        <v>12.61</v>
      </c>
      <c r="DC499">
        <f t="shared" si="223"/>
        <v>0</v>
      </c>
      <c r="DD499" t="s">
        <v>3</v>
      </c>
      <c r="DE499" t="s">
        <v>3</v>
      </c>
      <c r="DF499">
        <f t="shared" si="224"/>
        <v>2.69</v>
      </c>
      <c r="DG499">
        <f t="shared" si="225"/>
        <v>0</v>
      </c>
      <c r="DH499">
        <f t="shared" si="226"/>
        <v>0</v>
      </c>
      <c r="DI499">
        <f t="shared" si="190"/>
        <v>0</v>
      </c>
      <c r="DJ499">
        <f t="shared" si="227"/>
        <v>2.69</v>
      </c>
      <c r="DK499">
        <v>0</v>
      </c>
    </row>
    <row r="500" spans="1:115" x14ac:dyDescent="0.2">
      <c r="A500">
        <f>ROW(Source!A511)</f>
        <v>511</v>
      </c>
      <c r="B500">
        <v>129761633</v>
      </c>
      <c r="C500">
        <v>129763732</v>
      </c>
      <c r="D500">
        <v>37394035</v>
      </c>
      <c r="E500">
        <v>1</v>
      </c>
      <c r="F500">
        <v>1</v>
      </c>
      <c r="G500">
        <v>37345137</v>
      </c>
      <c r="H500">
        <v>3</v>
      </c>
      <c r="I500" t="s">
        <v>1321</v>
      </c>
      <c r="J500" t="s">
        <v>1322</v>
      </c>
      <c r="K500" t="s">
        <v>1323</v>
      </c>
      <c r="L500">
        <v>1327</v>
      </c>
      <c r="N500">
        <v>1005</v>
      </c>
      <c r="O500" t="s">
        <v>258</v>
      </c>
      <c r="P500" t="s">
        <v>258</v>
      </c>
      <c r="Q500">
        <v>1</v>
      </c>
      <c r="W500">
        <v>0</v>
      </c>
      <c r="X500">
        <v>-1476054991</v>
      </c>
      <c r="Y500">
        <f t="shared" si="218"/>
        <v>30</v>
      </c>
      <c r="AA500">
        <v>49.17</v>
      </c>
      <c r="AB500">
        <v>0</v>
      </c>
      <c r="AC500">
        <v>0</v>
      </c>
      <c r="AD500">
        <v>0</v>
      </c>
      <c r="AE500">
        <v>7.39</v>
      </c>
      <c r="AF500">
        <v>0</v>
      </c>
      <c r="AG500">
        <v>0</v>
      </c>
      <c r="AH500">
        <v>0</v>
      </c>
      <c r="AI500">
        <v>6.51</v>
      </c>
      <c r="AJ500">
        <v>1</v>
      </c>
      <c r="AK500">
        <v>1</v>
      </c>
      <c r="AL500">
        <v>1</v>
      </c>
      <c r="AN500">
        <v>0</v>
      </c>
      <c r="AO500">
        <v>1</v>
      </c>
      <c r="AP500">
        <v>0</v>
      </c>
      <c r="AQ500">
        <v>0</v>
      </c>
      <c r="AR500">
        <v>0</v>
      </c>
      <c r="AS500" t="s">
        <v>3</v>
      </c>
      <c r="AT500">
        <v>30</v>
      </c>
      <c r="AU500" t="s">
        <v>3</v>
      </c>
      <c r="AV500">
        <v>0</v>
      </c>
      <c r="AW500">
        <v>2</v>
      </c>
      <c r="AX500">
        <v>129763763</v>
      </c>
      <c r="AY500">
        <v>1</v>
      </c>
      <c r="AZ500">
        <v>0</v>
      </c>
      <c r="BA500">
        <v>506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CX500">
        <f>ROUND(Y500*Source!I511,9)</f>
        <v>1.3919999999999999</v>
      </c>
      <c r="CY500">
        <f t="shared" si="219"/>
        <v>49.17</v>
      </c>
      <c r="CZ500">
        <f t="shared" si="220"/>
        <v>7.39</v>
      </c>
      <c r="DA500">
        <f t="shared" si="221"/>
        <v>6.51</v>
      </c>
      <c r="DB500">
        <f t="shared" si="222"/>
        <v>221.7</v>
      </c>
      <c r="DC500">
        <f t="shared" si="223"/>
        <v>0</v>
      </c>
      <c r="DD500" t="s">
        <v>3</v>
      </c>
      <c r="DE500" t="s">
        <v>3</v>
      </c>
      <c r="DF500">
        <f t="shared" si="224"/>
        <v>66.989999999999995</v>
      </c>
      <c r="DG500">
        <f t="shared" si="225"/>
        <v>0</v>
      </c>
      <c r="DH500">
        <f t="shared" si="226"/>
        <v>0</v>
      </c>
      <c r="DI500">
        <f t="shared" si="190"/>
        <v>0</v>
      </c>
      <c r="DJ500">
        <f t="shared" si="227"/>
        <v>66.989999999999995</v>
      </c>
      <c r="DK500">
        <v>0</v>
      </c>
    </row>
    <row r="501" spans="1:115" x14ac:dyDescent="0.2">
      <c r="A501">
        <f>ROW(Source!A511)</f>
        <v>511</v>
      </c>
      <c r="B501">
        <v>129761633</v>
      </c>
      <c r="C501">
        <v>129763732</v>
      </c>
      <c r="D501">
        <v>0</v>
      </c>
      <c r="E501">
        <v>1</v>
      </c>
      <c r="F501">
        <v>1</v>
      </c>
      <c r="G501">
        <v>37345137</v>
      </c>
      <c r="H501">
        <v>3</v>
      </c>
      <c r="I501" t="s">
        <v>537</v>
      </c>
      <c r="J501" t="s">
        <v>3</v>
      </c>
      <c r="K501" t="s">
        <v>538</v>
      </c>
      <c r="L501">
        <v>1339</v>
      </c>
      <c r="N501">
        <v>1007</v>
      </c>
      <c r="O501" t="s">
        <v>94</v>
      </c>
      <c r="P501" t="s">
        <v>94</v>
      </c>
      <c r="Q501">
        <v>1</v>
      </c>
      <c r="W501">
        <v>0</v>
      </c>
      <c r="X501">
        <v>803910000</v>
      </c>
      <c r="Y501">
        <f t="shared" si="218"/>
        <v>101.50000000000001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7.95</v>
      </c>
      <c r="AJ501">
        <v>1</v>
      </c>
      <c r="AK501">
        <v>1</v>
      </c>
      <c r="AL501">
        <v>1</v>
      </c>
      <c r="AN501">
        <v>0</v>
      </c>
      <c r="AO501">
        <v>0</v>
      </c>
      <c r="AP501">
        <v>0</v>
      </c>
      <c r="AQ501">
        <v>0</v>
      </c>
      <c r="AR501">
        <v>0</v>
      </c>
      <c r="AS501" t="s">
        <v>3</v>
      </c>
      <c r="AT501">
        <v>101.50000000000001</v>
      </c>
      <c r="AU501" t="s">
        <v>3</v>
      </c>
      <c r="AV501">
        <v>0</v>
      </c>
      <c r="AW501">
        <v>1</v>
      </c>
      <c r="AX501">
        <v>-1</v>
      </c>
      <c r="AY501">
        <v>0</v>
      </c>
      <c r="AZ501">
        <v>0</v>
      </c>
      <c r="BA501" t="s">
        <v>3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CX501">
        <f>ROUND(Y501*Source!I511,9)</f>
        <v>4.7096</v>
      </c>
      <c r="CY501">
        <f t="shared" si="219"/>
        <v>0</v>
      </c>
      <c r="CZ501">
        <f t="shared" si="220"/>
        <v>0</v>
      </c>
      <c r="DA501">
        <f t="shared" si="221"/>
        <v>7.95</v>
      </c>
      <c r="DB501">
        <f t="shared" si="222"/>
        <v>0</v>
      </c>
      <c r="DC501">
        <f t="shared" si="223"/>
        <v>0</v>
      </c>
      <c r="DD501" t="s">
        <v>3</v>
      </c>
      <c r="DE501" t="s">
        <v>3</v>
      </c>
      <c r="DF501">
        <f t="shared" si="224"/>
        <v>0</v>
      </c>
      <c r="DG501">
        <f t="shared" si="225"/>
        <v>0</v>
      </c>
      <c r="DH501">
        <f t="shared" si="226"/>
        <v>0</v>
      </c>
      <c r="DI501">
        <f t="shared" si="190"/>
        <v>0</v>
      </c>
      <c r="DJ501">
        <f t="shared" si="227"/>
        <v>0</v>
      </c>
      <c r="DK501">
        <v>2</v>
      </c>
    </row>
    <row r="502" spans="1:115" x14ac:dyDescent="0.2">
      <c r="A502">
        <f>ROW(Source!A511)</f>
        <v>511</v>
      </c>
      <c r="B502">
        <v>129761633</v>
      </c>
      <c r="C502">
        <v>129763732</v>
      </c>
      <c r="D502">
        <v>0</v>
      </c>
      <c r="E502">
        <v>1</v>
      </c>
      <c r="F502">
        <v>1</v>
      </c>
      <c r="G502">
        <v>37345137</v>
      </c>
      <c r="H502">
        <v>3</v>
      </c>
      <c r="I502" t="s">
        <v>531</v>
      </c>
      <c r="J502" t="s">
        <v>3</v>
      </c>
      <c r="K502" t="s">
        <v>532</v>
      </c>
      <c r="L502">
        <v>1348</v>
      </c>
      <c r="N502">
        <v>1009</v>
      </c>
      <c r="O502" t="s">
        <v>114</v>
      </c>
      <c r="P502" t="s">
        <v>114</v>
      </c>
      <c r="Q502">
        <v>1000</v>
      </c>
      <c r="W502">
        <v>0</v>
      </c>
      <c r="X502">
        <v>-55009773</v>
      </c>
      <c r="Y502">
        <f t="shared" si="218"/>
        <v>0.31228400000000001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12.06</v>
      </c>
      <c r="AJ502">
        <v>1</v>
      </c>
      <c r="AK502">
        <v>1</v>
      </c>
      <c r="AL502">
        <v>1</v>
      </c>
      <c r="AN502">
        <v>0</v>
      </c>
      <c r="AO502">
        <v>0</v>
      </c>
      <c r="AP502">
        <v>0</v>
      </c>
      <c r="AQ502">
        <v>0</v>
      </c>
      <c r="AR502">
        <v>0</v>
      </c>
      <c r="AS502" t="s">
        <v>3</v>
      </c>
      <c r="AT502">
        <v>0.31228400000000001</v>
      </c>
      <c r="AU502" t="s">
        <v>3</v>
      </c>
      <c r="AV502">
        <v>0</v>
      </c>
      <c r="AW502">
        <v>1</v>
      </c>
      <c r="AX502">
        <v>-1</v>
      </c>
      <c r="AY502">
        <v>0</v>
      </c>
      <c r="AZ502">
        <v>0</v>
      </c>
      <c r="BA502" t="s">
        <v>3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CX502">
        <f>ROUND(Y502*Source!I511,9)</f>
        <v>1.4489978000000001E-2</v>
      </c>
      <c r="CY502">
        <f t="shared" si="219"/>
        <v>0</v>
      </c>
      <c r="CZ502">
        <f t="shared" si="220"/>
        <v>0</v>
      </c>
      <c r="DA502">
        <f t="shared" si="221"/>
        <v>12.06</v>
      </c>
      <c r="DB502">
        <f t="shared" si="222"/>
        <v>0</v>
      </c>
      <c r="DC502">
        <f t="shared" si="223"/>
        <v>0</v>
      </c>
      <c r="DD502" t="s">
        <v>3</v>
      </c>
      <c r="DE502" t="s">
        <v>3</v>
      </c>
      <c r="DF502">
        <f t="shared" si="224"/>
        <v>0</v>
      </c>
      <c r="DG502">
        <f t="shared" si="225"/>
        <v>0</v>
      </c>
      <c r="DH502">
        <f t="shared" si="226"/>
        <v>0</v>
      </c>
      <c r="DI502">
        <f t="shared" si="190"/>
        <v>0</v>
      </c>
      <c r="DJ502">
        <f t="shared" si="227"/>
        <v>0</v>
      </c>
      <c r="DK502">
        <v>2</v>
      </c>
    </row>
    <row r="503" spans="1:115" x14ac:dyDescent="0.2">
      <c r="A503">
        <f>ROW(Source!A511)</f>
        <v>511</v>
      </c>
      <c r="B503">
        <v>129761633</v>
      </c>
      <c r="C503">
        <v>129763732</v>
      </c>
      <c r="D503">
        <v>0</v>
      </c>
      <c r="E503">
        <v>1</v>
      </c>
      <c r="F503">
        <v>1</v>
      </c>
      <c r="G503">
        <v>37345137</v>
      </c>
      <c r="H503">
        <v>3</v>
      </c>
      <c r="I503" t="s">
        <v>534</v>
      </c>
      <c r="J503" t="s">
        <v>3</v>
      </c>
      <c r="K503" t="s">
        <v>535</v>
      </c>
      <c r="L503">
        <v>1348</v>
      </c>
      <c r="N503">
        <v>1009</v>
      </c>
      <c r="O503" t="s">
        <v>114</v>
      </c>
      <c r="P503" t="s">
        <v>114</v>
      </c>
      <c r="Q503">
        <v>1000</v>
      </c>
      <c r="W503">
        <v>0</v>
      </c>
      <c r="X503">
        <v>-639873665</v>
      </c>
      <c r="Y503">
        <f t="shared" si="218"/>
        <v>11.286853000000001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11.18</v>
      </c>
      <c r="AJ503">
        <v>1</v>
      </c>
      <c r="AK503">
        <v>1</v>
      </c>
      <c r="AL503">
        <v>1</v>
      </c>
      <c r="AN503">
        <v>0</v>
      </c>
      <c r="AO503">
        <v>0</v>
      </c>
      <c r="AP503">
        <v>0</v>
      </c>
      <c r="AQ503">
        <v>0</v>
      </c>
      <c r="AR503">
        <v>0</v>
      </c>
      <c r="AS503" t="s">
        <v>3</v>
      </c>
      <c r="AT503">
        <v>11.286853000000001</v>
      </c>
      <c r="AU503" t="s">
        <v>3</v>
      </c>
      <c r="AV503">
        <v>0</v>
      </c>
      <c r="AW503">
        <v>1</v>
      </c>
      <c r="AX503">
        <v>-1</v>
      </c>
      <c r="AY503">
        <v>0</v>
      </c>
      <c r="AZ503">
        <v>0</v>
      </c>
      <c r="BA503" t="s">
        <v>3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CX503">
        <f>ROUND(Y503*Source!I511,9)</f>
        <v>0.52370997900000005</v>
      </c>
      <c r="CY503">
        <f t="shared" si="219"/>
        <v>0</v>
      </c>
      <c r="CZ503">
        <f t="shared" si="220"/>
        <v>0</v>
      </c>
      <c r="DA503">
        <f t="shared" si="221"/>
        <v>11.18</v>
      </c>
      <c r="DB503">
        <f t="shared" si="222"/>
        <v>0</v>
      </c>
      <c r="DC503">
        <f t="shared" si="223"/>
        <v>0</v>
      </c>
      <c r="DD503" t="s">
        <v>3</v>
      </c>
      <c r="DE503" t="s">
        <v>3</v>
      </c>
      <c r="DF503">
        <f t="shared" si="224"/>
        <v>0</v>
      </c>
      <c r="DG503">
        <f t="shared" si="225"/>
        <v>0</v>
      </c>
      <c r="DH503">
        <f t="shared" si="226"/>
        <v>0</v>
      </c>
      <c r="DI503">
        <f t="shared" si="190"/>
        <v>0</v>
      </c>
      <c r="DJ503">
        <f t="shared" si="227"/>
        <v>0</v>
      </c>
      <c r="DK503">
        <v>2</v>
      </c>
    </row>
    <row r="504" spans="1:115" x14ac:dyDescent="0.2">
      <c r="A504">
        <f>ROW(Source!A511)</f>
        <v>511</v>
      </c>
      <c r="B504">
        <v>129761633</v>
      </c>
      <c r="C504">
        <v>129763732</v>
      </c>
      <c r="D504">
        <v>37417373</v>
      </c>
      <c r="E504">
        <v>1</v>
      </c>
      <c r="F504">
        <v>1</v>
      </c>
      <c r="G504">
        <v>37345137</v>
      </c>
      <c r="H504">
        <v>3</v>
      </c>
      <c r="I504" t="s">
        <v>1324</v>
      </c>
      <c r="J504" t="s">
        <v>1325</v>
      </c>
      <c r="K504" t="s">
        <v>1326</v>
      </c>
      <c r="L504">
        <v>1327</v>
      </c>
      <c r="N504">
        <v>1005</v>
      </c>
      <c r="O504" t="s">
        <v>258</v>
      </c>
      <c r="P504" t="s">
        <v>258</v>
      </c>
      <c r="Q504">
        <v>1</v>
      </c>
      <c r="W504">
        <v>0</v>
      </c>
      <c r="X504">
        <v>-153668504</v>
      </c>
      <c r="Y504">
        <f t="shared" si="218"/>
        <v>3.6</v>
      </c>
      <c r="AA504">
        <v>323.39</v>
      </c>
      <c r="AB504">
        <v>0</v>
      </c>
      <c r="AC504">
        <v>0</v>
      </c>
      <c r="AD504">
        <v>0</v>
      </c>
      <c r="AE504">
        <v>90.15</v>
      </c>
      <c r="AF504">
        <v>0</v>
      </c>
      <c r="AG504">
        <v>0</v>
      </c>
      <c r="AH504">
        <v>0</v>
      </c>
      <c r="AI504">
        <v>3.51</v>
      </c>
      <c r="AJ504">
        <v>1</v>
      </c>
      <c r="AK504">
        <v>1</v>
      </c>
      <c r="AL504">
        <v>1</v>
      </c>
      <c r="AN504">
        <v>0</v>
      </c>
      <c r="AO504">
        <v>1</v>
      </c>
      <c r="AP504">
        <v>0</v>
      </c>
      <c r="AQ504">
        <v>0</v>
      </c>
      <c r="AR504">
        <v>0</v>
      </c>
      <c r="AS504" t="s">
        <v>3</v>
      </c>
      <c r="AT504">
        <v>3.6</v>
      </c>
      <c r="AU504" t="s">
        <v>3</v>
      </c>
      <c r="AV504">
        <v>0</v>
      </c>
      <c r="AW504">
        <v>2</v>
      </c>
      <c r="AX504">
        <v>129763764</v>
      </c>
      <c r="AY504">
        <v>1</v>
      </c>
      <c r="AZ504">
        <v>0</v>
      </c>
      <c r="BA504">
        <v>507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CX504">
        <f>ROUND(Y504*Source!I511,9)</f>
        <v>0.16703999999999999</v>
      </c>
      <c r="CY504">
        <f t="shared" si="219"/>
        <v>323.39</v>
      </c>
      <c r="CZ504">
        <f t="shared" si="220"/>
        <v>90.15</v>
      </c>
      <c r="DA504">
        <f t="shared" si="221"/>
        <v>3.51</v>
      </c>
      <c r="DB504">
        <f t="shared" si="222"/>
        <v>324.54000000000002</v>
      </c>
      <c r="DC504">
        <f t="shared" si="223"/>
        <v>0</v>
      </c>
      <c r="DD504" t="s">
        <v>3</v>
      </c>
      <c r="DE504" t="s">
        <v>3</v>
      </c>
      <c r="DF504">
        <f t="shared" si="224"/>
        <v>52.86</v>
      </c>
      <c r="DG504">
        <f t="shared" si="225"/>
        <v>0</v>
      </c>
      <c r="DH504">
        <f t="shared" si="226"/>
        <v>0</v>
      </c>
      <c r="DI504">
        <f t="shared" si="190"/>
        <v>0</v>
      </c>
      <c r="DJ504">
        <f t="shared" si="227"/>
        <v>52.86</v>
      </c>
      <c r="DK504">
        <v>0</v>
      </c>
    </row>
    <row r="505" spans="1:115" x14ac:dyDescent="0.2">
      <c r="A505">
        <f>ROW(Source!A518)</f>
        <v>518</v>
      </c>
      <c r="B505">
        <v>129761636</v>
      </c>
      <c r="C505">
        <v>129763769</v>
      </c>
      <c r="D505">
        <v>37345142</v>
      </c>
      <c r="E505">
        <v>37345137</v>
      </c>
      <c r="F505">
        <v>1</v>
      </c>
      <c r="G505">
        <v>37345137</v>
      </c>
      <c r="H505">
        <v>1</v>
      </c>
      <c r="I505" t="s">
        <v>1096</v>
      </c>
      <c r="J505" t="s">
        <v>3</v>
      </c>
      <c r="K505" t="s">
        <v>1097</v>
      </c>
      <c r="L505">
        <v>1191</v>
      </c>
      <c r="N505">
        <v>1013</v>
      </c>
      <c r="O505" t="s">
        <v>1098</v>
      </c>
      <c r="P505" t="s">
        <v>1098</v>
      </c>
      <c r="Q505">
        <v>1</v>
      </c>
      <c r="W505">
        <v>0</v>
      </c>
      <c r="X505">
        <v>476480486</v>
      </c>
      <c r="Y505">
        <f>(AT505*1.15)</f>
        <v>87.399999999999991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1</v>
      </c>
      <c r="AJ505">
        <v>1</v>
      </c>
      <c r="AK505">
        <v>1</v>
      </c>
      <c r="AL505">
        <v>1</v>
      </c>
      <c r="AN505">
        <v>0</v>
      </c>
      <c r="AO505">
        <v>1</v>
      </c>
      <c r="AP505">
        <v>1</v>
      </c>
      <c r="AQ505">
        <v>0</v>
      </c>
      <c r="AR505">
        <v>0</v>
      </c>
      <c r="AS505" t="s">
        <v>3</v>
      </c>
      <c r="AT505">
        <v>76</v>
      </c>
      <c r="AU505" t="s">
        <v>87</v>
      </c>
      <c r="AV505">
        <v>1</v>
      </c>
      <c r="AW505">
        <v>2</v>
      </c>
      <c r="AX505">
        <v>129763775</v>
      </c>
      <c r="AY505">
        <v>1</v>
      </c>
      <c r="AZ505">
        <v>0</v>
      </c>
      <c r="BA505">
        <v>509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CX505">
        <f>ROUND(Y505*Source!I518,9)</f>
        <v>4.7108600000000003</v>
      </c>
      <c r="CY505">
        <f>AD505</f>
        <v>0</v>
      </c>
      <c r="CZ505">
        <f>AH505</f>
        <v>0</v>
      </c>
      <c r="DA505">
        <f>AL505</f>
        <v>1</v>
      </c>
      <c r="DB505">
        <f>ROUND((ROUND(AT505*CZ505,2)*1.15),6)</f>
        <v>0</v>
      </c>
      <c r="DC505">
        <f>ROUND((ROUND(AT505*AG505,2)*1.15),6)</f>
        <v>0</v>
      </c>
      <c r="DD505" t="s">
        <v>3</v>
      </c>
      <c r="DE505" t="s">
        <v>3</v>
      </c>
      <c r="DF505">
        <f t="shared" ref="DF505:DF511" si="228">ROUND(AE505*CX505,2)</f>
        <v>0</v>
      </c>
      <c r="DG505">
        <f t="shared" si="225"/>
        <v>0</v>
      </c>
      <c r="DH505">
        <f t="shared" si="226"/>
        <v>0</v>
      </c>
      <c r="DI505">
        <f t="shared" si="190"/>
        <v>0</v>
      </c>
      <c r="DJ505">
        <f>DI505</f>
        <v>0</v>
      </c>
      <c r="DK505">
        <v>0</v>
      </c>
    </row>
    <row r="506" spans="1:115" x14ac:dyDescent="0.2">
      <c r="A506">
        <f>ROW(Source!A518)</f>
        <v>518</v>
      </c>
      <c r="B506">
        <v>129761636</v>
      </c>
      <c r="C506">
        <v>129763769</v>
      </c>
      <c r="D506">
        <v>37417800</v>
      </c>
      <c r="E506">
        <v>1</v>
      </c>
      <c r="F506">
        <v>1</v>
      </c>
      <c r="G506">
        <v>37345137</v>
      </c>
      <c r="H506">
        <v>2</v>
      </c>
      <c r="I506" t="s">
        <v>1150</v>
      </c>
      <c r="J506" t="s">
        <v>1151</v>
      </c>
      <c r="K506" t="s">
        <v>1152</v>
      </c>
      <c r="L506">
        <v>1367</v>
      </c>
      <c r="N506">
        <v>1011</v>
      </c>
      <c r="O506" t="s">
        <v>1102</v>
      </c>
      <c r="P506" t="s">
        <v>1102</v>
      </c>
      <c r="Q506">
        <v>1</v>
      </c>
      <c r="W506">
        <v>0</v>
      </c>
      <c r="X506">
        <v>1116621208</v>
      </c>
      <c r="Y506">
        <f>(AT506*1.25)</f>
        <v>19</v>
      </c>
      <c r="AA506">
        <v>0</v>
      </c>
      <c r="AB506">
        <v>2.78</v>
      </c>
      <c r="AC506">
        <v>0.19</v>
      </c>
      <c r="AD506">
        <v>0</v>
      </c>
      <c r="AE506">
        <v>0</v>
      </c>
      <c r="AF506">
        <v>2.78</v>
      </c>
      <c r="AG506">
        <v>0.19</v>
      </c>
      <c r="AH506">
        <v>0</v>
      </c>
      <c r="AI506">
        <v>1</v>
      </c>
      <c r="AJ506">
        <v>1</v>
      </c>
      <c r="AK506">
        <v>1</v>
      </c>
      <c r="AL506">
        <v>1</v>
      </c>
      <c r="AN506">
        <v>0</v>
      </c>
      <c r="AO506">
        <v>1</v>
      </c>
      <c r="AP506">
        <v>1</v>
      </c>
      <c r="AQ506">
        <v>0</v>
      </c>
      <c r="AR506">
        <v>0</v>
      </c>
      <c r="AS506" t="s">
        <v>3</v>
      </c>
      <c r="AT506">
        <v>15.2</v>
      </c>
      <c r="AU506" t="s">
        <v>86</v>
      </c>
      <c r="AV506">
        <v>0</v>
      </c>
      <c r="AW506">
        <v>2</v>
      </c>
      <c r="AX506">
        <v>129763776</v>
      </c>
      <c r="AY506">
        <v>1</v>
      </c>
      <c r="AZ506">
        <v>0</v>
      </c>
      <c r="BA506">
        <v>510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CX506">
        <f>ROUND(Y506*Source!I518,9)</f>
        <v>1.0241</v>
      </c>
      <c r="CY506">
        <f>AB506</f>
        <v>2.78</v>
      </c>
      <c r="CZ506">
        <f>AF506</f>
        <v>2.78</v>
      </c>
      <c r="DA506">
        <f>AJ506</f>
        <v>1</v>
      </c>
      <c r="DB506">
        <f>ROUND((ROUND(AT506*CZ506,2)*1.25),6)</f>
        <v>52.825000000000003</v>
      </c>
      <c r="DC506">
        <f>ROUND((ROUND(AT506*AG506,2)*1.25),6)</f>
        <v>3.6124999999999998</v>
      </c>
      <c r="DD506" t="s">
        <v>3</v>
      </c>
      <c r="DE506" t="s">
        <v>3</v>
      </c>
      <c r="DF506">
        <f t="shared" si="228"/>
        <v>0</v>
      </c>
      <c r="DG506">
        <f t="shared" si="225"/>
        <v>2.85</v>
      </c>
      <c r="DH506">
        <f t="shared" si="226"/>
        <v>0.19</v>
      </c>
      <c r="DI506">
        <f t="shared" si="190"/>
        <v>0</v>
      </c>
      <c r="DJ506">
        <f>DG506</f>
        <v>2.85</v>
      </c>
      <c r="DK506">
        <v>0</v>
      </c>
    </row>
    <row r="507" spans="1:115" x14ac:dyDescent="0.2">
      <c r="A507">
        <f>ROW(Source!A518)</f>
        <v>518</v>
      </c>
      <c r="B507">
        <v>129761636</v>
      </c>
      <c r="C507">
        <v>129763769</v>
      </c>
      <c r="D507">
        <v>37394463</v>
      </c>
      <c r="E507">
        <v>1</v>
      </c>
      <c r="F507">
        <v>1</v>
      </c>
      <c r="G507">
        <v>37345137</v>
      </c>
      <c r="H507">
        <v>3</v>
      </c>
      <c r="I507" t="s">
        <v>542</v>
      </c>
      <c r="J507" t="s">
        <v>544</v>
      </c>
      <c r="K507" t="s">
        <v>543</v>
      </c>
      <c r="L507">
        <v>1348</v>
      </c>
      <c r="N507">
        <v>1009</v>
      </c>
      <c r="O507" t="s">
        <v>114</v>
      </c>
      <c r="P507" t="s">
        <v>114</v>
      </c>
      <c r="Q507">
        <v>1000</v>
      </c>
      <c r="W507">
        <v>0</v>
      </c>
      <c r="X507">
        <v>1397922927</v>
      </c>
      <c r="Y507">
        <f>AT507</f>
        <v>1</v>
      </c>
      <c r="AA507">
        <v>7043.96</v>
      </c>
      <c r="AB507">
        <v>0</v>
      </c>
      <c r="AC507">
        <v>0</v>
      </c>
      <c r="AD507">
        <v>0</v>
      </c>
      <c r="AE507">
        <v>7043.96</v>
      </c>
      <c r="AF507">
        <v>0</v>
      </c>
      <c r="AG507">
        <v>0</v>
      </c>
      <c r="AH507">
        <v>0</v>
      </c>
      <c r="AI507">
        <v>1</v>
      </c>
      <c r="AJ507">
        <v>1</v>
      </c>
      <c r="AK507">
        <v>1</v>
      </c>
      <c r="AL507">
        <v>1</v>
      </c>
      <c r="AN507">
        <v>0</v>
      </c>
      <c r="AO507">
        <v>0</v>
      </c>
      <c r="AP507">
        <v>0</v>
      </c>
      <c r="AQ507">
        <v>0</v>
      </c>
      <c r="AR507">
        <v>0</v>
      </c>
      <c r="AS507" t="s">
        <v>3</v>
      </c>
      <c r="AT507">
        <v>1</v>
      </c>
      <c r="AU507" t="s">
        <v>3</v>
      </c>
      <c r="AV507">
        <v>0</v>
      </c>
      <c r="AW507">
        <v>1</v>
      </c>
      <c r="AX507">
        <v>-1</v>
      </c>
      <c r="AY507">
        <v>0</v>
      </c>
      <c r="AZ507">
        <v>0</v>
      </c>
      <c r="BA507" t="s">
        <v>3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CX507">
        <f>ROUND(Y507*Source!I518,9)</f>
        <v>5.3900000000000003E-2</v>
      </c>
      <c r="CY507">
        <f>AA507</f>
        <v>7043.96</v>
      </c>
      <c r="CZ507">
        <f>AE507</f>
        <v>7043.96</v>
      </c>
      <c r="DA507">
        <f>AI507</f>
        <v>1</v>
      </c>
      <c r="DB507">
        <f>ROUND(ROUND(AT507*CZ507,2),6)</f>
        <v>7043.96</v>
      </c>
      <c r="DC507">
        <f>ROUND(ROUND(AT507*AG507,2),6)</f>
        <v>0</v>
      </c>
      <c r="DD507" t="s">
        <v>3</v>
      </c>
      <c r="DE507" t="s">
        <v>3</v>
      </c>
      <c r="DF507">
        <f t="shared" si="228"/>
        <v>379.67</v>
      </c>
      <c r="DG507">
        <f t="shared" si="225"/>
        <v>0</v>
      </c>
      <c r="DH507">
        <f t="shared" si="226"/>
        <v>0</v>
      </c>
      <c r="DI507">
        <f t="shared" si="190"/>
        <v>0</v>
      </c>
      <c r="DJ507">
        <f>DF507</f>
        <v>379.67</v>
      </c>
      <c r="DK507">
        <v>0</v>
      </c>
    </row>
    <row r="508" spans="1:115" x14ac:dyDescent="0.2">
      <c r="A508">
        <f>ROW(Source!A518)</f>
        <v>518</v>
      </c>
      <c r="B508">
        <v>129761636</v>
      </c>
      <c r="C508">
        <v>129763769</v>
      </c>
      <c r="D508">
        <v>37394864</v>
      </c>
      <c r="E508">
        <v>1</v>
      </c>
      <c r="F508">
        <v>1</v>
      </c>
      <c r="G508">
        <v>37345137</v>
      </c>
      <c r="H508">
        <v>3</v>
      </c>
      <c r="I508" t="s">
        <v>1147</v>
      </c>
      <c r="J508" t="s">
        <v>1148</v>
      </c>
      <c r="K508" t="s">
        <v>1149</v>
      </c>
      <c r="L508">
        <v>1348</v>
      </c>
      <c r="N508">
        <v>1009</v>
      </c>
      <c r="O508" t="s">
        <v>114</v>
      </c>
      <c r="P508" t="s">
        <v>114</v>
      </c>
      <c r="Q508">
        <v>1000</v>
      </c>
      <c r="W508">
        <v>0</v>
      </c>
      <c r="X508">
        <v>1310716689</v>
      </c>
      <c r="Y508">
        <f>AT508</f>
        <v>1.4E-3</v>
      </c>
      <c r="AA508">
        <v>7191.81</v>
      </c>
      <c r="AB508">
        <v>0</v>
      </c>
      <c r="AC508">
        <v>0</v>
      </c>
      <c r="AD508">
        <v>0</v>
      </c>
      <c r="AE508">
        <v>7191.81</v>
      </c>
      <c r="AF508">
        <v>0</v>
      </c>
      <c r="AG508">
        <v>0</v>
      </c>
      <c r="AH508">
        <v>0</v>
      </c>
      <c r="AI508">
        <v>1</v>
      </c>
      <c r="AJ508">
        <v>1</v>
      </c>
      <c r="AK508">
        <v>1</v>
      </c>
      <c r="AL508">
        <v>1</v>
      </c>
      <c r="AN508">
        <v>0</v>
      </c>
      <c r="AO508">
        <v>1</v>
      </c>
      <c r="AP508">
        <v>0</v>
      </c>
      <c r="AQ508">
        <v>0</v>
      </c>
      <c r="AR508">
        <v>0</v>
      </c>
      <c r="AS508" t="s">
        <v>3</v>
      </c>
      <c r="AT508">
        <v>1.4E-3</v>
      </c>
      <c r="AU508" t="s">
        <v>3</v>
      </c>
      <c r="AV508">
        <v>0</v>
      </c>
      <c r="AW508">
        <v>2</v>
      </c>
      <c r="AX508">
        <v>129763777</v>
      </c>
      <c r="AY508">
        <v>1</v>
      </c>
      <c r="AZ508">
        <v>0</v>
      </c>
      <c r="BA508">
        <v>511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CX508">
        <f>ROUND(Y508*Source!I518,9)</f>
        <v>7.5459999999999999E-5</v>
      </c>
      <c r="CY508">
        <f>AA508</f>
        <v>7191.81</v>
      </c>
      <c r="CZ508">
        <f>AE508</f>
        <v>7191.81</v>
      </c>
      <c r="DA508">
        <f>AI508</f>
        <v>1</v>
      </c>
      <c r="DB508">
        <f>ROUND(ROUND(AT508*CZ508,2),6)</f>
        <v>10.07</v>
      </c>
      <c r="DC508">
        <f>ROUND(ROUND(AT508*AG508,2),6)</f>
        <v>0</v>
      </c>
      <c r="DD508" t="s">
        <v>3</v>
      </c>
      <c r="DE508" t="s">
        <v>3</v>
      </c>
      <c r="DF508">
        <f t="shared" si="228"/>
        <v>0.54</v>
      </c>
      <c r="DG508">
        <f t="shared" si="225"/>
        <v>0</v>
      </c>
      <c r="DH508">
        <f t="shared" si="226"/>
        <v>0</v>
      </c>
      <c r="DI508">
        <f t="shared" si="190"/>
        <v>0</v>
      </c>
      <c r="DJ508">
        <f>DF508</f>
        <v>0.54</v>
      </c>
      <c r="DK508">
        <v>0</v>
      </c>
    </row>
    <row r="509" spans="1:115" x14ac:dyDescent="0.2">
      <c r="A509">
        <f>ROW(Source!A518)</f>
        <v>518</v>
      </c>
      <c r="B509">
        <v>129761636</v>
      </c>
      <c r="C509">
        <v>129763769</v>
      </c>
      <c r="D509">
        <v>37367082</v>
      </c>
      <c r="E509">
        <v>37345137</v>
      </c>
      <c r="F509">
        <v>1</v>
      </c>
      <c r="G509">
        <v>37345137</v>
      </c>
      <c r="H509">
        <v>3</v>
      </c>
      <c r="I509" t="s">
        <v>1136</v>
      </c>
      <c r="J509" t="s">
        <v>3</v>
      </c>
      <c r="K509" t="s">
        <v>1137</v>
      </c>
      <c r="L509">
        <v>1344</v>
      </c>
      <c r="N509">
        <v>1008</v>
      </c>
      <c r="O509" t="s">
        <v>1138</v>
      </c>
      <c r="P509" t="s">
        <v>1138</v>
      </c>
      <c r="Q509">
        <v>1</v>
      </c>
      <c r="W509">
        <v>0</v>
      </c>
      <c r="X509">
        <v>-94250534</v>
      </c>
      <c r="Y509">
        <f>AT509</f>
        <v>39.479999999999997</v>
      </c>
      <c r="AA509">
        <v>1</v>
      </c>
      <c r="AB509">
        <v>0</v>
      </c>
      <c r="AC509">
        <v>0</v>
      </c>
      <c r="AD509">
        <v>0</v>
      </c>
      <c r="AE509">
        <v>1</v>
      </c>
      <c r="AF509">
        <v>0</v>
      </c>
      <c r="AG509">
        <v>0</v>
      </c>
      <c r="AH509">
        <v>0</v>
      </c>
      <c r="AI509">
        <v>1</v>
      </c>
      <c r="AJ509">
        <v>1</v>
      </c>
      <c r="AK509">
        <v>1</v>
      </c>
      <c r="AL509">
        <v>1</v>
      </c>
      <c r="AN509">
        <v>0</v>
      </c>
      <c r="AO509">
        <v>1</v>
      </c>
      <c r="AP509">
        <v>0</v>
      </c>
      <c r="AQ509">
        <v>0</v>
      </c>
      <c r="AR509">
        <v>0</v>
      </c>
      <c r="AS509" t="s">
        <v>3</v>
      </c>
      <c r="AT509">
        <v>39.479999999999997</v>
      </c>
      <c r="AU509" t="s">
        <v>3</v>
      </c>
      <c r="AV509">
        <v>0</v>
      </c>
      <c r="AW509">
        <v>2</v>
      </c>
      <c r="AX509">
        <v>129763780</v>
      </c>
      <c r="AY509">
        <v>1</v>
      </c>
      <c r="AZ509">
        <v>0</v>
      </c>
      <c r="BA509">
        <v>514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CX509">
        <f>ROUND(Y509*Source!I518,9)</f>
        <v>2.1279720000000002</v>
      </c>
      <c r="CY509">
        <f>AA509</f>
        <v>1</v>
      </c>
      <c r="CZ509">
        <f>AE509</f>
        <v>1</v>
      </c>
      <c r="DA509">
        <f>AI509</f>
        <v>1</v>
      </c>
      <c r="DB509">
        <f>ROUND(ROUND(AT509*CZ509,2),6)</f>
        <v>39.479999999999997</v>
      </c>
      <c r="DC509">
        <f>ROUND(ROUND(AT509*AG509,2),6)</f>
        <v>0</v>
      </c>
      <c r="DD509" t="s">
        <v>3</v>
      </c>
      <c r="DE509" t="s">
        <v>3</v>
      </c>
      <c r="DF509">
        <f t="shared" si="228"/>
        <v>2.13</v>
      </c>
      <c r="DG509">
        <f t="shared" si="225"/>
        <v>0</v>
      </c>
      <c r="DH509">
        <f t="shared" si="226"/>
        <v>0</v>
      </c>
      <c r="DI509">
        <f t="shared" si="190"/>
        <v>0</v>
      </c>
      <c r="DJ509">
        <f>DF509</f>
        <v>2.13</v>
      </c>
      <c r="DK509">
        <v>0</v>
      </c>
    </row>
    <row r="510" spans="1:115" x14ac:dyDescent="0.2">
      <c r="A510">
        <f>ROW(Source!A519)</f>
        <v>519</v>
      </c>
      <c r="B510">
        <v>129761633</v>
      </c>
      <c r="C510">
        <v>129763769</v>
      </c>
      <c r="D510">
        <v>37345142</v>
      </c>
      <c r="E510">
        <v>37345137</v>
      </c>
      <c r="F510">
        <v>1</v>
      </c>
      <c r="G510">
        <v>37345137</v>
      </c>
      <c r="H510">
        <v>1</v>
      </c>
      <c r="I510" t="s">
        <v>1096</v>
      </c>
      <c r="J510" t="s">
        <v>3</v>
      </c>
      <c r="K510" t="s">
        <v>1097</v>
      </c>
      <c r="L510">
        <v>1191</v>
      </c>
      <c r="N510">
        <v>1013</v>
      </c>
      <c r="O510" t="s">
        <v>1098</v>
      </c>
      <c r="P510" t="s">
        <v>1098</v>
      </c>
      <c r="Q510">
        <v>1</v>
      </c>
      <c r="W510">
        <v>0</v>
      </c>
      <c r="X510">
        <v>476480486</v>
      </c>
      <c r="Y510">
        <f>(AT510*1.15)</f>
        <v>87.399999999999991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1</v>
      </c>
      <c r="AJ510">
        <v>1</v>
      </c>
      <c r="AK510">
        <v>1</v>
      </c>
      <c r="AL510">
        <v>1</v>
      </c>
      <c r="AN510">
        <v>0</v>
      </c>
      <c r="AO510">
        <v>1</v>
      </c>
      <c r="AP510">
        <v>1</v>
      </c>
      <c r="AQ510">
        <v>0</v>
      </c>
      <c r="AR510">
        <v>0</v>
      </c>
      <c r="AS510" t="s">
        <v>3</v>
      </c>
      <c r="AT510">
        <v>76</v>
      </c>
      <c r="AU510" t="s">
        <v>87</v>
      </c>
      <c r="AV510">
        <v>1</v>
      </c>
      <c r="AW510">
        <v>2</v>
      </c>
      <c r="AX510">
        <v>129763775</v>
      </c>
      <c r="AY510">
        <v>1</v>
      </c>
      <c r="AZ510">
        <v>0</v>
      </c>
      <c r="BA510">
        <v>515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CX510">
        <f>ROUND(Y510*Source!I519,9)</f>
        <v>4.7108600000000003</v>
      </c>
      <c r="CY510">
        <f>AD510</f>
        <v>0</v>
      </c>
      <c r="CZ510">
        <f>AH510</f>
        <v>0</v>
      </c>
      <c r="DA510">
        <f>AL510</f>
        <v>1</v>
      </c>
      <c r="DB510">
        <f>ROUND((ROUND(AT510*CZ510,2)*1.15),6)</f>
        <v>0</v>
      </c>
      <c r="DC510">
        <f>ROUND((ROUND(AT510*AG510,2)*1.15),6)</f>
        <v>0</v>
      </c>
      <c r="DD510" t="s">
        <v>3</v>
      </c>
      <c r="DE510" t="s">
        <v>3</v>
      </c>
      <c r="DF510">
        <f t="shared" si="228"/>
        <v>0</v>
      </c>
      <c r="DG510">
        <f t="shared" si="225"/>
        <v>0</v>
      </c>
      <c r="DH510">
        <f t="shared" si="226"/>
        <v>0</v>
      </c>
      <c r="DI510">
        <f t="shared" si="190"/>
        <v>0</v>
      </c>
      <c r="DJ510">
        <f>DI510</f>
        <v>0</v>
      </c>
      <c r="DK510">
        <v>0</v>
      </c>
    </row>
    <row r="511" spans="1:115" x14ac:dyDescent="0.2">
      <c r="A511">
        <f>ROW(Source!A519)</f>
        <v>519</v>
      </c>
      <c r="B511">
        <v>129761633</v>
      </c>
      <c r="C511">
        <v>129763769</v>
      </c>
      <c r="D511">
        <v>37417800</v>
      </c>
      <c r="E511">
        <v>1</v>
      </c>
      <c r="F511">
        <v>1</v>
      </c>
      <c r="G511">
        <v>37345137</v>
      </c>
      <c r="H511">
        <v>2</v>
      </c>
      <c r="I511" t="s">
        <v>1150</v>
      </c>
      <c r="J511" t="s">
        <v>1151</v>
      </c>
      <c r="K511" t="s">
        <v>1152</v>
      </c>
      <c r="L511">
        <v>1367</v>
      </c>
      <c r="N511">
        <v>1011</v>
      </c>
      <c r="O511" t="s">
        <v>1102</v>
      </c>
      <c r="P511" t="s">
        <v>1102</v>
      </c>
      <c r="Q511">
        <v>1</v>
      </c>
      <c r="W511">
        <v>0</v>
      </c>
      <c r="X511">
        <v>1116621208</v>
      </c>
      <c r="Y511">
        <f>(AT511*1.25)</f>
        <v>19</v>
      </c>
      <c r="AA511">
        <v>0</v>
      </c>
      <c r="AB511">
        <v>24.96</v>
      </c>
      <c r="AC511">
        <v>6</v>
      </c>
      <c r="AD511">
        <v>0</v>
      </c>
      <c r="AE511">
        <v>0</v>
      </c>
      <c r="AF511">
        <v>2.78</v>
      </c>
      <c r="AG511">
        <v>0.19</v>
      </c>
      <c r="AH511">
        <v>0</v>
      </c>
      <c r="AI511">
        <v>1</v>
      </c>
      <c r="AJ511">
        <v>8.26</v>
      </c>
      <c r="AK511">
        <v>29.03</v>
      </c>
      <c r="AL511">
        <v>1</v>
      </c>
      <c r="AN511">
        <v>0</v>
      </c>
      <c r="AO511">
        <v>1</v>
      </c>
      <c r="AP511">
        <v>1</v>
      </c>
      <c r="AQ511">
        <v>0</v>
      </c>
      <c r="AR511">
        <v>0</v>
      </c>
      <c r="AS511" t="s">
        <v>3</v>
      </c>
      <c r="AT511">
        <v>15.2</v>
      </c>
      <c r="AU511" t="s">
        <v>86</v>
      </c>
      <c r="AV511">
        <v>0</v>
      </c>
      <c r="AW511">
        <v>2</v>
      </c>
      <c r="AX511">
        <v>129763776</v>
      </c>
      <c r="AY511">
        <v>1</v>
      </c>
      <c r="AZ511">
        <v>0</v>
      </c>
      <c r="BA511">
        <v>516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CX511">
        <f>ROUND(Y511*Source!I519,9)</f>
        <v>1.0241</v>
      </c>
      <c r="CY511">
        <f>AB511</f>
        <v>24.96</v>
      </c>
      <c r="CZ511">
        <f>AF511</f>
        <v>2.78</v>
      </c>
      <c r="DA511">
        <f>AJ511</f>
        <v>8.26</v>
      </c>
      <c r="DB511">
        <f>ROUND((ROUND(AT511*CZ511,2)*1.25),6)</f>
        <v>52.825000000000003</v>
      </c>
      <c r="DC511">
        <f>ROUND((ROUND(AT511*AG511,2)*1.25),6)</f>
        <v>3.6124999999999998</v>
      </c>
      <c r="DD511" t="s">
        <v>3</v>
      </c>
      <c r="DE511" t="s">
        <v>3</v>
      </c>
      <c r="DF511">
        <f t="shared" si="228"/>
        <v>0</v>
      </c>
      <c r="DG511">
        <f>ROUND(ROUND(AF511*CX511,2)*AJ511,2)</f>
        <v>23.54</v>
      </c>
      <c r="DH511">
        <f>ROUND(ROUND(AG511*CX511,2)*AK511,2)</f>
        <v>5.52</v>
      </c>
      <c r="DI511">
        <f t="shared" si="190"/>
        <v>0</v>
      </c>
      <c r="DJ511">
        <f>DG511</f>
        <v>23.54</v>
      </c>
      <c r="DK511">
        <v>0</v>
      </c>
    </row>
    <row r="512" spans="1:115" x14ac:dyDescent="0.2">
      <c r="A512">
        <f>ROW(Source!A519)</f>
        <v>519</v>
      </c>
      <c r="B512">
        <v>129761633</v>
      </c>
      <c r="C512">
        <v>129763769</v>
      </c>
      <c r="D512">
        <v>37394463</v>
      </c>
      <c r="E512">
        <v>1</v>
      </c>
      <c r="F512">
        <v>1</v>
      </c>
      <c r="G512">
        <v>37345137</v>
      </c>
      <c r="H512">
        <v>3</v>
      </c>
      <c r="I512" t="s">
        <v>542</v>
      </c>
      <c r="J512" t="s">
        <v>544</v>
      </c>
      <c r="K512" t="s">
        <v>543</v>
      </c>
      <c r="L512">
        <v>1348</v>
      </c>
      <c r="N512">
        <v>1009</v>
      </c>
      <c r="O512" t="s">
        <v>114</v>
      </c>
      <c r="P512" t="s">
        <v>114</v>
      </c>
      <c r="Q512">
        <v>1000</v>
      </c>
      <c r="W512">
        <v>0</v>
      </c>
      <c r="X512">
        <v>1397922927</v>
      </c>
      <c r="Y512">
        <f>AT512</f>
        <v>1</v>
      </c>
      <c r="AA512">
        <v>60930.25</v>
      </c>
      <c r="AB512">
        <v>0</v>
      </c>
      <c r="AC512">
        <v>0</v>
      </c>
      <c r="AD512">
        <v>0</v>
      </c>
      <c r="AE512">
        <v>7043.96</v>
      </c>
      <c r="AF512">
        <v>0</v>
      </c>
      <c r="AG512">
        <v>0</v>
      </c>
      <c r="AH512">
        <v>0</v>
      </c>
      <c r="AI512">
        <v>8.65</v>
      </c>
      <c r="AJ512">
        <v>1</v>
      </c>
      <c r="AK512">
        <v>1</v>
      </c>
      <c r="AL512">
        <v>1</v>
      </c>
      <c r="AN512">
        <v>0</v>
      </c>
      <c r="AO512">
        <v>0</v>
      </c>
      <c r="AP512">
        <v>0</v>
      </c>
      <c r="AQ512">
        <v>0</v>
      </c>
      <c r="AR512">
        <v>0</v>
      </c>
      <c r="AS512" t="s">
        <v>3</v>
      </c>
      <c r="AT512">
        <v>1</v>
      </c>
      <c r="AU512" t="s">
        <v>3</v>
      </c>
      <c r="AV512">
        <v>0</v>
      </c>
      <c r="AW512">
        <v>1</v>
      </c>
      <c r="AX512">
        <v>-1</v>
      </c>
      <c r="AY512">
        <v>0</v>
      </c>
      <c r="AZ512">
        <v>0</v>
      </c>
      <c r="BA512" t="s">
        <v>3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CX512">
        <f>ROUND(Y512*Source!I519,9)</f>
        <v>5.3900000000000003E-2</v>
      </c>
      <c r="CY512">
        <f>AA512</f>
        <v>60930.25</v>
      </c>
      <c r="CZ512">
        <f>AE512</f>
        <v>7043.96</v>
      </c>
      <c r="DA512">
        <f>AI512</f>
        <v>8.65</v>
      </c>
      <c r="DB512">
        <f>ROUND(ROUND(AT512*CZ512,2),6)</f>
        <v>7043.96</v>
      </c>
      <c r="DC512">
        <f>ROUND(ROUND(AT512*AG512,2),6)</f>
        <v>0</v>
      </c>
      <c r="DD512" t="s">
        <v>3</v>
      </c>
      <c r="DE512" t="s">
        <v>3</v>
      </c>
      <c r="DF512">
        <f>ROUND(ROUND(AE512*CX512,2)*AI512,2)</f>
        <v>3284.15</v>
      </c>
      <c r="DG512">
        <f t="shared" ref="DG512:DG530" si="229">ROUND(AF512*CX512,2)</f>
        <v>0</v>
      </c>
      <c r="DH512">
        <f t="shared" ref="DH512:DH530" si="230">ROUND(AG512*CX512,2)</f>
        <v>0</v>
      </c>
      <c r="DI512">
        <f t="shared" si="190"/>
        <v>0</v>
      </c>
      <c r="DJ512">
        <f>DF512</f>
        <v>3284.15</v>
      </c>
      <c r="DK512">
        <v>0</v>
      </c>
    </row>
    <row r="513" spans="1:115" x14ac:dyDescent="0.2">
      <c r="A513">
        <f>ROW(Source!A519)</f>
        <v>519</v>
      </c>
      <c r="B513">
        <v>129761633</v>
      </c>
      <c r="C513">
        <v>129763769</v>
      </c>
      <c r="D513">
        <v>37394864</v>
      </c>
      <c r="E513">
        <v>1</v>
      </c>
      <c r="F513">
        <v>1</v>
      </c>
      <c r="G513">
        <v>37345137</v>
      </c>
      <c r="H513">
        <v>3</v>
      </c>
      <c r="I513" t="s">
        <v>1147</v>
      </c>
      <c r="J513" t="s">
        <v>1148</v>
      </c>
      <c r="K513" t="s">
        <v>1149</v>
      </c>
      <c r="L513">
        <v>1348</v>
      </c>
      <c r="N513">
        <v>1009</v>
      </c>
      <c r="O513" t="s">
        <v>114</v>
      </c>
      <c r="P513" t="s">
        <v>114</v>
      </c>
      <c r="Q513">
        <v>1000</v>
      </c>
      <c r="W513">
        <v>0</v>
      </c>
      <c r="X513">
        <v>1310716689</v>
      </c>
      <c r="Y513">
        <f>AT513</f>
        <v>1.4E-3</v>
      </c>
      <c r="AA513">
        <v>145777.99</v>
      </c>
      <c r="AB513">
        <v>0</v>
      </c>
      <c r="AC513">
        <v>0</v>
      </c>
      <c r="AD513">
        <v>0</v>
      </c>
      <c r="AE513">
        <v>7191.81</v>
      </c>
      <c r="AF513">
        <v>0</v>
      </c>
      <c r="AG513">
        <v>0</v>
      </c>
      <c r="AH513">
        <v>0</v>
      </c>
      <c r="AI513">
        <v>20.27</v>
      </c>
      <c r="AJ513">
        <v>1</v>
      </c>
      <c r="AK513">
        <v>1</v>
      </c>
      <c r="AL513">
        <v>1</v>
      </c>
      <c r="AN513">
        <v>0</v>
      </c>
      <c r="AO513">
        <v>1</v>
      </c>
      <c r="AP513">
        <v>0</v>
      </c>
      <c r="AQ513">
        <v>0</v>
      </c>
      <c r="AR513">
        <v>0</v>
      </c>
      <c r="AS513" t="s">
        <v>3</v>
      </c>
      <c r="AT513">
        <v>1.4E-3</v>
      </c>
      <c r="AU513" t="s">
        <v>3</v>
      </c>
      <c r="AV513">
        <v>0</v>
      </c>
      <c r="AW513">
        <v>2</v>
      </c>
      <c r="AX513">
        <v>129763777</v>
      </c>
      <c r="AY513">
        <v>1</v>
      </c>
      <c r="AZ513">
        <v>0</v>
      </c>
      <c r="BA513">
        <v>517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CX513">
        <f>ROUND(Y513*Source!I519,9)</f>
        <v>7.5459999999999999E-5</v>
      </c>
      <c r="CY513">
        <f>AA513</f>
        <v>145777.99</v>
      </c>
      <c r="CZ513">
        <f>AE513</f>
        <v>7191.81</v>
      </c>
      <c r="DA513">
        <f>AI513</f>
        <v>20.27</v>
      </c>
      <c r="DB513">
        <f>ROUND(ROUND(AT513*CZ513,2),6)</f>
        <v>10.07</v>
      </c>
      <c r="DC513">
        <f>ROUND(ROUND(AT513*AG513,2),6)</f>
        <v>0</v>
      </c>
      <c r="DD513" t="s">
        <v>3</v>
      </c>
      <c r="DE513" t="s">
        <v>3</v>
      </c>
      <c r="DF513">
        <f>ROUND(ROUND(AE513*CX513,2)*AI513,2)</f>
        <v>10.95</v>
      </c>
      <c r="DG513">
        <f t="shared" si="229"/>
        <v>0</v>
      </c>
      <c r="DH513">
        <f t="shared" si="230"/>
        <v>0</v>
      </c>
      <c r="DI513">
        <f t="shared" ref="DI513:DI576" si="231">ROUND(AH513*CX513,2)</f>
        <v>0</v>
      </c>
      <c r="DJ513">
        <f>DF513</f>
        <v>10.95</v>
      </c>
      <c r="DK513">
        <v>0</v>
      </c>
    </row>
    <row r="514" spans="1:115" x14ac:dyDescent="0.2">
      <c r="A514">
        <f>ROW(Source!A519)</f>
        <v>519</v>
      </c>
      <c r="B514">
        <v>129761633</v>
      </c>
      <c r="C514">
        <v>129763769</v>
      </c>
      <c r="D514">
        <v>37367082</v>
      </c>
      <c r="E514">
        <v>37345137</v>
      </c>
      <c r="F514">
        <v>1</v>
      </c>
      <c r="G514">
        <v>37345137</v>
      </c>
      <c r="H514">
        <v>3</v>
      </c>
      <c r="I514" t="s">
        <v>1136</v>
      </c>
      <c r="J514" t="s">
        <v>3</v>
      </c>
      <c r="K514" t="s">
        <v>1137</v>
      </c>
      <c r="L514">
        <v>1344</v>
      </c>
      <c r="N514">
        <v>1008</v>
      </c>
      <c r="O514" t="s">
        <v>1138</v>
      </c>
      <c r="P514" t="s">
        <v>1138</v>
      </c>
      <c r="Q514">
        <v>1</v>
      </c>
      <c r="W514">
        <v>0</v>
      </c>
      <c r="X514">
        <v>-94250534</v>
      </c>
      <c r="Y514">
        <f>AT514</f>
        <v>39.479999999999997</v>
      </c>
      <c r="AA514">
        <v>8.65</v>
      </c>
      <c r="AB514">
        <v>0</v>
      </c>
      <c r="AC514">
        <v>0</v>
      </c>
      <c r="AD514">
        <v>0</v>
      </c>
      <c r="AE514">
        <v>1</v>
      </c>
      <c r="AF514">
        <v>0</v>
      </c>
      <c r="AG514">
        <v>0</v>
      </c>
      <c r="AH514">
        <v>0</v>
      </c>
      <c r="AI514">
        <v>8.65</v>
      </c>
      <c r="AJ514">
        <v>1</v>
      </c>
      <c r="AK514">
        <v>1</v>
      </c>
      <c r="AL514">
        <v>1</v>
      </c>
      <c r="AN514">
        <v>0</v>
      </c>
      <c r="AO514">
        <v>1</v>
      </c>
      <c r="AP514">
        <v>0</v>
      </c>
      <c r="AQ514">
        <v>0</v>
      </c>
      <c r="AR514">
        <v>0</v>
      </c>
      <c r="AS514" t="s">
        <v>3</v>
      </c>
      <c r="AT514">
        <v>39.479999999999997</v>
      </c>
      <c r="AU514" t="s">
        <v>3</v>
      </c>
      <c r="AV514">
        <v>0</v>
      </c>
      <c r="AW514">
        <v>2</v>
      </c>
      <c r="AX514">
        <v>129763780</v>
      </c>
      <c r="AY514">
        <v>1</v>
      </c>
      <c r="AZ514">
        <v>0</v>
      </c>
      <c r="BA514">
        <v>520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CX514">
        <f>ROUND(Y514*Source!I519,9)</f>
        <v>2.1279720000000002</v>
      </c>
      <c r="CY514">
        <f>AA514</f>
        <v>8.65</v>
      </c>
      <c r="CZ514">
        <f>AE514</f>
        <v>1</v>
      </c>
      <c r="DA514">
        <f>AI514</f>
        <v>8.65</v>
      </c>
      <c r="DB514">
        <f>ROUND(ROUND(AT514*CZ514,2),6)</f>
        <v>39.479999999999997</v>
      </c>
      <c r="DC514">
        <f>ROUND(ROUND(AT514*AG514,2),6)</f>
        <v>0</v>
      </c>
      <c r="DD514" t="s">
        <v>3</v>
      </c>
      <c r="DE514" t="s">
        <v>3</v>
      </c>
      <c r="DF514">
        <f>ROUND(ROUND(AE514*CX514,2)*AI514,2)</f>
        <v>18.420000000000002</v>
      </c>
      <c r="DG514">
        <f t="shared" si="229"/>
        <v>0</v>
      </c>
      <c r="DH514">
        <f t="shared" si="230"/>
        <v>0</v>
      </c>
      <c r="DI514">
        <f t="shared" si="231"/>
        <v>0</v>
      </c>
      <c r="DJ514">
        <f>DF514</f>
        <v>18.420000000000002</v>
      </c>
      <c r="DK514">
        <v>0</v>
      </c>
    </row>
    <row r="515" spans="1:115" x14ac:dyDescent="0.2">
      <c r="A515">
        <f>ROW(Source!A522)</f>
        <v>522</v>
      </c>
      <c r="B515">
        <v>129761636</v>
      </c>
      <c r="C515">
        <v>129763782</v>
      </c>
      <c r="D515">
        <v>37345142</v>
      </c>
      <c r="E515">
        <v>37345137</v>
      </c>
      <c r="F515">
        <v>1</v>
      </c>
      <c r="G515">
        <v>37345137</v>
      </c>
      <c r="H515">
        <v>1</v>
      </c>
      <c r="I515" t="s">
        <v>1096</v>
      </c>
      <c r="J515" t="s">
        <v>3</v>
      </c>
      <c r="K515" t="s">
        <v>1097</v>
      </c>
      <c r="L515">
        <v>1191</v>
      </c>
      <c r="N515">
        <v>1013</v>
      </c>
      <c r="O515" t="s">
        <v>1098</v>
      </c>
      <c r="P515" t="s">
        <v>1098</v>
      </c>
      <c r="Q515">
        <v>1</v>
      </c>
      <c r="W515">
        <v>0</v>
      </c>
      <c r="X515">
        <v>476480486</v>
      </c>
      <c r="Y515">
        <f>(AT515*1.15)</f>
        <v>41.284999999999997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1</v>
      </c>
      <c r="AJ515">
        <v>1</v>
      </c>
      <c r="AK515">
        <v>1</v>
      </c>
      <c r="AL515">
        <v>1</v>
      </c>
      <c r="AN515">
        <v>0</v>
      </c>
      <c r="AO515">
        <v>1</v>
      </c>
      <c r="AP515">
        <v>1</v>
      </c>
      <c r="AQ515">
        <v>0</v>
      </c>
      <c r="AR515">
        <v>0</v>
      </c>
      <c r="AS515" t="s">
        <v>3</v>
      </c>
      <c r="AT515">
        <v>35.9</v>
      </c>
      <c r="AU515" t="s">
        <v>87</v>
      </c>
      <c r="AV515">
        <v>1</v>
      </c>
      <c r="AW515">
        <v>2</v>
      </c>
      <c r="AX515">
        <v>129763798</v>
      </c>
      <c r="AY515">
        <v>1</v>
      </c>
      <c r="AZ515">
        <v>0</v>
      </c>
      <c r="BA515">
        <v>521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CX515">
        <f>ROUND(Y515*Source!I522,9)</f>
        <v>6.2051354999999999</v>
      </c>
      <c r="CY515">
        <f>AD515</f>
        <v>0</v>
      </c>
      <c r="CZ515">
        <f>AH515</f>
        <v>0</v>
      </c>
      <c r="DA515">
        <f>AL515</f>
        <v>1</v>
      </c>
      <c r="DB515">
        <f>ROUND((ROUND(AT515*CZ515,2)*1.15),6)</f>
        <v>0</v>
      </c>
      <c r="DC515">
        <f>ROUND((ROUND(AT515*AG515,2)*1.15),6)</f>
        <v>0</v>
      </c>
      <c r="DD515" t="s">
        <v>3</v>
      </c>
      <c r="DE515" t="s">
        <v>3</v>
      </c>
      <c r="DF515">
        <f t="shared" ref="DF515:DF535" si="232">ROUND(AE515*CX515,2)</f>
        <v>0</v>
      </c>
      <c r="DG515">
        <f t="shared" si="229"/>
        <v>0</v>
      </c>
      <c r="DH515">
        <f t="shared" si="230"/>
        <v>0</v>
      </c>
      <c r="DI515">
        <f t="shared" si="231"/>
        <v>0</v>
      </c>
      <c r="DJ515">
        <f>DI515</f>
        <v>0</v>
      </c>
      <c r="DK515">
        <v>0</v>
      </c>
    </row>
    <row r="516" spans="1:115" x14ac:dyDescent="0.2">
      <c r="A516">
        <f>ROW(Source!A522)</f>
        <v>522</v>
      </c>
      <c r="B516">
        <v>129761636</v>
      </c>
      <c r="C516">
        <v>129763782</v>
      </c>
      <c r="D516">
        <v>37418168</v>
      </c>
      <c r="E516">
        <v>1</v>
      </c>
      <c r="F516">
        <v>1</v>
      </c>
      <c r="G516">
        <v>37345137</v>
      </c>
      <c r="H516">
        <v>2</v>
      </c>
      <c r="I516" t="s">
        <v>1139</v>
      </c>
      <c r="J516" t="s">
        <v>1140</v>
      </c>
      <c r="K516" t="s">
        <v>1141</v>
      </c>
      <c r="L516">
        <v>1367</v>
      </c>
      <c r="N516">
        <v>1011</v>
      </c>
      <c r="O516" t="s">
        <v>1102</v>
      </c>
      <c r="P516" t="s">
        <v>1102</v>
      </c>
      <c r="Q516">
        <v>1</v>
      </c>
      <c r="W516">
        <v>0</v>
      </c>
      <c r="X516">
        <v>-1260721122</v>
      </c>
      <c r="Y516">
        <f>(AT516*1.25)</f>
        <v>0.42500000000000004</v>
      </c>
      <c r="AA516">
        <v>0</v>
      </c>
      <c r="AB516">
        <v>6.39</v>
      </c>
      <c r="AC516">
        <v>0.32</v>
      </c>
      <c r="AD516">
        <v>0</v>
      </c>
      <c r="AE516">
        <v>0</v>
      </c>
      <c r="AF516">
        <v>6.39</v>
      </c>
      <c r="AG516">
        <v>0.32</v>
      </c>
      <c r="AH516">
        <v>0</v>
      </c>
      <c r="AI516">
        <v>1</v>
      </c>
      <c r="AJ516">
        <v>1</v>
      </c>
      <c r="AK516">
        <v>1</v>
      </c>
      <c r="AL516">
        <v>1</v>
      </c>
      <c r="AN516">
        <v>0</v>
      </c>
      <c r="AO516">
        <v>1</v>
      </c>
      <c r="AP516">
        <v>1</v>
      </c>
      <c r="AQ516">
        <v>0</v>
      </c>
      <c r="AR516">
        <v>0</v>
      </c>
      <c r="AS516" t="s">
        <v>3</v>
      </c>
      <c r="AT516">
        <v>0.34</v>
      </c>
      <c r="AU516" t="s">
        <v>86</v>
      </c>
      <c r="AV516">
        <v>0</v>
      </c>
      <c r="AW516">
        <v>2</v>
      </c>
      <c r="AX516">
        <v>129763799</v>
      </c>
      <c r="AY516">
        <v>1</v>
      </c>
      <c r="AZ516">
        <v>0</v>
      </c>
      <c r="BA516">
        <v>522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CX516">
        <f>ROUND(Y516*Source!I522,9)</f>
        <v>6.3877500000000004E-2</v>
      </c>
      <c r="CY516">
        <f>AB516</f>
        <v>6.39</v>
      </c>
      <c r="CZ516">
        <f>AF516</f>
        <v>6.39</v>
      </c>
      <c r="DA516">
        <f>AJ516</f>
        <v>1</v>
      </c>
      <c r="DB516">
        <f>ROUND((ROUND(AT516*CZ516,2)*1.25),6)</f>
        <v>2.7124999999999999</v>
      </c>
      <c r="DC516">
        <f>ROUND((ROUND(AT516*AG516,2)*1.25),6)</f>
        <v>0.13750000000000001</v>
      </c>
      <c r="DD516" t="s">
        <v>3</v>
      </c>
      <c r="DE516" t="s">
        <v>3</v>
      </c>
      <c r="DF516">
        <f t="shared" si="232"/>
        <v>0</v>
      </c>
      <c r="DG516">
        <f t="shared" si="229"/>
        <v>0.41</v>
      </c>
      <c r="DH516">
        <f t="shared" si="230"/>
        <v>0.02</v>
      </c>
      <c r="DI516">
        <f t="shared" si="231"/>
        <v>0</v>
      </c>
      <c r="DJ516">
        <f>DG516</f>
        <v>0.41</v>
      </c>
      <c r="DK516">
        <v>0</v>
      </c>
    </row>
    <row r="517" spans="1:115" x14ac:dyDescent="0.2">
      <c r="A517">
        <f>ROW(Source!A522)</f>
        <v>522</v>
      </c>
      <c r="B517">
        <v>129761636</v>
      </c>
      <c r="C517">
        <v>129763782</v>
      </c>
      <c r="D517">
        <v>37418517</v>
      </c>
      <c r="E517">
        <v>1</v>
      </c>
      <c r="F517">
        <v>1</v>
      </c>
      <c r="G517">
        <v>37345137</v>
      </c>
      <c r="H517">
        <v>2</v>
      </c>
      <c r="I517" t="s">
        <v>1142</v>
      </c>
      <c r="J517" t="s">
        <v>1143</v>
      </c>
      <c r="K517" t="s">
        <v>1144</v>
      </c>
      <c r="L517">
        <v>1367</v>
      </c>
      <c r="N517">
        <v>1011</v>
      </c>
      <c r="O517" t="s">
        <v>1102</v>
      </c>
      <c r="P517" t="s">
        <v>1102</v>
      </c>
      <c r="Q517">
        <v>1</v>
      </c>
      <c r="W517">
        <v>0</v>
      </c>
      <c r="X517">
        <v>-840546339</v>
      </c>
      <c r="Y517">
        <f>(AT517*1.25)</f>
        <v>7.7</v>
      </c>
      <c r="AA517">
        <v>0</v>
      </c>
      <c r="AB517">
        <v>2.58</v>
      </c>
      <c r="AC517">
        <v>0.04</v>
      </c>
      <c r="AD517">
        <v>0</v>
      </c>
      <c r="AE517">
        <v>0</v>
      </c>
      <c r="AF517">
        <v>2.58</v>
      </c>
      <c r="AG517">
        <v>0.04</v>
      </c>
      <c r="AH517">
        <v>0</v>
      </c>
      <c r="AI517">
        <v>1</v>
      </c>
      <c r="AJ517">
        <v>1</v>
      </c>
      <c r="AK517">
        <v>1</v>
      </c>
      <c r="AL517">
        <v>1</v>
      </c>
      <c r="AN517">
        <v>0</v>
      </c>
      <c r="AO517">
        <v>1</v>
      </c>
      <c r="AP517">
        <v>1</v>
      </c>
      <c r="AQ517">
        <v>0</v>
      </c>
      <c r="AR517">
        <v>0</v>
      </c>
      <c r="AS517" t="s">
        <v>3</v>
      </c>
      <c r="AT517">
        <v>6.16</v>
      </c>
      <c r="AU517" t="s">
        <v>86</v>
      </c>
      <c r="AV517">
        <v>0</v>
      </c>
      <c r="AW517">
        <v>2</v>
      </c>
      <c r="AX517">
        <v>129763801</v>
      </c>
      <c r="AY517">
        <v>1</v>
      </c>
      <c r="AZ517">
        <v>0</v>
      </c>
      <c r="BA517">
        <v>523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CX517">
        <f>ROUND(Y517*Source!I522,9)</f>
        <v>1.1573100000000001</v>
      </c>
      <c r="CY517">
        <f>AB517</f>
        <v>2.58</v>
      </c>
      <c r="CZ517">
        <f>AF517</f>
        <v>2.58</v>
      </c>
      <c r="DA517">
        <f>AJ517</f>
        <v>1</v>
      </c>
      <c r="DB517">
        <f>ROUND((ROUND(AT517*CZ517,2)*1.25),6)</f>
        <v>19.862500000000001</v>
      </c>
      <c r="DC517">
        <f>ROUND((ROUND(AT517*AG517,2)*1.25),6)</f>
        <v>0.3125</v>
      </c>
      <c r="DD517" t="s">
        <v>3</v>
      </c>
      <c r="DE517" t="s">
        <v>3</v>
      </c>
      <c r="DF517">
        <f t="shared" si="232"/>
        <v>0</v>
      </c>
      <c r="DG517">
        <f t="shared" si="229"/>
        <v>2.99</v>
      </c>
      <c r="DH517">
        <f t="shared" si="230"/>
        <v>0.05</v>
      </c>
      <c r="DI517">
        <f t="shared" si="231"/>
        <v>0</v>
      </c>
      <c r="DJ517">
        <f>DG517</f>
        <v>2.99</v>
      </c>
      <c r="DK517">
        <v>0</v>
      </c>
    </row>
    <row r="518" spans="1:115" x14ac:dyDescent="0.2">
      <c r="A518">
        <f>ROW(Source!A522)</f>
        <v>522</v>
      </c>
      <c r="B518">
        <v>129761636</v>
      </c>
      <c r="C518">
        <v>129763782</v>
      </c>
      <c r="D518">
        <v>37417692</v>
      </c>
      <c r="E518">
        <v>1</v>
      </c>
      <c r="F518">
        <v>1</v>
      </c>
      <c r="G518">
        <v>37345137</v>
      </c>
      <c r="H518">
        <v>2</v>
      </c>
      <c r="I518" t="s">
        <v>1127</v>
      </c>
      <c r="J518" t="s">
        <v>1128</v>
      </c>
      <c r="K518" t="s">
        <v>1129</v>
      </c>
      <c r="L518">
        <v>1367</v>
      </c>
      <c r="N518">
        <v>1011</v>
      </c>
      <c r="O518" t="s">
        <v>1102</v>
      </c>
      <c r="P518" t="s">
        <v>1102</v>
      </c>
      <c r="Q518">
        <v>1</v>
      </c>
      <c r="W518">
        <v>0</v>
      </c>
      <c r="X518">
        <v>-266174272</v>
      </c>
      <c r="Y518">
        <f>(AT518*1.25)</f>
        <v>5.1624999999999996</v>
      </c>
      <c r="AA518">
        <v>0</v>
      </c>
      <c r="AB518">
        <v>190.93</v>
      </c>
      <c r="AC518">
        <v>18.149999999999999</v>
      </c>
      <c r="AD518">
        <v>0</v>
      </c>
      <c r="AE518">
        <v>0</v>
      </c>
      <c r="AF518">
        <v>190.93</v>
      </c>
      <c r="AG518">
        <v>18.149999999999999</v>
      </c>
      <c r="AH518">
        <v>0</v>
      </c>
      <c r="AI518">
        <v>1</v>
      </c>
      <c r="AJ518">
        <v>1</v>
      </c>
      <c r="AK518">
        <v>1</v>
      </c>
      <c r="AL518">
        <v>1</v>
      </c>
      <c r="AN518">
        <v>0</v>
      </c>
      <c r="AO518">
        <v>1</v>
      </c>
      <c r="AP518">
        <v>1</v>
      </c>
      <c r="AQ518">
        <v>0</v>
      </c>
      <c r="AR518">
        <v>0</v>
      </c>
      <c r="AS518" t="s">
        <v>3</v>
      </c>
      <c r="AT518">
        <v>4.13</v>
      </c>
      <c r="AU518" t="s">
        <v>86</v>
      </c>
      <c r="AV518">
        <v>0</v>
      </c>
      <c r="AW518">
        <v>2</v>
      </c>
      <c r="AX518">
        <v>129763800</v>
      </c>
      <c r="AY518">
        <v>1</v>
      </c>
      <c r="AZ518">
        <v>0</v>
      </c>
      <c r="BA518">
        <v>524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CX518">
        <f>ROUND(Y518*Source!I522,9)</f>
        <v>0.77592375000000002</v>
      </c>
      <c r="CY518">
        <f>AB518</f>
        <v>190.93</v>
      </c>
      <c r="CZ518">
        <f>AF518</f>
        <v>190.93</v>
      </c>
      <c r="DA518">
        <f>AJ518</f>
        <v>1</v>
      </c>
      <c r="DB518">
        <f>ROUND((ROUND(AT518*CZ518,2)*1.25),6)</f>
        <v>985.67499999999995</v>
      </c>
      <c r="DC518">
        <f>ROUND((ROUND(AT518*AG518,2)*1.25),6)</f>
        <v>93.7</v>
      </c>
      <c r="DD518" t="s">
        <v>3</v>
      </c>
      <c r="DE518" t="s">
        <v>3</v>
      </c>
      <c r="DF518">
        <f t="shared" si="232"/>
        <v>0</v>
      </c>
      <c r="DG518">
        <f t="shared" si="229"/>
        <v>148.15</v>
      </c>
      <c r="DH518">
        <f t="shared" si="230"/>
        <v>14.08</v>
      </c>
      <c r="DI518">
        <f t="shared" si="231"/>
        <v>0</v>
      </c>
      <c r="DJ518">
        <f>DG518</f>
        <v>148.15</v>
      </c>
      <c r="DK518">
        <v>0</v>
      </c>
    </row>
    <row r="519" spans="1:115" x14ac:dyDescent="0.2">
      <c r="A519">
        <f>ROW(Source!A522)</f>
        <v>522</v>
      </c>
      <c r="B519">
        <v>129761636</v>
      </c>
      <c r="C519">
        <v>129763782</v>
      </c>
      <c r="D519">
        <v>37417811</v>
      </c>
      <c r="E519">
        <v>1</v>
      </c>
      <c r="F519">
        <v>1</v>
      </c>
      <c r="G519">
        <v>37345137</v>
      </c>
      <c r="H519">
        <v>2</v>
      </c>
      <c r="I519" t="s">
        <v>1327</v>
      </c>
      <c r="J519" t="s">
        <v>1328</v>
      </c>
      <c r="K519" t="s">
        <v>1329</v>
      </c>
      <c r="L519">
        <v>1367</v>
      </c>
      <c r="N519">
        <v>1011</v>
      </c>
      <c r="O519" t="s">
        <v>1102</v>
      </c>
      <c r="P519" t="s">
        <v>1102</v>
      </c>
      <c r="Q519">
        <v>1</v>
      </c>
      <c r="W519">
        <v>0</v>
      </c>
      <c r="X519">
        <v>-1295289413</v>
      </c>
      <c r="Y519">
        <f>(AT519*1.25)</f>
        <v>3.9624999999999999</v>
      </c>
      <c r="AA519">
        <v>0</v>
      </c>
      <c r="AB519">
        <v>0.8</v>
      </c>
      <c r="AC519">
        <v>0.09</v>
      </c>
      <c r="AD519">
        <v>0</v>
      </c>
      <c r="AE519">
        <v>0</v>
      </c>
      <c r="AF519">
        <v>0.8</v>
      </c>
      <c r="AG519">
        <v>0.09</v>
      </c>
      <c r="AH519">
        <v>0</v>
      </c>
      <c r="AI519">
        <v>1</v>
      </c>
      <c r="AJ519">
        <v>1</v>
      </c>
      <c r="AK519">
        <v>1</v>
      </c>
      <c r="AL519">
        <v>1</v>
      </c>
      <c r="AN519">
        <v>0</v>
      </c>
      <c r="AO519">
        <v>1</v>
      </c>
      <c r="AP519">
        <v>1</v>
      </c>
      <c r="AQ519">
        <v>0</v>
      </c>
      <c r="AR519">
        <v>0</v>
      </c>
      <c r="AS519" t="s">
        <v>3</v>
      </c>
      <c r="AT519">
        <v>3.17</v>
      </c>
      <c r="AU519" t="s">
        <v>86</v>
      </c>
      <c r="AV519">
        <v>0</v>
      </c>
      <c r="AW519">
        <v>2</v>
      </c>
      <c r="AX519">
        <v>129763802</v>
      </c>
      <c r="AY519">
        <v>1</v>
      </c>
      <c r="AZ519">
        <v>0</v>
      </c>
      <c r="BA519">
        <v>525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CX519">
        <f>ROUND(Y519*Source!I522,9)</f>
        <v>0.59556374999999995</v>
      </c>
      <c r="CY519">
        <f>AB519</f>
        <v>0.8</v>
      </c>
      <c r="CZ519">
        <f>AF519</f>
        <v>0.8</v>
      </c>
      <c r="DA519">
        <f>AJ519</f>
        <v>1</v>
      </c>
      <c r="DB519">
        <f>ROUND((ROUND(AT519*CZ519,2)*1.25),6)</f>
        <v>3.1749999999999998</v>
      </c>
      <c r="DC519">
        <f>ROUND((ROUND(AT519*AG519,2)*1.25),6)</f>
        <v>0.36249999999999999</v>
      </c>
      <c r="DD519" t="s">
        <v>3</v>
      </c>
      <c r="DE519" t="s">
        <v>3</v>
      </c>
      <c r="DF519">
        <f t="shared" si="232"/>
        <v>0</v>
      </c>
      <c r="DG519">
        <f t="shared" si="229"/>
        <v>0.48</v>
      </c>
      <c r="DH519">
        <f t="shared" si="230"/>
        <v>0.05</v>
      </c>
      <c r="DI519">
        <f t="shared" si="231"/>
        <v>0</v>
      </c>
      <c r="DJ519">
        <f>DG519</f>
        <v>0.48</v>
      </c>
      <c r="DK519">
        <v>0</v>
      </c>
    </row>
    <row r="520" spans="1:115" x14ac:dyDescent="0.2">
      <c r="A520">
        <f>ROW(Source!A522)</f>
        <v>522</v>
      </c>
      <c r="B520">
        <v>129761636</v>
      </c>
      <c r="C520">
        <v>129763782</v>
      </c>
      <c r="D520">
        <v>37345890</v>
      </c>
      <c r="E520">
        <v>37345137</v>
      </c>
      <c r="F520">
        <v>1</v>
      </c>
      <c r="G520">
        <v>37345137</v>
      </c>
      <c r="H520">
        <v>2</v>
      </c>
      <c r="I520" t="s">
        <v>1145</v>
      </c>
      <c r="J520" t="s">
        <v>3</v>
      </c>
      <c r="K520" t="s">
        <v>1146</v>
      </c>
      <c r="L520">
        <v>1344</v>
      </c>
      <c r="N520">
        <v>1008</v>
      </c>
      <c r="O520" t="s">
        <v>1138</v>
      </c>
      <c r="P520" t="s">
        <v>1138</v>
      </c>
      <c r="Q520">
        <v>1</v>
      </c>
      <c r="W520">
        <v>0</v>
      </c>
      <c r="X520">
        <v>-1180195794</v>
      </c>
      <c r="Y520">
        <f>(AT520*1.25)</f>
        <v>46.8125</v>
      </c>
      <c r="AA520">
        <v>0</v>
      </c>
      <c r="AB520">
        <v>1</v>
      </c>
      <c r="AC520">
        <v>0</v>
      </c>
      <c r="AD520">
        <v>0</v>
      </c>
      <c r="AE520">
        <v>0</v>
      </c>
      <c r="AF520">
        <v>1</v>
      </c>
      <c r="AG520">
        <v>0</v>
      </c>
      <c r="AH520">
        <v>0</v>
      </c>
      <c r="AI520">
        <v>1</v>
      </c>
      <c r="AJ520">
        <v>1</v>
      </c>
      <c r="AK520">
        <v>1</v>
      </c>
      <c r="AL520">
        <v>1</v>
      </c>
      <c r="AN520">
        <v>0</v>
      </c>
      <c r="AO520">
        <v>1</v>
      </c>
      <c r="AP520">
        <v>1</v>
      </c>
      <c r="AQ520">
        <v>0</v>
      </c>
      <c r="AR520">
        <v>0</v>
      </c>
      <c r="AS520" t="s">
        <v>3</v>
      </c>
      <c r="AT520">
        <v>37.450000000000003</v>
      </c>
      <c r="AU520" t="s">
        <v>86</v>
      </c>
      <c r="AV520">
        <v>0</v>
      </c>
      <c r="AW520">
        <v>2</v>
      </c>
      <c r="AX520">
        <v>129763803</v>
      </c>
      <c r="AY520">
        <v>1</v>
      </c>
      <c r="AZ520">
        <v>0</v>
      </c>
      <c r="BA520">
        <v>526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CX520">
        <f>ROUND(Y520*Source!I522,9)</f>
        <v>7.0359187500000004</v>
      </c>
      <c r="CY520">
        <f>AB520</f>
        <v>1</v>
      </c>
      <c r="CZ520">
        <f>AF520</f>
        <v>1</v>
      </c>
      <c r="DA520">
        <f>AJ520</f>
        <v>1</v>
      </c>
      <c r="DB520">
        <f>ROUND((ROUND(AT520*CZ520,2)*1.25),6)</f>
        <v>46.8125</v>
      </c>
      <c r="DC520">
        <f>ROUND((ROUND(AT520*AG520,2)*1.25),6)</f>
        <v>0</v>
      </c>
      <c r="DD520" t="s">
        <v>3</v>
      </c>
      <c r="DE520" t="s">
        <v>3</v>
      </c>
      <c r="DF520">
        <f t="shared" si="232"/>
        <v>0</v>
      </c>
      <c r="DG520">
        <f t="shared" si="229"/>
        <v>7.04</v>
      </c>
      <c r="DH520">
        <f t="shared" si="230"/>
        <v>0</v>
      </c>
      <c r="DI520">
        <f t="shared" si="231"/>
        <v>0</v>
      </c>
      <c r="DJ520">
        <f>DG520</f>
        <v>7.04</v>
      </c>
      <c r="DK520">
        <v>0</v>
      </c>
    </row>
    <row r="521" spans="1:115" x14ac:dyDescent="0.2">
      <c r="A521">
        <f>ROW(Source!A522)</f>
        <v>522</v>
      </c>
      <c r="B521">
        <v>129761636</v>
      </c>
      <c r="C521">
        <v>129763782</v>
      </c>
      <c r="D521">
        <v>0</v>
      </c>
      <c r="E521">
        <v>1</v>
      </c>
      <c r="F521">
        <v>1</v>
      </c>
      <c r="G521">
        <v>37345137</v>
      </c>
      <c r="H521">
        <v>3</v>
      </c>
      <c r="I521" t="s">
        <v>562</v>
      </c>
      <c r="J521" t="s">
        <v>3</v>
      </c>
      <c r="K521" t="s">
        <v>563</v>
      </c>
      <c r="L521">
        <v>1348</v>
      </c>
      <c r="N521">
        <v>1009</v>
      </c>
      <c r="O521" t="s">
        <v>114</v>
      </c>
      <c r="P521" t="s">
        <v>114</v>
      </c>
      <c r="Q521">
        <v>1000</v>
      </c>
      <c r="W521">
        <v>0</v>
      </c>
      <c r="X521">
        <v>1037925172</v>
      </c>
      <c r="Y521">
        <f t="shared" ref="Y521:Y529" si="233">AT521</f>
        <v>0.12534899999999999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1</v>
      </c>
      <c r="AJ521">
        <v>1</v>
      </c>
      <c r="AK521">
        <v>1</v>
      </c>
      <c r="AL521">
        <v>1</v>
      </c>
      <c r="AN521">
        <v>0</v>
      </c>
      <c r="AO521">
        <v>0</v>
      </c>
      <c r="AP521">
        <v>0</v>
      </c>
      <c r="AQ521">
        <v>0</v>
      </c>
      <c r="AR521">
        <v>0</v>
      </c>
      <c r="AS521" t="s">
        <v>3</v>
      </c>
      <c r="AT521">
        <v>0.12534899999999999</v>
      </c>
      <c r="AU521" t="s">
        <v>3</v>
      </c>
      <c r="AV521">
        <v>0</v>
      </c>
      <c r="AW521">
        <v>1</v>
      </c>
      <c r="AX521">
        <v>-1</v>
      </c>
      <c r="AY521">
        <v>0</v>
      </c>
      <c r="AZ521">
        <v>0</v>
      </c>
      <c r="BA521" t="s">
        <v>3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CX521">
        <f>ROUND(Y521*Source!I522,9)</f>
        <v>1.8839954999999999E-2</v>
      </c>
      <c r="CY521">
        <f t="shared" ref="CY521:CY529" si="234">AA521</f>
        <v>0</v>
      </c>
      <c r="CZ521">
        <f t="shared" ref="CZ521:CZ529" si="235">AE521</f>
        <v>0</v>
      </c>
      <c r="DA521">
        <f t="shared" ref="DA521:DA529" si="236">AI521</f>
        <v>1</v>
      </c>
      <c r="DB521">
        <f t="shared" ref="DB521:DB529" si="237">ROUND(ROUND(AT521*CZ521,2),6)</f>
        <v>0</v>
      </c>
      <c r="DC521">
        <f t="shared" ref="DC521:DC529" si="238">ROUND(ROUND(AT521*AG521,2),6)</f>
        <v>0</v>
      </c>
      <c r="DD521" t="s">
        <v>3</v>
      </c>
      <c r="DE521" t="s">
        <v>3</v>
      </c>
      <c r="DF521">
        <f t="shared" si="232"/>
        <v>0</v>
      </c>
      <c r="DG521">
        <f t="shared" si="229"/>
        <v>0</v>
      </c>
      <c r="DH521">
        <f t="shared" si="230"/>
        <v>0</v>
      </c>
      <c r="DI521">
        <f t="shared" si="231"/>
        <v>0</v>
      </c>
      <c r="DJ521">
        <f t="shared" ref="DJ521:DJ529" si="239">DF521</f>
        <v>0</v>
      </c>
      <c r="DK521">
        <v>0</v>
      </c>
    </row>
    <row r="522" spans="1:115" x14ac:dyDescent="0.2">
      <c r="A522">
        <f>ROW(Source!A522)</f>
        <v>522</v>
      </c>
      <c r="B522">
        <v>129761636</v>
      </c>
      <c r="C522">
        <v>129763782</v>
      </c>
      <c r="D522">
        <v>0</v>
      </c>
      <c r="E522">
        <v>1</v>
      </c>
      <c r="F522">
        <v>1</v>
      </c>
      <c r="G522">
        <v>37345137</v>
      </c>
      <c r="H522">
        <v>3</v>
      </c>
      <c r="I522" t="s">
        <v>559</v>
      </c>
      <c r="J522" t="s">
        <v>3</v>
      </c>
      <c r="K522" t="s">
        <v>560</v>
      </c>
      <c r="L522">
        <v>1348</v>
      </c>
      <c r="N522">
        <v>1009</v>
      </c>
      <c r="O522" t="s">
        <v>114</v>
      </c>
      <c r="P522" t="s">
        <v>114</v>
      </c>
      <c r="Q522">
        <v>1000</v>
      </c>
      <c r="W522">
        <v>0</v>
      </c>
      <c r="X522">
        <v>-2068651919</v>
      </c>
      <c r="Y522">
        <f t="shared" si="233"/>
        <v>0.20299400000000001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1</v>
      </c>
      <c r="AJ522">
        <v>1</v>
      </c>
      <c r="AK522">
        <v>1</v>
      </c>
      <c r="AL522">
        <v>1</v>
      </c>
      <c r="AN522">
        <v>0</v>
      </c>
      <c r="AO522">
        <v>0</v>
      </c>
      <c r="AP522">
        <v>0</v>
      </c>
      <c r="AQ522">
        <v>0</v>
      </c>
      <c r="AR522">
        <v>0</v>
      </c>
      <c r="AS522" t="s">
        <v>3</v>
      </c>
      <c r="AT522">
        <v>0.20299400000000001</v>
      </c>
      <c r="AU522" t="s">
        <v>3</v>
      </c>
      <c r="AV522">
        <v>0</v>
      </c>
      <c r="AW522">
        <v>1</v>
      </c>
      <c r="AX522">
        <v>-1</v>
      </c>
      <c r="AY522">
        <v>0</v>
      </c>
      <c r="AZ522">
        <v>0</v>
      </c>
      <c r="BA522" t="s">
        <v>3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CX522">
        <f>ROUND(Y522*Source!I522,9)</f>
        <v>3.0509998E-2</v>
      </c>
      <c r="CY522">
        <f t="shared" si="234"/>
        <v>0</v>
      </c>
      <c r="CZ522">
        <f t="shared" si="235"/>
        <v>0</v>
      </c>
      <c r="DA522">
        <f t="shared" si="236"/>
        <v>1</v>
      </c>
      <c r="DB522">
        <f t="shared" si="237"/>
        <v>0</v>
      </c>
      <c r="DC522">
        <f t="shared" si="238"/>
        <v>0</v>
      </c>
      <c r="DD522" t="s">
        <v>3</v>
      </c>
      <c r="DE522" t="s">
        <v>3</v>
      </c>
      <c r="DF522">
        <f t="shared" si="232"/>
        <v>0</v>
      </c>
      <c r="DG522">
        <f t="shared" si="229"/>
        <v>0</v>
      </c>
      <c r="DH522">
        <f t="shared" si="230"/>
        <v>0</v>
      </c>
      <c r="DI522">
        <f t="shared" si="231"/>
        <v>0</v>
      </c>
      <c r="DJ522">
        <f t="shared" si="239"/>
        <v>0</v>
      </c>
      <c r="DK522">
        <v>0</v>
      </c>
    </row>
    <row r="523" spans="1:115" x14ac:dyDescent="0.2">
      <c r="A523">
        <f>ROW(Source!A522)</f>
        <v>522</v>
      </c>
      <c r="B523">
        <v>129761636</v>
      </c>
      <c r="C523">
        <v>129763782</v>
      </c>
      <c r="D523">
        <v>0</v>
      </c>
      <c r="E523">
        <v>1</v>
      </c>
      <c r="F523">
        <v>1</v>
      </c>
      <c r="G523">
        <v>37345137</v>
      </c>
      <c r="H523">
        <v>3</v>
      </c>
      <c r="I523" t="s">
        <v>556</v>
      </c>
      <c r="J523" t="s">
        <v>3</v>
      </c>
      <c r="K523" t="s">
        <v>557</v>
      </c>
      <c r="L523">
        <v>1348</v>
      </c>
      <c r="N523">
        <v>1009</v>
      </c>
      <c r="O523" t="s">
        <v>114</v>
      </c>
      <c r="P523" t="s">
        <v>114</v>
      </c>
      <c r="Q523">
        <v>1000</v>
      </c>
      <c r="W523">
        <v>0</v>
      </c>
      <c r="X523">
        <v>1554537809</v>
      </c>
      <c r="Y523">
        <f t="shared" si="233"/>
        <v>0.16008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1</v>
      </c>
      <c r="AJ523">
        <v>1</v>
      </c>
      <c r="AK523">
        <v>1</v>
      </c>
      <c r="AL523">
        <v>1</v>
      </c>
      <c r="AN523">
        <v>0</v>
      </c>
      <c r="AO523">
        <v>0</v>
      </c>
      <c r="AP523">
        <v>0</v>
      </c>
      <c r="AQ523">
        <v>0</v>
      </c>
      <c r="AR523">
        <v>0</v>
      </c>
      <c r="AS523" t="s">
        <v>3</v>
      </c>
      <c r="AT523">
        <v>0.16008</v>
      </c>
      <c r="AU523" t="s">
        <v>3</v>
      </c>
      <c r="AV523">
        <v>0</v>
      </c>
      <c r="AW523">
        <v>1</v>
      </c>
      <c r="AX523">
        <v>-1</v>
      </c>
      <c r="AY523">
        <v>0</v>
      </c>
      <c r="AZ523">
        <v>0</v>
      </c>
      <c r="BA523" t="s">
        <v>3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CX523">
        <f>ROUND(Y523*Source!I522,9)</f>
        <v>2.4060023999999999E-2</v>
      </c>
      <c r="CY523">
        <f t="shared" si="234"/>
        <v>0</v>
      </c>
      <c r="CZ523">
        <f t="shared" si="235"/>
        <v>0</v>
      </c>
      <c r="DA523">
        <f t="shared" si="236"/>
        <v>1</v>
      </c>
      <c r="DB523">
        <f t="shared" si="237"/>
        <v>0</v>
      </c>
      <c r="DC523">
        <f t="shared" si="238"/>
        <v>0</v>
      </c>
      <c r="DD523" t="s">
        <v>3</v>
      </c>
      <c r="DE523" t="s">
        <v>3</v>
      </c>
      <c r="DF523">
        <f t="shared" si="232"/>
        <v>0</v>
      </c>
      <c r="DG523">
        <f t="shared" si="229"/>
        <v>0</v>
      </c>
      <c r="DH523">
        <f t="shared" si="230"/>
        <v>0</v>
      </c>
      <c r="DI523">
        <f t="shared" si="231"/>
        <v>0</v>
      </c>
      <c r="DJ523">
        <f t="shared" si="239"/>
        <v>0</v>
      </c>
      <c r="DK523">
        <v>0</v>
      </c>
    </row>
    <row r="524" spans="1:115" x14ac:dyDescent="0.2">
      <c r="A524">
        <f>ROW(Source!A522)</f>
        <v>522</v>
      </c>
      <c r="B524">
        <v>129761636</v>
      </c>
      <c r="C524">
        <v>129763782</v>
      </c>
      <c r="D524">
        <v>37394864</v>
      </c>
      <c r="E524">
        <v>1</v>
      </c>
      <c r="F524">
        <v>1</v>
      </c>
      <c r="G524">
        <v>37345137</v>
      </c>
      <c r="H524">
        <v>3</v>
      </c>
      <c r="I524" t="s">
        <v>1147</v>
      </c>
      <c r="J524" t="s">
        <v>1148</v>
      </c>
      <c r="K524" t="s">
        <v>1149</v>
      </c>
      <c r="L524">
        <v>1348</v>
      </c>
      <c r="N524">
        <v>1009</v>
      </c>
      <c r="O524" t="s">
        <v>114</v>
      </c>
      <c r="P524" t="s">
        <v>114</v>
      </c>
      <c r="Q524">
        <v>1000</v>
      </c>
      <c r="W524">
        <v>0</v>
      </c>
      <c r="X524">
        <v>1310716689</v>
      </c>
      <c r="Y524">
        <f t="shared" si="233"/>
        <v>4.0000000000000001E-3</v>
      </c>
      <c r="AA524">
        <v>7191.81</v>
      </c>
      <c r="AB524">
        <v>0</v>
      </c>
      <c r="AC524">
        <v>0</v>
      </c>
      <c r="AD524">
        <v>0</v>
      </c>
      <c r="AE524">
        <v>7191.81</v>
      </c>
      <c r="AF524">
        <v>0</v>
      </c>
      <c r="AG524">
        <v>0</v>
      </c>
      <c r="AH524">
        <v>0</v>
      </c>
      <c r="AI524">
        <v>1</v>
      </c>
      <c r="AJ524">
        <v>1</v>
      </c>
      <c r="AK524">
        <v>1</v>
      </c>
      <c r="AL524">
        <v>1</v>
      </c>
      <c r="AN524">
        <v>0</v>
      </c>
      <c r="AO524">
        <v>1</v>
      </c>
      <c r="AP524">
        <v>0</v>
      </c>
      <c r="AQ524">
        <v>0</v>
      </c>
      <c r="AR524">
        <v>0</v>
      </c>
      <c r="AS524" t="s">
        <v>3</v>
      </c>
      <c r="AT524">
        <v>4.0000000000000001E-3</v>
      </c>
      <c r="AU524" t="s">
        <v>3</v>
      </c>
      <c r="AV524">
        <v>0</v>
      </c>
      <c r="AW524">
        <v>2</v>
      </c>
      <c r="AX524">
        <v>129763804</v>
      </c>
      <c r="AY524">
        <v>1</v>
      </c>
      <c r="AZ524">
        <v>0</v>
      </c>
      <c r="BA524">
        <v>527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CX524">
        <f>ROUND(Y524*Source!I522,9)</f>
        <v>6.0119999999999998E-4</v>
      </c>
      <c r="CY524">
        <f t="shared" si="234"/>
        <v>7191.81</v>
      </c>
      <c r="CZ524">
        <f t="shared" si="235"/>
        <v>7191.81</v>
      </c>
      <c r="DA524">
        <f t="shared" si="236"/>
        <v>1</v>
      </c>
      <c r="DB524">
        <f t="shared" si="237"/>
        <v>28.77</v>
      </c>
      <c r="DC524">
        <f t="shared" si="238"/>
        <v>0</v>
      </c>
      <c r="DD524" t="s">
        <v>3</v>
      </c>
      <c r="DE524" t="s">
        <v>3</v>
      </c>
      <c r="DF524">
        <f t="shared" si="232"/>
        <v>4.32</v>
      </c>
      <c r="DG524">
        <f t="shared" si="229"/>
        <v>0</v>
      </c>
      <c r="DH524">
        <f t="shared" si="230"/>
        <v>0</v>
      </c>
      <c r="DI524">
        <f t="shared" si="231"/>
        <v>0</v>
      </c>
      <c r="DJ524">
        <f t="shared" si="239"/>
        <v>4.32</v>
      </c>
      <c r="DK524">
        <v>0</v>
      </c>
    </row>
    <row r="525" spans="1:115" x14ac:dyDescent="0.2">
      <c r="A525">
        <f>ROW(Source!A522)</f>
        <v>522</v>
      </c>
      <c r="B525">
        <v>129761636</v>
      </c>
      <c r="C525">
        <v>129763782</v>
      </c>
      <c r="D525">
        <v>0</v>
      </c>
      <c r="E525">
        <v>1</v>
      </c>
      <c r="F525">
        <v>1</v>
      </c>
      <c r="G525">
        <v>37345137</v>
      </c>
      <c r="H525">
        <v>3</v>
      </c>
      <c r="I525" t="s">
        <v>553</v>
      </c>
      <c r="J525" t="s">
        <v>3</v>
      </c>
      <c r="K525" t="s">
        <v>554</v>
      </c>
      <c r="L525">
        <v>1348</v>
      </c>
      <c r="N525">
        <v>1009</v>
      </c>
      <c r="O525" t="s">
        <v>114</v>
      </c>
      <c r="P525" t="s">
        <v>114</v>
      </c>
      <c r="Q525">
        <v>1000</v>
      </c>
      <c r="W525">
        <v>0</v>
      </c>
      <c r="X525">
        <v>-1727109647</v>
      </c>
      <c r="Y525">
        <f t="shared" si="233"/>
        <v>0.119228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1</v>
      </c>
      <c r="AJ525">
        <v>1</v>
      </c>
      <c r="AK525">
        <v>1</v>
      </c>
      <c r="AL525">
        <v>1</v>
      </c>
      <c r="AN525">
        <v>0</v>
      </c>
      <c r="AO525">
        <v>0</v>
      </c>
      <c r="AP525">
        <v>0</v>
      </c>
      <c r="AQ525">
        <v>0</v>
      </c>
      <c r="AR525">
        <v>0</v>
      </c>
      <c r="AS525" t="s">
        <v>3</v>
      </c>
      <c r="AT525">
        <v>0.119228</v>
      </c>
      <c r="AU525" t="s">
        <v>3</v>
      </c>
      <c r="AV525">
        <v>0</v>
      </c>
      <c r="AW525">
        <v>1</v>
      </c>
      <c r="AX525">
        <v>-1</v>
      </c>
      <c r="AY525">
        <v>0</v>
      </c>
      <c r="AZ525">
        <v>0</v>
      </c>
      <c r="BA525" t="s">
        <v>3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CX525">
        <f>ROUND(Y525*Source!I522,9)</f>
        <v>1.7919968000000001E-2</v>
      </c>
      <c r="CY525">
        <f t="shared" si="234"/>
        <v>0</v>
      </c>
      <c r="CZ525">
        <f t="shared" si="235"/>
        <v>0</v>
      </c>
      <c r="DA525">
        <f t="shared" si="236"/>
        <v>1</v>
      </c>
      <c r="DB525">
        <f t="shared" si="237"/>
        <v>0</v>
      </c>
      <c r="DC525">
        <f t="shared" si="238"/>
        <v>0</v>
      </c>
      <c r="DD525" t="s">
        <v>3</v>
      </c>
      <c r="DE525" t="s">
        <v>3</v>
      </c>
      <c r="DF525">
        <f t="shared" si="232"/>
        <v>0</v>
      </c>
      <c r="DG525">
        <f t="shared" si="229"/>
        <v>0</v>
      </c>
      <c r="DH525">
        <f t="shared" si="230"/>
        <v>0</v>
      </c>
      <c r="DI525">
        <f t="shared" si="231"/>
        <v>0</v>
      </c>
      <c r="DJ525">
        <f t="shared" si="239"/>
        <v>0</v>
      </c>
      <c r="DK525">
        <v>0</v>
      </c>
    </row>
    <row r="526" spans="1:115" x14ac:dyDescent="0.2">
      <c r="A526">
        <f>ROW(Source!A522)</f>
        <v>522</v>
      </c>
      <c r="B526">
        <v>129761636</v>
      </c>
      <c r="C526">
        <v>129763782</v>
      </c>
      <c r="D526">
        <v>0</v>
      </c>
      <c r="E526">
        <v>1</v>
      </c>
      <c r="F526">
        <v>1</v>
      </c>
      <c r="G526">
        <v>37345137</v>
      </c>
      <c r="H526">
        <v>3</v>
      </c>
      <c r="I526" t="s">
        <v>565</v>
      </c>
      <c r="J526" t="s">
        <v>3</v>
      </c>
      <c r="K526" t="s">
        <v>566</v>
      </c>
      <c r="L526">
        <v>1348</v>
      </c>
      <c r="N526">
        <v>1009</v>
      </c>
      <c r="O526" t="s">
        <v>114</v>
      </c>
      <c r="P526" t="s">
        <v>114</v>
      </c>
      <c r="Q526">
        <v>1000</v>
      </c>
      <c r="W526">
        <v>0</v>
      </c>
      <c r="X526">
        <v>-1207895087</v>
      </c>
      <c r="Y526">
        <f t="shared" si="233"/>
        <v>0.3925482368596141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1</v>
      </c>
      <c r="AJ526">
        <v>1</v>
      </c>
      <c r="AK526">
        <v>1</v>
      </c>
      <c r="AL526">
        <v>1</v>
      </c>
      <c r="AN526">
        <v>0</v>
      </c>
      <c r="AO526">
        <v>0</v>
      </c>
      <c r="AP526">
        <v>0</v>
      </c>
      <c r="AQ526">
        <v>0</v>
      </c>
      <c r="AR526">
        <v>0</v>
      </c>
      <c r="AS526" t="s">
        <v>3</v>
      </c>
      <c r="AT526">
        <v>0.3925482368596141</v>
      </c>
      <c r="AU526" t="s">
        <v>3</v>
      </c>
      <c r="AV526">
        <v>0</v>
      </c>
      <c r="AW526">
        <v>1</v>
      </c>
      <c r="AX526">
        <v>-1</v>
      </c>
      <c r="AY526">
        <v>0</v>
      </c>
      <c r="AZ526">
        <v>0</v>
      </c>
      <c r="BA526" t="s">
        <v>3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CX526">
        <f>ROUND(Y526*Source!I522,9)</f>
        <v>5.8999999999999997E-2</v>
      </c>
      <c r="CY526">
        <f t="shared" si="234"/>
        <v>0</v>
      </c>
      <c r="CZ526">
        <f t="shared" si="235"/>
        <v>0</v>
      </c>
      <c r="DA526">
        <f t="shared" si="236"/>
        <v>1</v>
      </c>
      <c r="DB526">
        <f t="shared" si="237"/>
        <v>0</v>
      </c>
      <c r="DC526">
        <f t="shared" si="238"/>
        <v>0</v>
      </c>
      <c r="DD526" t="s">
        <v>3</v>
      </c>
      <c r="DE526" t="s">
        <v>3</v>
      </c>
      <c r="DF526">
        <f t="shared" si="232"/>
        <v>0</v>
      </c>
      <c r="DG526">
        <f t="shared" si="229"/>
        <v>0</v>
      </c>
      <c r="DH526">
        <f t="shared" si="230"/>
        <v>0</v>
      </c>
      <c r="DI526">
        <f t="shared" si="231"/>
        <v>0</v>
      </c>
      <c r="DJ526">
        <f t="shared" si="239"/>
        <v>0</v>
      </c>
      <c r="DK526">
        <v>0</v>
      </c>
    </row>
    <row r="527" spans="1:115" x14ac:dyDescent="0.2">
      <c r="A527">
        <f>ROW(Source!A522)</f>
        <v>522</v>
      </c>
      <c r="B527">
        <v>129761636</v>
      </c>
      <c r="C527">
        <v>129763782</v>
      </c>
      <c r="D527">
        <v>37415049</v>
      </c>
      <c r="E527">
        <v>1</v>
      </c>
      <c r="F527">
        <v>1</v>
      </c>
      <c r="G527">
        <v>37345137</v>
      </c>
      <c r="H527">
        <v>3</v>
      </c>
      <c r="I527" t="s">
        <v>568</v>
      </c>
      <c r="J527" t="s">
        <v>570</v>
      </c>
      <c r="K527" t="s">
        <v>569</v>
      </c>
      <c r="L527">
        <v>1348</v>
      </c>
      <c r="N527">
        <v>1009</v>
      </c>
      <c r="O527" t="s">
        <v>114</v>
      </c>
      <c r="P527" t="s">
        <v>114</v>
      </c>
      <c r="Q527">
        <v>1000</v>
      </c>
      <c r="W527">
        <v>1</v>
      </c>
      <c r="X527">
        <v>-2026157207</v>
      </c>
      <c r="Y527">
        <f t="shared" si="233"/>
        <v>-1E-3</v>
      </c>
      <c r="AA527">
        <v>12654.07</v>
      </c>
      <c r="AB527">
        <v>0</v>
      </c>
      <c r="AC527">
        <v>0</v>
      </c>
      <c r="AD527">
        <v>0</v>
      </c>
      <c r="AE527">
        <v>12654.07</v>
      </c>
      <c r="AF527">
        <v>0</v>
      </c>
      <c r="AG527">
        <v>0</v>
      </c>
      <c r="AH527">
        <v>0</v>
      </c>
      <c r="AI527">
        <v>1</v>
      </c>
      <c r="AJ527">
        <v>1</v>
      </c>
      <c r="AK527">
        <v>1</v>
      </c>
      <c r="AL527">
        <v>1</v>
      </c>
      <c r="AN527">
        <v>0</v>
      </c>
      <c r="AO527">
        <v>1</v>
      </c>
      <c r="AP527">
        <v>0</v>
      </c>
      <c r="AQ527">
        <v>0</v>
      </c>
      <c r="AR527">
        <v>0</v>
      </c>
      <c r="AS527" t="s">
        <v>3</v>
      </c>
      <c r="AT527">
        <v>-1E-3</v>
      </c>
      <c r="AU527" t="s">
        <v>3</v>
      </c>
      <c r="AV527">
        <v>0</v>
      </c>
      <c r="AW527">
        <v>2</v>
      </c>
      <c r="AX527">
        <v>129763805</v>
      </c>
      <c r="AY527">
        <v>1</v>
      </c>
      <c r="AZ527">
        <v>6144</v>
      </c>
      <c r="BA527">
        <v>528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CX527">
        <f>ROUND(Y527*Source!I522,9)</f>
        <v>-1.5029999999999999E-4</v>
      </c>
      <c r="CY527">
        <f t="shared" si="234"/>
        <v>12654.07</v>
      </c>
      <c r="CZ527">
        <f t="shared" si="235"/>
        <v>12654.07</v>
      </c>
      <c r="DA527">
        <f t="shared" si="236"/>
        <v>1</v>
      </c>
      <c r="DB527">
        <f t="shared" si="237"/>
        <v>-12.65</v>
      </c>
      <c r="DC527">
        <f t="shared" si="238"/>
        <v>0</v>
      </c>
      <c r="DD527" t="s">
        <v>3</v>
      </c>
      <c r="DE527" t="s">
        <v>3</v>
      </c>
      <c r="DF527">
        <f t="shared" si="232"/>
        <v>-1.9</v>
      </c>
      <c r="DG527">
        <f t="shared" si="229"/>
        <v>0</v>
      </c>
      <c r="DH527">
        <f t="shared" si="230"/>
        <v>0</v>
      </c>
      <c r="DI527">
        <f t="shared" si="231"/>
        <v>0</v>
      </c>
      <c r="DJ527">
        <f t="shared" si="239"/>
        <v>-1.9</v>
      </c>
      <c r="DK527">
        <v>0</v>
      </c>
    </row>
    <row r="528" spans="1:115" x14ac:dyDescent="0.2">
      <c r="A528">
        <f>ROW(Source!A522)</f>
        <v>522</v>
      </c>
      <c r="B528">
        <v>129761636</v>
      </c>
      <c r="C528">
        <v>129763782</v>
      </c>
      <c r="D528">
        <v>0</v>
      </c>
      <c r="E528">
        <v>1</v>
      </c>
      <c r="F528">
        <v>1</v>
      </c>
      <c r="G528">
        <v>37345137</v>
      </c>
      <c r="H528">
        <v>3</v>
      </c>
      <c r="I528" t="s">
        <v>549</v>
      </c>
      <c r="J528" t="s">
        <v>3</v>
      </c>
      <c r="K528" t="s">
        <v>550</v>
      </c>
      <c r="L528">
        <v>1355</v>
      </c>
      <c r="N528">
        <v>1010</v>
      </c>
      <c r="O528" t="s">
        <v>551</v>
      </c>
      <c r="P528" t="s">
        <v>551</v>
      </c>
      <c r="Q528">
        <v>100</v>
      </c>
      <c r="W528">
        <v>0</v>
      </c>
      <c r="X528">
        <v>-439988179</v>
      </c>
      <c r="Y528">
        <f t="shared" si="233"/>
        <v>1.0645375914836994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1</v>
      </c>
      <c r="AJ528">
        <v>1</v>
      </c>
      <c r="AK528">
        <v>1</v>
      </c>
      <c r="AL528">
        <v>1</v>
      </c>
      <c r="AN528">
        <v>0</v>
      </c>
      <c r="AO528">
        <v>0</v>
      </c>
      <c r="AP528">
        <v>0</v>
      </c>
      <c r="AQ528">
        <v>0</v>
      </c>
      <c r="AR528">
        <v>0</v>
      </c>
      <c r="AS528" t="s">
        <v>3</v>
      </c>
      <c r="AT528">
        <v>1.0645375914836994</v>
      </c>
      <c r="AU528" t="s">
        <v>3</v>
      </c>
      <c r="AV528">
        <v>0</v>
      </c>
      <c r="AW528">
        <v>1</v>
      </c>
      <c r="AX528">
        <v>-1</v>
      </c>
      <c r="AY528">
        <v>0</v>
      </c>
      <c r="AZ528">
        <v>0</v>
      </c>
      <c r="BA528" t="s">
        <v>3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CX528">
        <f>ROUND(Y528*Source!I522,9)</f>
        <v>0.16</v>
      </c>
      <c r="CY528">
        <f t="shared" si="234"/>
        <v>0</v>
      </c>
      <c r="CZ528">
        <f t="shared" si="235"/>
        <v>0</v>
      </c>
      <c r="DA528">
        <f t="shared" si="236"/>
        <v>1</v>
      </c>
      <c r="DB528">
        <f t="shared" si="237"/>
        <v>0</v>
      </c>
      <c r="DC528">
        <f t="shared" si="238"/>
        <v>0</v>
      </c>
      <c r="DD528" t="s">
        <v>3</v>
      </c>
      <c r="DE528" t="s">
        <v>3</v>
      </c>
      <c r="DF528">
        <f t="shared" si="232"/>
        <v>0</v>
      </c>
      <c r="DG528">
        <f t="shared" si="229"/>
        <v>0</v>
      </c>
      <c r="DH528">
        <f t="shared" si="230"/>
        <v>0</v>
      </c>
      <c r="DI528">
        <f t="shared" si="231"/>
        <v>0</v>
      </c>
      <c r="DJ528">
        <f t="shared" si="239"/>
        <v>0</v>
      </c>
      <c r="DK528">
        <v>0</v>
      </c>
    </row>
    <row r="529" spans="1:115" x14ac:dyDescent="0.2">
      <c r="A529">
        <f>ROW(Source!A522)</f>
        <v>522</v>
      </c>
      <c r="B529">
        <v>129761636</v>
      </c>
      <c r="C529">
        <v>129763782</v>
      </c>
      <c r="D529">
        <v>37367082</v>
      </c>
      <c r="E529">
        <v>37345137</v>
      </c>
      <c r="F529">
        <v>1</v>
      </c>
      <c r="G529">
        <v>37345137</v>
      </c>
      <c r="H529">
        <v>3</v>
      </c>
      <c r="I529" t="s">
        <v>1136</v>
      </c>
      <c r="J529" t="s">
        <v>3</v>
      </c>
      <c r="K529" t="s">
        <v>1137</v>
      </c>
      <c r="L529">
        <v>1344</v>
      </c>
      <c r="N529">
        <v>1008</v>
      </c>
      <c r="O529" t="s">
        <v>1138</v>
      </c>
      <c r="P529" t="s">
        <v>1138</v>
      </c>
      <c r="Q529">
        <v>1</v>
      </c>
      <c r="W529">
        <v>0</v>
      </c>
      <c r="X529">
        <v>-94250534</v>
      </c>
      <c r="Y529">
        <f t="shared" si="233"/>
        <v>39.479999999999997</v>
      </c>
      <c r="AA529">
        <v>1</v>
      </c>
      <c r="AB529">
        <v>0</v>
      </c>
      <c r="AC529">
        <v>0</v>
      </c>
      <c r="AD529">
        <v>0</v>
      </c>
      <c r="AE529">
        <v>1</v>
      </c>
      <c r="AF529">
        <v>0</v>
      </c>
      <c r="AG529">
        <v>0</v>
      </c>
      <c r="AH529">
        <v>0</v>
      </c>
      <c r="AI529">
        <v>1</v>
      </c>
      <c r="AJ529">
        <v>1</v>
      </c>
      <c r="AK529">
        <v>1</v>
      </c>
      <c r="AL529">
        <v>1</v>
      </c>
      <c r="AN529">
        <v>0</v>
      </c>
      <c r="AO529">
        <v>1</v>
      </c>
      <c r="AP529">
        <v>0</v>
      </c>
      <c r="AQ529">
        <v>0</v>
      </c>
      <c r="AR529">
        <v>0</v>
      </c>
      <c r="AS529" t="s">
        <v>3</v>
      </c>
      <c r="AT529">
        <v>39.479999999999997</v>
      </c>
      <c r="AU529" t="s">
        <v>3</v>
      </c>
      <c r="AV529">
        <v>0</v>
      </c>
      <c r="AW529">
        <v>2</v>
      </c>
      <c r="AX529">
        <v>129763808</v>
      </c>
      <c r="AY529">
        <v>1</v>
      </c>
      <c r="AZ529">
        <v>0</v>
      </c>
      <c r="BA529">
        <v>531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CX529">
        <f>ROUND(Y529*Source!I522,9)</f>
        <v>5.9338439999999997</v>
      </c>
      <c r="CY529">
        <f t="shared" si="234"/>
        <v>1</v>
      </c>
      <c r="CZ529">
        <f t="shared" si="235"/>
        <v>1</v>
      </c>
      <c r="DA529">
        <f t="shared" si="236"/>
        <v>1</v>
      </c>
      <c r="DB529">
        <f t="shared" si="237"/>
        <v>39.479999999999997</v>
      </c>
      <c r="DC529">
        <f t="shared" si="238"/>
        <v>0</v>
      </c>
      <c r="DD529" t="s">
        <v>3</v>
      </c>
      <c r="DE529" t="s">
        <v>3</v>
      </c>
      <c r="DF529">
        <f t="shared" si="232"/>
        <v>5.93</v>
      </c>
      <c r="DG529">
        <f t="shared" si="229"/>
        <v>0</v>
      </c>
      <c r="DH529">
        <f t="shared" si="230"/>
        <v>0</v>
      </c>
      <c r="DI529">
        <f t="shared" si="231"/>
        <v>0</v>
      </c>
      <c r="DJ529">
        <f t="shared" si="239"/>
        <v>5.93</v>
      </c>
      <c r="DK529">
        <v>0</v>
      </c>
    </row>
    <row r="530" spans="1:115" x14ac:dyDescent="0.2">
      <c r="A530">
        <f>ROW(Source!A523)</f>
        <v>523</v>
      </c>
      <c r="B530">
        <v>129761633</v>
      </c>
      <c r="C530">
        <v>129763782</v>
      </c>
      <c r="D530">
        <v>37345142</v>
      </c>
      <c r="E530">
        <v>37345137</v>
      </c>
      <c r="F530">
        <v>1</v>
      </c>
      <c r="G530">
        <v>37345137</v>
      </c>
      <c r="H530">
        <v>1</v>
      </c>
      <c r="I530" t="s">
        <v>1096</v>
      </c>
      <c r="J530" t="s">
        <v>3</v>
      </c>
      <c r="K530" t="s">
        <v>1097</v>
      </c>
      <c r="L530">
        <v>1191</v>
      </c>
      <c r="N530">
        <v>1013</v>
      </c>
      <c r="O530" t="s">
        <v>1098</v>
      </c>
      <c r="P530" t="s">
        <v>1098</v>
      </c>
      <c r="Q530">
        <v>1</v>
      </c>
      <c r="W530">
        <v>0</v>
      </c>
      <c r="X530">
        <v>476480486</v>
      </c>
      <c r="Y530">
        <f>(AT530*1.15)</f>
        <v>41.284999999999997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1</v>
      </c>
      <c r="AJ530">
        <v>1</v>
      </c>
      <c r="AK530">
        <v>1</v>
      </c>
      <c r="AL530">
        <v>1</v>
      </c>
      <c r="AN530">
        <v>0</v>
      </c>
      <c r="AO530">
        <v>1</v>
      </c>
      <c r="AP530">
        <v>1</v>
      </c>
      <c r="AQ530">
        <v>0</v>
      </c>
      <c r="AR530">
        <v>0</v>
      </c>
      <c r="AS530" t="s">
        <v>3</v>
      </c>
      <c r="AT530">
        <v>35.9</v>
      </c>
      <c r="AU530" t="s">
        <v>87</v>
      </c>
      <c r="AV530">
        <v>1</v>
      </c>
      <c r="AW530">
        <v>2</v>
      </c>
      <c r="AX530">
        <v>129763798</v>
      </c>
      <c r="AY530">
        <v>1</v>
      </c>
      <c r="AZ530">
        <v>0</v>
      </c>
      <c r="BA530">
        <v>532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CX530">
        <f>ROUND(Y530*Source!I523,9)</f>
        <v>6.2051354999999999</v>
      </c>
      <c r="CY530">
        <f>AD530</f>
        <v>0</v>
      </c>
      <c r="CZ530">
        <f>AH530</f>
        <v>0</v>
      </c>
      <c r="DA530">
        <f>AL530</f>
        <v>1</v>
      </c>
      <c r="DB530">
        <f>ROUND((ROUND(AT530*CZ530,2)*1.15),6)</f>
        <v>0</v>
      </c>
      <c r="DC530">
        <f>ROUND((ROUND(AT530*AG530,2)*1.15),6)</f>
        <v>0</v>
      </c>
      <c r="DD530" t="s">
        <v>3</v>
      </c>
      <c r="DE530" t="s">
        <v>3</v>
      </c>
      <c r="DF530">
        <f t="shared" si="232"/>
        <v>0</v>
      </c>
      <c r="DG530">
        <f t="shared" si="229"/>
        <v>0</v>
      </c>
      <c r="DH530">
        <f t="shared" si="230"/>
        <v>0</v>
      </c>
      <c r="DI530">
        <f t="shared" si="231"/>
        <v>0</v>
      </c>
      <c r="DJ530">
        <f>DI530</f>
        <v>0</v>
      </c>
      <c r="DK530">
        <v>0</v>
      </c>
    </row>
    <row r="531" spans="1:115" x14ac:dyDescent="0.2">
      <c r="A531">
        <f>ROW(Source!A523)</f>
        <v>523</v>
      </c>
      <c r="B531">
        <v>129761633</v>
      </c>
      <c r="C531">
        <v>129763782</v>
      </c>
      <c r="D531">
        <v>37418168</v>
      </c>
      <c r="E531">
        <v>1</v>
      </c>
      <c r="F531">
        <v>1</v>
      </c>
      <c r="G531">
        <v>37345137</v>
      </c>
      <c r="H531">
        <v>2</v>
      </c>
      <c r="I531" t="s">
        <v>1139</v>
      </c>
      <c r="J531" t="s">
        <v>1140</v>
      </c>
      <c r="K531" t="s">
        <v>1141</v>
      </c>
      <c r="L531">
        <v>1367</v>
      </c>
      <c r="N531">
        <v>1011</v>
      </c>
      <c r="O531" t="s">
        <v>1102</v>
      </c>
      <c r="P531" t="s">
        <v>1102</v>
      </c>
      <c r="Q531">
        <v>1</v>
      </c>
      <c r="W531">
        <v>0</v>
      </c>
      <c r="X531">
        <v>-1260721122</v>
      </c>
      <c r="Y531">
        <f>(AT531*1.25)</f>
        <v>0.42500000000000004</v>
      </c>
      <c r="AA531">
        <v>0</v>
      </c>
      <c r="AB531">
        <v>77.03</v>
      </c>
      <c r="AC531">
        <v>10.1</v>
      </c>
      <c r="AD531">
        <v>0</v>
      </c>
      <c r="AE531">
        <v>0</v>
      </c>
      <c r="AF531">
        <v>6.39</v>
      </c>
      <c r="AG531">
        <v>0.32</v>
      </c>
      <c r="AH531">
        <v>0</v>
      </c>
      <c r="AI531">
        <v>1</v>
      </c>
      <c r="AJ531">
        <v>11.09</v>
      </c>
      <c r="AK531">
        <v>29.03</v>
      </c>
      <c r="AL531">
        <v>1</v>
      </c>
      <c r="AN531">
        <v>0</v>
      </c>
      <c r="AO531">
        <v>1</v>
      </c>
      <c r="AP531">
        <v>1</v>
      </c>
      <c r="AQ531">
        <v>0</v>
      </c>
      <c r="AR531">
        <v>0</v>
      </c>
      <c r="AS531" t="s">
        <v>3</v>
      </c>
      <c r="AT531">
        <v>0.34</v>
      </c>
      <c r="AU531" t="s">
        <v>86</v>
      </c>
      <c r="AV531">
        <v>0</v>
      </c>
      <c r="AW531">
        <v>2</v>
      </c>
      <c r="AX531">
        <v>129763799</v>
      </c>
      <c r="AY531">
        <v>1</v>
      </c>
      <c r="AZ531">
        <v>0</v>
      </c>
      <c r="BA531">
        <v>533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CX531">
        <f>ROUND(Y531*Source!I523,9)</f>
        <v>6.3877500000000004E-2</v>
      </c>
      <c r="CY531">
        <f>AB531</f>
        <v>77.03</v>
      </c>
      <c r="CZ531">
        <f>AF531</f>
        <v>6.39</v>
      </c>
      <c r="DA531">
        <f>AJ531</f>
        <v>11.09</v>
      </c>
      <c r="DB531">
        <f>ROUND((ROUND(AT531*CZ531,2)*1.25),6)</f>
        <v>2.7124999999999999</v>
      </c>
      <c r="DC531">
        <f>ROUND((ROUND(AT531*AG531,2)*1.25),6)</f>
        <v>0.13750000000000001</v>
      </c>
      <c r="DD531" t="s">
        <v>3</v>
      </c>
      <c r="DE531" t="s">
        <v>3</v>
      </c>
      <c r="DF531">
        <f t="shared" si="232"/>
        <v>0</v>
      </c>
      <c r="DG531">
        <f>ROUND(ROUND(AF531*CX531,2)*AJ531,2)</f>
        <v>4.55</v>
      </c>
      <c r="DH531">
        <f>ROUND(ROUND(AG531*CX531,2)*AK531,2)</f>
        <v>0.57999999999999996</v>
      </c>
      <c r="DI531">
        <f t="shared" si="231"/>
        <v>0</v>
      </c>
      <c r="DJ531">
        <f>DG531</f>
        <v>4.55</v>
      </c>
      <c r="DK531">
        <v>0</v>
      </c>
    </row>
    <row r="532" spans="1:115" x14ac:dyDescent="0.2">
      <c r="A532">
        <f>ROW(Source!A523)</f>
        <v>523</v>
      </c>
      <c r="B532">
        <v>129761633</v>
      </c>
      <c r="C532">
        <v>129763782</v>
      </c>
      <c r="D532">
        <v>37418517</v>
      </c>
      <c r="E532">
        <v>1</v>
      </c>
      <c r="F532">
        <v>1</v>
      </c>
      <c r="G532">
        <v>37345137</v>
      </c>
      <c r="H532">
        <v>2</v>
      </c>
      <c r="I532" t="s">
        <v>1142</v>
      </c>
      <c r="J532" t="s">
        <v>1143</v>
      </c>
      <c r="K532" t="s">
        <v>1144</v>
      </c>
      <c r="L532">
        <v>1367</v>
      </c>
      <c r="N532">
        <v>1011</v>
      </c>
      <c r="O532" t="s">
        <v>1102</v>
      </c>
      <c r="P532" t="s">
        <v>1102</v>
      </c>
      <c r="Q532">
        <v>1</v>
      </c>
      <c r="W532">
        <v>0</v>
      </c>
      <c r="X532">
        <v>-840546339</v>
      </c>
      <c r="Y532">
        <f>(AT532*1.25)</f>
        <v>7.7</v>
      </c>
      <c r="AA532">
        <v>0</v>
      </c>
      <c r="AB532">
        <v>33.54</v>
      </c>
      <c r="AC532">
        <v>1.26</v>
      </c>
      <c r="AD532">
        <v>0</v>
      </c>
      <c r="AE532">
        <v>0</v>
      </c>
      <c r="AF532">
        <v>2.58</v>
      </c>
      <c r="AG532">
        <v>0.04</v>
      </c>
      <c r="AH532">
        <v>0</v>
      </c>
      <c r="AI532">
        <v>1</v>
      </c>
      <c r="AJ532">
        <v>11.96</v>
      </c>
      <c r="AK532">
        <v>29.03</v>
      </c>
      <c r="AL532">
        <v>1</v>
      </c>
      <c r="AN532">
        <v>0</v>
      </c>
      <c r="AO532">
        <v>1</v>
      </c>
      <c r="AP532">
        <v>1</v>
      </c>
      <c r="AQ532">
        <v>0</v>
      </c>
      <c r="AR532">
        <v>0</v>
      </c>
      <c r="AS532" t="s">
        <v>3</v>
      </c>
      <c r="AT532">
        <v>6.16</v>
      </c>
      <c r="AU532" t="s">
        <v>86</v>
      </c>
      <c r="AV532">
        <v>0</v>
      </c>
      <c r="AW532">
        <v>2</v>
      </c>
      <c r="AX532">
        <v>129763801</v>
      </c>
      <c r="AY532">
        <v>1</v>
      </c>
      <c r="AZ532">
        <v>0</v>
      </c>
      <c r="BA532">
        <v>534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CX532">
        <f>ROUND(Y532*Source!I523,9)</f>
        <v>1.1573100000000001</v>
      </c>
      <c r="CY532">
        <f>AB532</f>
        <v>33.54</v>
      </c>
      <c r="CZ532">
        <f>AF532</f>
        <v>2.58</v>
      </c>
      <c r="DA532">
        <f>AJ532</f>
        <v>11.96</v>
      </c>
      <c r="DB532">
        <f>ROUND((ROUND(AT532*CZ532,2)*1.25),6)</f>
        <v>19.862500000000001</v>
      </c>
      <c r="DC532">
        <f>ROUND((ROUND(AT532*AG532,2)*1.25),6)</f>
        <v>0.3125</v>
      </c>
      <c r="DD532" t="s">
        <v>3</v>
      </c>
      <c r="DE532" t="s">
        <v>3</v>
      </c>
      <c r="DF532">
        <f t="shared" si="232"/>
        <v>0</v>
      </c>
      <c r="DG532">
        <f>ROUND(ROUND(AF532*CX532,2)*AJ532,2)</f>
        <v>35.76</v>
      </c>
      <c r="DH532">
        <f>ROUND(ROUND(AG532*CX532,2)*AK532,2)</f>
        <v>1.45</v>
      </c>
      <c r="DI532">
        <f t="shared" si="231"/>
        <v>0</v>
      </c>
      <c r="DJ532">
        <f>DG532</f>
        <v>35.76</v>
      </c>
      <c r="DK532">
        <v>0</v>
      </c>
    </row>
    <row r="533" spans="1:115" x14ac:dyDescent="0.2">
      <c r="A533">
        <f>ROW(Source!A523)</f>
        <v>523</v>
      </c>
      <c r="B533">
        <v>129761633</v>
      </c>
      <c r="C533">
        <v>129763782</v>
      </c>
      <c r="D533">
        <v>37417692</v>
      </c>
      <c r="E533">
        <v>1</v>
      </c>
      <c r="F533">
        <v>1</v>
      </c>
      <c r="G533">
        <v>37345137</v>
      </c>
      <c r="H533">
        <v>2</v>
      </c>
      <c r="I533" t="s">
        <v>1127</v>
      </c>
      <c r="J533" t="s">
        <v>1128</v>
      </c>
      <c r="K533" t="s">
        <v>1129</v>
      </c>
      <c r="L533">
        <v>1367</v>
      </c>
      <c r="N533">
        <v>1011</v>
      </c>
      <c r="O533" t="s">
        <v>1102</v>
      </c>
      <c r="P533" t="s">
        <v>1102</v>
      </c>
      <c r="Q533">
        <v>1</v>
      </c>
      <c r="W533">
        <v>0</v>
      </c>
      <c r="X533">
        <v>-266174272</v>
      </c>
      <c r="Y533">
        <f>(AT533*1.25)</f>
        <v>5.1624999999999996</v>
      </c>
      <c r="AA533">
        <v>0</v>
      </c>
      <c r="AB533">
        <v>2137.67</v>
      </c>
      <c r="AC533">
        <v>572.73</v>
      </c>
      <c r="AD533">
        <v>0</v>
      </c>
      <c r="AE533">
        <v>0</v>
      </c>
      <c r="AF533">
        <v>190.93</v>
      </c>
      <c r="AG533">
        <v>18.149999999999999</v>
      </c>
      <c r="AH533">
        <v>0</v>
      </c>
      <c r="AI533">
        <v>1</v>
      </c>
      <c r="AJ533">
        <v>10.3</v>
      </c>
      <c r="AK533">
        <v>29.03</v>
      </c>
      <c r="AL533">
        <v>1</v>
      </c>
      <c r="AN533">
        <v>0</v>
      </c>
      <c r="AO533">
        <v>1</v>
      </c>
      <c r="AP533">
        <v>1</v>
      </c>
      <c r="AQ533">
        <v>0</v>
      </c>
      <c r="AR533">
        <v>0</v>
      </c>
      <c r="AS533" t="s">
        <v>3</v>
      </c>
      <c r="AT533">
        <v>4.13</v>
      </c>
      <c r="AU533" t="s">
        <v>86</v>
      </c>
      <c r="AV533">
        <v>0</v>
      </c>
      <c r="AW533">
        <v>2</v>
      </c>
      <c r="AX533">
        <v>129763800</v>
      </c>
      <c r="AY533">
        <v>1</v>
      </c>
      <c r="AZ533">
        <v>0</v>
      </c>
      <c r="BA533">
        <v>535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CX533">
        <f>ROUND(Y533*Source!I523,9)</f>
        <v>0.77592375000000002</v>
      </c>
      <c r="CY533">
        <f>AB533</f>
        <v>2137.67</v>
      </c>
      <c r="CZ533">
        <f>AF533</f>
        <v>190.93</v>
      </c>
      <c r="DA533">
        <f>AJ533</f>
        <v>10.3</v>
      </c>
      <c r="DB533">
        <f>ROUND((ROUND(AT533*CZ533,2)*1.25),6)</f>
        <v>985.67499999999995</v>
      </c>
      <c r="DC533">
        <f>ROUND((ROUND(AT533*AG533,2)*1.25),6)</f>
        <v>93.7</v>
      </c>
      <c r="DD533" t="s">
        <v>3</v>
      </c>
      <c r="DE533" t="s">
        <v>3</v>
      </c>
      <c r="DF533">
        <f t="shared" si="232"/>
        <v>0</v>
      </c>
      <c r="DG533">
        <f>ROUND(ROUND(AF533*CX533,2)*AJ533,2)</f>
        <v>1525.95</v>
      </c>
      <c r="DH533">
        <f>ROUND(ROUND(AG533*CX533,2)*AK533,2)</f>
        <v>408.74</v>
      </c>
      <c r="DI533">
        <f t="shared" si="231"/>
        <v>0</v>
      </c>
      <c r="DJ533">
        <f>DG533</f>
        <v>1525.95</v>
      </c>
      <c r="DK533">
        <v>0</v>
      </c>
    </row>
    <row r="534" spans="1:115" x14ac:dyDescent="0.2">
      <c r="A534">
        <f>ROW(Source!A523)</f>
        <v>523</v>
      </c>
      <c r="B534">
        <v>129761633</v>
      </c>
      <c r="C534">
        <v>129763782</v>
      </c>
      <c r="D534">
        <v>37417811</v>
      </c>
      <c r="E534">
        <v>1</v>
      </c>
      <c r="F534">
        <v>1</v>
      </c>
      <c r="G534">
        <v>37345137</v>
      </c>
      <c r="H534">
        <v>2</v>
      </c>
      <c r="I534" t="s">
        <v>1327</v>
      </c>
      <c r="J534" t="s">
        <v>1328</v>
      </c>
      <c r="K534" t="s">
        <v>1329</v>
      </c>
      <c r="L534">
        <v>1367</v>
      </c>
      <c r="N534">
        <v>1011</v>
      </c>
      <c r="O534" t="s">
        <v>1102</v>
      </c>
      <c r="P534" t="s">
        <v>1102</v>
      </c>
      <c r="Q534">
        <v>1</v>
      </c>
      <c r="W534">
        <v>0</v>
      </c>
      <c r="X534">
        <v>-1295289413</v>
      </c>
      <c r="Y534">
        <f>(AT534*1.25)</f>
        <v>3.9624999999999999</v>
      </c>
      <c r="AA534">
        <v>0</v>
      </c>
      <c r="AB534">
        <v>6.76</v>
      </c>
      <c r="AC534">
        <v>2.84</v>
      </c>
      <c r="AD534">
        <v>0</v>
      </c>
      <c r="AE534">
        <v>0</v>
      </c>
      <c r="AF534">
        <v>0.8</v>
      </c>
      <c r="AG534">
        <v>0.09</v>
      </c>
      <c r="AH534">
        <v>0</v>
      </c>
      <c r="AI534">
        <v>1</v>
      </c>
      <c r="AJ534">
        <v>7.77</v>
      </c>
      <c r="AK534">
        <v>29.03</v>
      </c>
      <c r="AL534">
        <v>1</v>
      </c>
      <c r="AN534">
        <v>0</v>
      </c>
      <c r="AO534">
        <v>1</v>
      </c>
      <c r="AP534">
        <v>1</v>
      </c>
      <c r="AQ534">
        <v>0</v>
      </c>
      <c r="AR534">
        <v>0</v>
      </c>
      <c r="AS534" t="s">
        <v>3</v>
      </c>
      <c r="AT534">
        <v>3.17</v>
      </c>
      <c r="AU534" t="s">
        <v>86</v>
      </c>
      <c r="AV534">
        <v>0</v>
      </c>
      <c r="AW534">
        <v>2</v>
      </c>
      <c r="AX534">
        <v>129763802</v>
      </c>
      <c r="AY534">
        <v>1</v>
      </c>
      <c r="AZ534">
        <v>0</v>
      </c>
      <c r="BA534">
        <v>536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CX534">
        <f>ROUND(Y534*Source!I523,9)</f>
        <v>0.59556374999999995</v>
      </c>
      <c r="CY534">
        <f>AB534</f>
        <v>6.76</v>
      </c>
      <c r="CZ534">
        <f>AF534</f>
        <v>0.8</v>
      </c>
      <c r="DA534">
        <f>AJ534</f>
        <v>7.77</v>
      </c>
      <c r="DB534">
        <f>ROUND((ROUND(AT534*CZ534,2)*1.25),6)</f>
        <v>3.1749999999999998</v>
      </c>
      <c r="DC534">
        <f>ROUND((ROUND(AT534*AG534,2)*1.25),6)</f>
        <v>0.36249999999999999</v>
      </c>
      <c r="DD534" t="s">
        <v>3</v>
      </c>
      <c r="DE534" t="s">
        <v>3</v>
      </c>
      <c r="DF534">
        <f t="shared" si="232"/>
        <v>0</v>
      </c>
      <c r="DG534">
        <f>ROUND(ROUND(AF534*CX534,2)*AJ534,2)</f>
        <v>3.73</v>
      </c>
      <c r="DH534">
        <f>ROUND(ROUND(AG534*CX534,2)*AK534,2)</f>
        <v>1.45</v>
      </c>
      <c r="DI534">
        <f t="shared" si="231"/>
        <v>0</v>
      </c>
      <c r="DJ534">
        <f>DG534</f>
        <v>3.73</v>
      </c>
      <c r="DK534">
        <v>0</v>
      </c>
    </row>
    <row r="535" spans="1:115" x14ac:dyDescent="0.2">
      <c r="A535">
        <f>ROW(Source!A523)</f>
        <v>523</v>
      </c>
      <c r="B535">
        <v>129761633</v>
      </c>
      <c r="C535">
        <v>129763782</v>
      </c>
      <c r="D535">
        <v>37345890</v>
      </c>
      <c r="E535">
        <v>37345137</v>
      </c>
      <c r="F535">
        <v>1</v>
      </c>
      <c r="G535">
        <v>37345137</v>
      </c>
      <c r="H535">
        <v>2</v>
      </c>
      <c r="I535" t="s">
        <v>1145</v>
      </c>
      <c r="J535" t="s">
        <v>3</v>
      </c>
      <c r="K535" t="s">
        <v>1146</v>
      </c>
      <c r="L535">
        <v>1344</v>
      </c>
      <c r="N535">
        <v>1008</v>
      </c>
      <c r="O535" t="s">
        <v>1138</v>
      </c>
      <c r="P535" t="s">
        <v>1138</v>
      </c>
      <c r="Q535">
        <v>1</v>
      </c>
      <c r="W535">
        <v>0</v>
      </c>
      <c r="X535">
        <v>-1180195794</v>
      </c>
      <c r="Y535">
        <f>(AT535*1.25)</f>
        <v>46.8125</v>
      </c>
      <c r="AA535">
        <v>0</v>
      </c>
      <c r="AB535">
        <v>1.0900000000000001</v>
      </c>
      <c r="AC535">
        <v>0</v>
      </c>
      <c r="AD535">
        <v>0</v>
      </c>
      <c r="AE535">
        <v>0</v>
      </c>
      <c r="AF535">
        <v>1</v>
      </c>
      <c r="AG535">
        <v>0</v>
      </c>
      <c r="AH535">
        <v>0</v>
      </c>
      <c r="AI535">
        <v>1</v>
      </c>
      <c r="AJ535">
        <v>1</v>
      </c>
      <c r="AK535">
        <v>1</v>
      </c>
      <c r="AL535">
        <v>1</v>
      </c>
      <c r="AN535">
        <v>0</v>
      </c>
      <c r="AO535">
        <v>1</v>
      </c>
      <c r="AP535">
        <v>1</v>
      </c>
      <c r="AQ535">
        <v>0</v>
      </c>
      <c r="AR535">
        <v>0</v>
      </c>
      <c r="AS535" t="s">
        <v>3</v>
      </c>
      <c r="AT535">
        <v>37.450000000000003</v>
      </c>
      <c r="AU535" t="s">
        <v>86</v>
      </c>
      <c r="AV535">
        <v>0</v>
      </c>
      <c r="AW535">
        <v>2</v>
      </c>
      <c r="AX535">
        <v>129763803</v>
      </c>
      <c r="AY535">
        <v>1</v>
      </c>
      <c r="AZ535">
        <v>0</v>
      </c>
      <c r="BA535">
        <v>537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CX535">
        <f>ROUND(Y535*Source!I523,9)</f>
        <v>7.0359187500000004</v>
      </c>
      <c r="CY535">
        <f>AB535</f>
        <v>1.0900000000000001</v>
      </c>
      <c r="CZ535">
        <f>AF535</f>
        <v>1</v>
      </c>
      <c r="DA535">
        <f>AJ535</f>
        <v>1</v>
      </c>
      <c r="DB535">
        <f>ROUND((ROUND(AT535*CZ535,2)*1.25),6)</f>
        <v>46.8125</v>
      </c>
      <c r="DC535">
        <f>ROUND((ROUND(AT535*AG535,2)*1.25),6)</f>
        <v>0</v>
      </c>
      <c r="DD535" t="s">
        <v>3</v>
      </c>
      <c r="DE535" t="s">
        <v>3</v>
      </c>
      <c r="DF535">
        <f t="shared" si="232"/>
        <v>0</v>
      </c>
      <c r="DG535">
        <f t="shared" ref="DG535:DG560" si="240">ROUND(AF535*CX535,2)</f>
        <v>7.04</v>
      </c>
      <c r="DH535">
        <f t="shared" ref="DH535:DH560" si="241">ROUND(AG535*CX535,2)</f>
        <v>0</v>
      </c>
      <c r="DI535">
        <f t="shared" si="231"/>
        <v>0</v>
      </c>
      <c r="DJ535">
        <f>DG535</f>
        <v>7.04</v>
      </c>
      <c r="DK535">
        <v>0</v>
      </c>
    </row>
    <row r="536" spans="1:115" x14ac:dyDescent="0.2">
      <c r="A536">
        <f>ROW(Source!A523)</f>
        <v>523</v>
      </c>
      <c r="B536">
        <v>129761633</v>
      </c>
      <c r="C536">
        <v>129763782</v>
      </c>
      <c r="D536">
        <v>0</v>
      </c>
      <c r="E536">
        <v>1</v>
      </c>
      <c r="F536">
        <v>1</v>
      </c>
      <c r="G536">
        <v>37345137</v>
      </c>
      <c r="H536">
        <v>3</v>
      </c>
      <c r="I536" t="s">
        <v>562</v>
      </c>
      <c r="J536" t="s">
        <v>3</v>
      </c>
      <c r="K536" t="s">
        <v>563</v>
      </c>
      <c r="L536">
        <v>1348</v>
      </c>
      <c r="N536">
        <v>1009</v>
      </c>
      <c r="O536" t="s">
        <v>114</v>
      </c>
      <c r="P536" t="s">
        <v>114</v>
      </c>
      <c r="Q536">
        <v>1000</v>
      </c>
      <c r="W536">
        <v>0</v>
      </c>
      <c r="X536">
        <v>1037925172</v>
      </c>
      <c r="Y536">
        <f t="shared" ref="Y536:Y544" si="242">AT536</f>
        <v>0.12534899999999999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11.89</v>
      </c>
      <c r="AJ536">
        <v>1</v>
      </c>
      <c r="AK536">
        <v>1</v>
      </c>
      <c r="AL536">
        <v>1</v>
      </c>
      <c r="AN536">
        <v>0</v>
      </c>
      <c r="AO536">
        <v>0</v>
      </c>
      <c r="AP536">
        <v>0</v>
      </c>
      <c r="AQ536">
        <v>0</v>
      </c>
      <c r="AR536">
        <v>0</v>
      </c>
      <c r="AS536" t="s">
        <v>3</v>
      </c>
      <c r="AT536">
        <v>0.12534899999999999</v>
      </c>
      <c r="AU536" t="s">
        <v>3</v>
      </c>
      <c r="AV536">
        <v>0</v>
      </c>
      <c r="AW536">
        <v>1</v>
      </c>
      <c r="AX536">
        <v>-1</v>
      </c>
      <c r="AY536">
        <v>0</v>
      </c>
      <c r="AZ536">
        <v>0</v>
      </c>
      <c r="BA536" t="s">
        <v>3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CX536">
        <f>ROUND(Y536*Source!I523,9)</f>
        <v>1.8839954999999999E-2</v>
      </c>
      <c r="CY536">
        <f t="shared" ref="CY536:CY544" si="243">AA536</f>
        <v>0</v>
      </c>
      <c r="CZ536">
        <f t="shared" ref="CZ536:CZ544" si="244">AE536</f>
        <v>0</v>
      </c>
      <c r="DA536">
        <f t="shared" ref="DA536:DA544" si="245">AI536</f>
        <v>11.89</v>
      </c>
      <c r="DB536">
        <f t="shared" ref="DB536:DB544" si="246">ROUND(ROUND(AT536*CZ536,2),6)</f>
        <v>0</v>
      </c>
      <c r="DC536">
        <f t="shared" ref="DC536:DC544" si="247">ROUND(ROUND(AT536*AG536,2),6)</f>
        <v>0</v>
      </c>
      <c r="DD536" t="s">
        <v>3</v>
      </c>
      <c r="DE536" t="s">
        <v>3</v>
      </c>
      <c r="DF536">
        <f t="shared" ref="DF536:DF544" si="248">ROUND(ROUND(AE536*CX536,2)*AI536,2)</f>
        <v>0</v>
      </c>
      <c r="DG536">
        <f t="shared" si="240"/>
        <v>0</v>
      </c>
      <c r="DH536">
        <f t="shared" si="241"/>
        <v>0</v>
      </c>
      <c r="DI536">
        <f t="shared" si="231"/>
        <v>0</v>
      </c>
      <c r="DJ536">
        <f t="shared" ref="DJ536:DJ544" si="249">DF536</f>
        <v>0</v>
      </c>
      <c r="DK536">
        <v>2</v>
      </c>
    </row>
    <row r="537" spans="1:115" x14ac:dyDescent="0.2">
      <c r="A537">
        <f>ROW(Source!A523)</f>
        <v>523</v>
      </c>
      <c r="B537">
        <v>129761633</v>
      </c>
      <c r="C537">
        <v>129763782</v>
      </c>
      <c r="D537">
        <v>0</v>
      </c>
      <c r="E537">
        <v>1</v>
      </c>
      <c r="F537">
        <v>1</v>
      </c>
      <c r="G537">
        <v>37345137</v>
      </c>
      <c r="H537">
        <v>3</v>
      </c>
      <c r="I537" t="s">
        <v>559</v>
      </c>
      <c r="J537" t="s">
        <v>3</v>
      </c>
      <c r="K537" t="s">
        <v>560</v>
      </c>
      <c r="L537">
        <v>1348</v>
      </c>
      <c r="N537">
        <v>1009</v>
      </c>
      <c r="O537" t="s">
        <v>114</v>
      </c>
      <c r="P537" t="s">
        <v>114</v>
      </c>
      <c r="Q537">
        <v>1000</v>
      </c>
      <c r="W537">
        <v>0</v>
      </c>
      <c r="X537">
        <v>-2068651919</v>
      </c>
      <c r="Y537">
        <f t="shared" si="242"/>
        <v>0.20299400000000001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5.54</v>
      </c>
      <c r="AJ537">
        <v>1</v>
      </c>
      <c r="AK537">
        <v>1</v>
      </c>
      <c r="AL537">
        <v>1</v>
      </c>
      <c r="AN537">
        <v>0</v>
      </c>
      <c r="AO537">
        <v>0</v>
      </c>
      <c r="AP537">
        <v>0</v>
      </c>
      <c r="AQ537">
        <v>0</v>
      </c>
      <c r="AR537">
        <v>0</v>
      </c>
      <c r="AS537" t="s">
        <v>3</v>
      </c>
      <c r="AT537">
        <v>0.20299400000000001</v>
      </c>
      <c r="AU537" t="s">
        <v>3</v>
      </c>
      <c r="AV537">
        <v>0</v>
      </c>
      <c r="AW537">
        <v>1</v>
      </c>
      <c r="AX537">
        <v>-1</v>
      </c>
      <c r="AY537">
        <v>0</v>
      </c>
      <c r="AZ537">
        <v>0</v>
      </c>
      <c r="BA537" t="s">
        <v>3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CX537">
        <f>ROUND(Y537*Source!I523,9)</f>
        <v>3.0509998E-2</v>
      </c>
      <c r="CY537">
        <f t="shared" si="243"/>
        <v>0</v>
      </c>
      <c r="CZ537">
        <f t="shared" si="244"/>
        <v>0</v>
      </c>
      <c r="DA537">
        <f t="shared" si="245"/>
        <v>5.54</v>
      </c>
      <c r="DB537">
        <f t="shared" si="246"/>
        <v>0</v>
      </c>
      <c r="DC537">
        <f t="shared" si="247"/>
        <v>0</v>
      </c>
      <c r="DD537" t="s">
        <v>3</v>
      </c>
      <c r="DE537" t="s">
        <v>3</v>
      </c>
      <c r="DF537">
        <f t="shared" si="248"/>
        <v>0</v>
      </c>
      <c r="DG537">
        <f t="shared" si="240"/>
        <v>0</v>
      </c>
      <c r="DH537">
        <f t="shared" si="241"/>
        <v>0</v>
      </c>
      <c r="DI537">
        <f t="shared" si="231"/>
        <v>0</v>
      </c>
      <c r="DJ537">
        <f t="shared" si="249"/>
        <v>0</v>
      </c>
      <c r="DK537">
        <v>2</v>
      </c>
    </row>
    <row r="538" spans="1:115" x14ac:dyDescent="0.2">
      <c r="A538">
        <f>ROW(Source!A523)</f>
        <v>523</v>
      </c>
      <c r="B538">
        <v>129761633</v>
      </c>
      <c r="C538">
        <v>129763782</v>
      </c>
      <c r="D538">
        <v>0</v>
      </c>
      <c r="E538">
        <v>1</v>
      </c>
      <c r="F538">
        <v>1</v>
      </c>
      <c r="G538">
        <v>37345137</v>
      </c>
      <c r="H538">
        <v>3</v>
      </c>
      <c r="I538" t="s">
        <v>556</v>
      </c>
      <c r="J538" t="s">
        <v>3</v>
      </c>
      <c r="K538" t="s">
        <v>557</v>
      </c>
      <c r="L538">
        <v>1348</v>
      </c>
      <c r="N538">
        <v>1009</v>
      </c>
      <c r="O538" t="s">
        <v>114</v>
      </c>
      <c r="P538" t="s">
        <v>114</v>
      </c>
      <c r="Q538">
        <v>1000</v>
      </c>
      <c r="W538">
        <v>0</v>
      </c>
      <c r="X538">
        <v>1554537809</v>
      </c>
      <c r="Y538">
        <f t="shared" si="242"/>
        <v>0.16008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8.65</v>
      </c>
      <c r="AJ538">
        <v>1</v>
      </c>
      <c r="AK538">
        <v>1</v>
      </c>
      <c r="AL538">
        <v>1</v>
      </c>
      <c r="AN538">
        <v>0</v>
      </c>
      <c r="AO538">
        <v>0</v>
      </c>
      <c r="AP538">
        <v>0</v>
      </c>
      <c r="AQ538">
        <v>0</v>
      </c>
      <c r="AR538">
        <v>0</v>
      </c>
      <c r="AS538" t="s">
        <v>3</v>
      </c>
      <c r="AT538">
        <v>0.16008</v>
      </c>
      <c r="AU538" t="s">
        <v>3</v>
      </c>
      <c r="AV538">
        <v>0</v>
      </c>
      <c r="AW538">
        <v>1</v>
      </c>
      <c r="AX538">
        <v>-1</v>
      </c>
      <c r="AY538">
        <v>0</v>
      </c>
      <c r="AZ538">
        <v>0</v>
      </c>
      <c r="BA538" t="s">
        <v>3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CX538">
        <f>ROUND(Y538*Source!I523,9)</f>
        <v>2.4060023999999999E-2</v>
      </c>
      <c r="CY538">
        <f t="shared" si="243"/>
        <v>0</v>
      </c>
      <c r="CZ538">
        <f t="shared" si="244"/>
        <v>0</v>
      </c>
      <c r="DA538">
        <f t="shared" si="245"/>
        <v>8.65</v>
      </c>
      <c r="DB538">
        <f t="shared" si="246"/>
        <v>0</v>
      </c>
      <c r="DC538">
        <f t="shared" si="247"/>
        <v>0</v>
      </c>
      <c r="DD538" t="s">
        <v>3</v>
      </c>
      <c r="DE538" t="s">
        <v>3</v>
      </c>
      <c r="DF538">
        <f t="shared" si="248"/>
        <v>0</v>
      </c>
      <c r="DG538">
        <f t="shared" si="240"/>
        <v>0</v>
      </c>
      <c r="DH538">
        <f t="shared" si="241"/>
        <v>0</v>
      </c>
      <c r="DI538">
        <f t="shared" si="231"/>
        <v>0</v>
      </c>
      <c r="DJ538">
        <f t="shared" si="249"/>
        <v>0</v>
      </c>
      <c r="DK538">
        <v>2</v>
      </c>
    </row>
    <row r="539" spans="1:115" x14ac:dyDescent="0.2">
      <c r="A539">
        <f>ROW(Source!A523)</f>
        <v>523</v>
      </c>
      <c r="B539">
        <v>129761633</v>
      </c>
      <c r="C539">
        <v>129763782</v>
      </c>
      <c r="D539">
        <v>37394864</v>
      </c>
      <c r="E539">
        <v>1</v>
      </c>
      <c r="F539">
        <v>1</v>
      </c>
      <c r="G539">
        <v>37345137</v>
      </c>
      <c r="H539">
        <v>3</v>
      </c>
      <c r="I539" t="s">
        <v>1147</v>
      </c>
      <c r="J539" t="s">
        <v>1148</v>
      </c>
      <c r="K539" t="s">
        <v>1149</v>
      </c>
      <c r="L539">
        <v>1348</v>
      </c>
      <c r="N539">
        <v>1009</v>
      </c>
      <c r="O539" t="s">
        <v>114</v>
      </c>
      <c r="P539" t="s">
        <v>114</v>
      </c>
      <c r="Q539">
        <v>1000</v>
      </c>
      <c r="W539">
        <v>0</v>
      </c>
      <c r="X539">
        <v>1310716689</v>
      </c>
      <c r="Y539">
        <f t="shared" si="242"/>
        <v>4.0000000000000001E-3</v>
      </c>
      <c r="AA539">
        <v>145777.99</v>
      </c>
      <c r="AB539">
        <v>0</v>
      </c>
      <c r="AC539">
        <v>0</v>
      </c>
      <c r="AD539">
        <v>0</v>
      </c>
      <c r="AE539">
        <v>7191.81</v>
      </c>
      <c r="AF539">
        <v>0</v>
      </c>
      <c r="AG539">
        <v>0</v>
      </c>
      <c r="AH539">
        <v>0</v>
      </c>
      <c r="AI539">
        <v>20.27</v>
      </c>
      <c r="AJ539">
        <v>1</v>
      </c>
      <c r="AK539">
        <v>1</v>
      </c>
      <c r="AL539">
        <v>1</v>
      </c>
      <c r="AN539">
        <v>0</v>
      </c>
      <c r="AO539">
        <v>1</v>
      </c>
      <c r="AP539">
        <v>0</v>
      </c>
      <c r="AQ539">
        <v>0</v>
      </c>
      <c r="AR539">
        <v>0</v>
      </c>
      <c r="AS539" t="s">
        <v>3</v>
      </c>
      <c r="AT539">
        <v>4.0000000000000001E-3</v>
      </c>
      <c r="AU539" t="s">
        <v>3</v>
      </c>
      <c r="AV539">
        <v>0</v>
      </c>
      <c r="AW539">
        <v>2</v>
      </c>
      <c r="AX539">
        <v>129763804</v>
      </c>
      <c r="AY539">
        <v>1</v>
      </c>
      <c r="AZ539">
        <v>0</v>
      </c>
      <c r="BA539">
        <v>538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CX539">
        <f>ROUND(Y539*Source!I523,9)</f>
        <v>6.0119999999999998E-4</v>
      </c>
      <c r="CY539">
        <f t="shared" si="243"/>
        <v>145777.99</v>
      </c>
      <c r="CZ539">
        <f t="shared" si="244"/>
        <v>7191.81</v>
      </c>
      <c r="DA539">
        <f t="shared" si="245"/>
        <v>20.27</v>
      </c>
      <c r="DB539">
        <f t="shared" si="246"/>
        <v>28.77</v>
      </c>
      <c r="DC539">
        <f t="shared" si="247"/>
        <v>0</v>
      </c>
      <c r="DD539" t="s">
        <v>3</v>
      </c>
      <c r="DE539" t="s">
        <v>3</v>
      </c>
      <c r="DF539">
        <f t="shared" si="248"/>
        <v>87.57</v>
      </c>
      <c r="DG539">
        <f t="shared" si="240"/>
        <v>0</v>
      </c>
      <c r="DH539">
        <f t="shared" si="241"/>
        <v>0</v>
      </c>
      <c r="DI539">
        <f t="shared" si="231"/>
        <v>0</v>
      </c>
      <c r="DJ539">
        <f t="shared" si="249"/>
        <v>87.57</v>
      </c>
      <c r="DK539">
        <v>0</v>
      </c>
    </row>
    <row r="540" spans="1:115" x14ac:dyDescent="0.2">
      <c r="A540">
        <f>ROW(Source!A523)</f>
        <v>523</v>
      </c>
      <c r="B540">
        <v>129761633</v>
      </c>
      <c r="C540">
        <v>129763782</v>
      </c>
      <c r="D540">
        <v>0</v>
      </c>
      <c r="E540">
        <v>1</v>
      </c>
      <c r="F540">
        <v>1</v>
      </c>
      <c r="G540">
        <v>37345137</v>
      </c>
      <c r="H540">
        <v>3</v>
      </c>
      <c r="I540" t="s">
        <v>553</v>
      </c>
      <c r="J540" t="s">
        <v>3</v>
      </c>
      <c r="K540" t="s">
        <v>554</v>
      </c>
      <c r="L540">
        <v>1348</v>
      </c>
      <c r="N540">
        <v>1009</v>
      </c>
      <c r="O540" t="s">
        <v>114</v>
      </c>
      <c r="P540" t="s">
        <v>114</v>
      </c>
      <c r="Q540">
        <v>1000</v>
      </c>
      <c r="W540">
        <v>0</v>
      </c>
      <c r="X540">
        <v>-1727109647</v>
      </c>
      <c r="Y540">
        <f t="shared" si="242"/>
        <v>0.119228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8.65</v>
      </c>
      <c r="AJ540">
        <v>1</v>
      </c>
      <c r="AK540">
        <v>1</v>
      </c>
      <c r="AL540">
        <v>1</v>
      </c>
      <c r="AN540">
        <v>0</v>
      </c>
      <c r="AO540">
        <v>0</v>
      </c>
      <c r="AP540">
        <v>0</v>
      </c>
      <c r="AQ540">
        <v>0</v>
      </c>
      <c r="AR540">
        <v>0</v>
      </c>
      <c r="AS540" t="s">
        <v>3</v>
      </c>
      <c r="AT540">
        <v>0.119228</v>
      </c>
      <c r="AU540" t="s">
        <v>3</v>
      </c>
      <c r="AV540">
        <v>0</v>
      </c>
      <c r="AW540">
        <v>1</v>
      </c>
      <c r="AX540">
        <v>-1</v>
      </c>
      <c r="AY540">
        <v>0</v>
      </c>
      <c r="AZ540">
        <v>0</v>
      </c>
      <c r="BA540" t="s">
        <v>3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CX540">
        <f>ROUND(Y540*Source!I523,9)</f>
        <v>1.7919968000000001E-2</v>
      </c>
      <c r="CY540">
        <f t="shared" si="243"/>
        <v>0</v>
      </c>
      <c r="CZ540">
        <f t="shared" si="244"/>
        <v>0</v>
      </c>
      <c r="DA540">
        <f t="shared" si="245"/>
        <v>8.65</v>
      </c>
      <c r="DB540">
        <f t="shared" si="246"/>
        <v>0</v>
      </c>
      <c r="DC540">
        <f t="shared" si="247"/>
        <v>0</v>
      </c>
      <c r="DD540" t="s">
        <v>3</v>
      </c>
      <c r="DE540" t="s">
        <v>3</v>
      </c>
      <c r="DF540">
        <f t="shared" si="248"/>
        <v>0</v>
      </c>
      <c r="DG540">
        <f t="shared" si="240"/>
        <v>0</v>
      </c>
      <c r="DH540">
        <f t="shared" si="241"/>
        <v>0</v>
      </c>
      <c r="DI540">
        <f t="shared" si="231"/>
        <v>0</v>
      </c>
      <c r="DJ540">
        <f t="shared" si="249"/>
        <v>0</v>
      </c>
      <c r="DK540">
        <v>2</v>
      </c>
    </row>
    <row r="541" spans="1:115" x14ac:dyDescent="0.2">
      <c r="A541">
        <f>ROW(Source!A523)</f>
        <v>523</v>
      </c>
      <c r="B541">
        <v>129761633</v>
      </c>
      <c r="C541">
        <v>129763782</v>
      </c>
      <c r="D541">
        <v>0</v>
      </c>
      <c r="E541">
        <v>1</v>
      </c>
      <c r="F541">
        <v>1</v>
      </c>
      <c r="G541">
        <v>37345137</v>
      </c>
      <c r="H541">
        <v>3</v>
      </c>
      <c r="I541" t="s">
        <v>565</v>
      </c>
      <c r="J541" t="s">
        <v>3</v>
      </c>
      <c r="K541" t="s">
        <v>566</v>
      </c>
      <c r="L541">
        <v>1348</v>
      </c>
      <c r="N541">
        <v>1009</v>
      </c>
      <c r="O541" t="s">
        <v>114</v>
      </c>
      <c r="P541" t="s">
        <v>114</v>
      </c>
      <c r="Q541">
        <v>1000</v>
      </c>
      <c r="W541">
        <v>0</v>
      </c>
      <c r="X541">
        <v>-1207895087</v>
      </c>
      <c r="Y541">
        <f t="shared" si="242"/>
        <v>0.3925482368596141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8.57</v>
      </c>
      <c r="AJ541">
        <v>1</v>
      </c>
      <c r="AK541">
        <v>1</v>
      </c>
      <c r="AL541">
        <v>1</v>
      </c>
      <c r="AN541">
        <v>0</v>
      </c>
      <c r="AO541">
        <v>0</v>
      </c>
      <c r="AP541">
        <v>0</v>
      </c>
      <c r="AQ541">
        <v>0</v>
      </c>
      <c r="AR541">
        <v>0</v>
      </c>
      <c r="AS541" t="s">
        <v>3</v>
      </c>
      <c r="AT541">
        <v>0.3925482368596141</v>
      </c>
      <c r="AU541" t="s">
        <v>3</v>
      </c>
      <c r="AV541">
        <v>0</v>
      </c>
      <c r="AW541">
        <v>1</v>
      </c>
      <c r="AX541">
        <v>-1</v>
      </c>
      <c r="AY541">
        <v>0</v>
      </c>
      <c r="AZ541">
        <v>0</v>
      </c>
      <c r="BA541" t="s">
        <v>3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CX541">
        <f>ROUND(Y541*Source!I523,9)</f>
        <v>5.8999999999999997E-2</v>
      </c>
      <c r="CY541">
        <f t="shared" si="243"/>
        <v>0</v>
      </c>
      <c r="CZ541">
        <f t="shared" si="244"/>
        <v>0</v>
      </c>
      <c r="DA541">
        <f t="shared" si="245"/>
        <v>8.57</v>
      </c>
      <c r="DB541">
        <f t="shared" si="246"/>
        <v>0</v>
      </c>
      <c r="DC541">
        <f t="shared" si="247"/>
        <v>0</v>
      </c>
      <c r="DD541" t="s">
        <v>3</v>
      </c>
      <c r="DE541" t="s">
        <v>3</v>
      </c>
      <c r="DF541">
        <f t="shared" si="248"/>
        <v>0</v>
      </c>
      <c r="DG541">
        <f t="shared" si="240"/>
        <v>0</v>
      </c>
      <c r="DH541">
        <f t="shared" si="241"/>
        <v>0</v>
      </c>
      <c r="DI541">
        <f t="shared" si="231"/>
        <v>0</v>
      </c>
      <c r="DJ541">
        <f t="shared" si="249"/>
        <v>0</v>
      </c>
      <c r="DK541">
        <v>2</v>
      </c>
    </row>
    <row r="542" spans="1:115" x14ac:dyDescent="0.2">
      <c r="A542">
        <f>ROW(Source!A523)</f>
        <v>523</v>
      </c>
      <c r="B542">
        <v>129761633</v>
      </c>
      <c r="C542">
        <v>129763782</v>
      </c>
      <c r="D542">
        <v>37415049</v>
      </c>
      <c r="E542">
        <v>1</v>
      </c>
      <c r="F542">
        <v>1</v>
      </c>
      <c r="G542">
        <v>37345137</v>
      </c>
      <c r="H542">
        <v>3</v>
      </c>
      <c r="I542" t="s">
        <v>568</v>
      </c>
      <c r="J542" t="s">
        <v>570</v>
      </c>
      <c r="K542" t="s">
        <v>569</v>
      </c>
      <c r="L542">
        <v>1348</v>
      </c>
      <c r="N542">
        <v>1009</v>
      </c>
      <c r="O542" t="s">
        <v>114</v>
      </c>
      <c r="P542" t="s">
        <v>114</v>
      </c>
      <c r="Q542">
        <v>1000</v>
      </c>
      <c r="W542">
        <v>1</v>
      </c>
      <c r="X542">
        <v>-2026157207</v>
      </c>
      <c r="Y542">
        <f t="shared" si="242"/>
        <v>-1E-3</v>
      </c>
      <c r="AA542">
        <v>109331.16</v>
      </c>
      <c r="AB542">
        <v>0</v>
      </c>
      <c r="AC542">
        <v>0</v>
      </c>
      <c r="AD542">
        <v>0</v>
      </c>
      <c r="AE542">
        <v>12654.07</v>
      </c>
      <c r="AF542">
        <v>0</v>
      </c>
      <c r="AG542">
        <v>0</v>
      </c>
      <c r="AH542">
        <v>0</v>
      </c>
      <c r="AI542">
        <v>8.64</v>
      </c>
      <c r="AJ542">
        <v>1</v>
      </c>
      <c r="AK542">
        <v>1</v>
      </c>
      <c r="AL542">
        <v>1</v>
      </c>
      <c r="AN542">
        <v>0</v>
      </c>
      <c r="AO542">
        <v>1</v>
      </c>
      <c r="AP542">
        <v>0</v>
      </c>
      <c r="AQ542">
        <v>0</v>
      </c>
      <c r="AR542">
        <v>0</v>
      </c>
      <c r="AS542" t="s">
        <v>3</v>
      </c>
      <c r="AT542">
        <v>-1E-3</v>
      </c>
      <c r="AU542" t="s">
        <v>3</v>
      </c>
      <c r="AV542">
        <v>0</v>
      </c>
      <c r="AW542">
        <v>2</v>
      </c>
      <c r="AX542">
        <v>129763805</v>
      </c>
      <c r="AY542">
        <v>1</v>
      </c>
      <c r="AZ542">
        <v>6144</v>
      </c>
      <c r="BA542">
        <v>539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CX542">
        <f>ROUND(Y542*Source!I523,9)</f>
        <v>-1.5029999999999999E-4</v>
      </c>
      <c r="CY542">
        <f t="shared" si="243"/>
        <v>109331.16</v>
      </c>
      <c r="CZ542">
        <f t="shared" si="244"/>
        <v>12654.07</v>
      </c>
      <c r="DA542">
        <f t="shared" si="245"/>
        <v>8.64</v>
      </c>
      <c r="DB542">
        <f t="shared" si="246"/>
        <v>-12.65</v>
      </c>
      <c r="DC542">
        <f t="shared" si="247"/>
        <v>0</v>
      </c>
      <c r="DD542" t="s">
        <v>3</v>
      </c>
      <c r="DE542" t="s">
        <v>3</v>
      </c>
      <c r="DF542">
        <f t="shared" si="248"/>
        <v>-16.420000000000002</v>
      </c>
      <c r="DG542">
        <f t="shared" si="240"/>
        <v>0</v>
      </c>
      <c r="DH542">
        <f t="shared" si="241"/>
        <v>0</v>
      </c>
      <c r="DI542">
        <f t="shared" si="231"/>
        <v>0</v>
      </c>
      <c r="DJ542">
        <f t="shared" si="249"/>
        <v>-16.420000000000002</v>
      </c>
      <c r="DK542">
        <v>0</v>
      </c>
    </row>
    <row r="543" spans="1:115" x14ac:dyDescent="0.2">
      <c r="A543">
        <f>ROW(Source!A523)</f>
        <v>523</v>
      </c>
      <c r="B543">
        <v>129761633</v>
      </c>
      <c r="C543">
        <v>129763782</v>
      </c>
      <c r="D543">
        <v>0</v>
      </c>
      <c r="E543">
        <v>1</v>
      </c>
      <c r="F543">
        <v>1</v>
      </c>
      <c r="G543">
        <v>37345137</v>
      </c>
      <c r="H543">
        <v>3</v>
      </c>
      <c r="I543" t="s">
        <v>549</v>
      </c>
      <c r="J543" t="s">
        <v>3</v>
      </c>
      <c r="K543" t="s">
        <v>550</v>
      </c>
      <c r="L543">
        <v>1355</v>
      </c>
      <c r="N543">
        <v>1010</v>
      </c>
      <c r="O543" t="s">
        <v>551</v>
      </c>
      <c r="P543" t="s">
        <v>551</v>
      </c>
      <c r="Q543">
        <v>100</v>
      </c>
      <c r="W543">
        <v>0</v>
      </c>
      <c r="X543">
        <v>-439988179</v>
      </c>
      <c r="Y543">
        <f t="shared" si="242"/>
        <v>1.0645375914836994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9.76</v>
      </c>
      <c r="AJ543">
        <v>1</v>
      </c>
      <c r="AK543">
        <v>1</v>
      </c>
      <c r="AL543">
        <v>1</v>
      </c>
      <c r="AN543">
        <v>0</v>
      </c>
      <c r="AO543">
        <v>0</v>
      </c>
      <c r="AP543">
        <v>0</v>
      </c>
      <c r="AQ543">
        <v>0</v>
      </c>
      <c r="AR543">
        <v>0</v>
      </c>
      <c r="AS543" t="s">
        <v>3</v>
      </c>
      <c r="AT543">
        <v>1.0645375914836994</v>
      </c>
      <c r="AU543" t="s">
        <v>3</v>
      </c>
      <c r="AV543">
        <v>0</v>
      </c>
      <c r="AW543">
        <v>1</v>
      </c>
      <c r="AX543">
        <v>-1</v>
      </c>
      <c r="AY543">
        <v>0</v>
      </c>
      <c r="AZ543">
        <v>0</v>
      </c>
      <c r="BA543" t="s">
        <v>3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CX543">
        <f>ROUND(Y543*Source!I523,9)</f>
        <v>0.16</v>
      </c>
      <c r="CY543">
        <f t="shared" si="243"/>
        <v>0</v>
      </c>
      <c r="CZ543">
        <f t="shared" si="244"/>
        <v>0</v>
      </c>
      <c r="DA543">
        <f t="shared" si="245"/>
        <v>9.76</v>
      </c>
      <c r="DB543">
        <f t="shared" si="246"/>
        <v>0</v>
      </c>
      <c r="DC543">
        <f t="shared" si="247"/>
        <v>0</v>
      </c>
      <c r="DD543" t="s">
        <v>3</v>
      </c>
      <c r="DE543" t="s">
        <v>3</v>
      </c>
      <c r="DF543">
        <f t="shared" si="248"/>
        <v>0</v>
      </c>
      <c r="DG543">
        <f t="shared" si="240"/>
        <v>0</v>
      </c>
      <c r="DH543">
        <f t="shared" si="241"/>
        <v>0</v>
      </c>
      <c r="DI543">
        <f t="shared" si="231"/>
        <v>0</v>
      </c>
      <c r="DJ543">
        <f t="shared" si="249"/>
        <v>0</v>
      </c>
      <c r="DK543">
        <v>2</v>
      </c>
    </row>
    <row r="544" spans="1:115" x14ac:dyDescent="0.2">
      <c r="A544">
        <f>ROW(Source!A523)</f>
        <v>523</v>
      </c>
      <c r="B544">
        <v>129761633</v>
      </c>
      <c r="C544">
        <v>129763782</v>
      </c>
      <c r="D544">
        <v>37367082</v>
      </c>
      <c r="E544">
        <v>37345137</v>
      </c>
      <c r="F544">
        <v>1</v>
      </c>
      <c r="G544">
        <v>37345137</v>
      </c>
      <c r="H544">
        <v>3</v>
      </c>
      <c r="I544" t="s">
        <v>1136</v>
      </c>
      <c r="J544" t="s">
        <v>3</v>
      </c>
      <c r="K544" t="s">
        <v>1137</v>
      </c>
      <c r="L544">
        <v>1344</v>
      </c>
      <c r="N544">
        <v>1008</v>
      </c>
      <c r="O544" t="s">
        <v>1138</v>
      </c>
      <c r="P544" t="s">
        <v>1138</v>
      </c>
      <c r="Q544">
        <v>1</v>
      </c>
      <c r="W544">
        <v>0</v>
      </c>
      <c r="X544">
        <v>-94250534</v>
      </c>
      <c r="Y544">
        <f t="shared" si="242"/>
        <v>39.479999999999997</v>
      </c>
      <c r="AA544">
        <v>8.65</v>
      </c>
      <c r="AB544">
        <v>0</v>
      </c>
      <c r="AC544">
        <v>0</v>
      </c>
      <c r="AD544">
        <v>0</v>
      </c>
      <c r="AE544">
        <v>1</v>
      </c>
      <c r="AF544">
        <v>0</v>
      </c>
      <c r="AG544">
        <v>0</v>
      </c>
      <c r="AH544">
        <v>0</v>
      </c>
      <c r="AI544">
        <v>8.65</v>
      </c>
      <c r="AJ544">
        <v>1</v>
      </c>
      <c r="AK544">
        <v>1</v>
      </c>
      <c r="AL544">
        <v>1</v>
      </c>
      <c r="AN544">
        <v>0</v>
      </c>
      <c r="AO544">
        <v>1</v>
      </c>
      <c r="AP544">
        <v>0</v>
      </c>
      <c r="AQ544">
        <v>0</v>
      </c>
      <c r="AR544">
        <v>0</v>
      </c>
      <c r="AS544" t="s">
        <v>3</v>
      </c>
      <c r="AT544">
        <v>39.479999999999997</v>
      </c>
      <c r="AU544" t="s">
        <v>3</v>
      </c>
      <c r="AV544">
        <v>0</v>
      </c>
      <c r="AW544">
        <v>2</v>
      </c>
      <c r="AX544">
        <v>129763808</v>
      </c>
      <c r="AY544">
        <v>1</v>
      </c>
      <c r="AZ544">
        <v>0</v>
      </c>
      <c r="BA544">
        <v>542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CX544">
        <f>ROUND(Y544*Source!I523,9)</f>
        <v>5.9338439999999997</v>
      </c>
      <c r="CY544">
        <f t="shared" si="243"/>
        <v>8.65</v>
      </c>
      <c r="CZ544">
        <f t="shared" si="244"/>
        <v>1</v>
      </c>
      <c r="DA544">
        <f t="shared" si="245"/>
        <v>8.65</v>
      </c>
      <c r="DB544">
        <f t="shared" si="246"/>
        <v>39.479999999999997</v>
      </c>
      <c r="DC544">
        <f t="shared" si="247"/>
        <v>0</v>
      </c>
      <c r="DD544" t="s">
        <v>3</v>
      </c>
      <c r="DE544" t="s">
        <v>3</v>
      </c>
      <c r="DF544">
        <f t="shared" si="248"/>
        <v>51.29</v>
      </c>
      <c r="DG544">
        <f t="shared" si="240"/>
        <v>0</v>
      </c>
      <c r="DH544">
        <f t="shared" si="241"/>
        <v>0</v>
      </c>
      <c r="DI544">
        <f t="shared" si="231"/>
        <v>0</v>
      </c>
      <c r="DJ544">
        <f t="shared" si="249"/>
        <v>51.29</v>
      </c>
      <c r="DK544">
        <v>0</v>
      </c>
    </row>
    <row r="545" spans="1:115" x14ac:dyDescent="0.2">
      <c r="A545">
        <f>ROW(Source!A538)</f>
        <v>538</v>
      </c>
      <c r="B545">
        <v>129761636</v>
      </c>
      <c r="C545">
        <v>129763816</v>
      </c>
      <c r="D545">
        <v>37345142</v>
      </c>
      <c r="E545">
        <v>37345137</v>
      </c>
      <c r="F545">
        <v>1</v>
      </c>
      <c r="G545">
        <v>37345137</v>
      </c>
      <c r="H545">
        <v>1</v>
      </c>
      <c r="I545" t="s">
        <v>1096</v>
      </c>
      <c r="J545" t="s">
        <v>3</v>
      </c>
      <c r="K545" t="s">
        <v>1097</v>
      </c>
      <c r="L545">
        <v>1191</v>
      </c>
      <c r="N545">
        <v>1013</v>
      </c>
      <c r="O545" t="s">
        <v>1098</v>
      </c>
      <c r="P545" t="s">
        <v>1098</v>
      </c>
      <c r="Q545">
        <v>1</v>
      </c>
      <c r="W545">
        <v>0</v>
      </c>
      <c r="X545">
        <v>476480486</v>
      </c>
      <c r="Y545">
        <f>(AT545*1.15)</f>
        <v>104.64999999999999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1</v>
      </c>
      <c r="AJ545">
        <v>1</v>
      </c>
      <c r="AK545">
        <v>1</v>
      </c>
      <c r="AL545">
        <v>1</v>
      </c>
      <c r="AN545">
        <v>0</v>
      </c>
      <c r="AO545">
        <v>1</v>
      </c>
      <c r="AP545">
        <v>1</v>
      </c>
      <c r="AQ545">
        <v>0</v>
      </c>
      <c r="AR545">
        <v>0</v>
      </c>
      <c r="AS545" t="s">
        <v>3</v>
      </c>
      <c r="AT545">
        <v>91</v>
      </c>
      <c r="AU545" t="s">
        <v>87</v>
      </c>
      <c r="AV545">
        <v>1</v>
      </c>
      <c r="AW545">
        <v>2</v>
      </c>
      <c r="AX545">
        <v>129763831</v>
      </c>
      <c r="AY545">
        <v>1</v>
      </c>
      <c r="AZ545">
        <v>0</v>
      </c>
      <c r="BA545">
        <v>543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CX545">
        <f>ROUND(Y545*Source!I538,9)</f>
        <v>10.44407</v>
      </c>
      <c r="CY545">
        <f>AD545</f>
        <v>0</v>
      </c>
      <c r="CZ545">
        <f>AH545</f>
        <v>0</v>
      </c>
      <c r="DA545">
        <f>AL545</f>
        <v>1</v>
      </c>
      <c r="DB545">
        <f>ROUND((ROUND(AT545*CZ545,2)*1.15),6)</f>
        <v>0</v>
      </c>
      <c r="DC545">
        <f>ROUND((ROUND(AT545*AG545,2)*1.15),6)</f>
        <v>0</v>
      </c>
      <c r="DD545" t="s">
        <v>3</v>
      </c>
      <c r="DE545" t="s">
        <v>3</v>
      </c>
      <c r="DF545">
        <f t="shared" ref="DF545:DF566" si="250">ROUND(AE545*CX545,2)</f>
        <v>0</v>
      </c>
      <c r="DG545">
        <f t="shared" si="240"/>
        <v>0</v>
      </c>
      <c r="DH545">
        <f t="shared" si="241"/>
        <v>0</v>
      </c>
      <c r="DI545">
        <f t="shared" si="231"/>
        <v>0</v>
      </c>
      <c r="DJ545">
        <f>DI545</f>
        <v>0</v>
      </c>
      <c r="DK545">
        <v>0</v>
      </c>
    </row>
    <row r="546" spans="1:115" x14ac:dyDescent="0.2">
      <c r="A546">
        <f>ROW(Source!A538)</f>
        <v>538</v>
      </c>
      <c r="B546">
        <v>129761636</v>
      </c>
      <c r="C546">
        <v>129763816</v>
      </c>
      <c r="D546">
        <v>37418162</v>
      </c>
      <c r="E546">
        <v>1</v>
      </c>
      <c r="F546">
        <v>1</v>
      </c>
      <c r="G546">
        <v>37345137</v>
      </c>
      <c r="H546">
        <v>2</v>
      </c>
      <c r="I546" t="s">
        <v>1174</v>
      </c>
      <c r="J546" t="s">
        <v>1175</v>
      </c>
      <c r="K546" t="s">
        <v>1176</v>
      </c>
      <c r="L546">
        <v>1367</v>
      </c>
      <c r="N546">
        <v>1011</v>
      </c>
      <c r="O546" t="s">
        <v>1102</v>
      </c>
      <c r="P546" t="s">
        <v>1102</v>
      </c>
      <c r="Q546">
        <v>1</v>
      </c>
      <c r="W546">
        <v>0</v>
      </c>
      <c r="X546">
        <v>49912578</v>
      </c>
      <c r="Y546">
        <f t="shared" ref="Y546:Y551" si="251">(AT546*1.25)</f>
        <v>34.125</v>
      </c>
      <c r="AA546">
        <v>0</v>
      </c>
      <c r="AB546">
        <v>6.15</v>
      </c>
      <c r="AC546">
        <v>0.02</v>
      </c>
      <c r="AD546">
        <v>0</v>
      </c>
      <c r="AE546">
        <v>0</v>
      </c>
      <c r="AF546">
        <v>6.15</v>
      </c>
      <c r="AG546">
        <v>0.02</v>
      </c>
      <c r="AH546">
        <v>0</v>
      </c>
      <c r="AI546">
        <v>1</v>
      </c>
      <c r="AJ546">
        <v>1</v>
      </c>
      <c r="AK546">
        <v>1</v>
      </c>
      <c r="AL546">
        <v>1</v>
      </c>
      <c r="AN546">
        <v>0</v>
      </c>
      <c r="AO546">
        <v>1</v>
      </c>
      <c r="AP546">
        <v>1</v>
      </c>
      <c r="AQ546">
        <v>0</v>
      </c>
      <c r="AR546">
        <v>0</v>
      </c>
      <c r="AS546" t="s">
        <v>3</v>
      </c>
      <c r="AT546">
        <v>27.3</v>
      </c>
      <c r="AU546" t="s">
        <v>86</v>
      </c>
      <c r="AV546">
        <v>0</v>
      </c>
      <c r="AW546">
        <v>2</v>
      </c>
      <c r="AX546">
        <v>129763832</v>
      </c>
      <c r="AY546">
        <v>1</v>
      </c>
      <c r="AZ546">
        <v>0</v>
      </c>
      <c r="BA546">
        <v>544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CX546">
        <f>ROUND(Y546*Source!I538,9)</f>
        <v>3.405675</v>
      </c>
      <c r="CY546">
        <f t="shared" ref="CY546:CY551" si="252">AB546</f>
        <v>6.15</v>
      </c>
      <c r="CZ546">
        <f t="shared" ref="CZ546:CZ551" si="253">AF546</f>
        <v>6.15</v>
      </c>
      <c r="DA546">
        <f t="shared" ref="DA546:DA551" si="254">AJ546</f>
        <v>1</v>
      </c>
      <c r="DB546">
        <f t="shared" ref="DB546:DB551" si="255">ROUND((ROUND(AT546*CZ546,2)*1.25),6)</f>
        <v>209.875</v>
      </c>
      <c r="DC546">
        <f t="shared" ref="DC546:DC551" si="256">ROUND((ROUND(AT546*AG546,2)*1.25),6)</f>
        <v>0.6875</v>
      </c>
      <c r="DD546" t="s">
        <v>3</v>
      </c>
      <c r="DE546" t="s">
        <v>3</v>
      </c>
      <c r="DF546">
        <f t="shared" si="250"/>
        <v>0</v>
      </c>
      <c r="DG546">
        <f t="shared" si="240"/>
        <v>20.94</v>
      </c>
      <c r="DH546">
        <f t="shared" si="241"/>
        <v>7.0000000000000007E-2</v>
      </c>
      <c r="DI546">
        <f t="shared" si="231"/>
        <v>0</v>
      </c>
      <c r="DJ546">
        <f t="shared" ref="DJ546:DJ551" si="257">DG546</f>
        <v>20.94</v>
      </c>
      <c r="DK546">
        <v>0</v>
      </c>
    </row>
    <row r="547" spans="1:115" x14ac:dyDescent="0.2">
      <c r="A547">
        <f>ROW(Source!A538)</f>
        <v>538</v>
      </c>
      <c r="B547">
        <v>129761636</v>
      </c>
      <c r="C547">
        <v>129763816</v>
      </c>
      <c r="D547">
        <v>37418164</v>
      </c>
      <c r="E547">
        <v>1</v>
      </c>
      <c r="F547">
        <v>1</v>
      </c>
      <c r="G547">
        <v>37345137</v>
      </c>
      <c r="H547">
        <v>2</v>
      </c>
      <c r="I547" t="s">
        <v>1294</v>
      </c>
      <c r="J547" t="s">
        <v>1295</v>
      </c>
      <c r="K547" t="s">
        <v>1296</v>
      </c>
      <c r="L547">
        <v>1367</v>
      </c>
      <c r="N547">
        <v>1011</v>
      </c>
      <c r="O547" t="s">
        <v>1102</v>
      </c>
      <c r="P547" t="s">
        <v>1102</v>
      </c>
      <c r="Q547">
        <v>1</v>
      </c>
      <c r="W547">
        <v>0</v>
      </c>
      <c r="X547">
        <v>-157737218</v>
      </c>
      <c r="Y547">
        <f t="shared" si="251"/>
        <v>1.25</v>
      </c>
      <c r="AA547">
        <v>0</v>
      </c>
      <c r="AB547">
        <v>1.0900000000000001</v>
      </c>
      <c r="AC547">
        <v>0.09</v>
      </c>
      <c r="AD547">
        <v>0</v>
      </c>
      <c r="AE547">
        <v>0</v>
      </c>
      <c r="AF547">
        <v>1.0900000000000001</v>
      </c>
      <c r="AG547">
        <v>0.09</v>
      </c>
      <c r="AH547">
        <v>0</v>
      </c>
      <c r="AI547">
        <v>1</v>
      </c>
      <c r="AJ547">
        <v>1</v>
      </c>
      <c r="AK547">
        <v>1</v>
      </c>
      <c r="AL547">
        <v>1</v>
      </c>
      <c r="AN547">
        <v>0</v>
      </c>
      <c r="AO547">
        <v>1</v>
      </c>
      <c r="AP547">
        <v>1</v>
      </c>
      <c r="AQ547">
        <v>0</v>
      </c>
      <c r="AR547">
        <v>0</v>
      </c>
      <c r="AS547" t="s">
        <v>3</v>
      </c>
      <c r="AT547">
        <v>1</v>
      </c>
      <c r="AU547" t="s">
        <v>86</v>
      </c>
      <c r="AV547">
        <v>0</v>
      </c>
      <c r="AW547">
        <v>2</v>
      </c>
      <c r="AX547">
        <v>129763833</v>
      </c>
      <c r="AY547">
        <v>1</v>
      </c>
      <c r="AZ547">
        <v>0</v>
      </c>
      <c r="BA547">
        <v>545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CX547">
        <f>ROUND(Y547*Source!I538,9)</f>
        <v>0.12475</v>
      </c>
      <c r="CY547">
        <f t="shared" si="252"/>
        <v>1.0900000000000001</v>
      </c>
      <c r="CZ547">
        <f t="shared" si="253"/>
        <v>1.0900000000000001</v>
      </c>
      <c r="DA547">
        <f t="shared" si="254"/>
        <v>1</v>
      </c>
      <c r="DB547">
        <f t="shared" si="255"/>
        <v>1.3625</v>
      </c>
      <c r="DC547">
        <f t="shared" si="256"/>
        <v>0.1125</v>
      </c>
      <c r="DD547" t="s">
        <v>3</v>
      </c>
      <c r="DE547" t="s">
        <v>3</v>
      </c>
      <c r="DF547">
        <f t="shared" si="250"/>
        <v>0</v>
      </c>
      <c r="DG547">
        <f t="shared" si="240"/>
        <v>0.14000000000000001</v>
      </c>
      <c r="DH547">
        <f t="shared" si="241"/>
        <v>0.01</v>
      </c>
      <c r="DI547">
        <f t="shared" si="231"/>
        <v>0</v>
      </c>
      <c r="DJ547">
        <f t="shared" si="257"/>
        <v>0.14000000000000001</v>
      </c>
      <c r="DK547">
        <v>0</v>
      </c>
    </row>
    <row r="548" spans="1:115" x14ac:dyDescent="0.2">
      <c r="A548">
        <f>ROW(Source!A538)</f>
        <v>538</v>
      </c>
      <c r="B548">
        <v>129761636</v>
      </c>
      <c r="C548">
        <v>129763816</v>
      </c>
      <c r="D548">
        <v>37418491</v>
      </c>
      <c r="E548">
        <v>1</v>
      </c>
      <c r="F548">
        <v>1</v>
      </c>
      <c r="G548">
        <v>37345137</v>
      </c>
      <c r="H548">
        <v>2</v>
      </c>
      <c r="I548" t="s">
        <v>1177</v>
      </c>
      <c r="J548" t="s">
        <v>1178</v>
      </c>
      <c r="K548" t="s">
        <v>1179</v>
      </c>
      <c r="L548">
        <v>1367</v>
      </c>
      <c r="N548">
        <v>1011</v>
      </c>
      <c r="O548" t="s">
        <v>1102</v>
      </c>
      <c r="P548" t="s">
        <v>1102</v>
      </c>
      <c r="Q548">
        <v>1</v>
      </c>
      <c r="W548">
        <v>0</v>
      </c>
      <c r="X548">
        <v>-1780114133</v>
      </c>
      <c r="Y548">
        <f t="shared" si="251"/>
        <v>1.375</v>
      </c>
      <c r="AA548">
        <v>0</v>
      </c>
      <c r="AB548">
        <v>0.44</v>
      </c>
      <c r="AC548">
        <v>0</v>
      </c>
      <c r="AD548">
        <v>0</v>
      </c>
      <c r="AE548">
        <v>0</v>
      </c>
      <c r="AF548">
        <v>0.44</v>
      </c>
      <c r="AG548">
        <v>0</v>
      </c>
      <c r="AH548">
        <v>0</v>
      </c>
      <c r="AI548">
        <v>1</v>
      </c>
      <c r="AJ548">
        <v>1</v>
      </c>
      <c r="AK548">
        <v>1</v>
      </c>
      <c r="AL548">
        <v>1</v>
      </c>
      <c r="AN548">
        <v>0</v>
      </c>
      <c r="AO548">
        <v>1</v>
      </c>
      <c r="AP548">
        <v>1</v>
      </c>
      <c r="AQ548">
        <v>0</v>
      </c>
      <c r="AR548">
        <v>0</v>
      </c>
      <c r="AS548" t="s">
        <v>3</v>
      </c>
      <c r="AT548">
        <v>1.1000000000000001</v>
      </c>
      <c r="AU548" t="s">
        <v>86</v>
      </c>
      <c r="AV548">
        <v>0</v>
      </c>
      <c r="AW548">
        <v>2</v>
      </c>
      <c r="AX548">
        <v>129763834</v>
      </c>
      <c r="AY548">
        <v>1</v>
      </c>
      <c r="AZ548">
        <v>0</v>
      </c>
      <c r="BA548">
        <v>546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CX548">
        <f>ROUND(Y548*Source!I538,9)</f>
        <v>0.13722500000000001</v>
      </c>
      <c r="CY548">
        <f t="shared" si="252"/>
        <v>0.44</v>
      </c>
      <c r="CZ548">
        <f t="shared" si="253"/>
        <v>0.44</v>
      </c>
      <c r="DA548">
        <f t="shared" si="254"/>
        <v>1</v>
      </c>
      <c r="DB548">
        <f t="shared" si="255"/>
        <v>0.6</v>
      </c>
      <c r="DC548">
        <f t="shared" si="256"/>
        <v>0</v>
      </c>
      <c r="DD548" t="s">
        <v>3</v>
      </c>
      <c r="DE548" t="s">
        <v>3</v>
      </c>
      <c r="DF548">
        <f t="shared" si="250"/>
        <v>0</v>
      </c>
      <c r="DG548">
        <f t="shared" si="240"/>
        <v>0.06</v>
      </c>
      <c r="DH548">
        <f t="shared" si="241"/>
        <v>0</v>
      </c>
      <c r="DI548">
        <f t="shared" si="231"/>
        <v>0</v>
      </c>
      <c r="DJ548">
        <f t="shared" si="257"/>
        <v>0.06</v>
      </c>
      <c r="DK548">
        <v>0</v>
      </c>
    </row>
    <row r="549" spans="1:115" x14ac:dyDescent="0.2">
      <c r="A549">
        <f>ROW(Source!A538)</f>
        <v>538</v>
      </c>
      <c r="B549">
        <v>129761636</v>
      </c>
      <c r="C549">
        <v>129763816</v>
      </c>
      <c r="D549">
        <v>37418479</v>
      </c>
      <c r="E549">
        <v>1</v>
      </c>
      <c r="F549">
        <v>1</v>
      </c>
      <c r="G549">
        <v>37345137</v>
      </c>
      <c r="H549">
        <v>2</v>
      </c>
      <c r="I549" t="s">
        <v>1183</v>
      </c>
      <c r="J549" t="s">
        <v>1184</v>
      </c>
      <c r="K549" t="s">
        <v>1185</v>
      </c>
      <c r="L549">
        <v>1367</v>
      </c>
      <c r="N549">
        <v>1011</v>
      </c>
      <c r="O549" t="s">
        <v>1102</v>
      </c>
      <c r="P549" t="s">
        <v>1102</v>
      </c>
      <c r="Q549">
        <v>1</v>
      </c>
      <c r="W549">
        <v>0</v>
      </c>
      <c r="X549">
        <v>950854334</v>
      </c>
      <c r="Y549">
        <f t="shared" si="251"/>
        <v>0.375</v>
      </c>
      <c r="AA549">
        <v>0</v>
      </c>
      <c r="AB549">
        <v>2.36</v>
      </c>
      <c r="AC549">
        <v>0.1</v>
      </c>
      <c r="AD549">
        <v>0</v>
      </c>
      <c r="AE549">
        <v>0</v>
      </c>
      <c r="AF549">
        <v>2.36</v>
      </c>
      <c r="AG549">
        <v>0.1</v>
      </c>
      <c r="AH549">
        <v>0</v>
      </c>
      <c r="AI549">
        <v>1</v>
      </c>
      <c r="AJ549">
        <v>1</v>
      </c>
      <c r="AK549">
        <v>1</v>
      </c>
      <c r="AL549">
        <v>1</v>
      </c>
      <c r="AN549">
        <v>0</v>
      </c>
      <c r="AO549">
        <v>1</v>
      </c>
      <c r="AP549">
        <v>1</v>
      </c>
      <c r="AQ549">
        <v>0</v>
      </c>
      <c r="AR549">
        <v>0</v>
      </c>
      <c r="AS549" t="s">
        <v>3</v>
      </c>
      <c r="AT549">
        <v>0.3</v>
      </c>
      <c r="AU549" t="s">
        <v>86</v>
      </c>
      <c r="AV549">
        <v>0</v>
      </c>
      <c r="AW549">
        <v>2</v>
      </c>
      <c r="AX549">
        <v>129763835</v>
      </c>
      <c r="AY549">
        <v>1</v>
      </c>
      <c r="AZ549">
        <v>0</v>
      </c>
      <c r="BA549">
        <v>547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CX549">
        <f>ROUND(Y549*Source!I538,9)</f>
        <v>3.7425E-2</v>
      </c>
      <c r="CY549">
        <f t="shared" si="252"/>
        <v>2.36</v>
      </c>
      <c r="CZ549">
        <f t="shared" si="253"/>
        <v>2.36</v>
      </c>
      <c r="DA549">
        <f t="shared" si="254"/>
        <v>1</v>
      </c>
      <c r="DB549">
        <f t="shared" si="255"/>
        <v>0.88749999999999996</v>
      </c>
      <c r="DC549">
        <f t="shared" si="256"/>
        <v>3.7499999999999999E-2</v>
      </c>
      <c r="DD549" t="s">
        <v>3</v>
      </c>
      <c r="DE549" t="s">
        <v>3</v>
      </c>
      <c r="DF549">
        <f t="shared" si="250"/>
        <v>0</v>
      </c>
      <c r="DG549">
        <f t="shared" si="240"/>
        <v>0.09</v>
      </c>
      <c r="DH549">
        <f t="shared" si="241"/>
        <v>0</v>
      </c>
      <c r="DI549">
        <f t="shared" si="231"/>
        <v>0</v>
      </c>
      <c r="DJ549">
        <f t="shared" si="257"/>
        <v>0.09</v>
      </c>
      <c r="DK549">
        <v>0</v>
      </c>
    </row>
    <row r="550" spans="1:115" x14ac:dyDescent="0.2">
      <c r="A550">
        <f>ROW(Source!A538)</f>
        <v>538</v>
      </c>
      <c r="B550">
        <v>129761636</v>
      </c>
      <c r="C550">
        <v>129763816</v>
      </c>
      <c r="D550">
        <v>37418532</v>
      </c>
      <c r="E550">
        <v>1</v>
      </c>
      <c r="F550">
        <v>1</v>
      </c>
      <c r="G550">
        <v>37345137</v>
      </c>
      <c r="H550">
        <v>2</v>
      </c>
      <c r="I550" t="s">
        <v>1297</v>
      </c>
      <c r="J550" t="s">
        <v>1298</v>
      </c>
      <c r="K550" t="s">
        <v>1299</v>
      </c>
      <c r="L550">
        <v>1367</v>
      </c>
      <c r="N550">
        <v>1011</v>
      </c>
      <c r="O550" t="s">
        <v>1102</v>
      </c>
      <c r="P550" t="s">
        <v>1102</v>
      </c>
      <c r="Q550">
        <v>1</v>
      </c>
      <c r="W550">
        <v>0</v>
      </c>
      <c r="X550">
        <v>-1280649501</v>
      </c>
      <c r="Y550">
        <f t="shared" si="251"/>
        <v>1.05</v>
      </c>
      <c r="AA550">
        <v>0</v>
      </c>
      <c r="AB550">
        <v>18.309999999999999</v>
      </c>
      <c r="AC550">
        <v>13.46</v>
      </c>
      <c r="AD550">
        <v>0</v>
      </c>
      <c r="AE550">
        <v>0</v>
      </c>
      <c r="AF550">
        <v>18.309999999999999</v>
      </c>
      <c r="AG550">
        <v>13.46</v>
      </c>
      <c r="AH550">
        <v>0</v>
      </c>
      <c r="AI550">
        <v>1</v>
      </c>
      <c r="AJ550">
        <v>1</v>
      </c>
      <c r="AK550">
        <v>1</v>
      </c>
      <c r="AL550">
        <v>1</v>
      </c>
      <c r="AN550">
        <v>0</v>
      </c>
      <c r="AO550">
        <v>1</v>
      </c>
      <c r="AP550">
        <v>1</v>
      </c>
      <c r="AQ550">
        <v>0</v>
      </c>
      <c r="AR550">
        <v>0</v>
      </c>
      <c r="AS550" t="s">
        <v>3</v>
      </c>
      <c r="AT550">
        <v>0.84</v>
      </c>
      <c r="AU550" t="s">
        <v>86</v>
      </c>
      <c r="AV550">
        <v>0</v>
      </c>
      <c r="AW550">
        <v>2</v>
      </c>
      <c r="AX550">
        <v>129763836</v>
      </c>
      <c r="AY550">
        <v>1</v>
      </c>
      <c r="AZ550">
        <v>0</v>
      </c>
      <c r="BA550">
        <v>548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CX550">
        <f>ROUND(Y550*Source!I538,9)</f>
        <v>0.10478999999999999</v>
      </c>
      <c r="CY550">
        <f t="shared" si="252"/>
        <v>18.309999999999999</v>
      </c>
      <c r="CZ550">
        <f t="shared" si="253"/>
        <v>18.309999999999999</v>
      </c>
      <c r="DA550">
        <f t="shared" si="254"/>
        <v>1</v>
      </c>
      <c r="DB550">
        <f t="shared" si="255"/>
        <v>19.225000000000001</v>
      </c>
      <c r="DC550">
        <f t="shared" si="256"/>
        <v>14.137499999999999</v>
      </c>
      <c r="DD550" t="s">
        <v>3</v>
      </c>
      <c r="DE550" t="s">
        <v>3</v>
      </c>
      <c r="DF550">
        <f t="shared" si="250"/>
        <v>0</v>
      </c>
      <c r="DG550">
        <f t="shared" si="240"/>
        <v>1.92</v>
      </c>
      <c r="DH550">
        <f t="shared" si="241"/>
        <v>1.41</v>
      </c>
      <c r="DI550">
        <f t="shared" si="231"/>
        <v>0</v>
      </c>
      <c r="DJ550">
        <f t="shared" si="257"/>
        <v>1.92</v>
      </c>
      <c r="DK550">
        <v>0</v>
      </c>
    </row>
    <row r="551" spans="1:115" x14ac:dyDescent="0.2">
      <c r="A551">
        <f>ROW(Source!A538)</f>
        <v>538</v>
      </c>
      <c r="B551">
        <v>129761636</v>
      </c>
      <c r="C551">
        <v>129763816</v>
      </c>
      <c r="D551">
        <v>37345890</v>
      </c>
      <c r="E551">
        <v>37345137</v>
      </c>
      <c r="F551">
        <v>1</v>
      </c>
      <c r="G551">
        <v>37345137</v>
      </c>
      <c r="H551">
        <v>2</v>
      </c>
      <c r="I551" t="s">
        <v>1145</v>
      </c>
      <c r="J551" t="s">
        <v>3</v>
      </c>
      <c r="K551" t="s">
        <v>1146</v>
      </c>
      <c r="L551">
        <v>1344</v>
      </c>
      <c r="N551">
        <v>1008</v>
      </c>
      <c r="O551" t="s">
        <v>1138</v>
      </c>
      <c r="P551" t="s">
        <v>1138</v>
      </c>
      <c r="Q551">
        <v>1</v>
      </c>
      <c r="W551">
        <v>0</v>
      </c>
      <c r="X551">
        <v>-1180195794</v>
      </c>
      <c r="Y551">
        <f t="shared" si="251"/>
        <v>46.537499999999994</v>
      </c>
      <c r="AA551">
        <v>0</v>
      </c>
      <c r="AB551">
        <v>1</v>
      </c>
      <c r="AC551">
        <v>0</v>
      </c>
      <c r="AD551">
        <v>0</v>
      </c>
      <c r="AE551">
        <v>0</v>
      </c>
      <c r="AF551">
        <v>1</v>
      </c>
      <c r="AG551">
        <v>0</v>
      </c>
      <c r="AH551">
        <v>0</v>
      </c>
      <c r="AI551">
        <v>1</v>
      </c>
      <c r="AJ551">
        <v>1</v>
      </c>
      <c r="AK551">
        <v>1</v>
      </c>
      <c r="AL551">
        <v>1</v>
      </c>
      <c r="AN551">
        <v>0</v>
      </c>
      <c r="AO551">
        <v>1</v>
      </c>
      <c r="AP551">
        <v>1</v>
      </c>
      <c r="AQ551">
        <v>0</v>
      </c>
      <c r="AR551">
        <v>0</v>
      </c>
      <c r="AS551" t="s">
        <v>3</v>
      </c>
      <c r="AT551">
        <v>37.229999999999997</v>
      </c>
      <c r="AU551" t="s">
        <v>86</v>
      </c>
      <c r="AV551">
        <v>0</v>
      </c>
      <c r="AW551">
        <v>2</v>
      </c>
      <c r="AX551">
        <v>129763837</v>
      </c>
      <c r="AY551">
        <v>1</v>
      </c>
      <c r="AZ551">
        <v>0</v>
      </c>
      <c r="BA551">
        <v>549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CX551">
        <f>ROUND(Y551*Source!I538,9)</f>
        <v>4.6444425000000003</v>
      </c>
      <c r="CY551">
        <f t="shared" si="252"/>
        <v>1</v>
      </c>
      <c r="CZ551">
        <f t="shared" si="253"/>
        <v>1</v>
      </c>
      <c r="DA551">
        <f t="shared" si="254"/>
        <v>1</v>
      </c>
      <c r="DB551">
        <f t="shared" si="255"/>
        <v>46.537500000000001</v>
      </c>
      <c r="DC551">
        <f t="shared" si="256"/>
        <v>0</v>
      </c>
      <c r="DD551" t="s">
        <v>3</v>
      </c>
      <c r="DE551" t="s">
        <v>3</v>
      </c>
      <c r="DF551">
        <f t="shared" si="250"/>
        <v>0</v>
      </c>
      <c r="DG551">
        <f t="shared" si="240"/>
        <v>4.6399999999999997</v>
      </c>
      <c r="DH551">
        <f t="shared" si="241"/>
        <v>0</v>
      </c>
      <c r="DI551">
        <f t="shared" si="231"/>
        <v>0</v>
      </c>
      <c r="DJ551">
        <f t="shared" si="257"/>
        <v>4.6399999999999997</v>
      </c>
      <c r="DK551">
        <v>0</v>
      </c>
    </row>
    <row r="552" spans="1:115" x14ac:dyDescent="0.2">
      <c r="A552">
        <f>ROW(Source!A538)</f>
        <v>538</v>
      </c>
      <c r="B552">
        <v>129761636</v>
      </c>
      <c r="C552">
        <v>129763816</v>
      </c>
      <c r="D552">
        <v>0</v>
      </c>
      <c r="E552">
        <v>1</v>
      </c>
      <c r="F552">
        <v>1</v>
      </c>
      <c r="G552">
        <v>37345137</v>
      </c>
      <c r="H552">
        <v>3</v>
      </c>
      <c r="I552" t="s">
        <v>562</v>
      </c>
      <c r="J552" t="s">
        <v>3</v>
      </c>
      <c r="K552" t="s">
        <v>563</v>
      </c>
      <c r="L552">
        <v>1348</v>
      </c>
      <c r="N552">
        <v>1009</v>
      </c>
      <c r="O552" t="s">
        <v>114</v>
      </c>
      <c r="P552" t="s">
        <v>114</v>
      </c>
      <c r="Q552">
        <v>1000</v>
      </c>
      <c r="W552">
        <v>0</v>
      </c>
      <c r="X552">
        <v>1037925172</v>
      </c>
      <c r="Y552">
        <f t="shared" ref="Y552:Y559" si="258">AT552</f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1</v>
      </c>
      <c r="AJ552">
        <v>1</v>
      </c>
      <c r="AK552">
        <v>1</v>
      </c>
      <c r="AL552">
        <v>1</v>
      </c>
      <c r="AN552">
        <v>0</v>
      </c>
      <c r="AO552">
        <v>0</v>
      </c>
      <c r="AP552">
        <v>0</v>
      </c>
      <c r="AQ552">
        <v>0</v>
      </c>
      <c r="AR552">
        <v>0</v>
      </c>
      <c r="AS552" t="s">
        <v>3</v>
      </c>
      <c r="AT552">
        <v>0</v>
      </c>
      <c r="AU552" t="s">
        <v>3</v>
      </c>
      <c r="AV552">
        <v>0</v>
      </c>
      <c r="AW552">
        <v>1</v>
      </c>
      <c r="AX552">
        <v>-1</v>
      </c>
      <c r="AY552">
        <v>0</v>
      </c>
      <c r="AZ552">
        <v>0</v>
      </c>
      <c r="BA552" t="s">
        <v>3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CX552">
        <f>ROUND(Y552*Source!I538,9)</f>
        <v>0</v>
      </c>
      <c r="CY552">
        <f t="shared" ref="CY552:CY559" si="259">AA552</f>
        <v>0</v>
      </c>
      <c r="CZ552">
        <f t="shared" ref="CZ552:CZ559" si="260">AE552</f>
        <v>0</v>
      </c>
      <c r="DA552">
        <f t="shared" ref="DA552:DA559" si="261">AI552</f>
        <v>1</v>
      </c>
      <c r="DB552">
        <f t="shared" ref="DB552:DB559" si="262">ROUND(ROUND(AT552*CZ552,2),6)</f>
        <v>0</v>
      </c>
      <c r="DC552">
        <f t="shared" ref="DC552:DC559" si="263">ROUND(ROUND(AT552*AG552,2),6)</f>
        <v>0</v>
      </c>
      <c r="DD552" t="s">
        <v>3</v>
      </c>
      <c r="DE552" t="s">
        <v>3</v>
      </c>
      <c r="DF552">
        <f t="shared" si="250"/>
        <v>0</v>
      </c>
      <c r="DG552">
        <f t="shared" si="240"/>
        <v>0</v>
      </c>
      <c r="DH552">
        <f t="shared" si="241"/>
        <v>0</v>
      </c>
      <c r="DI552">
        <f t="shared" si="231"/>
        <v>0</v>
      </c>
      <c r="DJ552">
        <f t="shared" ref="DJ552:DJ559" si="264">DF552</f>
        <v>0</v>
      </c>
      <c r="DK552">
        <v>0</v>
      </c>
    </row>
    <row r="553" spans="1:115" x14ac:dyDescent="0.2">
      <c r="A553">
        <f>ROW(Source!A538)</f>
        <v>538</v>
      </c>
      <c r="B553">
        <v>129761636</v>
      </c>
      <c r="C553">
        <v>129763816</v>
      </c>
      <c r="D553">
        <v>0</v>
      </c>
      <c r="E553">
        <v>1</v>
      </c>
      <c r="F553">
        <v>1</v>
      </c>
      <c r="G553">
        <v>37345137</v>
      </c>
      <c r="H553">
        <v>3</v>
      </c>
      <c r="I553" t="s">
        <v>586</v>
      </c>
      <c r="J553" t="s">
        <v>3</v>
      </c>
      <c r="K553" t="s">
        <v>587</v>
      </c>
      <c r="L553">
        <v>1348</v>
      </c>
      <c r="N553">
        <v>1009</v>
      </c>
      <c r="O553" t="s">
        <v>114</v>
      </c>
      <c r="P553" t="s">
        <v>114</v>
      </c>
      <c r="Q553">
        <v>1000</v>
      </c>
      <c r="W553">
        <v>0</v>
      </c>
      <c r="X553">
        <v>1465266954</v>
      </c>
      <c r="Y553">
        <f t="shared" si="258"/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1</v>
      </c>
      <c r="AJ553">
        <v>1</v>
      </c>
      <c r="AK553">
        <v>1</v>
      </c>
      <c r="AL553">
        <v>1</v>
      </c>
      <c r="AN553">
        <v>0</v>
      </c>
      <c r="AO553">
        <v>0</v>
      </c>
      <c r="AP553">
        <v>0</v>
      </c>
      <c r="AQ553">
        <v>0</v>
      </c>
      <c r="AR553">
        <v>0</v>
      </c>
      <c r="AS553" t="s">
        <v>3</v>
      </c>
      <c r="AT553">
        <v>0</v>
      </c>
      <c r="AU553" t="s">
        <v>3</v>
      </c>
      <c r="AV553">
        <v>0</v>
      </c>
      <c r="AW553">
        <v>1</v>
      </c>
      <c r="AX553">
        <v>-1</v>
      </c>
      <c r="AY553">
        <v>0</v>
      </c>
      <c r="AZ553">
        <v>0</v>
      </c>
      <c r="BA553" t="s">
        <v>3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CX553">
        <f>ROUND(Y553*Source!I538,9)</f>
        <v>0</v>
      </c>
      <c r="CY553">
        <f t="shared" si="259"/>
        <v>0</v>
      </c>
      <c r="CZ553">
        <f t="shared" si="260"/>
        <v>0</v>
      </c>
      <c r="DA553">
        <f t="shared" si="261"/>
        <v>1</v>
      </c>
      <c r="DB553">
        <f t="shared" si="262"/>
        <v>0</v>
      </c>
      <c r="DC553">
        <f t="shared" si="263"/>
        <v>0</v>
      </c>
      <c r="DD553" t="s">
        <v>3</v>
      </c>
      <c r="DE553" t="s">
        <v>3</v>
      </c>
      <c r="DF553">
        <f t="shared" si="250"/>
        <v>0</v>
      </c>
      <c r="DG553">
        <f t="shared" si="240"/>
        <v>0</v>
      </c>
      <c r="DH553">
        <f t="shared" si="241"/>
        <v>0</v>
      </c>
      <c r="DI553">
        <f t="shared" si="231"/>
        <v>0</v>
      </c>
      <c r="DJ553">
        <f t="shared" si="264"/>
        <v>0</v>
      </c>
      <c r="DK553">
        <v>0</v>
      </c>
    </row>
    <row r="554" spans="1:115" x14ac:dyDescent="0.2">
      <c r="A554">
        <f>ROW(Source!A538)</f>
        <v>538</v>
      </c>
      <c r="B554">
        <v>129761636</v>
      </c>
      <c r="C554">
        <v>129763816</v>
      </c>
      <c r="D554">
        <v>37394864</v>
      </c>
      <c r="E554">
        <v>1</v>
      </c>
      <c r="F554">
        <v>1</v>
      </c>
      <c r="G554">
        <v>37345137</v>
      </c>
      <c r="H554">
        <v>3</v>
      </c>
      <c r="I554" t="s">
        <v>1147</v>
      </c>
      <c r="J554" t="s">
        <v>1148</v>
      </c>
      <c r="K554" t="s">
        <v>1149</v>
      </c>
      <c r="L554">
        <v>1348</v>
      </c>
      <c r="N554">
        <v>1009</v>
      </c>
      <c r="O554" t="s">
        <v>114</v>
      </c>
      <c r="P554" t="s">
        <v>114</v>
      </c>
      <c r="Q554">
        <v>1000</v>
      </c>
      <c r="W554">
        <v>0</v>
      </c>
      <c r="X554">
        <v>1310716689</v>
      </c>
      <c r="Y554">
        <f t="shared" si="258"/>
        <v>2.1499999999999998E-2</v>
      </c>
      <c r="AA554">
        <v>7191.81</v>
      </c>
      <c r="AB554">
        <v>0</v>
      </c>
      <c r="AC554">
        <v>0</v>
      </c>
      <c r="AD554">
        <v>0</v>
      </c>
      <c r="AE554">
        <v>7191.81</v>
      </c>
      <c r="AF554">
        <v>0</v>
      </c>
      <c r="AG554">
        <v>0</v>
      </c>
      <c r="AH554">
        <v>0</v>
      </c>
      <c r="AI554">
        <v>1</v>
      </c>
      <c r="AJ554">
        <v>1</v>
      </c>
      <c r="AK554">
        <v>1</v>
      </c>
      <c r="AL554">
        <v>1</v>
      </c>
      <c r="AN554">
        <v>0</v>
      </c>
      <c r="AO554">
        <v>1</v>
      </c>
      <c r="AP554">
        <v>0</v>
      </c>
      <c r="AQ554">
        <v>0</v>
      </c>
      <c r="AR554">
        <v>0</v>
      </c>
      <c r="AS554" t="s">
        <v>3</v>
      </c>
      <c r="AT554">
        <v>2.1499999999999998E-2</v>
      </c>
      <c r="AU554" t="s">
        <v>3</v>
      </c>
      <c r="AV554">
        <v>0</v>
      </c>
      <c r="AW554">
        <v>2</v>
      </c>
      <c r="AX554">
        <v>129763840</v>
      </c>
      <c r="AY554">
        <v>1</v>
      </c>
      <c r="AZ554">
        <v>0</v>
      </c>
      <c r="BA554">
        <v>552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CX554">
        <f>ROUND(Y554*Source!I538,9)</f>
        <v>2.1457E-3</v>
      </c>
      <c r="CY554">
        <f t="shared" si="259"/>
        <v>7191.81</v>
      </c>
      <c r="CZ554">
        <f t="shared" si="260"/>
        <v>7191.81</v>
      </c>
      <c r="DA554">
        <f t="shared" si="261"/>
        <v>1</v>
      </c>
      <c r="DB554">
        <f t="shared" si="262"/>
        <v>154.62</v>
      </c>
      <c r="DC554">
        <f t="shared" si="263"/>
        <v>0</v>
      </c>
      <c r="DD554" t="s">
        <v>3</v>
      </c>
      <c r="DE554" t="s">
        <v>3</v>
      </c>
      <c r="DF554">
        <f t="shared" si="250"/>
        <v>15.43</v>
      </c>
      <c r="DG554">
        <f t="shared" si="240"/>
        <v>0</v>
      </c>
      <c r="DH554">
        <f t="shared" si="241"/>
        <v>0</v>
      </c>
      <c r="DI554">
        <f t="shared" si="231"/>
        <v>0</v>
      </c>
      <c r="DJ554">
        <f t="shared" si="264"/>
        <v>15.43</v>
      </c>
      <c r="DK554">
        <v>0</v>
      </c>
    </row>
    <row r="555" spans="1:115" x14ac:dyDescent="0.2">
      <c r="A555">
        <f>ROW(Source!A538)</f>
        <v>538</v>
      </c>
      <c r="B555">
        <v>129761636</v>
      </c>
      <c r="C555">
        <v>129763816</v>
      </c>
      <c r="D555">
        <v>37393799</v>
      </c>
      <c r="E555">
        <v>1</v>
      </c>
      <c r="F555">
        <v>1</v>
      </c>
      <c r="G555">
        <v>37345137</v>
      </c>
      <c r="H555">
        <v>3</v>
      </c>
      <c r="I555" t="s">
        <v>590</v>
      </c>
      <c r="J555" t="s">
        <v>592</v>
      </c>
      <c r="K555" t="s">
        <v>591</v>
      </c>
      <c r="L555">
        <v>1339</v>
      </c>
      <c r="N555">
        <v>1007</v>
      </c>
      <c r="O555" t="s">
        <v>94</v>
      </c>
      <c r="P555" t="s">
        <v>94</v>
      </c>
      <c r="Q555">
        <v>1</v>
      </c>
      <c r="W555">
        <v>0</v>
      </c>
      <c r="X555">
        <v>-1236741395</v>
      </c>
      <c r="Y555">
        <f t="shared" si="258"/>
        <v>2.6</v>
      </c>
      <c r="AA555">
        <v>5.91</v>
      </c>
      <c r="AB555">
        <v>0</v>
      </c>
      <c r="AC555">
        <v>0</v>
      </c>
      <c r="AD555">
        <v>0</v>
      </c>
      <c r="AE555">
        <v>5.91</v>
      </c>
      <c r="AF555">
        <v>0</v>
      </c>
      <c r="AG555">
        <v>0</v>
      </c>
      <c r="AH555">
        <v>0</v>
      </c>
      <c r="AI555">
        <v>1</v>
      </c>
      <c r="AJ555">
        <v>1</v>
      </c>
      <c r="AK555">
        <v>1</v>
      </c>
      <c r="AL555">
        <v>1</v>
      </c>
      <c r="AN555">
        <v>0</v>
      </c>
      <c r="AO555">
        <v>0</v>
      </c>
      <c r="AP555">
        <v>0</v>
      </c>
      <c r="AQ555">
        <v>0</v>
      </c>
      <c r="AR555">
        <v>0</v>
      </c>
      <c r="AS555" t="s">
        <v>3</v>
      </c>
      <c r="AT555">
        <v>2.6</v>
      </c>
      <c r="AU555" t="s">
        <v>3</v>
      </c>
      <c r="AV555">
        <v>0</v>
      </c>
      <c r="AW555">
        <v>1</v>
      </c>
      <c r="AX555">
        <v>-1</v>
      </c>
      <c r="AY555">
        <v>0</v>
      </c>
      <c r="AZ555">
        <v>0</v>
      </c>
      <c r="BA555" t="s">
        <v>3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CX555">
        <f>ROUND(Y555*Source!I538,9)</f>
        <v>0.25947999999999999</v>
      </c>
      <c r="CY555">
        <f t="shared" si="259"/>
        <v>5.91</v>
      </c>
      <c r="CZ555">
        <f t="shared" si="260"/>
        <v>5.91</v>
      </c>
      <c r="DA555">
        <f t="shared" si="261"/>
        <v>1</v>
      </c>
      <c r="DB555">
        <f t="shared" si="262"/>
        <v>15.37</v>
      </c>
      <c r="DC555">
        <f t="shared" si="263"/>
        <v>0</v>
      </c>
      <c r="DD555" t="s">
        <v>3</v>
      </c>
      <c r="DE555" t="s">
        <v>3</v>
      </c>
      <c r="DF555">
        <f t="shared" si="250"/>
        <v>1.53</v>
      </c>
      <c r="DG555">
        <f t="shared" si="240"/>
        <v>0</v>
      </c>
      <c r="DH555">
        <f t="shared" si="241"/>
        <v>0</v>
      </c>
      <c r="DI555">
        <f t="shared" si="231"/>
        <v>0</v>
      </c>
      <c r="DJ555">
        <f t="shared" si="264"/>
        <v>1.53</v>
      </c>
      <c r="DK555">
        <v>0</v>
      </c>
    </row>
    <row r="556" spans="1:115" x14ac:dyDescent="0.2">
      <c r="A556">
        <f>ROW(Source!A538)</f>
        <v>538</v>
      </c>
      <c r="B556">
        <v>129761636</v>
      </c>
      <c r="C556">
        <v>129763816</v>
      </c>
      <c r="D556">
        <v>37394311</v>
      </c>
      <c r="E556">
        <v>1</v>
      </c>
      <c r="F556">
        <v>1</v>
      </c>
      <c r="G556">
        <v>37345137</v>
      </c>
      <c r="H556">
        <v>3</v>
      </c>
      <c r="I556" t="s">
        <v>571</v>
      </c>
      <c r="J556" t="s">
        <v>573</v>
      </c>
      <c r="K556" t="s">
        <v>572</v>
      </c>
      <c r="L556">
        <v>1339</v>
      </c>
      <c r="N556">
        <v>1007</v>
      </c>
      <c r="O556" t="s">
        <v>94</v>
      </c>
      <c r="P556" t="s">
        <v>94</v>
      </c>
      <c r="Q556">
        <v>1</v>
      </c>
      <c r="W556">
        <v>0</v>
      </c>
      <c r="X556">
        <v>138241181</v>
      </c>
      <c r="Y556">
        <f t="shared" si="258"/>
        <v>0.5</v>
      </c>
      <c r="AA556">
        <v>5.67</v>
      </c>
      <c r="AB556">
        <v>0</v>
      </c>
      <c r="AC556">
        <v>0</v>
      </c>
      <c r="AD556">
        <v>0</v>
      </c>
      <c r="AE556">
        <v>5.67</v>
      </c>
      <c r="AF556">
        <v>0</v>
      </c>
      <c r="AG556">
        <v>0</v>
      </c>
      <c r="AH556">
        <v>0</v>
      </c>
      <c r="AI556">
        <v>1</v>
      </c>
      <c r="AJ556">
        <v>1</v>
      </c>
      <c r="AK556">
        <v>1</v>
      </c>
      <c r="AL556">
        <v>1</v>
      </c>
      <c r="AN556">
        <v>0</v>
      </c>
      <c r="AO556">
        <v>0</v>
      </c>
      <c r="AP556">
        <v>0</v>
      </c>
      <c r="AQ556">
        <v>0</v>
      </c>
      <c r="AR556">
        <v>0</v>
      </c>
      <c r="AS556" t="s">
        <v>3</v>
      </c>
      <c r="AT556">
        <v>0.5</v>
      </c>
      <c r="AU556" t="s">
        <v>3</v>
      </c>
      <c r="AV556">
        <v>0</v>
      </c>
      <c r="AW556">
        <v>1</v>
      </c>
      <c r="AX556">
        <v>-1</v>
      </c>
      <c r="AY556">
        <v>0</v>
      </c>
      <c r="AZ556">
        <v>0</v>
      </c>
      <c r="BA556" t="s">
        <v>3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CX556">
        <f>ROUND(Y556*Source!I538,9)</f>
        <v>4.99E-2</v>
      </c>
      <c r="CY556">
        <f t="shared" si="259"/>
        <v>5.67</v>
      </c>
      <c r="CZ556">
        <f t="shared" si="260"/>
        <v>5.67</v>
      </c>
      <c r="DA556">
        <f t="shared" si="261"/>
        <v>1</v>
      </c>
      <c r="DB556">
        <f t="shared" si="262"/>
        <v>2.84</v>
      </c>
      <c r="DC556">
        <f t="shared" si="263"/>
        <v>0</v>
      </c>
      <c r="DD556" t="s">
        <v>3</v>
      </c>
      <c r="DE556" t="s">
        <v>3</v>
      </c>
      <c r="DF556">
        <f t="shared" si="250"/>
        <v>0.28000000000000003</v>
      </c>
      <c r="DG556">
        <f t="shared" si="240"/>
        <v>0</v>
      </c>
      <c r="DH556">
        <f t="shared" si="241"/>
        <v>0</v>
      </c>
      <c r="DI556">
        <f t="shared" si="231"/>
        <v>0</v>
      </c>
      <c r="DJ556">
        <f t="shared" si="264"/>
        <v>0.28000000000000003</v>
      </c>
      <c r="DK556">
        <v>0</v>
      </c>
    </row>
    <row r="557" spans="1:115" x14ac:dyDescent="0.2">
      <c r="A557">
        <f>ROW(Source!A538)</f>
        <v>538</v>
      </c>
      <c r="B557">
        <v>129761636</v>
      </c>
      <c r="C557">
        <v>129763816</v>
      </c>
      <c r="D557">
        <v>37399542</v>
      </c>
      <c r="E557">
        <v>1</v>
      </c>
      <c r="F557">
        <v>1</v>
      </c>
      <c r="G557">
        <v>37345137</v>
      </c>
      <c r="H557">
        <v>3</v>
      </c>
      <c r="I557" t="s">
        <v>582</v>
      </c>
      <c r="J557" t="s">
        <v>584</v>
      </c>
      <c r="K557" t="s">
        <v>583</v>
      </c>
      <c r="L557">
        <v>1301</v>
      </c>
      <c r="N557">
        <v>1003</v>
      </c>
      <c r="O557" t="s">
        <v>270</v>
      </c>
      <c r="P557" t="s">
        <v>270</v>
      </c>
      <c r="Q557">
        <v>1</v>
      </c>
      <c r="W557">
        <v>0</v>
      </c>
      <c r="X557">
        <v>155765014</v>
      </c>
      <c r="Y557">
        <f t="shared" si="258"/>
        <v>0</v>
      </c>
      <c r="AA557">
        <v>6.81</v>
      </c>
      <c r="AB557">
        <v>0</v>
      </c>
      <c r="AC557">
        <v>0</v>
      </c>
      <c r="AD557">
        <v>0</v>
      </c>
      <c r="AE557">
        <v>6.81</v>
      </c>
      <c r="AF557">
        <v>0</v>
      </c>
      <c r="AG557">
        <v>0</v>
      </c>
      <c r="AH557">
        <v>0</v>
      </c>
      <c r="AI557">
        <v>1</v>
      </c>
      <c r="AJ557">
        <v>1</v>
      </c>
      <c r="AK557">
        <v>1</v>
      </c>
      <c r="AL557">
        <v>1</v>
      </c>
      <c r="AN557">
        <v>0</v>
      </c>
      <c r="AO557">
        <v>0</v>
      </c>
      <c r="AP557">
        <v>0</v>
      </c>
      <c r="AQ557">
        <v>0</v>
      </c>
      <c r="AR557">
        <v>0</v>
      </c>
      <c r="AS557" t="s">
        <v>3</v>
      </c>
      <c r="AT557">
        <v>0</v>
      </c>
      <c r="AU557" t="s">
        <v>3</v>
      </c>
      <c r="AV557">
        <v>0</v>
      </c>
      <c r="AW557">
        <v>1</v>
      </c>
      <c r="AX557">
        <v>-1</v>
      </c>
      <c r="AY557">
        <v>0</v>
      </c>
      <c r="AZ557">
        <v>0</v>
      </c>
      <c r="BA557" t="s">
        <v>3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CX557">
        <f>ROUND(Y557*Source!I538,9)</f>
        <v>0</v>
      </c>
      <c r="CY557">
        <f t="shared" si="259"/>
        <v>6.81</v>
      </c>
      <c r="CZ557">
        <f t="shared" si="260"/>
        <v>6.81</v>
      </c>
      <c r="DA557">
        <f t="shared" si="261"/>
        <v>1</v>
      </c>
      <c r="DB557">
        <f t="shared" si="262"/>
        <v>0</v>
      </c>
      <c r="DC557">
        <f t="shared" si="263"/>
        <v>0</v>
      </c>
      <c r="DD557" t="s">
        <v>3</v>
      </c>
      <c r="DE557" t="s">
        <v>3</v>
      </c>
      <c r="DF557">
        <f t="shared" si="250"/>
        <v>0</v>
      </c>
      <c r="DG557">
        <f t="shared" si="240"/>
        <v>0</v>
      </c>
      <c r="DH557">
        <f t="shared" si="241"/>
        <v>0</v>
      </c>
      <c r="DI557">
        <f t="shared" si="231"/>
        <v>0</v>
      </c>
      <c r="DJ557">
        <f t="shared" si="264"/>
        <v>0</v>
      </c>
      <c r="DK557">
        <v>0</v>
      </c>
    </row>
    <row r="558" spans="1:115" x14ac:dyDescent="0.2">
      <c r="A558">
        <f>ROW(Source!A538)</f>
        <v>538</v>
      </c>
      <c r="B558">
        <v>129761636</v>
      </c>
      <c r="C558">
        <v>129763816</v>
      </c>
      <c r="D558">
        <v>37399549</v>
      </c>
      <c r="E558">
        <v>1</v>
      </c>
      <c r="F558">
        <v>1</v>
      </c>
      <c r="G558">
        <v>37345137</v>
      </c>
      <c r="H558">
        <v>3</v>
      </c>
      <c r="I558" t="s">
        <v>578</v>
      </c>
      <c r="J558" t="s">
        <v>580</v>
      </c>
      <c r="K558" t="s">
        <v>579</v>
      </c>
      <c r="L558">
        <v>1301</v>
      </c>
      <c r="N558">
        <v>1003</v>
      </c>
      <c r="O558" t="s">
        <v>270</v>
      </c>
      <c r="P558" t="s">
        <v>270</v>
      </c>
      <c r="Q558">
        <v>1</v>
      </c>
      <c r="W558">
        <v>0</v>
      </c>
      <c r="X558">
        <v>-2144998023</v>
      </c>
      <c r="Y558">
        <f t="shared" si="258"/>
        <v>0</v>
      </c>
      <c r="AA558">
        <v>19.05</v>
      </c>
      <c r="AB558">
        <v>0</v>
      </c>
      <c r="AC558">
        <v>0</v>
      </c>
      <c r="AD558">
        <v>0</v>
      </c>
      <c r="AE558">
        <v>19.05</v>
      </c>
      <c r="AF558">
        <v>0</v>
      </c>
      <c r="AG558">
        <v>0</v>
      </c>
      <c r="AH558">
        <v>0</v>
      </c>
      <c r="AI558">
        <v>1</v>
      </c>
      <c r="AJ558">
        <v>1</v>
      </c>
      <c r="AK558">
        <v>1</v>
      </c>
      <c r="AL558">
        <v>1</v>
      </c>
      <c r="AN558">
        <v>0</v>
      </c>
      <c r="AO558">
        <v>0</v>
      </c>
      <c r="AP558">
        <v>0</v>
      </c>
      <c r="AQ558">
        <v>0</v>
      </c>
      <c r="AR558">
        <v>0</v>
      </c>
      <c r="AS558" t="s">
        <v>3</v>
      </c>
      <c r="AT558">
        <v>0</v>
      </c>
      <c r="AU558" t="s">
        <v>3</v>
      </c>
      <c r="AV558">
        <v>0</v>
      </c>
      <c r="AW558">
        <v>1</v>
      </c>
      <c r="AX558">
        <v>-1</v>
      </c>
      <c r="AY558">
        <v>0</v>
      </c>
      <c r="AZ558">
        <v>0</v>
      </c>
      <c r="BA558" t="s">
        <v>3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CX558">
        <f>ROUND(Y558*Source!I538,9)</f>
        <v>0</v>
      </c>
      <c r="CY558">
        <f t="shared" si="259"/>
        <v>19.05</v>
      </c>
      <c r="CZ558">
        <f t="shared" si="260"/>
        <v>19.05</v>
      </c>
      <c r="DA558">
        <f t="shared" si="261"/>
        <v>1</v>
      </c>
      <c r="DB558">
        <f t="shared" si="262"/>
        <v>0</v>
      </c>
      <c r="DC558">
        <f t="shared" si="263"/>
        <v>0</v>
      </c>
      <c r="DD558" t="s">
        <v>3</v>
      </c>
      <c r="DE558" t="s">
        <v>3</v>
      </c>
      <c r="DF558">
        <f t="shared" si="250"/>
        <v>0</v>
      </c>
      <c r="DG558">
        <f t="shared" si="240"/>
        <v>0</v>
      </c>
      <c r="DH558">
        <f t="shared" si="241"/>
        <v>0</v>
      </c>
      <c r="DI558">
        <f t="shared" si="231"/>
        <v>0</v>
      </c>
      <c r="DJ558">
        <f t="shared" si="264"/>
        <v>0</v>
      </c>
      <c r="DK558">
        <v>0</v>
      </c>
    </row>
    <row r="559" spans="1:115" x14ac:dyDescent="0.2">
      <c r="A559">
        <f>ROW(Source!A538)</f>
        <v>538</v>
      </c>
      <c r="B559">
        <v>129761636</v>
      </c>
      <c r="C559">
        <v>129763816</v>
      </c>
      <c r="D559">
        <v>0</v>
      </c>
      <c r="E559">
        <v>0</v>
      </c>
      <c r="F559">
        <v>1</v>
      </c>
      <c r="G559">
        <v>37345137</v>
      </c>
      <c r="H559">
        <v>3</v>
      </c>
      <c r="I559" t="s">
        <v>248</v>
      </c>
      <c r="J559" t="s">
        <v>3</v>
      </c>
      <c r="K559" t="s">
        <v>575</v>
      </c>
      <c r="L559">
        <v>1301</v>
      </c>
      <c r="N559">
        <v>1003</v>
      </c>
      <c r="O559" t="s">
        <v>270</v>
      </c>
      <c r="P559" t="s">
        <v>270</v>
      </c>
      <c r="Q559">
        <v>1</v>
      </c>
      <c r="W559">
        <v>0</v>
      </c>
      <c r="X559">
        <v>-1886877045</v>
      </c>
      <c r="Y559">
        <f t="shared" si="258"/>
        <v>125.250501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1</v>
      </c>
      <c r="AJ559">
        <v>1</v>
      </c>
      <c r="AK559">
        <v>1</v>
      </c>
      <c r="AL559">
        <v>1</v>
      </c>
      <c r="AN559">
        <v>0</v>
      </c>
      <c r="AO559">
        <v>0</v>
      </c>
      <c r="AP559">
        <v>1</v>
      </c>
      <c r="AQ559">
        <v>0</v>
      </c>
      <c r="AR559">
        <v>0</v>
      </c>
      <c r="AS559" t="s">
        <v>3</v>
      </c>
      <c r="AT559">
        <v>125.250501</v>
      </c>
      <c r="AU559" t="s">
        <v>3</v>
      </c>
      <c r="AV559">
        <v>0</v>
      </c>
      <c r="AW559">
        <v>1</v>
      </c>
      <c r="AX559">
        <v>-1</v>
      </c>
      <c r="AY559">
        <v>0</v>
      </c>
      <c r="AZ559">
        <v>0</v>
      </c>
      <c r="BA559" t="s">
        <v>3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CX559">
        <f>ROUND(Y559*Source!I538,9)</f>
        <v>12.5</v>
      </c>
      <c r="CY559">
        <f t="shared" si="259"/>
        <v>0</v>
      </c>
      <c r="CZ559">
        <f t="shared" si="260"/>
        <v>0</v>
      </c>
      <c r="DA559">
        <f t="shared" si="261"/>
        <v>1</v>
      </c>
      <c r="DB559">
        <f t="shared" si="262"/>
        <v>0</v>
      </c>
      <c r="DC559">
        <f t="shared" si="263"/>
        <v>0</v>
      </c>
      <c r="DD559" t="s">
        <v>3</v>
      </c>
      <c r="DE559" t="s">
        <v>3</v>
      </c>
      <c r="DF559">
        <f t="shared" si="250"/>
        <v>0</v>
      </c>
      <c r="DG559">
        <f t="shared" si="240"/>
        <v>0</v>
      </c>
      <c r="DH559">
        <f t="shared" si="241"/>
        <v>0</v>
      </c>
      <c r="DI559">
        <f t="shared" si="231"/>
        <v>0</v>
      </c>
      <c r="DJ559">
        <f t="shared" si="264"/>
        <v>0</v>
      </c>
      <c r="DK559">
        <v>0</v>
      </c>
    </row>
    <row r="560" spans="1:115" x14ac:dyDescent="0.2">
      <c r="A560">
        <f>ROW(Source!A539)</f>
        <v>539</v>
      </c>
      <c r="B560">
        <v>129761633</v>
      </c>
      <c r="C560">
        <v>129763816</v>
      </c>
      <c r="D560">
        <v>37345142</v>
      </c>
      <c r="E560">
        <v>37345137</v>
      </c>
      <c r="F560">
        <v>1</v>
      </c>
      <c r="G560">
        <v>37345137</v>
      </c>
      <c r="H560">
        <v>1</v>
      </c>
      <c r="I560" t="s">
        <v>1096</v>
      </c>
      <c r="J560" t="s">
        <v>3</v>
      </c>
      <c r="K560" t="s">
        <v>1097</v>
      </c>
      <c r="L560">
        <v>1191</v>
      </c>
      <c r="N560">
        <v>1013</v>
      </c>
      <c r="O560" t="s">
        <v>1098</v>
      </c>
      <c r="P560" t="s">
        <v>1098</v>
      </c>
      <c r="Q560">
        <v>1</v>
      </c>
      <c r="W560">
        <v>0</v>
      </c>
      <c r="X560">
        <v>476480486</v>
      </c>
      <c r="Y560">
        <f>(AT560*1.15)</f>
        <v>104.64999999999999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1</v>
      </c>
      <c r="AJ560">
        <v>1</v>
      </c>
      <c r="AK560">
        <v>1</v>
      </c>
      <c r="AL560">
        <v>1</v>
      </c>
      <c r="AN560">
        <v>0</v>
      </c>
      <c r="AO560">
        <v>1</v>
      </c>
      <c r="AP560">
        <v>1</v>
      </c>
      <c r="AQ560">
        <v>0</v>
      </c>
      <c r="AR560">
        <v>0</v>
      </c>
      <c r="AS560" t="s">
        <v>3</v>
      </c>
      <c r="AT560">
        <v>91</v>
      </c>
      <c r="AU560" t="s">
        <v>87</v>
      </c>
      <c r="AV560">
        <v>1</v>
      </c>
      <c r="AW560">
        <v>2</v>
      </c>
      <c r="AX560">
        <v>129763831</v>
      </c>
      <c r="AY560">
        <v>1</v>
      </c>
      <c r="AZ560">
        <v>0</v>
      </c>
      <c r="BA560">
        <v>554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CX560">
        <f>ROUND(Y560*Source!I539,9)</f>
        <v>10.44407</v>
      </c>
      <c r="CY560">
        <f>AD560</f>
        <v>0</v>
      </c>
      <c r="CZ560">
        <f>AH560</f>
        <v>0</v>
      </c>
      <c r="DA560">
        <f>AL560</f>
        <v>1</v>
      </c>
      <c r="DB560">
        <f>ROUND((ROUND(AT560*CZ560,2)*1.15),6)</f>
        <v>0</v>
      </c>
      <c r="DC560">
        <f>ROUND((ROUND(AT560*AG560,2)*1.15),6)</f>
        <v>0</v>
      </c>
      <c r="DD560" t="s">
        <v>3</v>
      </c>
      <c r="DE560" t="s">
        <v>3</v>
      </c>
      <c r="DF560">
        <f t="shared" si="250"/>
        <v>0</v>
      </c>
      <c r="DG560">
        <f t="shared" si="240"/>
        <v>0</v>
      </c>
      <c r="DH560">
        <f t="shared" si="241"/>
        <v>0</v>
      </c>
      <c r="DI560">
        <f t="shared" si="231"/>
        <v>0</v>
      </c>
      <c r="DJ560">
        <f>DI560</f>
        <v>0</v>
      </c>
      <c r="DK560">
        <v>0</v>
      </c>
    </row>
    <row r="561" spans="1:115" x14ac:dyDescent="0.2">
      <c r="A561">
        <f>ROW(Source!A539)</f>
        <v>539</v>
      </c>
      <c r="B561">
        <v>129761633</v>
      </c>
      <c r="C561">
        <v>129763816</v>
      </c>
      <c r="D561">
        <v>37418162</v>
      </c>
      <c r="E561">
        <v>1</v>
      </c>
      <c r="F561">
        <v>1</v>
      </c>
      <c r="G561">
        <v>37345137</v>
      </c>
      <c r="H561">
        <v>2</v>
      </c>
      <c r="I561" t="s">
        <v>1174</v>
      </c>
      <c r="J561" t="s">
        <v>1175</v>
      </c>
      <c r="K561" t="s">
        <v>1176</v>
      </c>
      <c r="L561">
        <v>1367</v>
      </c>
      <c r="N561">
        <v>1011</v>
      </c>
      <c r="O561" t="s">
        <v>1102</v>
      </c>
      <c r="P561" t="s">
        <v>1102</v>
      </c>
      <c r="Q561">
        <v>1</v>
      </c>
      <c r="W561">
        <v>0</v>
      </c>
      <c r="X561">
        <v>49912578</v>
      </c>
      <c r="Y561">
        <f t="shared" ref="Y561:Y566" si="265">(AT561*1.25)</f>
        <v>34.125</v>
      </c>
      <c r="AA561">
        <v>0</v>
      </c>
      <c r="AB561">
        <v>68.39</v>
      </c>
      <c r="AC561">
        <v>0.63</v>
      </c>
      <c r="AD561">
        <v>0</v>
      </c>
      <c r="AE561">
        <v>0</v>
      </c>
      <c r="AF561">
        <v>6.15</v>
      </c>
      <c r="AG561">
        <v>0.02</v>
      </c>
      <c r="AH561">
        <v>0</v>
      </c>
      <c r="AI561">
        <v>1</v>
      </c>
      <c r="AJ561">
        <v>10.23</v>
      </c>
      <c r="AK561">
        <v>29.03</v>
      </c>
      <c r="AL561">
        <v>1</v>
      </c>
      <c r="AN561">
        <v>0</v>
      </c>
      <c r="AO561">
        <v>1</v>
      </c>
      <c r="AP561">
        <v>1</v>
      </c>
      <c r="AQ561">
        <v>0</v>
      </c>
      <c r="AR561">
        <v>0</v>
      </c>
      <c r="AS561" t="s">
        <v>3</v>
      </c>
      <c r="AT561">
        <v>27.3</v>
      </c>
      <c r="AU561" t="s">
        <v>86</v>
      </c>
      <c r="AV561">
        <v>0</v>
      </c>
      <c r="AW561">
        <v>2</v>
      </c>
      <c r="AX561">
        <v>129763832</v>
      </c>
      <c r="AY561">
        <v>1</v>
      </c>
      <c r="AZ561">
        <v>0</v>
      </c>
      <c r="BA561">
        <v>555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CX561">
        <f>ROUND(Y561*Source!I539,9)</f>
        <v>3.405675</v>
      </c>
      <c r="CY561">
        <f t="shared" ref="CY561:CY566" si="266">AB561</f>
        <v>68.39</v>
      </c>
      <c r="CZ561">
        <f t="shared" ref="CZ561:CZ566" si="267">AF561</f>
        <v>6.15</v>
      </c>
      <c r="DA561">
        <f t="shared" ref="DA561:DA566" si="268">AJ561</f>
        <v>10.23</v>
      </c>
      <c r="DB561">
        <f t="shared" ref="DB561:DB566" si="269">ROUND((ROUND(AT561*CZ561,2)*1.25),6)</f>
        <v>209.875</v>
      </c>
      <c r="DC561">
        <f t="shared" ref="DC561:DC566" si="270">ROUND((ROUND(AT561*AG561,2)*1.25),6)</f>
        <v>0.6875</v>
      </c>
      <c r="DD561" t="s">
        <v>3</v>
      </c>
      <c r="DE561" t="s">
        <v>3</v>
      </c>
      <c r="DF561">
        <f t="shared" si="250"/>
        <v>0</v>
      </c>
      <c r="DG561">
        <f>ROUND(ROUND(AF561*CX561,2)*AJ561,2)</f>
        <v>214.22</v>
      </c>
      <c r="DH561">
        <f>ROUND(ROUND(AG561*CX561,2)*AK561,2)</f>
        <v>2.0299999999999998</v>
      </c>
      <c r="DI561">
        <f t="shared" si="231"/>
        <v>0</v>
      </c>
      <c r="DJ561">
        <f t="shared" ref="DJ561:DJ566" si="271">DG561</f>
        <v>214.22</v>
      </c>
      <c r="DK561">
        <v>0</v>
      </c>
    </row>
    <row r="562" spans="1:115" x14ac:dyDescent="0.2">
      <c r="A562">
        <f>ROW(Source!A539)</f>
        <v>539</v>
      </c>
      <c r="B562">
        <v>129761633</v>
      </c>
      <c r="C562">
        <v>129763816</v>
      </c>
      <c r="D562">
        <v>37418164</v>
      </c>
      <c r="E562">
        <v>1</v>
      </c>
      <c r="F562">
        <v>1</v>
      </c>
      <c r="G562">
        <v>37345137</v>
      </c>
      <c r="H562">
        <v>2</v>
      </c>
      <c r="I562" t="s">
        <v>1294</v>
      </c>
      <c r="J562" t="s">
        <v>1295</v>
      </c>
      <c r="K562" t="s">
        <v>1296</v>
      </c>
      <c r="L562">
        <v>1367</v>
      </c>
      <c r="N562">
        <v>1011</v>
      </c>
      <c r="O562" t="s">
        <v>1102</v>
      </c>
      <c r="P562" t="s">
        <v>1102</v>
      </c>
      <c r="Q562">
        <v>1</v>
      </c>
      <c r="W562">
        <v>0</v>
      </c>
      <c r="X562">
        <v>-157737218</v>
      </c>
      <c r="Y562">
        <f t="shared" si="265"/>
        <v>1.25</v>
      </c>
      <c r="AA562">
        <v>0</v>
      </c>
      <c r="AB562">
        <v>9.18</v>
      </c>
      <c r="AC562">
        <v>2.84</v>
      </c>
      <c r="AD562">
        <v>0</v>
      </c>
      <c r="AE562">
        <v>0</v>
      </c>
      <c r="AF562">
        <v>1.0900000000000001</v>
      </c>
      <c r="AG562">
        <v>0.09</v>
      </c>
      <c r="AH562">
        <v>0</v>
      </c>
      <c r="AI562">
        <v>1</v>
      </c>
      <c r="AJ562">
        <v>7.75</v>
      </c>
      <c r="AK562">
        <v>29.03</v>
      </c>
      <c r="AL562">
        <v>1</v>
      </c>
      <c r="AN562">
        <v>0</v>
      </c>
      <c r="AO562">
        <v>1</v>
      </c>
      <c r="AP562">
        <v>1</v>
      </c>
      <c r="AQ562">
        <v>0</v>
      </c>
      <c r="AR562">
        <v>0</v>
      </c>
      <c r="AS562" t="s">
        <v>3</v>
      </c>
      <c r="AT562">
        <v>1</v>
      </c>
      <c r="AU562" t="s">
        <v>86</v>
      </c>
      <c r="AV562">
        <v>0</v>
      </c>
      <c r="AW562">
        <v>2</v>
      </c>
      <c r="AX562">
        <v>129763833</v>
      </c>
      <c r="AY562">
        <v>1</v>
      </c>
      <c r="AZ562">
        <v>0</v>
      </c>
      <c r="BA562">
        <v>556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CX562">
        <f>ROUND(Y562*Source!I539,9)</f>
        <v>0.12475</v>
      </c>
      <c r="CY562">
        <f t="shared" si="266"/>
        <v>9.18</v>
      </c>
      <c r="CZ562">
        <f t="shared" si="267"/>
        <v>1.0900000000000001</v>
      </c>
      <c r="DA562">
        <f t="shared" si="268"/>
        <v>7.75</v>
      </c>
      <c r="DB562">
        <f t="shared" si="269"/>
        <v>1.3625</v>
      </c>
      <c r="DC562">
        <f t="shared" si="270"/>
        <v>0.1125</v>
      </c>
      <c r="DD562" t="s">
        <v>3</v>
      </c>
      <c r="DE562" t="s">
        <v>3</v>
      </c>
      <c r="DF562">
        <f t="shared" si="250"/>
        <v>0</v>
      </c>
      <c r="DG562">
        <f>ROUND(ROUND(AF562*CX562,2)*AJ562,2)</f>
        <v>1.0900000000000001</v>
      </c>
      <c r="DH562">
        <f>ROUND(ROUND(AG562*CX562,2)*AK562,2)</f>
        <v>0.28999999999999998</v>
      </c>
      <c r="DI562">
        <f t="shared" si="231"/>
        <v>0</v>
      </c>
      <c r="DJ562">
        <f t="shared" si="271"/>
        <v>1.0900000000000001</v>
      </c>
      <c r="DK562">
        <v>0</v>
      </c>
    </row>
    <row r="563" spans="1:115" x14ac:dyDescent="0.2">
      <c r="A563">
        <f>ROW(Source!A539)</f>
        <v>539</v>
      </c>
      <c r="B563">
        <v>129761633</v>
      </c>
      <c r="C563">
        <v>129763816</v>
      </c>
      <c r="D563">
        <v>37418491</v>
      </c>
      <c r="E563">
        <v>1</v>
      </c>
      <c r="F563">
        <v>1</v>
      </c>
      <c r="G563">
        <v>37345137</v>
      </c>
      <c r="H563">
        <v>2</v>
      </c>
      <c r="I563" t="s">
        <v>1177</v>
      </c>
      <c r="J563" t="s">
        <v>1178</v>
      </c>
      <c r="K563" t="s">
        <v>1179</v>
      </c>
      <c r="L563">
        <v>1367</v>
      </c>
      <c r="N563">
        <v>1011</v>
      </c>
      <c r="O563" t="s">
        <v>1102</v>
      </c>
      <c r="P563" t="s">
        <v>1102</v>
      </c>
      <c r="Q563">
        <v>1</v>
      </c>
      <c r="W563">
        <v>0</v>
      </c>
      <c r="X563">
        <v>-1780114133</v>
      </c>
      <c r="Y563">
        <f t="shared" si="265"/>
        <v>1.375</v>
      </c>
      <c r="AA563">
        <v>0</v>
      </c>
      <c r="AB563">
        <v>3.86</v>
      </c>
      <c r="AC563">
        <v>0</v>
      </c>
      <c r="AD563">
        <v>0</v>
      </c>
      <c r="AE563">
        <v>0</v>
      </c>
      <c r="AF563">
        <v>0.44</v>
      </c>
      <c r="AG563">
        <v>0</v>
      </c>
      <c r="AH563">
        <v>0</v>
      </c>
      <c r="AI563">
        <v>1</v>
      </c>
      <c r="AJ563">
        <v>8.07</v>
      </c>
      <c r="AK563">
        <v>29.03</v>
      </c>
      <c r="AL563">
        <v>1</v>
      </c>
      <c r="AN563">
        <v>0</v>
      </c>
      <c r="AO563">
        <v>1</v>
      </c>
      <c r="AP563">
        <v>1</v>
      </c>
      <c r="AQ563">
        <v>0</v>
      </c>
      <c r="AR563">
        <v>0</v>
      </c>
      <c r="AS563" t="s">
        <v>3</v>
      </c>
      <c r="AT563">
        <v>1.1000000000000001</v>
      </c>
      <c r="AU563" t="s">
        <v>86</v>
      </c>
      <c r="AV563">
        <v>0</v>
      </c>
      <c r="AW563">
        <v>2</v>
      </c>
      <c r="AX563">
        <v>129763834</v>
      </c>
      <c r="AY563">
        <v>1</v>
      </c>
      <c r="AZ563">
        <v>0</v>
      </c>
      <c r="BA563">
        <v>557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CX563">
        <f>ROUND(Y563*Source!I539,9)</f>
        <v>0.13722500000000001</v>
      </c>
      <c r="CY563">
        <f t="shared" si="266"/>
        <v>3.86</v>
      </c>
      <c r="CZ563">
        <f t="shared" si="267"/>
        <v>0.44</v>
      </c>
      <c r="DA563">
        <f t="shared" si="268"/>
        <v>8.07</v>
      </c>
      <c r="DB563">
        <f t="shared" si="269"/>
        <v>0.6</v>
      </c>
      <c r="DC563">
        <f t="shared" si="270"/>
        <v>0</v>
      </c>
      <c r="DD563" t="s">
        <v>3</v>
      </c>
      <c r="DE563" t="s">
        <v>3</v>
      </c>
      <c r="DF563">
        <f t="shared" si="250"/>
        <v>0</v>
      </c>
      <c r="DG563">
        <f>ROUND(ROUND(AF563*CX563,2)*AJ563,2)</f>
        <v>0.48</v>
      </c>
      <c r="DH563">
        <f>ROUND(ROUND(AG563*CX563,2)*AK563,2)</f>
        <v>0</v>
      </c>
      <c r="DI563">
        <f t="shared" si="231"/>
        <v>0</v>
      </c>
      <c r="DJ563">
        <f t="shared" si="271"/>
        <v>0.48</v>
      </c>
      <c r="DK563">
        <v>0</v>
      </c>
    </row>
    <row r="564" spans="1:115" x14ac:dyDescent="0.2">
      <c r="A564">
        <f>ROW(Source!A539)</f>
        <v>539</v>
      </c>
      <c r="B564">
        <v>129761633</v>
      </c>
      <c r="C564">
        <v>129763816</v>
      </c>
      <c r="D564">
        <v>37418479</v>
      </c>
      <c r="E564">
        <v>1</v>
      </c>
      <c r="F564">
        <v>1</v>
      </c>
      <c r="G564">
        <v>37345137</v>
      </c>
      <c r="H564">
        <v>2</v>
      </c>
      <c r="I564" t="s">
        <v>1183</v>
      </c>
      <c r="J564" t="s">
        <v>1184</v>
      </c>
      <c r="K564" t="s">
        <v>1185</v>
      </c>
      <c r="L564">
        <v>1367</v>
      </c>
      <c r="N564">
        <v>1011</v>
      </c>
      <c r="O564" t="s">
        <v>1102</v>
      </c>
      <c r="P564" t="s">
        <v>1102</v>
      </c>
      <c r="Q564">
        <v>1</v>
      </c>
      <c r="W564">
        <v>0</v>
      </c>
      <c r="X564">
        <v>950854334</v>
      </c>
      <c r="Y564">
        <f t="shared" si="265"/>
        <v>0.375</v>
      </c>
      <c r="AA564">
        <v>0</v>
      </c>
      <c r="AB564">
        <v>2.57</v>
      </c>
      <c r="AC564">
        <v>0.11</v>
      </c>
      <c r="AD564">
        <v>0</v>
      </c>
      <c r="AE564">
        <v>0</v>
      </c>
      <c r="AF564">
        <v>2.36</v>
      </c>
      <c r="AG564">
        <v>0.1</v>
      </c>
      <c r="AH564">
        <v>0</v>
      </c>
      <c r="AI564">
        <v>1</v>
      </c>
      <c r="AJ564">
        <v>1</v>
      </c>
      <c r="AK564">
        <v>1</v>
      </c>
      <c r="AL564">
        <v>1</v>
      </c>
      <c r="AN564">
        <v>0</v>
      </c>
      <c r="AO564">
        <v>1</v>
      </c>
      <c r="AP564">
        <v>1</v>
      </c>
      <c r="AQ564">
        <v>0</v>
      </c>
      <c r="AR564">
        <v>0</v>
      </c>
      <c r="AS564" t="s">
        <v>3</v>
      </c>
      <c r="AT564">
        <v>0.3</v>
      </c>
      <c r="AU564" t="s">
        <v>86</v>
      </c>
      <c r="AV564">
        <v>0</v>
      </c>
      <c r="AW564">
        <v>2</v>
      </c>
      <c r="AX564">
        <v>129763835</v>
      </c>
      <c r="AY564">
        <v>1</v>
      </c>
      <c r="AZ564">
        <v>0</v>
      </c>
      <c r="BA564">
        <v>558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CX564">
        <f>ROUND(Y564*Source!I539,9)</f>
        <v>3.7425E-2</v>
      </c>
      <c r="CY564">
        <f t="shared" si="266"/>
        <v>2.57</v>
      </c>
      <c r="CZ564">
        <f t="shared" si="267"/>
        <v>2.36</v>
      </c>
      <c r="DA564">
        <f t="shared" si="268"/>
        <v>1</v>
      </c>
      <c r="DB564">
        <f t="shared" si="269"/>
        <v>0.88749999999999996</v>
      </c>
      <c r="DC564">
        <f t="shared" si="270"/>
        <v>3.7499999999999999E-2</v>
      </c>
      <c r="DD564" t="s">
        <v>3</v>
      </c>
      <c r="DE564" t="s">
        <v>3</v>
      </c>
      <c r="DF564">
        <f t="shared" si="250"/>
        <v>0</v>
      </c>
      <c r="DG564">
        <f>ROUND(AF564*CX564,2)</f>
        <v>0.09</v>
      </c>
      <c r="DH564">
        <f>ROUND(AG564*CX564,2)</f>
        <v>0</v>
      </c>
      <c r="DI564">
        <f t="shared" si="231"/>
        <v>0</v>
      </c>
      <c r="DJ564">
        <f t="shared" si="271"/>
        <v>0.09</v>
      </c>
      <c r="DK564">
        <v>0</v>
      </c>
    </row>
    <row r="565" spans="1:115" x14ac:dyDescent="0.2">
      <c r="A565">
        <f>ROW(Source!A539)</f>
        <v>539</v>
      </c>
      <c r="B565">
        <v>129761633</v>
      </c>
      <c r="C565">
        <v>129763816</v>
      </c>
      <c r="D565">
        <v>37418532</v>
      </c>
      <c r="E565">
        <v>1</v>
      </c>
      <c r="F565">
        <v>1</v>
      </c>
      <c r="G565">
        <v>37345137</v>
      </c>
      <c r="H565">
        <v>2</v>
      </c>
      <c r="I565" t="s">
        <v>1297</v>
      </c>
      <c r="J565" t="s">
        <v>1298</v>
      </c>
      <c r="K565" t="s">
        <v>1299</v>
      </c>
      <c r="L565">
        <v>1367</v>
      </c>
      <c r="N565">
        <v>1011</v>
      </c>
      <c r="O565" t="s">
        <v>1102</v>
      </c>
      <c r="P565" t="s">
        <v>1102</v>
      </c>
      <c r="Q565">
        <v>1</v>
      </c>
      <c r="W565">
        <v>0</v>
      </c>
      <c r="X565">
        <v>-1280649501</v>
      </c>
      <c r="Y565">
        <f t="shared" si="265"/>
        <v>1.05</v>
      </c>
      <c r="AA565">
        <v>0</v>
      </c>
      <c r="AB565">
        <v>364.62</v>
      </c>
      <c r="AC565">
        <v>424.74</v>
      </c>
      <c r="AD565">
        <v>0</v>
      </c>
      <c r="AE565">
        <v>0</v>
      </c>
      <c r="AF565">
        <v>18.309999999999999</v>
      </c>
      <c r="AG565">
        <v>13.46</v>
      </c>
      <c r="AH565">
        <v>0</v>
      </c>
      <c r="AI565">
        <v>1</v>
      </c>
      <c r="AJ565">
        <v>18.32</v>
      </c>
      <c r="AK565">
        <v>29.03</v>
      </c>
      <c r="AL565">
        <v>1</v>
      </c>
      <c r="AN565">
        <v>0</v>
      </c>
      <c r="AO565">
        <v>1</v>
      </c>
      <c r="AP565">
        <v>1</v>
      </c>
      <c r="AQ565">
        <v>0</v>
      </c>
      <c r="AR565">
        <v>0</v>
      </c>
      <c r="AS565" t="s">
        <v>3</v>
      </c>
      <c r="AT565">
        <v>0.84</v>
      </c>
      <c r="AU565" t="s">
        <v>86</v>
      </c>
      <c r="AV565">
        <v>0</v>
      </c>
      <c r="AW565">
        <v>2</v>
      </c>
      <c r="AX565">
        <v>129763836</v>
      </c>
      <c r="AY565">
        <v>1</v>
      </c>
      <c r="AZ565">
        <v>0</v>
      </c>
      <c r="BA565">
        <v>559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CX565">
        <f>ROUND(Y565*Source!I539,9)</f>
        <v>0.10478999999999999</v>
      </c>
      <c r="CY565">
        <f t="shared" si="266"/>
        <v>364.62</v>
      </c>
      <c r="CZ565">
        <f t="shared" si="267"/>
        <v>18.309999999999999</v>
      </c>
      <c r="DA565">
        <f t="shared" si="268"/>
        <v>18.32</v>
      </c>
      <c r="DB565">
        <f t="shared" si="269"/>
        <v>19.225000000000001</v>
      </c>
      <c r="DC565">
        <f t="shared" si="270"/>
        <v>14.137499999999999</v>
      </c>
      <c r="DD565" t="s">
        <v>3</v>
      </c>
      <c r="DE565" t="s">
        <v>3</v>
      </c>
      <c r="DF565">
        <f t="shared" si="250"/>
        <v>0</v>
      </c>
      <c r="DG565">
        <f>ROUND(ROUND(AF565*CX565,2)*AJ565,2)</f>
        <v>35.17</v>
      </c>
      <c r="DH565">
        <f>ROUND(ROUND(AG565*CX565,2)*AK565,2)</f>
        <v>40.93</v>
      </c>
      <c r="DI565">
        <f t="shared" si="231"/>
        <v>0</v>
      </c>
      <c r="DJ565">
        <f t="shared" si="271"/>
        <v>35.17</v>
      </c>
      <c r="DK565">
        <v>0</v>
      </c>
    </row>
    <row r="566" spans="1:115" x14ac:dyDescent="0.2">
      <c r="A566">
        <f>ROW(Source!A539)</f>
        <v>539</v>
      </c>
      <c r="B566">
        <v>129761633</v>
      </c>
      <c r="C566">
        <v>129763816</v>
      </c>
      <c r="D566">
        <v>37345890</v>
      </c>
      <c r="E566">
        <v>37345137</v>
      </c>
      <c r="F566">
        <v>1</v>
      </c>
      <c r="G566">
        <v>37345137</v>
      </c>
      <c r="H566">
        <v>2</v>
      </c>
      <c r="I566" t="s">
        <v>1145</v>
      </c>
      <c r="J566" t="s">
        <v>3</v>
      </c>
      <c r="K566" t="s">
        <v>1146</v>
      </c>
      <c r="L566">
        <v>1344</v>
      </c>
      <c r="N566">
        <v>1008</v>
      </c>
      <c r="O566" t="s">
        <v>1138</v>
      </c>
      <c r="P566" t="s">
        <v>1138</v>
      </c>
      <c r="Q566">
        <v>1</v>
      </c>
      <c r="W566">
        <v>0</v>
      </c>
      <c r="X566">
        <v>-1180195794</v>
      </c>
      <c r="Y566">
        <f t="shared" si="265"/>
        <v>46.537499999999994</v>
      </c>
      <c r="AA566">
        <v>0</v>
      </c>
      <c r="AB566">
        <v>1.0900000000000001</v>
      </c>
      <c r="AC566">
        <v>0</v>
      </c>
      <c r="AD566">
        <v>0</v>
      </c>
      <c r="AE566">
        <v>0</v>
      </c>
      <c r="AF566">
        <v>1</v>
      </c>
      <c r="AG566">
        <v>0</v>
      </c>
      <c r="AH566">
        <v>0</v>
      </c>
      <c r="AI566">
        <v>1</v>
      </c>
      <c r="AJ566">
        <v>1</v>
      </c>
      <c r="AK566">
        <v>1</v>
      </c>
      <c r="AL566">
        <v>1</v>
      </c>
      <c r="AN566">
        <v>0</v>
      </c>
      <c r="AO566">
        <v>1</v>
      </c>
      <c r="AP566">
        <v>1</v>
      </c>
      <c r="AQ566">
        <v>0</v>
      </c>
      <c r="AR566">
        <v>0</v>
      </c>
      <c r="AS566" t="s">
        <v>3</v>
      </c>
      <c r="AT566">
        <v>37.229999999999997</v>
      </c>
      <c r="AU566" t="s">
        <v>86</v>
      </c>
      <c r="AV566">
        <v>0</v>
      </c>
      <c r="AW566">
        <v>2</v>
      </c>
      <c r="AX566">
        <v>129763837</v>
      </c>
      <c r="AY566">
        <v>1</v>
      </c>
      <c r="AZ566">
        <v>0</v>
      </c>
      <c r="BA566">
        <v>560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CX566">
        <f>ROUND(Y566*Source!I539,9)</f>
        <v>4.6444425000000003</v>
      </c>
      <c r="CY566">
        <f t="shared" si="266"/>
        <v>1.0900000000000001</v>
      </c>
      <c r="CZ566">
        <f t="shared" si="267"/>
        <v>1</v>
      </c>
      <c r="DA566">
        <f t="shared" si="268"/>
        <v>1</v>
      </c>
      <c r="DB566">
        <f t="shared" si="269"/>
        <v>46.537500000000001</v>
      </c>
      <c r="DC566">
        <f t="shared" si="270"/>
        <v>0</v>
      </c>
      <c r="DD566" t="s">
        <v>3</v>
      </c>
      <c r="DE566" t="s">
        <v>3</v>
      </c>
      <c r="DF566">
        <f t="shared" si="250"/>
        <v>0</v>
      </c>
      <c r="DG566">
        <f t="shared" ref="DG566:DG580" si="272">ROUND(AF566*CX566,2)</f>
        <v>4.6399999999999997</v>
      </c>
      <c r="DH566">
        <f t="shared" ref="DH566:DH580" si="273">ROUND(AG566*CX566,2)</f>
        <v>0</v>
      </c>
      <c r="DI566">
        <f t="shared" si="231"/>
        <v>0</v>
      </c>
      <c r="DJ566">
        <f t="shared" si="271"/>
        <v>4.6399999999999997</v>
      </c>
      <c r="DK566">
        <v>0</v>
      </c>
    </row>
    <row r="567" spans="1:115" x14ac:dyDescent="0.2">
      <c r="A567">
        <f>ROW(Source!A539)</f>
        <v>539</v>
      </c>
      <c r="B567">
        <v>129761633</v>
      </c>
      <c r="C567">
        <v>129763816</v>
      </c>
      <c r="D567">
        <v>0</v>
      </c>
      <c r="E567">
        <v>1</v>
      </c>
      <c r="F567">
        <v>1</v>
      </c>
      <c r="G567">
        <v>37345137</v>
      </c>
      <c r="H567">
        <v>3</v>
      </c>
      <c r="I567" t="s">
        <v>562</v>
      </c>
      <c r="J567" t="s">
        <v>3</v>
      </c>
      <c r="K567" t="s">
        <v>563</v>
      </c>
      <c r="L567">
        <v>1348</v>
      </c>
      <c r="N567">
        <v>1009</v>
      </c>
      <c r="O567" t="s">
        <v>114</v>
      </c>
      <c r="P567" t="s">
        <v>114</v>
      </c>
      <c r="Q567">
        <v>1000</v>
      </c>
      <c r="W567">
        <v>0</v>
      </c>
      <c r="X567">
        <v>1037925172</v>
      </c>
      <c r="Y567">
        <f t="shared" ref="Y567:Y574" si="274">AT567</f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11.89</v>
      </c>
      <c r="AJ567">
        <v>1</v>
      </c>
      <c r="AK567">
        <v>1</v>
      </c>
      <c r="AL567">
        <v>1</v>
      </c>
      <c r="AN567">
        <v>0</v>
      </c>
      <c r="AO567">
        <v>0</v>
      </c>
      <c r="AP567">
        <v>0</v>
      </c>
      <c r="AQ567">
        <v>0</v>
      </c>
      <c r="AR567">
        <v>0</v>
      </c>
      <c r="AS567" t="s">
        <v>3</v>
      </c>
      <c r="AT567">
        <v>0</v>
      </c>
      <c r="AU567" t="s">
        <v>3</v>
      </c>
      <c r="AV567">
        <v>0</v>
      </c>
      <c r="AW567">
        <v>1</v>
      </c>
      <c r="AX567">
        <v>-1</v>
      </c>
      <c r="AY567">
        <v>0</v>
      </c>
      <c r="AZ567">
        <v>0</v>
      </c>
      <c r="BA567" t="s">
        <v>3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CX567">
        <f>ROUND(Y567*Source!I539,9)</f>
        <v>0</v>
      </c>
      <c r="CY567">
        <f t="shared" ref="CY567:CY574" si="275">AA567</f>
        <v>0</v>
      </c>
      <c r="CZ567">
        <f t="shared" ref="CZ567:CZ574" si="276">AE567</f>
        <v>0</v>
      </c>
      <c r="DA567">
        <f t="shared" ref="DA567:DA574" si="277">AI567</f>
        <v>11.89</v>
      </c>
      <c r="DB567">
        <f t="shared" ref="DB567:DB574" si="278">ROUND(ROUND(AT567*CZ567,2),6)</f>
        <v>0</v>
      </c>
      <c r="DC567">
        <f t="shared" ref="DC567:DC574" si="279">ROUND(ROUND(AT567*AG567,2),6)</f>
        <v>0</v>
      </c>
      <c r="DD567" t="s">
        <v>3</v>
      </c>
      <c r="DE567" t="s">
        <v>3</v>
      </c>
      <c r="DF567">
        <f t="shared" ref="DF567:DF574" si="280">ROUND(ROUND(AE567*CX567,2)*AI567,2)</f>
        <v>0</v>
      </c>
      <c r="DG567">
        <f t="shared" si="272"/>
        <v>0</v>
      </c>
      <c r="DH567">
        <f t="shared" si="273"/>
        <v>0</v>
      </c>
      <c r="DI567">
        <f t="shared" si="231"/>
        <v>0</v>
      </c>
      <c r="DJ567">
        <f t="shared" ref="DJ567:DJ574" si="281">DF567</f>
        <v>0</v>
      </c>
      <c r="DK567">
        <v>2</v>
      </c>
    </row>
    <row r="568" spans="1:115" x14ac:dyDescent="0.2">
      <c r="A568">
        <f>ROW(Source!A539)</f>
        <v>539</v>
      </c>
      <c r="B568">
        <v>129761633</v>
      </c>
      <c r="C568">
        <v>129763816</v>
      </c>
      <c r="D568">
        <v>0</v>
      </c>
      <c r="E568">
        <v>1</v>
      </c>
      <c r="F568">
        <v>1</v>
      </c>
      <c r="G568">
        <v>37345137</v>
      </c>
      <c r="H568">
        <v>3</v>
      </c>
      <c r="I568" t="s">
        <v>586</v>
      </c>
      <c r="J568" t="s">
        <v>3</v>
      </c>
      <c r="K568" t="s">
        <v>587</v>
      </c>
      <c r="L568">
        <v>1348</v>
      </c>
      <c r="N568">
        <v>1009</v>
      </c>
      <c r="O568" t="s">
        <v>114</v>
      </c>
      <c r="P568" t="s">
        <v>114</v>
      </c>
      <c r="Q568">
        <v>1000</v>
      </c>
      <c r="W568">
        <v>0</v>
      </c>
      <c r="X568">
        <v>1465266954</v>
      </c>
      <c r="Y568">
        <f t="shared" si="274"/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8.65</v>
      </c>
      <c r="AJ568">
        <v>1</v>
      </c>
      <c r="AK568">
        <v>1</v>
      </c>
      <c r="AL568">
        <v>1</v>
      </c>
      <c r="AN568">
        <v>0</v>
      </c>
      <c r="AO568">
        <v>0</v>
      </c>
      <c r="AP568">
        <v>0</v>
      </c>
      <c r="AQ568">
        <v>0</v>
      </c>
      <c r="AR568">
        <v>0</v>
      </c>
      <c r="AS568" t="s">
        <v>3</v>
      </c>
      <c r="AT568">
        <v>0</v>
      </c>
      <c r="AU568" t="s">
        <v>3</v>
      </c>
      <c r="AV568">
        <v>0</v>
      </c>
      <c r="AW568">
        <v>1</v>
      </c>
      <c r="AX568">
        <v>-1</v>
      </c>
      <c r="AY568">
        <v>0</v>
      </c>
      <c r="AZ568">
        <v>0</v>
      </c>
      <c r="BA568" t="s">
        <v>3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CX568">
        <f>ROUND(Y568*Source!I539,9)</f>
        <v>0</v>
      </c>
      <c r="CY568">
        <f t="shared" si="275"/>
        <v>0</v>
      </c>
      <c r="CZ568">
        <f t="shared" si="276"/>
        <v>0</v>
      </c>
      <c r="DA568">
        <f t="shared" si="277"/>
        <v>8.65</v>
      </c>
      <c r="DB568">
        <f t="shared" si="278"/>
        <v>0</v>
      </c>
      <c r="DC568">
        <f t="shared" si="279"/>
        <v>0</v>
      </c>
      <c r="DD568" t="s">
        <v>3</v>
      </c>
      <c r="DE568" t="s">
        <v>3</v>
      </c>
      <c r="DF568">
        <f t="shared" si="280"/>
        <v>0</v>
      </c>
      <c r="DG568">
        <f t="shared" si="272"/>
        <v>0</v>
      </c>
      <c r="DH568">
        <f t="shared" si="273"/>
        <v>0</v>
      </c>
      <c r="DI568">
        <f t="shared" si="231"/>
        <v>0</v>
      </c>
      <c r="DJ568">
        <f t="shared" si="281"/>
        <v>0</v>
      </c>
      <c r="DK568">
        <v>2</v>
      </c>
    </row>
    <row r="569" spans="1:115" x14ac:dyDescent="0.2">
      <c r="A569">
        <f>ROW(Source!A539)</f>
        <v>539</v>
      </c>
      <c r="B569">
        <v>129761633</v>
      </c>
      <c r="C569">
        <v>129763816</v>
      </c>
      <c r="D569">
        <v>37394864</v>
      </c>
      <c r="E569">
        <v>1</v>
      </c>
      <c r="F569">
        <v>1</v>
      </c>
      <c r="G569">
        <v>37345137</v>
      </c>
      <c r="H569">
        <v>3</v>
      </c>
      <c r="I569" t="s">
        <v>1147</v>
      </c>
      <c r="J569" t="s">
        <v>1148</v>
      </c>
      <c r="K569" t="s">
        <v>1149</v>
      </c>
      <c r="L569">
        <v>1348</v>
      </c>
      <c r="N569">
        <v>1009</v>
      </c>
      <c r="O569" t="s">
        <v>114</v>
      </c>
      <c r="P569" t="s">
        <v>114</v>
      </c>
      <c r="Q569">
        <v>1000</v>
      </c>
      <c r="W569">
        <v>0</v>
      </c>
      <c r="X569">
        <v>1310716689</v>
      </c>
      <c r="Y569">
        <f t="shared" si="274"/>
        <v>2.1499999999999998E-2</v>
      </c>
      <c r="AA569">
        <v>145777.99</v>
      </c>
      <c r="AB569">
        <v>0</v>
      </c>
      <c r="AC569">
        <v>0</v>
      </c>
      <c r="AD569">
        <v>0</v>
      </c>
      <c r="AE569">
        <v>7191.81</v>
      </c>
      <c r="AF569">
        <v>0</v>
      </c>
      <c r="AG569">
        <v>0</v>
      </c>
      <c r="AH569">
        <v>0</v>
      </c>
      <c r="AI569">
        <v>20.27</v>
      </c>
      <c r="AJ569">
        <v>1</v>
      </c>
      <c r="AK569">
        <v>1</v>
      </c>
      <c r="AL569">
        <v>1</v>
      </c>
      <c r="AN569">
        <v>0</v>
      </c>
      <c r="AO569">
        <v>1</v>
      </c>
      <c r="AP569">
        <v>0</v>
      </c>
      <c r="AQ569">
        <v>0</v>
      </c>
      <c r="AR569">
        <v>0</v>
      </c>
      <c r="AS569" t="s">
        <v>3</v>
      </c>
      <c r="AT569">
        <v>2.1499999999999998E-2</v>
      </c>
      <c r="AU569" t="s">
        <v>3</v>
      </c>
      <c r="AV569">
        <v>0</v>
      </c>
      <c r="AW569">
        <v>2</v>
      </c>
      <c r="AX569">
        <v>129763840</v>
      </c>
      <c r="AY569">
        <v>1</v>
      </c>
      <c r="AZ569">
        <v>0</v>
      </c>
      <c r="BA569">
        <v>563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CX569">
        <f>ROUND(Y569*Source!I539,9)</f>
        <v>2.1457E-3</v>
      </c>
      <c r="CY569">
        <f t="shared" si="275"/>
        <v>145777.99</v>
      </c>
      <c r="CZ569">
        <f t="shared" si="276"/>
        <v>7191.81</v>
      </c>
      <c r="DA569">
        <f t="shared" si="277"/>
        <v>20.27</v>
      </c>
      <c r="DB569">
        <f t="shared" si="278"/>
        <v>154.62</v>
      </c>
      <c r="DC569">
        <f t="shared" si="279"/>
        <v>0</v>
      </c>
      <c r="DD569" t="s">
        <v>3</v>
      </c>
      <c r="DE569" t="s">
        <v>3</v>
      </c>
      <c r="DF569">
        <f t="shared" si="280"/>
        <v>312.77</v>
      </c>
      <c r="DG569">
        <f t="shared" si="272"/>
        <v>0</v>
      </c>
      <c r="DH569">
        <f t="shared" si="273"/>
        <v>0</v>
      </c>
      <c r="DI569">
        <f t="shared" si="231"/>
        <v>0</v>
      </c>
      <c r="DJ569">
        <f t="shared" si="281"/>
        <v>312.77</v>
      </c>
      <c r="DK569">
        <v>0</v>
      </c>
    </row>
    <row r="570" spans="1:115" x14ac:dyDescent="0.2">
      <c r="A570">
        <f>ROW(Source!A539)</f>
        <v>539</v>
      </c>
      <c r="B570">
        <v>129761633</v>
      </c>
      <c r="C570">
        <v>129763816</v>
      </c>
      <c r="D570">
        <v>37393799</v>
      </c>
      <c r="E570">
        <v>1</v>
      </c>
      <c r="F570">
        <v>1</v>
      </c>
      <c r="G570">
        <v>37345137</v>
      </c>
      <c r="H570">
        <v>3</v>
      </c>
      <c r="I570" t="s">
        <v>590</v>
      </c>
      <c r="J570" t="s">
        <v>592</v>
      </c>
      <c r="K570" t="s">
        <v>591</v>
      </c>
      <c r="L570">
        <v>1339</v>
      </c>
      <c r="N570">
        <v>1007</v>
      </c>
      <c r="O570" t="s">
        <v>94</v>
      </c>
      <c r="P570" t="s">
        <v>94</v>
      </c>
      <c r="Q570">
        <v>1</v>
      </c>
      <c r="W570">
        <v>0</v>
      </c>
      <c r="X570">
        <v>-1236741395</v>
      </c>
      <c r="Y570">
        <f t="shared" si="274"/>
        <v>2.6</v>
      </c>
      <c r="AA570">
        <v>76.95</v>
      </c>
      <c r="AB570">
        <v>0</v>
      </c>
      <c r="AC570">
        <v>0</v>
      </c>
      <c r="AD570">
        <v>0</v>
      </c>
      <c r="AE570">
        <v>5.91</v>
      </c>
      <c r="AF570">
        <v>0</v>
      </c>
      <c r="AG570">
        <v>0</v>
      </c>
      <c r="AH570">
        <v>0</v>
      </c>
      <c r="AI570">
        <v>13.02</v>
      </c>
      <c r="AJ570">
        <v>1</v>
      </c>
      <c r="AK570">
        <v>1</v>
      </c>
      <c r="AL570">
        <v>1</v>
      </c>
      <c r="AN570">
        <v>0</v>
      </c>
      <c r="AO570">
        <v>0</v>
      </c>
      <c r="AP570">
        <v>0</v>
      </c>
      <c r="AQ570">
        <v>0</v>
      </c>
      <c r="AR570">
        <v>0</v>
      </c>
      <c r="AS570" t="s">
        <v>3</v>
      </c>
      <c r="AT570">
        <v>2.6</v>
      </c>
      <c r="AU570" t="s">
        <v>3</v>
      </c>
      <c r="AV570">
        <v>0</v>
      </c>
      <c r="AW570">
        <v>1</v>
      </c>
      <c r="AX570">
        <v>-1</v>
      </c>
      <c r="AY570">
        <v>0</v>
      </c>
      <c r="AZ570">
        <v>0</v>
      </c>
      <c r="BA570" t="s">
        <v>3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CX570">
        <f>ROUND(Y570*Source!I539,9)</f>
        <v>0.25947999999999999</v>
      </c>
      <c r="CY570">
        <f t="shared" si="275"/>
        <v>76.95</v>
      </c>
      <c r="CZ570">
        <f t="shared" si="276"/>
        <v>5.91</v>
      </c>
      <c r="DA570">
        <f t="shared" si="277"/>
        <v>13.02</v>
      </c>
      <c r="DB570">
        <f t="shared" si="278"/>
        <v>15.37</v>
      </c>
      <c r="DC570">
        <f t="shared" si="279"/>
        <v>0</v>
      </c>
      <c r="DD570" t="s">
        <v>3</v>
      </c>
      <c r="DE570" t="s">
        <v>3</v>
      </c>
      <c r="DF570">
        <f t="shared" si="280"/>
        <v>19.920000000000002</v>
      </c>
      <c r="DG570">
        <f t="shared" si="272"/>
        <v>0</v>
      </c>
      <c r="DH570">
        <f t="shared" si="273"/>
        <v>0</v>
      </c>
      <c r="DI570">
        <f t="shared" si="231"/>
        <v>0</v>
      </c>
      <c r="DJ570">
        <f t="shared" si="281"/>
        <v>19.920000000000002</v>
      </c>
      <c r="DK570">
        <v>0</v>
      </c>
    </row>
    <row r="571" spans="1:115" x14ac:dyDescent="0.2">
      <c r="A571">
        <f>ROW(Source!A539)</f>
        <v>539</v>
      </c>
      <c r="B571">
        <v>129761633</v>
      </c>
      <c r="C571">
        <v>129763816</v>
      </c>
      <c r="D571">
        <v>37394311</v>
      </c>
      <c r="E571">
        <v>1</v>
      </c>
      <c r="F571">
        <v>1</v>
      </c>
      <c r="G571">
        <v>37345137</v>
      </c>
      <c r="H571">
        <v>3</v>
      </c>
      <c r="I571" t="s">
        <v>571</v>
      </c>
      <c r="J571" t="s">
        <v>573</v>
      </c>
      <c r="K571" t="s">
        <v>572</v>
      </c>
      <c r="L571">
        <v>1339</v>
      </c>
      <c r="N571">
        <v>1007</v>
      </c>
      <c r="O571" t="s">
        <v>94</v>
      </c>
      <c r="P571" t="s">
        <v>94</v>
      </c>
      <c r="Q571">
        <v>1</v>
      </c>
      <c r="W571">
        <v>0</v>
      </c>
      <c r="X571">
        <v>138241181</v>
      </c>
      <c r="Y571">
        <f t="shared" si="274"/>
        <v>0.5</v>
      </c>
      <c r="AA571">
        <v>110.85</v>
      </c>
      <c r="AB571">
        <v>0</v>
      </c>
      <c r="AC571">
        <v>0</v>
      </c>
      <c r="AD571">
        <v>0</v>
      </c>
      <c r="AE571">
        <v>5.67</v>
      </c>
      <c r="AF571">
        <v>0</v>
      </c>
      <c r="AG571">
        <v>0</v>
      </c>
      <c r="AH571">
        <v>0</v>
      </c>
      <c r="AI571">
        <v>19.55</v>
      </c>
      <c r="AJ571">
        <v>1</v>
      </c>
      <c r="AK571">
        <v>1</v>
      </c>
      <c r="AL571">
        <v>1</v>
      </c>
      <c r="AN571">
        <v>0</v>
      </c>
      <c r="AO571">
        <v>0</v>
      </c>
      <c r="AP571">
        <v>0</v>
      </c>
      <c r="AQ571">
        <v>0</v>
      </c>
      <c r="AR571">
        <v>0</v>
      </c>
      <c r="AS571" t="s">
        <v>3</v>
      </c>
      <c r="AT571">
        <v>0.5</v>
      </c>
      <c r="AU571" t="s">
        <v>3</v>
      </c>
      <c r="AV571">
        <v>0</v>
      </c>
      <c r="AW571">
        <v>1</v>
      </c>
      <c r="AX571">
        <v>-1</v>
      </c>
      <c r="AY571">
        <v>0</v>
      </c>
      <c r="AZ571">
        <v>0</v>
      </c>
      <c r="BA571" t="s">
        <v>3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CX571">
        <f>ROUND(Y571*Source!I539,9)</f>
        <v>4.99E-2</v>
      </c>
      <c r="CY571">
        <f t="shared" si="275"/>
        <v>110.85</v>
      </c>
      <c r="CZ571">
        <f t="shared" si="276"/>
        <v>5.67</v>
      </c>
      <c r="DA571">
        <f t="shared" si="277"/>
        <v>19.55</v>
      </c>
      <c r="DB571">
        <f t="shared" si="278"/>
        <v>2.84</v>
      </c>
      <c r="DC571">
        <f t="shared" si="279"/>
        <v>0</v>
      </c>
      <c r="DD571" t="s">
        <v>3</v>
      </c>
      <c r="DE571" t="s">
        <v>3</v>
      </c>
      <c r="DF571">
        <f t="shared" si="280"/>
        <v>5.47</v>
      </c>
      <c r="DG571">
        <f t="shared" si="272"/>
        <v>0</v>
      </c>
      <c r="DH571">
        <f t="shared" si="273"/>
        <v>0</v>
      </c>
      <c r="DI571">
        <f t="shared" si="231"/>
        <v>0</v>
      </c>
      <c r="DJ571">
        <f t="shared" si="281"/>
        <v>5.47</v>
      </c>
      <c r="DK571">
        <v>0</v>
      </c>
    </row>
    <row r="572" spans="1:115" x14ac:dyDescent="0.2">
      <c r="A572">
        <f>ROW(Source!A539)</f>
        <v>539</v>
      </c>
      <c r="B572">
        <v>129761633</v>
      </c>
      <c r="C572">
        <v>129763816</v>
      </c>
      <c r="D572">
        <v>37399542</v>
      </c>
      <c r="E572">
        <v>1</v>
      </c>
      <c r="F572">
        <v>1</v>
      </c>
      <c r="G572">
        <v>37345137</v>
      </c>
      <c r="H572">
        <v>3</v>
      </c>
      <c r="I572" t="s">
        <v>582</v>
      </c>
      <c r="J572" t="s">
        <v>584</v>
      </c>
      <c r="K572" t="s">
        <v>583</v>
      </c>
      <c r="L572">
        <v>1301</v>
      </c>
      <c r="N572">
        <v>1003</v>
      </c>
      <c r="O572" t="s">
        <v>270</v>
      </c>
      <c r="P572" t="s">
        <v>270</v>
      </c>
      <c r="Q572">
        <v>1</v>
      </c>
      <c r="W572">
        <v>0</v>
      </c>
      <c r="X572">
        <v>155765014</v>
      </c>
      <c r="Y572">
        <f t="shared" si="274"/>
        <v>0</v>
      </c>
      <c r="AA572">
        <v>57.95</v>
      </c>
      <c r="AB572">
        <v>0</v>
      </c>
      <c r="AC572">
        <v>0</v>
      </c>
      <c r="AD572">
        <v>0</v>
      </c>
      <c r="AE572">
        <v>6.81</v>
      </c>
      <c r="AF572">
        <v>0</v>
      </c>
      <c r="AG572">
        <v>0</v>
      </c>
      <c r="AH572">
        <v>0</v>
      </c>
      <c r="AI572">
        <v>8.51</v>
      </c>
      <c r="AJ572">
        <v>1</v>
      </c>
      <c r="AK572">
        <v>1</v>
      </c>
      <c r="AL572">
        <v>1</v>
      </c>
      <c r="AN572">
        <v>0</v>
      </c>
      <c r="AO572">
        <v>0</v>
      </c>
      <c r="AP572">
        <v>0</v>
      </c>
      <c r="AQ572">
        <v>0</v>
      </c>
      <c r="AR572">
        <v>0</v>
      </c>
      <c r="AS572" t="s">
        <v>3</v>
      </c>
      <c r="AT572">
        <v>0</v>
      </c>
      <c r="AU572" t="s">
        <v>3</v>
      </c>
      <c r="AV572">
        <v>0</v>
      </c>
      <c r="AW572">
        <v>1</v>
      </c>
      <c r="AX572">
        <v>-1</v>
      </c>
      <c r="AY572">
        <v>0</v>
      </c>
      <c r="AZ572">
        <v>0</v>
      </c>
      <c r="BA572" t="s">
        <v>3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CX572">
        <f>ROUND(Y572*Source!I539,9)</f>
        <v>0</v>
      </c>
      <c r="CY572">
        <f t="shared" si="275"/>
        <v>57.95</v>
      </c>
      <c r="CZ572">
        <f t="shared" si="276"/>
        <v>6.81</v>
      </c>
      <c r="DA572">
        <f t="shared" si="277"/>
        <v>8.51</v>
      </c>
      <c r="DB572">
        <f t="shared" si="278"/>
        <v>0</v>
      </c>
      <c r="DC572">
        <f t="shared" si="279"/>
        <v>0</v>
      </c>
      <c r="DD572" t="s">
        <v>3</v>
      </c>
      <c r="DE572" t="s">
        <v>3</v>
      </c>
      <c r="DF572">
        <f t="shared" si="280"/>
        <v>0</v>
      </c>
      <c r="DG572">
        <f t="shared" si="272"/>
        <v>0</v>
      </c>
      <c r="DH572">
        <f t="shared" si="273"/>
        <v>0</v>
      </c>
      <c r="DI572">
        <f t="shared" si="231"/>
        <v>0</v>
      </c>
      <c r="DJ572">
        <f t="shared" si="281"/>
        <v>0</v>
      </c>
      <c r="DK572">
        <v>0</v>
      </c>
    </row>
    <row r="573" spans="1:115" x14ac:dyDescent="0.2">
      <c r="A573">
        <f>ROW(Source!A539)</f>
        <v>539</v>
      </c>
      <c r="B573">
        <v>129761633</v>
      </c>
      <c r="C573">
        <v>129763816</v>
      </c>
      <c r="D573">
        <v>37399549</v>
      </c>
      <c r="E573">
        <v>1</v>
      </c>
      <c r="F573">
        <v>1</v>
      </c>
      <c r="G573">
        <v>37345137</v>
      </c>
      <c r="H573">
        <v>3</v>
      </c>
      <c r="I573" t="s">
        <v>578</v>
      </c>
      <c r="J573" t="s">
        <v>580</v>
      </c>
      <c r="K573" t="s">
        <v>579</v>
      </c>
      <c r="L573">
        <v>1301</v>
      </c>
      <c r="N573">
        <v>1003</v>
      </c>
      <c r="O573" t="s">
        <v>270</v>
      </c>
      <c r="P573" t="s">
        <v>270</v>
      </c>
      <c r="Q573">
        <v>1</v>
      </c>
      <c r="W573">
        <v>0</v>
      </c>
      <c r="X573">
        <v>-2144998023</v>
      </c>
      <c r="Y573">
        <f t="shared" si="274"/>
        <v>0</v>
      </c>
      <c r="AA573">
        <v>74.87</v>
      </c>
      <c r="AB573">
        <v>0</v>
      </c>
      <c r="AC573">
        <v>0</v>
      </c>
      <c r="AD573">
        <v>0</v>
      </c>
      <c r="AE573">
        <v>19.05</v>
      </c>
      <c r="AF573">
        <v>0</v>
      </c>
      <c r="AG573">
        <v>0</v>
      </c>
      <c r="AH573">
        <v>0</v>
      </c>
      <c r="AI573">
        <v>3.93</v>
      </c>
      <c r="AJ573">
        <v>1</v>
      </c>
      <c r="AK573">
        <v>1</v>
      </c>
      <c r="AL573">
        <v>1</v>
      </c>
      <c r="AN573">
        <v>0</v>
      </c>
      <c r="AO573">
        <v>0</v>
      </c>
      <c r="AP573">
        <v>0</v>
      </c>
      <c r="AQ573">
        <v>0</v>
      </c>
      <c r="AR573">
        <v>0</v>
      </c>
      <c r="AS573" t="s">
        <v>3</v>
      </c>
      <c r="AT573">
        <v>0</v>
      </c>
      <c r="AU573" t="s">
        <v>3</v>
      </c>
      <c r="AV573">
        <v>0</v>
      </c>
      <c r="AW573">
        <v>1</v>
      </c>
      <c r="AX573">
        <v>-1</v>
      </c>
      <c r="AY573">
        <v>0</v>
      </c>
      <c r="AZ573">
        <v>0</v>
      </c>
      <c r="BA573" t="s">
        <v>3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CX573">
        <f>ROUND(Y573*Source!I539,9)</f>
        <v>0</v>
      </c>
      <c r="CY573">
        <f t="shared" si="275"/>
        <v>74.87</v>
      </c>
      <c r="CZ573">
        <f t="shared" si="276"/>
        <v>19.05</v>
      </c>
      <c r="DA573">
        <f t="shared" si="277"/>
        <v>3.93</v>
      </c>
      <c r="DB573">
        <f t="shared" si="278"/>
        <v>0</v>
      </c>
      <c r="DC573">
        <f t="shared" si="279"/>
        <v>0</v>
      </c>
      <c r="DD573" t="s">
        <v>3</v>
      </c>
      <c r="DE573" t="s">
        <v>3</v>
      </c>
      <c r="DF573">
        <f t="shared" si="280"/>
        <v>0</v>
      </c>
      <c r="DG573">
        <f t="shared" si="272"/>
        <v>0</v>
      </c>
      <c r="DH573">
        <f t="shared" si="273"/>
        <v>0</v>
      </c>
      <c r="DI573">
        <f t="shared" si="231"/>
        <v>0</v>
      </c>
      <c r="DJ573">
        <f t="shared" si="281"/>
        <v>0</v>
      </c>
      <c r="DK573">
        <v>0</v>
      </c>
    </row>
    <row r="574" spans="1:115" x14ac:dyDescent="0.2">
      <c r="A574">
        <f>ROW(Source!A539)</f>
        <v>539</v>
      </c>
      <c r="B574">
        <v>129761633</v>
      </c>
      <c r="C574">
        <v>129763816</v>
      </c>
      <c r="D574">
        <v>0</v>
      </c>
      <c r="E574">
        <v>0</v>
      </c>
      <c r="F574">
        <v>1</v>
      </c>
      <c r="G574">
        <v>37345137</v>
      </c>
      <c r="H574">
        <v>3</v>
      </c>
      <c r="I574" t="s">
        <v>248</v>
      </c>
      <c r="J574" t="s">
        <v>3</v>
      </c>
      <c r="K574" t="s">
        <v>575</v>
      </c>
      <c r="L574">
        <v>1301</v>
      </c>
      <c r="N574">
        <v>1003</v>
      </c>
      <c r="O574" t="s">
        <v>270</v>
      </c>
      <c r="P574" t="s">
        <v>270</v>
      </c>
      <c r="Q574">
        <v>1</v>
      </c>
      <c r="W574">
        <v>0</v>
      </c>
      <c r="X574">
        <v>-1886877045</v>
      </c>
      <c r="Y574">
        <f t="shared" si="274"/>
        <v>125.250501</v>
      </c>
      <c r="AA574">
        <v>6799.94</v>
      </c>
      <c r="AB574">
        <v>0</v>
      </c>
      <c r="AC574">
        <v>0</v>
      </c>
      <c r="AD574">
        <v>0</v>
      </c>
      <c r="AE574">
        <v>786.12</v>
      </c>
      <c r="AF574">
        <v>0</v>
      </c>
      <c r="AG574">
        <v>0</v>
      </c>
      <c r="AH574">
        <v>0</v>
      </c>
      <c r="AI574">
        <v>8.65</v>
      </c>
      <c r="AJ574">
        <v>1</v>
      </c>
      <c r="AK574">
        <v>1</v>
      </c>
      <c r="AL574">
        <v>1</v>
      </c>
      <c r="AN574">
        <v>0</v>
      </c>
      <c r="AO574">
        <v>0</v>
      </c>
      <c r="AP574">
        <v>1</v>
      </c>
      <c r="AQ574">
        <v>0</v>
      </c>
      <c r="AR574">
        <v>0</v>
      </c>
      <c r="AS574" t="s">
        <v>3</v>
      </c>
      <c r="AT574">
        <v>125.250501</v>
      </c>
      <c r="AU574" t="s">
        <v>3</v>
      </c>
      <c r="AV574">
        <v>0</v>
      </c>
      <c r="AW574">
        <v>1</v>
      </c>
      <c r="AX574">
        <v>-1</v>
      </c>
      <c r="AY574">
        <v>0</v>
      </c>
      <c r="AZ574">
        <v>0</v>
      </c>
      <c r="BA574" t="s">
        <v>3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CX574">
        <f>ROUND(Y574*Source!I539,9)</f>
        <v>12.5</v>
      </c>
      <c r="CY574">
        <f t="shared" si="275"/>
        <v>6799.94</v>
      </c>
      <c r="CZ574">
        <f t="shared" si="276"/>
        <v>786.12</v>
      </c>
      <c r="DA574">
        <f t="shared" si="277"/>
        <v>8.65</v>
      </c>
      <c r="DB574">
        <f t="shared" si="278"/>
        <v>98461.92</v>
      </c>
      <c r="DC574">
        <f t="shared" si="279"/>
        <v>0</v>
      </c>
      <c r="DD574" t="s">
        <v>3</v>
      </c>
      <c r="DE574" t="s">
        <v>3</v>
      </c>
      <c r="DF574">
        <f t="shared" si="280"/>
        <v>84999.23</v>
      </c>
      <c r="DG574">
        <f t="shared" si="272"/>
        <v>0</v>
      </c>
      <c r="DH574">
        <f t="shared" si="273"/>
        <v>0</v>
      </c>
      <c r="DI574">
        <f t="shared" si="231"/>
        <v>0</v>
      </c>
      <c r="DJ574">
        <f t="shared" si="281"/>
        <v>84999.23</v>
      </c>
      <c r="DK574">
        <v>0</v>
      </c>
    </row>
    <row r="575" spans="1:115" x14ac:dyDescent="0.2">
      <c r="A575">
        <f>ROW(Source!A554)</f>
        <v>554</v>
      </c>
      <c r="B575">
        <v>129761636</v>
      </c>
      <c r="C575">
        <v>129763848</v>
      </c>
      <c r="D575">
        <v>37345142</v>
      </c>
      <c r="E575">
        <v>37345137</v>
      </c>
      <c r="F575">
        <v>1</v>
      </c>
      <c r="G575">
        <v>37345137</v>
      </c>
      <c r="H575">
        <v>1</v>
      </c>
      <c r="I575" t="s">
        <v>1096</v>
      </c>
      <c r="J575" t="s">
        <v>3</v>
      </c>
      <c r="K575" t="s">
        <v>1097</v>
      </c>
      <c r="L575">
        <v>1191</v>
      </c>
      <c r="N575">
        <v>1013</v>
      </c>
      <c r="O575" t="s">
        <v>1098</v>
      </c>
      <c r="P575" t="s">
        <v>1098</v>
      </c>
      <c r="Q575">
        <v>1</v>
      </c>
      <c r="W575">
        <v>0</v>
      </c>
      <c r="X575">
        <v>476480486</v>
      </c>
      <c r="Y575">
        <f>(AT575*1.15)</f>
        <v>87.399999999999991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1</v>
      </c>
      <c r="AJ575">
        <v>1</v>
      </c>
      <c r="AK575">
        <v>1</v>
      </c>
      <c r="AL575">
        <v>1</v>
      </c>
      <c r="AN575">
        <v>0</v>
      </c>
      <c r="AO575">
        <v>1</v>
      </c>
      <c r="AP575">
        <v>1</v>
      </c>
      <c r="AQ575">
        <v>0</v>
      </c>
      <c r="AR575">
        <v>0</v>
      </c>
      <c r="AS575" t="s">
        <v>3</v>
      </c>
      <c r="AT575">
        <v>76</v>
      </c>
      <c r="AU575" t="s">
        <v>87</v>
      </c>
      <c r="AV575">
        <v>1</v>
      </c>
      <c r="AW575">
        <v>2</v>
      </c>
      <c r="AX575">
        <v>129763854</v>
      </c>
      <c r="AY575">
        <v>1</v>
      </c>
      <c r="AZ575">
        <v>0</v>
      </c>
      <c r="BA575">
        <v>565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CX575">
        <f>ROUND(Y575*Source!I554,9)</f>
        <v>8.7225199999999994</v>
      </c>
      <c r="CY575">
        <f>AD575</f>
        <v>0</v>
      </c>
      <c r="CZ575">
        <f>AH575</f>
        <v>0</v>
      </c>
      <c r="DA575">
        <f>AL575</f>
        <v>1</v>
      </c>
      <c r="DB575">
        <f>ROUND((ROUND(AT575*CZ575,2)*1.15),6)</f>
        <v>0</v>
      </c>
      <c r="DC575">
        <f>ROUND((ROUND(AT575*AG575,2)*1.15),6)</f>
        <v>0</v>
      </c>
      <c r="DD575" t="s">
        <v>3</v>
      </c>
      <c r="DE575" t="s">
        <v>3</v>
      </c>
      <c r="DF575">
        <f t="shared" ref="DF575:DF581" si="282">ROUND(AE575*CX575,2)</f>
        <v>0</v>
      </c>
      <c r="DG575">
        <f t="shared" si="272"/>
        <v>0</v>
      </c>
      <c r="DH575">
        <f t="shared" si="273"/>
        <v>0</v>
      </c>
      <c r="DI575">
        <f t="shared" si="231"/>
        <v>0</v>
      </c>
      <c r="DJ575">
        <f>DI575</f>
        <v>0</v>
      </c>
      <c r="DK575">
        <v>0</v>
      </c>
    </row>
    <row r="576" spans="1:115" x14ac:dyDescent="0.2">
      <c r="A576">
        <f>ROW(Source!A554)</f>
        <v>554</v>
      </c>
      <c r="B576">
        <v>129761636</v>
      </c>
      <c r="C576">
        <v>129763848</v>
      </c>
      <c r="D576">
        <v>37417800</v>
      </c>
      <c r="E576">
        <v>1</v>
      </c>
      <c r="F576">
        <v>1</v>
      </c>
      <c r="G576">
        <v>37345137</v>
      </c>
      <c r="H576">
        <v>2</v>
      </c>
      <c r="I576" t="s">
        <v>1150</v>
      </c>
      <c r="J576" t="s">
        <v>1151</v>
      </c>
      <c r="K576" t="s">
        <v>1152</v>
      </c>
      <c r="L576">
        <v>1367</v>
      </c>
      <c r="N576">
        <v>1011</v>
      </c>
      <c r="O576" t="s">
        <v>1102</v>
      </c>
      <c r="P576" t="s">
        <v>1102</v>
      </c>
      <c r="Q576">
        <v>1</v>
      </c>
      <c r="W576">
        <v>0</v>
      </c>
      <c r="X576">
        <v>1116621208</v>
      </c>
      <c r="Y576">
        <f>(AT576*1.25)</f>
        <v>19</v>
      </c>
      <c r="AA576">
        <v>0</v>
      </c>
      <c r="AB576">
        <v>2.78</v>
      </c>
      <c r="AC576">
        <v>0.19</v>
      </c>
      <c r="AD576">
        <v>0</v>
      </c>
      <c r="AE576">
        <v>0</v>
      </c>
      <c r="AF576">
        <v>2.78</v>
      </c>
      <c r="AG576">
        <v>0.19</v>
      </c>
      <c r="AH576">
        <v>0</v>
      </c>
      <c r="AI576">
        <v>1</v>
      </c>
      <c r="AJ576">
        <v>1</v>
      </c>
      <c r="AK576">
        <v>1</v>
      </c>
      <c r="AL576">
        <v>1</v>
      </c>
      <c r="AN576">
        <v>0</v>
      </c>
      <c r="AO576">
        <v>1</v>
      </c>
      <c r="AP576">
        <v>1</v>
      </c>
      <c r="AQ576">
        <v>0</v>
      </c>
      <c r="AR576">
        <v>0</v>
      </c>
      <c r="AS576" t="s">
        <v>3</v>
      </c>
      <c r="AT576">
        <v>15.2</v>
      </c>
      <c r="AU576" t="s">
        <v>86</v>
      </c>
      <c r="AV576">
        <v>0</v>
      </c>
      <c r="AW576">
        <v>2</v>
      </c>
      <c r="AX576">
        <v>129763855</v>
      </c>
      <c r="AY576">
        <v>1</v>
      </c>
      <c r="AZ576">
        <v>0</v>
      </c>
      <c r="BA576">
        <v>566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CX576">
        <f>ROUND(Y576*Source!I554,9)</f>
        <v>1.8962000000000001</v>
      </c>
      <c r="CY576">
        <f>AB576</f>
        <v>2.78</v>
      </c>
      <c r="CZ576">
        <f>AF576</f>
        <v>2.78</v>
      </c>
      <c r="DA576">
        <f>AJ576</f>
        <v>1</v>
      </c>
      <c r="DB576">
        <f>ROUND((ROUND(AT576*CZ576,2)*1.25),6)</f>
        <v>52.825000000000003</v>
      </c>
      <c r="DC576">
        <f>ROUND((ROUND(AT576*AG576,2)*1.25),6)</f>
        <v>3.6124999999999998</v>
      </c>
      <c r="DD576" t="s">
        <v>3</v>
      </c>
      <c r="DE576" t="s">
        <v>3</v>
      </c>
      <c r="DF576">
        <f t="shared" si="282"/>
        <v>0</v>
      </c>
      <c r="DG576">
        <f t="shared" si="272"/>
        <v>5.27</v>
      </c>
      <c r="DH576">
        <f t="shared" si="273"/>
        <v>0.36</v>
      </c>
      <c r="DI576">
        <f t="shared" si="231"/>
        <v>0</v>
      </c>
      <c r="DJ576">
        <f>DG576</f>
        <v>5.27</v>
      </c>
      <c r="DK576">
        <v>0</v>
      </c>
    </row>
    <row r="577" spans="1:115" x14ac:dyDescent="0.2">
      <c r="A577">
        <f>ROW(Source!A554)</f>
        <v>554</v>
      </c>
      <c r="B577">
        <v>129761636</v>
      </c>
      <c r="C577">
        <v>129763848</v>
      </c>
      <c r="D577">
        <v>37394864</v>
      </c>
      <c r="E577">
        <v>1</v>
      </c>
      <c r="F577">
        <v>1</v>
      </c>
      <c r="G577">
        <v>37345137</v>
      </c>
      <c r="H577">
        <v>3</v>
      </c>
      <c r="I577" t="s">
        <v>1147</v>
      </c>
      <c r="J577" t="s">
        <v>1148</v>
      </c>
      <c r="K577" t="s">
        <v>1149</v>
      </c>
      <c r="L577">
        <v>1348</v>
      </c>
      <c r="N577">
        <v>1009</v>
      </c>
      <c r="O577" t="s">
        <v>114</v>
      </c>
      <c r="P577" t="s">
        <v>114</v>
      </c>
      <c r="Q577">
        <v>1000</v>
      </c>
      <c r="W577">
        <v>0</v>
      </c>
      <c r="X577">
        <v>1310716689</v>
      </c>
      <c r="Y577">
        <f>AT577</f>
        <v>1.4E-3</v>
      </c>
      <c r="AA577">
        <v>7191.81</v>
      </c>
      <c r="AB577">
        <v>0</v>
      </c>
      <c r="AC577">
        <v>0</v>
      </c>
      <c r="AD577">
        <v>0</v>
      </c>
      <c r="AE577">
        <v>7191.81</v>
      </c>
      <c r="AF577">
        <v>0</v>
      </c>
      <c r="AG577">
        <v>0</v>
      </c>
      <c r="AH577">
        <v>0</v>
      </c>
      <c r="AI577">
        <v>1</v>
      </c>
      <c r="AJ577">
        <v>1</v>
      </c>
      <c r="AK577">
        <v>1</v>
      </c>
      <c r="AL577">
        <v>1</v>
      </c>
      <c r="AN577">
        <v>0</v>
      </c>
      <c r="AO577">
        <v>1</v>
      </c>
      <c r="AP577">
        <v>0</v>
      </c>
      <c r="AQ577">
        <v>0</v>
      </c>
      <c r="AR577">
        <v>0</v>
      </c>
      <c r="AS577" t="s">
        <v>3</v>
      </c>
      <c r="AT577">
        <v>1.4E-3</v>
      </c>
      <c r="AU577" t="s">
        <v>3</v>
      </c>
      <c r="AV577">
        <v>0</v>
      </c>
      <c r="AW577">
        <v>2</v>
      </c>
      <c r="AX577">
        <v>129763856</v>
      </c>
      <c r="AY577">
        <v>1</v>
      </c>
      <c r="AZ577">
        <v>0</v>
      </c>
      <c r="BA577">
        <v>567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CX577">
        <f>ROUND(Y577*Source!I554,9)</f>
        <v>1.3972E-4</v>
      </c>
      <c r="CY577">
        <f>AA577</f>
        <v>7191.81</v>
      </c>
      <c r="CZ577">
        <f>AE577</f>
        <v>7191.81</v>
      </c>
      <c r="DA577">
        <f>AI577</f>
        <v>1</v>
      </c>
      <c r="DB577">
        <f>ROUND(ROUND(AT577*CZ577,2),6)</f>
        <v>10.07</v>
      </c>
      <c r="DC577">
        <f>ROUND(ROUND(AT577*AG577,2),6)</f>
        <v>0</v>
      </c>
      <c r="DD577" t="s">
        <v>3</v>
      </c>
      <c r="DE577" t="s">
        <v>3</v>
      </c>
      <c r="DF577">
        <f t="shared" si="282"/>
        <v>1</v>
      </c>
      <c r="DG577">
        <f t="shared" si="272"/>
        <v>0</v>
      </c>
      <c r="DH577">
        <f t="shared" si="273"/>
        <v>0</v>
      </c>
      <c r="DI577">
        <f t="shared" ref="DI577:DI640" si="283">ROUND(AH577*CX577,2)</f>
        <v>0</v>
      </c>
      <c r="DJ577">
        <f>DF577</f>
        <v>1</v>
      </c>
      <c r="DK577">
        <v>0</v>
      </c>
    </row>
    <row r="578" spans="1:115" x14ac:dyDescent="0.2">
      <c r="A578">
        <f>ROW(Source!A554)</f>
        <v>554</v>
      </c>
      <c r="B578">
        <v>129761636</v>
      </c>
      <c r="C578">
        <v>129763848</v>
      </c>
      <c r="D578">
        <v>37415953</v>
      </c>
      <c r="E578">
        <v>1</v>
      </c>
      <c r="F578">
        <v>1</v>
      </c>
      <c r="G578">
        <v>37345137</v>
      </c>
      <c r="H578">
        <v>3</v>
      </c>
      <c r="I578" t="s">
        <v>593</v>
      </c>
      <c r="J578" t="s">
        <v>595</v>
      </c>
      <c r="K578" t="s">
        <v>594</v>
      </c>
      <c r="L578">
        <v>1354</v>
      </c>
      <c r="N578">
        <v>1010</v>
      </c>
      <c r="O578" t="s">
        <v>250</v>
      </c>
      <c r="P578" t="s">
        <v>250</v>
      </c>
      <c r="Q578">
        <v>1</v>
      </c>
      <c r="W578">
        <v>0</v>
      </c>
      <c r="X578">
        <v>-1926735092</v>
      </c>
      <c r="Y578">
        <f>AT578</f>
        <v>761.52304600000002</v>
      </c>
      <c r="AA578">
        <v>12.2</v>
      </c>
      <c r="AB578">
        <v>0</v>
      </c>
      <c r="AC578">
        <v>0</v>
      </c>
      <c r="AD578">
        <v>0</v>
      </c>
      <c r="AE578">
        <v>12.2</v>
      </c>
      <c r="AF578">
        <v>0</v>
      </c>
      <c r="AG578">
        <v>0</v>
      </c>
      <c r="AH578">
        <v>0</v>
      </c>
      <c r="AI578">
        <v>1</v>
      </c>
      <c r="AJ578">
        <v>1</v>
      </c>
      <c r="AK578">
        <v>1</v>
      </c>
      <c r="AL578">
        <v>1</v>
      </c>
      <c r="AN578">
        <v>0</v>
      </c>
      <c r="AO578">
        <v>0</v>
      </c>
      <c r="AP578">
        <v>0</v>
      </c>
      <c r="AQ578">
        <v>0</v>
      </c>
      <c r="AR578">
        <v>0</v>
      </c>
      <c r="AS578" t="s">
        <v>3</v>
      </c>
      <c r="AT578">
        <v>761.52304600000002</v>
      </c>
      <c r="AU578" t="s">
        <v>3</v>
      </c>
      <c r="AV578">
        <v>0</v>
      </c>
      <c r="AW578">
        <v>1</v>
      </c>
      <c r="AX578">
        <v>-1</v>
      </c>
      <c r="AY578">
        <v>0</v>
      </c>
      <c r="AZ578">
        <v>0</v>
      </c>
      <c r="BA578" t="s">
        <v>3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CX578">
        <f>ROUND(Y578*Source!I554,9)</f>
        <v>75.999999990999996</v>
      </c>
      <c r="CY578">
        <f>AA578</f>
        <v>12.2</v>
      </c>
      <c r="CZ578">
        <f>AE578</f>
        <v>12.2</v>
      </c>
      <c r="DA578">
        <f>AI578</f>
        <v>1</v>
      </c>
      <c r="DB578">
        <f>ROUND(ROUND(AT578*CZ578,2),6)</f>
        <v>9290.58</v>
      </c>
      <c r="DC578">
        <f>ROUND(ROUND(AT578*AG578,2),6)</f>
        <v>0</v>
      </c>
      <c r="DD578" t="s">
        <v>3</v>
      </c>
      <c r="DE578" t="s">
        <v>3</v>
      </c>
      <c r="DF578">
        <f t="shared" si="282"/>
        <v>927.2</v>
      </c>
      <c r="DG578">
        <f t="shared" si="272"/>
        <v>0</v>
      </c>
      <c r="DH578">
        <f t="shared" si="273"/>
        <v>0</v>
      </c>
      <c r="DI578">
        <f t="shared" si="283"/>
        <v>0</v>
      </c>
      <c r="DJ578">
        <f>DF578</f>
        <v>927.2</v>
      </c>
      <c r="DK578">
        <v>0</v>
      </c>
    </row>
    <row r="579" spans="1:115" x14ac:dyDescent="0.2">
      <c r="A579">
        <f>ROW(Source!A554)</f>
        <v>554</v>
      </c>
      <c r="B579">
        <v>129761636</v>
      </c>
      <c r="C579">
        <v>129763848</v>
      </c>
      <c r="D579">
        <v>37367082</v>
      </c>
      <c r="E579">
        <v>37345137</v>
      </c>
      <c r="F579">
        <v>1</v>
      </c>
      <c r="G579">
        <v>37345137</v>
      </c>
      <c r="H579">
        <v>3</v>
      </c>
      <c r="I579" t="s">
        <v>1136</v>
      </c>
      <c r="J579" t="s">
        <v>3</v>
      </c>
      <c r="K579" t="s">
        <v>1137</v>
      </c>
      <c r="L579">
        <v>1344</v>
      </c>
      <c r="N579">
        <v>1008</v>
      </c>
      <c r="O579" t="s">
        <v>1138</v>
      </c>
      <c r="P579" t="s">
        <v>1138</v>
      </c>
      <c r="Q579">
        <v>1</v>
      </c>
      <c r="W579">
        <v>0</v>
      </c>
      <c r="X579">
        <v>-94250534</v>
      </c>
      <c r="Y579">
        <f>AT579</f>
        <v>39.479999999999997</v>
      </c>
      <c r="AA579">
        <v>1</v>
      </c>
      <c r="AB579">
        <v>0</v>
      </c>
      <c r="AC579">
        <v>0</v>
      </c>
      <c r="AD579">
        <v>0</v>
      </c>
      <c r="AE579">
        <v>1</v>
      </c>
      <c r="AF579">
        <v>0</v>
      </c>
      <c r="AG579">
        <v>0</v>
      </c>
      <c r="AH579">
        <v>0</v>
      </c>
      <c r="AI579">
        <v>1</v>
      </c>
      <c r="AJ579">
        <v>1</v>
      </c>
      <c r="AK579">
        <v>1</v>
      </c>
      <c r="AL579">
        <v>1</v>
      </c>
      <c r="AN579">
        <v>0</v>
      </c>
      <c r="AO579">
        <v>1</v>
      </c>
      <c r="AP579">
        <v>0</v>
      </c>
      <c r="AQ579">
        <v>0</v>
      </c>
      <c r="AR579">
        <v>0</v>
      </c>
      <c r="AS579" t="s">
        <v>3</v>
      </c>
      <c r="AT579">
        <v>39.479999999999997</v>
      </c>
      <c r="AU579" t="s">
        <v>3</v>
      </c>
      <c r="AV579">
        <v>0</v>
      </c>
      <c r="AW579">
        <v>2</v>
      </c>
      <c r="AX579">
        <v>129763859</v>
      </c>
      <c r="AY579">
        <v>1</v>
      </c>
      <c r="AZ579">
        <v>0</v>
      </c>
      <c r="BA579">
        <v>570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CX579">
        <f>ROUND(Y579*Source!I554,9)</f>
        <v>3.9401039999999998</v>
      </c>
      <c r="CY579">
        <f>AA579</f>
        <v>1</v>
      </c>
      <c r="CZ579">
        <f>AE579</f>
        <v>1</v>
      </c>
      <c r="DA579">
        <f>AI579</f>
        <v>1</v>
      </c>
      <c r="DB579">
        <f>ROUND(ROUND(AT579*CZ579,2),6)</f>
        <v>39.479999999999997</v>
      </c>
      <c r="DC579">
        <f>ROUND(ROUND(AT579*AG579,2),6)</f>
        <v>0</v>
      </c>
      <c r="DD579" t="s">
        <v>3</v>
      </c>
      <c r="DE579" t="s">
        <v>3</v>
      </c>
      <c r="DF579">
        <f t="shared" si="282"/>
        <v>3.94</v>
      </c>
      <c r="DG579">
        <f t="shared" si="272"/>
        <v>0</v>
      </c>
      <c r="DH579">
        <f t="shared" si="273"/>
        <v>0</v>
      </c>
      <c r="DI579">
        <f t="shared" si="283"/>
        <v>0</v>
      </c>
      <c r="DJ579">
        <f>DF579</f>
        <v>3.94</v>
      </c>
      <c r="DK579">
        <v>0</v>
      </c>
    </row>
    <row r="580" spans="1:115" x14ac:dyDescent="0.2">
      <c r="A580">
        <f>ROW(Source!A555)</f>
        <v>555</v>
      </c>
      <c r="B580">
        <v>129761633</v>
      </c>
      <c r="C580">
        <v>129763848</v>
      </c>
      <c r="D580">
        <v>37345142</v>
      </c>
      <c r="E580">
        <v>37345137</v>
      </c>
      <c r="F580">
        <v>1</v>
      </c>
      <c r="G580">
        <v>37345137</v>
      </c>
      <c r="H580">
        <v>1</v>
      </c>
      <c r="I580" t="s">
        <v>1096</v>
      </c>
      <c r="J580" t="s">
        <v>3</v>
      </c>
      <c r="K580" t="s">
        <v>1097</v>
      </c>
      <c r="L580">
        <v>1191</v>
      </c>
      <c r="N580">
        <v>1013</v>
      </c>
      <c r="O580" t="s">
        <v>1098</v>
      </c>
      <c r="P580" t="s">
        <v>1098</v>
      </c>
      <c r="Q580">
        <v>1</v>
      </c>
      <c r="W580">
        <v>0</v>
      </c>
      <c r="X580">
        <v>476480486</v>
      </c>
      <c r="Y580">
        <f>(AT580*1.15)</f>
        <v>87.399999999999991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1</v>
      </c>
      <c r="AJ580">
        <v>1</v>
      </c>
      <c r="AK580">
        <v>1</v>
      </c>
      <c r="AL580">
        <v>1</v>
      </c>
      <c r="AN580">
        <v>0</v>
      </c>
      <c r="AO580">
        <v>1</v>
      </c>
      <c r="AP580">
        <v>1</v>
      </c>
      <c r="AQ580">
        <v>0</v>
      </c>
      <c r="AR580">
        <v>0</v>
      </c>
      <c r="AS580" t="s">
        <v>3</v>
      </c>
      <c r="AT580">
        <v>76</v>
      </c>
      <c r="AU580" t="s">
        <v>87</v>
      </c>
      <c r="AV580">
        <v>1</v>
      </c>
      <c r="AW580">
        <v>2</v>
      </c>
      <c r="AX580">
        <v>129763854</v>
      </c>
      <c r="AY580">
        <v>1</v>
      </c>
      <c r="AZ580">
        <v>0</v>
      </c>
      <c r="BA580">
        <v>571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CX580">
        <f>ROUND(Y580*Source!I555,9)</f>
        <v>8.7225199999999994</v>
      </c>
      <c r="CY580">
        <f>AD580</f>
        <v>0</v>
      </c>
      <c r="CZ580">
        <f>AH580</f>
        <v>0</v>
      </c>
      <c r="DA580">
        <f>AL580</f>
        <v>1</v>
      </c>
      <c r="DB580">
        <f>ROUND((ROUND(AT580*CZ580,2)*1.15),6)</f>
        <v>0</v>
      </c>
      <c r="DC580">
        <f>ROUND((ROUND(AT580*AG580,2)*1.15),6)</f>
        <v>0</v>
      </c>
      <c r="DD580" t="s">
        <v>3</v>
      </c>
      <c r="DE580" t="s">
        <v>3</v>
      </c>
      <c r="DF580">
        <f t="shared" si="282"/>
        <v>0</v>
      </c>
      <c r="DG580">
        <f t="shared" si="272"/>
        <v>0</v>
      </c>
      <c r="DH580">
        <f t="shared" si="273"/>
        <v>0</v>
      </c>
      <c r="DI580">
        <f t="shared" si="283"/>
        <v>0</v>
      </c>
      <c r="DJ580">
        <f>DI580</f>
        <v>0</v>
      </c>
      <c r="DK580">
        <v>0</v>
      </c>
    </row>
    <row r="581" spans="1:115" x14ac:dyDescent="0.2">
      <c r="A581">
        <f>ROW(Source!A555)</f>
        <v>555</v>
      </c>
      <c r="B581">
        <v>129761633</v>
      </c>
      <c r="C581">
        <v>129763848</v>
      </c>
      <c r="D581">
        <v>37417800</v>
      </c>
      <c r="E581">
        <v>1</v>
      </c>
      <c r="F581">
        <v>1</v>
      </c>
      <c r="G581">
        <v>37345137</v>
      </c>
      <c r="H581">
        <v>2</v>
      </c>
      <c r="I581" t="s">
        <v>1150</v>
      </c>
      <c r="J581" t="s">
        <v>1151</v>
      </c>
      <c r="K581" t="s">
        <v>1152</v>
      </c>
      <c r="L581">
        <v>1367</v>
      </c>
      <c r="N581">
        <v>1011</v>
      </c>
      <c r="O581" t="s">
        <v>1102</v>
      </c>
      <c r="P581" t="s">
        <v>1102</v>
      </c>
      <c r="Q581">
        <v>1</v>
      </c>
      <c r="W581">
        <v>0</v>
      </c>
      <c r="X581">
        <v>1116621208</v>
      </c>
      <c r="Y581">
        <f>(AT581*1.25)</f>
        <v>19</v>
      </c>
      <c r="AA581">
        <v>0</v>
      </c>
      <c r="AB581">
        <v>24.96</v>
      </c>
      <c r="AC581">
        <v>6</v>
      </c>
      <c r="AD581">
        <v>0</v>
      </c>
      <c r="AE581">
        <v>0</v>
      </c>
      <c r="AF581">
        <v>2.78</v>
      </c>
      <c r="AG581">
        <v>0.19</v>
      </c>
      <c r="AH581">
        <v>0</v>
      </c>
      <c r="AI581">
        <v>1</v>
      </c>
      <c r="AJ581">
        <v>8.26</v>
      </c>
      <c r="AK581">
        <v>29.03</v>
      </c>
      <c r="AL581">
        <v>1</v>
      </c>
      <c r="AN581">
        <v>0</v>
      </c>
      <c r="AO581">
        <v>1</v>
      </c>
      <c r="AP581">
        <v>1</v>
      </c>
      <c r="AQ581">
        <v>0</v>
      </c>
      <c r="AR581">
        <v>0</v>
      </c>
      <c r="AS581" t="s">
        <v>3</v>
      </c>
      <c r="AT581">
        <v>15.2</v>
      </c>
      <c r="AU581" t="s">
        <v>86</v>
      </c>
      <c r="AV581">
        <v>0</v>
      </c>
      <c r="AW581">
        <v>2</v>
      </c>
      <c r="AX581">
        <v>129763855</v>
      </c>
      <c r="AY581">
        <v>1</v>
      </c>
      <c r="AZ581">
        <v>0</v>
      </c>
      <c r="BA581">
        <v>572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CX581">
        <f>ROUND(Y581*Source!I555,9)</f>
        <v>1.8962000000000001</v>
      </c>
      <c r="CY581">
        <f>AB581</f>
        <v>24.96</v>
      </c>
      <c r="CZ581">
        <f>AF581</f>
        <v>2.78</v>
      </c>
      <c r="DA581">
        <f>AJ581</f>
        <v>8.26</v>
      </c>
      <c r="DB581">
        <f>ROUND((ROUND(AT581*CZ581,2)*1.25),6)</f>
        <v>52.825000000000003</v>
      </c>
      <c r="DC581">
        <f>ROUND((ROUND(AT581*AG581,2)*1.25),6)</f>
        <v>3.6124999999999998</v>
      </c>
      <c r="DD581" t="s">
        <v>3</v>
      </c>
      <c r="DE581" t="s">
        <v>3</v>
      </c>
      <c r="DF581">
        <f t="shared" si="282"/>
        <v>0</v>
      </c>
      <c r="DG581">
        <f>ROUND(ROUND(AF581*CX581,2)*AJ581,2)</f>
        <v>43.53</v>
      </c>
      <c r="DH581">
        <f>ROUND(ROUND(AG581*CX581,2)*AK581,2)</f>
        <v>10.45</v>
      </c>
      <c r="DI581">
        <f t="shared" si="283"/>
        <v>0</v>
      </c>
      <c r="DJ581">
        <f>DG581</f>
        <v>43.53</v>
      </c>
      <c r="DK581">
        <v>0</v>
      </c>
    </row>
    <row r="582" spans="1:115" x14ac:dyDescent="0.2">
      <c r="A582">
        <f>ROW(Source!A555)</f>
        <v>555</v>
      </c>
      <c r="B582">
        <v>129761633</v>
      </c>
      <c r="C582">
        <v>129763848</v>
      </c>
      <c r="D582">
        <v>37394864</v>
      </c>
      <c r="E582">
        <v>1</v>
      </c>
      <c r="F582">
        <v>1</v>
      </c>
      <c r="G582">
        <v>37345137</v>
      </c>
      <c r="H582">
        <v>3</v>
      </c>
      <c r="I582" t="s">
        <v>1147</v>
      </c>
      <c r="J582" t="s">
        <v>1148</v>
      </c>
      <c r="K582" t="s">
        <v>1149</v>
      </c>
      <c r="L582">
        <v>1348</v>
      </c>
      <c r="N582">
        <v>1009</v>
      </c>
      <c r="O582" t="s">
        <v>114</v>
      </c>
      <c r="P582" t="s">
        <v>114</v>
      </c>
      <c r="Q582">
        <v>1000</v>
      </c>
      <c r="W582">
        <v>0</v>
      </c>
      <c r="X582">
        <v>1310716689</v>
      </c>
      <c r="Y582">
        <f>AT582</f>
        <v>1.4E-3</v>
      </c>
      <c r="AA582">
        <v>145777.99</v>
      </c>
      <c r="AB582">
        <v>0</v>
      </c>
      <c r="AC582">
        <v>0</v>
      </c>
      <c r="AD582">
        <v>0</v>
      </c>
      <c r="AE582">
        <v>7191.81</v>
      </c>
      <c r="AF582">
        <v>0</v>
      </c>
      <c r="AG582">
        <v>0</v>
      </c>
      <c r="AH582">
        <v>0</v>
      </c>
      <c r="AI582">
        <v>20.27</v>
      </c>
      <c r="AJ582">
        <v>1</v>
      </c>
      <c r="AK582">
        <v>1</v>
      </c>
      <c r="AL582">
        <v>1</v>
      </c>
      <c r="AN582">
        <v>0</v>
      </c>
      <c r="AO582">
        <v>1</v>
      </c>
      <c r="AP582">
        <v>0</v>
      </c>
      <c r="AQ582">
        <v>0</v>
      </c>
      <c r="AR582">
        <v>0</v>
      </c>
      <c r="AS582" t="s">
        <v>3</v>
      </c>
      <c r="AT582">
        <v>1.4E-3</v>
      </c>
      <c r="AU582" t="s">
        <v>3</v>
      </c>
      <c r="AV582">
        <v>0</v>
      </c>
      <c r="AW582">
        <v>2</v>
      </c>
      <c r="AX582">
        <v>129763856</v>
      </c>
      <c r="AY582">
        <v>1</v>
      </c>
      <c r="AZ582">
        <v>0</v>
      </c>
      <c r="BA582">
        <v>573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CX582">
        <f>ROUND(Y582*Source!I555,9)</f>
        <v>1.3972E-4</v>
      </c>
      <c r="CY582">
        <f>AA582</f>
        <v>145777.99</v>
      </c>
      <c r="CZ582">
        <f>AE582</f>
        <v>7191.81</v>
      </c>
      <c r="DA582">
        <f>AI582</f>
        <v>20.27</v>
      </c>
      <c r="DB582">
        <f>ROUND(ROUND(AT582*CZ582,2),6)</f>
        <v>10.07</v>
      </c>
      <c r="DC582">
        <f>ROUND(ROUND(AT582*AG582,2),6)</f>
        <v>0</v>
      </c>
      <c r="DD582" t="s">
        <v>3</v>
      </c>
      <c r="DE582" t="s">
        <v>3</v>
      </c>
      <c r="DF582">
        <f>ROUND(ROUND(AE582*CX582,2)*AI582,2)</f>
        <v>20.27</v>
      </c>
      <c r="DG582">
        <f t="shared" ref="DG582:DG591" si="284">ROUND(AF582*CX582,2)</f>
        <v>0</v>
      </c>
      <c r="DH582">
        <f t="shared" ref="DH582:DH591" si="285">ROUND(AG582*CX582,2)</f>
        <v>0</v>
      </c>
      <c r="DI582">
        <f t="shared" si="283"/>
        <v>0</v>
      </c>
      <c r="DJ582">
        <f>DF582</f>
        <v>20.27</v>
      </c>
      <c r="DK582">
        <v>0</v>
      </c>
    </row>
    <row r="583" spans="1:115" x14ac:dyDescent="0.2">
      <c r="A583">
        <f>ROW(Source!A555)</f>
        <v>555</v>
      </c>
      <c r="B583">
        <v>129761633</v>
      </c>
      <c r="C583">
        <v>129763848</v>
      </c>
      <c r="D583">
        <v>37415953</v>
      </c>
      <c r="E583">
        <v>1</v>
      </c>
      <c r="F583">
        <v>1</v>
      </c>
      <c r="G583">
        <v>37345137</v>
      </c>
      <c r="H583">
        <v>3</v>
      </c>
      <c r="I583" t="s">
        <v>593</v>
      </c>
      <c r="J583" t="s">
        <v>595</v>
      </c>
      <c r="K583" t="s">
        <v>594</v>
      </c>
      <c r="L583">
        <v>1354</v>
      </c>
      <c r="N583">
        <v>1010</v>
      </c>
      <c r="O583" t="s">
        <v>250</v>
      </c>
      <c r="P583" t="s">
        <v>250</v>
      </c>
      <c r="Q583">
        <v>1</v>
      </c>
      <c r="W583">
        <v>0</v>
      </c>
      <c r="X583">
        <v>-1926735092</v>
      </c>
      <c r="Y583">
        <f>AT583</f>
        <v>761.52304600000002</v>
      </c>
      <c r="AA583">
        <v>134.57</v>
      </c>
      <c r="AB583">
        <v>0</v>
      </c>
      <c r="AC583">
        <v>0</v>
      </c>
      <c r="AD583">
        <v>0</v>
      </c>
      <c r="AE583">
        <v>12.2</v>
      </c>
      <c r="AF583">
        <v>0</v>
      </c>
      <c r="AG583">
        <v>0</v>
      </c>
      <c r="AH583">
        <v>0</v>
      </c>
      <c r="AI583">
        <v>11.03</v>
      </c>
      <c r="AJ583">
        <v>1</v>
      </c>
      <c r="AK583">
        <v>1</v>
      </c>
      <c r="AL583">
        <v>1</v>
      </c>
      <c r="AN583">
        <v>0</v>
      </c>
      <c r="AO583">
        <v>0</v>
      </c>
      <c r="AP583">
        <v>0</v>
      </c>
      <c r="AQ583">
        <v>0</v>
      </c>
      <c r="AR583">
        <v>0</v>
      </c>
      <c r="AS583" t="s">
        <v>3</v>
      </c>
      <c r="AT583">
        <v>761.52304600000002</v>
      </c>
      <c r="AU583" t="s">
        <v>3</v>
      </c>
      <c r="AV583">
        <v>0</v>
      </c>
      <c r="AW583">
        <v>1</v>
      </c>
      <c r="AX583">
        <v>-1</v>
      </c>
      <c r="AY583">
        <v>0</v>
      </c>
      <c r="AZ583">
        <v>0</v>
      </c>
      <c r="BA583" t="s">
        <v>3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CX583">
        <f>ROUND(Y583*Source!I555,9)</f>
        <v>75.999999990999996</v>
      </c>
      <c r="CY583">
        <f>AA583</f>
        <v>134.57</v>
      </c>
      <c r="CZ583">
        <f>AE583</f>
        <v>12.2</v>
      </c>
      <c r="DA583">
        <f>AI583</f>
        <v>11.03</v>
      </c>
      <c r="DB583">
        <f>ROUND(ROUND(AT583*CZ583,2),6)</f>
        <v>9290.58</v>
      </c>
      <c r="DC583">
        <f>ROUND(ROUND(AT583*AG583,2),6)</f>
        <v>0</v>
      </c>
      <c r="DD583" t="s">
        <v>3</v>
      </c>
      <c r="DE583" t="s">
        <v>3</v>
      </c>
      <c r="DF583">
        <f>ROUND(ROUND(AE583*CX583,2)*AI583,2)</f>
        <v>10227.02</v>
      </c>
      <c r="DG583">
        <f t="shared" si="284"/>
        <v>0</v>
      </c>
      <c r="DH583">
        <f t="shared" si="285"/>
        <v>0</v>
      </c>
      <c r="DI583">
        <f t="shared" si="283"/>
        <v>0</v>
      </c>
      <c r="DJ583">
        <f>DF583</f>
        <v>10227.02</v>
      </c>
      <c r="DK583">
        <v>0</v>
      </c>
    </row>
    <row r="584" spans="1:115" x14ac:dyDescent="0.2">
      <c r="A584">
        <f>ROW(Source!A555)</f>
        <v>555</v>
      </c>
      <c r="B584">
        <v>129761633</v>
      </c>
      <c r="C584">
        <v>129763848</v>
      </c>
      <c r="D584">
        <v>37367082</v>
      </c>
      <c r="E584">
        <v>37345137</v>
      </c>
      <c r="F584">
        <v>1</v>
      </c>
      <c r="G584">
        <v>37345137</v>
      </c>
      <c r="H584">
        <v>3</v>
      </c>
      <c r="I584" t="s">
        <v>1136</v>
      </c>
      <c r="J584" t="s">
        <v>3</v>
      </c>
      <c r="K584" t="s">
        <v>1137</v>
      </c>
      <c r="L584">
        <v>1344</v>
      </c>
      <c r="N584">
        <v>1008</v>
      </c>
      <c r="O584" t="s">
        <v>1138</v>
      </c>
      <c r="P584" t="s">
        <v>1138</v>
      </c>
      <c r="Q584">
        <v>1</v>
      </c>
      <c r="W584">
        <v>0</v>
      </c>
      <c r="X584">
        <v>-94250534</v>
      </c>
      <c r="Y584">
        <f>AT584</f>
        <v>39.479999999999997</v>
      </c>
      <c r="AA584">
        <v>8.65</v>
      </c>
      <c r="AB584">
        <v>0</v>
      </c>
      <c r="AC584">
        <v>0</v>
      </c>
      <c r="AD584">
        <v>0</v>
      </c>
      <c r="AE584">
        <v>1</v>
      </c>
      <c r="AF584">
        <v>0</v>
      </c>
      <c r="AG584">
        <v>0</v>
      </c>
      <c r="AH584">
        <v>0</v>
      </c>
      <c r="AI584">
        <v>8.65</v>
      </c>
      <c r="AJ584">
        <v>1</v>
      </c>
      <c r="AK584">
        <v>1</v>
      </c>
      <c r="AL584">
        <v>1</v>
      </c>
      <c r="AN584">
        <v>0</v>
      </c>
      <c r="AO584">
        <v>1</v>
      </c>
      <c r="AP584">
        <v>0</v>
      </c>
      <c r="AQ584">
        <v>0</v>
      </c>
      <c r="AR584">
        <v>0</v>
      </c>
      <c r="AS584" t="s">
        <v>3</v>
      </c>
      <c r="AT584">
        <v>39.479999999999997</v>
      </c>
      <c r="AU584" t="s">
        <v>3</v>
      </c>
      <c r="AV584">
        <v>0</v>
      </c>
      <c r="AW584">
        <v>2</v>
      </c>
      <c r="AX584">
        <v>129763859</v>
      </c>
      <c r="AY584">
        <v>1</v>
      </c>
      <c r="AZ584">
        <v>0</v>
      </c>
      <c r="BA584">
        <v>576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CX584">
        <f>ROUND(Y584*Source!I555,9)</f>
        <v>3.9401039999999998</v>
      </c>
      <c r="CY584">
        <f>AA584</f>
        <v>8.65</v>
      </c>
      <c r="CZ584">
        <f>AE584</f>
        <v>1</v>
      </c>
      <c r="DA584">
        <f>AI584</f>
        <v>8.65</v>
      </c>
      <c r="DB584">
        <f>ROUND(ROUND(AT584*CZ584,2),6)</f>
        <v>39.479999999999997</v>
      </c>
      <c r="DC584">
        <f>ROUND(ROUND(AT584*AG584,2),6)</f>
        <v>0</v>
      </c>
      <c r="DD584" t="s">
        <v>3</v>
      </c>
      <c r="DE584" t="s">
        <v>3</v>
      </c>
      <c r="DF584">
        <f>ROUND(ROUND(AE584*CX584,2)*AI584,2)</f>
        <v>34.08</v>
      </c>
      <c r="DG584">
        <f t="shared" si="284"/>
        <v>0</v>
      </c>
      <c r="DH584">
        <f t="shared" si="285"/>
        <v>0</v>
      </c>
      <c r="DI584">
        <f t="shared" si="283"/>
        <v>0</v>
      </c>
      <c r="DJ584">
        <f>DF584</f>
        <v>34.08</v>
      </c>
      <c r="DK584">
        <v>0</v>
      </c>
    </row>
    <row r="585" spans="1:115" x14ac:dyDescent="0.2">
      <c r="A585">
        <f>ROW(Source!A558)</f>
        <v>558</v>
      </c>
      <c r="B585">
        <v>129761636</v>
      </c>
      <c r="C585">
        <v>129763861</v>
      </c>
      <c r="D585">
        <v>37345142</v>
      </c>
      <c r="E585">
        <v>37345137</v>
      </c>
      <c r="F585">
        <v>1</v>
      </c>
      <c r="G585">
        <v>37345137</v>
      </c>
      <c r="H585">
        <v>1</v>
      </c>
      <c r="I585" t="s">
        <v>1096</v>
      </c>
      <c r="J585" t="s">
        <v>3</v>
      </c>
      <c r="K585" t="s">
        <v>1097</v>
      </c>
      <c r="L585">
        <v>1191</v>
      </c>
      <c r="N585">
        <v>1013</v>
      </c>
      <c r="O585" t="s">
        <v>1098</v>
      </c>
      <c r="P585" t="s">
        <v>1098</v>
      </c>
      <c r="Q585">
        <v>1</v>
      </c>
      <c r="W585">
        <v>0</v>
      </c>
      <c r="X585">
        <v>476480486</v>
      </c>
      <c r="Y585">
        <f>(AT585*1.15)</f>
        <v>0.89699999999999991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1</v>
      </c>
      <c r="AJ585">
        <v>1</v>
      </c>
      <c r="AK585">
        <v>1</v>
      </c>
      <c r="AL585">
        <v>1</v>
      </c>
      <c r="AN585">
        <v>0</v>
      </c>
      <c r="AO585">
        <v>1</v>
      </c>
      <c r="AP585">
        <v>1</v>
      </c>
      <c r="AQ585">
        <v>0</v>
      </c>
      <c r="AR585">
        <v>0</v>
      </c>
      <c r="AS585" t="s">
        <v>3</v>
      </c>
      <c r="AT585">
        <v>0.78</v>
      </c>
      <c r="AU585" t="s">
        <v>87</v>
      </c>
      <c r="AV585">
        <v>1</v>
      </c>
      <c r="AW585">
        <v>2</v>
      </c>
      <c r="AX585">
        <v>129763868</v>
      </c>
      <c r="AY585">
        <v>1</v>
      </c>
      <c r="AZ585">
        <v>0</v>
      </c>
      <c r="BA585">
        <v>577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CX585">
        <f>ROUND(Y585*Source!I558,9)</f>
        <v>0.417105</v>
      </c>
      <c r="CY585">
        <f>AD585</f>
        <v>0</v>
      </c>
      <c r="CZ585">
        <f>AH585</f>
        <v>0</v>
      </c>
      <c r="DA585">
        <f>AL585</f>
        <v>1</v>
      </c>
      <c r="DB585">
        <f>ROUND((ROUND(AT585*CZ585,2)*1.15),6)</f>
        <v>0</v>
      </c>
      <c r="DC585">
        <f>ROUND((ROUND(AT585*AG585,2)*1.15),6)</f>
        <v>0</v>
      </c>
      <c r="DD585" t="s">
        <v>3</v>
      </c>
      <c r="DE585" t="s">
        <v>3</v>
      </c>
      <c r="DF585">
        <f t="shared" ref="DF585:DF594" si="286">ROUND(AE585*CX585,2)</f>
        <v>0</v>
      </c>
      <c r="DG585">
        <f t="shared" si="284"/>
        <v>0</v>
      </c>
      <c r="DH585">
        <f t="shared" si="285"/>
        <v>0</v>
      </c>
      <c r="DI585">
        <f t="shared" si="283"/>
        <v>0</v>
      </c>
      <c r="DJ585">
        <f>DI585</f>
        <v>0</v>
      </c>
      <c r="DK585">
        <v>0</v>
      </c>
    </row>
    <row r="586" spans="1:115" x14ac:dyDescent="0.2">
      <c r="A586">
        <f>ROW(Source!A558)</f>
        <v>558</v>
      </c>
      <c r="B586">
        <v>129761636</v>
      </c>
      <c r="C586">
        <v>129763861</v>
      </c>
      <c r="D586">
        <v>37418063</v>
      </c>
      <c r="E586">
        <v>1</v>
      </c>
      <c r="F586">
        <v>1</v>
      </c>
      <c r="G586">
        <v>37345137</v>
      </c>
      <c r="H586">
        <v>2</v>
      </c>
      <c r="I586" t="s">
        <v>1153</v>
      </c>
      <c r="J586" t="s">
        <v>1154</v>
      </c>
      <c r="K586" t="s">
        <v>1155</v>
      </c>
      <c r="L586">
        <v>1367</v>
      </c>
      <c r="N586">
        <v>1011</v>
      </c>
      <c r="O586" t="s">
        <v>1102</v>
      </c>
      <c r="P586" t="s">
        <v>1102</v>
      </c>
      <c r="Q586">
        <v>1</v>
      </c>
      <c r="W586">
        <v>0</v>
      </c>
      <c r="X586">
        <v>-668768829</v>
      </c>
      <c r="Y586">
        <f>(AT586*1.25)</f>
        <v>0.22499999999999998</v>
      </c>
      <c r="AA586">
        <v>0</v>
      </c>
      <c r="AB586">
        <v>41.62</v>
      </c>
      <c r="AC586">
        <v>13.33</v>
      </c>
      <c r="AD586">
        <v>0</v>
      </c>
      <c r="AE586">
        <v>0</v>
      </c>
      <c r="AF586">
        <v>41.62</v>
      </c>
      <c r="AG586">
        <v>13.33</v>
      </c>
      <c r="AH586">
        <v>0</v>
      </c>
      <c r="AI586">
        <v>1</v>
      </c>
      <c r="AJ586">
        <v>1</v>
      </c>
      <c r="AK586">
        <v>1</v>
      </c>
      <c r="AL586">
        <v>1</v>
      </c>
      <c r="AN586">
        <v>0</v>
      </c>
      <c r="AO586">
        <v>1</v>
      </c>
      <c r="AP586">
        <v>1</v>
      </c>
      <c r="AQ586">
        <v>0</v>
      </c>
      <c r="AR586">
        <v>0</v>
      </c>
      <c r="AS586" t="s">
        <v>3</v>
      </c>
      <c r="AT586">
        <v>0.18</v>
      </c>
      <c r="AU586" t="s">
        <v>86</v>
      </c>
      <c r="AV586">
        <v>0</v>
      </c>
      <c r="AW586">
        <v>2</v>
      </c>
      <c r="AX586">
        <v>129763869</v>
      </c>
      <c r="AY586">
        <v>1</v>
      </c>
      <c r="AZ586">
        <v>0</v>
      </c>
      <c r="BA586">
        <v>578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CX586">
        <f>ROUND(Y586*Source!I558,9)</f>
        <v>0.104625</v>
      </c>
      <c r="CY586">
        <f>AB586</f>
        <v>41.62</v>
      </c>
      <c r="CZ586">
        <f>AF586</f>
        <v>41.62</v>
      </c>
      <c r="DA586">
        <f>AJ586</f>
        <v>1</v>
      </c>
      <c r="DB586">
        <f>ROUND((ROUND(AT586*CZ586,2)*1.25),6)</f>
        <v>9.3625000000000007</v>
      </c>
      <c r="DC586">
        <f>ROUND((ROUND(AT586*AG586,2)*1.25),6)</f>
        <v>3</v>
      </c>
      <c r="DD586" t="s">
        <v>3</v>
      </c>
      <c r="DE586" t="s">
        <v>3</v>
      </c>
      <c r="DF586">
        <f t="shared" si="286"/>
        <v>0</v>
      </c>
      <c r="DG586">
        <f t="shared" si="284"/>
        <v>4.3499999999999996</v>
      </c>
      <c r="DH586">
        <f t="shared" si="285"/>
        <v>1.39</v>
      </c>
      <c r="DI586">
        <f t="shared" si="283"/>
        <v>0</v>
      </c>
      <c r="DJ586">
        <f>DG586</f>
        <v>4.3499999999999996</v>
      </c>
      <c r="DK586">
        <v>0</v>
      </c>
    </row>
    <row r="587" spans="1:115" x14ac:dyDescent="0.2">
      <c r="A587">
        <f>ROW(Source!A558)</f>
        <v>558</v>
      </c>
      <c r="B587">
        <v>129761636</v>
      </c>
      <c r="C587">
        <v>129763861</v>
      </c>
      <c r="D587">
        <v>37418474</v>
      </c>
      <c r="E587">
        <v>1</v>
      </c>
      <c r="F587">
        <v>1</v>
      </c>
      <c r="G587">
        <v>37345137</v>
      </c>
      <c r="H587">
        <v>2</v>
      </c>
      <c r="I587" t="s">
        <v>1300</v>
      </c>
      <c r="J587" t="s">
        <v>1301</v>
      </c>
      <c r="K587" t="s">
        <v>1302</v>
      </c>
      <c r="L587">
        <v>1367</v>
      </c>
      <c r="N587">
        <v>1011</v>
      </c>
      <c r="O587" t="s">
        <v>1102</v>
      </c>
      <c r="P587" t="s">
        <v>1102</v>
      </c>
      <c r="Q587">
        <v>1</v>
      </c>
      <c r="W587">
        <v>0</v>
      </c>
      <c r="X587">
        <v>1280158331</v>
      </c>
      <c r="Y587">
        <f>(AT587*1.25)</f>
        <v>0.44999999999999996</v>
      </c>
      <c r="AA587">
        <v>0</v>
      </c>
      <c r="AB587">
        <v>0.56000000000000005</v>
      </c>
      <c r="AC587">
        <v>0.09</v>
      </c>
      <c r="AD587">
        <v>0</v>
      </c>
      <c r="AE587">
        <v>0</v>
      </c>
      <c r="AF587">
        <v>0.56000000000000005</v>
      </c>
      <c r="AG587">
        <v>0.09</v>
      </c>
      <c r="AH587">
        <v>0</v>
      </c>
      <c r="AI587">
        <v>1</v>
      </c>
      <c r="AJ587">
        <v>1</v>
      </c>
      <c r="AK587">
        <v>1</v>
      </c>
      <c r="AL587">
        <v>1</v>
      </c>
      <c r="AN587">
        <v>0</v>
      </c>
      <c r="AO587">
        <v>1</v>
      </c>
      <c r="AP587">
        <v>1</v>
      </c>
      <c r="AQ587">
        <v>0</v>
      </c>
      <c r="AR587">
        <v>0</v>
      </c>
      <c r="AS587" t="s">
        <v>3</v>
      </c>
      <c r="AT587">
        <v>0.36</v>
      </c>
      <c r="AU587" t="s">
        <v>86</v>
      </c>
      <c r="AV587">
        <v>0</v>
      </c>
      <c r="AW587">
        <v>2</v>
      </c>
      <c r="AX587">
        <v>129763870</v>
      </c>
      <c r="AY587">
        <v>1</v>
      </c>
      <c r="AZ587">
        <v>0</v>
      </c>
      <c r="BA587">
        <v>579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CX587">
        <f>ROUND(Y587*Source!I558,9)</f>
        <v>0.20924999999999999</v>
      </c>
      <c r="CY587">
        <f>AB587</f>
        <v>0.56000000000000005</v>
      </c>
      <c r="CZ587">
        <f>AF587</f>
        <v>0.56000000000000005</v>
      </c>
      <c r="DA587">
        <f>AJ587</f>
        <v>1</v>
      </c>
      <c r="DB587">
        <f>ROUND((ROUND(AT587*CZ587,2)*1.25),6)</f>
        <v>0.25</v>
      </c>
      <c r="DC587">
        <f>ROUND((ROUND(AT587*AG587,2)*1.25),6)</f>
        <v>3.7499999999999999E-2</v>
      </c>
      <c r="DD587" t="s">
        <v>3</v>
      </c>
      <c r="DE587" t="s">
        <v>3</v>
      </c>
      <c r="DF587">
        <f t="shared" si="286"/>
        <v>0</v>
      </c>
      <c r="DG587">
        <f t="shared" si="284"/>
        <v>0.12</v>
      </c>
      <c r="DH587">
        <f t="shared" si="285"/>
        <v>0.02</v>
      </c>
      <c r="DI587">
        <f t="shared" si="283"/>
        <v>0</v>
      </c>
      <c r="DJ587">
        <f>DG587</f>
        <v>0.12</v>
      </c>
      <c r="DK587">
        <v>0</v>
      </c>
    </row>
    <row r="588" spans="1:115" x14ac:dyDescent="0.2">
      <c r="A588">
        <f>ROW(Source!A558)</f>
        <v>558</v>
      </c>
      <c r="B588">
        <v>129761636</v>
      </c>
      <c r="C588">
        <v>129763861</v>
      </c>
      <c r="D588">
        <v>37417781</v>
      </c>
      <c r="E588">
        <v>1</v>
      </c>
      <c r="F588">
        <v>1</v>
      </c>
      <c r="G588">
        <v>37345137</v>
      </c>
      <c r="H588">
        <v>2</v>
      </c>
      <c r="I588" t="s">
        <v>1303</v>
      </c>
      <c r="J588" t="s">
        <v>1304</v>
      </c>
      <c r="K588" t="s">
        <v>1305</v>
      </c>
      <c r="L588">
        <v>1367</v>
      </c>
      <c r="N588">
        <v>1011</v>
      </c>
      <c r="O588" t="s">
        <v>1102</v>
      </c>
      <c r="P588" t="s">
        <v>1102</v>
      </c>
      <c r="Q588">
        <v>1</v>
      </c>
      <c r="W588">
        <v>0</v>
      </c>
      <c r="X588">
        <v>1022351366</v>
      </c>
      <c r="Y588">
        <f>(AT588*1.25)</f>
        <v>8.7500000000000008E-2</v>
      </c>
      <c r="AA588">
        <v>0</v>
      </c>
      <c r="AB588">
        <v>106.74</v>
      </c>
      <c r="AC588">
        <v>19.2</v>
      </c>
      <c r="AD588">
        <v>0</v>
      </c>
      <c r="AE588">
        <v>0</v>
      </c>
      <c r="AF588">
        <v>106.74</v>
      </c>
      <c r="AG588">
        <v>19.2</v>
      </c>
      <c r="AH588">
        <v>0</v>
      </c>
      <c r="AI588">
        <v>1</v>
      </c>
      <c r="AJ588">
        <v>1</v>
      </c>
      <c r="AK588">
        <v>1</v>
      </c>
      <c r="AL588">
        <v>1</v>
      </c>
      <c r="AN588">
        <v>0</v>
      </c>
      <c r="AO588">
        <v>1</v>
      </c>
      <c r="AP588">
        <v>1</v>
      </c>
      <c r="AQ588">
        <v>0</v>
      </c>
      <c r="AR588">
        <v>0</v>
      </c>
      <c r="AS588" t="s">
        <v>3</v>
      </c>
      <c r="AT588">
        <v>7.0000000000000007E-2</v>
      </c>
      <c r="AU588" t="s">
        <v>86</v>
      </c>
      <c r="AV588">
        <v>0</v>
      </c>
      <c r="AW588">
        <v>2</v>
      </c>
      <c r="AX588">
        <v>129763871</v>
      </c>
      <c r="AY588">
        <v>1</v>
      </c>
      <c r="AZ588">
        <v>0</v>
      </c>
      <c r="BA588">
        <v>580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CX588">
        <f>ROUND(Y588*Source!I558,9)</f>
        <v>4.0687500000000001E-2</v>
      </c>
      <c r="CY588">
        <f>AB588</f>
        <v>106.74</v>
      </c>
      <c r="CZ588">
        <f>AF588</f>
        <v>106.74</v>
      </c>
      <c r="DA588">
        <f>AJ588</f>
        <v>1</v>
      </c>
      <c r="DB588">
        <f>ROUND((ROUND(AT588*CZ588,2)*1.25),6)</f>
        <v>9.3375000000000004</v>
      </c>
      <c r="DC588">
        <f>ROUND((ROUND(AT588*AG588,2)*1.25),6)</f>
        <v>1.675</v>
      </c>
      <c r="DD588" t="s">
        <v>3</v>
      </c>
      <c r="DE588" t="s">
        <v>3</v>
      </c>
      <c r="DF588">
        <f t="shared" si="286"/>
        <v>0</v>
      </c>
      <c r="DG588">
        <f t="shared" si="284"/>
        <v>4.34</v>
      </c>
      <c r="DH588">
        <f t="shared" si="285"/>
        <v>0.78</v>
      </c>
      <c r="DI588">
        <f t="shared" si="283"/>
        <v>0</v>
      </c>
      <c r="DJ588">
        <f>DG588</f>
        <v>4.34</v>
      </c>
      <c r="DK588">
        <v>0</v>
      </c>
    </row>
    <row r="589" spans="1:115" x14ac:dyDescent="0.2">
      <c r="A589">
        <f>ROW(Source!A558)</f>
        <v>558</v>
      </c>
      <c r="B589">
        <v>129761636</v>
      </c>
      <c r="C589">
        <v>129763861</v>
      </c>
      <c r="D589">
        <v>37393552</v>
      </c>
      <c r="E589">
        <v>1</v>
      </c>
      <c r="F589">
        <v>1</v>
      </c>
      <c r="G589">
        <v>37345137</v>
      </c>
      <c r="H589">
        <v>3</v>
      </c>
      <c r="I589" t="s">
        <v>348</v>
      </c>
      <c r="J589" t="s">
        <v>350</v>
      </c>
      <c r="K589" t="s">
        <v>349</v>
      </c>
      <c r="L589">
        <v>1339</v>
      </c>
      <c r="N589">
        <v>1007</v>
      </c>
      <c r="O589" t="s">
        <v>94</v>
      </c>
      <c r="P589" t="s">
        <v>94</v>
      </c>
      <c r="Q589">
        <v>1</v>
      </c>
      <c r="W589">
        <v>0</v>
      </c>
      <c r="X589">
        <v>-862991314</v>
      </c>
      <c r="Y589">
        <f>AT589</f>
        <v>0.15</v>
      </c>
      <c r="AA589">
        <v>7.07</v>
      </c>
      <c r="AB589">
        <v>0</v>
      </c>
      <c r="AC589">
        <v>0</v>
      </c>
      <c r="AD589">
        <v>0</v>
      </c>
      <c r="AE589">
        <v>7.07</v>
      </c>
      <c r="AF589">
        <v>0</v>
      </c>
      <c r="AG589">
        <v>0</v>
      </c>
      <c r="AH589">
        <v>0</v>
      </c>
      <c r="AI589">
        <v>1</v>
      </c>
      <c r="AJ589">
        <v>1</v>
      </c>
      <c r="AK589">
        <v>1</v>
      </c>
      <c r="AL589">
        <v>1</v>
      </c>
      <c r="AN589">
        <v>0</v>
      </c>
      <c r="AO589">
        <v>1</v>
      </c>
      <c r="AP589">
        <v>0</v>
      </c>
      <c r="AQ589">
        <v>0</v>
      </c>
      <c r="AR589">
        <v>0</v>
      </c>
      <c r="AS589" t="s">
        <v>3</v>
      </c>
      <c r="AT589">
        <v>0.15</v>
      </c>
      <c r="AU589" t="s">
        <v>3</v>
      </c>
      <c r="AV589">
        <v>0</v>
      </c>
      <c r="AW589">
        <v>2</v>
      </c>
      <c r="AX589">
        <v>129763872</v>
      </c>
      <c r="AY589">
        <v>1</v>
      </c>
      <c r="AZ589">
        <v>0</v>
      </c>
      <c r="BA589">
        <v>581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CX589">
        <f>ROUND(Y589*Source!I558,9)</f>
        <v>6.9750000000000006E-2</v>
      </c>
      <c r="CY589">
        <f>AA589</f>
        <v>7.07</v>
      </c>
      <c r="CZ589">
        <f>AE589</f>
        <v>7.07</v>
      </c>
      <c r="DA589">
        <f>AI589</f>
        <v>1</v>
      </c>
      <c r="DB589">
        <f>ROUND(ROUND(AT589*CZ589,2),6)</f>
        <v>1.06</v>
      </c>
      <c r="DC589">
        <f>ROUND(ROUND(AT589*AG589,2),6)</f>
        <v>0</v>
      </c>
      <c r="DD589" t="s">
        <v>3</v>
      </c>
      <c r="DE589" t="s">
        <v>3</v>
      </c>
      <c r="DF589">
        <f t="shared" si="286"/>
        <v>0.49</v>
      </c>
      <c r="DG589">
        <f t="shared" si="284"/>
        <v>0</v>
      </c>
      <c r="DH589">
        <f t="shared" si="285"/>
        <v>0</v>
      </c>
      <c r="DI589">
        <f t="shared" si="283"/>
        <v>0</v>
      </c>
      <c r="DJ589">
        <f>DF589</f>
        <v>0.49</v>
      </c>
      <c r="DK589">
        <v>0</v>
      </c>
    </row>
    <row r="590" spans="1:115" x14ac:dyDescent="0.2">
      <c r="A590">
        <f>ROW(Source!A558)</f>
        <v>558</v>
      </c>
      <c r="B590">
        <v>129761636</v>
      </c>
      <c r="C590">
        <v>129763861</v>
      </c>
      <c r="D590">
        <v>37394111</v>
      </c>
      <c r="E590">
        <v>1</v>
      </c>
      <c r="F590">
        <v>1</v>
      </c>
      <c r="G590">
        <v>37345137</v>
      </c>
      <c r="H590">
        <v>3</v>
      </c>
      <c r="I590" t="s">
        <v>92</v>
      </c>
      <c r="J590" t="s">
        <v>95</v>
      </c>
      <c r="K590" t="s">
        <v>93</v>
      </c>
      <c r="L590">
        <v>1339</v>
      </c>
      <c r="N590">
        <v>1007</v>
      </c>
      <c r="O590" t="s">
        <v>94</v>
      </c>
      <c r="P590" t="s">
        <v>94</v>
      </c>
      <c r="Q590">
        <v>1</v>
      </c>
      <c r="W590">
        <v>0</v>
      </c>
      <c r="X590">
        <v>2069056849</v>
      </c>
      <c r="Y590">
        <f>AT590</f>
        <v>1.1000000000000001</v>
      </c>
      <c r="AA590">
        <v>104.99</v>
      </c>
      <c r="AB590">
        <v>0</v>
      </c>
      <c r="AC590">
        <v>0</v>
      </c>
      <c r="AD590">
        <v>0</v>
      </c>
      <c r="AE590">
        <v>104.99</v>
      </c>
      <c r="AF590">
        <v>0</v>
      </c>
      <c r="AG590">
        <v>0</v>
      </c>
      <c r="AH590">
        <v>0</v>
      </c>
      <c r="AI590">
        <v>1</v>
      </c>
      <c r="AJ590">
        <v>1</v>
      </c>
      <c r="AK590">
        <v>1</v>
      </c>
      <c r="AL590">
        <v>1</v>
      </c>
      <c r="AN590">
        <v>0</v>
      </c>
      <c r="AO590">
        <v>0</v>
      </c>
      <c r="AP590">
        <v>0</v>
      </c>
      <c r="AQ590">
        <v>0</v>
      </c>
      <c r="AR590">
        <v>0</v>
      </c>
      <c r="AS590" t="s">
        <v>3</v>
      </c>
      <c r="AT590">
        <v>1.1000000000000001</v>
      </c>
      <c r="AU590" t="s">
        <v>3</v>
      </c>
      <c r="AV590">
        <v>0</v>
      </c>
      <c r="AW590">
        <v>1</v>
      </c>
      <c r="AX590">
        <v>-1</v>
      </c>
      <c r="AY590">
        <v>0</v>
      </c>
      <c r="AZ590">
        <v>0</v>
      </c>
      <c r="BA590" t="s">
        <v>3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CX590">
        <f>ROUND(Y590*Source!I558,9)</f>
        <v>0.51149999999999995</v>
      </c>
      <c r="CY590">
        <f>AA590</f>
        <v>104.99</v>
      </c>
      <c r="CZ590">
        <f>AE590</f>
        <v>104.99</v>
      </c>
      <c r="DA590">
        <f>AI590</f>
        <v>1</v>
      </c>
      <c r="DB590">
        <f>ROUND(ROUND(AT590*CZ590,2),6)</f>
        <v>115.49</v>
      </c>
      <c r="DC590">
        <f>ROUND(ROUND(AT590*AG590,2),6)</f>
        <v>0</v>
      </c>
      <c r="DD590" t="s">
        <v>3</v>
      </c>
      <c r="DE590" t="s">
        <v>3</v>
      </c>
      <c r="DF590">
        <f t="shared" si="286"/>
        <v>53.7</v>
      </c>
      <c r="DG590">
        <f t="shared" si="284"/>
        <v>0</v>
      </c>
      <c r="DH590">
        <f t="shared" si="285"/>
        <v>0</v>
      </c>
      <c r="DI590">
        <f t="shared" si="283"/>
        <v>0</v>
      </c>
      <c r="DJ590">
        <f>DF590</f>
        <v>53.7</v>
      </c>
      <c r="DK590">
        <v>0</v>
      </c>
    </row>
    <row r="591" spans="1:115" x14ac:dyDescent="0.2">
      <c r="A591">
        <f>ROW(Source!A559)</f>
        <v>559</v>
      </c>
      <c r="B591">
        <v>129761633</v>
      </c>
      <c r="C591">
        <v>129763861</v>
      </c>
      <c r="D591">
        <v>37345142</v>
      </c>
      <c r="E591">
        <v>37345137</v>
      </c>
      <c r="F591">
        <v>1</v>
      </c>
      <c r="G591">
        <v>37345137</v>
      </c>
      <c r="H591">
        <v>1</v>
      </c>
      <c r="I591" t="s">
        <v>1096</v>
      </c>
      <c r="J591" t="s">
        <v>3</v>
      </c>
      <c r="K591" t="s">
        <v>1097</v>
      </c>
      <c r="L591">
        <v>1191</v>
      </c>
      <c r="N591">
        <v>1013</v>
      </c>
      <c r="O591" t="s">
        <v>1098</v>
      </c>
      <c r="P591" t="s">
        <v>1098</v>
      </c>
      <c r="Q591">
        <v>1</v>
      </c>
      <c r="W591">
        <v>0</v>
      </c>
      <c r="X591">
        <v>476480486</v>
      </c>
      <c r="Y591">
        <f>(AT591*1.15)</f>
        <v>0.89699999999999991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1</v>
      </c>
      <c r="AJ591">
        <v>1</v>
      </c>
      <c r="AK591">
        <v>1</v>
      </c>
      <c r="AL591">
        <v>1</v>
      </c>
      <c r="AN591">
        <v>0</v>
      </c>
      <c r="AO591">
        <v>1</v>
      </c>
      <c r="AP591">
        <v>1</v>
      </c>
      <c r="AQ591">
        <v>0</v>
      </c>
      <c r="AR591">
        <v>0</v>
      </c>
      <c r="AS591" t="s">
        <v>3</v>
      </c>
      <c r="AT591">
        <v>0.78</v>
      </c>
      <c r="AU591" t="s">
        <v>87</v>
      </c>
      <c r="AV591">
        <v>1</v>
      </c>
      <c r="AW591">
        <v>2</v>
      </c>
      <c r="AX591">
        <v>129763868</v>
      </c>
      <c r="AY591">
        <v>1</v>
      </c>
      <c r="AZ591">
        <v>0</v>
      </c>
      <c r="BA591">
        <v>583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CX591">
        <f>ROUND(Y591*Source!I559,9)</f>
        <v>0.417105</v>
      </c>
      <c r="CY591">
        <f>AD591</f>
        <v>0</v>
      </c>
      <c r="CZ591">
        <f>AH591</f>
        <v>0</v>
      </c>
      <c r="DA591">
        <f>AL591</f>
        <v>1</v>
      </c>
      <c r="DB591">
        <f>ROUND((ROUND(AT591*CZ591,2)*1.15),6)</f>
        <v>0</v>
      </c>
      <c r="DC591">
        <f>ROUND((ROUND(AT591*AG591,2)*1.15),6)</f>
        <v>0</v>
      </c>
      <c r="DD591" t="s">
        <v>3</v>
      </c>
      <c r="DE591" t="s">
        <v>3</v>
      </c>
      <c r="DF591">
        <f t="shared" si="286"/>
        <v>0</v>
      </c>
      <c r="DG591">
        <f t="shared" si="284"/>
        <v>0</v>
      </c>
      <c r="DH591">
        <f t="shared" si="285"/>
        <v>0</v>
      </c>
      <c r="DI591">
        <f t="shared" si="283"/>
        <v>0</v>
      </c>
      <c r="DJ591">
        <f>DI591</f>
        <v>0</v>
      </c>
      <c r="DK591">
        <v>0</v>
      </c>
    </row>
    <row r="592" spans="1:115" x14ac:dyDescent="0.2">
      <c r="A592">
        <f>ROW(Source!A559)</f>
        <v>559</v>
      </c>
      <c r="B592">
        <v>129761633</v>
      </c>
      <c r="C592">
        <v>129763861</v>
      </c>
      <c r="D592">
        <v>37418063</v>
      </c>
      <c r="E592">
        <v>1</v>
      </c>
      <c r="F592">
        <v>1</v>
      </c>
      <c r="G592">
        <v>37345137</v>
      </c>
      <c r="H592">
        <v>2</v>
      </c>
      <c r="I592" t="s">
        <v>1153</v>
      </c>
      <c r="J592" t="s">
        <v>1154</v>
      </c>
      <c r="K592" t="s">
        <v>1155</v>
      </c>
      <c r="L592">
        <v>1367</v>
      </c>
      <c r="N592">
        <v>1011</v>
      </c>
      <c r="O592" t="s">
        <v>1102</v>
      </c>
      <c r="P592" t="s">
        <v>1102</v>
      </c>
      <c r="Q592">
        <v>1</v>
      </c>
      <c r="W592">
        <v>0</v>
      </c>
      <c r="X592">
        <v>-668768829</v>
      </c>
      <c r="Y592">
        <f>(AT592*1.25)</f>
        <v>0.22499999999999998</v>
      </c>
      <c r="AA592">
        <v>0</v>
      </c>
      <c r="AB592">
        <v>721.62</v>
      </c>
      <c r="AC592">
        <v>405.16</v>
      </c>
      <c r="AD592">
        <v>0</v>
      </c>
      <c r="AE592">
        <v>0</v>
      </c>
      <c r="AF592">
        <v>41.62</v>
      </c>
      <c r="AG592">
        <v>13.33</v>
      </c>
      <c r="AH592">
        <v>0</v>
      </c>
      <c r="AI592">
        <v>1</v>
      </c>
      <c r="AJ592">
        <v>16.559999999999999</v>
      </c>
      <c r="AK592">
        <v>29.03</v>
      </c>
      <c r="AL592">
        <v>1</v>
      </c>
      <c r="AN592">
        <v>0</v>
      </c>
      <c r="AO592">
        <v>1</v>
      </c>
      <c r="AP592">
        <v>1</v>
      </c>
      <c r="AQ592">
        <v>0</v>
      </c>
      <c r="AR592">
        <v>0</v>
      </c>
      <c r="AS592" t="s">
        <v>3</v>
      </c>
      <c r="AT592">
        <v>0.18</v>
      </c>
      <c r="AU592" t="s">
        <v>86</v>
      </c>
      <c r="AV592">
        <v>0</v>
      </c>
      <c r="AW592">
        <v>2</v>
      </c>
      <c r="AX592">
        <v>129763869</v>
      </c>
      <c r="AY592">
        <v>1</v>
      </c>
      <c r="AZ592">
        <v>0</v>
      </c>
      <c r="BA592">
        <v>584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CX592">
        <f>ROUND(Y592*Source!I559,9)</f>
        <v>0.104625</v>
      </c>
      <c r="CY592">
        <f>AB592</f>
        <v>721.62</v>
      </c>
      <c r="CZ592">
        <f>AF592</f>
        <v>41.62</v>
      </c>
      <c r="DA592">
        <f>AJ592</f>
        <v>16.559999999999999</v>
      </c>
      <c r="DB592">
        <f>ROUND((ROUND(AT592*CZ592,2)*1.25),6)</f>
        <v>9.3625000000000007</v>
      </c>
      <c r="DC592">
        <f>ROUND((ROUND(AT592*AG592,2)*1.25),6)</f>
        <v>3</v>
      </c>
      <c r="DD592" t="s">
        <v>3</v>
      </c>
      <c r="DE592" t="s">
        <v>3</v>
      </c>
      <c r="DF592">
        <f t="shared" si="286"/>
        <v>0</v>
      </c>
      <c r="DG592">
        <f>ROUND(ROUND(AF592*CX592,2)*AJ592,2)</f>
        <v>72.040000000000006</v>
      </c>
      <c r="DH592">
        <f>ROUND(ROUND(AG592*CX592,2)*AK592,2)</f>
        <v>40.35</v>
      </c>
      <c r="DI592">
        <f t="shared" si="283"/>
        <v>0</v>
      </c>
      <c r="DJ592">
        <f>DG592</f>
        <v>72.040000000000006</v>
      </c>
      <c r="DK592">
        <v>0</v>
      </c>
    </row>
    <row r="593" spans="1:115" x14ac:dyDescent="0.2">
      <c r="A593">
        <f>ROW(Source!A559)</f>
        <v>559</v>
      </c>
      <c r="B593">
        <v>129761633</v>
      </c>
      <c r="C593">
        <v>129763861</v>
      </c>
      <c r="D593">
        <v>37418474</v>
      </c>
      <c r="E593">
        <v>1</v>
      </c>
      <c r="F593">
        <v>1</v>
      </c>
      <c r="G593">
        <v>37345137</v>
      </c>
      <c r="H593">
        <v>2</v>
      </c>
      <c r="I593" t="s">
        <v>1300</v>
      </c>
      <c r="J593" t="s">
        <v>1301</v>
      </c>
      <c r="K593" t="s">
        <v>1302</v>
      </c>
      <c r="L593">
        <v>1367</v>
      </c>
      <c r="N593">
        <v>1011</v>
      </c>
      <c r="O593" t="s">
        <v>1102</v>
      </c>
      <c r="P593" t="s">
        <v>1102</v>
      </c>
      <c r="Q593">
        <v>1</v>
      </c>
      <c r="W593">
        <v>0</v>
      </c>
      <c r="X593">
        <v>1280158331</v>
      </c>
      <c r="Y593">
        <f>(AT593*1.25)</f>
        <v>0.44999999999999996</v>
      </c>
      <c r="AA593">
        <v>0</v>
      </c>
      <c r="AB593">
        <v>4.51</v>
      </c>
      <c r="AC593">
        <v>2.74</v>
      </c>
      <c r="AD593">
        <v>0</v>
      </c>
      <c r="AE593">
        <v>0</v>
      </c>
      <c r="AF593">
        <v>0.56000000000000005</v>
      </c>
      <c r="AG593">
        <v>0.09</v>
      </c>
      <c r="AH593">
        <v>0</v>
      </c>
      <c r="AI593">
        <v>1</v>
      </c>
      <c r="AJ593">
        <v>7.7</v>
      </c>
      <c r="AK593">
        <v>29.03</v>
      </c>
      <c r="AL593">
        <v>1</v>
      </c>
      <c r="AN593">
        <v>0</v>
      </c>
      <c r="AO593">
        <v>1</v>
      </c>
      <c r="AP593">
        <v>1</v>
      </c>
      <c r="AQ593">
        <v>0</v>
      </c>
      <c r="AR593">
        <v>0</v>
      </c>
      <c r="AS593" t="s">
        <v>3</v>
      </c>
      <c r="AT593">
        <v>0.36</v>
      </c>
      <c r="AU593" t="s">
        <v>86</v>
      </c>
      <c r="AV593">
        <v>0</v>
      </c>
      <c r="AW593">
        <v>2</v>
      </c>
      <c r="AX593">
        <v>129763870</v>
      </c>
      <c r="AY593">
        <v>1</v>
      </c>
      <c r="AZ593">
        <v>0</v>
      </c>
      <c r="BA593">
        <v>585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CX593">
        <f>ROUND(Y593*Source!I559,9)</f>
        <v>0.20924999999999999</v>
      </c>
      <c r="CY593">
        <f>AB593</f>
        <v>4.51</v>
      </c>
      <c r="CZ593">
        <f>AF593</f>
        <v>0.56000000000000005</v>
      </c>
      <c r="DA593">
        <f>AJ593</f>
        <v>7.7</v>
      </c>
      <c r="DB593">
        <f>ROUND((ROUND(AT593*CZ593,2)*1.25),6)</f>
        <v>0.25</v>
      </c>
      <c r="DC593">
        <f>ROUND((ROUND(AT593*AG593,2)*1.25),6)</f>
        <v>3.7499999999999999E-2</v>
      </c>
      <c r="DD593" t="s">
        <v>3</v>
      </c>
      <c r="DE593" t="s">
        <v>3</v>
      </c>
      <c r="DF593">
        <f t="shared" si="286"/>
        <v>0</v>
      </c>
      <c r="DG593">
        <f>ROUND(ROUND(AF593*CX593,2)*AJ593,2)</f>
        <v>0.92</v>
      </c>
      <c r="DH593">
        <f>ROUND(ROUND(AG593*CX593,2)*AK593,2)</f>
        <v>0.57999999999999996</v>
      </c>
      <c r="DI593">
        <f t="shared" si="283"/>
        <v>0</v>
      </c>
      <c r="DJ593">
        <f>DG593</f>
        <v>0.92</v>
      </c>
      <c r="DK593">
        <v>0</v>
      </c>
    </row>
    <row r="594" spans="1:115" x14ac:dyDescent="0.2">
      <c r="A594">
        <f>ROW(Source!A559)</f>
        <v>559</v>
      </c>
      <c r="B594">
        <v>129761633</v>
      </c>
      <c r="C594">
        <v>129763861</v>
      </c>
      <c r="D594">
        <v>37417781</v>
      </c>
      <c r="E594">
        <v>1</v>
      </c>
      <c r="F594">
        <v>1</v>
      </c>
      <c r="G594">
        <v>37345137</v>
      </c>
      <c r="H594">
        <v>2</v>
      </c>
      <c r="I594" t="s">
        <v>1303</v>
      </c>
      <c r="J594" t="s">
        <v>1304</v>
      </c>
      <c r="K594" t="s">
        <v>1305</v>
      </c>
      <c r="L594">
        <v>1367</v>
      </c>
      <c r="N594">
        <v>1011</v>
      </c>
      <c r="O594" t="s">
        <v>1102</v>
      </c>
      <c r="P594" t="s">
        <v>1102</v>
      </c>
      <c r="Q594">
        <v>1</v>
      </c>
      <c r="W594">
        <v>0</v>
      </c>
      <c r="X594">
        <v>1022351366</v>
      </c>
      <c r="Y594">
        <f>(AT594*1.25)</f>
        <v>8.7500000000000008E-2</v>
      </c>
      <c r="AA594">
        <v>0</v>
      </c>
      <c r="AB594">
        <v>1242.74</v>
      </c>
      <c r="AC594">
        <v>583.57000000000005</v>
      </c>
      <c r="AD594">
        <v>0</v>
      </c>
      <c r="AE594">
        <v>0</v>
      </c>
      <c r="AF594">
        <v>106.74</v>
      </c>
      <c r="AG594">
        <v>19.2</v>
      </c>
      <c r="AH594">
        <v>0</v>
      </c>
      <c r="AI594">
        <v>1</v>
      </c>
      <c r="AJ594">
        <v>11.12</v>
      </c>
      <c r="AK594">
        <v>29.03</v>
      </c>
      <c r="AL594">
        <v>1</v>
      </c>
      <c r="AN594">
        <v>0</v>
      </c>
      <c r="AO594">
        <v>1</v>
      </c>
      <c r="AP594">
        <v>1</v>
      </c>
      <c r="AQ594">
        <v>0</v>
      </c>
      <c r="AR594">
        <v>0</v>
      </c>
      <c r="AS594" t="s">
        <v>3</v>
      </c>
      <c r="AT594">
        <v>7.0000000000000007E-2</v>
      </c>
      <c r="AU594" t="s">
        <v>86</v>
      </c>
      <c r="AV594">
        <v>0</v>
      </c>
      <c r="AW594">
        <v>2</v>
      </c>
      <c r="AX594">
        <v>129763871</v>
      </c>
      <c r="AY594">
        <v>1</v>
      </c>
      <c r="AZ594">
        <v>0</v>
      </c>
      <c r="BA594">
        <v>586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CX594">
        <f>ROUND(Y594*Source!I559,9)</f>
        <v>4.0687500000000001E-2</v>
      </c>
      <c r="CY594">
        <f>AB594</f>
        <v>1242.74</v>
      </c>
      <c r="CZ594">
        <f>AF594</f>
        <v>106.74</v>
      </c>
      <c r="DA594">
        <f>AJ594</f>
        <v>11.12</v>
      </c>
      <c r="DB594">
        <f>ROUND((ROUND(AT594*CZ594,2)*1.25),6)</f>
        <v>9.3375000000000004</v>
      </c>
      <c r="DC594">
        <f>ROUND((ROUND(AT594*AG594,2)*1.25),6)</f>
        <v>1.675</v>
      </c>
      <c r="DD594" t="s">
        <v>3</v>
      </c>
      <c r="DE594" t="s">
        <v>3</v>
      </c>
      <c r="DF594">
        <f t="shared" si="286"/>
        <v>0</v>
      </c>
      <c r="DG594">
        <f>ROUND(ROUND(AF594*CX594,2)*AJ594,2)</f>
        <v>48.26</v>
      </c>
      <c r="DH594">
        <f>ROUND(ROUND(AG594*CX594,2)*AK594,2)</f>
        <v>22.64</v>
      </c>
      <c r="DI594">
        <f t="shared" si="283"/>
        <v>0</v>
      </c>
      <c r="DJ594">
        <f>DG594</f>
        <v>48.26</v>
      </c>
      <c r="DK594">
        <v>0</v>
      </c>
    </row>
    <row r="595" spans="1:115" x14ac:dyDescent="0.2">
      <c r="A595">
        <f>ROW(Source!A559)</f>
        <v>559</v>
      </c>
      <c r="B595">
        <v>129761633</v>
      </c>
      <c r="C595">
        <v>129763861</v>
      </c>
      <c r="D595">
        <v>37393552</v>
      </c>
      <c r="E595">
        <v>1</v>
      </c>
      <c r="F595">
        <v>1</v>
      </c>
      <c r="G595">
        <v>37345137</v>
      </c>
      <c r="H595">
        <v>3</v>
      </c>
      <c r="I595" t="s">
        <v>348</v>
      </c>
      <c r="J595" t="s">
        <v>350</v>
      </c>
      <c r="K595" t="s">
        <v>349</v>
      </c>
      <c r="L595">
        <v>1339</v>
      </c>
      <c r="N595">
        <v>1007</v>
      </c>
      <c r="O595" t="s">
        <v>94</v>
      </c>
      <c r="P595" t="s">
        <v>94</v>
      </c>
      <c r="Q595">
        <v>1</v>
      </c>
      <c r="W595">
        <v>0</v>
      </c>
      <c r="X595">
        <v>-862991314</v>
      </c>
      <c r="Y595">
        <f>AT595</f>
        <v>0.15</v>
      </c>
      <c r="AA595">
        <v>42.55</v>
      </c>
      <c r="AB595">
        <v>0</v>
      </c>
      <c r="AC595">
        <v>0</v>
      </c>
      <c r="AD595">
        <v>0</v>
      </c>
      <c r="AE595">
        <v>7.07</v>
      </c>
      <c r="AF595">
        <v>0</v>
      </c>
      <c r="AG595">
        <v>0</v>
      </c>
      <c r="AH595">
        <v>0</v>
      </c>
      <c r="AI595">
        <v>6</v>
      </c>
      <c r="AJ595">
        <v>1</v>
      </c>
      <c r="AK595">
        <v>1</v>
      </c>
      <c r="AL595">
        <v>1</v>
      </c>
      <c r="AN595">
        <v>0</v>
      </c>
      <c r="AO595">
        <v>1</v>
      </c>
      <c r="AP595">
        <v>0</v>
      </c>
      <c r="AQ595">
        <v>0</v>
      </c>
      <c r="AR595">
        <v>0</v>
      </c>
      <c r="AS595" t="s">
        <v>3</v>
      </c>
      <c r="AT595">
        <v>0.15</v>
      </c>
      <c r="AU595" t="s">
        <v>3</v>
      </c>
      <c r="AV595">
        <v>0</v>
      </c>
      <c r="AW595">
        <v>2</v>
      </c>
      <c r="AX595">
        <v>129763872</v>
      </c>
      <c r="AY595">
        <v>1</v>
      </c>
      <c r="AZ595">
        <v>0</v>
      </c>
      <c r="BA595">
        <v>587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CX595">
        <f>ROUND(Y595*Source!I559,9)</f>
        <v>6.9750000000000006E-2</v>
      </c>
      <c r="CY595">
        <f>AA595</f>
        <v>42.55</v>
      </c>
      <c r="CZ595">
        <f>AE595</f>
        <v>7.07</v>
      </c>
      <c r="DA595">
        <f>AI595</f>
        <v>6</v>
      </c>
      <c r="DB595">
        <f>ROUND(ROUND(AT595*CZ595,2),6)</f>
        <v>1.06</v>
      </c>
      <c r="DC595">
        <f>ROUND(ROUND(AT595*AG595,2),6)</f>
        <v>0</v>
      </c>
      <c r="DD595" t="s">
        <v>3</v>
      </c>
      <c r="DE595" t="s">
        <v>3</v>
      </c>
      <c r="DF595">
        <f>ROUND(ROUND(AE595*CX595,2)*AI595,2)</f>
        <v>2.94</v>
      </c>
      <c r="DG595">
        <f t="shared" ref="DG595:DG603" si="287">ROUND(AF595*CX595,2)</f>
        <v>0</v>
      </c>
      <c r="DH595">
        <f t="shared" ref="DH595:DH603" si="288">ROUND(AG595*CX595,2)</f>
        <v>0</v>
      </c>
      <c r="DI595">
        <f t="shared" si="283"/>
        <v>0</v>
      </c>
      <c r="DJ595">
        <f>DF595</f>
        <v>2.94</v>
      </c>
      <c r="DK595">
        <v>0</v>
      </c>
    </row>
    <row r="596" spans="1:115" x14ac:dyDescent="0.2">
      <c r="A596">
        <f>ROW(Source!A559)</f>
        <v>559</v>
      </c>
      <c r="B596">
        <v>129761633</v>
      </c>
      <c r="C596">
        <v>129763861</v>
      </c>
      <c r="D596">
        <v>37394111</v>
      </c>
      <c r="E596">
        <v>1</v>
      </c>
      <c r="F596">
        <v>1</v>
      </c>
      <c r="G596">
        <v>37345137</v>
      </c>
      <c r="H596">
        <v>3</v>
      </c>
      <c r="I596" t="s">
        <v>92</v>
      </c>
      <c r="J596" t="s">
        <v>95</v>
      </c>
      <c r="K596" t="s">
        <v>93</v>
      </c>
      <c r="L596">
        <v>1339</v>
      </c>
      <c r="N596">
        <v>1007</v>
      </c>
      <c r="O596" t="s">
        <v>94</v>
      </c>
      <c r="P596" t="s">
        <v>94</v>
      </c>
      <c r="Q596">
        <v>1</v>
      </c>
      <c r="W596">
        <v>0</v>
      </c>
      <c r="X596">
        <v>2069056849</v>
      </c>
      <c r="Y596">
        <f>AT596</f>
        <v>1.1000000000000001</v>
      </c>
      <c r="AA596">
        <v>724.5</v>
      </c>
      <c r="AB596">
        <v>0</v>
      </c>
      <c r="AC596">
        <v>0</v>
      </c>
      <c r="AD596">
        <v>0</v>
      </c>
      <c r="AE596">
        <v>104.99</v>
      </c>
      <c r="AF596">
        <v>0</v>
      </c>
      <c r="AG596">
        <v>0</v>
      </c>
      <c r="AH596">
        <v>0</v>
      </c>
      <c r="AI596">
        <v>6.88</v>
      </c>
      <c r="AJ596">
        <v>1</v>
      </c>
      <c r="AK596">
        <v>1</v>
      </c>
      <c r="AL596">
        <v>1</v>
      </c>
      <c r="AN596">
        <v>0</v>
      </c>
      <c r="AO596">
        <v>0</v>
      </c>
      <c r="AP596">
        <v>0</v>
      </c>
      <c r="AQ596">
        <v>0</v>
      </c>
      <c r="AR596">
        <v>0</v>
      </c>
      <c r="AS596" t="s">
        <v>3</v>
      </c>
      <c r="AT596">
        <v>1.1000000000000001</v>
      </c>
      <c r="AU596" t="s">
        <v>3</v>
      </c>
      <c r="AV596">
        <v>0</v>
      </c>
      <c r="AW596">
        <v>1</v>
      </c>
      <c r="AX596">
        <v>-1</v>
      </c>
      <c r="AY596">
        <v>0</v>
      </c>
      <c r="AZ596">
        <v>0</v>
      </c>
      <c r="BA596" t="s">
        <v>3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CX596">
        <f>ROUND(Y596*Source!I559,9)</f>
        <v>0.51149999999999995</v>
      </c>
      <c r="CY596">
        <f>AA596</f>
        <v>724.5</v>
      </c>
      <c r="CZ596">
        <f>AE596</f>
        <v>104.99</v>
      </c>
      <c r="DA596">
        <f>AI596</f>
        <v>6.88</v>
      </c>
      <c r="DB596">
        <f>ROUND(ROUND(AT596*CZ596,2),6)</f>
        <v>115.49</v>
      </c>
      <c r="DC596">
        <f>ROUND(ROUND(AT596*AG596,2),6)</f>
        <v>0</v>
      </c>
      <c r="DD596" t="s">
        <v>3</v>
      </c>
      <c r="DE596" t="s">
        <v>3</v>
      </c>
      <c r="DF596">
        <f>ROUND(ROUND(AE596*CX596,2)*AI596,2)</f>
        <v>369.46</v>
      </c>
      <c r="DG596">
        <f t="shared" si="287"/>
        <v>0</v>
      </c>
      <c r="DH596">
        <f t="shared" si="288"/>
        <v>0</v>
      </c>
      <c r="DI596">
        <f t="shared" si="283"/>
        <v>0</v>
      </c>
      <c r="DJ596">
        <f>DF596</f>
        <v>369.46</v>
      </c>
      <c r="DK596">
        <v>0</v>
      </c>
    </row>
    <row r="597" spans="1:115" x14ac:dyDescent="0.2">
      <c r="A597">
        <f>ROW(Source!A562)</f>
        <v>562</v>
      </c>
      <c r="B597">
        <v>129761636</v>
      </c>
      <c r="C597">
        <v>129763875</v>
      </c>
      <c r="D597">
        <v>37345142</v>
      </c>
      <c r="E597">
        <v>37345137</v>
      </c>
      <c r="F597">
        <v>1</v>
      </c>
      <c r="G597">
        <v>37345137</v>
      </c>
      <c r="H597">
        <v>1</v>
      </c>
      <c r="I597" t="s">
        <v>1096</v>
      </c>
      <c r="J597" t="s">
        <v>3</v>
      </c>
      <c r="K597" t="s">
        <v>1097</v>
      </c>
      <c r="L597">
        <v>1191</v>
      </c>
      <c r="N597">
        <v>1013</v>
      </c>
      <c r="O597" t="s">
        <v>1098</v>
      </c>
      <c r="P597" t="s">
        <v>1098</v>
      </c>
      <c r="Q597">
        <v>1</v>
      </c>
      <c r="W597">
        <v>0</v>
      </c>
      <c r="X597">
        <v>476480486</v>
      </c>
      <c r="Y597">
        <f>(AT597*1.15)</f>
        <v>0.97749999999999992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1</v>
      </c>
      <c r="AJ597">
        <v>1</v>
      </c>
      <c r="AK597">
        <v>1</v>
      </c>
      <c r="AL597">
        <v>1</v>
      </c>
      <c r="AN597">
        <v>0</v>
      </c>
      <c r="AO597">
        <v>1</v>
      </c>
      <c r="AP597">
        <v>1</v>
      </c>
      <c r="AQ597">
        <v>0</v>
      </c>
      <c r="AR597">
        <v>0</v>
      </c>
      <c r="AS597" t="s">
        <v>3</v>
      </c>
      <c r="AT597">
        <v>0.85</v>
      </c>
      <c r="AU597" t="s">
        <v>87</v>
      </c>
      <c r="AV597">
        <v>1</v>
      </c>
      <c r="AW597">
        <v>2</v>
      </c>
      <c r="AX597">
        <v>129763882</v>
      </c>
      <c r="AY597">
        <v>1</v>
      </c>
      <c r="AZ597">
        <v>0</v>
      </c>
      <c r="BA597">
        <v>589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CX597">
        <f>ROUND(Y597*Source!I562,9)</f>
        <v>0.45453749999999998</v>
      </c>
      <c r="CY597">
        <f>AD597</f>
        <v>0</v>
      </c>
      <c r="CZ597">
        <f>AH597</f>
        <v>0</v>
      </c>
      <c r="DA597">
        <f>AL597</f>
        <v>1</v>
      </c>
      <c r="DB597">
        <f>ROUND((ROUND(AT597*CZ597,2)*1.15),6)</f>
        <v>0</v>
      </c>
      <c r="DC597">
        <f>ROUND((ROUND(AT597*AG597,2)*1.15),6)</f>
        <v>0</v>
      </c>
      <c r="DD597" t="s">
        <v>3</v>
      </c>
      <c r="DE597" t="s">
        <v>3</v>
      </c>
      <c r="DF597">
        <f t="shared" ref="DF597:DF606" si="289">ROUND(AE597*CX597,2)</f>
        <v>0</v>
      </c>
      <c r="DG597">
        <f t="shared" si="287"/>
        <v>0</v>
      </c>
      <c r="DH597">
        <f t="shared" si="288"/>
        <v>0</v>
      </c>
      <c r="DI597">
        <f t="shared" si="283"/>
        <v>0</v>
      </c>
      <c r="DJ597">
        <f>DI597</f>
        <v>0</v>
      </c>
      <c r="DK597">
        <v>0</v>
      </c>
    </row>
    <row r="598" spans="1:115" x14ac:dyDescent="0.2">
      <c r="A598">
        <f>ROW(Source!A562)</f>
        <v>562</v>
      </c>
      <c r="B598">
        <v>129761636</v>
      </c>
      <c r="C598">
        <v>129763875</v>
      </c>
      <c r="D598">
        <v>37418063</v>
      </c>
      <c r="E598">
        <v>1</v>
      </c>
      <c r="F598">
        <v>1</v>
      </c>
      <c r="G598">
        <v>37345137</v>
      </c>
      <c r="H598">
        <v>2</v>
      </c>
      <c r="I598" t="s">
        <v>1153</v>
      </c>
      <c r="J598" t="s">
        <v>1154</v>
      </c>
      <c r="K598" t="s">
        <v>1155</v>
      </c>
      <c r="L598">
        <v>1367</v>
      </c>
      <c r="N598">
        <v>1011</v>
      </c>
      <c r="O598" t="s">
        <v>1102</v>
      </c>
      <c r="P598" t="s">
        <v>1102</v>
      </c>
      <c r="Q598">
        <v>1</v>
      </c>
      <c r="W598">
        <v>0</v>
      </c>
      <c r="X598">
        <v>-668768829</v>
      </c>
      <c r="Y598">
        <f>(AT598*1.25)</f>
        <v>0.25</v>
      </c>
      <c r="AA598">
        <v>0</v>
      </c>
      <c r="AB598">
        <v>41.62</v>
      </c>
      <c r="AC598">
        <v>13.33</v>
      </c>
      <c r="AD598">
        <v>0</v>
      </c>
      <c r="AE598">
        <v>0</v>
      </c>
      <c r="AF598">
        <v>41.62</v>
      </c>
      <c r="AG598">
        <v>13.33</v>
      </c>
      <c r="AH598">
        <v>0</v>
      </c>
      <c r="AI598">
        <v>1</v>
      </c>
      <c r="AJ598">
        <v>1</v>
      </c>
      <c r="AK598">
        <v>1</v>
      </c>
      <c r="AL598">
        <v>1</v>
      </c>
      <c r="AN598">
        <v>0</v>
      </c>
      <c r="AO598">
        <v>1</v>
      </c>
      <c r="AP598">
        <v>1</v>
      </c>
      <c r="AQ598">
        <v>0</v>
      </c>
      <c r="AR598">
        <v>0</v>
      </c>
      <c r="AS598" t="s">
        <v>3</v>
      </c>
      <c r="AT598">
        <v>0.2</v>
      </c>
      <c r="AU598" t="s">
        <v>86</v>
      </c>
      <c r="AV598">
        <v>0</v>
      </c>
      <c r="AW598">
        <v>2</v>
      </c>
      <c r="AX598">
        <v>129763883</v>
      </c>
      <c r="AY598">
        <v>1</v>
      </c>
      <c r="AZ598">
        <v>0</v>
      </c>
      <c r="BA598">
        <v>590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CX598">
        <f>ROUND(Y598*Source!I562,9)</f>
        <v>0.11625000000000001</v>
      </c>
      <c r="CY598">
        <f>AB598</f>
        <v>41.62</v>
      </c>
      <c r="CZ598">
        <f>AF598</f>
        <v>41.62</v>
      </c>
      <c r="DA598">
        <f>AJ598</f>
        <v>1</v>
      </c>
      <c r="DB598">
        <f>ROUND((ROUND(AT598*CZ598,2)*1.25),6)</f>
        <v>10.4</v>
      </c>
      <c r="DC598">
        <f>ROUND((ROUND(AT598*AG598,2)*1.25),6)</f>
        <v>3.3374999999999999</v>
      </c>
      <c r="DD598" t="s">
        <v>3</v>
      </c>
      <c r="DE598" t="s">
        <v>3</v>
      </c>
      <c r="DF598">
        <f t="shared" si="289"/>
        <v>0</v>
      </c>
      <c r="DG598">
        <f t="shared" si="287"/>
        <v>4.84</v>
      </c>
      <c r="DH598">
        <f t="shared" si="288"/>
        <v>1.55</v>
      </c>
      <c r="DI598">
        <f t="shared" si="283"/>
        <v>0</v>
      </c>
      <c r="DJ598">
        <f>DG598</f>
        <v>4.84</v>
      </c>
      <c r="DK598">
        <v>0</v>
      </c>
    </row>
    <row r="599" spans="1:115" x14ac:dyDescent="0.2">
      <c r="A599">
        <f>ROW(Source!A562)</f>
        <v>562</v>
      </c>
      <c r="B599">
        <v>129761636</v>
      </c>
      <c r="C599">
        <v>129763875</v>
      </c>
      <c r="D599">
        <v>37418474</v>
      </c>
      <c r="E599">
        <v>1</v>
      </c>
      <c r="F599">
        <v>1</v>
      </c>
      <c r="G599">
        <v>37345137</v>
      </c>
      <c r="H599">
        <v>2</v>
      </c>
      <c r="I599" t="s">
        <v>1300</v>
      </c>
      <c r="J599" t="s">
        <v>1301</v>
      </c>
      <c r="K599" t="s">
        <v>1302</v>
      </c>
      <c r="L599">
        <v>1367</v>
      </c>
      <c r="N599">
        <v>1011</v>
      </c>
      <c r="O599" t="s">
        <v>1102</v>
      </c>
      <c r="P599" t="s">
        <v>1102</v>
      </c>
      <c r="Q599">
        <v>1</v>
      </c>
      <c r="W599">
        <v>0</v>
      </c>
      <c r="X599">
        <v>1280158331</v>
      </c>
      <c r="Y599">
        <f>(AT599*1.25)</f>
        <v>0.5</v>
      </c>
      <c r="AA599">
        <v>0</v>
      </c>
      <c r="AB599">
        <v>0.56000000000000005</v>
      </c>
      <c r="AC599">
        <v>0.09</v>
      </c>
      <c r="AD599">
        <v>0</v>
      </c>
      <c r="AE599">
        <v>0</v>
      </c>
      <c r="AF599">
        <v>0.56000000000000005</v>
      </c>
      <c r="AG599">
        <v>0.09</v>
      </c>
      <c r="AH599">
        <v>0</v>
      </c>
      <c r="AI599">
        <v>1</v>
      </c>
      <c r="AJ599">
        <v>1</v>
      </c>
      <c r="AK599">
        <v>1</v>
      </c>
      <c r="AL599">
        <v>1</v>
      </c>
      <c r="AN599">
        <v>0</v>
      </c>
      <c r="AO599">
        <v>1</v>
      </c>
      <c r="AP599">
        <v>1</v>
      </c>
      <c r="AQ599">
        <v>0</v>
      </c>
      <c r="AR599">
        <v>0</v>
      </c>
      <c r="AS599" t="s">
        <v>3</v>
      </c>
      <c r="AT599">
        <v>0.4</v>
      </c>
      <c r="AU599" t="s">
        <v>86</v>
      </c>
      <c r="AV599">
        <v>0</v>
      </c>
      <c r="AW599">
        <v>2</v>
      </c>
      <c r="AX599">
        <v>129763884</v>
      </c>
      <c r="AY599">
        <v>1</v>
      </c>
      <c r="AZ599">
        <v>0</v>
      </c>
      <c r="BA599">
        <v>591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CX599">
        <f>ROUND(Y599*Source!I562,9)</f>
        <v>0.23250000000000001</v>
      </c>
      <c r="CY599">
        <f>AB599</f>
        <v>0.56000000000000005</v>
      </c>
      <c r="CZ599">
        <f>AF599</f>
        <v>0.56000000000000005</v>
      </c>
      <c r="DA599">
        <f>AJ599</f>
        <v>1</v>
      </c>
      <c r="DB599">
        <f>ROUND((ROUND(AT599*CZ599,2)*1.25),6)</f>
        <v>0.27500000000000002</v>
      </c>
      <c r="DC599">
        <f>ROUND((ROUND(AT599*AG599,2)*1.25),6)</f>
        <v>0.05</v>
      </c>
      <c r="DD599" t="s">
        <v>3</v>
      </c>
      <c r="DE599" t="s">
        <v>3</v>
      </c>
      <c r="DF599">
        <f t="shared" si="289"/>
        <v>0</v>
      </c>
      <c r="DG599">
        <f t="shared" si="287"/>
        <v>0.13</v>
      </c>
      <c r="DH599">
        <f t="shared" si="288"/>
        <v>0.02</v>
      </c>
      <c r="DI599">
        <f t="shared" si="283"/>
        <v>0</v>
      </c>
      <c r="DJ599">
        <f>DG599</f>
        <v>0.13</v>
      </c>
      <c r="DK599">
        <v>0</v>
      </c>
    </row>
    <row r="600" spans="1:115" x14ac:dyDescent="0.2">
      <c r="A600">
        <f>ROW(Source!A562)</f>
        <v>562</v>
      </c>
      <c r="B600">
        <v>129761636</v>
      </c>
      <c r="C600">
        <v>129763875</v>
      </c>
      <c r="D600">
        <v>37417781</v>
      </c>
      <c r="E600">
        <v>1</v>
      </c>
      <c r="F600">
        <v>1</v>
      </c>
      <c r="G600">
        <v>37345137</v>
      </c>
      <c r="H600">
        <v>2</v>
      </c>
      <c r="I600" t="s">
        <v>1303</v>
      </c>
      <c r="J600" t="s">
        <v>1304</v>
      </c>
      <c r="K600" t="s">
        <v>1305</v>
      </c>
      <c r="L600">
        <v>1367</v>
      </c>
      <c r="N600">
        <v>1011</v>
      </c>
      <c r="O600" t="s">
        <v>1102</v>
      </c>
      <c r="P600" t="s">
        <v>1102</v>
      </c>
      <c r="Q600">
        <v>1</v>
      </c>
      <c r="W600">
        <v>0</v>
      </c>
      <c r="X600">
        <v>1022351366</v>
      </c>
      <c r="Y600">
        <f>(AT600*1.25)</f>
        <v>8.7500000000000008E-2</v>
      </c>
      <c r="AA600">
        <v>0</v>
      </c>
      <c r="AB600">
        <v>106.74</v>
      </c>
      <c r="AC600">
        <v>19.2</v>
      </c>
      <c r="AD600">
        <v>0</v>
      </c>
      <c r="AE600">
        <v>0</v>
      </c>
      <c r="AF600">
        <v>106.74</v>
      </c>
      <c r="AG600">
        <v>19.2</v>
      </c>
      <c r="AH600">
        <v>0</v>
      </c>
      <c r="AI600">
        <v>1</v>
      </c>
      <c r="AJ600">
        <v>1</v>
      </c>
      <c r="AK600">
        <v>1</v>
      </c>
      <c r="AL600">
        <v>1</v>
      </c>
      <c r="AN600">
        <v>0</v>
      </c>
      <c r="AO600">
        <v>1</v>
      </c>
      <c r="AP600">
        <v>1</v>
      </c>
      <c r="AQ600">
        <v>0</v>
      </c>
      <c r="AR600">
        <v>0</v>
      </c>
      <c r="AS600" t="s">
        <v>3</v>
      </c>
      <c r="AT600">
        <v>7.0000000000000007E-2</v>
      </c>
      <c r="AU600" t="s">
        <v>86</v>
      </c>
      <c r="AV600">
        <v>0</v>
      </c>
      <c r="AW600">
        <v>2</v>
      </c>
      <c r="AX600">
        <v>129763885</v>
      </c>
      <c r="AY600">
        <v>1</v>
      </c>
      <c r="AZ600">
        <v>0</v>
      </c>
      <c r="BA600">
        <v>592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CX600">
        <f>ROUND(Y600*Source!I562,9)</f>
        <v>4.0687500000000001E-2</v>
      </c>
      <c r="CY600">
        <f>AB600</f>
        <v>106.74</v>
      </c>
      <c r="CZ600">
        <f>AF600</f>
        <v>106.74</v>
      </c>
      <c r="DA600">
        <f>AJ600</f>
        <v>1</v>
      </c>
      <c r="DB600">
        <f>ROUND((ROUND(AT600*CZ600,2)*1.25),6)</f>
        <v>9.3375000000000004</v>
      </c>
      <c r="DC600">
        <f>ROUND((ROUND(AT600*AG600,2)*1.25),6)</f>
        <v>1.675</v>
      </c>
      <c r="DD600" t="s">
        <v>3</v>
      </c>
      <c r="DE600" t="s">
        <v>3</v>
      </c>
      <c r="DF600">
        <f t="shared" si="289"/>
        <v>0</v>
      </c>
      <c r="DG600">
        <f t="shared" si="287"/>
        <v>4.34</v>
      </c>
      <c r="DH600">
        <f t="shared" si="288"/>
        <v>0.78</v>
      </c>
      <c r="DI600">
        <f t="shared" si="283"/>
        <v>0</v>
      </c>
      <c r="DJ600">
        <f>DG600</f>
        <v>4.34</v>
      </c>
      <c r="DK600">
        <v>0</v>
      </c>
    </row>
    <row r="601" spans="1:115" x14ac:dyDescent="0.2">
      <c r="A601">
        <f>ROW(Source!A562)</f>
        <v>562</v>
      </c>
      <c r="B601">
        <v>129761636</v>
      </c>
      <c r="C601">
        <v>129763875</v>
      </c>
      <c r="D601">
        <v>37393552</v>
      </c>
      <c r="E601">
        <v>1</v>
      </c>
      <c r="F601">
        <v>1</v>
      </c>
      <c r="G601">
        <v>37345137</v>
      </c>
      <c r="H601">
        <v>3</v>
      </c>
      <c r="I601" t="s">
        <v>348</v>
      </c>
      <c r="J601" t="s">
        <v>350</v>
      </c>
      <c r="K601" t="s">
        <v>349</v>
      </c>
      <c r="L601">
        <v>1339</v>
      </c>
      <c r="N601">
        <v>1007</v>
      </c>
      <c r="O601" t="s">
        <v>94</v>
      </c>
      <c r="P601" t="s">
        <v>94</v>
      </c>
      <c r="Q601">
        <v>1</v>
      </c>
      <c r="W601">
        <v>0</v>
      </c>
      <c r="X601">
        <v>-862991314</v>
      </c>
      <c r="Y601">
        <f>AT601</f>
        <v>0.15</v>
      </c>
      <c r="AA601">
        <v>7.07</v>
      </c>
      <c r="AB601">
        <v>0</v>
      </c>
      <c r="AC601">
        <v>0</v>
      </c>
      <c r="AD601">
        <v>0</v>
      </c>
      <c r="AE601">
        <v>7.07</v>
      </c>
      <c r="AF601">
        <v>0</v>
      </c>
      <c r="AG601">
        <v>0</v>
      </c>
      <c r="AH601">
        <v>0</v>
      </c>
      <c r="AI601">
        <v>1</v>
      </c>
      <c r="AJ601">
        <v>1</v>
      </c>
      <c r="AK601">
        <v>1</v>
      </c>
      <c r="AL601">
        <v>1</v>
      </c>
      <c r="AN601">
        <v>0</v>
      </c>
      <c r="AO601">
        <v>1</v>
      </c>
      <c r="AP601">
        <v>0</v>
      </c>
      <c r="AQ601">
        <v>0</v>
      </c>
      <c r="AR601">
        <v>0</v>
      </c>
      <c r="AS601" t="s">
        <v>3</v>
      </c>
      <c r="AT601">
        <v>0.15</v>
      </c>
      <c r="AU601" t="s">
        <v>3</v>
      </c>
      <c r="AV601">
        <v>0</v>
      </c>
      <c r="AW601">
        <v>2</v>
      </c>
      <c r="AX601">
        <v>129763886</v>
      </c>
      <c r="AY601">
        <v>1</v>
      </c>
      <c r="AZ601">
        <v>0</v>
      </c>
      <c r="BA601">
        <v>593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CX601">
        <f>ROUND(Y601*Source!I562,9)</f>
        <v>6.9750000000000006E-2</v>
      </c>
      <c r="CY601">
        <f>AA601</f>
        <v>7.07</v>
      </c>
      <c r="CZ601">
        <f>AE601</f>
        <v>7.07</v>
      </c>
      <c r="DA601">
        <f>AI601</f>
        <v>1</v>
      </c>
      <c r="DB601">
        <f>ROUND(ROUND(AT601*CZ601,2),6)</f>
        <v>1.06</v>
      </c>
      <c r="DC601">
        <f>ROUND(ROUND(AT601*AG601,2),6)</f>
        <v>0</v>
      </c>
      <c r="DD601" t="s">
        <v>3</v>
      </c>
      <c r="DE601" t="s">
        <v>3</v>
      </c>
      <c r="DF601">
        <f t="shared" si="289"/>
        <v>0.49</v>
      </c>
      <c r="DG601">
        <f t="shared" si="287"/>
        <v>0</v>
      </c>
      <c r="DH601">
        <f t="shared" si="288"/>
        <v>0</v>
      </c>
      <c r="DI601">
        <f t="shared" si="283"/>
        <v>0</v>
      </c>
      <c r="DJ601">
        <f>DF601</f>
        <v>0.49</v>
      </c>
      <c r="DK601">
        <v>0</v>
      </c>
    </row>
    <row r="602" spans="1:115" x14ac:dyDescent="0.2">
      <c r="A602">
        <f>ROW(Source!A562)</f>
        <v>562</v>
      </c>
      <c r="B602">
        <v>129761636</v>
      </c>
      <c r="C602">
        <v>129763875</v>
      </c>
      <c r="D602">
        <v>37394816</v>
      </c>
      <c r="E602">
        <v>1</v>
      </c>
      <c r="F602">
        <v>1</v>
      </c>
      <c r="G602">
        <v>37345137</v>
      </c>
      <c r="H602">
        <v>3</v>
      </c>
      <c r="I602" t="s">
        <v>522</v>
      </c>
      <c r="J602" t="s">
        <v>524</v>
      </c>
      <c r="K602" t="s">
        <v>523</v>
      </c>
      <c r="L602">
        <v>1339</v>
      </c>
      <c r="N602">
        <v>1007</v>
      </c>
      <c r="O602" t="s">
        <v>94</v>
      </c>
      <c r="P602" t="s">
        <v>94</v>
      </c>
      <c r="Q602">
        <v>1</v>
      </c>
      <c r="W602">
        <v>0</v>
      </c>
      <c r="X602">
        <v>-1946291914</v>
      </c>
      <c r="Y602">
        <f>AT602</f>
        <v>1.1499999999999999</v>
      </c>
      <c r="AA602">
        <v>197.51</v>
      </c>
      <c r="AB602">
        <v>0</v>
      </c>
      <c r="AC602">
        <v>0</v>
      </c>
      <c r="AD602">
        <v>0</v>
      </c>
      <c r="AE602">
        <v>197.51</v>
      </c>
      <c r="AF602">
        <v>0</v>
      </c>
      <c r="AG602">
        <v>0</v>
      </c>
      <c r="AH602">
        <v>0</v>
      </c>
      <c r="AI602">
        <v>1</v>
      </c>
      <c r="AJ602">
        <v>1</v>
      </c>
      <c r="AK602">
        <v>1</v>
      </c>
      <c r="AL602">
        <v>1</v>
      </c>
      <c r="AN602">
        <v>0</v>
      </c>
      <c r="AO602">
        <v>0</v>
      </c>
      <c r="AP602">
        <v>0</v>
      </c>
      <c r="AQ602">
        <v>0</v>
      </c>
      <c r="AR602">
        <v>0</v>
      </c>
      <c r="AS602" t="s">
        <v>3</v>
      </c>
      <c r="AT602">
        <v>1.1499999999999999</v>
      </c>
      <c r="AU602" t="s">
        <v>3</v>
      </c>
      <c r="AV602">
        <v>0</v>
      </c>
      <c r="AW602">
        <v>1</v>
      </c>
      <c r="AX602">
        <v>-1</v>
      </c>
      <c r="AY602">
        <v>0</v>
      </c>
      <c r="AZ602">
        <v>0</v>
      </c>
      <c r="BA602" t="s">
        <v>3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CX602">
        <f>ROUND(Y602*Source!I562,9)</f>
        <v>0.53474999999999995</v>
      </c>
      <c r="CY602">
        <f>AA602</f>
        <v>197.51</v>
      </c>
      <c r="CZ602">
        <f>AE602</f>
        <v>197.51</v>
      </c>
      <c r="DA602">
        <f>AI602</f>
        <v>1</v>
      </c>
      <c r="DB602">
        <f>ROUND(ROUND(AT602*CZ602,2),6)</f>
        <v>227.14</v>
      </c>
      <c r="DC602">
        <f>ROUND(ROUND(AT602*AG602,2),6)</f>
        <v>0</v>
      </c>
      <c r="DD602" t="s">
        <v>3</v>
      </c>
      <c r="DE602" t="s">
        <v>3</v>
      </c>
      <c r="DF602">
        <f t="shared" si="289"/>
        <v>105.62</v>
      </c>
      <c r="DG602">
        <f t="shared" si="287"/>
        <v>0</v>
      </c>
      <c r="DH602">
        <f t="shared" si="288"/>
        <v>0</v>
      </c>
      <c r="DI602">
        <f t="shared" si="283"/>
        <v>0</v>
      </c>
      <c r="DJ602">
        <f>DF602</f>
        <v>105.62</v>
      </c>
      <c r="DK602">
        <v>0</v>
      </c>
    </row>
    <row r="603" spans="1:115" x14ac:dyDescent="0.2">
      <c r="A603">
        <f>ROW(Source!A563)</f>
        <v>563</v>
      </c>
      <c r="B603">
        <v>129761633</v>
      </c>
      <c r="C603">
        <v>129763875</v>
      </c>
      <c r="D603">
        <v>37345142</v>
      </c>
      <c r="E603">
        <v>37345137</v>
      </c>
      <c r="F603">
        <v>1</v>
      </c>
      <c r="G603">
        <v>37345137</v>
      </c>
      <c r="H603">
        <v>1</v>
      </c>
      <c r="I603" t="s">
        <v>1096</v>
      </c>
      <c r="J603" t="s">
        <v>3</v>
      </c>
      <c r="K603" t="s">
        <v>1097</v>
      </c>
      <c r="L603">
        <v>1191</v>
      </c>
      <c r="N603">
        <v>1013</v>
      </c>
      <c r="O603" t="s">
        <v>1098</v>
      </c>
      <c r="P603" t="s">
        <v>1098</v>
      </c>
      <c r="Q603">
        <v>1</v>
      </c>
      <c r="W603">
        <v>0</v>
      </c>
      <c r="X603">
        <v>476480486</v>
      </c>
      <c r="Y603">
        <f>(AT603*1.15)</f>
        <v>0.97749999999999992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1</v>
      </c>
      <c r="AJ603">
        <v>1</v>
      </c>
      <c r="AK603">
        <v>1</v>
      </c>
      <c r="AL603">
        <v>1</v>
      </c>
      <c r="AN603">
        <v>0</v>
      </c>
      <c r="AO603">
        <v>1</v>
      </c>
      <c r="AP603">
        <v>1</v>
      </c>
      <c r="AQ603">
        <v>0</v>
      </c>
      <c r="AR603">
        <v>0</v>
      </c>
      <c r="AS603" t="s">
        <v>3</v>
      </c>
      <c r="AT603">
        <v>0.85</v>
      </c>
      <c r="AU603" t="s">
        <v>87</v>
      </c>
      <c r="AV603">
        <v>1</v>
      </c>
      <c r="AW603">
        <v>2</v>
      </c>
      <c r="AX603">
        <v>129763882</v>
      </c>
      <c r="AY603">
        <v>1</v>
      </c>
      <c r="AZ603">
        <v>0</v>
      </c>
      <c r="BA603">
        <v>595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CX603">
        <f>ROUND(Y603*Source!I563,9)</f>
        <v>0.45453749999999998</v>
      </c>
      <c r="CY603">
        <f>AD603</f>
        <v>0</v>
      </c>
      <c r="CZ603">
        <f>AH603</f>
        <v>0</v>
      </c>
      <c r="DA603">
        <f>AL603</f>
        <v>1</v>
      </c>
      <c r="DB603">
        <f>ROUND((ROUND(AT603*CZ603,2)*1.15),6)</f>
        <v>0</v>
      </c>
      <c r="DC603">
        <f>ROUND((ROUND(AT603*AG603,2)*1.15),6)</f>
        <v>0</v>
      </c>
      <c r="DD603" t="s">
        <v>3</v>
      </c>
      <c r="DE603" t="s">
        <v>3</v>
      </c>
      <c r="DF603">
        <f t="shared" si="289"/>
        <v>0</v>
      </c>
      <c r="DG603">
        <f t="shared" si="287"/>
        <v>0</v>
      </c>
      <c r="DH603">
        <f t="shared" si="288"/>
        <v>0</v>
      </c>
      <c r="DI603">
        <f t="shared" si="283"/>
        <v>0</v>
      </c>
      <c r="DJ603">
        <f>DI603</f>
        <v>0</v>
      </c>
      <c r="DK603">
        <v>0</v>
      </c>
    </row>
    <row r="604" spans="1:115" x14ac:dyDescent="0.2">
      <c r="A604">
        <f>ROW(Source!A563)</f>
        <v>563</v>
      </c>
      <c r="B604">
        <v>129761633</v>
      </c>
      <c r="C604">
        <v>129763875</v>
      </c>
      <c r="D604">
        <v>37418063</v>
      </c>
      <c r="E604">
        <v>1</v>
      </c>
      <c r="F604">
        <v>1</v>
      </c>
      <c r="G604">
        <v>37345137</v>
      </c>
      <c r="H604">
        <v>2</v>
      </c>
      <c r="I604" t="s">
        <v>1153</v>
      </c>
      <c r="J604" t="s">
        <v>1154</v>
      </c>
      <c r="K604" t="s">
        <v>1155</v>
      </c>
      <c r="L604">
        <v>1367</v>
      </c>
      <c r="N604">
        <v>1011</v>
      </c>
      <c r="O604" t="s">
        <v>1102</v>
      </c>
      <c r="P604" t="s">
        <v>1102</v>
      </c>
      <c r="Q604">
        <v>1</v>
      </c>
      <c r="W604">
        <v>0</v>
      </c>
      <c r="X604">
        <v>-668768829</v>
      </c>
      <c r="Y604">
        <f>(AT604*1.25)</f>
        <v>0.25</v>
      </c>
      <c r="AA604">
        <v>0</v>
      </c>
      <c r="AB604">
        <v>721.62</v>
      </c>
      <c r="AC604">
        <v>405.16</v>
      </c>
      <c r="AD604">
        <v>0</v>
      </c>
      <c r="AE604">
        <v>0</v>
      </c>
      <c r="AF604">
        <v>41.62</v>
      </c>
      <c r="AG604">
        <v>13.33</v>
      </c>
      <c r="AH604">
        <v>0</v>
      </c>
      <c r="AI604">
        <v>1</v>
      </c>
      <c r="AJ604">
        <v>16.559999999999999</v>
      </c>
      <c r="AK604">
        <v>29.03</v>
      </c>
      <c r="AL604">
        <v>1</v>
      </c>
      <c r="AN604">
        <v>0</v>
      </c>
      <c r="AO604">
        <v>1</v>
      </c>
      <c r="AP604">
        <v>1</v>
      </c>
      <c r="AQ604">
        <v>0</v>
      </c>
      <c r="AR604">
        <v>0</v>
      </c>
      <c r="AS604" t="s">
        <v>3</v>
      </c>
      <c r="AT604">
        <v>0.2</v>
      </c>
      <c r="AU604" t="s">
        <v>86</v>
      </c>
      <c r="AV604">
        <v>0</v>
      </c>
      <c r="AW604">
        <v>2</v>
      </c>
      <c r="AX604">
        <v>129763883</v>
      </c>
      <c r="AY604">
        <v>1</v>
      </c>
      <c r="AZ604">
        <v>0</v>
      </c>
      <c r="BA604">
        <v>596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CX604">
        <f>ROUND(Y604*Source!I563,9)</f>
        <v>0.11625000000000001</v>
      </c>
      <c r="CY604">
        <f>AB604</f>
        <v>721.62</v>
      </c>
      <c r="CZ604">
        <f>AF604</f>
        <v>41.62</v>
      </c>
      <c r="DA604">
        <f>AJ604</f>
        <v>16.559999999999999</v>
      </c>
      <c r="DB604">
        <f>ROUND((ROUND(AT604*CZ604,2)*1.25),6)</f>
        <v>10.4</v>
      </c>
      <c r="DC604">
        <f>ROUND((ROUND(AT604*AG604,2)*1.25),6)</f>
        <v>3.3374999999999999</v>
      </c>
      <c r="DD604" t="s">
        <v>3</v>
      </c>
      <c r="DE604" t="s">
        <v>3</v>
      </c>
      <c r="DF604">
        <f t="shared" si="289"/>
        <v>0</v>
      </c>
      <c r="DG604">
        <f>ROUND(ROUND(AF604*CX604,2)*AJ604,2)</f>
        <v>80.150000000000006</v>
      </c>
      <c r="DH604">
        <f>ROUND(ROUND(AG604*CX604,2)*AK604,2)</f>
        <v>45</v>
      </c>
      <c r="DI604">
        <f t="shared" si="283"/>
        <v>0</v>
      </c>
      <c r="DJ604">
        <f>DG604</f>
        <v>80.150000000000006</v>
      </c>
      <c r="DK604">
        <v>0</v>
      </c>
    </row>
    <row r="605" spans="1:115" x14ac:dyDescent="0.2">
      <c r="A605">
        <f>ROW(Source!A563)</f>
        <v>563</v>
      </c>
      <c r="B605">
        <v>129761633</v>
      </c>
      <c r="C605">
        <v>129763875</v>
      </c>
      <c r="D605">
        <v>37418474</v>
      </c>
      <c r="E605">
        <v>1</v>
      </c>
      <c r="F605">
        <v>1</v>
      </c>
      <c r="G605">
        <v>37345137</v>
      </c>
      <c r="H605">
        <v>2</v>
      </c>
      <c r="I605" t="s">
        <v>1300</v>
      </c>
      <c r="J605" t="s">
        <v>1301</v>
      </c>
      <c r="K605" t="s">
        <v>1302</v>
      </c>
      <c r="L605">
        <v>1367</v>
      </c>
      <c r="N605">
        <v>1011</v>
      </c>
      <c r="O605" t="s">
        <v>1102</v>
      </c>
      <c r="P605" t="s">
        <v>1102</v>
      </c>
      <c r="Q605">
        <v>1</v>
      </c>
      <c r="W605">
        <v>0</v>
      </c>
      <c r="X605">
        <v>1280158331</v>
      </c>
      <c r="Y605">
        <f>(AT605*1.25)</f>
        <v>0.5</v>
      </c>
      <c r="AA605">
        <v>0</v>
      </c>
      <c r="AB605">
        <v>4.51</v>
      </c>
      <c r="AC605">
        <v>2.74</v>
      </c>
      <c r="AD605">
        <v>0</v>
      </c>
      <c r="AE605">
        <v>0</v>
      </c>
      <c r="AF605">
        <v>0.56000000000000005</v>
      </c>
      <c r="AG605">
        <v>0.09</v>
      </c>
      <c r="AH605">
        <v>0</v>
      </c>
      <c r="AI605">
        <v>1</v>
      </c>
      <c r="AJ605">
        <v>7.7</v>
      </c>
      <c r="AK605">
        <v>29.03</v>
      </c>
      <c r="AL605">
        <v>1</v>
      </c>
      <c r="AN605">
        <v>0</v>
      </c>
      <c r="AO605">
        <v>1</v>
      </c>
      <c r="AP605">
        <v>1</v>
      </c>
      <c r="AQ605">
        <v>0</v>
      </c>
      <c r="AR605">
        <v>0</v>
      </c>
      <c r="AS605" t="s">
        <v>3</v>
      </c>
      <c r="AT605">
        <v>0.4</v>
      </c>
      <c r="AU605" t="s">
        <v>86</v>
      </c>
      <c r="AV605">
        <v>0</v>
      </c>
      <c r="AW605">
        <v>2</v>
      </c>
      <c r="AX605">
        <v>129763884</v>
      </c>
      <c r="AY605">
        <v>1</v>
      </c>
      <c r="AZ605">
        <v>0</v>
      </c>
      <c r="BA605">
        <v>597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CX605">
        <f>ROUND(Y605*Source!I563,9)</f>
        <v>0.23250000000000001</v>
      </c>
      <c r="CY605">
        <f>AB605</f>
        <v>4.51</v>
      </c>
      <c r="CZ605">
        <f>AF605</f>
        <v>0.56000000000000005</v>
      </c>
      <c r="DA605">
        <f>AJ605</f>
        <v>7.7</v>
      </c>
      <c r="DB605">
        <f>ROUND((ROUND(AT605*CZ605,2)*1.25),6)</f>
        <v>0.27500000000000002</v>
      </c>
      <c r="DC605">
        <f>ROUND((ROUND(AT605*AG605,2)*1.25),6)</f>
        <v>0.05</v>
      </c>
      <c r="DD605" t="s">
        <v>3</v>
      </c>
      <c r="DE605" t="s">
        <v>3</v>
      </c>
      <c r="DF605">
        <f t="shared" si="289"/>
        <v>0</v>
      </c>
      <c r="DG605">
        <f>ROUND(ROUND(AF605*CX605,2)*AJ605,2)</f>
        <v>1</v>
      </c>
      <c r="DH605">
        <f>ROUND(ROUND(AG605*CX605,2)*AK605,2)</f>
        <v>0.57999999999999996</v>
      </c>
      <c r="DI605">
        <f t="shared" si="283"/>
        <v>0</v>
      </c>
      <c r="DJ605">
        <f>DG605</f>
        <v>1</v>
      </c>
      <c r="DK605">
        <v>0</v>
      </c>
    </row>
    <row r="606" spans="1:115" x14ac:dyDescent="0.2">
      <c r="A606">
        <f>ROW(Source!A563)</f>
        <v>563</v>
      </c>
      <c r="B606">
        <v>129761633</v>
      </c>
      <c r="C606">
        <v>129763875</v>
      </c>
      <c r="D606">
        <v>37417781</v>
      </c>
      <c r="E606">
        <v>1</v>
      </c>
      <c r="F606">
        <v>1</v>
      </c>
      <c r="G606">
        <v>37345137</v>
      </c>
      <c r="H606">
        <v>2</v>
      </c>
      <c r="I606" t="s">
        <v>1303</v>
      </c>
      <c r="J606" t="s">
        <v>1304</v>
      </c>
      <c r="K606" t="s">
        <v>1305</v>
      </c>
      <c r="L606">
        <v>1367</v>
      </c>
      <c r="N606">
        <v>1011</v>
      </c>
      <c r="O606" t="s">
        <v>1102</v>
      </c>
      <c r="P606" t="s">
        <v>1102</v>
      </c>
      <c r="Q606">
        <v>1</v>
      </c>
      <c r="W606">
        <v>0</v>
      </c>
      <c r="X606">
        <v>1022351366</v>
      </c>
      <c r="Y606">
        <f>(AT606*1.25)</f>
        <v>8.7500000000000008E-2</v>
      </c>
      <c r="AA606">
        <v>0</v>
      </c>
      <c r="AB606">
        <v>1242.74</v>
      </c>
      <c r="AC606">
        <v>583.57000000000005</v>
      </c>
      <c r="AD606">
        <v>0</v>
      </c>
      <c r="AE606">
        <v>0</v>
      </c>
      <c r="AF606">
        <v>106.74</v>
      </c>
      <c r="AG606">
        <v>19.2</v>
      </c>
      <c r="AH606">
        <v>0</v>
      </c>
      <c r="AI606">
        <v>1</v>
      </c>
      <c r="AJ606">
        <v>11.12</v>
      </c>
      <c r="AK606">
        <v>29.03</v>
      </c>
      <c r="AL606">
        <v>1</v>
      </c>
      <c r="AN606">
        <v>0</v>
      </c>
      <c r="AO606">
        <v>1</v>
      </c>
      <c r="AP606">
        <v>1</v>
      </c>
      <c r="AQ606">
        <v>0</v>
      </c>
      <c r="AR606">
        <v>0</v>
      </c>
      <c r="AS606" t="s">
        <v>3</v>
      </c>
      <c r="AT606">
        <v>7.0000000000000007E-2</v>
      </c>
      <c r="AU606" t="s">
        <v>86</v>
      </c>
      <c r="AV606">
        <v>0</v>
      </c>
      <c r="AW606">
        <v>2</v>
      </c>
      <c r="AX606">
        <v>129763885</v>
      </c>
      <c r="AY606">
        <v>1</v>
      </c>
      <c r="AZ606">
        <v>0</v>
      </c>
      <c r="BA606">
        <v>598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CX606">
        <f>ROUND(Y606*Source!I563,9)</f>
        <v>4.0687500000000001E-2</v>
      </c>
      <c r="CY606">
        <f>AB606</f>
        <v>1242.74</v>
      </c>
      <c r="CZ606">
        <f>AF606</f>
        <v>106.74</v>
      </c>
      <c r="DA606">
        <f>AJ606</f>
        <v>11.12</v>
      </c>
      <c r="DB606">
        <f>ROUND((ROUND(AT606*CZ606,2)*1.25),6)</f>
        <v>9.3375000000000004</v>
      </c>
      <c r="DC606">
        <f>ROUND((ROUND(AT606*AG606,2)*1.25),6)</f>
        <v>1.675</v>
      </c>
      <c r="DD606" t="s">
        <v>3</v>
      </c>
      <c r="DE606" t="s">
        <v>3</v>
      </c>
      <c r="DF606">
        <f t="shared" si="289"/>
        <v>0</v>
      </c>
      <c r="DG606">
        <f>ROUND(ROUND(AF606*CX606,2)*AJ606,2)</f>
        <v>48.26</v>
      </c>
      <c r="DH606">
        <f>ROUND(ROUND(AG606*CX606,2)*AK606,2)</f>
        <v>22.64</v>
      </c>
      <c r="DI606">
        <f t="shared" si="283"/>
        <v>0</v>
      </c>
      <c r="DJ606">
        <f>DG606</f>
        <v>48.26</v>
      </c>
      <c r="DK606">
        <v>0</v>
      </c>
    </row>
    <row r="607" spans="1:115" x14ac:dyDescent="0.2">
      <c r="A607">
        <f>ROW(Source!A563)</f>
        <v>563</v>
      </c>
      <c r="B607">
        <v>129761633</v>
      </c>
      <c r="C607">
        <v>129763875</v>
      </c>
      <c r="D607">
        <v>37393552</v>
      </c>
      <c r="E607">
        <v>1</v>
      </c>
      <c r="F607">
        <v>1</v>
      </c>
      <c r="G607">
        <v>37345137</v>
      </c>
      <c r="H607">
        <v>3</v>
      </c>
      <c r="I607" t="s">
        <v>348</v>
      </c>
      <c r="J607" t="s">
        <v>350</v>
      </c>
      <c r="K607" t="s">
        <v>349</v>
      </c>
      <c r="L607">
        <v>1339</v>
      </c>
      <c r="N607">
        <v>1007</v>
      </c>
      <c r="O607" t="s">
        <v>94</v>
      </c>
      <c r="P607" t="s">
        <v>94</v>
      </c>
      <c r="Q607">
        <v>1</v>
      </c>
      <c r="W607">
        <v>0</v>
      </c>
      <c r="X607">
        <v>-862991314</v>
      </c>
      <c r="Y607">
        <f>AT607</f>
        <v>0.15</v>
      </c>
      <c r="AA607">
        <v>42.55</v>
      </c>
      <c r="AB607">
        <v>0</v>
      </c>
      <c r="AC607">
        <v>0</v>
      </c>
      <c r="AD607">
        <v>0</v>
      </c>
      <c r="AE607">
        <v>7.07</v>
      </c>
      <c r="AF607">
        <v>0</v>
      </c>
      <c r="AG607">
        <v>0</v>
      </c>
      <c r="AH607">
        <v>0</v>
      </c>
      <c r="AI607">
        <v>6</v>
      </c>
      <c r="AJ607">
        <v>1</v>
      </c>
      <c r="AK607">
        <v>1</v>
      </c>
      <c r="AL607">
        <v>1</v>
      </c>
      <c r="AN607">
        <v>0</v>
      </c>
      <c r="AO607">
        <v>1</v>
      </c>
      <c r="AP607">
        <v>0</v>
      </c>
      <c r="AQ607">
        <v>0</v>
      </c>
      <c r="AR607">
        <v>0</v>
      </c>
      <c r="AS607" t="s">
        <v>3</v>
      </c>
      <c r="AT607">
        <v>0.15</v>
      </c>
      <c r="AU607" t="s">
        <v>3</v>
      </c>
      <c r="AV607">
        <v>0</v>
      </c>
      <c r="AW607">
        <v>2</v>
      </c>
      <c r="AX607">
        <v>129763886</v>
      </c>
      <c r="AY607">
        <v>1</v>
      </c>
      <c r="AZ607">
        <v>0</v>
      </c>
      <c r="BA607">
        <v>599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CX607">
        <f>ROUND(Y607*Source!I563,9)</f>
        <v>6.9750000000000006E-2</v>
      </c>
      <c r="CY607">
        <f>AA607</f>
        <v>42.55</v>
      </c>
      <c r="CZ607">
        <f>AE607</f>
        <v>7.07</v>
      </c>
      <c r="DA607">
        <f>AI607</f>
        <v>6</v>
      </c>
      <c r="DB607">
        <f>ROUND(ROUND(AT607*CZ607,2),6)</f>
        <v>1.06</v>
      </c>
      <c r="DC607">
        <f>ROUND(ROUND(AT607*AG607,2),6)</f>
        <v>0</v>
      </c>
      <c r="DD607" t="s">
        <v>3</v>
      </c>
      <c r="DE607" t="s">
        <v>3</v>
      </c>
      <c r="DF607">
        <f>ROUND(ROUND(AE607*CX607,2)*AI607,2)</f>
        <v>2.94</v>
      </c>
      <c r="DG607">
        <f t="shared" ref="DG607:DG625" si="290">ROUND(AF607*CX607,2)</f>
        <v>0</v>
      </c>
      <c r="DH607">
        <f t="shared" ref="DH607:DH625" si="291">ROUND(AG607*CX607,2)</f>
        <v>0</v>
      </c>
      <c r="DI607">
        <f t="shared" si="283"/>
        <v>0</v>
      </c>
      <c r="DJ607">
        <f>DF607</f>
        <v>2.94</v>
      </c>
      <c r="DK607">
        <v>0</v>
      </c>
    </row>
    <row r="608" spans="1:115" x14ac:dyDescent="0.2">
      <c r="A608">
        <f>ROW(Source!A563)</f>
        <v>563</v>
      </c>
      <c r="B608">
        <v>129761633</v>
      </c>
      <c r="C608">
        <v>129763875</v>
      </c>
      <c r="D608">
        <v>37394816</v>
      </c>
      <c r="E608">
        <v>1</v>
      </c>
      <c r="F608">
        <v>1</v>
      </c>
      <c r="G608">
        <v>37345137</v>
      </c>
      <c r="H608">
        <v>3</v>
      </c>
      <c r="I608" t="s">
        <v>522</v>
      </c>
      <c r="J608" t="s">
        <v>524</v>
      </c>
      <c r="K608" t="s">
        <v>523</v>
      </c>
      <c r="L608">
        <v>1339</v>
      </c>
      <c r="N608">
        <v>1007</v>
      </c>
      <c r="O608" t="s">
        <v>94</v>
      </c>
      <c r="P608" t="s">
        <v>94</v>
      </c>
      <c r="Q608">
        <v>1</v>
      </c>
      <c r="W608">
        <v>0</v>
      </c>
      <c r="X608">
        <v>-1946291914</v>
      </c>
      <c r="Y608">
        <f>AT608</f>
        <v>1.1499999999999999</v>
      </c>
      <c r="AA608">
        <v>2105.83</v>
      </c>
      <c r="AB608">
        <v>0</v>
      </c>
      <c r="AC608">
        <v>0</v>
      </c>
      <c r="AD608">
        <v>0</v>
      </c>
      <c r="AE608">
        <v>197.51</v>
      </c>
      <c r="AF608">
        <v>0</v>
      </c>
      <c r="AG608">
        <v>0</v>
      </c>
      <c r="AH608">
        <v>0</v>
      </c>
      <c r="AI608">
        <v>10.63</v>
      </c>
      <c r="AJ608">
        <v>1</v>
      </c>
      <c r="AK608">
        <v>1</v>
      </c>
      <c r="AL608">
        <v>1</v>
      </c>
      <c r="AN608">
        <v>0</v>
      </c>
      <c r="AO608">
        <v>0</v>
      </c>
      <c r="AP608">
        <v>0</v>
      </c>
      <c r="AQ608">
        <v>0</v>
      </c>
      <c r="AR608">
        <v>0</v>
      </c>
      <c r="AS608" t="s">
        <v>3</v>
      </c>
      <c r="AT608">
        <v>1.1499999999999999</v>
      </c>
      <c r="AU608" t="s">
        <v>3</v>
      </c>
      <c r="AV608">
        <v>0</v>
      </c>
      <c r="AW608">
        <v>1</v>
      </c>
      <c r="AX608">
        <v>-1</v>
      </c>
      <c r="AY608">
        <v>0</v>
      </c>
      <c r="AZ608">
        <v>0</v>
      </c>
      <c r="BA608" t="s">
        <v>3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CX608">
        <f>ROUND(Y608*Source!I563,9)</f>
        <v>0.53474999999999995</v>
      </c>
      <c r="CY608">
        <f>AA608</f>
        <v>2105.83</v>
      </c>
      <c r="CZ608">
        <f>AE608</f>
        <v>197.51</v>
      </c>
      <c r="DA608">
        <f>AI608</f>
        <v>10.63</v>
      </c>
      <c r="DB608">
        <f>ROUND(ROUND(AT608*CZ608,2),6)</f>
        <v>227.14</v>
      </c>
      <c r="DC608">
        <f>ROUND(ROUND(AT608*AG608,2),6)</f>
        <v>0</v>
      </c>
      <c r="DD608" t="s">
        <v>3</v>
      </c>
      <c r="DE608" t="s">
        <v>3</v>
      </c>
      <c r="DF608">
        <f>ROUND(ROUND(AE608*CX608,2)*AI608,2)</f>
        <v>1122.74</v>
      </c>
      <c r="DG608">
        <f t="shared" si="290"/>
        <v>0</v>
      </c>
      <c r="DH608">
        <f t="shared" si="291"/>
        <v>0</v>
      </c>
      <c r="DI608">
        <f t="shared" si="283"/>
        <v>0</v>
      </c>
      <c r="DJ608">
        <f>DF608</f>
        <v>1122.74</v>
      </c>
      <c r="DK608">
        <v>0</v>
      </c>
    </row>
    <row r="609" spans="1:115" x14ac:dyDescent="0.2">
      <c r="A609">
        <f>ROW(Source!A566)</f>
        <v>566</v>
      </c>
      <c r="B609">
        <v>129761636</v>
      </c>
      <c r="C609">
        <v>129763889</v>
      </c>
      <c r="D609">
        <v>37345142</v>
      </c>
      <c r="E609">
        <v>37345137</v>
      </c>
      <c r="F609">
        <v>1</v>
      </c>
      <c r="G609">
        <v>37345137</v>
      </c>
      <c r="H609">
        <v>1</v>
      </c>
      <c r="I609" t="s">
        <v>1096</v>
      </c>
      <c r="J609" t="s">
        <v>3</v>
      </c>
      <c r="K609" t="s">
        <v>1097</v>
      </c>
      <c r="L609">
        <v>1191</v>
      </c>
      <c r="N609">
        <v>1013</v>
      </c>
      <c r="O609" t="s">
        <v>1098</v>
      </c>
      <c r="P609" t="s">
        <v>1098</v>
      </c>
      <c r="Q609">
        <v>1</v>
      </c>
      <c r="W609">
        <v>0</v>
      </c>
      <c r="X609">
        <v>476480486</v>
      </c>
      <c r="Y609">
        <f>(AT609*1.15)</f>
        <v>205.85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1</v>
      </c>
      <c r="AJ609">
        <v>1</v>
      </c>
      <c r="AK609">
        <v>1</v>
      </c>
      <c r="AL609">
        <v>1</v>
      </c>
      <c r="AN609">
        <v>0</v>
      </c>
      <c r="AO609">
        <v>1</v>
      </c>
      <c r="AP609">
        <v>1</v>
      </c>
      <c r="AQ609">
        <v>0</v>
      </c>
      <c r="AR609">
        <v>0</v>
      </c>
      <c r="AS609" t="s">
        <v>3</v>
      </c>
      <c r="AT609">
        <v>179</v>
      </c>
      <c r="AU609" t="s">
        <v>87</v>
      </c>
      <c r="AV609">
        <v>1</v>
      </c>
      <c r="AW609">
        <v>2</v>
      </c>
      <c r="AX609">
        <v>129763906</v>
      </c>
      <c r="AY609">
        <v>1</v>
      </c>
      <c r="AZ609">
        <v>0</v>
      </c>
      <c r="BA609">
        <v>601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CX609">
        <f>ROUND(Y609*Source!I566,9)</f>
        <v>1.091005</v>
      </c>
      <c r="CY609">
        <f>AD609</f>
        <v>0</v>
      </c>
      <c r="CZ609">
        <f>AH609</f>
        <v>0</v>
      </c>
      <c r="DA609">
        <f>AL609</f>
        <v>1</v>
      </c>
      <c r="DB609">
        <f>ROUND((ROUND(AT609*CZ609,2)*1.15),6)</f>
        <v>0</v>
      </c>
      <c r="DC609">
        <f>ROUND((ROUND(AT609*AG609,2)*1.15),6)</f>
        <v>0</v>
      </c>
      <c r="DD609" t="s">
        <v>3</v>
      </c>
      <c r="DE609" t="s">
        <v>3</v>
      </c>
      <c r="DF609">
        <f t="shared" ref="DF609:DF631" si="292">ROUND(AE609*CX609,2)</f>
        <v>0</v>
      </c>
      <c r="DG609">
        <f t="shared" si="290"/>
        <v>0</v>
      </c>
      <c r="DH609">
        <f t="shared" si="291"/>
        <v>0</v>
      </c>
      <c r="DI609">
        <f t="shared" si="283"/>
        <v>0</v>
      </c>
      <c r="DJ609">
        <f>DI609</f>
        <v>0</v>
      </c>
      <c r="DK609">
        <v>0</v>
      </c>
    </row>
    <row r="610" spans="1:115" x14ac:dyDescent="0.2">
      <c r="A610">
        <f>ROW(Source!A566)</f>
        <v>566</v>
      </c>
      <c r="B610">
        <v>129761636</v>
      </c>
      <c r="C610">
        <v>129763889</v>
      </c>
      <c r="D610">
        <v>37418162</v>
      </c>
      <c r="E610">
        <v>1</v>
      </c>
      <c r="F610">
        <v>1</v>
      </c>
      <c r="G610">
        <v>37345137</v>
      </c>
      <c r="H610">
        <v>2</v>
      </c>
      <c r="I610" t="s">
        <v>1174</v>
      </c>
      <c r="J610" t="s">
        <v>1175</v>
      </c>
      <c r="K610" t="s">
        <v>1176</v>
      </c>
      <c r="L610">
        <v>1367</v>
      </c>
      <c r="N610">
        <v>1011</v>
      </c>
      <c r="O610" t="s">
        <v>1102</v>
      </c>
      <c r="P610" t="s">
        <v>1102</v>
      </c>
      <c r="Q610">
        <v>1</v>
      </c>
      <c r="W610">
        <v>0</v>
      </c>
      <c r="X610">
        <v>49912578</v>
      </c>
      <c r="Y610">
        <f t="shared" ref="Y610:Y615" si="293">(AT610*1.25)</f>
        <v>150</v>
      </c>
      <c r="AA610">
        <v>0</v>
      </c>
      <c r="AB610">
        <v>6.15</v>
      </c>
      <c r="AC610">
        <v>0.02</v>
      </c>
      <c r="AD610">
        <v>0</v>
      </c>
      <c r="AE610">
        <v>0</v>
      </c>
      <c r="AF610">
        <v>6.15</v>
      </c>
      <c r="AG610">
        <v>0.02</v>
      </c>
      <c r="AH610">
        <v>0</v>
      </c>
      <c r="AI610">
        <v>1</v>
      </c>
      <c r="AJ610">
        <v>1</v>
      </c>
      <c r="AK610">
        <v>1</v>
      </c>
      <c r="AL610">
        <v>1</v>
      </c>
      <c r="AN610">
        <v>0</v>
      </c>
      <c r="AO610">
        <v>1</v>
      </c>
      <c r="AP610">
        <v>1</v>
      </c>
      <c r="AQ610">
        <v>0</v>
      </c>
      <c r="AR610">
        <v>0</v>
      </c>
      <c r="AS610" t="s">
        <v>3</v>
      </c>
      <c r="AT610">
        <v>120</v>
      </c>
      <c r="AU610" t="s">
        <v>86</v>
      </c>
      <c r="AV610">
        <v>0</v>
      </c>
      <c r="AW610">
        <v>2</v>
      </c>
      <c r="AX610">
        <v>129763907</v>
      </c>
      <c r="AY610">
        <v>1</v>
      </c>
      <c r="AZ610">
        <v>0</v>
      </c>
      <c r="BA610">
        <v>602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CX610">
        <f>ROUND(Y610*Source!I566,9)</f>
        <v>0.79500000000000004</v>
      </c>
      <c r="CY610">
        <f t="shared" ref="CY610:CY615" si="294">AB610</f>
        <v>6.15</v>
      </c>
      <c r="CZ610">
        <f t="shared" ref="CZ610:CZ615" si="295">AF610</f>
        <v>6.15</v>
      </c>
      <c r="DA610">
        <f t="shared" ref="DA610:DA615" si="296">AJ610</f>
        <v>1</v>
      </c>
      <c r="DB610">
        <f t="shared" ref="DB610:DB615" si="297">ROUND((ROUND(AT610*CZ610,2)*1.25),6)</f>
        <v>922.5</v>
      </c>
      <c r="DC610">
        <f t="shared" ref="DC610:DC615" si="298">ROUND((ROUND(AT610*AG610,2)*1.25),6)</f>
        <v>3</v>
      </c>
      <c r="DD610" t="s">
        <v>3</v>
      </c>
      <c r="DE610" t="s">
        <v>3</v>
      </c>
      <c r="DF610">
        <f t="shared" si="292"/>
        <v>0</v>
      </c>
      <c r="DG610">
        <f t="shared" si="290"/>
        <v>4.8899999999999997</v>
      </c>
      <c r="DH610">
        <f t="shared" si="291"/>
        <v>0.02</v>
      </c>
      <c r="DI610">
        <f t="shared" si="283"/>
        <v>0</v>
      </c>
      <c r="DJ610">
        <f t="shared" ref="DJ610:DJ615" si="299">DG610</f>
        <v>4.8899999999999997</v>
      </c>
      <c r="DK610">
        <v>0</v>
      </c>
    </row>
    <row r="611" spans="1:115" x14ac:dyDescent="0.2">
      <c r="A611">
        <f>ROW(Source!A566)</f>
        <v>566</v>
      </c>
      <c r="B611">
        <v>129761636</v>
      </c>
      <c r="C611">
        <v>129763889</v>
      </c>
      <c r="D611">
        <v>37418445</v>
      </c>
      <c r="E611">
        <v>1</v>
      </c>
      <c r="F611">
        <v>1</v>
      </c>
      <c r="G611">
        <v>37345137</v>
      </c>
      <c r="H611">
        <v>2</v>
      </c>
      <c r="I611" t="s">
        <v>1189</v>
      </c>
      <c r="J611" t="s">
        <v>1190</v>
      </c>
      <c r="K611" t="s">
        <v>1191</v>
      </c>
      <c r="L611">
        <v>1367</v>
      </c>
      <c r="N611">
        <v>1011</v>
      </c>
      <c r="O611" t="s">
        <v>1102</v>
      </c>
      <c r="P611" t="s">
        <v>1102</v>
      </c>
      <c r="Q611">
        <v>1</v>
      </c>
      <c r="W611">
        <v>0</v>
      </c>
      <c r="X611">
        <v>-628430174</v>
      </c>
      <c r="Y611">
        <f t="shared" si="293"/>
        <v>1.6875</v>
      </c>
      <c r="AA611">
        <v>0</v>
      </c>
      <c r="AB611">
        <v>76.81</v>
      </c>
      <c r="AC611">
        <v>14.36</v>
      </c>
      <c r="AD611">
        <v>0</v>
      </c>
      <c r="AE611">
        <v>0</v>
      </c>
      <c r="AF611">
        <v>76.81</v>
      </c>
      <c r="AG611">
        <v>14.36</v>
      </c>
      <c r="AH611">
        <v>0</v>
      </c>
      <c r="AI611">
        <v>1</v>
      </c>
      <c r="AJ611">
        <v>1</v>
      </c>
      <c r="AK611">
        <v>1</v>
      </c>
      <c r="AL611">
        <v>1</v>
      </c>
      <c r="AN611">
        <v>0</v>
      </c>
      <c r="AO611">
        <v>1</v>
      </c>
      <c r="AP611">
        <v>1</v>
      </c>
      <c r="AQ611">
        <v>0</v>
      </c>
      <c r="AR611">
        <v>0</v>
      </c>
      <c r="AS611" t="s">
        <v>3</v>
      </c>
      <c r="AT611">
        <v>1.35</v>
      </c>
      <c r="AU611" t="s">
        <v>86</v>
      </c>
      <c r="AV611">
        <v>0</v>
      </c>
      <c r="AW611">
        <v>2</v>
      </c>
      <c r="AX611">
        <v>129763908</v>
      </c>
      <c r="AY611">
        <v>1</v>
      </c>
      <c r="AZ611">
        <v>0</v>
      </c>
      <c r="BA611">
        <v>603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CX611">
        <f>ROUND(Y611*Source!I566,9)</f>
        <v>8.9437500000000003E-3</v>
      </c>
      <c r="CY611">
        <f t="shared" si="294"/>
        <v>76.81</v>
      </c>
      <c r="CZ611">
        <f t="shared" si="295"/>
        <v>76.81</v>
      </c>
      <c r="DA611">
        <f t="shared" si="296"/>
        <v>1</v>
      </c>
      <c r="DB611">
        <f t="shared" si="297"/>
        <v>129.61250000000001</v>
      </c>
      <c r="DC611">
        <f t="shared" si="298"/>
        <v>24.237500000000001</v>
      </c>
      <c r="DD611" t="s">
        <v>3</v>
      </c>
      <c r="DE611" t="s">
        <v>3</v>
      </c>
      <c r="DF611">
        <f t="shared" si="292"/>
        <v>0</v>
      </c>
      <c r="DG611">
        <f t="shared" si="290"/>
        <v>0.69</v>
      </c>
      <c r="DH611">
        <f t="shared" si="291"/>
        <v>0.13</v>
      </c>
      <c r="DI611">
        <f t="shared" si="283"/>
        <v>0</v>
      </c>
      <c r="DJ611">
        <f t="shared" si="299"/>
        <v>0.69</v>
      </c>
      <c r="DK611">
        <v>0</v>
      </c>
    </row>
    <row r="612" spans="1:115" x14ac:dyDescent="0.2">
      <c r="A612">
        <f>ROW(Source!A566)</f>
        <v>566</v>
      </c>
      <c r="B612">
        <v>129761636</v>
      </c>
      <c r="C612">
        <v>129763889</v>
      </c>
      <c r="D612">
        <v>37418498</v>
      </c>
      <c r="E612">
        <v>1</v>
      </c>
      <c r="F612">
        <v>1</v>
      </c>
      <c r="G612">
        <v>37345137</v>
      </c>
      <c r="H612">
        <v>2</v>
      </c>
      <c r="I612" t="s">
        <v>1306</v>
      </c>
      <c r="J612" t="s">
        <v>1307</v>
      </c>
      <c r="K612" t="s">
        <v>1308</v>
      </c>
      <c r="L612">
        <v>1367</v>
      </c>
      <c r="N612">
        <v>1011</v>
      </c>
      <c r="O612" t="s">
        <v>1102</v>
      </c>
      <c r="P612" t="s">
        <v>1102</v>
      </c>
      <c r="Q612">
        <v>1</v>
      </c>
      <c r="W612">
        <v>0</v>
      </c>
      <c r="X612">
        <v>1189541023</v>
      </c>
      <c r="Y612">
        <f t="shared" si="293"/>
        <v>0.125</v>
      </c>
      <c r="AA612">
        <v>0</v>
      </c>
      <c r="AB612">
        <v>0.53</v>
      </c>
      <c r="AC612">
        <v>0.04</v>
      </c>
      <c r="AD612">
        <v>0</v>
      </c>
      <c r="AE612">
        <v>0</v>
      </c>
      <c r="AF612">
        <v>0.53</v>
      </c>
      <c r="AG612">
        <v>0.04</v>
      </c>
      <c r="AH612">
        <v>0</v>
      </c>
      <c r="AI612">
        <v>1</v>
      </c>
      <c r="AJ612">
        <v>1</v>
      </c>
      <c r="AK612">
        <v>1</v>
      </c>
      <c r="AL612">
        <v>1</v>
      </c>
      <c r="AN612">
        <v>0</v>
      </c>
      <c r="AO612">
        <v>1</v>
      </c>
      <c r="AP612">
        <v>1</v>
      </c>
      <c r="AQ612">
        <v>0</v>
      </c>
      <c r="AR612">
        <v>0</v>
      </c>
      <c r="AS612" t="s">
        <v>3</v>
      </c>
      <c r="AT612">
        <v>0.1</v>
      </c>
      <c r="AU612" t="s">
        <v>86</v>
      </c>
      <c r="AV612">
        <v>0</v>
      </c>
      <c r="AW612">
        <v>2</v>
      </c>
      <c r="AX612">
        <v>129763910</v>
      </c>
      <c r="AY612">
        <v>1</v>
      </c>
      <c r="AZ612">
        <v>0</v>
      </c>
      <c r="BA612">
        <v>604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CX612">
        <f>ROUND(Y612*Source!I566,9)</f>
        <v>6.625E-4</v>
      </c>
      <c r="CY612">
        <f t="shared" si="294"/>
        <v>0.53</v>
      </c>
      <c r="CZ612">
        <f t="shared" si="295"/>
        <v>0.53</v>
      </c>
      <c r="DA612">
        <f t="shared" si="296"/>
        <v>1</v>
      </c>
      <c r="DB612">
        <f t="shared" si="297"/>
        <v>6.25E-2</v>
      </c>
      <c r="DC612">
        <f t="shared" si="298"/>
        <v>0</v>
      </c>
      <c r="DD612" t="s">
        <v>3</v>
      </c>
      <c r="DE612" t="s">
        <v>3</v>
      </c>
      <c r="DF612">
        <f t="shared" si="292"/>
        <v>0</v>
      </c>
      <c r="DG612">
        <f t="shared" si="290"/>
        <v>0</v>
      </c>
      <c r="DH612">
        <f t="shared" si="291"/>
        <v>0</v>
      </c>
      <c r="DI612">
        <f t="shared" si="283"/>
        <v>0</v>
      </c>
      <c r="DJ612">
        <f t="shared" si="299"/>
        <v>0</v>
      </c>
      <c r="DK612">
        <v>0</v>
      </c>
    </row>
    <row r="613" spans="1:115" x14ac:dyDescent="0.2">
      <c r="A613">
        <f>ROW(Source!A566)</f>
        <v>566</v>
      </c>
      <c r="B613">
        <v>129761636</v>
      </c>
      <c r="C613">
        <v>129763889</v>
      </c>
      <c r="D613">
        <v>37417692</v>
      </c>
      <c r="E613">
        <v>1</v>
      </c>
      <c r="F613">
        <v>1</v>
      </c>
      <c r="G613">
        <v>37345137</v>
      </c>
      <c r="H613">
        <v>2</v>
      </c>
      <c r="I613" t="s">
        <v>1127</v>
      </c>
      <c r="J613" t="s">
        <v>1128</v>
      </c>
      <c r="K613" t="s">
        <v>1129</v>
      </c>
      <c r="L613">
        <v>1367</v>
      </c>
      <c r="N613">
        <v>1011</v>
      </c>
      <c r="O613" t="s">
        <v>1102</v>
      </c>
      <c r="P613" t="s">
        <v>1102</v>
      </c>
      <c r="Q613">
        <v>1</v>
      </c>
      <c r="W613">
        <v>0</v>
      </c>
      <c r="X613">
        <v>-266174272</v>
      </c>
      <c r="Y613">
        <f t="shared" si="293"/>
        <v>1.125</v>
      </c>
      <c r="AA613">
        <v>0</v>
      </c>
      <c r="AB613">
        <v>190.93</v>
      </c>
      <c r="AC613">
        <v>18.149999999999999</v>
      </c>
      <c r="AD613">
        <v>0</v>
      </c>
      <c r="AE613">
        <v>0</v>
      </c>
      <c r="AF613">
        <v>190.93</v>
      </c>
      <c r="AG613">
        <v>18.149999999999999</v>
      </c>
      <c r="AH613">
        <v>0</v>
      </c>
      <c r="AI613">
        <v>1</v>
      </c>
      <c r="AJ613">
        <v>1</v>
      </c>
      <c r="AK613">
        <v>1</v>
      </c>
      <c r="AL613">
        <v>1</v>
      </c>
      <c r="AN613">
        <v>0</v>
      </c>
      <c r="AO613">
        <v>1</v>
      </c>
      <c r="AP613">
        <v>1</v>
      </c>
      <c r="AQ613">
        <v>0</v>
      </c>
      <c r="AR613">
        <v>0</v>
      </c>
      <c r="AS613" t="s">
        <v>3</v>
      </c>
      <c r="AT613">
        <v>0.9</v>
      </c>
      <c r="AU613" t="s">
        <v>86</v>
      </c>
      <c r="AV613">
        <v>0</v>
      </c>
      <c r="AW613">
        <v>2</v>
      </c>
      <c r="AX613">
        <v>129763909</v>
      </c>
      <c r="AY613">
        <v>1</v>
      </c>
      <c r="AZ613">
        <v>0</v>
      </c>
      <c r="BA613">
        <v>605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CX613">
        <f>ROUND(Y613*Source!I566,9)</f>
        <v>5.9624999999999999E-3</v>
      </c>
      <c r="CY613">
        <f t="shared" si="294"/>
        <v>190.93</v>
      </c>
      <c r="CZ613">
        <f t="shared" si="295"/>
        <v>190.93</v>
      </c>
      <c r="DA613">
        <f t="shared" si="296"/>
        <v>1</v>
      </c>
      <c r="DB613">
        <f t="shared" si="297"/>
        <v>214.8</v>
      </c>
      <c r="DC613">
        <f t="shared" si="298"/>
        <v>20.425000000000001</v>
      </c>
      <c r="DD613" t="s">
        <v>3</v>
      </c>
      <c r="DE613" t="s">
        <v>3</v>
      </c>
      <c r="DF613">
        <f t="shared" si="292"/>
        <v>0</v>
      </c>
      <c r="DG613">
        <f t="shared" si="290"/>
        <v>1.1399999999999999</v>
      </c>
      <c r="DH613">
        <f t="shared" si="291"/>
        <v>0.11</v>
      </c>
      <c r="DI613">
        <f t="shared" si="283"/>
        <v>0</v>
      </c>
      <c r="DJ613">
        <f t="shared" si="299"/>
        <v>1.1399999999999999</v>
      </c>
      <c r="DK613">
        <v>0</v>
      </c>
    </row>
    <row r="614" spans="1:115" x14ac:dyDescent="0.2">
      <c r="A614">
        <f>ROW(Source!A566)</f>
        <v>566</v>
      </c>
      <c r="B614">
        <v>129761636</v>
      </c>
      <c r="C614">
        <v>129763889</v>
      </c>
      <c r="D614">
        <v>37417785</v>
      </c>
      <c r="E614">
        <v>1</v>
      </c>
      <c r="F614">
        <v>1</v>
      </c>
      <c r="G614">
        <v>37345137</v>
      </c>
      <c r="H614">
        <v>2</v>
      </c>
      <c r="I614" t="s">
        <v>1309</v>
      </c>
      <c r="J614" t="s">
        <v>1310</v>
      </c>
      <c r="K614" t="s">
        <v>1311</v>
      </c>
      <c r="L614">
        <v>1367</v>
      </c>
      <c r="N614">
        <v>1011</v>
      </c>
      <c r="O614" t="s">
        <v>1102</v>
      </c>
      <c r="P614" t="s">
        <v>1102</v>
      </c>
      <c r="Q614">
        <v>1</v>
      </c>
      <c r="W614">
        <v>0</v>
      </c>
      <c r="X614">
        <v>482200787</v>
      </c>
      <c r="Y614">
        <f t="shared" si="293"/>
        <v>0.3125</v>
      </c>
      <c r="AA614">
        <v>0</v>
      </c>
      <c r="AB614">
        <v>73</v>
      </c>
      <c r="AC614">
        <v>16.899999999999999</v>
      </c>
      <c r="AD614">
        <v>0</v>
      </c>
      <c r="AE614">
        <v>0</v>
      </c>
      <c r="AF614">
        <v>73</v>
      </c>
      <c r="AG614">
        <v>16.899999999999999</v>
      </c>
      <c r="AH614">
        <v>0</v>
      </c>
      <c r="AI614">
        <v>1</v>
      </c>
      <c r="AJ614">
        <v>1</v>
      </c>
      <c r="AK614">
        <v>1</v>
      </c>
      <c r="AL614">
        <v>1</v>
      </c>
      <c r="AN614">
        <v>0</v>
      </c>
      <c r="AO614">
        <v>1</v>
      </c>
      <c r="AP614">
        <v>1</v>
      </c>
      <c r="AQ614">
        <v>0</v>
      </c>
      <c r="AR614">
        <v>0</v>
      </c>
      <c r="AS614" t="s">
        <v>3</v>
      </c>
      <c r="AT614">
        <v>0.25</v>
      </c>
      <c r="AU614" t="s">
        <v>86</v>
      </c>
      <c r="AV614">
        <v>0</v>
      </c>
      <c r="AW614">
        <v>2</v>
      </c>
      <c r="AX614">
        <v>129763911</v>
      </c>
      <c r="AY614">
        <v>1</v>
      </c>
      <c r="AZ614">
        <v>0</v>
      </c>
      <c r="BA614">
        <v>606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CX614">
        <f>ROUND(Y614*Source!I566,9)</f>
        <v>1.65625E-3</v>
      </c>
      <c r="CY614">
        <f t="shared" si="294"/>
        <v>73</v>
      </c>
      <c r="CZ614">
        <f t="shared" si="295"/>
        <v>73</v>
      </c>
      <c r="DA614">
        <f t="shared" si="296"/>
        <v>1</v>
      </c>
      <c r="DB614">
        <f t="shared" si="297"/>
        <v>22.8125</v>
      </c>
      <c r="DC614">
        <f t="shared" si="298"/>
        <v>5.2874999999999996</v>
      </c>
      <c r="DD614" t="s">
        <v>3</v>
      </c>
      <c r="DE614" t="s">
        <v>3</v>
      </c>
      <c r="DF614">
        <f t="shared" si="292"/>
        <v>0</v>
      </c>
      <c r="DG614">
        <f t="shared" si="290"/>
        <v>0.12</v>
      </c>
      <c r="DH614">
        <f t="shared" si="291"/>
        <v>0.03</v>
      </c>
      <c r="DI614">
        <f t="shared" si="283"/>
        <v>0</v>
      </c>
      <c r="DJ614">
        <f t="shared" si="299"/>
        <v>0.12</v>
      </c>
      <c r="DK614">
        <v>0</v>
      </c>
    </row>
    <row r="615" spans="1:115" x14ac:dyDescent="0.2">
      <c r="A615">
        <f>ROW(Source!A566)</f>
        <v>566</v>
      </c>
      <c r="B615">
        <v>129761636</v>
      </c>
      <c r="C615">
        <v>129763889</v>
      </c>
      <c r="D615">
        <v>37417976</v>
      </c>
      <c r="E615">
        <v>1</v>
      </c>
      <c r="F615">
        <v>1</v>
      </c>
      <c r="G615">
        <v>37345137</v>
      </c>
      <c r="H615">
        <v>2</v>
      </c>
      <c r="I615" t="s">
        <v>1312</v>
      </c>
      <c r="J615" t="s">
        <v>1313</v>
      </c>
      <c r="K615" t="s">
        <v>1314</v>
      </c>
      <c r="L615">
        <v>1367</v>
      </c>
      <c r="N615">
        <v>1011</v>
      </c>
      <c r="O615" t="s">
        <v>1102</v>
      </c>
      <c r="P615" t="s">
        <v>1102</v>
      </c>
      <c r="Q615">
        <v>1</v>
      </c>
      <c r="W615">
        <v>0</v>
      </c>
      <c r="X615">
        <v>1059521099</v>
      </c>
      <c r="Y615">
        <f t="shared" si="293"/>
        <v>11.25</v>
      </c>
      <c r="AA615">
        <v>0</v>
      </c>
      <c r="AB615">
        <v>2.06</v>
      </c>
      <c r="AC615">
        <v>0.09</v>
      </c>
      <c r="AD615">
        <v>0</v>
      </c>
      <c r="AE615">
        <v>0</v>
      </c>
      <c r="AF615">
        <v>2.06</v>
      </c>
      <c r="AG615">
        <v>0.09</v>
      </c>
      <c r="AH615">
        <v>0</v>
      </c>
      <c r="AI615">
        <v>1</v>
      </c>
      <c r="AJ615">
        <v>1</v>
      </c>
      <c r="AK615">
        <v>1</v>
      </c>
      <c r="AL615">
        <v>1</v>
      </c>
      <c r="AN615">
        <v>0</v>
      </c>
      <c r="AO615">
        <v>1</v>
      </c>
      <c r="AP615">
        <v>1</v>
      </c>
      <c r="AQ615">
        <v>0</v>
      </c>
      <c r="AR615">
        <v>0</v>
      </c>
      <c r="AS615" t="s">
        <v>3</v>
      </c>
      <c r="AT615">
        <v>9</v>
      </c>
      <c r="AU615" t="s">
        <v>86</v>
      </c>
      <c r="AV615">
        <v>0</v>
      </c>
      <c r="AW615">
        <v>2</v>
      </c>
      <c r="AX615">
        <v>129763912</v>
      </c>
      <c r="AY615">
        <v>1</v>
      </c>
      <c r="AZ615">
        <v>0</v>
      </c>
      <c r="BA615">
        <v>607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CX615">
        <f>ROUND(Y615*Source!I566,9)</f>
        <v>5.9624999999999997E-2</v>
      </c>
      <c r="CY615">
        <f t="shared" si="294"/>
        <v>2.06</v>
      </c>
      <c r="CZ615">
        <f t="shared" si="295"/>
        <v>2.06</v>
      </c>
      <c r="DA615">
        <f t="shared" si="296"/>
        <v>1</v>
      </c>
      <c r="DB615">
        <f t="shared" si="297"/>
        <v>23.175000000000001</v>
      </c>
      <c r="DC615">
        <f t="shared" si="298"/>
        <v>1.0125</v>
      </c>
      <c r="DD615" t="s">
        <v>3</v>
      </c>
      <c r="DE615" t="s">
        <v>3</v>
      </c>
      <c r="DF615">
        <f t="shared" si="292"/>
        <v>0</v>
      </c>
      <c r="DG615">
        <f t="shared" si="290"/>
        <v>0.12</v>
      </c>
      <c r="DH615">
        <f t="shared" si="291"/>
        <v>0.01</v>
      </c>
      <c r="DI615">
        <f t="shared" si="283"/>
        <v>0</v>
      </c>
      <c r="DJ615">
        <f t="shared" si="299"/>
        <v>0.12</v>
      </c>
      <c r="DK615">
        <v>0</v>
      </c>
    </row>
    <row r="616" spans="1:115" x14ac:dyDescent="0.2">
      <c r="A616">
        <f>ROW(Source!A566)</f>
        <v>566</v>
      </c>
      <c r="B616">
        <v>129761636</v>
      </c>
      <c r="C616">
        <v>129763889</v>
      </c>
      <c r="D616">
        <v>37393552</v>
      </c>
      <c r="E616">
        <v>1</v>
      </c>
      <c r="F616">
        <v>1</v>
      </c>
      <c r="G616">
        <v>37345137</v>
      </c>
      <c r="H616">
        <v>3</v>
      </c>
      <c r="I616" t="s">
        <v>348</v>
      </c>
      <c r="J616" t="s">
        <v>350</v>
      </c>
      <c r="K616" t="s">
        <v>349</v>
      </c>
      <c r="L616">
        <v>1339</v>
      </c>
      <c r="N616">
        <v>1007</v>
      </c>
      <c r="O616" t="s">
        <v>94</v>
      </c>
      <c r="P616" t="s">
        <v>94</v>
      </c>
      <c r="Q616">
        <v>1</v>
      </c>
      <c r="W616">
        <v>0</v>
      </c>
      <c r="X616">
        <v>-862991314</v>
      </c>
      <c r="Y616">
        <f t="shared" ref="Y616:Y624" si="300">AT616</f>
        <v>0.73</v>
      </c>
      <c r="AA616">
        <v>7.07</v>
      </c>
      <c r="AB616">
        <v>0</v>
      </c>
      <c r="AC616">
        <v>0</v>
      </c>
      <c r="AD616">
        <v>0</v>
      </c>
      <c r="AE616">
        <v>7.07</v>
      </c>
      <c r="AF616">
        <v>0</v>
      </c>
      <c r="AG616">
        <v>0</v>
      </c>
      <c r="AH616">
        <v>0</v>
      </c>
      <c r="AI616">
        <v>1</v>
      </c>
      <c r="AJ616">
        <v>1</v>
      </c>
      <c r="AK616">
        <v>1</v>
      </c>
      <c r="AL616">
        <v>1</v>
      </c>
      <c r="AN616">
        <v>0</v>
      </c>
      <c r="AO616">
        <v>1</v>
      </c>
      <c r="AP616">
        <v>0</v>
      </c>
      <c r="AQ616">
        <v>0</v>
      </c>
      <c r="AR616">
        <v>0</v>
      </c>
      <c r="AS616" t="s">
        <v>3</v>
      </c>
      <c r="AT616">
        <v>0.73</v>
      </c>
      <c r="AU616" t="s">
        <v>3</v>
      </c>
      <c r="AV616">
        <v>0</v>
      </c>
      <c r="AW616">
        <v>2</v>
      </c>
      <c r="AX616">
        <v>129763914</v>
      </c>
      <c r="AY616">
        <v>1</v>
      </c>
      <c r="AZ616">
        <v>0</v>
      </c>
      <c r="BA616">
        <v>609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CX616">
        <f>ROUND(Y616*Source!I566,9)</f>
        <v>3.869E-3</v>
      </c>
      <c r="CY616">
        <f t="shared" ref="CY616:CY624" si="301">AA616</f>
        <v>7.07</v>
      </c>
      <c r="CZ616">
        <f t="shared" ref="CZ616:CZ624" si="302">AE616</f>
        <v>7.07</v>
      </c>
      <c r="DA616">
        <f t="shared" ref="DA616:DA624" si="303">AI616</f>
        <v>1</v>
      </c>
      <c r="DB616">
        <f t="shared" ref="DB616:DB624" si="304">ROUND(ROUND(AT616*CZ616,2),6)</f>
        <v>5.16</v>
      </c>
      <c r="DC616">
        <f t="shared" ref="DC616:DC624" si="305">ROUND(ROUND(AT616*AG616,2),6)</f>
        <v>0</v>
      </c>
      <c r="DD616" t="s">
        <v>3</v>
      </c>
      <c r="DE616" t="s">
        <v>3</v>
      </c>
      <c r="DF616">
        <f t="shared" si="292"/>
        <v>0.03</v>
      </c>
      <c r="DG616">
        <f t="shared" si="290"/>
        <v>0</v>
      </c>
      <c r="DH616">
        <f t="shared" si="291"/>
        <v>0</v>
      </c>
      <c r="DI616">
        <f t="shared" si="283"/>
        <v>0</v>
      </c>
      <c r="DJ616">
        <f t="shared" ref="DJ616:DJ624" si="306">DF616</f>
        <v>0.03</v>
      </c>
      <c r="DK616">
        <v>0</v>
      </c>
    </row>
    <row r="617" spans="1:115" x14ac:dyDescent="0.2">
      <c r="A617">
        <f>ROW(Source!A566)</f>
        <v>566</v>
      </c>
      <c r="B617">
        <v>129761636</v>
      </c>
      <c r="C617">
        <v>129763889</v>
      </c>
      <c r="D617">
        <v>37393565</v>
      </c>
      <c r="E617">
        <v>1</v>
      </c>
      <c r="F617">
        <v>1</v>
      </c>
      <c r="G617">
        <v>37345137</v>
      </c>
      <c r="H617">
        <v>3</v>
      </c>
      <c r="I617" t="s">
        <v>1198</v>
      </c>
      <c r="J617" t="s">
        <v>1199</v>
      </c>
      <c r="K617" t="s">
        <v>1200</v>
      </c>
      <c r="L617">
        <v>1348</v>
      </c>
      <c r="N617">
        <v>1009</v>
      </c>
      <c r="O617" t="s">
        <v>114</v>
      </c>
      <c r="P617" t="s">
        <v>114</v>
      </c>
      <c r="Q617">
        <v>1000</v>
      </c>
      <c r="W617">
        <v>0</v>
      </c>
      <c r="X617">
        <v>563176784</v>
      </c>
      <c r="Y617">
        <f t="shared" si="300"/>
        <v>2E-3</v>
      </c>
      <c r="AA617">
        <v>6521.42</v>
      </c>
      <c r="AB617">
        <v>0</v>
      </c>
      <c r="AC617">
        <v>0</v>
      </c>
      <c r="AD617">
        <v>0</v>
      </c>
      <c r="AE617">
        <v>6521.42</v>
      </c>
      <c r="AF617">
        <v>0</v>
      </c>
      <c r="AG617">
        <v>0</v>
      </c>
      <c r="AH617">
        <v>0</v>
      </c>
      <c r="AI617">
        <v>1</v>
      </c>
      <c r="AJ617">
        <v>1</v>
      </c>
      <c r="AK617">
        <v>1</v>
      </c>
      <c r="AL617">
        <v>1</v>
      </c>
      <c r="AN617">
        <v>0</v>
      </c>
      <c r="AO617">
        <v>1</v>
      </c>
      <c r="AP617">
        <v>0</v>
      </c>
      <c r="AQ617">
        <v>0</v>
      </c>
      <c r="AR617">
        <v>0</v>
      </c>
      <c r="AS617" t="s">
        <v>3</v>
      </c>
      <c r="AT617">
        <v>2E-3</v>
      </c>
      <c r="AU617" t="s">
        <v>3</v>
      </c>
      <c r="AV617">
        <v>0</v>
      </c>
      <c r="AW617">
        <v>2</v>
      </c>
      <c r="AX617">
        <v>129763915</v>
      </c>
      <c r="AY617">
        <v>1</v>
      </c>
      <c r="AZ617">
        <v>0</v>
      </c>
      <c r="BA617">
        <v>610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CX617">
        <f>ROUND(Y617*Source!I566,9)</f>
        <v>1.06E-5</v>
      </c>
      <c r="CY617">
        <f t="shared" si="301"/>
        <v>6521.42</v>
      </c>
      <c r="CZ617">
        <f t="shared" si="302"/>
        <v>6521.42</v>
      </c>
      <c r="DA617">
        <f t="shared" si="303"/>
        <v>1</v>
      </c>
      <c r="DB617">
        <f t="shared" si="304"/>
        <v>13.04</v>
      </c>
      <c r="DC617">
        <f t="shared" si="305"/>
        <v>0</v>
      </c>
      <c r="DD617" t="s">
        <v>3</v>
      </c>
      <c r="DE617" t="s">
        <v>3</v>
      </c>
      <c r="DF617">
        <f t="shared" si="292"/>
        <v>7.0000000000000007E-2</v>
      </c>
      <c r="DG617">
        <f t="shared" si="290"/>
        <v>0</v>
      </c>
      <c r="DH617">
        <f t="shared" si="291"/>
        <v>0</v>
      </c>
      <c r="DI617">
        <f t="shared" si="283"/>
        <v>0</v>
      </c>
      <c r="DJ617">
        <f t="shared" si="306"/>
        <v>7.0000000000000007E-2</v>
      </c>
      <c r="DK617">
        <v>0</v>
      </c>
    </row>
    <row r="618" spans="1:115" x14ac:dyDescent="0.2">
      <c r="A618">
        <f>ROW(Source!A566)</f>
        <v>566</v>
      </c>
      <c r="B618">
        <v>129761636</v>
      </c>
      <c r="C618">
        <v>129763889</v>
      </c>
      <c r="D618">
        <v>37394864</v>
      </c>
      <c r="E618">
        <v>1</v>
      </c>
      <c r="F618">
        <v>1</v>
      </c>
      <c r="G618">
        <v>37345137</v>
      </c>
      <c r="H618">
        <v>3</v>
      </c>
      <c r="I618" t="s">
        <v>1147</v>
      </c>
      <c r="J618" t="s">
        <v>1148</v>
      </c>
      <c r="K618" t="s">
        <v>1149</v>
      </c>
      <c r="L618">
        <v>1348</v>
      </c>
      <c r="N618">
        <v>1009</v>
      </c>
      <c r="O618" t="s">
        <v>114</v>
      </c>
      <c r="P618" t="s">
        <v>114</v>
      </c>
      <c r="Q618">
        <v>1000</v>
      </c>
      <c r="W618">
        <v>0</v>
      </c>
      <c r="X618">
        <v>1310716689</v>
      </c>
      <c r="Y618">
        <f t="shared" si="300"/>
        <v>0.16</v>
      </c>
      <c r="AA618">
        <v>7191.81</v>
      </c>
      <c r="AB618">
        <v>0</v>
      </c>
      <c r="AC618">
        <v>0</v>
      </c>
      <c r="AD618">
        <v>0</v>
      </c>
      <c r="AE618">
        <v>7191.81</v>
      </c>
      <c r="AF618">
        <v>0</v>
      </c>
      <c r="AG618">
        <v>0</v>
      </c>
      <c r="AH618">
        <v>0</v>
      </c>
      <c r="AI618">
        <v>1</v>
      </c>
      <c r="AJ618">
        <v>1</v>
      </c>
      <c r="AK618">
        <v>1</v>
      </c>
      <c r="AL618">
        <v>1</v>
      </c>
      <c r="AN618">
        <v>0</v>
      </c>
      <c r="AO618">
        <v>1</v>
      </c>
      <c r="AP618">
        <v>0</v>
      </c>
      <c r="AQ618">
        <v>0</v>
      </c>
      <c r="AR618">
        <v>0</v>
      </c>
      <c r="AS618" t="s">
        <v>3</v>
      </c>
      <c r="AT618">
        <v>0.16</v>
      </c>
      <c r="AU618" t="s">
        <v>3</v>
      </c>
      <c r="AV618">
        <v>0</v>
      </c>
      <c r="AW618">
        <v>2</v>
      </c>
      <c r="AX618">
        <v>129763916</v>
      </c>
      <c r="AY618">
        <v>1</v>
      </c>
      <c r="AZ618">
        <v>0</v>
      </c>
      <c r="BA618">
        <v>611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CX618">
        <f>ROUND(Y618*Source!I566,9)</f>
        <v>8.4800000000000001E-4</v>
      </c>
      <c r="CY618">
        <f t="shared" si="301"/>
        <v>7191.81</v>
      </c>
      <c r="CZ618">
        <f t="shared" si="302"/>
        <v>7191.81</v>
      </c>
      <c r="DA618">
        <f t="shared" si="303"/>
        <v>1</v>
      </c>
      <c r="DB618">
        <f t="shared" si="304"/>
        <v>1150.69</v>
      </c>
      <c r="DC618">
        <f t="shared" si="305"/>
        <v>0</v>
      </c>
      <c r="DD618" t="s">
        <v>3</v>
      </c>
      <c r="DE618" t="s">
        <v>3</v>
      </c>
      <c r="DF618">
        <f t="shared" si="292"/>
        <v>6.1</v>
      </c>
      <c r="DG618">
        <f t="shared" si="290"/>
        <v>0</v>
      </c>
      <c r="DH618">
        <f t="shared" si="291"/>
        <v>0</v>
      </c>
      <c r="DI618">
        <f t="shared" si="283"/>
        <v>0</v>
      </c>
      <c r="DJ618">
        <f t="shared" si="306"/>
        <v>6.1</v>
      </c>
      <c r="DK618">
        <v>0</v>
      </c>
    </row>
    <row r="619" spans="1:115" x14ac:dyDescent="0.2">
      <c r="A619">
        <f>ROW(Source!A566)</f>
        <v>566</v>
      </c>
      <c r="B619">
        <v>129761636</v>
      </c>
      <c r="C619">
        <v>129763889</v>
      </c>
      <c r="D619">
        <v>37393656</v>
      </c>
      <c r="E619">
        <v>1</v>
      </c>
      <c r="F619">
        <v>1</v>
      </c>
      <c r="G619">
        <v>37345137</v>
      </c>
      <c r="H619">
        <v>3</v>
      </c>
      <c r="I619" t="s">
        <v>1315</v>
      </c>
      <c r="J619" t="s">
        <v>1316</v>
      </c>
      <c r="K619" t="s">
        <v>1317</v>
      </c>
      <c r="L619">
        <v>1339</v>
      </c>
      <c r="N619">
        <v>1007</v>
      </c>
      <c r="O619" t="s">
        <v>94</v>
      </c>
      <c r="P619" t="s">
        <v>94</v>
      </c>
      <c r="Q619">
        <v>1</v>
      </c>
      <c r="W619">
        <v>0</v>
      </c>
      <c r="X619">
        <v>-1939393675</v>
      </c>
      <c r="Y619">
        <f t="shared" si="300"/>
        <v>0.04</v>
      </c>
      <c r="AA619">
        <v>1828.56</v>
      </c>
      <c r="AB619">
        <v>0</v>
      </c>
      <c r="AC619">
        <v>0</v>
      </c>
      <c r="AD619">
        <v>0</v>
      </c>
      <c r="AE619">
        <v>1828.56</v>
      </c>
      <c r="AF619">
        <v>0</v>
      </c>
      <c r="AG619">
        <v>0</v>
      </c>
      <c r="AH619">
        <v>0</v>
      </c>
      <c r="AI619">
        <v>1</v>
      </c>
      <c r="AJ619">
        <v>1</v>
      </c>
      <c r="AK619">
        <v>1</v>
      </c>
      <c r="AL619">
        <v>1</v>
      </c>
      <c r="AN619">
        <v>0</v>
      </c>
      <c r="AO619">
        <v>1</v>
      </c>
      <c r="AP619">
        <v>0</v>
      </c>
      <c r="AQ619">
        <v>0</v>
      </c>
      <c r="AR619">
        <v>0</v>
      </c>
      <c r="AS619" t="s">
        <v>3</v>
      </c>
      <c r="AT619">
        <v>0.04</v>
      </c>
      <c r="AU619" t="s">
        <v>3</v>
      </c>
      <c r="AV619">
        <v>0</v>
      </c>
      <c r="AW619">
        <v>2</v>
      </c>
      <c r="AX619">
        <v>129763917</v>
      </c>
      <c r="AY619">
        <v>1</v>
      </c>
      <c r="AZ619">
        <v>0</v>
      </c>
      <c r="BA619">
        <v>612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CX619">
        <f>ROUND(Y619*Source!I566,9)</f>
        <v>2.12E-4</v>
      </c>
      <c r="CY619">
        <f t="shared" si="301"/>
        <v>1828.56</v>
      </c>
      <c r="CZ619">
        <f t="shared" si="302"/>
        <v>1828.56</v>
      </c>
      <c r="DA619">
        <f t="shared" si="303"/>
        <v>1</v>
      </c>
      <c r="DB619">
        <f t="shared" si="304"/>
        <v>73.14</v>
      </c>
      <c r="DC619">
        <f t="shared" si="305"/>
        <v>0</v>
      </c>
      <c r="DD619" t="s">
        <v>3</v>
      </c>
      <c r="DE619" t="s">
        <v>3</v>
      </c>
      <c r="DF619">
        <f t="shared" si="292"/>
        <v>0.39</v>
      </c>
      <c r="DG619">
        <f t="shared" si="290"/>
        <v>0</v>
      </c>
      <c r="DH619">
        <f t="shared" si="291"/>
        <v>0</v>
      </c>
      <c r="DI619">
        <f t="shared" si="283"/>
        <v>0</v>
      </c>
      <c r="DJ619">
        <f t="shared" si="306"/>
        <v>0.39</v>
      </c>
      <c r="DK619">
        <v>0</v>
      </c>
    </row>
    <row r="620" spans="1:115" x14ac:dyDescent="0.2">
      <c r="A620">
        <f>ROW(Source!A566)</f>
        <v>566</v>
      </c>
      <c r="B620">
        <v>129761636</v>
      </c>
      <c r="C620">
        <v>129763889</v>
      </c>
      <c r="D620">
        <v>37393683</v>
      </c>
      <c r="E620">
        <v>1</v>
      </c>
      <c r="F620">
        <v>1</v>
      </c>
      <c r="G620">
        <v>37345137</v>
      </c>
      <c r="H620">
        <v>3</v>
      </c>
      <c r="I620" t="s">
        <v>1318</v>
      </c>
      <c r="J620" t="s">
        <v>1319</v>
      </c>
      <c r="K620" t="s">
        <v>1320</v>
      </c>
      <c r="L620">
        <v>1348</v>
      </c>
      <c r="N620">
        <v>1009</v>
      </c>
      <c r="O620" t="s">
        <v>114</v>
      </c>
      <c r="P620" t="s">
        <v>114</v>
      </c>
      <c r="Q620">
        <v>1000</v>
      </c>
      <c r="W620">
        <v>0</v>
      </c>
      <c r="X620">
        <v>-1753839253</v>
      </c>
      <c r="Y620">
        <f t="shared" si="300"/>
        <v>0.01</v>
      </c>
      <c r="AA620">
        <v>1260.72</v>
      </c>
      <c r="AB620">
        <v>0</v>
      </c>
      <c r="AC620">
        <v>0</v>
      </c>
      <c r="AD620">
        <v>0</v>
      </c>
      <c r="AE620">
        <v>1260.72</v>
      </c>
      <c r="AF620">
        <v>0</v>
      </c>
      <c r="AG620">
        <v>0</v>
      </c>
      <c r="AH620">
        <v>0</v>
      </c>
      <c r="AI620">
        <v>1</v>
      </c>
      <c r="AJ620">
        <v>1</v>
      </c>
      <c r="AK620">
        <v>1</v>
      </c>
      <c r="AL620">
        <v>1</v>
      </c>
      <c r="AN620">
        <v>0</v>
      </c>
      <c r="AO620">
        <v>1</v>
      </c>
      <c r="AP620">
        <v>0</v>
      </c>
      <c r="AQ620">
        <v>0</v>
      </c>
      <c r="AR620">
        <v>0</v>
      </c>
      <c r="AS620" t="s">
        <v>3</v>
      </c>
      <c r="AT620">
        <v>0.01</v>
      </c>
      <c r="AU620" t="s">
        <v>3</v>
      </c>
      <c r="AV620">
        <v>0</v>
      </c>
      <c r="AW620">
        <v>2</v>
      </c>
      <c r="AX620">
        <v>129763918</v>
      </c>
      <c r="AY620">
        <v>1</v>
      </c>
      <c r="AZ620">
        <v>0</v>
      </c>
      <c r="BA620">
        <v>613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CX620">
        <f>ROUND(Y620*Source!I566,9)</f>
        <v>5.3000000000000001E-5</v>
      </c>
      <c r="CY620">
        <f t="shared" si="301"/>
        <v>1260.72</v>
      </c>
      <c r="CZ620">
        <f t="shared" si="302"/>
        <v>1260.72</v>
      </c>
      <c r="DA620">
        <f t="shared" si="303"/>
        <v>1</v>
      </c>
      <c r="DB620">
        <f t="shared" si="304"/>
        <v>12.61</v>
      </c>
      <c r="DC620">
        <f t="shared" si="305"/>
        <v>0</v>
      </c>
      <c r="DD620" t="s">
        <v>3</v>
      </c>
      <c r="DE620" t="s">
        <v>3</v>
      </c>
      <c r="DF620">
        <f t="shared" si="292"/>
        <v>7.0000000000000007E-2</v>
      </c>
      <c r="DG620">
        <f t="shared" si="290"/>
        <v>0</v>
      </c>
      <c r="DH620">
        <f t="shared" si="291"/>
        <v>0</v>
      </c>
      <c r="DI620">
        <f t="shared" si="283"/>
        <v>0</v>
      </c>
      <c r="DJ620">
        <f t="shared" si="306"/>
        <v>7.0000000000000007E-2</v>
      </c>
      <c r="DK620">
        <v>0</v>
      </c>
    </row>
    <row r="621" spans="1:115" x14ac:dyDescent="0.2">
      <c r="A621">
        <f>ROW(Source!A566)</f>
        <v>566</v>
      </c>
      <c r="B621">
        <v>129761636</v>
      </c>
      <c r="C621">
        <v>129763889</v>
      </c>
      <c r="D621">
        <v>37394035</v>
      </c>
      <c r="E621">
        <v>1</v>
      </c>
      <c r="F621">
        <v>1</v>
      </c>
      <c r="G621">
        <v>37345137</v>
      </c>
      <c r="H621">
        <v>3</v>
      </c>
      <c r="I621" t="s">
        <v>1321</v>
      </c>
      <c r="J621" t="s">
        <v>1322</v>
      </c>
      <c r="K621" t="s">
        <v>1323</v>
      </c>
      <c r="L621">
        <v>1327</v>
      </c>
      <c r="N621">
        <v>1005</v>
      </c>
      <c r="O621" t="s">
        <v>258</v>
      </c>
      <c r="P621" t="s">
        <v>258</v>
      </c>
      <c r="Q621">
        <v>1</v>
      </c>
      <c r="W621">
        <v>0</v>
      </c>
      <c r="X621">
        <v>-1476054991</v>
      </c>
      <c r="Y621">
        <f t="shared" si="300"/>
        <v>30</v>
      </c>
      <c r="AA621">
        <v>7.39</v>
      </c>
      <c r="AB621">
        <v>0</v>
      </c>
      <c r="AC621">
        <v>0</v>
      </c>
      <c r="AD621">
        <v>0</v>
      </c>
      <c r="AE621">
        <v>7.39</v>
      </c>
      <c r="AF621">
        <v>0</v>
      </c>
      <c r="AG621">
        <v>0</v>
      </c>
      <c r="AH621">
        <v>0</v>
      </c>
      <c r="AI621">
        <v>1</v>
      </c>
      <c r="AJ621">
        <v>1</v>
      </c>
      <c r="AK621">
        <v>1</v>
      </c>
      <c r="AL621">
        <v>1</v>
      </c>
      <c r="AN621">
        <v>0</v>
      </c>
      <c r="AO621">
        <v>1</v>
      </c>
      <c r="AP621">
        <v>0</v>
      </c>
      <c r="AQ621">
        <v>0</v>
      </c>
      <c r="AR621">
        <v>0</v>
      </c>
      <c r="AS621" t="s">
        <v>3</v>
      </c>
      <c r="AT621">
        <v>30</v>
      </c>
      <c r="AU621" t="s">
        <v>3</v>
      </c>
      <c r="AV621">
        <v>0</v>
      </c>
      <c r="AW621">
        <v>2</v>
      </c>
      <c r="AX621">
        <v>129763919</v>
      </c>
      <c r="AY621">
        <v>1</v>
      </c>
      <c r="AZ621">
        <v>0</v>
      </c>
      <c r="BA621">
        <v>614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CX621">
        <f>ROUND(Y621*Source!I566,9)</f>
        <v>0.159</v>
      </c>
      <c r="CY621">
        <f t="shared" si="301"/>
        <v>7.39</v>
      </c>
      <c r="CZ621">
        <f t="shared" si="302"/>
        <v>7.39</v>
      </c>
      <c r="DA621">
        <f t="shared" si="303"/>
        <v>1</v>
      </c>
      <c r="DB621">
        <f t="shared" si="304"/>
        <v>221.7</v>
      </c>
      <c r="DC621">
        <f t="shared" si="305"/>
        <v>0</v>
      </c>
      <c r="DD621" t="s">
        <v>3</v>
      </c>
      <c r="DE621" t="s">
        <v>3</v>
      </c>
      <c r="DF621">
        <f t="shared" si="292"/>
        <v>1.18</v>
      </c>
      <c r="DG621">
        <f t="shared" si="290"/>
        <v>0</v>
      </c>
      <c r="DH621">
        <f t="shared" si="291"/>
        <v>0</v>
      </c>
      <c r="DI621">
        <f t="shared" si="283"/>
        <v>0</v>
      </c>
      <c r="DJ621">
        <f t="shared" si="306"/>
        <v>1.18</v>
      </c>
      <c r="DK621">
        <v>0</v>
      </c>
    </row>
    <row r="622" spans="1:115" x14ac:dyDescent="0.2">
      <c r="A622">
        <f>ROW(Source!A566)</f>
        <v>566</v>
      </c>
      <c r="B622">
        <v>129761636</v>
      </c>
      <c r="C622">
        <v>129763889</v>
      </c>
      <c r="D622">
        <v>37412028</v>
      </c>
      <c r="E622">
        <v>1</v>
      </c>
      <c r="F622">
        <v>1</v>
      </c>
      <c r="G622">
        <v>37345137</v>
      </c>
      <c r="H622">
        <v>3</v>
      </c>
      <c r="I622" t="s">
        <v>537</v>
      </c>
      <c r="J622" t="s">
        <v>601</v>
      </c>
      <c r="K622" t="s">
        <v>538</v>
      </c>
      <c r="L622">
        <v>1339</v>
      </c>
      <c r="N622">
        <v>1007</v>
      </c>
      <c r="O622" t="s">
        <v>94</v>
      </c>
      <c r="P622" t="s">
        <v>94</v>
      </c>
      <c r="Q622">
        <v>1</v>
      </c>
      <c r="W622">
        <v>0</v>
      </c>
      <c r="X622">
        <v>1936379870</v>
      </c>
      <c r="Y622">
        <f t="shared" si="300"/>
        <v>101.5</v>
      </c>
      <c r="AA622">
        <v>727.31</v>
      </c>
      <c r="AB622">
        <v>0</v>
      </c>
      <c r="AC622">
        <v>0</v>
      </c>
      <c r="AD622">
        <v>0</v>
      </c>
      <c r="AE622">
        <v>727.31</v>
      </c>
      <c r="AF622">
        <v>0</v>
      </c>
      <c r="AG622">
        <v>0</v>
      </c>
      <c r="AH622">
        <v>0</v>
      </c>
      <c r="AI622">
        <v>1</v>
      </c>
      <c r="AJ622">
        <v>1</v>
      </c>
      <c r="AK622">
        <v>1</v>
      </c>
      <c r="AL622">
        <v>1</v>
      </c>
      <c r="AN622">
        <v>0</v>
      </c>
      <c r="AO622">
        <v>0</v>
      </c>
      <c r="AP622">
        <v>0</v>
      </c>
      <c r="AQ622">
        <v>0</v>
      </c>
      <c r="AR622">
        <v>0</v>
      </c>
      <c r="AS622" t="s">
        <v>3</v>
      </c>
      <c r="AT622">
        <v>101.5</v>
      </c>
      <c r="AU622" t="s">
        <v>3</v>
      </c>
      <c r="AV622">
        <v>0</v>
      </c>
      <c r="AW622">
        <v>1</v>
      </c>
      <c r="AX622">
        <v>-1</v>
      </c>
      <c r="AY622">
        <v>0</v>
      </c>
      <c r="AZ622">
        <v>0</v>
      </c>
      <c r="BA622" t="s">
        <v>3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CX622">
        <f>ROUND(Y622*Source!I566,9)</f>
        <v>0.53795000000000004</v>
      </c>
      <c r="CY622">
        <f t="shared" si="301"/>
        <v>727.31</v>
      </c>
      <c r="CZ622">
        <f t="shared" si="302"/>
        <v>727.31</v>
      </c>
      <c r="DA622">
        <f t="shared" si="303"/>
        <v>1</v>
      </c>
      <c r="DB622">
        <f t="shared" si="304"/>
        <v>73821.97</v>
      </c>
      <c r="DC622">
        <f t="shared" si="305"/>
        <v>0</v>
      </c>
      <c r="DD622" t="s">
        <v>3</v>
      </c>
      <c r="DE622" t="s">
        <v>3</v>
      </c>
      <c r="DF622">
        <f t="shared" si="292"/>
        <v>391.26</v>
      </c>
      <c r="DG622">
        <f t="shared" si="290"/>
        <v>0</v>
      </c>
      <c r="DH622">
        <f t="shared" si="291"/>
        <v>0</v>
      </c>
      <c r="DI622">
        <f t="shared" si="283"/>
        <v>0</v>
      </c>
      <c r="DJ622">
        <f t="shared" si="306"/>
        <v>391.26</v>
      </c>
      <c r="DK622">
        <v>0</v>
      </c>
    </row>
    <row r="623" spans="1:115" x14ac:dyDescent="0.2">
      <c r="A623">
        <f>ROW(Source!A566)</f>
        <v>566</v>
      </c>
      <c r="B623">
        <v>129761636</v>
      </c>
      <c r="C623">
        <v>129763889</v>
      </c>
      <c r="D623">
        <v>37412290</v>
      </c>
      <c r="E623">
        <v>1</v>
      </c>
      <c r="F623">
        <v>1</v>
      </c>
      <c r="G623">
        <v>37345137</v>
      </c>
      <c r="H623">
        <v>3</v>
      </c>
      <c r="I623" t="s">
        <v>597</v>
      </c>
      <c r="J623" t="s">
        <v>599</v>
      </c>
      <c r="K623" t="s">
        <v>598</v>
      </c>
      <c r="L623">
        <v>1348</v>
      </c>
      <c r="N623">
        <v>1009</v>
      </c>
      <c r="O623" t="s">
        <v>114</v>
      </c>
      <c r="P623" t="s">
        <v>114</v>
      </c>
      <c r="Q623">
        <v>1000</v>
      </c>
      <c r="W623">
        <v>0</v>
      </c>
      <c r="X623">
        <v>-162930227</v>
      </c>
      <c r="Y623">
        <f t="shared" si="300"/>
        <v>8.1</v>
      </c>
      <c r="AA623">
        <v>5752.41</v>
      </c>
      <c r="AB623">
        <v>0</v>
      </c>
      <c r="AC623">
        <v>0</v>
      </c>
      <c r="AD623">
        <v>0</v>
      </c>
      <c r="AE623">
        <v>5752.41</v>
      </c>
      <c r="AF623">
        <v>0</v>
      </c>
      <c r="AG623">
        <v>0</v>
      </c>
      <c r="AH623">
        <v>0</v>
      </c>
      <c r="AI623">
        <v>1</v>
      </c>
      <c r="AJ623">
        <v>1</v>
      </c>
      <c r="AK623">
        <v>1</v>
      </c>
      <c r="AL623">
        <v>1</v>
      </c>
      <c r="AN623">
        <v>0</v>
      </c>
      <c r="AO623">
        <v>0</v>
      </c>
      <c r="AP623">
        <v>0</v>
      </c>
      <c r="AQ623">
        <v>0</v>
      </c>
      <c r="AR623">
        <v>0</v>
      </c>
      <c r="AS623" t="s">
        <v>3</v>
      </c>
      <c r="AT623">
        <v>8.1</v>
      </c>
      <c r="AU623" t="s">
        <v>3</v>
      </c>
      <c r="AV623">
        <v>0</v>
      </c>
      <c r="AW623">
        <v>1</v>
      </c>
      <c r="AX623">
        <v>-1</v>
      </c>
      <c r="AY623">
        <v>0</v>
      </c>
      <c r="AZ623">
        <v>0</v>
      </c>
      <c r="BA623" t="s">
        <v>3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CX623">
        <f>ROUND(Y623*Source!I566,9)</f>
        <v>4.2930000000000003E-2</v>
      </c>
      <c r="CY623">
        <f t="shared" si="301"/>
        <v>5752.41</v>
      </c>
      <c r="CZ623">
        <f t="shared" si="302"/>
        <v>5752.41</v>
      </c>
      <c r="DA623">
        <f t="shared" si="303"/>
        <v>1</v>
      </c>
      <c r="DB623">
        <f t="shared" si="304"/>
        <v>46594.52</v>
      </c>
      <c r="DC623">
        <f t="shared" si="305"/>
        <v>0</v>
      </c>
      <c r="DD623" t="s">
        <v>3</v>
      </c>
      <c r="DE623" t="s">
        <v>3</v>
      </c>
      <c r="DF623">
        <f t="shared" si="292"/>
        <v>246.95</v>
      </c>
      <c r="DG623">
        <f t="shared" si="290"/>
        <v>0</v>
      </c>
      <c r="DH623">
        <f t="shared" si="291"/>
        <v>0</v>
      </c>
      <c r="DI623">
        <f t="shared" si="283"/>
        <v>0</v>
      </c>
      <c r="DJ623">
        <f t="shared" si="306"/>
        <v>246.95</v>
      </c>
      <c r="DK623">
        <v>0</v>
      </c>
    </row>
    <row r="624" spans="1:115" x14ac:dyDescent="0.2">
      <c r="A624">
        <f>ROW(Source!A566)</f>
        <v>566</v>
      </c>
      <c r="B624">
        <v>129761636</v>
      </c>
      <c r="C624">
        <v>129763889</v>
      </c>
      <c r="D624">
        <v>37417373</v>
      </c>
      <c r="E624">
        <v>1</v>
      </c>
      <c r="F624">
        <v>1</v>
      </c>
      <c r="G624">
        <v>37345137</v>
      </c>
      <c r="H624">
        <v>3</v>
      </c>
      <c r="I624" t="s">
        <v>1324</v>
      </c>
      <c r="J624" t="s">
        <v>1325</v>
      </c>
      <c r="K624" t="s">
        <v>1326</v>
      </c>
      <c r="L624">
        <v>1327</v>
      </c>
      <c r="N624">
        <v>1005</v>
      </c>
      <c r="O624" t="s">
        <v>258</v>
      </c>
      <c r="P624" t="s">
        <v>258</v>
      </c>
      <c r="Q624">
        <v>1</v>
      </c>
      <c r="W624">
        <v>0</v>
      </c>
      <c r="X624">
        <v>-153668504</v>
      </c>
      <c r="Y624">
        <f t="shared" si="300"/>
        <v>3.6</v>
      </c>
      <c r="AA624">
        <v>90.15</v>
      </c>
      <c r="AB624">
        <v>0</v>
      </c>
      <c r="AC624">
        <v>0</v>
      </c>
      <c r="AD624">
        <v>0</v>
      </c>
      <c r="AE624">
        <v>90.15</v>
      </c>
      <c r="AF624">
        <v>0</v>
      </c>
      <c r="AG624">
        <v>0</v>
      </c>
      <c r="AH624">
        <v>0</v>
      </c>
      <c r="AI624">
        <v>1</v>
      </c>
      <c r="AJ624">
        <v>1</v>
      </c>
      <c r="AK624">
        <v>1</v>
      </c>
      <c r="AL624">
        <v>1</v>
      </c>
      <c r="AN624">
        <v>0</v>
      </c>
      <c r="AO624">
        <v>1</v>
      </c>
      <c r="AP624">
        <v>0</v>
      </c>
      <c r="AQ624">
        <v>0</v>
      </c>
      <c r="AR624">
        <v>0</v>
      </c>
      <c r="AS624" t="s">
        <v>3</v>
      </c>
      <c r="AT624">
        <v>3.6</v>
      </c>
      <c r="AU624" t="s">
        <v>3</v>
      </c>
      <c r="AV624">
        <v>0</v>
      </c>
      <c r="AW624">
        <v>2</v>
      </c>
      <c r="AX624">
        <v>129763920</v>
      </c>
      <c r="AY624">
        <v>1</v>
      </c>
      <c r="AZ624">
        <v>0</v>
      </c>
      <c r="BA624">
        <v>615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CX624">
        <f>ROUND(Y624*Source!I566,9)</f>
        <v>1.908E-2</v>
      </c>
      <c r="CY624">
        <f t="shared" si="301"/>
        <v>90.15</v>
      </c>
      <c r="CZ624">
        <f t="shared" si="302"/>
        <v>90.15</v>
      </c>
      <c r="DA624">
        <f t="shared" si="303"/>
        <v>1</v>
      </c>
      <c r="DB624">
        <f t="shared" si="304"/>
        <v>324.54000000000002</v>
      </c>
      <c r="DC624">
        <f t="shared" si="305"/>
        <v>0</v>
      </c>
      <c r="DD624" t="s">
        <v>3</v>
      </c>
      <c r="DE624" t="s">
        <v>3</v>
      </c>
      <c r="DF624">
        <f t="shared" si="292"/>
        <v>1.72</v>
      </c>
      <c r="DG624">
        <f t="shared" si="290"/>
        <v>0</v>
      </c>
      <c r="DH624">
        <f t="shared" si="291"/>
        <v>0</v>
      </c>
      <c r="DI624">
        <f t="shared" si="283"/>
        <v>0</v>
      </c>
      <c r="DJ624">
        <f t="shared" si="306"/>
        <v>1.72</v>
      </c>
      <c r="DK624">
        <v>0</v>
      </c>
    </row>
    <row r="625" spans="1:115" x14ac:dyDescent="0.2">
      <c r="A625">
        <f>ROW(Source!A567)</f>
        <v>567</v>
      </c>
      <c r="B625">
        <v>129761633</v>
      </c>
      <c r="C625">
        <v>129763889</v>
      </c>
      <c r="D625">
        <v>37345142</v>
      </c>
      <c r="E625">
        <v>37345137</v>
      </c>
      <c r="F625">
        <v>1</v>
      </c>
      <c r="G625">
        <v>37345137</v>
      </c>
      <c r="H625">
        <v>1</v>
      </c>
      <c r="I625" t="s">
        <v>1096</v>
      </c>
      <c r="J625" t="s">
        <v>3</v>
      </c>
      <c r="K625" t="s">
        <v>1097</v>
      </c>
      <c r="L625">
        <v>1191</v>
      </c>
      <c r="N625">
        <v>1013</v>
      </c>
      <c r="O625" t="s">
        <v>1098</v>
      </c>
      <c r="P625" t="s">
        <v>1098</v>
      </c>
      <c r="Q625">
        <v>1</v>
      </c>
      <c r="W625">
        <v>0</v>
      </c>
      <c r="X625">
        <v>476480486</v>
      </c>
      <c r="Y625">
        <f>(AT625*1.15)</f>
        <v>205.85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1</v>
      </c>
      <c r="AJ625">
        <v>1</v>
      </c>
      <c r="AK625">
        <v>1</v>
      </c>
      <c r="AL625">
        <v>1</v>
      </c>
      <c r="AN625">
        <v>0</v>
      </c>
      <c r="AO625">
        <v>1</v>
      </c>
      <c r="AP625">
        <v>1</v>
      </c>
      <c r="AQ625">
        <v>0</v>
      </c>
      <c r="AR625">
        <v>0</v>
      </c>
      <c r="AS625" t="s">
        <v>3</v>
      </c>
      <c r="AT625">
        <v>179</v>
      </c>
      <c r="AU625" t="s">
        <v>87</v>
      </c>
      <c r="AV625">
        <v>1</v>
      </c>
      <c r="AW625">
        <v>2</v>
      </c>
      <c r="AX625">
        <v>129763906</v>
      </c>
      <c r="AY625">
        <v>1</v>
      </c>
      <c r="AZ625">
        <v>0</v>
      </c>
      <c r="BA625">
        <v>617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CX625">
        <f>ROUND(Y625*Source!I567,9)</f>
        <v>1.091005</v>
      </c>
      <c r="CY625">
        <f>AD625</f>
        <v>0</v>
      </c>
      <c r="CZ625">
        <f>AH625</f>
        <v>0</v>
      </c>
      <c r="DA625">
        <f>AL625</f>
        <v>1</v>
      </c>
      <c r="DB625">
        <f>ROUND((ROUND(AT625*CZ625,2)*1.15),6)</f>
        <v>0</v>
      </c>
      <c r="DC625">
        <f>ROUND((ROUND(AT625*AG625,2)*1.15),6)</f>
        <v>0</v>
      </c>
      <c r="DD625" t="s">
        <v>3</v>
      </c>
      <c r="DE625" t="s">
        <v>3</v>
      </c>
      <c r="DF625">
        <f t="shared" si="292"/>
        <v>0</v>
      </c>
      <c r="DG625">
        <f t="shared" si="290"/>
        <v>0</v>
      </c>
      <c r="DH625">
        <f t="shared" si="291"/>
        <v>0</v>
      </c>
      <c r="DI625">
        <f t="shared" si="283"/>
        <v>0</v>
      </c>
      <c r="DJ625">
        <f>DI625</f>
        <v>0</v>
      </c>
      <c r="DK625">
        <v>0</v>
      </c>
    </row>
    <row r="626" spans="1:115" x14ac:dyDescent="0.2">
      <c r="A626">
        <f>ROW(Source!A567)</f>
        <v>567</v>
      </c>
      <c r="B626">
        <v>129761633</v>
      </c>
      <c r="C626">
        <v>129763889</v>
      </c>
      <c r="D626">
        <v>37418162</v>
      </c>
      <c r="E626">
        <v>1</v>
      </c>
      <c r="F626">
        <v>1</v>
      </c>
      <c r="G626">
        <v>37345137</v>
      </c>
      <c r="H626">
        <v>2</v>
      </c>
      <c r="I626" t="s">
        <v>1174</v>
      </c>
      <c r="J626" t="s">
        <v>1175</v>
      </c>
      <c r="K626" t="s">
        <v>1176</v>
      </c>
      <c r="L626">
        <v>1367</v>
      </c>
      <c r="N626">
        <v>1011</v>
      </c>
      <c r="O626" t="s">
        <v>1102</v>
      </c>
      <c r="P626" t="s">
        <v>1102</v>
      </c>
      <c r="Q626">
        <v>1</v>
      </c>
      <c r="W626">
        <v>0</v>
      </c>
      <c r="X626">
        <v>49912578</v>
      </c>
      <c r="Y626">
        <f t="shared" ref="Y626:Y631" si="307">(AT626*1.25)</f>
        <v>150</v>
      </c>
      <c r="AA626">
        <v>0</v>
      </c>
      <c r="AB626">
        <v>65.87</v>
      </c>
      <c r="AC626">
        <v>0.61</v>
      </c>
      <c r="AD626">
        <v>0</v>
      </c>
      <c r="AE626">
        <v>0</v>
      </c>
      <c r="AF626">
        <v>6.15</v>
      </c>
      <c r="AG626">
        <v>0.02</v>
      </c>
      <c r="AH626">
        <v>0</v>
      </c>
      <c r="AI626">
        <v>1</v>
      </c>
      <c r="AJ626">
        <v>10.23</v>
      </c>
      <c r="AK626">
        <v>29.03</v>
      </c>
      <c r="AL626">
        <v>1</v>
      </c>
      <c r="AN626">
        <v>0</v>
      </c>
      <c r="AO626">
        <v>1</v>
      </c>
      <c r="AP626">
        <v>1</v>
      </c>
      <c r="AQ626">
        <v>0</v>
      </c>
      <c r="AR626">
        <v>0</v>
      </c>
      <c r="AS626" t="s">
        <v>3</v>
      </c>
      <c r="AT626">
        <v>120</v>
      </c>
      <c r="AU626" t="s">
        <v>86</v>
      </c>
      <c r="AV626">
        <v>0</v>
      </c>
      <c r="AW626">
        <v>2</v>
      </c>
      <c r="AX626">
        <v>129763907</v>
      </c>
      <c r="AY626">
        <v>1</v>
      </c>
      <c r="AZ626">
        <v>0</v>
      </c>
      <c r="BA626">
        <v>618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CX626">
        <f>ROUND(Y626*Source!I567,9)</f>
        <v>0.79500000000000004</v>
      </c>
      <c r="CY626">
        <f t="shared" ref="CY626:CY631" si="308">AB626</f>
        <v>65.87</v>
      </c>
      <c r="CZ626">
        <f t="shared" ref="CZ626:CZ631" si="309">AF626</f>
        <v>6.15</v>
      </c>
      <c r="DA626">
        <f t="shared" ref="DA626:DA631" si="310">AJ626</f>
        <v>10.23</v>
      </c>
      <c r="DB626">
        <f t="shared" ref="DB626:DB631" si="311">ROUND((ROUND(AT626*CZ626,2)*1.25),6)</f>
        <v>922.5</v>
      </c>
      <c r="DC626">
        <f t="shared" ref="DC626:DC631" si="312">ROUND((ROUND(AT626*AG626,2)*1.25),6)</f>
        <v>3</v>
      </c>
      <c r="DD626" t="s">
        <v>3</v>
      </c>
      <c r="DE626" t="s">
        <v>3</v>
      </c>
      <c r="DF626">
        <f t="shared" si="292"/>
        <v>0</v>
      </c>
      <c r="DG626">
        <f>ROUND(ROUND(AF626*CX626,2)*AJ626,2)</f>
        <v>50.02</v>
      </c>
      <c r="DH626">
        <f>ROUND(ROUND(AG626*CX626,2)*AK626,2)</f>
        <v>0.57999999999999996</v>
      </c>
      <c r="DI626">
        <f t="shared" si="283"/>
        <v>0</v>
      </c>
      <c r="DJ626">
        <f t="shared" ref="DJ626:DJ631" si="313">DG626</f>
        <v>50.02</v>
      </c>
      <c r="DK626">
        <v>0</v>
      </c>
    </row>
    <row r="627" spans="1:115" x14ac:dyDescent="0.2">
      <c r="A627">
        <f>ROW(Source!A567)</f>
        <v>567</v>
      </c>
      <c r="B627">
        <v>129761633</v>
      </c>
      <c r="C627">
        <v>129763889</v>
      </c>
      <c r="D627">
        <v>37418445</v>
      </c>
      <c r="E627">
        <v>1</v>
      </c>
      <c r="F627">
        <v>1</v>
      </c>
      <c r="G627">
        <v>37345137</v>
      </c>
      <c r="H627">
        <v>2</v>
      </c>
      <c r="I627" t="s">
        <v>1189</v>
      </c>
      <c r="J627" t="s">
        <v>1190</v>
      </c>
      <c r="K627" t="s">
        <v>1191</v>
      </c>
      <c r="L627">
        <v>1367</v>
      </c>
      <c r="N627">
        <v>1011</v>
      </c>
      <c r="O627" t="s">
        <v>1102</v>
      </c>
      <c r="P627" t="s">
        <v>1102</v>
      </c>
      <c r="Q627">
        <v>1</v>
      </c>
      <c r="W627">
        <v>0</v>
      </c>
      <c r="X627">
        <v>-628430174</v>
      </c>
      <c r="Y627">
        <f t="shared" si="307"/>
        <v>1.6875</v>
      </c>
      <c r="AA627">
        <v>0</v>
      </c>
      <c r="AB627">
        <v>918.4</v>
      </c>
      <c r="AC627">
        <v>436.46</v>
      </c>
      <c r="AD627">
        <v>0</v>
      </c>
      <c r="AE627">
        <v>0</v>
      </c>
      <c r="AF627">
        <v>76.81</v>
      </c>
      <c r="AG627">
        <v>14.36</v>
      </c>
      <c r="AH627">
        <v>0</v>
      </c>
      <c r="AI627">
        <v>1</v>
      </c>
      <c r="AJ627">
        <v>11.42</v>
      </c>
      <c r="AK627">
        <v>29.03</v>
      </c>
      <c r="AL627">
        <v>1</v>
      </c>
      <c r="AN627">
        <v>0</v>
      </c>
      <c r="AO627">
        <v>1</v>
      </c>
      <c r="AP627">
        <v>1</v>
      </c>
      <c r="AQ627">
        <v>0</v>
      </c>
      <c r="AR627">
        <v>0</v>
      </c>
      <c r="AS627" t="s">
        <v>3</v>
      </c>
      <c r="AT627">
        <v>1.35</v>
      </c>
      <c r="AU627" t="s">
        <v>86</v>
      </c>
      <c r="AV627">
        <v>0</v>
      </c>
      <c r="AW627">
        <v>2</v>
      </c>
      <c r="AX627">
        <v>129763908</v>
      </c>
      <c r="AY627">
        <v>1</v>
      </c>
      <c r="AZ627">
        <v>0</v>
      </c>
      <c r="BA627">
        <v>619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CX627">
        <f>ROUND(Y627*Source!I567,9)</f>
        <v>8.9437500000000003E-3</v>
      </c>
      <c r="CY627">
        <f t="shared" si="308"/>
        <v>918.4</v>
      </c>
      <c r="CZ627">
        <f t="shared" si="309"/>
        <v>76.81</v>
      </c>
      <c r="DA627">
        <f t="shared" si="310"/>
        <v>11.42</v>
      </c>
      <c r="DB627">
        <f t="shared" si="311"/>
        <v>129.61250000000001</v>
      </c>
      <c r="DC627">
        <f t="shared" si="312"/>
        <v>24.237500000000001</v>
      </c>
      <c r="DD627" t="s">
        <v>3</v>
      </c>
      <c r="DE627" t="s">
        <v>3</v>
      </c>
      <c r="DF627">
        <f t="shared" si="292"/>
        <v>0</v>
      </c>
      <c r="DG627">
        <f>ROUND(ROUND(AF627*CX627,2)*AJ627,2)</f>
        <v>7.88</v>
      </c>
      <c r="DH627">
        <f>ROUND(ROUND(AG627*CX627,2)*AK627,2)</f>
        <v>3.77</v>
      </c>
      <c r="DI627">
        <f t="shared" si="283"/>
        <v>0</v>
      </c>
      <c r="DJ627">
        <f t="shared" si="313"/>
        <v>7.88</v>
      </c>
      <c r="DK627">
        <v>0</v>
      </c>
    </row>
    <row r="628" spans="1:115" x14ac:dyDescent="0.2">
      <c r="A628">
        <f>ROW(Source!A567)</f>
        <v>567</v>
      </c>
      <c r="B628">
        <v>129761633</v>
      </c>
      <c r="C628">
        <v>129763889</v>
      </c>
      <c r="D628">
        <v>37418498</v>
      </c>
      <c r="E628">
        <v>1</v>
      </c>
      <c r="F628">
        <v>1</v>
      </c>
      <c r="G628">
        <v>37345137</v>
      </c>
      <c r="H628">
        <v>2</v>
      </c>
      <c r="I628" t="s">
        <v>1306</v>
      </c>
      <c r="J628" t="s">
        <v>1307</v>
      </c>
      <c r="K628" t="s">
        <v>1308</v>
      </c>
      <c r="L628">
        <v>1367</v>
      </c>
      <c r="N628">
        <v>1011</v>
      </c>
      <c r="O628" t="s">
        <v>1102</v>
      </c>
      <c r="P628" t="s">
        <v>1102</v>
      </c>
      <c r="Q628">
        <v>1</v>
      </c>
      <c r="W628">
        <v>0</v>
      </c>
      <c r="X628">
        <v>1189541023</v>
      </c>
      <c r="Y628">
        <f t="shared" si="307"/>
        <v>0.125</v>
      </c>
      <c r="AA628">
        <v>0</v>
      </c>
      <c r="AB628">
        <v>0.55000000000000004</v>
      </c>
      <c r="AC628">
        <v>0.04</v>
      </c>
      <c r="AD628">
        <v>0</v>
      </c>
      <c r="AE628">
        <v>0</v>
      </c>
      <c r="AF628">
        <v>0.53</v>
      </c>
      <c r="AG628">
        <v>0.04</v>
      </c>
      <c r="AH628">
        <v>0</v>
      </c>
      <c r="AI628">
        <v>1</v>
      </c>
      <c r="AJ628">
        <v>1</v>
      </c>
      <c r="AK628">
        <v>1</v>
      </c>
      <c r="AL628">
        <v>1</v>
      </c>
      <c r="AN628">
        <v>0</v>
      </c>
      <c r="AO628">
        <v>1</v>
      </c>
      <c r="AP628">
        <v>1</v>
      </c>
      <c r="AQ628">
        <v>0</v>
      </c>
      <c r="AR628">
        <v>0</v>
      </c>
      <c r="AS628" t="s">
        <v>3</v>
      </c>
      <c r="AT628">
        <v>0.1</v>
      </c>
      <c r="AU628" t="s">
        <v>86</v>
      </c>
      <c r="AV628">
        <v>0</v>
      </c>
      <c r="AW628">
        <v>2</v>
      </c>
      <c r="AX628">
        <v>129763910</v>
      </c>
      <c r="AY628">
        <v>1</v>
      </c>
      <c r="AZ628">
        <v>0</v>
      </c>
      <c r="BA628">
        <v>620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CX628">
        <f>ROUND(Y628*Source!I567,9)</f>
        <v>6.625E-4</v>
      </c>
      <c r="CY628">
        <f t="shared" si="308"/>
        <v>0.55000000000000004</v>
      </c>
      <c r="CZ628">
        <f t="shared" si="309"/>
        <v>0.53</v>
      </c>
      <c r="DA628">
        <f t="shared" si="310"/>
        <v>1</v>
      </c>
      <c r="DB628">
        <f t="shared" si="311"/>
        <v>6.25E-2</v>
      </c>
      <c r="DC628">
        <f t="shared" si="312"/>
        <v>0</v>
      </c>
      <c r="DD628" t="s">
        <v>3</v>
      </c>
      <c r="DE628" t="s">
        <v>3</v>
      </c>
      <c r="DF628">
        <f t="shared" si="292"/>
        <v>0</v>
      </c>
      <c r="DG628">
        <f>ROUND(AF628*CX628,2)</f>
        <v>0</v>
      </c>
      <c r="DH628">
        <f>ROUND(AG628*CX628,2)</f>
        <v>0</v>
      </c>
      <c r="DI628">
        <f t="shared" si="283"/>
        <v>0</v>
      </c>
      <c r="DJ628">
        <f t="shared" si="313"/>
        <v>0</v>
      </c>
      <c r="DK628">
        <v>0</v>
      </c>
    </row>
    <row r="629" spans="1:115" x14ac:dyDescent="0.2">
      <c r="A629">
        <f>ROW(Source!A567)</f>
        <v>567</v>
      </c>
      <c r="B629">
        <v>129761633</v>
      </c>
      <c r="C629">
        <v>129763889</v>
      </c>
      <c r="D629">
        <v>37417692</v>
      </c>
      <c r="E629">
        <v>1</v>
      </c>
      <c r="F629">
        <v>1</v>
      </c>
      <c r="G629">
        <v>37345137</v>
      </c>
      <c r="H629">
        <v>2</v>
      </c>
      <c r="I629" t="s">
        <v>1127</v>
      </c>
      <c r="J629" t="s">
        <v>1128</v>
      </c>
      <c r="K629" t="s">
        <v>1129</v>
      </c>
      <c r="L629">
        <v>1367</v>
      </c>
      <c r="N629">
        <v>1011</v>
      </c>
      <c r="O629" t="s">
        <v>1102</v>
      </c>
      <c r="P629" t="s">
        <v>1102</v>
      </c>
      <c r="Q629">
        <v>1</v>
      </c>
      <c r="W629">
        <v>0</v>
      </c>
      <c r="X629">
        <v>-266174272</v>
      </c>
      <c r="Y629">
        <f t="shared" si="307"/>
        <v>1.125</v>
      </c>
      <c r="AA629">
        <v>0</v>
      </c>
      <c r="AB629">
        <v>2059.0100000000002</v>
      </c>
      <c r="AC629">
        <v>551.66</v>
      </c>
      <c r="AD629">
        <v>0</v>
      </c>
      <c r="AE629">
        <v>0</v>
      </c>
      <c r="AF629">
        <v>190.93</v>
      </c>
      <c r="AG629">
        <v>18.149999999999999</v>
      </c>
      <c r="AH629">
        <v>0</v>
      </c>
      <c r="AI629">
        <v>1</v>
      </c>
      <c r="AJ629">
        <v>10.3</v>
      </c>
      <c r="AK629">
        <v>29.03</v>
      </c>
      <c r="AL629">
        <v>1</v>
      </c>
      <c r="AN629">
        <v>0</v>
      </c>
      <c r="AO629">
        <v>1</v>
      </c>
      <c r="AP629">
        <v>1</v>
      </c>
      <c r="AQ629">
        <v>0</v>
      </c>
      <c r="AR629">
        <v>0</v>
      </c>
      <c r="AS629" t="s">
        <v>3</v>
      </c>
      <c r="AT629">
        <v>0.9</v>
      </c>
      <c r="AU629" t="s">
        <v>86</v>
      </c>
      <c r="AV629">
        <v>0</v>
      </c>
      <c r="AW629">
        <v>2</v>
      </c>
      <c r="AX629">
        <v>129763909</v>
      </c>
      <c r="AY629">
        <v>1</v>
      </c>
      <c r="AZ629">
        <v>0</v>
      </c>
      <c r="BA629">
        <v>621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CX629">
        <f>ROUND(Y629*Source!I567,9)</f>
        <v>5.9624999999999999E-3</v>
      </c>
      <c r="CY629">
        <f t="shared" si="308"/>
        <v>2059.0100000000002</v>
      </c>
      <c r="CZ629">
        <f t="shared" si="309"/>
        <v>190.93</v>
      </c>
      <c r="DA629">
        <f t="shared" si="310"/>
        <v>10.3</v>
      </c>
      <c r="DB629">
        <f t="shared" si="311"/>
        <v>214.8</v>
      </c>
      <c r="DC629">
        <f t="shared" si="312"/>
        <v>20.425000000000001</v>
      </c>
      <c r="DD629" t="s">
        <v>3</v>
      </c>
      <c r="DE629" t="s">
        <v>3</v>
      </c>
      <c r="DF629">
        <f t="shared" si="292"/>
        <v>0</v>
      </c>
      <c r="DG629">
        <f>ROUND(ROUND(AF629*CX629,2)*AJ629,2)</f>
        <v>11.74</v>
      </c>
      <c r="DH629">
        <f>ROUND(ROUND(AG629*CX629,2)*AK629,2)</f>
        <v>3.19</v>
      </c>
      <c r="DI629">
        <f t="shared" si="283"/>
        <v>0</v>
      </c>
      <c r="DJ629">
        <f t="shared" si="313"/>
        <v>11.74</v>
      </c>
      <c r="DK629">
        <v>0</v>
      </c>
    </row>
    <row r="630" spans="1:115" x14ac:dyDescent="0.2">
      <c r="A630">
        <f>ROW(Source!A567)</f>
        <v>567</v>
      </c>
      <c r="B630">
        <v>129761633</v>
      </c>
      <c r="C630">
        <v>129763889</v>
      </c>
      <c r="D630">
        <v>37417785</v>
      </c>
      <c r="E630">
        <v>1</v>
      </c>
      <c r="F630">
        <v>1</v>
      </c>
      <c r="G630">
        <v>37345137</v>
      </c>
      <c r="H630">
        <v>2</v>
      </c>
      <c r="I630" t="s">
        <v>1309</v>
      </c>
      <c r="J630" t="s">
        <v>1310</v>
      </c>
      <c r="K630" t="s">
        <v>1311</v>
      </c>
      <c r="L630">
        <v>1367</v>
      </c>
      <c r="N630">
        <v>1011</v>
      </c>
      <c r="O630" t="s">
        <v>1102</v>
      </c>
      <c r="P630" t="s">
        <v>1102</v>
      </c>
      <c r="Q630">
        <v>1</v>
      </c>
      <c r="W630">
        <v>0</v>
      </c>
      <c r="X630">
        <v>482200787</v>
      </c>
      <c r="Y630">
        <f t="shared" si="307"/>
        <v>0.3125</v>
      </c>
      <c r="AA630">
        <v>0</v>
      </c>
      <c r="AB630">
        <v>865.2</v>
      </c>
      <c r="AC630">
        <v>513.66999999999996</v>
      </c>
      <c r="AD630">
        <v>0</v>
      </c>
      <c r="AE630">
        <v>0</v>
      </c>
      <c r="AF630">
        <v>73</v>
      </c>
      <c r="AG630">
        <v>16.899999999999999</v>
      </c>
      <c r="AH630">
        <v>0</v>
      </c>
      <c r="AI630">
        <v>1</v>
      </c>
      <c r="AJ630">
        <v>11.32</v>
      </c>
      <c r="AK630">
        <v>29.03</v>
      </c>
      <c r="AL630">
        <v>1</v>
      </c>
      <c r="AN630">
        <v>0</v>
      </c>
      <c r="AO630">
        <v>1</v>
      </c>
      <c r="AP630">
        <v>1</v>
      </c>
      <c r="AQ630">
        <v>0</v>
      </c>
      <c r="AR630">
        <v>0</v>
      </c>
      <c r="AS630" t="s">
        <v>3</v>
      </c>
      <c r="AT630">
        <v>0.25</v>
      </c>
      <c r="AU630" t="s">
        <v>86</v>
      </c>
      <c r="AV630">
        <v>0</v>
      </c>
      <c r="AW630">
        <v>2</v>
      </c>
      <c r="AX630">
        <v>129763911</v>
      </c>
      <c r="AY630">
        <v>1</v>
      </c>
      <c r="AZ630">
        <v>0</v>
      </c>
      <c r="BA630">
        <v>622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CX630">
        <f>ROUND(Y630*Source!I567,9)</f>
        <v>1.65625E-3</v>
      </c>
      <c r="CY630">
        <f t="shared" si="308"/>
        <v>865.2</v>
      </c>
      <c r="CZ630">
        <f t="shared" si="309"/>
        <v>73</v>
      </c>
      <c r="DA630">
        <f t="shared" si="310"/>
        <v>11.32</v>
      </c>
      <c r="DB630">
        <f t="shared" si="311"/>
        <v>22.8125</v>
      </c>
      <c r="DC630">
        <f t="shared" si="312"/>
        <v>5.2874999999999996</v>
      </c>
      <c r="DD630" t="s">
        <v>3</v>
      </c>
      <c r="DE630" t="s">
        <v>3</v>
      </c>
      <c r="DF630">
        <f t="shared" si="292"/>
        <v>0</v>
      </c>
      <c r="DG630">
        <f>ROUND(ROUND(AF630*CX630,2)*AJ630,2)</f>
        <v>1.36</v>
      </c>
      <c r="DH630">
        <f>ROUND(ROUND(AG630*CX630,2)*AK630,2)</f>
        <v>0.87</v>
      </c>
      <c r="DI630">
        <f t="shared" si="283"/>
        <v>0</v>
      </c>
      <c r="DJ630">
        <f t="shared" si="313"/>
        <v>1.36</v>
      </c>
      <c r="DK630">
        <v>0</v>
      </c>
    </row>
    <row r="631" spans="1:115" x14ac:dyDescent="0.2">
      <c r="A631">
        <f>ROW(Source!A567)</f>
        <v>567</v>
      </c>
      <c r="B631">
        <v>129761633</v>
      </c>
      <c r="C631">
        <v>129763889</v>
      </c>
      <c r="D631">
        <v>37417976</v>
      </c>
      <c r="E631">
        <v>1</v>
      </c>
      <c r="F631">
        <v>1</v>
      </c>
      <c r="G631">
        <v>37345137</v>
      </c>
      <c r="H631">
        <v>2</v>
      </c>
      <c r="I631" t="s">
        <v>1312</v>
      </c>
      <c r="J631" t="s">
        <v>1313</v>
      </c>
      <c r="K631" t="s">
        <v>1314</v>
      </c>
      <c r="L631">
        <v>1367</v>
      </c>
      <c r="N631">
        <v>1011</v>
      </c>
      <c r="O631" t="s">
        <v>1102</v>
      </c>
      <c r="P631" t="s">
        <v>1102</v>
      </c>
      <c r="Q631">
        <v>1</v>
      </c>
      <c r="W631">
        <v>0</v>
      </c>
      <c r="X631">
        <v>1059521099</v>
      </c>
      <c r="Y631">
        <f t="shared" si="307"/>
        <v>11.25</v>
      </c>
      <c r="AA631">
        <v>0</v>
      </c>
      <c r="AB631">
        <v>19.78</v>
      </c>
      <c r="AC631">
        <v>2.74</v>
      </c>
      <c r="AD631">
        <v>0</v>
      </c>
      <c r="AE631">
        <v>0</v>
      </c>
      <c r="AF631">
        <v>2.06</v>
      </c>
      <c r="AG631">
        <v>0.09</v>
      </c>
      <c r="AH631">
        <v>0</v>
      </c>
      <c r="AI631">
        <v>1</v>
      </c>
      <c r="AJ631">
        <v>9.17</v>
      </c>
      <c r="AK631">
        <v>29.03</v>
      </c>
      <c r="AL631">
        <v>1</v>
      </c>
      <c r="AN631">
        <v>0</v>
      </c>
      <c r="AO631">
        <v>1</v>
      </c>
      <c r="AP631">
        <v>1</v>
      </c>
      <c r="AQ631">
        <v>0</v>
      </c>
      <c r="AR631">
        <v>0</v>
      </c>
      <c r="AS631" t="s">
        <v>3</v>
      </c>
      <c r="AT631">
        <v>9</v>
      </c>
      <c r="AU631" t="s">
        <v>86</v>
      </c>
      <c r="AV631">
        <v>0</v>
      </c>
      <c r="AW631">
        <v>2</v>
      </c>
      <c r="AX631">
        <v>129763912</v>
      </c>
      <c r="AY631">
        <v>1</v>
      </c>
      <c r="AZ631">
        <v>0</v>
      </c>
      <c r="BA631">
        <v>623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CX631">
        <f>ROUND(Y631*Source!I567,9)</f>
        <v>5.9624999999999997E-2</v>
      </c>
      <c r="CY631">
        <f t="shared" si="308"/>
        <v>19.78</v>
      </c>
      <c r="CZ631">
        <f t="shared" si="309"/>
        <v>2.06</v>
      </c>
      <c r="DA631">
        <f t="shared" si="310"/>
        <v>9.17</v>
      </c>
      <c r="DB631">
        <f t="shared" si="311"/>
        <v>23.175000000000001</v>
      </c>
      <c r="DC631">
        <f t="shared" si="312"/>
        <v>1.0125</v>
      </c>
      <c r="DD631" t="s">
        <v>3</v>
      </c>
      <c r="DE631" t="s">
        <v>3</v>
      </c>
      <c r="DF631">
        <f t="shared" si="292"/>
        <v>0</v>
      </c>
      <c r="DG631">
        <f>ROUND(ROUND(AF631*CX631,2)*AJ631,2)</f>
        <v>1.1000000000000001</v>
      </c>
      <c r="DH631">
        <f>ROUND(ROUND(AG631*CX631,2)*AK631,2)</f>
        <v>0.28999999999999998</v>
      </c>
      <c r="DI631">
        <f t="shared" si="283"/>
        <v>0</v>
      </c>
      <c r="DJ631">
        <f t="shared" si="313"/>
        <v>1.1000000000000001</v>
      </c>
      <c r="DK631">
        <v>0</v>
      </c>
    </row>
    <row r="632" spans="1:115" x14ac:dyDescent="0.2">
      <c r="A632">
        <f>ROW(Source!A567)</f>
        <v>567</v>
      </c>
      <c r="B632">
        <v>129761633</v>
      </c>
      <c r="C632">
        <v>129763889</v>
      </c>
      <c r="D632">
        <v>37393552</v>
      </c>
      <c r="E632">
        <v>1</v>
      </c>
      <c r="F632">
        <v>1</v>
      </c>
      <c r="G632">
        <v>37345137</v>
      </c>
      <c r="H632">
        <v>3</v>
      </c>
      <c r="I632" t="s">
        <v>348</v>
      </c>
      <c r="J632" t="s">
        <v>350</v>
      </c>
      <c r="K632" t="s">
        <v>349</v>
      </c>
      <c r="L632">
        <v>1339</v>
      </c>
      <c r="N632">
        <v>1007</v>
      </c>
      <c r="O632" t="s">
        <v>94</v>
      </c>
      <c r="P632" t="s">
        <v>94</v>
      </c>
      <c r="Q632">
        <v>1</v>
      </c>
      <c r="W632">
        <v>0</v>
      </c>
      <c r="X632">
        <v>-862991314</v>
      </c>
      <c r="Y632">
        <f t="shared" ref="Y632:Y640" si="314">AT632</f>
        <v>0.73</v>
      </c>
      <c r="AA632">
        <v>43.35</v>
      </c>
      <c r="AB632">
        <v>0</v>
      </c>
      <c r="AC632">
        <v>0</v>
      </c>
      <c r="AD632">
        <v>0</v>
      </c>
      <c r="AE632">
        <v>7.07</v>
      </c>
      <c r="AF632">
        <v>0</v>
      </c>
      <c r="AG632">
        <v>0</v>
      </c>
      <c r="AH632">
        <v>0</v>
      </c>
      <c r="AI632">
        <v>6</v>
      </c>
      <c r="AJ632">
        <v>1</v>
      </c>
      <c r="AK632">
        <v>1</v>
      </c>
      <c r="AL632">
        <v>1</v>
      </c>
      <c r="AN632">
        <v>0</v>
      </c>
      <c r="AO632">
        <v>1</v>
      </c>
      <c r="AP632">
        <v>0</v>
      </c>
      <c r="AQ632">
        <v>0</v>
      </c>
      <c r="AR632">
        <v>0</v>
      </c>
      <c r="AS632" t="s">
        <v>3</v>
      </c>
      <c r="AT632">
        <v>0.73</v>
      </c>
      <c r="AU632" t="s">
        <v>3</v>
      </c>
      <c r="AV632">
        <v>0</v>
      </c>
      <c r="AW632">
        <v>2</v>
      </c>
      <c r="AX632">
        <v>129763914</v>
      </c>
      <c r="AY632">
        <v>1</v>
      </c>
      <c r="AZ632">
        <v>0</v>
      </c>
      <c r="BA632">
        <v>625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CX632">
        <f>ROUND(Y632*Source!I567,9)</f>
        <v>3.869E-3</v>
      </c>
      <c r="CY632">
        <f t="shared" ref="CY632:CY640" si="315">AA632</f>
        <v>43.35</v>
      </c>
      <c r="CZ632">
        <f t="shared" ref="CZ632:CZ640" si="316">AE632</f>
        <v>7.07</v>
      </c>
      <c r="DA632">
        <f t="shared" ref="DA632:DA640" si="317">AI632</f>
        <v>6</v>
      </c>
      <c r="DB632">
        <f t="shared" ref="DB632:DB640" si="318">ROUND(ROUND(AT632*CZ632,2),6)</f>
        <v>5.16</v>
      </c>
      <c r="DC632">
        <f t="shared" ref="DC632:DC640" si="319">ROUND(ROUND(AT632*AG632,2),6)</f>
        <v>0</v>
      </c>
      <c r="DD632" t="s">
        <v>3</v>
      </c>
      <c r="DE632" t="s">
        <v>3</v>
      </c>
      <c r="DF632">
        <f t="shared" ref="DF632:DF640" si="320">ROUND(ROUND(AE632*CX632,2)*AI632,2)</f>
        <v>0.18</v>
      </c>
      <c r="DG632">
        <f t="shared" ref="DG632:DG646" si="321">ROUND(AF632*CX632,2)</f>
        <v>0</v>
      </c>
      <c r="DH632">
        <f t="shared" ref="DH632:DH646" si="322">ROUND(AG632*CX632,2)</f>
        <v>0</v>
      </c>
      <c r="DI632">
        <f t="shared" si="283"/>
        <v>0</v>
      </c>
      <c r="DJ632">
        <f t="shared" ref="DJ632:DJ640" si="323">DF632</f>
        <v>0.18</v>
      </c>
      <c r="DK632">
        <v>0</v>
      </c>
    </row>
    <row r="633" spans="1:115" x14ac:dyDescent="0.2">
      <c r="A633">
        <f>ROW(Source!A567)</f>
        <v>567</v>
      </c>
      <c r="B633">
        <v>129761633</v>
      </c>
      <c r="C633">
        <v>129763889</v>
      </c>
      <c r="D633">
        <v>37393565</v>
      </c>
      <c r="E633">
        <v>1</v>
      </c>
      <c r="F633">
        <v>1</v>
      </c>
      <c r="G633">
        <v>37345137</v>
      </c>
      <c r="H633">
        <v>3</v>
      </c>
      <c r="I633" t="s">
        <v>1198</v>
      </c>
      <c r="J633" t="s">
        <v>1199</v>
      </c>
      <c r="K633" t="s">
        <v>1200</v>
      </c>
      <c r="L633">
        <v>1348</v>
      </c>
      <c r="N633">
        <v>1009</v>
      </c>
      <c r="O633" t="s">
        <v>114</v>
      </c>
      <c r="P633" t="s">
        <v>114</v>
      </c>
      <c r="Q633">
        <v>1000</v>
      </c>
      <c r="W633">
        <v>0</v>
      </c>
      <c r="X633">
        <v>563176784</v>
      </c>
      <c r="Y633">
        <f t="shared" si="314"/>
        <v>2E-3</v>
      </c>
      <c r="AA633">
        <v>64516.15</v>
      </c>
      <c r="AB633">
        <v>0</v>
      </c>
      <c r="AC633">
        <v>0</v>
      </c>
      <c r="AD633">
        <v>0</v>
      </c>
      <c r="AE633">
        <v>6521.42</v>
      </c>
      <c r="AF633">
        <v>0</v>
      </c>
      <c r="AG633">
        <v>0</v>
      </c>
      <c r="AH633">
        <v>0</v>
      </c>
      <c r="AI633">
        <v>9.68</v>
      </c>
      <c r="AJ633">
        <v>1</v>
      </c>
      <c r="AK633">
        <v>1</v>
      </c>
      <c r="AL633">
        <v>1</v>
      </c>
      <c r="AN633">
        <v>0</v>
      </c>
      <c r="AO633">
        <v>1</v>
      </c>
      <c r="AP633">
        <v>0</v>
      </c>
      <c r="AQ633">
        <v>0</v>
      </c>
      <c r="AR633">
        <v>0</v>
      </c>
      <c r="AS633" t="s">
        <v>3</v>
      </c>
      <c r="AT633">
        <v>2E-3</v>
      </c>
      <c r="AU633" t="s">
        <v>3</v>
      </c>
      <c r="AV633">
        <v>0</v>
      </c>
      <c r="AW633">
        <v>2</v>
      </c>
      <c r="AX633">
        <v>129763915</v>
      </c>
      <c r="AY633">
        <v>1</v>
      </c>
      <c r="AZ633">
        <v>0</v>
      </c>
      <c r="BA633">
        <v>626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CX633">
        <f>ROUND(Y633*Source!I567,9)</f>
        <v>1.06E-5</v>
      </c>
      <c r="CY633">
        <f t="shared" si="315"/>
        <v>64516.15</v>
      </c>
      <c r="CZ633">
        <f t="shared" si="316"/>
        <v>6521.42</v>
      </c>
      <c r="DA633">
        <f t="shared" si="317"/>
        <v>9.68</v>
      </c>
      <c r="DB633">
        <f t="shared" si="318"/>
        <v>13.04</v>
      </c>
      <c r="DC633">
        <f t="shared" si="319"/>
        <v>0</v>
      </c>
      <c r="DD633" t="s">
        <v>3</v>
      </c>
      <c r="DE633" t="s">
        <v>3</v>
      </c>
      <c r="DF633">
        <f t="shared" si="320"/>
        <v>0.68</v>
      </c>
      <c r="DG633">
        <f t="shared" si="321"/>
        <v>0</v>
      </c>
      <c r="DH633">
        <f t="shared" si="322"/>
        <v>0</v>
      </c>
      <c r="DI633">
        <f t="shared" si="283"/>
        <v>0</v>
      </c>
      <c r="DJ633">
        <f t="shared" si="323"/>
        <v>0.68</v>
      </c>
      <c r="DK633">
        <v>0</v>
      </c>
    </row>
    <row r="634" spans="1:115" x14ac:dyDescent="0.2">
      <c r="A634">
        <f>ROW(Source!A567)</f>
        <v>567</v>
      </c>
      <c r="B634">
        <v>129761633</v>
      </c>
      <c r="C634">
        <v>129763889</v>
      </c>
      <c r="D634">
        <v>37394864</v>
      </c>
      <c r="E634">
        <v>1</v>
      </c>
      <c r="F634">
        <v>1</v>
      </c>
      <c r="G634">
        <v>37345137</v>
      </c>
      <c r="H634">
        <v>3</v>
      </c>
      <c r="I634" t="s">
        <v>1147</v>
      </c>
      <c r="J634" t="s">
        <v>1148</v>
      </c>
      <c r="K634" t="s">
        <v>1149</v>
      </c>
      <c r="L634">
        <v>1348</v>
      </c>
      <c r="N634">
        <v>1009</v>
      </c>
      <c r="O634" t="s">
        <v>114</v>
      </c>
      <c r="P634" t="s">
        <v>114</v>
      </c>
      <c r="Q634">
        <v>1000</v>
      </c>
      <c r="W634">
        <v>0</v>
      </c>
      <c r="X634">
        <v>1310716689</v>
      </c>
      <c r="Y634">
        <f t="shared" si="314"/>
        <v>0.16</v>
      </c>
      <c r="AA634">
        <v>148985.1</v>
      </c>
      <c r="AB634">
        <v>0</v>
      </c>
      <c r="AC634">
        <v>0</v>
      </c>
      <c r="AD634">
        <v>0</v>
      </c>
      <c r="AE634">
        <v>7191.81</v>
      </c>
      <c r="AF634">
        <v>0</v>
      </c>
      <c r="AG634">
        <v>0</v>
      </c>
      <c r="AH634">
        <v>0</v>
      </c>
      <c r="AI634">
        <v>20.27</v>
      </c>
      <c r="AJ634">
        <v>1</v>
      </c>
      <c r="AK634">
        <v>1</v>
      </c>
      <c r="AL634">
        <v>1</v>
      </c>
      <c r="AN634">
        <v>0</v>
      </c>
      <c r="AO634">
        <v>1</v>
      </c>
      <c r="AP634">
        <v>0</v>
      </c>
      <c r="AQ634">
        <v>0</v>
      </c>
      <c r="AR634">
        <v>0</v>
      </c>
      <c r="AS634" t="s">
        <v>3</v>
      </c>
      <c r="AT634">
        <v>0.16</v>
      </c>
      <c r="AU634" t="s">
        <v>3</v>
      </c>
      <c r="AV634">
        <v>0</v>
      </c>
      <c r="AW634">
        <v>2</v>
      </c>
      <c r="AX634">
        <v>129763916</v>
      </c>
      <c r="AY634">
        <v>1</v>
      </c>
      <c r="AZ634">
        <v>0</v>
      </c>
      <c r="BA634">
        <v>627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CX634">
        <f>ROUND(Y634*Source!I567,9)</f>
        <v>8.4800000000000001E-4</v>
      </c>
      <c r="CY634">
        <f t="shared" si="315"/>
        <v>148985.1</v>
      </c>
      <c r="CZ634">
        <f t="shared" si="316"/>
        <v>7191.81</v>
      </c>
      <c r="DA634">
        <f t="shared" si="317"/>
        <v>20.27</v>
      </c>
      <c r="DB634">
        <f t="shared" si="318"/>
        <v>1150.69</v>
      </c>
      <c r="DC634">
        <f t="shared" si="319"/>
        <v>0</v>
      </c>
      <c r="DD634" t="s">
        <v>3</v>
      </c>
      <c r="DE634" t="s">
        <v>3</v>
      </c>
      <c r="DF634">
        <f t="shared" si="320"/>
        <v>123.65</v>
      </c>
      <c r="DG634">
        <f t="shared" si="321"/>
        <v>0</v>
      </c>
      <c r="DH634">
        <f t="shared" si="322"/>
        <v>0</v>
      </c>
      <c r="DI634">
        <f t="shared" si="283"/>
        <v>0</v>
      </c>
      <c r="DJ634">
        <f t="shared" si="323"/>
        <v>123.65</v>
      </c>
      <c r="DK634">
        <v>0</v>
      </c>
    </row>
    <row r="635" spans="1:115" x14ac:dyDescent="0.2">
      <c r="A635">
        <f>ROW(Source!A567)</f>
        <v>567</v>
      </c>
      <c r="B635">
        <v>129761633</v>
      </c>
      <c r="C635">
        <v>129763889</v>
      </c>
      <c r="D635">
        <v>37393656</v>
      </c>
      <c r="E635">
        <v>1</v>
      </c>
      <c r="F635">
        <v>1</v>
      </c>
      <c r="G635">
        <v>37345137</v>
      </c>
      <c r="H635">
        <v>3</v>
      </c>
      <c r="I635" t="s">
        <v>1315</v>
      </c>
      <c r="J635" t="s">
        <v>1316</v>
      </c>
      <c r="K635" t="s">
        <v>1317</v>
      </c>
      <c r="L635">
        <v>1339</v>
      </c>
      <c r="N635">
        <v>1007</v>
      </c>
      <c r="O635" t="s">
        <v>94</v>
      </c>
      <c r="P635" t="s">
        <v>94</v>
      </c>
      <c r="Q635">
        <v>1</v>
      </c>
      <c r="W635">
        <v>0</v>
      </c>
      <c r="X635">
        <v>-1939393675</v>
      </c>
      <c r="Y635">
        <f t="shared" si="314"/>
        <v>0.04</v>
      </c>
      <c r="AA635">
        <v>7923.66</v>
      </c>
      <c r="AB635">
        <v>0</v>
      </c>
      <c r="AC635">
        <v>0</v>
      </c>
      <c r="AD635">
        <v>0</v>
      </c>
      <c r="AE635">
        <v>1828.56</v>
      </c>
      <c r="AF635">
        <v>0</v>
      </c>
      <c r="AG635">
        <v>0</v>
      </c>
      <c r="AH635">
        <v>0</v>
      </c>
      <c r="AI635">
        <v>4.24</v>
      </c>
      <c r="AJ635">
        <v>1</v>
      </c>
      <c r="AK635">
        <v>1</v>
      </c>
      <c r="AL635">
        <v>1</v>
      </c>
      <c r="AN635">
        <v>0</v>
      </c>
      <c r="AO635">
        <v>1</v>
      </c>
      <c r="AP635">
        <v>0</v>
      </c>
      <c r="AQ635">
        <v>0</v>
      </c>
      <c r="AR635">
        <v>0</v>
      </c>
      <c r="AS635" t="s">
        <v>3</v>
      </c>
      <c r="AT635">
        <v>0.04</v>
      </c>
      <c r="AU635" t="s">
        <v>3</v>
      </c>
      <c r="AV635">
        <v>0</v>
      </c>
      <c r="AW635">
        <v>2</v>
      </c>
      <c r="AX635">
        <v>129763917</v>
      </c>
      <c r="AY635">
        <v>1</v>
      </c>
      <c r="AZ635">
        <v>0</v>
      </c>
      <c r="BA635">
        <v>628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CX635">
        <f>ROUND(Y635*Source!I567,9)</f>
        <v>2.12E-4</v>
      </c>
      <c r="CY635">
        <f t="shared" si="315"/>
        <v>7923.66</v>
      </c>
      <c r="CZ635">
        <f t="shared" si="316"/>
        <v>1828.56</v>
      </c>
      <c r="DA635">
        <f t="shared" si="317"/>
        <v>4.24</v>
      </c>
      <c r="DB635">
        <f t="shared" si="318"/>
        <v>73.14</v>
      </c>
      <c r="DC635">
        <f t="shared" si="319"/>
        <v>0</v>
      </c>
      <c r="DD635" t="s">
        <v>3</v>
      </c>
      <c r="DE635" t="s">
        <v>3</v>
      </c>
      <c r="DF635">
        <f t="shared" si="320"/>
        <v>1.65</v>
      </c>
      <c r="DG635">
        <f t="shared" si="321"/>
        <v>0</v>
      </c>
      <c r="DH635">
        <f t="shared" si="322"/>
        <v>0</v>
      </c>
      <c r="DI635">
        <f t="shared" si="283"/>
        <v>0</v>
      </c>
      <c r="DJ635">
        <f t="shared" si="323"/>
        <v>1.65</v>
      </c>
      <c r="DK635">
        <v>0</v>
      </c>
    </row>
    <row r="636" spans="1:115" x14ac:dyDescent="0.2">
      <c r="A636">
        <f>ROW(Source!A567)</f>
        <v>567</v>
      </c>
      <c r="B636">
        <v>129761633</v>
      </c>
      <c r="C636">
        <v>129763889</v>
      </c>
      <c r="D636">
        <v>37393683</v>
      </c>
      <c r="E636">
        <v>1</v>
      </c>
      <c r="F636">
        <v>1</v>
      </c>
      <c r="G636">
        <v>37345137</v>
      </c>
      <c r="H636">
        <v>3</v>
      </c>
      <c r="I636" t="s">
        <v>1318</v>
      </c>
      <c r="J636" t="s">
        <v>1319</v>
      </c>
      <c r="K636" t="s">
        <v>1320</v>
      </c>
      <c r="L636">
        <v>1348</v>
      </c>
      <c r="N636">
        <v>1009</v>
      </c>
      <c r="O636" t="s">
        <v>114</v>
      </c>
      <c r="P636" t="s">
        <v>114</v>
      </c>
      <c r="Q636">
        <v>1000</v>
      </c>
      <c r="W636">
        <v>0</v>
      </c>
      <c r="X636">
        <v>-1753839253</v>
      </c>
      <c r="Y636">
        <f t="shared" si="314"/>
        <v>0.01</v>
      </c>
      <c r="AA636">
        <v>5965.55</v>
      </c>
      <c r="AB636">
        <v>0</v>
      </c>
      <c r="AC636">
        <v>0</v>
      </c>
      <c r="AD636">
        <v>0</v>
      </c>
      <c r="AE636">
        <v>1260.72</v>
      </c>
      <c r="AF636">
        <v>0</v>
      </c>
      <c r="AG636">
        <v>0</v>
      </c>
      <c r="AH636">
        <v>0</v>
      </c>
      <c r="AI636">
        <v>4.63</v>
      </c>
      <c r="AJ636">
        <v>1</v>
      </c>
      <c r="AK636">
        <v>1</v>
      </c>
      <c r="AL636">
        <v>1</v>
      </c>
      <c r="AN636">
        <v>0</v>
      </c>
      <c r="AO636">
        <v>1</v>
      </c>
      <c r="AP636">
        <v>0</v>
      </c>
      <c r="AQ636">
        <v>0</v>
      </c>
      <c r="AR636">
        <v>0</v>
      </c>
      <c r="AS636" t="s">
        <v>3</v>
      </c>
      <c r="AT636">
        <v>0.01</v>
      </c>
      <c r="AU636" t="s">
        <v>3</v>
      </c>
      <c r="AV636">
        <v>0</v>
      </c>
      <c r="AW636">
        <v>2</v>
      </c>
      <c r="AX636">
        <v>129763918</v>
      </c>
      <c r="AY636">
        <v>1</v>
      </c>
      <c r="AZ636">
        <v>0</v>
      </c>
      <c r="BA636">
        <v>629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CX636">
        <f>ROUND(Y636*Source!I567,9)</f>
        <v>5.3000000000000001E-5</v>
      </c>
      <c r="CY636">
        <f t="shared" si="315"/>
        <v>5965.55</v>
      </c>
      <c r="CZ636">
        <f t="shared" si="316"/>
        <v>1260.72</v>
      </c>
      <c r="DA636">
        <f t="shared" si="317"/>
        <v>4.63</v>
      </c>
      <c r="DB636">
        <f t="shared" si="318"/>
        <v>12.61</v>
      </c>
      <c r="DC636">
        <f t="shared" si="319"/>
        <v>0</v>
      </c>
      <c r="DD636" t="s">
        <v>3</v>
      </c>
      <c r="DE636" t="s">
        <v>3</v>
      </c>
      <c r="DF636">
        <f t="shared" si="320"/>
        <v>0.32</v>
      </c>
      <c r="DG636">
        <f t="shared" si="321"/>
        <v>0</v>
      </c>
      <c r="DH636">
        <f t="shared" si="322"/>
        <v>0</v>
      </c>
      <c r="DI636">
        <f t="shared" si="283"/>
        <v>0</v>
      </c>
      <c r="DJ636">
        <f t="shared" si="323"/>
        <v>0.32</v>
      </c>
      <c r="DK636">
        <v>0</v>
      </c>
    </row>
    <row r="637" spans="1:115" x14ac:dyDescent="0.2">
      <c r="A637">
        <f>ROW(Source!A567)</f>
        <v>567</v>
      </c>
      <c r="B637">
        <v>129761633</v>
      </c>
      <c r="C637">
        <v>129763889</v>
      </c>
      <c r="D637">
        <v>37394035</v>
      </c>
      <c r="E637">
        <v>1</v>
      </c>
      <c r="F637">
        <v>1</v>
      </c>
      <c r="G637">
        <v>37345137</v>
      </c>
      <c r="H637">
        <v>3</v>
      </c>
      <c r="I637" t="s">
        <v>1321</v>
      </c>
      <c r="J637" t="s">
        <v>1322</v>
      </c>
      <c r="K637" t="s">
        <v>1323</v>
      </c>
      <c r="L637">
        <v>1327</v>
      </c>
      <c r="N637">
        <v>1005</v>
      </c>
      <c r="O637" t="s">
        <v>258</v>
      </c>
      <c r="P637" t="s">
        <v>258</v>
      </c>
      <c r="Q637">
        <v>1</v>
      </c>
      <c r="W637">
        <v>0</v>
      </c>
      <c r="X637">
        <v>-1476054991</v>
      </c>
      <c r="Y637">
        <f t="shared" si="314"/>
        <v>30</v>
      </c>
      <c r="AA637">
        <v>49.17</v>
      </c>
      <c r="AB637">
        <v>0</v>
      </c>
      <c r="AC637">
        <v>0</v>
      </c>
      <c r="AD637">
        <v>0</v>
      </c>
      <c r="AE637">
        <v>7.39</v>
      </c>
      <c r="AF637">
        <v>0</v>
      </c>
      <c r="AG637">
        <v>0</v>
      </c>
      <c r="AH637">
        <v>0</v>
      </c>
      <c r="AI637">
        <v>6.51</v>
      </c>
      <c r="AJ637">
        <v>1</v>
      </c>
      <c r="AK637">
        <v>1</v>
      </c>
      <c r="AL637">
        <v>1</v>
      </c>
      <c r="AN637">
        <v>0</v>
      </c>
      <c r="AO637">
        <v>1</v>
      </c>
      <c r="AP637">
        <v>0</v>
      </c>
      <c r="AQ637">
        <v>0</v>
      </c>
      <c r="AR637">
        <v>0</v>
      </c>
      <c r="AS637" t="s">
        <v>3</v>
      </c>
      <c r="AT637">
        <v>30</v>
      </c>
      <c r="AU637" t="s">
        <v>3</v>
      </c>
      <c r="AV637">
        <v>0</v>
      </c>
      <c r="AW637">
        <v>2</v>
      </c>
      <c r="AX637">
        <v>129763919</v>
      </c>
      <c r="AY637">
        <v>1</v>
      </c>
      <c r="AZ637">
        <v>0</v>
      </c>
      <c r="BA637">
        <v>630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CX637">
        <f>ROUND(Y637*Source!I567,9)</f>
        <v>0.159</v>
      </c>
      <c r="CY637">
        <f t="shared" si="315"/>
        <v>49.17</v>
      </c>
      <c r="CZ637">
        <f t="shared" si="316"/>
        <v>7.39</v>
      </c>
      <c r="DA637">
        <f t="shared" si="317"/>
        <v>6.51</v>
      </c>
      <c r="DB637">
        <f t="shared" si="318"/>
        <v>221.7</v>
      </c>
      <c r="DC637">
        <f t="shared" si="319"/>
        <v>0</v>
      </c>
      <c r="DD637" t="s">
        <v>3</v>
      </c>
      <c r="DE637" t="s">
        <v>3</v>
      </c>
      <c r="DF637">
        <f t="shared" si="320"/>
        <v>7.68</v>
      </c>
      <c r="DG637">
        <f t="shared" si="321"/>
        <v>0</v>
      </c>
      <c r="DH637">
        <f t="shared" si="322"/>
        <v>0</v>
      </c>
      <c r="DI637">
        <f t="shared" si="283"/>
        <v>0</v>
      </c>
      <c r="DJ637">
        <f t="shared" si="323"/>
        <v>7.68</v>
      </c>
      <c r="DK637">
        <v>0</v>
      </c>
    </row>
    <row r="638" spans="1:115" x14ac:dyDescent="0.2">
      <c r="A638">
        <f>ROW(Source!A567)</f>
        <v>567</v>
      </c>
      <c r="B638">
        <v>129761633</v>
      </c>
      <c r="C638">
        <v>129763889</v>
      </c>
      <c r="D638">
        <v>37412028</v>
      </c>
      <c r="E638">
        <v>1</v>
      </c>
      <c r="F638">
        <v>1</v>
      </c>
      <c r="G638">
        <v>37345137</v>
      </c>
      <c r="H638">
        <v>3</v>
      </c>
      <c r="I638" t="s">
        <v>537</v>
      </c>
      <c r="J638" t="s">
        <v>601</v>
      </c>
      <c r="K638" t="s">
        <v>538</v>
      </c>
      <c r="L638">
        <v>1339</v>
      </c>
      <c r="N638">
        <v>1007</v>
      </c>
      <c r="O638" t="s">
        <v>94</v>
      </c>
      <c r="P638" t="s">
        <v>94</v>
      </c>
      <c r="Q638">
        <v>1</v>
      </c>
      <c r="W638">
        <v>0</v>
      </c>
      <c r="X638">
        <v>1936379870</v>
      </c>
      <c r="Y638">
        <f t="shared" si="314"/>
        <v>101.5</v>
      </c>
      <c r="AA638">
        <v>5909.32</v>
      </c>
      <c r="AB638">
        <v>0</v>
      </c>
      <c r="AC638">
        <v>0</v>
      </c>
      <c r="AD638">
        <v>0</v>
      </c>
      <c r="AE638">
        <v>727.31</v>
      </c>
      <c r="AF638">
        <v>0</v>
      </c>
      <c r="AG638">
        <v>0</v>
      </c>
      <c r="AH638">
        <v>0</v>
      </c>
      <c r="AI638">
        <v>7.95</v>
      </c>
      <c r="AJ638">
        <v>1</v>
      </c>
      <c r="AK638">
        <v>1</v>
      </c>
      <c r="AL638">
        <v>1</v>
      </c>
      <c r="AN638">
        <v>0</v>
      </c>
      <c r="AO638">
        <v>0</v>
      </c>
      <c r="AP638">
        <v>0</v>
      </c>
      <c r="AQ638">
        <v>0</v>
      </c>
      <c r="AR638">
        <v>0</v>
      </c>
      <c r="AS638" t="s">
        <v>3</v>
      </c>
      <c r="AT638">
        <v>101.5</v>
      </c>
      <c r="AU638" t="s">
        <v>3</v>
      </c>
      <c r="AV638">
        <v>0</v>
      </c>
      <c r="AW638">
        <v>1</v>
      </c>
      <c r="AX638">
        <v>-1</v>
      </c>
      <c r="AY638">
        <v>0</v>
      </c>
      <c r="AZ638">
        <v>0</v>
      </c>
      <c r="BA638" t="s">
        <v>3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CX638">
        <f>ROUND(Y638*Source!I567,9)</f>
        <v>0.53795000000000004</v>
      </c>
      <c r="CY638">
        <f t="shared" si="315"/>
        <v>5909.32</v>
      </c>
      <c r="CZ638">
        <f t="shared" si="316"/>
        <v>727.31</v>
      </c>
      <c r="DA638">
        <f t="shared" si="317"/>
        <v>7.95</v>
      </c>
      <c r="DB638">
        <f t="shared" si="318"/>
        <v>73821.97</v>
      </c>
      <c r="DC638">
        <f t="shared" si="319"/>
        <v>0</v>
      </c>
      <c r="DD638" t="s">
        <v>3</v>
      </c>
      <c r="DE638" t="s">
        <v>3</v>
      </c>
      <c r="DF638">
        <f t="shared" si="320"/>
        <v>3110.52</v>
      </c>
      <c r="DG638">
        <f t="shared" si="321"/>
        <v>0</v>
      </c>
      <c r="DH638">
        <f t="shared" si="322"/>
        <v>0</v>
      </c>
      <c r="DI638">
        <f t="shared" si="283"/>
        <v>0</v>
      </c>
      <c r="DJ638">
        <f t="shared" si="323"/>
        <v>3110.52</v>
      </c>
      <c r="DK638">
        <v>0</v>
      </c>
    </row>
    <row r="639" spans="1:115" x14ac:dyDescent="0.2">
      <c r="A639">
        <f>ROW(Source!A567)</f>
        <v>567</v>
      </c>
      <c r="B639">
        <v>129761633</v>
      </c>
      <c r="C639">
        <v>129763889</v>
      </c>
      <c r="D639">
        <v>37412290</v>
      </c>
      <c r="E639">
        <v>1</v>
      </c>
      <c r="F639">
        <v>1</v>
      </c>
      <c r="G639">
        <v>37345137</v>
      </c>
      <c r="H639">
        <v>3</v>
      </c>
      <c r="I639" t="s">
        <v>597</v>
      </c>
      <c r="J639" t="s">
        <v>599</v>
      </c>
      <c r="K639" t="s">
        <v>598</v>
      </c>
      <c r="L639">
        <v>1348</v>
      </c>
      <c r="N639">
        <v>1009</v>
      </c>
      <c r="O639" t="s">
        <v>114</v>
      </c>
      <c r="P639" t="s">
        <v>114</v>
      </c>
      <c r="Q639">
        <v>1000</v>
      </c>
      <c r="W639">
        <v>0</v>
      </c>
      <c r="X639">
        <v>-162930227</v>
      </c>
      <c r="Y639">
        <f t="shared" si="314"/>
        <v>8.1</v>
      </c>
      <c r="AA639">
        <v>71840.929999999993</v>
      </c>
      <c r="AB639">
        <v>0</v>
      </c>
      <c r="AC639">
        <v>0</v>
      </c>
      <c r="AD639">
        <v>0</v>
      </c>
      <c r="AE639">
        <v>5752.41</v>
      </c>
      <c r="AF639">
        <v>0</v>
      </c>
      <c r="AG639">
        <v>0</v>
      </c>
      <c r="AH639">
        <v>0</v>
      </c>
      <c r="AI639">
        <v>12.22</v>
      </c>
      <c r="AJ639">
        <v>1</v>
      </c>
      <c r="AK639">
        <v>1</v>
      </c>
      <c r="AL639">
        <v>1</v>
      </c>
      <c r="AN639">
        <v>0</v>
      </c>
      <c r="AO639">
        <v>0</v>
      </c>
      <c r="AP639">
        <v>0</v>
      </c>
      <c r="AQ639">
        <v>0</v>
      </c>
      <c r="AR639">
        <v>0</v>
      </c>
      <c r="AS639" t="s">
        <v>3</v>
      </c>
      <c r="AT639">
        <v>8.1</v>
      </c>
      <c r="AU639" t="s">
        <v>3</v>
      </c>
      <c r="AV639">
        <v>0</v>
      </c>
      <c r="AW639">
        <v>1</v>
      </c>
      <c r="AX639">
        <v>-1</v>
      </c>
      <c r="AY639">
        <v>0</v>
      </c>
      <c r="AZ639">
        <v>0</v>
      </c>
      <c r="BA639" t="s">
        <v>3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CX639">
        <f>ROUND(Y639*Source!I567,9)</f>
        <v>4.2930000000000003E-2</v>
      </c>
      <c r="CY639">
        <f t="shared" si="315"/>
        <v>71840.929999999993</v>
      </c>
      <c r="CZ639">
        <f t="shared" si="316"/>
        <v>5752.41</v>
      </c>
      <c r="DA639">
        <f t="shared" si="317"/>
        <v>12.22</v>
      </c>
      <c r="DB639">
        <f t="shared" si="318"/>
        <v>46594.52</v>
      </c>
      <c r="DC639">
        <f t="shared" si="319"/>
        <v>0</v>
      </c>
      <c r="DD639" t="s">
        <v>3</v>
      </c>
      <c r="DE639" t="s">
        <v>3</v>
      </c>
      <c r="DF639">
        <f t="shared" si="320"/>
        <v>3017.73</v>
      </c>
      <c r="DG639">
        <f t="shared" si="321"/>
        <v>0</v>
      </c>
      <c r="DH639">
        <f t="shared" si="322"/>
        <v>0</v>
      </c>
      <c r="DI639">
        <f t="shared" si="283"/>
        <v>0</v>
      </c>
      <c r="DJ639">
        <f t="shared" si="323"/>
        <v>3017.73</v>
      </c>
      <c r="DK639">
        <v>0</v>
      </c>
    </row>
    <row r="640" spans="1:115" x14ac:dyDescent="0.2">
      <c r="A640">
        <f>ROW(Source!A567)</f>
        <v>567</v>
      </c>
      <c r="B640">
        <v>129761633</v>
      </c>
      <c r="C640">
        <v>129763889</v>
      </c>
      <c r="D640">
        <v>37417373</v>
      </c>
      <c r="E640">
        <v>1</v>
      </c>
      <c r="F640">
        <v>1</v>
      </c>
      <c r="G640">
        <v>37345137</v>
      </c>
      <c r="H640">
        <v>3</v>
      </c>
      <c r="I640" t="s">
        <v>1324</v>
      </c>
      <c r="J640" t="s">
        <v>1325</v>
      </c>
      <c r="K640" t="s">
        <v>1326</v>
      </c>
      <c r="L640">
        <v>1327</v>
      </c>
      <c r="N640">
        <v>1005</v>
      </c>
      <c r="O640" t="s">
        <v>258</v>
      </c>
      <c r="P640" t="s">
        <v>258</v>
      </c>
      <c r="Q640">
        <v>1</v>
      </c>
      <c r="W640">
        <v>0</v>
      </c>
      <c r="X640">
        <v>-153668504</v>
      </c>
      <c r="Y640">
        <f t="shared" si="314"/>
        <v>3.6</v>
      </c>
      <c r="AA640">
        <v>323.39</v>
      </c>
      <c r="AB640">
        <v>0</v>
      </c>
      <c r="AC640">
        <v>0</v>
      </c>
      <c r="AD640">
        <v>0</v>
      </c>
      <c r="AE640">
        <v>90.15</v>
      </c>
      <c r="AF640">
        <v>0</v>
      </c>
      <c r="AG640">
        <v>0</v>
      </c>
      <c r="AH640">
        <v>0</v>
      </c>
      <c r="AI640">
        <v>3.51</v>
      </c>
      <c r="AJ640">
        <v>1</v>
      </c>
      <c r="AK640">
        <v>1</v>
      </c>
      <c r="AL640">
        <v>1</v>
      </c>
      <c r="AN640">
        <v>0</v>
      </c>
      <c r="AO640">
        <v>1</v>
      </c>
      <c r="AP640">
        <v>0</v>
      </c>
      <c r="AQ640">
        <v>0</v>
      </c>
      <c r="AR640">
        <v>0</v>
      </c>
      <c r="AS640" t="s">
        <v>3</v>
      </c>
      <c r="AT640">
        <v>3.6</v>
      </c>
      <c r="AU640" t="s">
        <v>3</v>
      </c>
      <c r="AV640">
        <v>0</v>
      </c>
      <c r="AW640">
        <v>2</v>
      </c>
      <c r="AX640">
        <v>129763920</v>
      </c>
      <c r="AY640">
        <v>1</v>
      </c>
      <c r="AZ640">
        <v>0</v>
      </c>
      <c r="BA640">
        <v>631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CX640">
        <f>ROUND(Y640*Source!I567,9)</f>
        <v>1.908E-2</v>
      </c>
      <c r="CY640">
        <f t="shared" si="315"/>
        <v>323.39</v>
      </c>
      <c r="CZ640">
        <f t="shared" si="316"/>
        <v>90.15</v>
      </c>
      <c r="DA640">
        <f t="shared" si="317"/>
        <v>3.51</v>
      </c>
      <c r="DB640">
        <f t="shared" si="318"/>
        <v>324.54000000000002</v>
      </c>
      <c r="DC640">
        <f t="shared" si="319"/>
        <v>0</v>
      </c>
      <c r="DD640" t="s">
        <v>3</v>
      </c>
      <c r="DE640" t="s">
        <v>3</v>
      </c>
      <c r="DF640">
        <f t="shared" si="320"/>
        <v>6.04</v>
      </c>
      <c r="DG640">
        <f t="shared" si="321"/>
        <v>0</v>
      </c>
      <c r="DH640">
        <f t="shared" si="322"/>
        <v>0</v>
      </c>
      <c r="DI640">
        <f t="shared" si="283"/>
        <v>0</v>
      </c>
      <c r="DJ640">
        <f t="shared" si="323"/>
        <v>6.04</v>
      </c>
      <c r="DK640">
        <v>0</v>
      </c>
    </row>
    <row r="641" spans="1:115" x14ac:dyDescent="0.2">
      <c r="A641">
        <f>ROW(Source!A572)</f>
        <v>572</v>
      </c>
      <c r="B641">
        <v>129761636</v>
      </c>
      <c r="C641">
        <v>129763924</v>
      </c>
      <c r="D641">
        <v>37345142</v>
      </c>
      <c r="E641">
        <v>37345137</v>
      </c>
      <c r="F641">
        <v>1</v>
      </c>
      <c r="G641">
        <v>37345137</v>
      </c>
      <c r="H641">
        <v>1</v>
      </c>
      <c r="I641" t="s">
        <v>1096</v>
      </c>
      <c r="J641" t="s">
        <v>3</v>
      </c>
      <c r="K641" t="s">
        <v>1097</v>
      </c>
      <c r="L641">
        <v>1191</v>
      </c>
      <c r="N641">
        <v>1013</v>
      </c>
      <c r="O641" t="s">
        <v>1098</v>
      </c>
      <c r="P641" t="s">
        <v>1098</v>
      </c>
      <c r="Q641">
        <v>1</v>
      </c>
      <c r="W641">
        <v>0</v>
      </c>
      <c r="X641">
        <v>476480486</v>
      </c>
      <c r="Y641">
        <f>(AT641*1.15)</f>
        <v>6.1064999999999987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1</v>
      </c>
      <c r="AJ641">
        <v>1</v>
      </c>
      <c r="AK641">
        <v>1</v>
      </c>
      <c r="AL641">
        <v>1</v>
      </c>
      <c r="AN641">
        <v>0</v>
      </c>
      <c r="AO641">
        <v>1</v>
      </c>
      <c r="AP641">
        <v>1</v>
      </c>
      <c r="AQ641">
        <v>0</v>
      </c>
      <c r="AR641">
        <v>0</v>
      </c>
      <c r="AS641" t="s">
        <v>3</v>
      </c>
      <c r="AT641">
        <v>5.31</v>
      </c>
      <c r="AU641" t="s">
        <v>87</v>
      </c>
      <c r="AV641">
        <v>1</v>
      </c>
      <c r="AW641">
        <v>2</v>
      </c>
      <c r="AX641">
        <v>129763930</v>
      </c>
      <c r="AY641">
        <v>1</v>
      </c>
      <c r="AZ641">
        <v>0</v>
      </c>
      <c r="BA641">
        <v>633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CX641">
        <f>ROUND(Y641*Source!I572,9)</f>
        <v>2.3693219999999999</v>
      </c>
      <c r="CY641">
        <f>AD641</f>
        <v>0</v>
      </c>
      <c r="CZ641">
        <f>AH641</f>
        <v>0</v>
      </c>
      <c r="DA641">
        <f>AL641</f>
        <v>1</v>
      </c>
      <c r="DB641">
        <f>ROUND((ROUND(AT641*CZ641,2)*1.15),6)</f>
        <v>0</v>
      </c>
      <c r="DC641">
        <f>ROUND((ROUND(AT641*AG641,2)*1.15),6)</f>
        <v>0</v>
      </c>
      <c r="DD641" t="s">
        <v>3</v>
      </c>
      <c r="DE641" t="s">
        <v>3</v>
      </c>
      <c r="DF641">
        <f t="shared" ref="DF641:DF648" si="324">ROUND(AE641*CX641,2)</f>
        <v>0</v>
      </c>
      <c r="DG641">
        <f t="shared" si="321"/>
        <v>0</v>
      </c>
      <c r="DH641">
        <f t="shared" si="322"/>
        <v>0</v>
      </c>
      <c r="DI641">
        <f t="shared" ref="DI641:DI704" si="325">ROUND(AH641*CX641,2)</f>
        <v>0</v>
      </c>
      <c r="DJ641">
        <f>DI641</f>
        <v>0</v>
      </c>
      <c r="DK641">
        <v>0</v>
      </c>
    </row>
    <row r="642" spans="1:115" x14ac:dyDescent="0.2">
      <c r="A642">
        <f>ROW(Source!A572)</f>
        <v>572</v>
      </c>
      <c r="B642">
        <v>129761636</v>
      </c>
      <c r="C642">
        <v>129763924</v>
      </c>
      <c r="D642">
        <v>37418071</v>
      </c>
      <c r="E642">
        <v>1</v>
      </c>
      <c r="F642">
        <v>1</v>
      </c>
      <c r="G642">
        <v>37345137</v>
      </c>
      <c r="H642">
        <v>2</v>
      </c>
      <c r="I642" t="s">
        <v>1330</v>
      </c>
      <c r="J642" t="s">
        <v>1331</v>
      </c>
      <c r="K642" t="s">
        <v>1332</v>
      </c>
      <c r="L642">
        <v>1367</v>
      </c>
      <c r="N642">
        <v>1011</v>
      </c>
      <c r="O642" t="s">
        <v>1102</v>
      </c>
      <c r="P642" t="s">
        <v>1102</v>
      </c>
      <c r="Q642">
        <v>1</v>
      </c>
      <c r="W642">
        <v>0</v>
      </c>
      <c r="X642">
        <v>-421688854</v>
      </c>
      <c r="Y642">
        <f>(AT642*1.25)</f>
        <v>1.4000000000000001</v>
      </c>
      <c r="AA642">
        <v>0</v>
      </c>
      <c r="AB642">
        <v>17.32</v>
      </c>
      <c r="AC642">
        <v>1.36</v>
      </c>
      <c r="AD642">
        <v>0</v>
      </c>
      <c r="AE642">
        <v>0</v>
      </c>
      <c r="AF642">
        <v>17.32</v>
      </c>
      <c r="AG642">
        <v>1.36</v>
      </c>
      <c r="AH642">
        <v>0</v>
      </c>
      <c r="AI642">
        <v>1</v>
      </c>
      <c r="AJ642">
        <v>1</v>
      </c>
      <c r="AK642">
        <v>1</v>
      </c>
      <c r="AL642">
        <v>1</v>
      </c>
      <c r="AN642">
        <v>0</v>
      </c>
      <c r="AO642">
        <v>1</v>
      </c>
      <c r="AP642">
        <v>1</v>
      </c>
      <c r="AQ642">
        <v>0</v>
      </c>
      <c r="AR642">
        <v>0</v>
      </c>
      <c r="AS642" t="s">
        <v>3</v>
      </c>
      <c r="AT642">
        <v>1.1200000000000001</v>
      </c>
      <c r="AU642" t="s">
        <v>86</v>
      </c>
      <c r="AV642">
        <v>0</v>
      </c>
      <c r="AW642">
        <v>2</v>
      </c>
      <c r="AX642">
        <v>129763931</v>
      </c>
      <c r="AY642">
        <v>1</v>
      </c>
      <c r="AZ642">
        <v>0</v>
      </c>
      <c r="BA642">
        <v>634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CX642">
        <f>ROUND(Y642*Source!I572,9)</f>
        <v>0.54320000000000002</v>
      </c>
      <c r="CY642">
        <f>AB642</f>
        <v>17.32</v>
      </c>
      <c r="CZ642">
        <f>AF642</f>
        <v>17.32</v>
      </c>
      <c r="DA642">
        <f>AJ642</f>
        <v>1</v>
      </c>
      <c r="DB642">
        <f>ROUND((ROUND(AT642*CZ642,2)*1.25),6)</f>
        <v>24.25</v>
      </c>
      <c r="DC642">
        <f>ROUND((ROUND(AT642*AG642,2)*1.25),6)</f>
        <v>1.9</v>
      </c>
      <c r="DD642" t="s">
        <v>3</v>
      </c>
      <c r="DE642" t="s">
        <v>3</v>
      </c>
      <c r="DF642">
        <f t="shared" si="324"/>
        <v>0</v>
      </c>
      <c r="DG642">
        <f t="shared" si="321"/>
        <v>9.41</v>
      </c>
      <c r="DH642">
        <f t="shared" si="322"/>
        <v>0.74</v>
      </c>
      <c r="DI642">
        <f t="shared" si="325"/>
        <v>0</v>
      </c>
      <c r="DJ642">
        <f>DG642</f>
        <v>9.41</v>
      </c>
      <c r="DK642">
        <v>0</v>
      </c>
    </row>
    <row r="643" spans="1:115" x14ac:dyDescent="0.2">
      <c r="A643">
        <f>ROW(Source!A572)</f>
        <v>572</v>
      </c>
      <c r="B643">
        <v>129761636</v>
      </c>
      <c r="C643">
        <v>129763924</v>
      </c>
      <c r="D643">
        <v>37345890</v>
      </c>
      <c r="E643">
        <v>37345137</v>
      </c>
      <c r="F643">
        <v>1</v>
      </c>
      <c r="G643">
        <v>37345137</v>
      </c>
      <c r="H643">
        <v>2</v>
      </c>
      <c r="I643" t="s">
        <v>1145</v>
      </c>
      <c r="J643" t="s">
        <v>3</v>
      </c>
      <c r="K643" t="s">
        <v>1146</v>
      </c>
      <c r="L643">
        <v>1344</v>
      </c>
      <c r="N643">
        <v>1008</v>
      </c>
      <c r="O643" t="s">
        <v>1138</v>
      </c>
      <c r="P643" t="s">
        <v>1138</v>
      </c>
      <c r="Q643">
        <v>1</v>
      </c>
      <c r="W643">
        <v>0</v>
      </c>
      <c r="X643">
        <v>-1180195794</v>
      </c>
      <c r="Y643">
        <f>(AT643*1.25)</f>
        <v>1.8625</v>
      </c>
      <c r="AA643">
        <v>0</v>
      </c>
      <c r="AB643">
        <v>1</v>
      </c>
      <c r="AC643">
        <v>0</v>
      </c>
      <c r="AD643">
        <v>0</v>
      </c>
      <c r="AE643">
        <v>0</v>
      </c>
      <c r="AF643">
        <v>1</v>
      </c>
      <c r="AG643">
        <v>0</v>
      </c>
      <c r="AH643">
        <v>0</v>
      </c>
      <c r="AI643">
        <v>1</v>
      </c>
      <c r="AJ643">
        <v>1</v>
      </c>
      <c r="AK643">
        <v>1</v>
      </c>
      <c r="AL643">
        <v>1</v>
      </c>
      <c r="AN643">
        <v>0</v>
      </c>
      <c r="AO643">
        <v>1</v>
      </c>
      <c r="AP643">
        <v>1</v>
      </c>
      <c r="AQ643">
        <v>0</v>
      </c>
      <c r="AR643">
        <v>0</v>
      </c>
      <c r="AS643" t="s">
        <v>3</v>
      </c>
      <c r="AT643">
        <v>1.49</v>
      </c>
      <c r="AU643" t="s">
        <v>86</v>
      </c>
      <c r="AV643">
        <v>0</v>
      </c>
      <c r="AW643">
        <v>2</v>
      </c>
      <c r="AX643">
        <v>129763932</v>
      </c>
      <c r="AY643">
        <v>1</v>
      </c>
      <c r="AZ643">
        <v>0</v>
      </c>
      <c r="BA643">
        <v>635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CX643">
        <f>ROUND(Y643*Source!I572,9)</f>
        <v>0.72265000000000001</v>
      </c>
      <c r="CY643">
        <f>AB643</f>
        <v>1</v>
      </c>
      <c r="CZ643">
        <f>AF643</f>
        <v>1</v>
      </c>
      <c r="DA643">
        <f>AJ643</f>
        <v>1</v>
      </c>
      <c r="DB643">
        <f>ROUND((ROUND(AT643*CZ643,2)*1.25),6)</f>
        <v>1.8625</v>
      </c>
      <c r="DC643">
        <f>ROUND((ROUND(AT643*AG643,2)*1.25),6)</f>
        <v>0</v>
      </c>
      <c r="DD643" t="s">
        <v>3</v>
      </c>
      <c r="DE643" t="s">
        <v>3</v>
      </c>
      <c r="DF643">
        <f t="shared" si="324"/>
        <v>0</v>
      </c>
      <c r="DG643">
        <f t="shared" si="321"/>
        <v>0.72</v>
      </c>
      <c r="DH643">
        <f t="shared" si="322"/>
        <v>0</v>
      </c>
      <c r="DI643">
        <f t="shared" si="325"/>
        <v>0</v>
      </c>
      <c r="DJ643">
        <f>DG643</f>
        <v>0.72</v>
      </c>
      <c r="DK643">
        <v>0</v>
      </c>
    </row>
    <row r="644" spans="1:115" x14ac:dyDescent="0.2">
      <c r="A644">
        <f>ROW(Source!A572)</f>
        <v>572</v>
      </c>
      <c r="B644">
        <v>129761636</v>
      </c>
      <c r="C644">
        <v>129763924</v>
      </c>
      <c r="D644">
        <v>37393597</v>
      </c>
      <c r="E644">
        <v>1</v>
      </c>
      <c r="F644">
        <v>1</v>
      </c>
      <c r="G644">
        <v>37345137</v>
      </c>
      <c r="H644">
        <v>3</v>
      </c>
      <c r="I644" t="s">
        <v>607</v>
      </c>
      <c r="J644" t="s">
        <v>609</v>
      </c>
      <c r="K644" t="s">
        <v>608</v>
      </c>
      <c r="L644">
        <v>1348</v>
      </c>
      <c r="N644">
        <v>1009</v>
      </c>
      <c r="O644" t="s">
        <v>114</v>
      </c>
      <c r="P644" t="s">
        <v>114</v>
      </c>
      <c r="Q644">
        <v>1000</v>
      </c>
      <c r="W644">
        <v>0</v>
      </c>
      <c r="X644">
        <v>1943683001</v>
      </c>
      <c r="Y644">
        <f>AT644</f>
        <v>8.9999999999999993E-3</v>
      </c>
      <c r="AA644">
        <v>18660.61</v>
      </c>
      <c r="AB644">
        <v>0</v>
      </c>
      <c r="AC644">
        <v>0</v>
      </c>
      <c r="AD644">
        <v>0</v>
      </c>
      <c r="AE644">
        <v>18660.61</v>
      </c>
      <c r="AF644">
        <v>0</v>
      </c>
      <c r="AG644">
        <v>0</v>
      </c>
      <c r="AH644">
        <v>0</v>
      </c>
      <c r="AI644">
        <v>1</v>
      </c>
      <c r="AJ644">
        <v>1</v>
      </c>
      <c r="AK644">
        <v>1</v>
      </c>
      <c r="AL644">
        <v>1</v>
      </c>
      <c r="AN644">
        <v>0</v>
      </c>
      <c r="AO644">
        <v>0</v>
      </c>
      <c r="AP644">
        <v>0</v>
      </c>
      <c r="AQ644">
        <v>0</v>
      </c>
      <c r="AR644">
        <v>0</v>
      </c>
      <c r="AS644" t="s">
        <v>3</v>
      </c>
      <c r="AT644">
        <v>8.9999999999999993E-3</v>
      </c>
      <c r="AU644" t="s">
        <v>3</v>
      </c>
      <c r="AV644">
        <v>0</v>
      </c>
      <c r="AW644">
        <v>1</v>
      </c>
      <c r="AX644">
        <v>-1</v>
      </c>
      <c r="AY644">
        <v>0</v>
      </c>
      <c r="AZ644">
        <v>0</v>
      </c>
      <c r="BA644" t="s">
        <v>3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CX644">
        <f>ROUND(Y644*Source!I572,9)</f>
        <v>3.4919999999999999E-3</v>
      </c>
      <c r="CY644">
        <f>AA644</f>
        <v>18660.61</v>
      </c>
      <c r="CZ644">
        <f>AE644</f>
        <v>18660.61</v>
      </c>
      <c r="DA644">
        <f>AI644</f>
        <v>1</v>
      </c>
      <c r="DB644">
        <f>ROUND(ROUND(AT644*CZ644,2),6)</f>
        <v>167.95</v>
      </c>
      <c r="DC644">
        <f>ROUND(ROUND(AT644*AG644,2),6)</f>
        <v>0</v>
      </c>
      <c r="DD644" t="s">
        <v>3</v>
      </c>
      <c r="DE644" t="s">
        <v>3</v>
      </c>
      <c r="DF644">
        <f t="shared" si="324"/>
        <v>65.16</v>
      </c>
      <c r="DG644">
        <f t="shared" si="321"/>
        <v>0</v>
      </c>
      <c r="DH644">
        <f t="shared" si="322"/>
        <v>0</v>
      </c>
      <c r="DI644">
        <f t="shared" si="325"/>
        <v>0</v>
      </c>
      <c r="DJ644">
        <f>DF644</f>
        <v>65.16</v>
      </c>
      <c r="DK644">
        <v>0</v>
      </c>
    </row>
    <row r="645" spans="1:115" x14ac:dyDescent="0.2">
      <c r="A645">
        <f>ROW(Source!A572)</f>
        <v>572</v>
      </c>
      <c r="B645">
        <v>129761636</v>
      </c>
      <c r="C645">
        <v>129763924</v>
      </c>
      <c r="D645">
        <v>37393894</v>
      </c>
      <c r="E645">
        <v>1</v>
      </c>
      <c r="F645">
        <v>1</v>
      </c>
      <c r="G645">
        <v>37345137</v>
      </c>
      <c r="H645">
        <v>3</v>
      </c>
      <c r="I645" t="s">
        <v>1333</v>
      </c>
      <c r="J645" t="s">
        <v>1334</v>
      </c>
      <c r="K645" t="s">
        <v>1335</v>
      </c>
      <c r="L645">
        <v>1348</v>
      </c>
      <c r="N645">
        <v>1009</v>
      </c>
      <c r="O645" t="s">
        <v>114</v>
      </c>
      <c r="P645" t="s">
        <v>114</v>
      </c>
      <c r="Q645">
        <v>1000</v>
      </c>
      <c r="W645">
        <v>0</v>
      </c>
      <c r="X645">
        <v>-904493642</v>
      </c>
      <c r="Y645">
        <f>AT645</f>
        <v>1.5E-3</v>
      </c>
      <c r="AA645">
        <v>6303.6</v>
      </c>
      <c r="AB645">
        <v>0</v>
      </c>
      <c r="AC645">
        <v>0</v>
      </c>
      <c r="AD645">
        <v>0</v>
      </c>
      <c r="AE645">
        <v>6303.6</v>
      </c>
      <c r="AF645">
        <v>0</v>
      </c>
      <c r="AG645">
        <v>0</v>
      </c>
      <c r="AH645">
        <v>0</v>
      </c>
      <c r="AI645">
        <v>1</v>
      </c>
      <c r="AJ645">
        <v>1</v>
      </c>
      <c r="AK645">
        <v>1</v>
      </c>
      <c r="AL645">
        <v>1</v>
      </c>
      <c r="AN645">
        <v>0</v>
      </c>
      <c r="AO645">
        <v>1</v>
      </c>
      <c r="AP645">
        <v>0</v>
      </c>
      <c r="AQ645">
        <v>0</v>
      </c>
      <c r="AR645">
        <v>0</v>
      </c>
      <c r="AS645" t="s">
        <v>3</v>
      </c>
      <c r="AT645">
        <v>1.5E-3</v>
      </c>
      <c r="AU645" t="s">
        <v>3</v>
      </c>
      <c r="AV645">
        <v>0</v>
      </c>
      <c r="AW645">
        <v>2</v>
      </c>
      <c r="AX645">
        <v>129763933</v>
      </c>
      <c r="AY645">
        <v>1</v>
      </c>
      <c r="AZ645">
        <v>0</v>
      </c>
      <c r="BA645">
        <v>636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CX645">
        <f>ROUND(Y645*Source!I572,9)</f>
        <v>5.8200000000000005E-4</v>
      </c>
      <c r="CY645">
        <f>AA645</f>
        <v>6303.6</v>
      </c>
      <c r="CZ645">
        <f>AE645</f>
        <v>6303.6</v>
      </c>
      <c r="DA645">
        <f>AI645</f>
        <v>1</v>
      </c>
      <c r="DB645">
        <f>ROUND(ROUND(AT645*CZ645,2),6)</f>
        <v>9.4600000000000009</v>
      </c>
      <c r="DC645">
        <f>ROUND(ROUND(AT645*AG645,2),6)</f>
        <v>0</v>
      </c>
      <c r="DD645" t="s">
        <v>3</v>
      </c>
      <c r="DE645" t="s">
        <v>3</v>
      </c>
      <c r="DF645">
        <f t="shared" si="324"/>
        <v>3.67</v>
      </c>
      <c r="DG645">
        <f t="shared" si="321"/>
        <v>0</v>
      </c>
      <c r="DH645">
        <f t="shared" si="322"/>
        <v>0</v>
      </c>
      <c r="DI645">
        <f t="shared" si="325"/>
        <v>0</v>
      </c>
      <c r="DJ645">
        <f>DF645</f>
        <v>3.67</v>
      </c>
      <c r="DK645">
        <v>0</v>
      </c>
    </row>
    <row r="646" spans="1:115" x14ac:dyDescent="0.2">
      <c r="A646">
        <f>ROW(Source!A573)</f>
        <v>573</v>
      </c>
      <c r="B646">
        <v>129761633</v>
      </c>
      <c r="C646">
        <v>129763924</v>
      </c>
      <c r="D646">
        <v>37345142</v>
      </c>
      <c r="E646">
        <v>37345137</v>
      </c>
      <c r="F646">
        <v>1</v>
      </c>
      <c r="G646">
        <v>37345137</v>
      </c>
      <c r="H646">
        <v>1</v>
      </c>
      <c r="I646" t="s">
        <v>1096</v>
      </c>
      <c r="J646" t="s">
        <v>3</v>
      </c>
      <c r="K646" t="s">
        <v>1097</v>
      </c>
      <c r="L646">
        <v>1191</v>
      </c>
      <c r="N646">
        <v>1013</v>
      </c>
      <c r="O646" t="s">
        <v>1098</v>
      </c>
      <c r="P646" t="s">
        <v>1098</v>
      </c>
      <c r="Q646">
        <v>1</v>
      </c>
      <c r="W646">
        <v>0</v>
      </c>
      <c r="X646">
        <v>476480486</v>
      </c>
      <c r="Y646">
        <f>(AT646*1.15)</f>
        <v>6.1064999999999987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1</v>
      </c>
      <c r="AJ646">
        <v>1</v>
      </c>
      <c r="AK646">
        <v>1</v>
      </c>
      <c r="AL646">
        <v>1</v>
      </c>
      <c r="AN646">
        <v>0</v>
      </c>
      <c r="AO646">
        <v>1</v>
      </c>
      <c r="AP646">
        <v>1</v>
      </c>
      <c r="AQ646">
        <v>0</v>
      </c>
      <c r="AR646">
        <v>0</v>
      </c>
      <c r="AS646" t="s">
        <v>3</v>
      </c>
      <c r="AT646">
        <v>5.31</v>
      </c>
      <c r="AU646" t="s">
        <v>87</v>
      </c>
      <c r="AV646">
        <v>1</v>
      </c>
      <c r="AW646">
        <v>2</v>
      </c>
      <c r="AX646">
        <v>129763930</v>
      </c>
      <c r="AY646">
        <v>1</v>
      </c>
      <c r="AZ646">
        <v>0</v>
      </c>
      <c r="BA646">
        <v>638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CX646">
        <f>ROUND(Y646*Source!I573,9)</f>
        <v>2.3693219999999999</v>
      </c>
      <c r="CY646">
        <f>AD646</f>
        <v>0</v>
      </c>
      <c r="CZ646">
        <f>AH646</f>
        <v>0</v>
      </c>
      <c r="DA646">
        <f>AL646</f>
        <v>1</v>
      </c>
      <c r="DB646">
        <f>ROUND((ROUND(AT646*CZ646,2)*1.15),6)</f>
        <v>0</v>
      </c>
      <c r="DC646">
        <f>ROUND((ROUND(AT646*AG646,2)*1.15),6)</f>
        <v>0</v>
      </c>
      <c r="DD646" t="s">
        <v>3</v>
      </c>
      <c r="DE646" t="s">
        <v>3</v>
      </c>
      <c r="DF646">
        <f t="shared" si="324"/>
        <v>0</v>
      </c>
      <c r="DG646">
        <f t="shared" si="321"/>
        <v>0</v>
      </c>
      <c r="DH646">
        <f t="shared" si="322"/>
        <v>0</v>
      </c>
      <c r="DI646">
        <f t="shared" si="325"/>
        <v>0</v>
      </c>
      <c r="DJ646">
        <f>DI646</f>
        <v>0</v>
      </c>
      <c r="DK646">
        <v>0</v>
      </c>
    </row>
    <row r="647" spans="1:115" x14ac:dyDescent="0.2">
      <c r="A647">
        <f>ROW(Source!A573)</f>
        <v>573</v>
      </c>
      <c r="B647">
        <v>129761633</v>
      </c>
      <c r="C647">
        <v>129763924</v>
      </c>
      <c r="D647">
        <v>37418071</v>
      </c>
      <c r="E647">
        <v>1</v>
      </c>
      <c r="F647">
        <v>1</v>
      </c>
      <c r="G647">
        <v>37345137</v>
      </c>
      <c r="H647">
        <v>2</v>
      </c>
      <c r="I647" t="s">
        <v>1330</v>
      </c>
      <c r="J647" t="s">
        <v>1331</v>
      </c>
      <c r="K647" t="s">
        <v>1332</v>
      </c>
      <c r="L647">
        <v>1367</v>
      </c>
      <c r="N647">
        <v>1011</v>
      </c>
      <c r="O647" t="s">
        <v>1102</v>
      </c>
      <c r="P647" t="s">
        <v>1102</v>
      </c>
      <c r="Q647">
        <v>1</v>
      </c>
      <c r="W647">
        <v>0</v>
      </c>
      <c r="X647">
        <v>-421688854</v>
      </c>
      <c r="Y647">
        <f>(AT647*1.25)</f>
        <v>1.4000000000000001</v>
      </c>
      <c r="AA647">
        <v>0</v>
      </c>
      <c r="AB647">
        <v>159.58000000000001</v>
      </c>
      <c r="AC647">
        <v>41.34</v>
      </c>
      <c r="AD647">
        <v>0</v>
      </c>
      <c r="AE647">
        <v>0</v>
      </c>
      <c r="AF647">
        <v>17.32</v>
      </c>
      <c r="AG647">
        <v>1.36</v>
      </c>
      <c r="AH647">
        <v>0</v>
      </c>
      <c r="AI647">
        <v>1</v>
      </c>
      <c r="AJ647">
        <v>8.8000000000000007</v>
      </c>
      <c r="AK647">
        <v>29.03</v>
      </c>
      <c r="AL647">
        <v>1</v>
      </c>
      <c r="AN647">
        <v>0</v>
      </c>
      <c r="AO647">
        <v>1</v>
      </c>
      <c r="AP647">
        <v>1</v>
      </c>
      <c r="AQ647">
        <v>0</v>
      </c>
      <c r="AR647">
        <v>0</v>
      </c>
      <c r="AS647" t="s">
        <v>3</v>
      </c>
      <c r="AT647">
        <v>1.1200000000000001</v>
      </c>
      <c r="AU647" t="s">
        <v>86</v>
      </c>
      <c r="AV647">
        <v>0</v>
      </c>
      <c r="AW647">
        <v>2</v>
      </c>
      <c r="AX647">
        <v>129763931</v>
      </c>
      <c r="AY647">
        <v>1</v>
      </c>
      <c r="AZ647">
        <v>0</v>
      </c>
      <c r="BA647">
        <v>639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CX647">
        <f>ROUND(Y647*Source!I573,9)</f>
        <v>0.54320000000000002</v>
      </c>
      <c r="CY647">
        <f>AB647</f>
        <v>159.58000000000001</v>
      </c>
      <c r="CZ647">
        <f>AF647</f>
        <v>17.32</v>
      </c>
      <c r="DA647">
        <f>AJ647</f>
        <v>8.8000000000000007</v>
      </c>
      <c r="DB647">
        <f>ROUND((ROUND(AT647*CZ647,2)*1.25),6)</f>
        <v>24.25</v>
      </c>
      <c r="DC647">
        <f>ROUND((ROUND(AT647*AG647,2)*1.25),6)</f>
        <v>1.9</v>
      </c>
      <c r="DD647" t="s">
        <v>3</v>
      </c>
      <c r="DE647" t="s">
        <v>3</v>
      </c>
      <c r="DF647">
        <f t="shared" si="324"/>
        <v>0</v>
      </c>
      <c r="DG647">
        <f>ROUND(ROUND(AF647*CX647,2)*AJ647,2)</f>
        <v>82.81</v>
      </c>
      <c r="DH647">
        <f>ROUND(ROUND(AG647*CX647,2)*AK647,2)</f>
        <v>21.48</v>
      </c>
      <c r="DI647">
        <f t="shared" si="325"/>
        <v>0</v>
      </c>
      <c r="DJ647">
        <f>DG647</f>
        <v>82.81</v>
      </c>
      <c r="DK647">
        <v>0</v>
      </c>
    </row>
    <row r="648" spans="1:115" x14ac:dyDescent="0.2">
      <c r="A648">
        <f>ROW(Source!A573)</f>
        <v>573</v>
      </c>
      <c r="B648">
        <v>129761633</v>
      </c>
      <c r="C648">
        <v>129763924</v>
      </c>
      <c r="D648">
        <v>37345890</v>
      </c>
      <c r="E648">
        <v>37345137</v>
      </c>
      <c r="F648">
        <v>1</v>
      </c>
      <c r="G648">
        <v>37345137</v>
      </c>
      <c r="H648">
        <v>2</v>
      </c>
      <c r="I648" t="s">
        <v>1145</v>
      </c>
      <c r="J648" t="s">
        <v>3</v>
      </c>
      <c r="K648" t="s">
        <v>1146</v>
      </c>
      <c r="L648">
        <v>1344</v>
      </c>
      <c r="N648">
        <v>1008</v>
      </c>
      <c r="O648" t="s">
        <v>1138</v>
      </c>
      <c r="P648" t="s">
        <v>1138</v>
      </c>
      <c r="Q648">
        <v>1</v>
      </c>
      <c r="W648">
        <v>0</v>
      </c>
      <c r="X648">
        <v>-1180195794</v>
      </c>
      <c r="Y648">
        <f>(AT648*1.25)</f>
        <v>1.8625</v>
      </c>
      <c r="AA648">
        <v>0</v>
      </c>
      <c r="AB648">
        <v>1.05</v>
      </c>
      <c r="AC648">
        <v>0</v>
      </c>
      <c r="AD648">
        <v>0</v>
      </c>
      <c r="AE648">
        <v>0</v>
      </c>
      <c r="AF648">
        <v>1</v>
      </c>
      <c r="AG648">
        <v>0</v>
      </c>
      <c r="AH648">
        <v>0</v>
      </c>
      <c r="AI648">
        <v>1</v>
      </c>
      <c r="AJ648">
        <v>1</v>
      </c>
      <c r="AK648">
        <v>1</v>
      </c>
      <c r="AL648">
        <v>1</v>
      </c>
      <c r="AN648">
        <v>0</v>
      </c>
      <c r="AO648">
        <v>1</v>
      </c>
      <c r="AP648">
        <v>1</v>
      </c>
      <c r="AQ648">
        <v>0</v>
      </c>
      <c r="AR648">
        <v>0</v>
      </c>
      <c r="AS648" t="s">
        <v>3</v>
      </c>
      <c r="AT648">
        <v>1.49</v>
      </c>
      <c r="AU648" t="s">
        <v>86</v>
      </c>
      <c r="AV648">
        <v>0</v>
      </c>
      <c r="AW648">
        <v>2</v>
      </c>
      <c r="AX648">
        <v>129763932</v>
      </c>
      <c r="AY648">
        <v>1</v>
      </c>
      <c r="AZ648">
        <v>0</v>
      </c>
      <c r="BA648">
        <v>640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CX648">
        <f>ROUND(Y648*Source!I573,9)</f>
        <v>0.72265000000000001</v>
      </c>
      <c r="CY648">
        <f>AB648</f>
        <v>1.05</v>
      </c>
      <c r="CZ648">
        <f>AF648</f>
        <v>1</v>
      </c>
      <c r="DA648">
        <f>AJ648</f>
        <v>1</v>
      </c>
      <c r="DB648">
        <f>ROUND((ROUND(AT648*CZ648,2)*1.25),6)</f>
        <v>1.8625</v>
      </c>
      <c r="DC648">
        <f>ROUND((ROUND(AT648*AG648,2)*1.25),6)</f>
        <v>0</v>
      </c>
      <c r="DD648" t="s">
        <v>3</v>
      </c>
      <c r="DE648" t="s">
        <v>3</v>
      </c>
      <c r="DF648">
        <f t="shared" si="324"/>
        <v>0</v>
      </c>
      <c r="DG648">
        <f t="shared" ref="DG648:DG656" si="326">ROUND(AF648*CX648,2)</f>
        <v>0.72</v>
      </c>
      <c r="DH648">
        <f t="shared" ref="DH648:DH656" si="327">ROUND(AG648*CX648,2)</f>
        <v>0</v>
      </c>
      <c r="DI648">
        <f t="shared" si="325"/>
        <v>0</v>
      </c>
      <c r="DJ648">
        <f>DG648</f>
        <v>0.72</v>
      </c>
      <c r="DK648">
        <v>0</v>
      </c>
    </row>
    <row r="649" spans="1:115" x14ac:dyDescent="0.2">
      <c r="A649">
        <f>ROW(Source!A573)</f>
        <v>573</v>
      </c>
      <c r="B649">
        <v>129761633</v>
      </c>
      <c r="C649">
        <v>129763924</v>
      </c>
      <c r="D649">
        <v>37393597</v>
      </c>
      <c r="E649">
        <v>1</v>
      </c>
      <c r="F649">
        <v>1</v>
      </c>
      <c r="G649">
        <v>37345137</v>
      </c>
      <c r="H649">
        <v>3</v>
      </c>
      <c r="I649" t="s">
        <v>607</v>
      </c>
      <c r="J649" t="s">
        <v>609</v>
      </c>
      <c r="K649" t="s">
        <v>608</v>
      </c>
      <c r="L649">
        <v>1348</v>
      </c>
      <c r="N649">
        <v>1009</v>
      </c>
      <c r="O649" t="s">
        <v>114</v>
      </c>
      <c r="P649" t="s">
        <v>114</v>
      </c>
      <c r="Q649">
        <v>1000</v>
      </c>
      <c r="W649">
        <v>0</v>
      </c>
      <c r="X649">
        <v>1943683001</v>
      </c>
      <c r="Y649">
        <f>AT649</f>
        <v>8.9999999999999993E-3</v>
      </c>
      <c r="AA649">
        <v>69044.259999999995</v>
      </c>
      <c r="AB649">
        <v>0</v>
      </c>
      <c r="AC649">
        <v>0</v>
      </c>
      <c r="AD649">
        <v>0</v>
      </c>
      <c r="AE649">
        <v>18660.61</v>
      </c>
      <c r="AF649">
        <v>0</v>
      </c>
      <c r="AG649">
        <v>0</v>
      </c>
      <c r="AH649">
        <v>0</v>
      </c>
      <c r="AI649">
        <v>3.7</v>
      </c>
      <c r="AJ649">
        <v>1</v>
      </c>
      <c r="AK649">
        <v>1</v>
      </c>
      <c r="AL649">
        <v>1</v>
      </c>
      <c r="AN649">
        <v>0</v>
      </c>
      <c r="AO649">
        <v>0</v>
      </c>
      <c r="AP649">
        <v>0</v>
      </c>
      <c r="AQ649">
        <v>0</v>
      </c>
      <c r="AR649">
        <v>0</v>
      </c>
      <c r="AS649" t="s">
        <v>3</v>
      </c>
      <c r="AT649">
        <v>8.9999999999999993E-3</v>
      </c>
      <c r="AU649" t="s">
        <v>3</v>
      </c>
      <c r="AV649">
        <v>0</v>
      </c>
      <c r="AW649">
        <v>1</v>
      </c>
      <c r="AX649">
        <v>-1</v>
      </c>
      <c r="AY649">
        <v>0</v>
      </c>
      <c r="AZ649">
        <v>0</v>
      </c>
      <c r="BA649" t="s">
        <v>3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CX649">
        <f>ROUND(Y649*Source!I573,9)</f>
        <v>3.4919999999999999E-3</v>
      </c>
      <c r="CY649">
        <f>AA649</f>
        <v>69044.259999999995</v>
      </c>
      <c r="CZ649">
        <f>AE649</f>
        <v>18660.61</v>
      </c>
      <c r="DA649">
        <f>AI649</f>
        <v>3.7</v>
      </c>
      <c r="DB649">
        <f>ROUND(ROUND(AT649*CZ649,2),6)</f>
        <v>167.95</v>
      </c>
      <c r="DC649">
        <f>ROUND(ROUND(AT649*AG649,2),6)</f>
        <v>0</v>
      </c>
      <c r="DD649" t="s">
        <v>3</v>
      </c>
      <c r="DE649" t="s">
        <v>3</v>
      </c>
      <c r="DF649">
        <f>ROUND(ROUND(AE649*CX649,2)*AI649,2)</f>
        <v>241.09</v>
      </c>
      <c r="DG649">
        <f t="shared" si="326"/>
        <v>0</v>
      </c>
      <c r="DH649">
        <f t="shared" si="327"/>
        <v>0</v>
      </c>
      <c r="DI649">
        <f t="shared" si="325"/>
        <v>0</v>
      </c>
      <c r="DJ649">
        <f>DF649</f>
        <v>241.09</v>
      </c>
      <c r="DK649">
        <v>0</v>
      </c>
    </row>
    <row r="650" spans="1:115" x14ac:dyDescent="0.2">
      <c r="A650">
        <f>ROW(Source!A573)</f>
        <v>573</v>
      </c>
      <c r="B650">
        <v>129761633</v>
      </c>
      <c r="C650">
        <v>129763924</v>
      </c>
      <c r="D650">
        <v>37393894</v>
      </c>
      <c r="E650">
        <v>1</v>
      </c>
      <c r="F650">
        <v>1</v>
      </c>
      <c r="G650">
        <v>37345137</v>
      </c>
      <c r="H650">
        <v>3</v>
      </c>
      <c r="I650" t="s">
        <v>1333</v>
      </c>
      <c r="J650" t="s">
        <v>1334</v>
      </c>
      <c r="K650" t="s">
        <v>1335</v>
      </c>
      <c r="L650">
        <v>1348</v>
      </c>
      <c r="N650">
        <v>1009</v>
      </c>
      <c r="O650" t="s">
        <v>114</v>
      </c>
      <c r="P650" t="s">
        <v>114</v>
      </c>
      <c r="Q650">
        <v>1000</v>
      </c>
      <c r="W650">
        <v>0</v>
      </c>
      <c r="X650">
        <v>-904493642</v>
      </c>
      <c r="Y650">
        <f>AT650</f>
        <v>1.5E-3</v>
      </c>
      <c r="AA650">
        <v>121470.37</v>
      </c>
      <c r="AB650">
        <v>0</v>
      </c>
      <c r="AC650">
        <v>0</v>
      </c>
      <c r="AD650">
        <v>0</v>
      </c>
      <c r="AE650">
        <v>6303.6</v>
      </c>
      <c r="AF650">
        <v>0</v>
      </c>
      <c r="AG650">
        <v>0</v>
      </c>
      <c r="AH650">
        <v>0</v>
      </c>
      <c r="AI650">
        <v>19.27</v>
      </c>
      <c r="AJ650">
        <v>1</v>
      </c>
      <c r="AK650">
        <v>1</v>
      </c>
      <c r="AL650">
        <v>1</v>
      </c>
      <c r="AN650">
        <v>0</v>
      </c>
      <c r="AO650">
        <v>1</v>
      </c>
      <c r="AP650">
        <v>0</v>
      </c>
      <c r="AQ650">
        <v>0</v>
      </c>
      <c r="AR650">
        <v>0</v>
      </c>
      <c r="AS650" t="s">
        <v>3</v>
      </c>
      <c r="AT650">
        <v>1.5E-3</v>
      </c>
      <c r="AU650" t="s">
        <v>3</v>
      </c>
      <c r="AV650">
        <v>0</v>
      </c>
      <c r="AW650">
        <v>2</v>
      </c>
      <c r="AX650">
        <v>129763933</v>
      </c>
      <c r="AY650">
        <v>1</v>
      </c>
      <c r="AZ650">
        <v>0</v>
      </c>
      <c r="BA650">
        <v>641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CX650">
        <f>ROUND(Y650*Source!I573,9)</f>
        <v>5.8200000000000005E-4</v>
      </c>
      <c r="CY650">
        <f>AA650</f>
        <v>121470.37</v>
      </c>
      <c r="CZ650">
        <f>AE650</f>
        <v>6303.6</v>
      </c>
      <c r="DA650">
        <f>AI650</f>
        <v>19.27</v>
      </c>
      <c r="DB650">
        <f>ROUND(ROUND(AT650*CZ650,2),6)</f>
        <v>9.4600000000000009</v>
      </c>
      <c r="DC650">
        <f>ROUND(ROUND(AT650*AG650,2),6)</f>
        <v>0</v>
      </c>
      <c r="DD650" t="s">
        <v>3</v>
      </c>
      <c r="DE650" t="s">
        <v>3</v>
      </c>
      <c r="DF650">
        <f>ROUND(ROUND(AE650*CX650,2)*AI650,2)</f>
        <v>70.72</v>
      </c>
      <c r="DG650">
        <f t="shared" si="326"/>
        <v>0</v>
      </c>
      <c r="DH650">
        <f t="shared" si="327"/>
        <v>0</v>
      </c>
      <c r="DI650">
        <f t="shared" si="325"/>
        <v>0</v>
      </c>
      <c r="DJ650">
        <f>DF650</f>
        <v>70.72</v>
      </c>
      <c r="DK650">
        <v>0</v>
      </c>
    </row>
    <row r="651" spans="1:115" x14ac:dyDescent="0.2">
      <c r="A651">
        <f>ROW(Source!A576)</f>
        <v>576</v>
      </c>
      <c r="B651">
        <v>129761636</v>
      </c>
      <c r="C651">
        <v>129763936</v>
      </c>
      <c r="D651">
        <v>37345142</v>
      </c>
      <c r="E651">
        <v>37345137</v>
      </c>
      <c r="F651">
        <v>1</v>
      </c>
      <c r="G651">
        <v>37345137</v>
      </c>
      <c r="H651">
        <v>1</v>
      </c>
      <c r="I651" t="s">
        <v>1096</v>
      </c>
      <c r="J651" t="s">
        <v>3</v>
      </c>
      <c r="K651" t="s">
        <v>1097</v>
      </c>
      <c r="L651">
        <v>1191</v>
      </c>
      <c r="N651">
        <v>1013</v>
      </c>
      <c r="O651" t="s">
        <v>1098</v>
      </c>
      <c r="P651" t="s">
        <v>1098</v>
      </c>
      <c r="Q651">
        <v>1</v>
      </c>
      <c r="W651">
        <v>0</v>
      </c>
      <c r="X651">
        <v>476480486</v>
      </c>
      <c r="Y651">
        <f>(AT651*1.15)</f>
        <v>2.4494999999999996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1</v>
      </c>
      <c r="AJ651">
        <v>1</v>
      </c>
      <c r="AK651">
        <v>1</v>
      </c>
      <c r="AL651">
        <v>1</v>
      </c>
      <c r="AN651">
        <v>0</v>
      </c>
      <c r="AO651">
        <v>1</v>
      </c>
      <c r="AP651">
        <v>1</v>
      </c>
      <c r="AQ651">
        <v>0</v>
      </c>
      <c r="AR651">
        <v>0</v>
      </c>
      <c r="AS651" t="s">
        <v>3</v>
      </c>
      <c r="AT651">
        <v>2.13</v>
      </c>
      <c r="AU651" t="s">
        <v>87</v>
      </c>
      <c r="AV651">
        <v>1</v>
      </c>
      <c r="AW651">
        <v>2</v>
      </c>
      <c r="AX651">
        <v>129763942</v>
      </c>
      <c r="AY651">
        <v>1</v>
      </c>
      <c r="AZ651">
        <v>0</v>
      </c>
      <c r="BA651">
        <v>643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CX651">
        <f>ROUND(Y651*Source!I576,9)</f>
        <v>0.95040599999999997</v>
      </c>
      <c r="CY651">
        <f>AD651</f>
        <v>0</v>
      </c>
      <c r="CZ651">
        <f>AH651</f>
        <v>0</v>
      </c>
      <c r="DA651">
        <f>AL651</f>
        <v>1</v>
      </c>
      <c r="DB651">
        <f>ROUND((ROUND(AT651*CZ651,2)*1.15),6)</f>
        <v>0</v>
      </c>
      <c r="DC651">
        <f>ROUND((ROUND(AT651*AG651,2)*1.15),6)</f>
        <v>0</v>
      </c>
      <c r="DD651" t="s">
        <v>3</v>
      </c>
      <c r="DE651" t="s">
        <v>3</v>
      </c>
      <c r="DF651">
        <f t="shared" ref="DF651:DF658" si="328">ROUND(AE651*CX651,2)</f>
        <v>0</v>
      </c>
      <c r="DG651">
        <f t="shared" si="326"/>
        <v>0</v>
      </c>
      <c r="DH651">
        <f t="shared" si="327"/>
        <v>0</v>
      </c>
      <c r="DI651">
        <f t="shared" si="325"/>
        <v>0</v>
      </c>
      <c r="DJ651">
        <f>DI651</f>
        <v>0</v>
      </c>
      <c r="DK651">
        <v>0</v>
      </c>
    </row>
    <row r="652" spans="1:115" x14ac:dyDescent="0.2">
      <c r="A652">
        <f>ROW(Source!A576)</f>
        <v>576</v>
      </c>
      <c r="B652">
        <v>129761636</v>
      </c>
      <c r="C652">
        <v>129763936</v>
      </c>
      <c r="D652">
        <v>37418445</v>
      </c>
      <c r="E652">
        <v>1</v>
      </c>
      <c r="F652">
        <v>1</v>
      </c>
      <c r="G652">
        <v>37345137</v>
      </c>
      <c r="H652">
        <v>2</v>
      </c>
      <c r="I652" t="s">
        <v>1189</v>
      </c>
      <c r="J652" t="s">
        <v>1190</v>
      </c>
      <c r="K652" t="s">
        <v>1191</v>
      </c>
      <c r="L652">
        <v>1367</v>
      </c>
      <c r="N652">
        <v>1011</v>
      </c>
      <c r="O652" t="s">
        <v>1102</v>
      </c>
      <c r="P652" t="s">
        <v>1102</v>
      </c>
      <c r="Q652">
        <v>1</v>
      </c>
      <c r="W652">
        <v>0</v>
      </c>
      <c r="X652">
        <v>-628430174</v>
      </c>
      <c r="Y652">
        <f>(AT652*1.25)</f>
        <v>1.2500000000000001E-2</v>
      </c>
      <c r="AA652">
        <v>0</v>
      </c>
      <c r="AB652">
        <v>76.81</v>
      </c>
      <c r="AC652">
        <v>14.36</v>
      </c>
      <c r="AD652">
        <v>0</v>
      </c>
      <c r="AE652">
        <v>0</v>
      </c>
      <c r="AF652">
        <v>76.81</v>
      </c>
      <c r="AG652">
        <v>14.36</v>
      </c>
      <c r="AH652">
        <v>0</v>
      </c>
      <c r="AI652">
        <v>1</v>
      </c>
      <c r="AJ652">
        <v>1</v>
      </c>
      <c r="AK652">
        <v>1</v>
      </c>
      <c r="AL652">
        <v>1</v>
      </c>
      <c r="AN652">
        <v>0</v>
      </c>
      <c r="AO652">
        <v>1</v>
      </c>
      <c r="AP652">
        <v>1</v>
      </c>
      <c r="AQ652">
        <v>0</v>
      </c>
      <c r="AR652">
        <v>0</v>
      </c>
      <c r="AS652" t="s">
        <v>3</v>
      </c>
      <c r="AT652">
        <v>0.01</v>
      </c>
      <c r="AU652" t="s">
        <v>86</v>
      </c>
      <c r="AV652">
        <v>0</v>
      </c>
      <c r="AW652">
        <v>2</v>
      </c>
      <c r="AX652">
        <v>129763943</v>
      </c>
      <c r="AY652">
        <v>1</v>
      </c>
      <c r="AZ652">
        <v>0</v>
      </c>
      <c r="BA652">
        <v>644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CX652">
        <f>ROUND(Y652*Source!I576,9)</f>
        <v>4.8500000000000001E-3</v>
      </c>
      <c r="CY652">
        <f>AB652</f>
        <v>76.81</v>
      </c>
      <c r="CZ652">
        <f>AF652</f>
        <v>76.81</v>
      </c>
      <c r="DA652">
        <f>AJ652</f>
        <v>1</v>
      </c>
      <c r="DB652">
        <f>ROUND((ROUND(AT652*CZ652,2)*1.25),6)</f>
        <v>0.96250000000000002</v>
      </c>
      <c r="DC652">
        <f>ROUND((ROUND(AT652*AG652,2)*1.25),6)</f>
        <v>0.17499999999999999</v>
      </c>
      <c r="DD652" t="s">
        <v>3</v>
      </c>
      <c r="DE652" t="s">
        <v>3</v>
      </c>
      <c r="DF652">
        <f t="shared" si="328"/>
        <v>0</v>
      </c>
      <c r="DG652">
        <f t="shared" si="326"/>
        <v>0.37</v>
      </c>
      <c r="DH652">
        <f t="shared" si="327"/>
        <v>7.0000000000000007E-2</v>
      </c>
      <c r="DI652">
        <f t="shared" si="325"/>
        <v>0</v>
      </c>
      <c r="DJ652">
        <f>DG652</f>
        <v>0.37</v>
      </c>
      <c r="DK652">
        <v>0</v>
      </c>
    </row>
    <row r="653" spans="1:115" x14ac:dyDescent="0.2">
      <c r="A653">
        <f>ROW(Source!A576)</f>
        <v>576</v>
      </c>
      <c r="B653">
        <v>129761636</v>
      </c>
      <c r="C653">
        <v>129763936</v>
      </c>
      <c r="D653">
        <v>37417785</v>
      </c>
      <c r="E653">
        <v>1</v>
      </c>
      <c r="F653">
        <v>1</v>
      </c>
      <c r="G653">
        <v>37345137</v>
      </c>
      <c r="H653">
        <v>2</v>
      </c>
      <c r="I653" t="s">
        <v>1309</v>
      </c>
      <c r="J653" t="s">
        <v>1310</v>
      </c>
      <c r="K653" t="s">
        <v>1311</v>
      </c>
      <c r="L653">
        <v>1367</v>
      </c>
      <c r="N653">
        <v>1011</v>
      </c>
      <c r="O653" t="s">
        <v>1102</v>
      </c>
      <c r="P653" t="s">
        <v>1102</v>
      </c>
      <c r="Q653">
        <v>1</v>
      </c>
      <c r="W653">
        <v>0</v>
      </c>
      <c r="X653">
        <v>482200787</v>
      </c>
      <c r="Y653">
        <f>(AT653*1.25)</f>
        <v>1.2500000000000001E-2</v>
      </c>
      <c r="AA653">
        <v>0</v>
      </c>
      <c r="AB653">
        <v>73</v>
      </c>
      <c r="AC653">
        <v>16.899999999999999</v>
      </c>
      <c r="AD653">
        <v>0</v>
      </c>
      <c r="AE653">
        <v>0</v>
      </c>
      <c r="AF653">
        <v>73</v>
      </c>
      <c r="AG653">
        <v>16.899999999999999</v>
      </c>
      <c r="AH653">
        <v>0</v>
      </c>
      <c r="AI653">
        <v>1</v>
      </c>
      <c r="AJ653">
        <v>1</v>
      </c>
      <c r="AK653">
        <v>1</v>
      </c>
      <c r="AL653">
        <v>1</v>
      </c>
      <c r="AN653">
        <v>0</v>
      </c>
      <c r="AO653">
        <v>1</v>
      </c>
      <c r="AP653">
        <v>1</v>
      </c>
      <c r="AQ653">
        <v>0</v>
      </c>
      <c r="AR653">
        <v>0</v>
      </c>
      <c r="AS653" t="s">
        <v>3</v>
      </c>
      <c r="AT653">
        <v>0.01</v>
      </c>
      <c r="AU653" t="s">
        <v>86</v>
      </c>
      <c r="AV653">
        <v>0</v>
      </c>
      <c r="AW653">
        <v>2</v>
      </c>
      <c r="AX653">
        <v>129763944</v>
      </c>
      <c r="AY653">
        <v>1</v>
      </c>
      <c r="AZ653">
        <v>0</v>
      </c>
      <c r="BA653">
        <v>645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CX653">
        <f>ROUND(Y653*Source!I576,9)</f>
        <v>4.8500000000000001E-3</v>
      </c>
      <c r="CY653">
        <f>AB653</f>
        <v>73</v>
      </c>
      <c r="CZ653">
        <f>AF653</f>
        <v>73</v>
      </c>
      <c r="DA653">
        <f>AJ653</f>
        <v>1</v>
      </c>
      <c r="DB653">
        <f>ROUND((ROUND(AT653*CZ653,2)*1.25),6)</f>
        <v>0.91249999999999998</v>
      </c>
      <c r="DC653">
        <f>ROUND((ROUND(AT653*AG653,2)*1.25),6)</f>
        <v>0.21249999999999999</v>
      </c>
      <c r="DD653" t="s">
        <v>3</v>
      </c>
      <c r="DE653" t="s">
        <v>3</v>
      </c>
      <c r="DF653">
        <f t="shared" si="328"/>
        <v>0</v>
      </c>
      <c r="DG653">
        <f t="shared" si="326"/>
        <v>0.35</v>
      </c>
      <c r="DH653">
        <f t="shared" si="327"/>
        <v>0.08</v>
      </c>
      <c r="DI653">
        <f t="shared" si="325"/>
        <v>0</v>
      </c>
      <c r="DJ653">
        <f>DG653</f>
        <v>0.35</v>
      </c>
      <c r="DK653">
        <v>0</v>
      </c>
    </row>
    <row r="654" spans="1:115" x14ac:dyDescent="0.2">
      <c r="A654">
        <f>ROW(Source!A576)</f>
        <v>576</v>
      </c>
      <c r="B654">
        <v>129761636</v>
      </c>
      <c r="C654">
        <v>129763936</v>
      </c>
      <c r="D654">
        <v>37394875</v>
      </c>
      <c r="E654">
        <v>1</v>
      </c>
      <c r="F654">
        <v>1</v>
      </c>
      <c r="G654">
        <v>37345137</v>
      </c>
      <c r="H654">
        <v>3</v>
      </c>
      <c r="I654" t="s">
        <v>1336</v>
      </c>
      <c r="J654" t="s">
        <v>1337</v>
      </c>
      <c r="K654" t="s">
        <v>1338</v>
      </c>
      <c r="L654">
        <v>1346</v>
      </c>
      <c r="N654">
        <v>1009</v>
      </c>
      <c r="O654" t="s">
        <v>369</v>
      </c>
      <c r="P654" t="s">
        <v>369</v>
      </c>
      <c r="Q654">
        <v>1</v>
      </c>
      <c r="W654">
        <v>0</v>
      </c>
      <c r="X654">
        <v>1751843284</v>
      </c>
      <c r="Y654">
        <f>AT654</f>
        <v>9</v>
      </c>
      <c r="AA654">
        <v>29.9</v>
      </c>
      <c r="AB654">
        <v>0</v>
      </c>
      <c r="AC654">
        <v>0</v>
      </c>
      <c r="AD654">
        <v>0</v>
      </c>
      <c r="AE654">
        <v>29.9</v>
      </c>
      <c r="AF654">
        <v>0</v>
      </c>
      <c r="AG654">
        <v>0</v>
      </c>
      <c r="AH654">
        <v>0</v>
      </c>
      <c r="AI654">
        <v>1</v>
      </c>
      <c r="AJ654">
        <v>1</v>
      </c>
      <c r="AK654">
        <v>1</v>
      </c>
      <c r="AL654">
        <v>1</v>
      </c>
      <c r="AN654">
        <v>0</v>
      </c>
      <c r="AO654">
        <v>1</v>
      </c>
      <c r="AP654">
        <v>0</v>
      </c>
      <c r="AQ654">
        <v>0</v>
      </c>
      <c r="AR654">
        <v>0</v>
      </c>
      <c r="AS654" t="s">
        <v>3</v>
      </c>
      <c r="AT654">
        <v>9</v>
      </c>
      <c r="AU654" t="s">
        <v>3</v>
      </c>
      <c r="AV654">
        <v>0</v>
      </c>
      <c r="AW654">
        <v>2</v>
      </c>
      <c r="AX654">
        <v>129763945</v>
      </c>
      <c r="AY654">
        <v>1</v>
      </c>
      <c r="AZ654">
        <v>0</v>
      </c>
      <c r="BA654">
        <v>646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CX654">
        <f>ROUND(Y654*Source!I576,9)</f>
        <v>3.492</v>
      </c>
      <c r="CY654">
        <f>AA654</f>
        <v>29.9</v>
      </c>
      <c r="CZ654">
        <f>AE654</f>
        <v>29.9</v>
      </c>
      <c r="DA654">
        <f>AI654</f>
        <v>1</v>
      </c>
      <c r="DB654">
        <f>ROUND(ROUND(AT654*CZ654,2),6)</f>
        <v>269.10000000000002</v>
      </c>
      <c r="DC654">
        <f>ROUND(ROUND(AT654*AG654,2),6)</f>
        <v>0</v>
      </c>
      <c r="DD654" t="s">
        <v>3</v>
      </c>
      <c r="DE654" t="s">
        <v>3</v>
      </c>
      <c r="DF654">
        <f t="shared" si="328"/>
        <v>104.41</v>
      </c>
      <c r="DG654">
        <f t="shared" si="326"/>
        <v>0</v>
      </c>
      <c r="DH654">
        <f t="shared" si="327"/>
        <v>0</v>
      </c>
      <c r="DI654">
        <f t="shared" si="325"/>
        <v>0</v>
      </c>
      <c r="DJ654">
        <f>DF654</f>
        <v>104.41</v>
      </c>
      <c r="DK654">
        <v>0</v>
      </c>
    </row>
    <row r="655" spans="1:115" x14ac:dyDescent="0.2">
      <c r="A655">
        <f>ROW(Source!A576)</f>
        <v>576</v>
      </c>
      <c r="B655">
        <v>129761636</v>
      </c>
      <c r="C655">
        <v>129763936</v>
      </c>
      <c r="D655">
        <v>37394322</v>
      </c>
      <c r="E655">
        <v>1</v>
      </c>
      <c r="F655">
        <v>1</v>
      </c>
      <c r="G655">
        <v>37345137</v>
      </c>
      <c r="H655">
        <v>3</v>
      </c>
      <c r="I655" t="s">
        <v>1339</v>
      </c>
      <c r="J655" t="s">
        <v>1340</v>
      </c>
      <c r="K655" t="s">
        <v>1341</v>
      </c>
      <c r="L655">
        <v>1348</v>
      </c>
      <c r="N655">
        <v>1009</v>
      </c>
      <c r="O655" t="s">
        <v>114</v>
      </c>
      <c r="P655" t="s">
        <v>114</v>
      </c>
      <c r="Q655">
        <v>1000</v>
      </c>
      <c r="W655">
        <v>0</v>
      </c>
      <c r="X655">
        <v>1320659850</v>
      </c>
      <c r="Y655">
        <f>AT655</f>
        <v>1.48E-3</v>
      </c>
      <c r="AA655">
        <v>12534.98</v>
      </c>
      <c r="AB655">
        <v>0</v>
      </c>
      <c r="AC655">
        <v>0</v>
      </c>
      <c r="AD655">
        <v>0</v>
      </c>
      <c r="AE655">
        <v>12534.98</v>
      </c>
      <c r="AF655">
        <v>0</v>
      </c>
      <c r="AG655">
        <v>0</v>
      </c>
      <c r="AH655">
        <v>0</v>
      </c>
      <c r="AI655">
        <v>1</v>
      </c>
      <c r="AJ655">
        <v>1</v>
      </c>
      <c r="AK655">
        <v>1</v>
      </c>
      <c r="AL655">
        <v>1</v>
      </c>
      <c r="AN655">
        <v>0</v>
      </c>
      <c r="AO655">
        <v>1</v>
      </c>
      <c r="AP655">
        <v>0</v>
      </c>
      <c r="AQ655">
        <v>0</v>
      </c>
      <c r="AR655">
        <v>0</v>
      </c>
      <c r="AS655" t="s">
        <v>3</v>
      </c>
      <c r="AT655">
        <v>1.48E-3</v>
      </c>
      <c r="AU655" t="s">
        <v>3</v>
      </c>
      <c r="AV655">
        <v>0</v>
      </c>
      <c r="AW655">
        <v>2</v>
      </c>
      <c r="AX655">
        <v>129763946</v>
      </c>
      <c r="AY655">
        <v>1</v>
      </c>
      <c r="AZ655">
        <v>0</v>
      </c>
      <c r="BA655">
        <v>647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CX655">
        <f>ROUND(Y655*Source!I576,9)</f>
        <v>5.7423999999999995E-4</v>
      </c>
      <c r="CY655">
        <f>AA655</f>
        <v>12534.98</v>
      </c>
      <c r="CZ655">
        <f>AE655</f>
        <v>12534.98</v>
      </c>
      <c r="DA655">
        <f>AI655</f>
        <v>1</v>
      </c>
      <c r="DB655">
        <f>ROUND(ROUND(AT655*CZ655,2),6)</f>
        <v>18.55</v>
      </c>
      <c r="DC655">
        <f>ROUND(ROUND(AT655*AG655,2),6)</f>
        <v>0</v>
      </c>
      <c r="DD655" t="s">
        <v>3</v>
      </c>
      <c r="DE655" t="s">
        <v>3</v>
      </c>
      <c r="DF655">
        <f t="shared" si="328"/>
        <v>7.2</v>
      </c>
      <c r="DG655">
        <f t="shared" si="326"/>
        <v>0</v>
      </c>
      <c r="DH655">
        <f t="shared" si="327"/>
        <v>0</v>
      </c>
      <c r="DI655">
        <f t="shared" si="325"/>
        <v>0</v>
      </c>
      <c r="DJ655">
        <f>DF655</f>
        <v>7.2</v>
      </c>
      <c r="DK655">
        <v>0</v>
      </c>
    </row>
    <row r="656" spans="1:115" x14ac:dyDescent="0.2">
      <c r="A656">
        <f>ROW(Source!A577)</f>
        <v>577</v>
      </c>
      <c r="B656">
        <v>129761633</v>
      </c>
      <c r="C656">
        <v>129763936</v>
      </c>
      <c r="D656">
        <v>37345142</v>
      </c>
      <c r="E656">
        <v>37345137</v>
      </c>
      <c r="F656">
        <v>1</v>
      </c>
      <c r="G656">
        <v>37345137</v>
      </c>
      <c r="H656">
        <v>1</v>
      </c>
      <c r="I656" t="s">
        <v>1096</v>
      </c>
      <c r="J656" t="s">
        <v>3</v>
      </c>
      <c r="K656" t="s">
        <v>1097</v>
      </c>
      <c r="L656">
        <v>1191</v>
      </c>
      <c r="N656">
        <v>1013</v>
      </c>
      <c r="O656" t="s">
        <v>1098</v>
      </c>
      <c r="P656" t="s">
        <v>1098</v>
      </c>
      <c r="Q656">
        <v>1</v>
      </c>
      <c r="W656">
        <v>0</v>
      </c>
      <c r="X656">
        <v>476480486</v>
      </c>
      <c r="Y656">
        <f>(AT656*1.15)</f>
        <v>2.4494999999999996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1</v>
      </c>
      <c r="AJ656">
        <v>1</v>
      </c>
      <c r="AK656">
        <v>1</v>
      </c>
      <c r="AL656">
        <v>1</v>
      </c>
      <c r="AN656">
        <v>0</v>
      </c>
      <c r="AO656">
        <v>1</v>
      </c>
      <c r="AP656">
        <v>1</v>
      </c>
      <c r="AQ656">
        <v>0</v>
      </c>
      <c r="AR656">
        <v>0</v>
      </c>
      <c r="AS656" t="s">
        <v>3</v>
      </c>
      <c r="AT656">
        <v>2.13</v>
      </c>
      <c r="AU656" t="s">
        <v>87</v>
      </c>
      <c r="AV656">
        <v>1</v>
      </c>
      <c r="AW656">
        <v>2</v>
      </c>
      <c r="AX656">
        <v>129763942</v>
      </c>
      <c r="AY656">
        <v>1</v>
      </c>
      <c r="AZ656">
        <v>0</v>
      </c>
      <c r="BA656">
        <v>648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CX656">
        <f>ROUND(Y656*Source!I577,9)</f>
        <v>0.95040599999999997</v>
      </c>
      <c r="CY656">
        <f>AD656</f>
        <v>0</v>
      </c>
      <c r="CZ656">
        <f>AH656</f>
        <v>0</v>
      </c>
      <c r="DA656">
        <f>AL656</f>
        <v>1</v>
      </c>
      <c r="DB656">
        <f>ROUND((ROUND(AT656*CZ656,2)*1.15),6)</f>
        <v>0</v>
      </c>
      <c r="DC656">
        <f>ROUND((ROUND(AT656*AG656,2)*1.15),6)</f>
        <v>0</v>
      </c>
      <c r="DD656" t="s">
        <v>3</v>
      </c>
      <c r="DE656" t="s">
        <v>3</v>
      </c>
      <c r="DF656">
        <f t="shared" si="328"/>
        <v>0</v>
      </c>
      <c r="DG656">
        <f t="shared" si="326"/>
        <v>0</v>
      </c>
      <c r="DH656">
        <f t="shared" si="327"/>
        <v>0</v>
      </c>
      <c r="DI656">
        <f t="shared" si="325"/>
        <v>0</v>
      </c>
      <c r="DJ656">
        <f>DI656</f>
        <v>0</v>
      </c>
      <c r="DK656">
        <v>0</v>
      </c>
    </row>
    <row r="657" spans="1:115" x14ac:dyDescent="0.2">
      <c r="A657">
        <f>ROW(Source!A577)</f>
        <v>577</v>
      </c>
      <c r="B657">
        <v>129761633</v>
      </c>
      <c r="C657">
        <v>129763936</v>
      </c>
      <c r="D657">
        <v>37418445</v>
      </c>
      <c r="E657">
        <v>1</v>
      </c>
      <c r="F657">
        <v>1</v>
      </c>
      <c r="G657">
        <v>37345137</v>
      </c>
      <c r="H657">
        <v>2</v>
      </c>
      <c r="I657" t="s">
        <v>1189</v>
      </c>
      <c r="J657" t="s">
        <v>1190</v>
      </c>
      <c r="K657" t="s">
        <v>1191</v>
      </c>
      <c r="L657">
        <v>1367</v>
      </c>
      <c r="N657">
        <v>1011</v>
      </c>
      <c r="O657" t="s">
        <v>1102</v>
      </c>
      <c r="P657" t="s">
        <v>1102</v>
      </c>
      <c r="Q657">
        <v>1</v>
      </c>
      <c r="W657">
        <v>0</v>
      </c>
      <c r="X657">
        <v>-628430174</v>
      </c>
      <c r="Y657">
        <f>(AT657*1.25)</f>
        <v>1.2500000000000001E-2</v>
      </c>
      <c r="AA657">
        <v>0</v>
      </c>
      <c r="AB657">
        <v>918.4</v>
      </c>
      <c r="AC657">
        <v>436.46</v>
      </c>
      <c r="AD657">
        <v>0</v>
      </c>
      <c r="AE657">
        <v>0</v>
      </c>
      <c r="AF657">
        <v>76.81</v>
      </c>
      <c r="AG657">
        <v>14.36</v>
      </c>
      <c r="AH657">
        <v>0</v>
      </c>
      <c r="AI657">
        <v>1</v>
      </c>
      <c r="AJ657">
        <v>11.42</v>
      </c>
      <c r="AK657">
        <v>29.03</v>
      </c>
      <c r="AL657">
        <v>1</v>
      </c>
      <c r="AN657">
        <v>0</v>
      </c>
      <c r="AO657">
        <v>1</v>
      </c>
      <c r="AP657">
        <v>1</v>
      </c>
      <c r="AQ657">
        <v>0</v>
      </c>
      <c r="AR657">
        <v>0</v>
      </c>
      <c r="AS657" t="s">
        <v>3</v>
      </c>
      <c r="AT657">
        <v>0.01</v>
      </c>
      <c r="AU657" t="s">
        <v>86</v>
      </c>
      <c r="AV657">
        <v>0</v>
      </c>
      <c r="AW657">
        <v>2</v>
      </c>
      <c r="AX657">
        <v>129763943</v>
      </c>
      <c r="AY657">
        <v>1</v>
      </c>
      <c r="AZ657">
        <v>0</v>
      </c>
      <c r="BA657">
        <v>649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CX657">
        <f>ROUND(Y657*Source!I577,9)</f>
        <v>4.8500000000000001E-3</v>
      </c>
      <c r="CY657">
        <f>AB657</f>
        <v>918.4</v>
      </c>
      <c r="CZ657">
        <f>AF657</f>
        <v>76.81</v>
      </c>
      <c r="DA657">
        <f>AJ657</f>
        <v>11.42</v>
      </c>
      <c r="DB657">
        <f>ROUND((ROUND(AT657*CZ657,2)*1.25),6)</f>
        <v>0.96250000000000002</v>
      </c>
      <c r="DC657">
        <f>ROUND((ROUND(AT657*AG657,2)*1.25),6)</f>
        <v>0.17499999999999999</v>
      </c>
      <c r="DD657" t="s">
        <v>3</v>
      </c>
      <c r="DE657" t="s">
        <v>3</v>
      </c>
      <c r="DF657">
        <f t="shared" si="328"/>
        <v>0</v>
      </c>
      <c r="DG657">
        <f>ROUND(ROUND(AF657*CX657,2)*AJ657,2)</f>
        <v>4.2300000000000004</v>
      </c>
      <c r="DH657">
        <f>ROUND(ROUND(AG657*CX657,2)*AK657,2)</f>
        <v>2.0299999999999998</v>
      </c>
      <c r="DI657">
        <f t="shared" si="325"/>
        <v>0</v>
      </c>
      <c r="DJ657">
        <f>DG657</f>
        <v>4.2300000000000004</v>
      </c>
      <c r="DK657">
        <v>0</v>
      </c>
    </row>
    <row r="658" spans="1:115" x14ac:dyDescent="0.2">
      <c r="A658">
        <f>ROW(Source!A577)</f>
        <v>577</v>
      </c>
      <c r="B658">
        <v>129761633</v>
      </c>
      <c r="C658">
        <v>129763936</v>
      </c>
      <c r="D658">
        <v>37417785</v>
      </c>
      <c r="E658">
        <v>1</v>
      </c>
      <c r="F658">
        <v>1</v>
      </c>
      <c r="G658">
        <v>37345137</v>
      </c>
      <c r="H658">
        <v>2</v>
      </c>
      <c r="I658" t="s">
        <v>1309</v>
      </c>
      <c r="J658" t="s">
        <v>1310</v>
      </c>
      <c r="K658" t="s">
        <v>1311</v>
      </c>
      <c r="L658">
        <v>1367</v>
      </c>
      <c r="N658">
        <v>1011</v>
      </c>
      <c r="O658" t="s">
        <v>1102</v>
      </c>
      <c r="P658" t="s">
        <v>1102</v>
      </c>
      <c r="Q658">
        <v>1</v>
      </c>
      <c r="W658">
        <v>0</v>
      </c>
      <c r="X658">
        <v>482200787</v>
      </c>
      <c r="Y658">
        <f>(AT658*1.25)</f>
        <v>1.2500000000000001E-2</v>
      </c>
      <c r="AA658">
        <v>0</v>
      </c>
      <c r="AB658">
        <v>865.2</v>
      </c>
      <c r="AC658">
        <v>513.66999999999996</v>
      </c>
      <c r="AD658">
        <v>0</v>
      </c>
      <c r="AE658">
        <v>0</v>
      </c>
      <c r="AF658">
        <v>73</v>
      </c>
      <c r="AG658">
        <v>16.899999999999999</v>
      </c>
      <c r="AH658">
        <v>0</v>
      </c>
      <c r="AI658">
        <v>1</v>
      </c>
      <c r="AJ658">
        <v>11.32</v>
      </c>
      <c r="AK658">
        <v>29.03</v>
      </c>
      <c r="AL658">
        <v>1</v>
      </c>
      <c r="AN658">
        <v>0</v>
      </c>
      <c r="AO658">
        <v>1</v>
      </c>
      <c r="AP658">
        <v>1</v>
      </c>
      <c r="AQ658">
        <v>0</v>
      </c>
      <c r="AR658">
        <v>0</v>
      </c>
      <c r="AS658" t="s">
        <v>3</v>
      </c>
      <c r="AT658">
        <v>0.01</v>
      </c>
      <c r="AU658" t="s">
        <v>86</v>
      </c>
      <c r="AV658">
        <v>0</v>
      </c>
      <c r="AW658">
        <v>2</v>
      </c>
      <c r="AX658">
        <v>129763944</v>
      </c>
      <c r="AY658">
        <v>1</v>
      </c>
      <c r="AZ658">
        <v>0</v>
      </c>
      <c r="BA658">
        <v>650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CX658">
        <f>ROUND(Y658*Source!I577,9)</f>
        <v>4.8500000000000001E-3</v>
      </c>
      <c r="CY658">
        <f>AB658</f>
        <v>865.2</v>
      </c>
      <c r="CZ658">
        <f>AF658</f>
        <v>73</v>
      </c>
      <c r="DA658">
        <f>AJ658</f>
        <v>11.32</v>
      </c>
      <c r="DB658">
        <f>ROUND((ROUND(AT658*CZ658,2)*1.25),6)</f>
        <v>0.91249999999999998</v>
      </c>
      <c r="DC658">
        <f>ROUND((ROUND(AT658*AG658,2)*1.25),6)</f>
        <v>0.21249999999999999</v>
      </c>
      <c r="DD658" t="s">
        <v>3</v>
      </c>
      <c r="DE658" t="s">
        <v>3</v>
      </c>
      <c r="DF658">
        <f t="shared" si="328"/>
        <v>0</v>
      </c>
      <c r="DG658">
        <f>ROUND(ROUND(AF658*CX658,2)*AJ658,2)</f>
        <v>3.96</v>
      </c>
      <c r="DH658">
        <f>ROUND(ROUND(AG658*CX658,2)*AK658,2)</f>
        <v>2.3199999999999998</v>
      </c>
      <c r="DI658">
        <f t="shared" si="325"/>
        <v>0</v>
      </c>
      <c r="DJ658">
        <f>DG658</f>
        <v>3.96</v>
      </c>
      <c r="DK658">
        <v>0</v>
      </c>
    </row>
    <row r="659" spans="1:115" x14ac:dyDescent="0.2">
      <c r="A659">
        <f>ROW(Source!A577)</f>
        <v>577</v>
      </c>
      <c r="B659">
        <v>129761633</v>
      </c>
      <c r="C659">
        <v>129763936</v>
      </c>
      <c r="D659">
        <v>37394875</v>
      </c>
      <c r="E659">
        <v>1</v>
      </c>
      <c r="F659">
        <v>1</v>
      </c>
      <c r="G659">
        <v>37345137</v>
      </c>
      <c r="H659">
        <v>3</v>
      </c>
      <c r="I659" t="s">
        <v>1336</v>
      </c>
      <c r="J659" t="s">
        <v>1337</v>
      </c>
      <c r="K659" t="s">
        <v>1338</v>
      </c>
      <c r="L659">
        <v>1346</v>
      </c>
      <c r="N659">
        <v>1009</v>
      </c>
      <c r="O659" t="s">
        <v>369</v>
      </c>
      <c r="P659" t="s">
        <v>369</v>
      </c>
      <c r="Q659">
        <v>1</v>
      </c>
      <c r="W659">
        <v>0</v>
      </c>
      <c r="X659">
        <v>1751843284</v>
      </c>
      <c r="Y659">
        <f t="shared" ref="Y659:Y674" si="329">AT659</f>
        <v>9</v>
      </c>
      <c r="AA659">
        <v>79.239999999999995</v>
      </c>
      <c r="AB659">
        <v>0</v>
      </c>
      <c r="AC659">
        <v>0</v>
      </c>
      <c r="AD659">
        <v>0</v>
      </c>
      <c r="AE659">
        <v>29.9</v>
      </c>
      <c r="AF659">
        <v>0</v>
      </c>
      <c r="AG659">
        <v>0</v>
      </c>
      <c r="AH659">
        <v>0</v>
      </c>
      <c r="AI659">
        <v>2.65</v>
      </c>
      <c r="AJ659">
        <v>1</v>
      </c>
      <c r="AK659">
        <v>1</v>
      </c>
      <c r="AL659">
        <v>1</v>
      </c>
      <c r="AN659">
        <v>0</v>
      </c>
      <c r="AO659">
        <v>1</v>
      </c>
      <c r="AP659">
        <v>0</v>
      </c>
      <c r="AQ659">
        <v>0</v>
      </c>
      <c r="AR659">
        <v>0</v>
      </c>
      <c r="AS659" t="s">
        <v>3</v>
      </c>
      <c r="AT659">
        <v>9</v>
      </c>
      <c r="AU659" t="s">
        <v>3</v>
      </c>
      <c r="AV659">
        <v>0</v>
      </c>
      <c r="AW659">
        <v>2</v>
      </c>
      <c r="AX659">
        <v>129763945</v>
      </c>
      <c r="AY659">
        <v>1</v>
      </c>
      <c r="AZ659">
        <v>0</v>
      </c>
      <c r="BA659">
        <v>651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CX659">
        <f>ROUND(Y659*Source!I577,9)</f>
        <v>3.492</v>
      </c>
      <c r="CY659">
        <f>AA659</f>
        <v>79.239999999999995</v>
      </c>
      <c r="CZ659">
        <f>AE659</f>
        <v>29.9</v>
      </c>
      <c r="DA659">
        <f>AI659</f>
        <v>2.65</v>
      </c>
      <c r="DB659">
        <f t="shared" ref="DB659:DB674" si="330">ROUND(ROUND(AT659*CZ659,2),6)</f>
        <v>269.10000000000002</v>
      </c>
      <c r="DC659">
        <f t="shared" ref="DC659:DC674" si="331">ROUND(ROUND(AT659*AG659,2),6)</f>
        <v>0</v>
      </c>
      <c r="DD659" t="s">
        <v>3</v>
      </c>
      <c r="DE659" t="s">
        <v>3</v>
      </c>
      <c r="DF659">
        <f>ROUND(ROUND(AE659*CX659,2)*AI659,2)</f>
        <v>276.69</v>
      </c>
      <c r="DG659">
        <f t="shared" ref="DG659:DG690" si="332">ROUND(AF659*CX659,2)</f>
        <v>0</v>
      </c>
      <c r="DH659">
        <f t="shared" ref="DH659:DH690" si="333">ROUND(AG659*CX659,2)</f>
        <v>0</v>
      </c>
      <c r="DI659">
        <f t="shared" si="325"/>
        <v>0</v>
      </c>
      <c r="DJ659">
        <f>DF659</f>
        <v>276.69</v>
      </c>
      <c r="DK659">
        <v>0</v>
      </c>
    </row>
    <row r="660" spans="1:115" x14ac:dyDescent="0.2">
      <c r="A660">
        <f>ROW(Source!A577)</f>
        <v>577</v>
      </c>
      <c r="B660">
        <v>129761633</v>
      </c>
      <c r="C660">
        <v>129763936</v>
      </c>
      <c r="D660">
        <v>37394322</v>
      </c>
      <c r="E660">
        <v>1</v>
      </c>
      <c r="F660">
        <v>1</v>
      </c>
      <c r="G660">
        <v>37345137</v>
      </c>
      <c r="H660">
        <v>3</v>
      </c>
      <c r="I660" t="s">
        <v>1339</v>
      </c>
      <c r="J660" t="s">
        <v>1340</v>
      </c>
      <c r="K660" t="s">
        <v>1341</v>
      </c>
      <c r="L660">
        <v>1348</v>
      </c>
      <c r="N660">
        <v>1009</v>
      </c>
      <c r="O660" t="s">
        <v>114</v>
      </c>
      <c r="P660" t="s">
        <v>114</v>
      </c>
      <c r="Q660">
        <v>1000</v>
      </c>
      <c r="W660">
        <v>0</v>
      </c>
      <c r="X660">
        <v>1320659850</v>
      </c>
      <c r="Y660">
        <f t="shared" si="329"/>
        <v>1.48E-3</v>
      </c>
      <c r="AA660">
        <v>54151.11</v>
      </c>
      <c r="AB660">
        <v>0</v>
      </c>
      <c r="AC660">
        <v>0</v>
      </c>
      <c r="AD660">
        <v>0</v>
      </c>
      <c r="AE660">
        <v>12534.98</v>
      </c>
      <c r="AF660">
        <v>0</v>
      </c>
      <c r="AG660">
        <v>0</v>
      </c>
      <c r="AH660">
        <v>0</v>
      </c>
      <c r="AI660">
        <v>4.32</v>
      </c>
      <c r="AJ660">
        <v>1</v>
      </c>
      <c r="AK660">
        <v>1</v>
      </c>
      <c r="AL660">
        <v>1</v>
      </c>
      <c r="AN660">
        <v>0</v>
      </c>
      <c r="AO660">
        <v>1</v>
      </c>
      <c r="AP660">
        <v>0</v>
      </c>
      <c r="AQ660">
        <v>0</v>
      </c>
      <c r="AR660">
        <v>0</v>
      </c>
      <c r="AS660" t="s">
        <v>3</v>
      </c>
      <c r="AT660">
        <v>1.48E-3</v>
      </c>
      <c r="AU660" t="s">
        <v>3</v>
      </c>
      <c r="AV660">
        <v>0</v>
      </c>
      <c r="AW660">
        <v>2</v>
      </c>
      <c r="AX660">
        <v>129763946</v>
      </c>
      <c r="AY660">
        <v>1</v>
      </c>
      <c r="AZ660">
        <v>0</v>
      </c>
      <c r="BA660">
        <v>652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CX660">
        <f>ROUND(Y660*Source!I577,9)</f>
        <v>5.7423999999999995E-4</v>
      </c>
      <c r="CY660">
        <f>AA660</f>
        <v>54151.11</v>
      </c>
      <c r="CZ660">
        <f>AE660</f>
        <v>12534.98</v>
      </c>
      <c r="DA660">
        <f>AI660</f>
        <v>4.32</v>
      </c>
      <c r="DB660">
        <f t="shared" si="330"/>
        <v>18.55</v>
      </c>
      <c r="DC660">
        <f t="shared" si="331"/>
        <v>0</v>
      </c>
      <c r="DD660" t="s">
        <v>3</v>
      </c>
      <c r="DE660" t="s">
        <v>3</v>
      </c>
      <c r="DF660">
        <f>ROUND(ROUND(AE660*CX660,2)*AI660,2)</f>
        <v>31.1</v>
      </c>
      <c r="DG660">
        <f t="shared" si="332"/>
        <v>0</v>
      </c>
      <c r="DH660">
        <f t="shared" si="333"/>
        <v>0</v>
      </c>
      <c r="DI660">
        <f t="shared" si="325"/>
        <v>0</v>
      </c>
      <c r="DJ660">
        <f>DF660</f>
        <v>31.1</v>
      </c>
      <c r="DK660">
        <v>0</v>
      </c>
    </row>
    <row r="661" spans="1:115" x14ac:dyDescent="0.2">
      <c r="A661">
        <f>ROW(Source!A647)</f>
        <v>647</v>
      </c>
      <c r="B661">
        <v>129761636</v>
      </c>
      <c r="C661">
        <v>129763947</v>
      </c>
      <c r="D661">
        <v>37345142</v>
      </c>
      <c r="E661">
        <v>37345137</v>
      </c>
      <c r="F661">
        <v>1</v>
      </c>
      <c r="G661">
        <v>37345137</v>
      </c>
      <c r="H661">
        <v>1</v>
      </c>
      <c r="I661" t="s">
        <v>1096</v>
      </c>
      <c r="J661" t="s">
        <v>3</v>
      </c>
      <c r="K661" t="s">
        <v>1097</v>
      </c>
      <c r="L661">
        <v>1191</v>
      </c>
      <c r="N661">
        <v>1013</v>
      </c>
      <c r="O661" t="s">
        <v>1098</v>
      </c>
      <c r="P661" t="s">
        <v>1098</v>
      </c>
      <c r="Q661">
        <v>1</v>
      </c>
      <c r="W661">
        <v>0</v>
      </c>
      <c r="X661">
        <v>476480486</v>
      </c>
      <c r="Y661">
        <f t="shared" si="329"/>
        <v>25.56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1</v>
      </c>
      <c r="AJ661">
        <v>1</v>
      </c>
      <c r="AK661">
        <v>1</v>
      </c>
      <c r="AL661">
        <v>1</v>
      </c>
      <c r="AN661">
        <v>0</v>
      </c>
      <c r="AO661">
        <v>1</v>
      </c>
      <c r="AP661">
        <v>0</v>
      </c>
      <c r="AQ661">
        <v>0</v>
      </c>
      <c r="AR661">
        <v>0</v>
      </c>
      <c r="AS661" t="s">
        <v>3</v>
      </c>
      <c r="AT661">
        <v>25.56</v>
      </c>
      <c r="AU661" t="s">
        <v>3</v>
      </c>
      <c r="AV661">
        <v>1</v>
      </c>
      <c r="AW661">
        <v>2</v>
      </c>
      <c r="AX661">
        <v>129763949</v>
      </c>
      <c r="AY661">
        <v>1</v>
      </c>
      <c r="AZ661">
        <v>0</v>
      </c>
      <c r="BA661">
        <v>653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CX661">
        <f>ROUND(Y661*Source!I647,9)</f>
        <v>2.556</v>
      </c>
      <c r="CY661">
        <f>AD661</f>
        <v>0</v>
      </c>
      <c r="CZ661">
        <f>AH661</f>
        <v>0</v>
      </c>
      <c r="DA661">
        <f>AL661</f>
        <v>1</v>
      </c>
      <c r="DB661">
        <f t="shared" si="330"/>
        <v>0</v>
      </c>
      <c r="DC661">
        <f t="shared" si="331"/>
        <v>0</v>
      </c>
      <c r="DD661" t="s">
        <v>3</v>
      </c>
      <c r="DE661" t="s">
        <v>3</v>
      </c>
      <c r="DF661">
        <f t="shared" ref="DF661:DF667" si="334">ROUND(AE661*CX661,2)</f>
        <v>0</v>
      </c>
      <c r="DG661">
        <f t="shared" si="332"/>
        <v>0</v>
      </c>
      <c r="DH661">
        <f t="shared" si="333"/>
        <v>0</v>
      </c>
      <c r="DI661">
        <f t="shared" si="325"/>
        <v>0</v>
      </c>
      <c r="DJ661">
        <f>DI661</f>
        <v>0</v>
      </c>
      <c r="DK661">
        <v>0</v>
      </c>
    </row>
    <row r="662" spans="1:115" x14ac:dyDescent="0.2">
      <c r="A662">
        <f>ROW(Source!A648)</f>
        <v>648</v>
      </c>
      <c r="B662">
        <v>129761633</v>
      </c>
      <c r="C662">
        <v>129763947</v>
      </c>
      <c r="D662">
        <v>37345142</v>
      </c>
      <c r="E662">
        <v>37345137</v>
      </c>
      <c r="F662">
        <v>1</v>
      </c>
      <c r="G662">
        <v>37345137</v>
      </c>
      <c r="H662">
        <v>1</v>
      </c>
      <c r="I662" t="s">
        <v>1096</v>
      </c>
      <c r="J662" t="s">
        <v>3</v>
      </c>
      <c r="K662" t="s">
        <v>1097</v>
      </c>
      <c r="L662">
        <v>1191</v>
      </c>
      <c r="N662">
        <v>1013</v>
      </c>
      <c r="O662" t="s">
        <v>1098</v>
      </c>
      <c r="P662" t="s">
        <v>1098</v>
      </c>
      <c r="Q662">
        <v>1</v>
      </c>
      <c r="W662">
        <v>0</v>
      </c>
      <c r="X662">
        <v>476480486</v>
      </c>
      <c r="Y662">
        <f t="shared" si="329"/>
        <v>25.56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1</v>
      </c>
      <c r="AJ662">
        <v>1</v>
      </c>
      <c r="AK662">
        <v>1</v>
      </c>
      <c r="AL662">
        <v>1</v>
      </c>
      <c r="AN662">
        <v>0</v>
      </c>
      <c r="AO662">
        <v>1</v>
      </c>
      <c r="AP662">
        <v>0</v>
      </c>
      <c r="AQ662">
        <v>0</v>
      </c>
      <c r="AR662">
        <v>0</v>
      </c>
      <c r="AS662" t="s">
        <v>3</v>
      </c>
      <c r="AT662">
        <v>25.56</v>
      </c>
      <c r="AU662" t="s">
        <v>3</v>
      </c>
      <c r="AV662">
        <v>1</v>
      </c>
      <c r="AW662">
        <v>2</v>
      </c>
      <c r="AX662">
        <v>129763949</v>
      </c>
      <c r="AY662">
        <v>1</v>
      </c>
      <c r="AZ662">
        <v>0</v>
      </c>
      <c r="BA662">
        <v>654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CX662">
        <f>ROUND(Y662*Source!I648,9)</f>
        <v>2.556</v>
      </c>
      <c r="CY662">
        <f>AD662</f>
        <v>0</v>
      </c>
      <c r="CZ662">
        <f>AH662</f>
        <v>0</v>
      </c>
      <c r="DA662">
        <f>AL662</f>
        <v>1</v>
      </c>
      <c r="DB662">
        <f t="shared" si="330"/>
        <v>0</v>
      </c>
      <c r="DC662">
        <f t="shared" si="331"/>
        <v>0</v>
      </c>
      <c r="DD662" t="s">
        <v>3</v>
      </c>
      <c r="DE662" t="s">
        <v>3</v>
      </c>
      <c r="DF662">
        <f t="shared" si="334"/>
        <v>0</v>
      </c>
      <c r="DG662">
        <f t="shared" si="332"/>
        <v>0</v>
      </c>
      <c r="DH662">
        <f t="shared" si="333"/>
        <v>0</v>
      </c>
      <c r="DI662">
        <f t="shared" si="325"/>
        <v>0</v>
      </c>
      <c r="DJ662">
        <f>DI662</f>
        <v>0</v>
      </c>
      <c r="DK662">
        <v>0</v>
      </c>
    </row>
    <row r="663" spans="1:115" x14ac:dyDescent="0.2">
      <c r="A663">
        <f>ROW(Source!A649)</f>
        <v>649</v>
      </c>
      <c r="B663">
        <v>129761636</v>
      </c>
      <c r="C663">
        <v>129763950</v>
      </c>
      <c r="D663">
        <v>37345142</v>
      </c>
      <c r="E663">
        <v>37345137</v>
      </c>
      <c r="F663">
        <v>1</v>
      </c>
      <c r="G663">
        <v>37345137</v>
      </c>
      <c r="H663">
        <v>1</v>
      </c>
      <c r="I663" t="s">
        <v>1096</v>
      </c>
      <c r="J663" t="s">
        <v>3</v>
      </c>
      <c r="K663" t="s">
        <v>1097</v>
      </c>
      <c r="L663">
        <v>1191</v>
      </c>
      <c r="N663">
        <v>1013</v>
      </c>
      <c r="O663" t="s">
        <v>1098</v>
      </c>
      <c r="P663" t="s">
        <v>1098</v>
      </c>
      <c r="Q663">
        <v>1</v>
      </c>
      <c r="W663">
        <v>0</v>
      </c>
      <c r="X663">
        <v>476480486</v>
      </c>
      <c r="Y663">
        <f t="shared" si="329"/>
        <v>1.35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1</v>
      </c>
      <c r="AJ663">
        <v>1</v>
      </c>
      <c r="AK663">
        <v>1</v>
      </c>
      <c r="AL663">
        <v>1</v>
      </c>
      <c r="AN663">
        <v>0</v>
      </c>
      <c r="AO663">
        <v>1</v>
      </c>
      <c r="AP663">
        <v>0</v>
      </c>
      <c r="AQ663">
        <v>0</v>
      </c>
      <c r="AR663">
        <v>0</v>
      </c>
      <c r="AS663" t="s">
        <v>3</v>
      </c>
      <c r="AT663">
        <v>1.35</v>
      </c>
      <c r="AU663" t="s">
        <v>3</v>
      </c>
      <c r="AV663">
        <v>1</v>
      </c>
      <c r="AW663">
        <v>2</v>
      </c>
      <c r="AX663">
        <v>129763952</v>
      </c>
      <c r="AY663">
        <v>1</v>
      </c>
      <c r="AZ663">
        <v>0</v>
      </c>
      <c r="BA663">
        <v>655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CX663">
        <f>ROUND(Y663*Source!I649,9)</f>
        <v>1.35</v>
      </c>
      <c r="CY663">
        <f>AD663</f>
        <v>0</v>
      </c>
      <c r="CZ663">
        <f>AH663</f>
        <v>0</v>
      </c>
      <c r="DA663">
        <f>AL663</f>
        <v>1</v>
      </c>
      <c r="DB663">
        <f t="shared" si="330"/>
        <v>0</v>
      </c>
      <c r="DC663">
        <f t="shared" si="331"/>
        <v>0</v>
      </c>
      <c r="DD663" t="s">
        <v>3</v>
      </c>
      <c r="DE663" t="s">
        <v>3</v>
      </c>
      <c r="DF663">
        <f t="shared" si="334"/>
        <v>0</v>
      </c>
      <c r="DG663">
        <f t="shared" si="332"/>
        <v>0</v>
      </c>
      <c r="DH663">
        <f t="shared" si="333"/>
        <v>0</v>
      </c>
      <c r="DI663">
        <f t="shared" si="325"/>
        <v>0</v>
      </c>
      <c r="DJ663">
        <f>DI663</f>
        <v>0</v>
      </c>
      <c r="DK663">
        <v>0</v>
      </c>
    </row>
    <row r="664" spans="1:115" x14ac:dyDescent="0.2">
      <c r="A664">
        <f>ROW(Source!A650)</f>
        <v>650</v>
      </c>
      <c r="B664">
        <v>129761633</v>
      </c>
      <c r="C664">
        <v>129763950</v>
      </c>
      <c r="D664">
        <v>37345142</v>
      </c>
      <c r="E664">
        <v>37345137</v>
      </c>
      <c r="F664">
        <v>1</v>
      </c>
      <c r="G664">
        <v>37345137</v>
      </c>
      <c r="H664">
        <v>1</v>
      </c>
      <c r="I664" t="s">
        <v>1096</v>
      </c>
      <c r="J664" t="s">
        <v>3</v>
      </c>
      <c r="K664" t="s">
        <v>1097</v>
      </c>
      <c r="L664">
        <v>1191</v>
      </c>
      <c r="N664">
        <v>1013</v>
      </c>
      <c r="O664" t="s">
        <v>1098</v>
      </c>
      <c r="P664" t="s">
        <v>1098</v>
      </c>
      <c r="Q664">
        <v>1</v>
      </c>
      <c r="W664">
        <v>0</v>
      </c>
      <c r="X664">
        <v>476480486</v>
      </c>
      <c r="Y664">
        <f t="shared" si="329"/>
        <v>1.35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1</v>
      </c>
      <c r="AJ664">
        <v>1</v>
      </c>
      <c r="AK664">
        <v>1</v>
      </c>
      <c r="AL664">
        <v>1</v>
      </c>
      <c r="AN664">
        <v>0</v>
      </c>
      <c r="AO664">
        <v>1</v>
      </c>
      <c r="AP664">
        <v>0</v>
      </c>
      <c r="AQ664">
        <v>0</v>
      </c>
      <c r="AR664">
        <v>0</v>
      </c>
      <c r="AS664" t="s">
        <v>3</v>
      </c>
      <c r="AT664">
        <v>1.35</v>
      </c>
      <c r="AU664" t="s">
        <v>3</v>
      </c>
      <c r="AV664">
        <v>1</v>
      </c>
      <c r="AW664">
        <v>2</v>
      </c>
      <c r="AX664">
        <v>129763952</v>
      </c>
      <c r="AY664">
        <v>1</v>
      </c>
      <c r="AZ664">
        <v>0</v>
      </c>
      <c r="BA664">
        <v>656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CX664">
        <f>ROUND(Y664*Source!I650,9)</f>
        <v>1.35</v>
      </c>
      <c r="CY664">
        <f>AD664</f>
        <v>0</v>
      </c>
      <c r="CZ664">
        <f>AH664</f>
        <v>0</v>
      </c>
      <c r="DA664">
        <f>AL664</f>
        <v>1</v>
      </c>
      <c r="DB664">
        <f t="shared" si="330"/>
        <v>0</v>
      </c>
      <c r="DC664">
        <f t="shared" si="331"/>
        <v>0</v>
      </c>
      <c r="DD664" t="s">
        <v>3</v>
      </c>
      <c r="DE664" t="s">
        <v>3</v>
      </c>
      <c r="DF664">
        <f t="shared" si="334"/>
        <v>0</v>
      </c>
      <c r="DG664">
        <f t="shared" si="332"/>
        <v>0</v>
      </c>
      <c r="DH664">
        <f t="shared" si="333"/>
        <v>0</v>
      </c>
      <c r="DI664">
        <f t="shared" si="325"/>
        <v>0</v>
      </c>
      <c r="DJ664">
        <f>DI664</f>
        <v>0</v>
      </c>
      <c r="DK664">
        <v>0</v>
      </c>
    </row>
    <row r="665" spans="1:115" x14ac:dyDescent="0.2">
      <c r="A665">
        <f>ROW(Source!A651)</f>
        <v>651</v>
      </c>
      <c r="B665">
        <v>129761636</v>
      </c>
      <c r="C665">
        <v>129763953</v>
      </c>
      <c r="D665">
        <v>37345142</v>
      </c>
      <c r="E665">
        <v>37345137</v>
      </c>
      <c r="F665">
        <v>1</v>
      </c>
      <c r="G665">
        <v>37345137</v>
      </c>
      <c r="H665">
        <v>1</v>
      </c>
      <c r="I665" t="s">
        <v>1096</v>
      </c>
      <c r="J665" t="s">
        <v>3</v>
      </c>
      <c r="K665" t="s">
        <v>1097</v>
      </c>
      <c r="L665">
        <v>1191</v>
      </c>
      <c r="N665">
        <v>1013</v>
      </c>
      <c r="O665" t="s">
        <v>1098</v>
      </c>
      <c r="P665" t="s">
        <v>1098</v>
      </c>
      <c r="Q665">
        <v>1</v>
      </c>
      <c r="W665">
        <v>0</v>
      </c>
      <c r="X665">
        <v>476480486</v>
      </c>
      <c r="Y665">
        <f t="shared" si="329"/>
        <v>9.3000000000000007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1</v>
      </c>
      <c r="AJ665">
        <v>1</v>
      </c>
      <c r="AK665">
        <v>1</v>
      </c>
      <c r="AL665">
        <v>1</v>
      </c>
      <c r="AN665">
        <v>0</v>
      </c>
      <c r="AO665">
        <v>1</v>
      </c>
      <c r="AP665">
        <v>0</v>
      </c>
      <c r="AQ665">
        <v>0</v>
      </c>
      <c r="AR665">
        <v>0</v>
      </c>
      <c r="AS665" t="s">
        <v>3</v>
      </c>
      <c r="AT665">
        <v>9.3000000000000007</v>
      </c>
      <c r="AU665" t="s">
        <v>3</v>
      </c>
      <c r="AV665">
        <v>1</v>
      </c>
      <c r="AW665">
        <v>2</v>
      </c>
      <c r="AX665">
        <v>129763956</v>
      </c>
      <c r="AY665">
        <v>1</v>
      </c>
      <c r="AZ665">
        <v>0</v>
      </c>
      <c r="BA665">
        <v>657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CX665">
        <f>ROUND(Y665*Source!I651,9)</f>
        <v>9.3000000000000007</v>
      </c>
      <c r="CY665">
        <f>AD665</f>
        <v>0</v>
      </c>
      <c r="CZ665">
        <f>AH665</f>
        <v>0</v>
      </c>
      <c r="DA665">
        <f>AL665</f>
        <v>1</v>
      </c>
      <c r="DB665">
        <f t="shared" si="330"/>
        <v>0</v>
      </c>
      <c r="DC665">
        <f t="shared" si="331"/>
        <v>0</v>
      </c>
      <c r="DD665" t="s">
        <v>3</v>
      </c>
      <c r="DE665" t="s">
        <v>3</v>
      </c>
      <c r="DF665">
        <f t="shared" si="334"/>
        <v>0</v>
      </c>
      <c r="DG665">
        <f t="shared" si="332"/>
        <v>0</v>
      </c>
      <c r="DH665">
        <f t="shared" si="333"/>
        <v>0</v>
      </c>
      <c r="DI665">
        <f t="shared" si="325"/>
        <v>0</v>
      </c>
      <c r="DJ665">
        <f>DI665</f>
        <v>0</v>
      </c>
      <c r="DK665">
        <v>0</v>
      </c>
    </row>
    <row r="666" spans="1:115" x14ac:dyDescent="0.2">
      <c r="A666">
        <f>ROW(Source!A651)</f>
        <v>651</v>
      </c>
      <c r="B666">
        <v>129761636</v>
      </c>
      <c r="C666">
        <v>129763953</v>
      </c>
      <c r="D666">
        <v>37367069</v>
      </c>
      <c r="E666">
        <v>37345137</v>
      </c>
      <c r="F666">
        <v>1</v>
      </c>
      <c r="G666">
        <v>37345137</v>
      </c>
      <c r="H666">
        <v>3</v>
      </c>
      <c r="I666" t="s">
        <v>1342</v>
      </c>
      <c r="J666" t="s">
        <v>3</v>
      </c>
      <c r="K666" t="s">
        <v>1343</v>
      </c>
      <c r="L666">
        <v>1348</v>
      </c>
      <c r="N666">
        <v>1009</v>
      </c>
      <c r="O666" t="s">
        <v>114</v>
      </c>
      <c r="P666" t="s">
        <v>114</v>
      </c>
      <c r="Q666">
        <v>1000</v>
      </c>
      <c r="W666">
        <v>0</v>
      </c>
      <c r="X666">
        <v>-783086922</v>
      </c>
      <c r="Y666">
        <f t="shared" si="329"/>
        <v>1E-3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1</v>
      </c>
      <c r="AJ666">
        <v>1</v>
      </c>
      <c r="AK666">
        <v>1</v>
      </c>
      <c r="AL666">
        <v>1</v>
      </c>
      <c r="AN666">
        <v>0</v>
      </c>
      <c r="AO666">
        <v>1</v>
      </c>
      <c r="AP666">
        <v>0</v>
      </c>
      <c r="AQ666">
        <v>0</v>
      </c>
      <c r="AR666">
        <v>0</v>
      </c>
      <c r="AS666" t="s">
        <v>3</v>
      </c>
      <c r="AT666">
        <v>1E-3</v>
      </c>
      <c r="AU666" t="s">
        <v>3</v>
      </c>
      <c r="AV666">
        <v>0</v>
      </c>
      <c r="AW666">
        <v>2</v>
      </c>
      <c r="AX666">
        <v>129763957</v>
      </c>
      <c r="AY666">
        <v>1</v>
      </c>
      <c r="AZ666">
        <v>0</v>
      </c>
      <c r="BA666">
        <v>658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CX666">
        <f>ROUND(Y666*Source!I651,9)</f>
        <v>1E-3</v>
      </c>
      <c r="CY666">
        <f>AA666</f>
        <v>0</v>
      </c>
      <c r="CZ666">
        <f>AE666</f>
        <v>0</v>
      </c>
      <c r="DA666">
        <f>AI666</f>
        <v>1</v>
      </c>
      <c r="DB666">
        <f t="shared" si="330"/>
        <v>0</v>
      </c>
      <c r="DC666">
        <f t="shared" si="331"/>
        <v>0</v>
      </c>
      <c r="DD666" t="s">
        <v>3</v>
      </c>
      <c r="DE666" t="s">
        <v>3</v>
      </c>
      <c r="DF666">
        <f t="shared" si="334"/>
        <v>0</v>
      </c>
      <c r="DG666">
        <f t="shared" si="332"/>
        <v>0</v>
      </c>
      <c r="DH666">
        <f t="shared" si="333"/>
        <v>0</v>
      </c>
      <c r="DI666">
        <f t="shared" si="325"/>
        <v>0</v>
      </c>
      <c r="DJ666">
        <f>DF666</f>
        <v>0</v>
      </c>
      <c r="DK666">
        <v>0</v>
      </c>
    </row>
    <row r="667" spans="1:115" x14ac:dyDescent="0.2">
      <c r="A667">
        <f>ROW(Source!A652)</f>
        <v>652</v>
      </c>
      <c r="B667">
        <v>129761633</v>
      </c>
      <c r="C667">
        <v>129763953</v>
      </c>
      <c r="D667">
        <v>37345142</v>
      </c>
      <c r="E667">
        <v>37345137</v>
      </c>
      <c r="F667">
        <v>1</v>
      </c>
      <c r="G667">
        <v>37345137</v>
      </c>
      <c r="H667">
        <v>1</v>
      </c>
      <c r="I667" t="s">
        <v>1096</v>
      </c>
      <c r="J667" t="s">
        <v>3</v>
      </c>
      <c r="K667" t="s">
        <v>1097</v>
      </c>
      <c r="L667">
        <v>1191</v>
      </c>
      <c r="N667">
        <v>1013</v>
      </c>
      <c r="O667" t="s">
        <v>1098</v>
      </c>
      <c r="P667" t="s">
        <v>1098</v>
      </c>
      <c r="Q667">
        <v>1</v>
      </c>
      <c r="W667">
        <v>0</v>
      </c>
      <c r="X667">
        <v>476480486</v>
      </c>
      <c r="Y667">
        <f t="shared" si="329"/>
        <v>9.3000000000000007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1</v>
      </c>
      <c r="AJ667">
        <v>1</v>
      </c>
      <c r="AK667">
        <v>1</v>
      </c>
      <c r="AL667">
        <v>1</v>
      </c>
      <c r="AN667">
        <v>0</v>
      </c>
      <c r="AO667">
        <v>1</v>
      </c>
      <c r="AP667">
        <v>0</v>
      </c>
      <c r="AQ667">
        <v>0</v>
      </c>
      <c r="AR667">
        <v>0</v>
      </c>
      <c r="AS667" t="s">
        <v>3</v>
      </c>
      <c r="AT667">
        <v>9.3000000000000007</v>
      </c>
      <c r="AU667" t="s">
        <v>3</v>
      </c>
      <c r="AV667">
        <v>1</v>
      </c>
      <c r="AW667">
        <v>2</v>
      </c>
      <c r="AX667">
        <v>129763956</v>
      </c>
      <c r="AY667">
        <v>1</v>
      </c>
      <c r="AZ667">
        <v>0</v>
      </c>
      <c r="BA667">
        <v>659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CX667">
        <f>ROUND(Y667*Source!I652,9)</f>
        <v>9.3000000000000007</v>
      </c>
      <c r="CY667">
        <f>AD667</f>
        <v>0</v>
      </c>
      <c r="CZ667">
        <f>AH667</f>
        <v>0</v>
      </c>
      <c r="DA667">
        <f>AL667</f>
        <v>1</v>
      </c>
      <c r="DB667">
        <f t="shared" si="330"/>
        <v>0</v>
      </c>
      <c r="DC667">
        <f t="shared" si="331"/>
        <v>0</v>
      </c>
      <c r="DD667" t="s">
        <v>3</v>
      </c>
      <c r="DE667" t="s">
        <v>3</v>
      </c>
      <c r="DF667">
        <f t="shared" si="334"/>
        <v>0</v>
      </c>
      <c r="DG667">
        <f t="shared" si="332"/>
        <v>0</v>
      </c>
      <c r="DH667">
        <f t="shared" si="333"/>
        <v>0</v>
      </c>
      <c r="DI667">
        <f t="shared" si="325"/>
        <v>0</v>
      </c>
      <c r="DJ667">
        <f>DI667</f>
        <v>0</v>
      </c>
      <c r="DK667">
        <v>0</v>
      </c>
    </row>
    <row r="668" spans="1:115" x14ac:dyDescent="0.2">
      <c r="A668">
        <f>ROW(Source!A652)</f>
        <v>652</v>
      </c>
      <c r="B668">
        <v>129761633</v>
      </c>
      <c r="C668">
        <v>129763953</v>
      </c>
      <c r="D668">
        <v>37367069</v>
      </c>
      <c r="E668">
        <v>37345137</v>
      </c>
      <c r="F668">
        <v>1</v>
      </c>
      <c r="G668">
        <v>37345137</v>
      </c>
      <c r="H668">
        <v>3</v>
      </c>
      <c r="I668" t="s">
        <v>1342</v>
      </c>
      <c r="J668" t="s">
        <v>3</v>
      </c>
      <c r="K668" t="s">
        <v>1343</v>
      </c>
      <c r="L668">
        <v>1348</v>
      </c>
      <c r="N668">
        <v>1009</v>
      </c>
      <c r="O668" t="s">
        <v>114</v>
      </c>
      <c r="P668" t="s">
        <v>114</v>
      </c>
      <c r="Q668">
        <v>1000</v>
      </c>
      <c r="W668">
        <v>0</v>
      </c>
      <c r="X668">
        <v>-783086922</v>
      </c>
      <c r="Y668">
        <f t="shared" si="329"/>
        <v>1E-3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8.65</v>
      </c>
      <c r="AJ668">
        <v>1</v>
      </c>
      <c r="AK668">
        <v>1</v>
      </c>
      <c r="AL668">
        <v>1</v>
      </c>
      <c r="AN668">
        <v>0</v>
      </c>
      <c r="AO668">
        <v>1</v>
      </c>
      <c r="AP668">
        <v>0</v>
      </c>
      <c r="AQ668">
        <v>0</v>
      </c>
      <c r="AR668">
        <v>0</v>
      </c>
      <c r="AS668" t="s">
        <v>3</v>
      </c>
      <c r="AT668">
        <v>1E-3</v>
      </c>
      <c r="AU668" t="s">
        <v>3</v>
      </c>
      <c r="AV668">
        <v>0</v>
      </c>
      <c r="AW668">
        <v>2</v>
      </c>
      <c r="AX668">
        <v>129763957</v>
      </c>
      <c r="AY668">
        <v>1</v>
      </c>
      <c r="AZ668">
        <v>0</v>
      </c>
      <c r="BA668">
        <v>660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CX668">
        <f>ROUND(Y668*Source!I652,9)</f>
        <v>1E-3</v>
      </c>
      <c r="CY668">
        <f>AA668</f>
        <v>0</v>
      </c>
      <c r="CZ668">
        <f>AE668</f>
        <v>0</v>
      </c>
      <c r="DA668">
        <f>AI668</f>
        <v>8.65</v>
      </c>
      <c r="DB668">
        <f t="shared" si="330"/>
        <v>0</v>
      </c>
      <c r="DC668">
        <f t="shared" si="331"/>
        <v>0</v>
      </c>
      <c r="DD668" t="s">
        <v>3</v>
      </c>
      <c r="DE668" t="s">
        <v>3</v>
      </c>
      <c r="DF668">
        <f>ROUND(ROUND(AE668*CX668,2)*AI668,2)</f>
        <v>0</v>
      </c>
      <c r="DG668">
        <f t="shared" si="332"/>
        <v>0</v>
      </c>
      <c r="DH668">
        <f t="shared" si="333"/>
        <v>0</v>
      </c>
      <c r="DI668">
        <f t="shared" si="325"/>
        <v>0</v>
      </c>
      <c r="DJ668">
        <f>DF668</f>
        <v>0</v>
      </c>
      <c r="DK668">
        <v>0</v>
      </c>
    </row>
    <row r="669" spans="1:115" x14ac:dyDescent="0.2">
      <c r="A669">
        <f>ROW(Source!A653)</f>
        <v>653</v>
      </c>
      <c r="B669">
        <v>129761636</v>
      </c>
      <c r="C669">
        <v>129763958</v>
      </c>
      <c r="D669">
        <v>37345142</v>
      </c>
      <c r="E669">
        <v>37345137</v>
      </c>
      <c r="F669">
        <v>1</v>
      </c>
      <c r="G669">
        <v>37345137</v>
      </c>
      <c r="H669">
        <v>1</v>
      </c>
      <c r="I669" t="s">
        <v>1096</v>
      </c>
      <c r="J669" t="s">
        <v>3</v>
      </c>
      <c r="K669" t="s">
        <v>1097</v>
      </c>
      <c r="L669">
        <v>1191</v>
      </c>
      <c r="N669">
        <v>1013</v>
      </c>
      <c r="O669" t="s">
        <v>1098</v>
      </c>
      <c r="P669" t="s">
        <v>1098</v>
      </c>
      <c r="Q669">
        <v>1</v>
      </c>
      <c r="W669">
        <v>0</v>
      </c>
      <c r="X669">
        <v>476480486</v>
      </c>
      <c r="Y669">
        <f t="shared" si="329"/>
        <v>1.03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1</v>
      </c>
      <c r="AJ669">
        <v>1</v>
      </c>
      <c r="AK669">
        <v>1</v>
      </c>
      <c r="AL669">
        <v>1</v>
      </c>
      <c r="AN669">
        <v>0</v>
      </c>
      <c r="AO669">
        <v>1</v>
      </c>
      <c r="AP669">
        <v>0</v>
      </c>
      <c r="AQ669">
        <v>0</v>
      </c>
      <c r="AR669">
        <v>0</v>
      </c>
      <c r="AS669" t="s">
        <v>3</v>
      </c>
      <c r="AT669">
        <v>1.03</v>
      </c>
      <c r="AU669" t="s">
        <v>3</v>
      </c>
      <c r="AV669">
        <v>1</v>
      </c>
      <c r="AW669">
        <v>2</v>
      </c>
      <c r="AX669">
        <v>129763960</v>
      </c>
      <c r="AY669">
        <v>1</v>
      </c>
      <c r="AZ669">
        <v>0</v>
      </c>
      <c r="BA669">
        <v>661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CX669">
        <f>ROUND(Y669*Source!I653,9)</f>
        <v>1.03</v>
      </c>
      <c r="CY669">
        <f t="shared" ref="CY669:CY675" si="335">AD669</f>
        <v>0</v>
      </c>
      <c r="CZ669">
        <f t="shared" ref="CZ669:CZ675" si="336">AH669</f>
        <v>0</v>
      </c>
      <c r="DA669">
        <f t="shared" ref="DA669:DA675" si="337">AL669</f>
        <v>1</v>
      </c>
      <c r="DB669">
        <f t="shared" si="330"/>
        <v>0</v>
      </c>
      <c r="DC669">
        <f t="shared" si="331"/>
        <v>0</v>
      </c>
      <c r="DD669" t="s">
        <v>3</v>
      </c>
      <c r="DE669" t="s">
        <v>3</v>
      </c>
      <c r="DF669">
        <f t="shared" ref="DF669:DF679" si="338">ROUND(AE669*CX669,2)</f>
        <v>0</v>
      </c>
      <c r="DG669">
        <f t="shared" si="332"/>
        <v>0</v>
      </c>
      <c r="DH669">
        <f t="shared" si="333"/>
        <v>0</v>
      </c>
      <c r="DI669">
        <f t="shared" si="325"/>
        <v>0</v>
      </c>
      <c r="DJ669">
        <f t="shared" ref="DJ669:DJ675" si="339">DI669</f>
        <v>0</v>
      </c>
      <c r="DK669">
        <v>0</v>
      </c>
    </row>
    <row r="670" spans="1:115" x14ac:dyDescent="0.2">
      <c r="A670">
        <f>ROW(Source!A654)</f>
        <v>654</v>
      </c>
      <c r="B670">
        <v>129761633</v>
      </c>
      <c r="C670">
        <v>129763958</v>
      </c>
      <c r="D670">
        <v>37345142</v>
      </c>
      <c r="E670">
        <v>37345137</v>
      </c>
      <c r="F670">
        <v>1</v>
      </c>
      <c r="G670">
        <v>37345137</v>
      </c>
      <c r="H670">
        <v>1</v>
      </c>
      <c r="I670" t="s">
        <v>1096</v>
      </c>
      <c r="J670" t="s">
        <v>3</v>
      </c>
      <c r="K670" t="s">
        <v>1097</v>
      </c>
      <c r="L670">
        <v>1191</v>
      </c>
      <c r="N670">
        <v>1013</v>
      </c>
      <c r="O670" t="s">
        <v>1098</v>
      </c>
      <c r="P670" t="s">
        <v>1098</v>
      </c>
      <c r="Q670">
        <v>1</v>
      </c>
      <c r="W670">
        <v>0</v>
      </c>
      <c r="X670">
        <v>476480486</v>
      </c>
      <c r="Y670">
        <f t="shared" si="329"/>
        <v>1.03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1</v>
      </c>
      <c r="AJ670">
        <v>1</v>
      </c>
      <c r="AK670">
        <v>1</v>
      </c>
      <c r="AL670">
        <v>1</v>
      </c>
      <c r="AN670">
        <v>0</v>
      </c>
      <c r="AO670">
        <v>1</v>
      </c>
      <c r="AP670">
        <v>0</v>
      </c>
      <c r="AQ670">
        <v>0</v>
      </c>
      <c r="AR670">
        <v>0</v>
      </c>
      <c r="AS670" t="s">
        <v>3</v>
      </c>
      <c r="AT670">
        <v>1.03</v>
      </c>
      <c r="AU670" t="s">
        <v>3</v>
      </c>
      <c r="AV670">
        <v>1</v>
      </c>
      <c r="AW670">
        <v>2</v>
      </c>
      <c r="AX670">
        <v>129763960</v>
      </c>
      <c r="AY670">
        <v>1</v>
      </c>
      <c r="AZ670">
        <v>0</v>
      </c>
      <c r="BA670">
        <v>662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CX670">
        <f>ROUND(Y670*Source!I654,9)</f>
        <v>1.03</v>
      </c>
      <c r="CY670">
        <f t="shared" si="335"/>
        <v>0</v>
      </c>
      <c r="CZ670">
        <f t="shared" si="336"/>
        <v>0</v>
      </c>
      <c r="DA670">
        <f t="shared" si="337"/>
        <v>1</v>
      </c>
      <c r="DB670">
        <f t="shared" si="330"/>
        <v>0</v>
      </c>
      <c r="DC670">
        <f t="shared" si="331"/>
        <v>0</v>
      </c>
      <c r="DD670" t="s">
        <v>3</v>
      </c>
      <c r="DE670" t="s">
        <v>3</v>
      </c>
      <c r="DF670">
        <f t="shared" si="338"/>
        <v>0</v>
      </c>
      <c r="DG670">
        <f t="shared" si="332"/>
        <v>0</v>
      </c>
      <c r="DH670">
        <f t="shared" si="333"/>
        <v>0</v>
      </c>
      <c r="DI670">
        <f t="shared" si="325"/>
        <v>0</v>
      </c>
      <c r="DJ670">
        <f t="shared" si="339"/>
        <v>0</v>
      </c>
      <c r="DK670">
        <v>0</v>
      </c>
    </row>
    <row r="671" spans="1:115" x14ac:dyDescent="0.2">
      <c r="A671">
        <f>ROW(Source!A655)</f>
        <v>655</v>
      </c>
      <c r="B671">
        <v>129761636</v>
      </c>
      <c r="C671">
        <v>129763961</v>
      </c>
      <c r="D671">
        <v>37345142</v>
      </c>
      <c r="E671">
        <v>37345137</v>
      </c>
      <c r="F671">
        <v>1</v>
      </c>
      <c r="G671">
        <v>37345137</v>
      </c>
      <c r="H671">
        <v>1</v>
      </c>
      <c r="I671" t="s">
        <v>1096</v>
      </c>
      <c r="J671" t="s">
        <v>3</v>
      </c>
      <c r="K671" t="s">
        <v>1097</v>
      </c>
      <c r="L671">
        <v>1191</v>
      </c>
      <c r="N671">
        <v>1013</v>
      </c>
      <c r="O671" t="s">
        <v>1098</v>
      </c>
      <c r="P671" t="s">
        <v>1098</v>
      </c>
      <c r="Q671">
        <v>1</v>
      </c>
      <c r="W671">
        <v>0</v>
      </c>
      <c r="X671">
        <v>476480486</v>
      </c>
      <c r="Y671">
        <f t="shared" si="329"/>
        <v>7.92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1</v>
      </c>
      <c r="AJ671">
        <v>1</v>
      </c>
      <c r="AK671">
        <v>1</v>
      </c>
      <c r="AL671">
        <v>1</v>
      </c>
      <c r="AN671">
        <v>0</v>
      </c>
      <c r="AO671">
        <v>1</v>
      </c>
      <c r="AP671">
        <v>0</v>
      </c>
      <c r="AQ671">
        <v>0</v>
      </c>
      <c r="AR671">
        <v>0</v>
      </c>
      <c r="AS671" t="s">
        <v>3</v>
      </c>
      <c r="AT671">
        <v>7.92</v>
      </c>
      <c r="AU671" t="s">
        <v>3</v>
      </c>
      <c r="AV671">
        <v>1</v>
      </c>
      <c r="AW671">
        <v>2</v>
      </c>
      <c r="AX671">
        <v>129763963</v>
      </c>
      <c r="AY671">
        <v>1</v>
      </c>
      <c r="AZ671">
        <v>0</v>
      </c>
      <c r="BA671">
        <v>663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CX671">
        <f>ROUND(Y671*Source!I655,9)</f>
        <v>7.92</v>
      </c>
      <c r="CY671">
        <f t="shared" si="335"/>
        <v>0</v>
      </c>
      <c r="CZ671">
        <f t="shared" si="336"/>
        <v>0</v>
      </c>
      <c r="DA671">
        <f t="shared" si="337"/>
        <v>1</v>
      </c>
      <c r="DB671">
        <f t="shared" si="330"/>
        <v>0</v>
      </c>
      <c r="DC671">
        <f t="shared" si="331"/>
        <v>0</v>
      </c>
      <c r="DD671" t="s">
        <v>3</v>
      </c>
      <c r="DE671" t="s">
        <v>3</v>
      </c>
      <c r="DF671">
        <f t="shared" si="338"/>
        <v>0</v>
      </c>
      <c r="DG671">
        <f t="shared" si="332"/>
        <v>0</v>
      </c>
      <c r="DH671">
        <f t="shared" si="333"/>
        <v>0</v>
      </c>
      <c r="DI671">
        <f t="shared" si="325"/>
        <v>0</v>
      </c>
      <c r="DJ671">
        <f t="shared" si="339"/>
        <v>0</v>
      </c>
      <c r="DK671">
        <v>0</v>
      </c>
    </row>
    <row r="672" spans="1:115" x14ac:dyDescent="0.2">
      <c r="A672">
        <f>ROW(Source!A656)</f>
        <v>656</v>
      </c>
      <c r="B672">
        <v>129761633</v>
      </c>
      <c r="C672">
        <v>129763961</v>
      </c>
      <c r="D672">
        <v>37345142</v>
      </c>
      <c r="E672">
        <v>37345137</v>
      </c>
      <c r="F672">
        <v>1</v>
      </c>
      <c r="G672">
        <v>37345137</v>
      </c>
      <c r="H672">
        <v>1</v>
      </c>
      <c r="I672" t="s">
        <v>1096</v>
      </c>
      <c r="J672" t="s">
        <v>3</v>
      </c>
      <c r="K672" t="s">
        <v>1097</v>
      </c>
      <c r="L672">
        <v>1191</v>
      </c>
      <c r="N672">
        <v>1013</v>
      </c>
      <c r="O672" t="s">
        <v>1098</v>
      </c>
      <c r="P672" t="s">
        <v>1098</v>
      </c>
      <c r="Q672">
        <v>1</v>
      </c>
      <c r="W672">
        <v>0</v>
      </c>
      <c r="X672">
        <v>476480486</v>
      </c>
      <c r="Y672">
        <f t="shared" si="329"/>
        <v>7.92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1</v>
      </c>
      <c r="AJ672">
        <v>1</v>
      </c>
      <c r="AK672">
        <v>1</v>
      </c>
      <c r="AL672">
        <v>1</v>
      </c>
      <c r="AN672">
        <v>0</v>
      </c>
      <c r="AO672">
        <v>1</v>
      </c>
      <c r="AP672">
        <v>0</v>
      </c>
      <c r="AQ672">
        <v>0</v>
      </c>
      <c r="AR672">
        <v>0</v>
      </c>
      <c r="AS672" t="s">
        <v>3</v>
      </c>
      <c r="AT672">
        <v>7.92</v>
      </c>
      <c r="AU672" t="s">
        <v>3</v>
      </c>
      <c r="AV672">
        <v>1</v>
      </c>
      <c r="AW672">
        <v>2</v>
      </c>
      <c r="AX672">
        <v>129763963</v>
      </c>
      <c r="AY672">
        <v>1</v>
      </c>
      <c r="AZ672">
        <v>0</v>
      </c>
      <c r="BA672">
        <v>664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CX672">
        <f>ROUND(Y672*Source!I656,9)</f>
        <v>7.92</v>
      </c>
      <c r="CY672">
        <f t="shared" si="335"/>
        <v>0</v>
      </c>
      <c r="CZ672">
        <f t="shared" si="336"/>
        <v>0</v>
      </c>
      <c r="DA672">
        <f t="shared" si="337"/>
        <v>1</v>
      </c>
      <c r="DB672">
        <f t="shared" si="330"/>
        <v>0</v>
      </c>
      <c r="DC672">
        <f t="shared" si="331"/>
        <v>0</v>
      </c>
      <c r="DD672" t="s">
        <v>3</v>
      </c>
      <c r="DE672" t="s">
        <v>3</v>
      </c>
      <c r="DF672">
        <f t="shared" si="338"/>
        <v>0</v>
      </c>
      <c r="DG672">
        <f t="shared" si="332"/>
        <v>0</v>
      </c>
      <c r="DH672">
        <f t="shared" si="333"/>
        <v>0</v>
      </c>
      <c r="DI672">
        <f t="shared" si="325"/>
        <v>0</v>
      </c>
      <c r="DJ672">
        <f t="shared" si="339"/>
        <v>0</v>
      </c>
      <c r="DK672">
        <v>0</v>
      </c>
    </row>
    <row r="673" spans="1:115" x14ac:dyDescent="0.2">
      <c r="A673">
        <f>ROW(Source!A657)</f>
        <v>657</v>
      </c>
      <c r="B673">
        <v>129761636</v>
      </c>
      <c r="C673">
        <v>129763964</v>
      </c>
      <c r="D673">
        <v>37345142</v>
      </c>
      <c r="E673">
        <v>37345137</v>
      </c>
      <c r="F673">
        <v>1</v>
      </c>
      <c r="G673">
        <v>37345137</v>
      </c>
      <c r="H673">
        <v>1</v>
      </c>
      <c r="I673" t="s">
        <v>1096</v>
      </c>
      <c r="J673" t="s">
        <v>3</v>
      </c>
      <c r="K673" t="s">
        <v>1097</v>
      </c>
      <c r="L673">
        <v>1191</v>
      </c>
      <c r="N673">
        <v>1013</v>
      </c>
      <c r="O673" t="s">
        <v>1098</v>
      </c>
      <c r="P673" t="s">
        <v>1098</v>
      </c>
      <c r="Q673">
        <v>1</v>
      </c>
      <c r="W673">
        <v>0</v>
      </c>
      <c r="X673">
        <v>476480486</v>
      </c>
      <c r="Y673">
        <f t="shared" si="329"/>
        <v>2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1</v>
      </c>
      <c r="AJ673">
        <v>1</v>
      </c>
      <c r="AK673">
        <v>1</v>
      </c>
      <c r="AL673">
        <v>1</v>
      </c>
      <c r="AN673">
        <v>0</v>
      </c>
      <c r="AO673">
        <v>1</v>
      </c>
      <c r="AP673">
        <v>0</v>
      </c>
      <c r="AQ673">
        <v>0</v>
      </c>
      <c r="AR673">
        <v>0</v>
      </c>
      <c r="AS673" t="s">
        <v>3</v>
      </c>
      <c r="AT673">
        <v>2</v>
      </c>
      <c r="AU673" t="s">
        <v>3</v>
      </c>
      <c r="AV673">
        <v>1</v>
      </c>
      <c r="AW673">
        <v>2</v>
      </c>
      <c r="AX673">
        <v>129763966</v>
      </c>
      <c r="AY673">
        <v>1</v>
      </c>
      <c r="AZ673">
        <v>0</v>
      </c>
      <c r="BA673">
        <v>665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CX673">
        <f>ROUND(Y673*Source!I657,9)</f>
        <v>4</v>
      </c>
      <c r="CY673">
        <f t="shared" si="335"/>
        <v>0</v>
      </c>
      <c r="CZ673">
        <f t="shared" si="336"/>
        <v>0</v>
      </c>
      <c r="DA673">
        <f t="shared" si="337"/>
        <v>1</v>
      </c>
      <c r="DB673">
        <f t="shared" si="330"/>
        <v>0</v>
      </c>
      <c r="DC673">
        <f t="shared" si="331"/>
        <v>0</v>
      </c>
      <c r="DD673" t="s">
        <v>3</v>
      </c>
      <c r="DE673" t="s">
        <v>3</v>
      </c>
      <c r="DF673">
        <f t="shared" si="338"/>
        <v>0</v>
      </c>
      <c r="DG673">
        <f t="shared" si="332"/>
        <v>0</v>
      </c>
      <c r="DH673">
        <f t="shared" si="333"/>
        <v>0</v>
      </c>
      <c r="DI673">
        <f t="shared" si="325"/>
        <v>0</v>
      </c>
      <c r="DJ673">
        <f t="shared" si="339"/>
        <v>0</v>
      </c>
      <c r="DK673">
        <v>0</v>
      </c>
    </row>
    <row r="674" spans="1:115" x14ac:dyDescent="0.2">
      <c r="A674">
        <f>ROW(Source!A658)</f>
        <v>658</v>
      </c>
      <c r="B674">
        <v>129761633</v>
      </c>
      <c r="C674">
        <v>129763964</v>
      </c>
      <c r="D674">
        <v>37345142</v>
      </c>
      <c r="E674">
        <v>37345137</v>
      </c>
      <c r="F674">
        <v>1</v>
      </c>
      <c r="G674">
        <v>37345137</v>
      </c>
      <c r="H674">
        <v>1</v>
      </c>
      <c r="I674" t="s">
        <v>1096</v>
      </c>
      <c r="J674" t="s">
        <v>3</v>
      </c>
      <c r="K674" t="s">
        <v>1097</v>
      </c>
      <c r="L674">
        <v>1191</v>
      </c>
      <c r="N674">
        <v>1013</v>
      </c>
      <c r="O674" t="s">
        <v>1098</v>
      </c>
      <c r="P674" t="s">
        <v>1098</v>
      </c>
      <c r="Q674">
        <v>1</v>
      </c>
      <c r="W674">
        <v>0</v>
      </c>
      <c r="X674">
        <v>476480486</v>
      </c>
      <c r="Y674">
        <f t="shared" si="329"/>
        <v>2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1</v>
      </c>
      <c r="AJ674">
        <v>1</v>
      </c>
      <c r="AK674">
        <v>1</v>
      </c>
      <c r="AL674">
        <v>1</v>
      </c>
      <c r="AN674">
        <v>0</v>
      </c>
      <c r="AO674">
        <v>1</v>
      </c>
      <c r="AP674">
        <v>0</v>
      </c>
      <c r="AQ674">
        <v>0</v>
      </c>
      <c r="AR674">
        <v>0</v>
      </c>
      <c r="AS674" t="s">
        <v>3</v>
      </c>
      <c r="AT674">
        <v>2</v>
      </c>
      <c r="AU674" t="s">
        <v>3</v>
      </c>
      <c r="AV674">
        <v>1</v>
      </c>
      <c r="AW674">
        <v>2</v>
      </c>
      <c r="AX674">
        <v>129763966</v>
      </c>
      <c r="AY674">
        <v>1</v>
      </c>
      <c r="AZ674">
        <v>0</v>
      </c>
      <c r="BA674">
        <v>666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CX674">
        <f>ROUND(Y674*Source!I658,9)</f>
        <v>4</v>
      </c>
      <c r="CY674">
        <f t="shared" si="335"/>
        <v>0</v>
      </c>
      <c r="CZ674">
        <f t="shared" si="336"/>
        <v>0</v>
      </c>
      <c r="DA674">
        <f t="shared" si="337"/>
        <v>1</v>
      </c>
      <c r="DB674">
        <f t="shared" si="330"/>
        <v>0</v>
      </c>
      <c r="DC674">
        <f t="shared" si="331"/>
        <v>0</v>
      </c>
      <c r="DD674" t="s">
        <v>3</v>
      </c>
      <c r="DE674" t="s">
        <v>3</v>
      </c>
      <c r="DF674">
        <f t="shared" si="338"/>
        <v>0</v>
      </c>
      <c r="DG674">
        <f t="shared" si="332"/>
        <v>0</v>
      </c>
      <c r="DH674">
        <f t="shared" si="333"/>
        <v>0</v>
      </c>
      <c r="DI674">
        <f t="shared" si="325"/>
        <v>0</v>
      </c>
      <c r="DJ674">
        <f t="shared" si="339"/>
        <v>0</v>
      </c>
      <c r="DK674">
        <v>0</v>
      </c>
    </row>
    <row r="675" spans="1:115" x14ac:dyDescent="0.2">
      <c r="A675">
        <f>ROW(Source!A659)</f>
        <v>659</v>
      </c>
      <c r="B675">
        <v>129761636</v>
      </c>
      <c r="C675">
        <v>129763967</v>
      </c>
      <c r="D675">
        <v>37345142</v>
      </c>
      <c r="E675">
        <v>37345137</v>
      </c>
      <c r="F675">
        <v>1</v>
      </c>
      <c r="G675">
        <v>37345137</v>
      </c>
      <c r="H675">
        <v>1</v>
      </c>
      <c r="I675" t="s">
        <v>1096</v>
      </c>
      <c r="J675" t="s">
        <v>3</v>
      </c>
      <c r="K675" t="s">
        <v>1097</v>
      </c>
      <c r="L675">
        <v>1191</v>
      </c>
      <c r="N675">
        <v>1013</v>
      </c>
      <c r="O675" t="s">
        <v>1098</v>
      </c>
      <c r="P675" t="s">
        <v>1098</v>
      </c>
      <c r="Q675">
        <v>1</v>
      </c>
      <c r="W675">
        <v>0</v>
      </c>
      <c r="X675">
        <v>476480486</v>
      </c>
      <c r="Y675">
        <f>(AT675*1.15)</f>
        <v>0.10349999999999999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1</v>
      </c>
      <c r="AJ675">
        <v>1</v>
      </c>
      <c r="AK675">
        <v>1</v>
      </c>
      <c r="AL675">
        <v>1</v>
      </c>
      <c r="AN675">
        <v>0</v>
      </c>
      <c r="AO675">
        <v>1</v>
      </c>
      <c r="AP675">
        <v>1</v>
      </c>
      <c r="AQ675">
        <v>0</v>
      </c>
      <c r="AR675">
        <v>0</v>
      </c>
      <c r="AS675" t="s">
        <v>3</v>
      </c>
      <c r="AT675">
        <v>0.09</v>
      </c>
      <c r="AU675" t="s">
        <v>87</v>
      </c>
      <c r="AV675">
        <v>1</v>
      </c>
      <c r="AW675">
        <v>2</v>
      </c>
      <c r="AX675">
        <v>129763972</v>
      </c>
      <c r="AY675">
        <v>1</v>
      </c>
      <c r="AZ675">
        <v>0</v>
      </c>
      <c r="BA675">
        <v>667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CX675">
        <f>ROUND(Y675*Source!I659,9)</f>
        <v>0.20699999999999999</v>
      </c>
      <c r="CY675">
        <f t="shared" si="335"/>
        <v>0</v>
      </c>
      <c r="CZ675">
        <f t="shared" si="336"/>
        <v>0</v>
      </c>
      <c r="DA675">
        <f t="shared" si="337"/>
        <v>1</v>
      </c>
      <c r="DB675">
        <f>ROUND((ROUND(AT675*CZ675,2)*1.15),6)</f>
        <v>0</v>
      </c>
      <c r="DC675">
        <f>ROUND((ROUND(AT675*AG675,2)*1.15),6)</f>
        <v>0</v>
      </c>
      <c r="DD675" t="s">
        <v>3</v>
      </c>
      <c r="DE675" t="s">
        <v>3</v>
      </c>
      <c r="DF675">
        <f t="shared" si="338"/>
        <v>0</v>
      </c>
      <c r="DG675">
        <f t="shared" si="332"/>
        <v>0</v>
      </c>
      <c r="DH675">
        <f t="shared" si="333"/>
        <v>0</v>
      </c>
      <c r="DI675">
        <f t="shared" si="325"/>
        <v>0</v>
      </c>
      <c r="DJ675">
        <f t="shared" si="339"/>
        <v>0</v>
      </c>
      <c r="DK675">
        <v>0</v>
      </c>
    </row>
    <row r="676" spans="1:115" x14ac:dyDescent="0.2">
      <c r="A676">
        <f>ROW(Source!A659)</f>
        <v>659</v>
      </c>
      <c r="B676">
        <v>129761636</v>
      </c>
      <c r="C676">
        <v>129763967</v>
      </c>
      <c r="D676">
        <v>37394909</v>
      </c>
      <c r="E676">
        <v>1</v>
      </c>
      <c r="F676">
        <v>1</v>
      </c>
      <c r="G676">
        <v>37345137</v>
      </c>
      <c r="H676">
        <v>3</v>
      </c>
      <c r="I676" t="s">
        <v>1344</v>
      </c>
      <c r="J676" t="s">
        <v>1345</v>
      </c>
      <c r="K676" t="s">
        <v>1346</v>
      </c>
      <c r="L676">
        <v>1348</v>
      </c>
      <c r="N676">
        <v>1009</v>
      </c>
      <c r="O676" t="s">
        <v>114</v>
      </c>
      <c r="P676" t="s">
        <v>114</v>
      </c>
      <c r="Q676">
        <v>1000</v>
      </c>
      <c r="W676">
        <v>0</v>
      </c>
      <c r="X676">
        <v>1398464837</v>
      </c>
      <c r="Y676">
        <f>AT676</f>
        <v>1.0000000000000001E-5</v>
      </c>
      <c r="AA676">
        <v>16744.32</v>
      </c>
      <c r="AB676">
        <v>0</v>
      </c>
      <c r="AC676">
        <v>0</v>
      </c>
      <c r="AD676">
        <v>0</v>
      </c>
      <c r="AE676">
        <v>16744.32</v>
      </c>
      <c r="AF676">
        <v>0</v>
      </c>
      <c r="AG676">
        <v>0</v>
      </c>
      <c r="AH676">
        <v>0</v>
      </c>
      <c r="AI676">
        <v>1</v>
      </c>
      <c r="AJ676">
        <v>1</v>
      </c>
      <c r="AK676">
        <v>1</v>
      </c>
      <c r="AL676">
        <v>1</v>
      </c>
      <c r="AN676">
        <v>0</v>
      </c>
      <c r="AO676">
        <v>1</v>
      </c>
      <c r="AP676">
        <v>0</v>
      </c>
      <c r="AQ676">
        <v>0</v>
      </c>
      <c r="AR676">
        <v>0</v>
      </c>
      <c r="AS676" t="s">
        <v>3</v>
      </c>
      <c r="AT676">
        <v>1.0000000000000001E-5</v>
      </c>
      <c r="AU676" t="s">
        <v>3</v>
      </c>
      <c r="AV676">
        <v>0</v>
      </c>
      <c r="AW676">
        <v>2</v>
      </c>
      <c r="AX676">
        <v>129763973</v>
      </c>
      <c r="AY676">
        <v>1</v>
      </c>
      <c r="AZ676">
        <v>0</v>
      </c>
      <c r="BA676">
        <v>668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CX676">
        <f>ROUND(Y676*Source!I659,9)</f>
        <v>2.0000000000000002E-5</v>
      </c>
      <c r="CY676">
        <f>AA676</f>
        <v>16744.32</v>
      </c>
      <c r="CZ676">
        <f>AE676</f>
        <v>16744.32</v>
      </c>
      <c r="DA676">
        <f>AI676</f>
        <v>1</v>
      </c>
      <c r="DB676">
        <f>ROUND(ROUND(AT676*CZ676,2),6)</f>
        <v>0.17</v>
      </c>
      <c r="DC676">
        <f>ROUND(ROUND(AT676*AG676,2),6)</f>
        <v>0</v>
      </c>
      <c r="DD676" t="s">
        <v>3</v>
      </c>
      <c r="DE676" t="s">
        <v>3</v>
      </c>
      <c r="DF676">
        <f t="shared" si="338"/>
        <v>0.33</v>
      </c>
      <c r="DG676">
        <f t="shared" si="332"/>
        <v>0</v>
      </c>
      <c r="DH676">
        <f t="shared" si="333"/>
        <v>0</v>
      </c>
      <c r="DI676">
        <f t="shared" si="325"/>
        <v>0</v>
      </c>
      <c r="DJ676">
        <f>DF676</f>
        <v>0.33</v>
      </c>
      <c r="DK676">
        <v>0</v>
      </c>
    </row>
    <row r="677" spans="1:115" x14ac:dyDescent="0.2">
      <c r="A677">
        <f>ROW(Source!A659)</f>
        <v>659</v>
      </c>
      <c r="B677">
        <v>129761636</v>
      </c>
      <c r="C677">
        <v>129763967</v>
      </c>
      <c r="D677">
        <v>37395787</v>
      </c>
      <c r="E677">
        <v>1</v>
      </c>
      <c r="F677">
        <v>1</v>
      </c>
      <c r="G677">
        <v>37345137</v>
      </c>
      <c r="H677">
        <v>3</v>
      </c>
      <c r="I677" t="s">
        <v>648</v>
      </c>
      <c r="J677" t="s">
        <v>650</v>
      </c>
      <c r="K677" t="s">
        <v>649</v>
      </c>
      <c r="L677">
        <v>1354</v>
      </c>
      <c r="N677">
        <v>1010</v>
      </c>
      <c r="O677" t="s">
        <v>250</v>
      </c>
      <c r="P677" t="s">
        <v>250</v>
      </c>
      <c r="Q677">
        <v>1</v>
      </c>
      <c r="W677">
        <v>0</v>
      </c>
      <c r="X677">
        <v>1588752738</v>
      </c>
      <c r="Y677">
        <f>AT677</f>
        <v>1</v>
      </c>
      <c r="AA677">
        <v>15.36</v>
      </c>
      <c r="AB677">
        <v>0</v>
      </c>
      <c r="AC677">
        <v>0</v>
      </c>
      <c r="AD677">
        <v>0</v>
      </c>
      <c r="AE677">
        <v>15.36</v>
      </c>
      <c r="AF677">
        <v>0</v>
      </c>
      <c r="AG677">
        <v>0</v>
      </c>
      <c r="AH677">
        <v>0</v>
      </c>
      <c r="AI677">
        <v>1</v>
      </c>
      <c r="AJ677">
        <v>1</v>
      </c>
      <c r="AK677">
        <v>1</v>
      </c>
      <c r="AL677">
        <v>1</v>
      </c>
      <c r="AN677">
        <v>0</v>
      </c>
      <c r="AO677">
        <v>0</v>
      </c>
      <c r="AP677">
        <v>0</v>
      </c>
      <c r="AQ677">
        <v>0</v>
      </c>
      <c r="AR677">
        <v>0</v>
      </c>
      <c r="AS677" t="s">
        <v>3</v>
      </c>
      <c r="AT677">
        <v>1</v>
      </c>
      <c r="AU677" t="s">
        <v>3</v>
      </c>
      <c r="AV677">
        <v>0</v>
      </c>
      <c r="AW677">
        <v>1</v>
      </c>
      <c r="AX677">
        <v>-1</v>
      </c>
      <c r="AY677">
        <v>0</v>
      </c>
      <c r="AZ677">
        <v>0</v>
      </c>
      <c r="BA677" t="s">
        <v>3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CX677">
        <f>ROUND(Y677*Source!I659,9)</f>
        <v>2</v>
      </c>
      <c r="CY677">
        <f>AA677</f>
        <v>15.36</v>
      </c>
      <c r="CZ677">
        <f>AE677</f>
        <v>15.36</v>
      </c>
      <c r="DA677">
        <f>AI677</f>
        <v>1</v>
      </c>
      <c r="DB677">
        <f>ROUND(ROUND(AT677*CZ677,2),6)</f>
        <v>15.36</v>
      </c>
      <c r="DC677">
        <f>ROUND(ROUND(AT677*AG677,2),6)</f>
        <v>0</v>
      </c>
      <c r="DD677" t="s">
        <v>3</v>
      </c>
      <c r="DE677" t="s">
        <v>3</v>
      </c>
      <c r="DF677">
        <f t="shared" si="338"/>
        <v>30.72</v>
      </c>
      <c r="DG677">
        <f t="shared" si="332"/>
        <v>0</v>
      </c>
      <c r="DH677">
        <f t="shared" si="333"/>
        <v>0</v>
      </c>
      <c r="DI677">
        <f t="shared" si="325"/>
        <v>0</v>
      </c>
      <c r="DJ677">
        <f>DF677</f>
        <v>30.72</v>
      </c>
      <c r="DK677">
        <v>0</v>
      </c>
    </row>
    <row r="678" spans="1:115" x14ac:dyDescent="0.2">
      <c r="A678">
        <f>ROW(Source!A659)</f>
        <v>659</v>
      </c>
      <c r="B678">
        <v>129761636</v>
      </c>
      <c r="C678">
        <v>129763967</v>
      </c>
      <c r="D678">
        <v>0</v>
      </c>
      <c r="E678">
        <v>1</v>
      </c>
      <c r="F678">
        <v>1</v>
      </c>
      <c r="G678">
        <v>37345137</v>
      </c>
      <c r="H678">
        <v>3</v>
      </c>
      <c r="I678" t="s">
        <v>248</v>
      </c>
      <c r="J678" t="s">
        <v>3</v>
      </c>
      <c r="K678" t="s">
        <v>651</v>
      </c>
      <c r="L678">
        <v>1354</v>
      </c>
      <c r="N678">
        <v>1010</v>
      </c>
      <c r="O678" t="s">
        <v>250</v>
      </c>
      <c r="P678" t="s">
        <v>250</v>
      </c>
      <c r="Q678">
        <v>1</v>
      </c>
      <c r="W678">
        <v>0</v>
      </c>
      <c r="X678">
        <v>718993463</v>
      </c>
      <c r="Y678">
        <f>AT678</f>
        <v>1</v>
      </c>
      <c r="AA678">
        <v>60.25</v>
      </c>
      <c r="AB678">
        <v>0</v>
      </c>
      <c r="AC678">
        <v>0</v>
      </c>
      <c r="AD678">
        <v>0</v>
      </c>
      <c r="AE678">
        <v>60.25</v>
      </c>
      <c r="AF678">
        <v>0</v>
      </c>
      <c r="AG678">
        <v>0</v>
      </c>
      <c r="AH678">
        <v>0</v>
      </c>
      <c r="AI678">
        <v>1</v>
      </c>
      <c r="AJ678">
        <v>1</v>
      </c>
      <c r="AK678">
        <v>1</v>
      </c>
      <c r="AL678">
        <v>1</v>
      </c>
      <c r="AN678">
        <v>0</v>
      </c>
      <c r="AO678">
        <v>0</v>
      </c>
      <c r="AP678">
        <v>0</v>
      </c>
      <c r="AQ678">
        <v>0</v>
      </c>
      <c r="AR678">
        <v>0</v>
      </c>
      <c r="AS678" t="s">
        <v>3</v>
      </c>
      <c r="AT678">
        <v>1</v>
      </c>
      <c r="AU678" t="s">
        <v>3</v>
      </c>
      <c r="AV678">
        <v>0</v>
      </c>
      <c r="AW678">
        <v>1</v>
      </c>
      <c r="AX678">
        <v>-1</v>
      </c>
      <c r="AY678">
        <v>0</v>
      </c>
      <c r="AZ678">
        <v>0</v>
      </c>
      <c r="BA678" t="s">
        <v>3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CX678">
        <f>ROUND(Y678*Source!I659,9)</f>
        <v>2</v>
      </c>
      <c r="CY678">
        <f>AA678</f>
        <v>60.25</v>
      </c>
      <c r="CZ678">
        <f>AE678</f>
        <v>60.25</v>
      </c>
      <c r="DA678">
        <f>AI678</f>
        <v>1</v>
      </c>
      <c r="DB678">
        <f>ROUND(ROUND(AT678*CZ678,2),6)</f>
        <v>60.25</v>
      </c>
      <c r="DC678">
        <f>ROUND(ROUND(AT678*AG678,2),6)</f>
        <v>0</v>
      </c>
      <c r="DD678" t="s">
        <v>3</v>
      </c>
      <c r="DE678" t="s">
        <v>3</v>
      </c>
      <c r="DF678">
        <f t="shared" si="338"/>
        <v>120.5</v>
      </c>
      <c r="DG678">
        <f t="shared" si="332"/>
        <v>0</v>
      </c>
      <c r="DH678">
        <f t="shared" si="333"/>
        <v>0</v>
      </c>
      <c r="DI678">
        <f t="shared" si="325"/>
        <v>0</v>
      </c>
      <c r="DJ678">
        <f>DF678</f>
        <v>120.5</v>
      </c>
      <c r="DK678">
        <v>0</v>
      </c>
    </row>
    <row r="679" spans="1:115" x14ac:dyDescent="0.2">
      <c r="A679">
        <f>ROW(Source!A660)</f>
        <v>660</v>
      </c>
      <c r="B679">
        <v>129761633</v>
      </c>
      <c r="C679">
        <v>129763967</v>
      </c>
      <c r="D679">
        <v>37345142</v>
      </c>
      <c r="E679">
        <v>37345137</v>
      </c>
      <c r="F679">
        <v>1</v>
      </c>
      <c r="G679">
        <v>37345137</v>
      </c>
      <c r="H679">
        <v>1</v>
      </c>
      <c r="I679" t="s">
        <v>1096</v>
      </c>
      <c r="J679" t="s">
        <v>3</v>
      </c>
      <c r="K679" t="s">
        <v>1097</v>
      </c>
      <c r="L679">
        <v>1191</v>
      </c>
      <c r="N679">
        <v>1013</v>
      </c>
      <c r="O679" t="s">
        <v>1098</v>
      </c>
      <c r="P679" t="s">
        <v>1098</v>
      </c>
      <c r="Q679">
        <v>1</v>
      </c>
      <c r="W679">
        <v>0</v>
      </c>
      <c r="X679">
        <v>476480486</v>
      </c>
      <c r="Y679">
        <f>(AT679*1.15)</f>
        <v>0.10349999999999999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1</v>
      </c>
      <c r="AJ679">
        <v>1</v>
      </c>
      <c r="AK679">
        <v>1</v>
      </c>
      <c r="AL679">
        <v>1</v>
      </c>
      <c r="AN679">
        <v>0</v>
      </c>
      <c r="AO679">
        <v>1</v>
      </c>
      <c r="AP679">
        <v>1</v>
      </c>
      <c r="AQ679">
        <v>0</v>
      </c>
      <c r="AR679">
        <v>0</v>
      </c>
      <c r="AS679" t="s">
        <v>3</v>
      </c>
      <c r="AT679">
        <v>0.09</v>
      </c>
      <c r="AU679" t="s">
        <v>87</v>
      </c>
      <c r="AV679">
        <v>1</v>
      </c>
      <c r="AW679">
        <v>2</v>
      </c>
      <c r="AX679">
        <v>129763972</v>
      </c>
      <c r="AY679">
        <v>1</v>
      </c>
      <c r="AZ679">
        <v>0</v>
      </c>
      <c r="BA679">
        <v>670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CX679">
        <f>ROUND(Y679*Source!I660,9)</f>
        <v>0.20699999999999999</v>
      </c>
      <c r="CY679">
        <f>AD679</f>
        <v>0</v>
      </c>
      <c r="CZ679">
        <f>AH679</f>
        <v>0</v>
      </c>
      <c r="DA679">
        <f>AL679</f>
        <v>1</v>
      </c>
      <c r="DB679">
        <f>ROUND((ROUND(AT679*CZ679,2)*1.15),6)</f>
        <v>0</v>
      </c>
      <c r="DC679">
        <f>ROUND((ROUND(AT679*AG679,2)*1.15),6)</f>
        <v>0</v>
      </c>
      <c r="DD679" t="s">
        <v>3</v>
      </c>
      <c r="DE679" t="s">
        <v>3</v>
      </c>
      <c r="DF679">
        <f t="shared" si="338"/>
        <v>0</v>
      </c>
      <c r="DG679">
        <f t="shared" si="332"/>
        <v>0</v>
      </c>
      <c r="DH679">
        <f t="shared" si="333"/>
        <v>0</v>
      </c>
      <c r="DI679">
        <f t="shared" si="325"/>
        <v>0</v>
      </c>
      <c r="DJ679">
        <f>DI679</f>
        <v>0</v>
      </c>
      <c r="DK679">
        <v>0</v>
      </c>
    </row>
    <row r="680" spans="1:115" x14ac:dyDescent="0.2">
      <c r="A680">
        <f>ROW(Source!A660)</f>
        <v>660</v>
      </c>
      <c r="B680">
        <v>129761633</v>
      </c>
      <c r="C680">
        <v>129763967</v>
      </c>
      <c r="D680">
        <v>37394909</v>
      </c>
      <c r="E680">
        <v>1</v>
      </c>
      <c r="F680">
        <v>1</v>
      </c>
      <c r="G680">
        <v>37345137</v>
      </c>
      <c r="H680">
        <v>3</v>
      </c>
      <c r="I680" t="s">
        <v>1344</v>
      </c>
      <c r="J680" t="s">
        <v>1345</v>
      </c>
      <c r="K680" t="s">
        <v>1346</v>
      </c>
      <c r="L680">
        <v>1348</v>
      </c>
      <c r="N680">
        <v>1009</v>
      </c>
      <c r="O680" t="s">
        <v>114</v>
      </c>
      <c r="P680" t="s">
        <v>114</v>
      </c>
      <c r="Q680">
        <v>1000</v>
      </c>
      <c r="W680">
        <v>0</v>
      </c>
      <c r="X680">
        <v>1398464837</v>
      </c>
      <c r="Y680">
        <f t="shared" ref="Y680:Y686" si="340">AT680</f>
        <v>1.0000000000000001E-5</v>
      </c>
      <c r="AA680">
        <v>199927.18</v>
      </c>
      <c r="AB680">
        <v>0</v>
      </c>
      <c r="AC680">
        <v>0</v>
      </c>
      <c r="AD680">
        <v>0</v>
      </c>
      <c r="AE680">
        <v>16744.32</v>
      </c>
      <c r="AF680">
        <v>0</v>
      </c>
      <c r="AG680">
        <v>0</v>
      </c>
      <c r="AH680">
        <v>0</v>
      </c>
      <c r="AI680">
        <v>11.94</v>
      </c>
      <c r="AJ680">
        <v>1</v>
      </c>
      <c r="AK680">
        <v>1</v>
      </c>
      <c r="AL680">
        <v>1</v>
      </c>
      <c r="AN680">
        <v>0</v>
      </c>
      <c r="AO680">
        <v>1</v>
      </c>
      <c r="AP680">
        <v>0</v>
      </c>
      <c r="AQ680">
        <v>0</v>
      </c>
      <c r="AR680">
        <v>0</v>
      </c>
      <c r="AS680" t="s">
        <v>3</v>
      </c>
      <c r="AT680">
        <v>1.0000000000000001E-5</v>
      </c>
      <c r="AU680" t="s">
        <v>3</v>
      </c>
      <c r="AV680">
        <v>0</v>
      </c>
      <c r="AW680">
        <v>2</v>
      </c>
      <c r="AX680">
        <v>129763973</v>
      </c>
      <c r="AY680">
        <v>1</v>
      </c>
      <c r="AZ680">
        <v>0</v>
      </c>
      <c r="BA680">
        <v>671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CX680">
        <f>ROUND(Y680*Source!I660,9)</f>
        <v>2.0000000000000002E-5</v>
      </c>
      <c r="CY680">
        <f>AA680</f>
        <v>199927.18</v>
      </c>
      <c r="CZ680">
        <f>AE680</f>
        <v>16744.32</v>
      </c>
      <c r="DA680">
        <f>AI680</f>
        <v>11.94</v>
      </c>
      <c r="DB680">
        <f t="shared" ref="DB680:DB686" si="341">ROUND(ROUND(AT680*CZ680,2),6)</f>
        <v>0.17</v>
      </c>
      <c r="DC680">
        <f t="shared" ref="DC680:DC686" si="342">ROUND(ROUND(AT680*AG680,2),6)</f>
        <v>0</v>
      </c>
      <c r="DD680" t="s">
        <v>3</v>
      </c>
      <c r="DE680" t="s">
        <v>3</v>
      </c>
      <c r="DF680">
        <f>ROUND(ROUND(AE680*CX680,2)*AI680,2)</f>
        <v>3.94</v>
      </c>
      <c r="DG680">
        <f t="shared" si="332"/>
        <v>0</v>
      </c>
      <c r="DH680">
        <f t="shared" si="333"/>
        <v>0</v>
      </c>
      <c r="DI680">
        <f t="shared" si="325"/>
        <v>0</v>
      </c>
      <c r="DJ680">
        <f>DF680</f>
        <v>3.94</v>
      </c>
      <c r="DK680">
        <v>0</v>
      </c>
    </row>
    <row r="681" spans="1:115" x14ac:dyDescent="0.2">
      <c r="A681">
        <f>ROW(Source!A660)</f>
        <v>660</v>
      </c>
      <c r="B681">
        <v>129761633</v>
      </c>
      <c r="C681">
        <v>129763967</v>
      </c>
      <c r="D681">
        <v>37395787</v>
      </c>
      <c r="E681">
        <v>1</v>
      </c>
      <c r="F681">
        <v>1</v>
      </c>
      <c r="G681">
        <v>37345137</v>
      </c>
      <c r="H681">
        <v>3</v>
      </c>
      <c r="I681" t="s">
        <v>648</v>
      </c>
      <c r="J681" t="s">
        <v>650</v>
      </c>
      <c r="K681" t="s">
        <v>649</v>
      </c>
      <c r="L681">
        <v>1354</v>
      </c>
      <c r="N681">
        <v>1010</v>
      </c>
      <c r="O681" t="s">
        <v>250</v>
      </c>
      <c r="P681" t="s">
        <v>250</v>
      </c>
      <c r="Q681">
        <v>1</v>
      </c>
      <c r="W681">
        <v>0</v>
      </c>
      <c r="X681">
        <v>1588752738</v>
      </c>
      <c r="Y681">
        <f t="shared" si="340"/>
        <v>1</v>
      </c>
      <c r="AA681">
        <v>60.52</v>
      </c>
      <c r="AB681">
        <v>0</v>
      </c>
      <c r="AC681">
        <v>0</v>
      </c>
      <c r="AD681">
        <v>0</v>
      </c>
      <c r="AE681">
        <v>15.36</v>
      </c>
      <c r="AF681">
        <v>0</v>
      </c>
      <c r="AG681">
        <v>0</v>
      </c>
      <c r="AH681">
        <v>0</v>
      </c>
      <c r="AI681">
        <v>3.94</v>
      </c>
      <c r="AJ681">
        <v>1</v>
      </c>
      <c r="AK681">
        <v>1</v>
      </c>
      <c r="AL681">
        <v>1</v>
      </c>
      <c r="AN681">
        <v>0</v>
      </c>
      <c r="AO681">
        <v>0</v>
      </c>
      <c r="AP681">
        <v>0</v>
      </c>
      <c r="AQ681">
        <v>0</v>
      </c>
      <c r="AR681">
        <v>0</v>
      </c>
      <c r="AS681" t="s">
        <v>3</v>
      </c>
      <c r="AT681">
        <v>1</v>
      </c>
      <c r="AU681" t="s">
        <v>3</v>
      </c>
      <c r="AV681">
        <v>0</v>
      </c>
      <c r="AW681">
        <v>1</v>
      </c>
      <c r="AX681">
        <v>-1</v>
      </c>
      <c r="AY681">
        <v>0</v>
      </c>
      <c r="AZ681">
        <v>0</v>
      </c>
      <c r="BA681" t="s">
        <v>3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CX681">
        <f>ROUND(Y681*Source!I660,9)</f>
        <v>2</v>
      </c>
      <c r="CY681">
        <f>AA681</f>
        <v>60.52</v>
      </c>
      <c r="CZ681">
        <f>AE681</f>
        <v>15.36</v>
      </c>
      <c r="DA681">
        <f>AI681</f>
        <v>3.94</v>
      </c>
      <c r="DB681">
        <f t="shared" si="341"/>
        <v>15.36</v>
      </c>
      <c r="DC681">
        <f t="shared" si="342"/>
        <v>0</v>
      </c>
      <c r="DD681" t="s">
        <v>3</v>
      </c>
      <c r="DE681" t="s">
        <v>3</v>
      </c>
      <c r="DF681">
        <f>ROUND(ROUND(AE681*CX681,2)*AI681,2)</f>
        <v>121.04</v>
      </c>
      <c r="DG681">
        <f t="shared" si="332"/>
        <v>0</v>
      </c>
      <c r="DH681">
        <f t="shared" si="333"/>
        <v>0</v>
      </c>
      <c r="DI681">
        <f t="shared" si="325"/>
        <v>0</v>
      </c>
      <c r="DJ681">
        <f>DF681</f>
        <v>121.04</v>
      </c>
      <c r="DK681">
        <v>0</v>
      </c>
    </row>
    <row r="682" spans="1:115" x14ac:dyDescent="0.2">
      <c r="A682">
        <f>ROW(Source!A660)</f>
        <v>660</v>
      </c>
      <c r="B682">
        <v>129761633</v>
      </c>
      <c r="C682">
        <v>129763967</v>
      </c>
      <c r="D682">
        <v>0</v>
      </c>
      <c r="E682">
        <v>1</v>
      </c>
      <c r="F682">
        <v>1</v>
      </c>
      <c r="G682">
        <v>37345137</v>
      </c>
      <c r="H682">
        <v>3</v>
      </c>
      <c r="I682" t="s">
        <v>248</v>
      </c>
      <c r="J682" t="s">
        <v>3</v>
      </c>
      <c r="K682" t="s">
        <v>651</v>
      </c>
      <c r="L682">
        <v>1354</v>
      </c>
      <c r="N682">
        <v>1010</v>
      </c>
      <c r="O682" t="s">
        <v>250</v>
      </c>
      <c r="P682" t="s">
        <v>250</v>
      </c>
      <c r="Q682">
        <v>1</v>
      </c>
      <c r="W682">
        <v>0</v>
      </c>
      <c r="X682">
        <v>718993463</v>
      </c>
      <c r="Y682">
        <f t="shared" si="340"/>
        <v>1</v>
      </c>
      <c r="AA682">
        <v>586.47</v>
      </c>
      <c r="AB682">
        <v>0</v>
      </c>
      <c r="AC682">
        <v>0</v>
      </c>
      <c r="AD682">
        <v>0</v>
      </c>
      <c r="AE682">
        <v>67.8</v>
      </c>
      <c r="AF682">
        <v>0</v>
      </c>
      <c r="AG682">
        <v>0</v>
      </c>
      <c r="AH682">
        <v>0</v>
      </c>
      <c r="AI682">
        <v>8.65</v>
      </c>
      <c r="AJ682">
        <v>1</v>
      </c>
      <c r="AK682">
        <v>1</v>
      </c>
      <c r="AL682">
        <v>1</v>
      </c>
      <c r="AN682">
        <v>0</v>
      </c>
      <c r="AO682">
        <v>0</v>
      </c>
      <c r="AP682">
        <v>0</v>
      </c>
      <c r="AQ682">
        <v>0</v>
      </c>
      <c r="AR682">
        <v>0</v>
      </c>
      <c r="AS682" t="s">
        <v>3</v>
      </c>
      <c r="AT682">
        <v>1</v>
      </c>
      <c r="AU682" t="s">
        <v>3</v>
      </c>
      <c r="AV682">
        <v>0</v>
      </c>
      <c r="AW682">
        <v>1</v>
      </c>
      <c r="AX682">
        <v>-1</v>
      </c>
      <c r="AY682">
        <v>0</v>
      </c>
      <c r="AZ682">
        <v>0</v>
      </c>
      <c r="BA682" t="s">
        <v>3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CX682">
        <f>ROUND(Y682*Source!I660,9)</f>
        <v>2</v>
      </c>
      <c r="CY682">
        <f>AA682</f>
        <v>586.47</v>
      </c>
      <c r="CZ682">
        <f>AE682</f>
        <v>67.8</v>
      </c>
      <c r="DA682">
        <f>AI682</f>
        <v>8.65</v>
      </c>
      <c r="DB682">
        <f t="shared" si="341"/>
        <v>67.8</v>
      </c>
      <c r="DC682">
        <f t="shared" si="342"/>
        <v>0</v>
      </c>
      <c r="DD682" t="s">
        <v>3</v>
      </c>
      <c r="DE682" t="s">
        <v>3</v>
      </c>
      <c r="DF682">
        <f>ROUND(ROUND(AE682*CX682,2)*AI682,2)</f>
        <v>1172.94</v>
      </c>
      <c r="DG682">
        <f t="shared" si="332"/>
        <v>0</v>
      </c>
      <c r="DH682">
        <f t="shared" si="333"/>
        <v>0</v>
      </c>
      <c r="DI682">
        <f t="shared" si="325"/>
        <v>0</v>
      </c>
      <c r="DJ682">
        <f>DF682</f>
        <v>1172.94</v>
      </c>
      <c r="DK682">
        <v>0</v>
      </c>
    </row>
    <row r="683" spans="1:115" x14ac:dyDescent="0.2">
      <c r="A683">
        <f>ROW(Source!A665)</f>
        <v>665</v>
      </c>
      <c r="B683">
        <v>129761636</v>
      </c>
      <c r="C683">
        <v>129763977</v>
      </c>
      <c r="D683">
        <v>37345142</v>
      </c>
      <c r="E683">
        <v>37345137</v>
      </c>
      <c r="F683">
        <v>1</v>
      </c>
      <c r="G683">
        <v>37345137</v>
      </c>
      <c r="H683">
        <v>1</v>
      </c>
      <c r="I683" t="s">
        <v>1096</v>
      </c>
      <c r="J683" t="s">
        <v>3</v>
      </c>
      <c r="K683" t="s">
        <v>1097</v>
      </c>
      <c r="L683">
        <v>1191</v>
      </c>
      <c r="N683">
        <v>1013</v>
      </c>
      <c r="O683" t="s">
        <v>1098</v>
      </c>
      <c r="P683" t="s">
        <v>1098</v>
      </c>
      <c r="Q683">
        <v>1</v>
      </c>
      <c r="W683">
        <v>0</v>
      </c>
      <c r="X683">
        <v>476480486</v>
      </c>
      <c r="Y683">
        <f t="shared" si="340"/>
        <v>84.67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1</v>
      </c>
      <c r="AJ683">
        <v>1</v>
      </c>
      <c r="AK683">
        <v>1</v>
      </c>
      <c r="AL683">
        <v>1</v>
      </c>
      <c r="AN683">
        <v>0</v>
      </c>
      <c r="AO683">
        <v>1</v>
      </c>
      <c r="AP683">
        <v>0</v>
      </c>
      <c r="AQ683">
        <v>0</v>
      </c>
      <c r="AR683">
        <v>0</v>
      </c>
      <c r="AS683" t="s">
        <v>3</v>
      </c>
      <c r="AT683">
        <v>84.67</v>
      </c>
      <c r="AU683" t="s">
        <v>3</v>
      </c>
      <c r="AV683">
        <v>1</v>
      </c>
      <c r="AW683">
        <v>2</v>
      </c>
      <c r="AX683">
        <v>129763979</v>
      </c>
      <c r="AY683">
        <v>1</v>
      </c>
      <c r="AZ683">
        <v>0</v>
      </c>
      <c r="BA683">
        <v>673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CX683">
        <f>ROUND(Y683*Source!I665,9)</f>
        <v>0.84670000000000001</v>
      </c>
      <c r="CY683">
        <f>AD683</f>
        <v>0</v>
      </c>
      <c r="CZ683">
        <f>AH683</f>
        <v>0</v>
      </c>
      <c r="DA683">
        <f>AL683</f>
        <v>1</v>
      </c>
      <c r="DB683">
        <f t="shared" si="341"/>
        <v>0</v>
      </c>
      <c r="DC683">
        <f t="shared" si="342"/>
        <v>0</v>
      </c>
      <c r="DD683" t="s">
        <v>3</v>
      </c>
      <c r="DE683" t="s">
        <v>3</v>
      </c>
      <c r="DF683">
        <f t="shared" ref="DF683:DF690" si="343">ROUND(AE683*CX683,2)</f>
        <v>0</v>
      </c>
      <c r="DG683">
        <f t="shared" si="332"/>
        <v>0</v>
      </c>
      <c r="DH683">
        <f t="shared" si="333"/>
        <v>0</v>
      </c>
      <c r="DI683">
        <f t="shared" si="325"/>
        <v>0</v>
      </c>
      <c r="DJ683">
        <f>DI683</f>
        <v>0</v>
      </c>
      <c r="DK683">
        <v>0</v>
      </c>
    </row>
    <row r="684" spans="1:115" x14ac:dyDescent="0.2">
      <c r="A684">
        <f>ROW(Source!A666)</f>
        <v>666</v>
      </c>
      <c r="B684">
        <v>129761633</v>
      </c>
      <c r="C684">
        <v>129763977</v>
      </c>
      <c r="D684">
        <v>37345142</v>
      </c>
      <c r="E684">
        <v>37345137</v>
      </c>
      <c r="F684">
        <v>1</v>
      </c>
      <c r="G684">
        <v>37345137</v>
      </c>
      <c r="H684">
        <v>1</v>
      </c>
      <c r="I684" t="s">
        <v>1096</v>
      </c>
      <c r="J684" t="s">
        <v>3</v>
      </c>
      <c r="K684" t="s">
        <v>1097</v>
      </c>
      <c r="L684">
        <v>1191</v>
      </c>
      <c r="N684">
        <v>1013</v>
      </c>
      <c r="O684" t="s">
        <v>1098</v>
      </c>
      <c r="P684" t="s">
        <v>1098</v>
      </c>
      <c r="Q684">
        <v>1</v>
      </c>
      <c r="W684">
        <v>0</v>
      </c>
      <c r="X684">
        <v>476480486</v>
      </c>
      <c r="Y684">
        <f t="shared" si="340"/>
        <v>84.67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1</v>
      </c>
      <c r="AJ684">
        <v>1</v>
      </c>
      <c r="AK684">
        <v>1</v>
      </c>
      <c r="AL684">
        <v>1</v>
      </c>
      <c r="AN684">
        <v>0</v>
      </c>
      <c r="AO684">
        <v>1</v>
      </c>
      <c r="AP684">
        <v>0</v>
      </c>
      <c r="AQ684">
        <v>0</v>
      </c>
      <c r="AR684">
        <v>0</v>
      </c>
      <c r="AS684" t="s">
        <v>3</v>
      </c>
      <c r="AT684">
        <v>84.67</v>
      </c>
      <c r="AU684" t="s">
        <v>3</v>
      </c>
      <c r="AV684">
        <v>1</v>
      </c>
      <c r="AW684">
        <v>2</v>
      </c>
      <c r="AX684">
        <v>129763979</v>
      </c>
      <c r="AY684">
        <v>1</v>
      </c>
      <c r="AZ684">
        <v>0</v>
      </c>
      <c r="BA684">
        <v>674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CX684">
        <f>ROUND(Y684*Source!I666,9)</f>
        <v>0.84670000000000001</v>
      </c>
      <c r="CY684">
        <f>AD684</f>
        <v>0</v>
      </c>
      <c r="CZ684">
        <f>AH684</f>
        <v>0</v>
      </c>
      <c r="DA684">
        <f>AL684</f>
        <v>1</v>
      </c>
      <c r="DB684">
        <f t="shared" si="341"/>
        <v>0</v>
      </c>
      <c r="DC684">
        <f t="shared" si="342"/>
        <v>0</v>
      </c>
      <c r="DD684" t="s">
        <v>3</v>
      </c>
      <c r="DE684" t="s">
        <v>3</v>
      </c>
      <c r="DF684">
        <f t="shared" si="343"/>
        <v>0</v>
      </c>
      <c r="DG684">
        <f t="shared" si="332"/>
        <v>0</v>
      </c>
      <c r="DH684">
        <f t="shared" si="333"/>
        <v>0</v>
      </c>
      <c r="DI684">
        <f t="shared" si="325"/>
        <v>0</v>
      </c>
      <c r="DJ684">
        <f>DI684</f>
        <v>0</v>
      </c>
      <c r="DK684">
        <v>0</v>
      </c>
    </row>
    <row r="685" spans="1:115" x14ac:dyDescent="0.2">
      <c r="A685">
        <f>ROW(Source!A667)</f>
        <v>667</v>
      </c>
      <c r="B685">
        <v>129761636</v>
      </c>
      <c r="C685">
        <v>129763980</v>
      </c>
      <c r="D685">
        <v>37345142</v>
      </c>
      <c r="E685">
        <v>37345137</v>
      </c>
      <c r="F685">
        <v>1</v>
      </c>
      <c r="G685">
        <v>37345137</v>
      </c>
      <c r="H685">
        <v>1</v>
      </c>
      <c r="I685" t="s">
        <v>1096</v>
      </c>
      <c r="J685" t="s">
        <v>3</v>
      </c>
      <c r="K685" t="s">
        <v>1097</v>
      </c>
      <c r="L685">
        <v>1191</v>
      </c>
      <c r="N685">
        <v>1013</v>
      </c>
      <c r="O685" t="s">
        <v>1098</v>
      </c>
      <c r="P685" t="s">
        <v>1098</v>
      </c>
      <c r="Q685">
        <v>1</v>
      </c>
      <c r="W685">
        <v>0</v>
      </c>
      <c r="X685">
        <v>476480486</v>
      </c>
      <c r="Y685">
        <f t="shared" si="340"/>
        <v>1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1</v>
      </c>
      <c r="AJ685">
        <v>1</v>
      </c>
      <c r="AK685">
        <v>1</v>
      </c>
      <c r="AL685">
        <v>1</v>
      </c>
      <c r="AN685">
        <v>0</v>
      </c>
      <c r="AO685">
        <v>1</v>
      </c>
      <c r="AP685">
        <v>0</v>
      </c>
      <c r="AQ685">
        <v>0</v>
      </c>
      <c r="AR685">
        <v>0</v>
      </c>
      <c r="AS685" t="s">
        <v>3</v>
      </c>
      <c r="AT685">
        <v>1</v>
      </c>
      <c r="AU685" t="s">
        <v>3</v>
      </c>
      <c r="AV685">
        <v>1</v>
      </c>
      <c r="AW685">
        <v>2</v>
      </c>
      <c r="AX685">
        <v>129763982</v>
      </c>
      <c r="AY685">
        <v>1</v>
      </c>
      <c r="AZ685">
        <v>0</v>
      </c>
      <c r="BA685">
        <v>675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CX685">
        <f>ROUND(Y685*Source!I667,9)</f>
        <v>2</v>
      </c>
      <c r="CY685">
        <f>AD685</f>
        <v>0</v>
      </c>
      <c r="CZ685">
        <f>AH685</f>
        <v>0</v>
      </c>
      <c r="DA685">
        <f>AL685</f>
        <v>1</v>
      </c>
      <c r="DB685">
        <f t="shared" si="341"/>
        <v>0</v>
      </c>
      <c r="DC685">
        <f t="shared" si="342"/>
        <v>0</v>
      </c>
      <c r="DD685" t="s">
        <v>3</v>
      </c>
      <c r="DE685" t="s">
        <v>3</v>
      </c>
      <c r="DF685">
        <f t="shared" si="343"/>
        <v>0</v>
      </c>
      <c r="DG685">
        <f t="shared" si="332"/>
        <v>0</v>
      </c>
      <c r="DH685">
        <f t="shared" si="333"/>
        <v>0</v>
      </c>
      <c r="DI685">
        <f t="shared" si="325"/>
        <v>0</v>
      </c>
      <c r="DJ685">
        <f>DI685</f>
        <v>0</v>
      </c>
      <c r="DK685">
        <v>0</v>
      </c>
    </row>
    <row r="686" spans="1:115" x14ac:dyDescent="0.2">
      <c r="A686">
        <f>ROW(Source!A668)</f>
        <v>668</v>
      </c>
      <c r="B686">
        <v>129761633</v>
      </c>
      <c r="C686">
        <v>129763980</v>
      </c>
      <c r="D686">
        <v>37345142</v>
      </c>
      <c r="E686">
        <v>37345137</v>
      </c>
      <c r="F686">
        <v>1</v>
      </c>
      <c r="G686">
        <v>37345137</v>
      </c>
      <c r="H686">
        <v>1</v>
      </c>
      <c r="I686" t="s">
        <v>1096</v>
      </c>
      <c r="J686" t="s">
        <v>3</v>
      </c>
      <c r="K686" t="s">
        <v>1097</v>
      </c>
      <c r="L686">
        <v>1191</v>
      </c>
      <c r="N686">
        <v>1013</v>
      </c>
      <c r="O686" t="s">
        <v>1098</v>
      </c>
      <c r="P686" t="s">
        <v>1098</v>
      </c>
      <c r="Q686">
        <v>1</v>
      </c>
      <c r="W686">
        <v>0</v>
      </c>
      <c r="X686">
        <v>476480486</v>
      </c>
      <c r="Y686">
        <f t="shared" si="340"/>
        <v>1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1</v>
      </c>
      <c r="AJ686">
        <v>1</v>
      </c>
      <c r="AK686">
        <v>1</v>
      </c>
      <c r="AL686">
        <v>1</v>
      </c>
      <c r="AN686">
        <v>0</v>
      </c>
      <c r="AO686">
        <v>1</v>
      </c>
      <c r="AP686">
        <v>0</v>
      </c>
      <c r="AQ686">
        <v>0</v>
      </c>
      <c r="AR686">
        <v>0</v>
      </c>
      <c r="AS686" t="s">
        <v>3</v>
      </c>
      <c r="AT686">
        <v>1</v>
      </c>
      <c r="AU686" t="s">
        <v>3</v>
      </c>
      <c r="AV686">
        <v>1</v>
      </c>
      <c r="AW686">
        <v>2</v>
      </c>
      <c r="AX686">
        <v>129763982</v>
      </c>
      <c r="AY686">
        <v>1</v>
      </c>
      <c r="AZ686">
        <v>0</v>
      </c>
      <c r="BA686">
        <v>676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CX686">
        <f>ROUND(Y686*Source!I668,9)</f>
        <v>2</v>
      </c>
      <c r="CY686">
        <f>AD686</f>
        <v>0</v>
      </c>
      <c r="CZ686">
        <f>AH686</f>
        <v>0</v>
      </c>
      <c r="DA686">
        <f>AL686</f>
        <v>1</v>
      </c>
      <c r="DB686">
        <f t="shared" si="341"/>
        <v>0</v>
      </c>
      <c r="DC686">
        <f t="shared" si="342"/>
        <v>0</v>
      </c>
      <c r="DD686" t="s">
        <v>3</v>
      </c>
      <c r="DE686" t="s">
        <v>3</v>
      </c>
      <c r="DF686">
        <f t="shared" si="343"/>
        <v>0</v>
      </c>
      <c r="DG686">
        <f t="shared" si="332"/>
        <v>0</v>
      </c>
      <c r="DH686">
        <f t="shared" si="333"/>
        <v>0</v>
      </c>
      <c r="DI686">
        <f t="shared" si="325"/>
        <v>0</v>
      </c>
      <c r="DJ686">
        <f>DI686</f>
        <v>0</v>
      </c>
      <c r="DK686">
        <v>0</v>
      </c>
    </row>
    <row r="687" spans="1:115" x14ac:dyDescent="0.2">
      <c r="A687">
        <f>ROW(Source!A669)</f>
        <v>669</v>
      </c>
      <c r="B687">
        <v>129761636</v>
      </c>
      <c r="C687">
        <v>129763983</v>
      </c>
      <c r="D687">
        <v>37345142</v>
      </c>
      <c r="E687">
        <v>37345137</v>
      </c>
      <c r="F687">
        <v>1</v>
      </c>
      <c r="G687">
        <v>37345137</v>
      </c>
      <c r="H687">
        <v>1</v>
      </c>
      <c r="I687" t="s">
        <v>1096</v>
      </c>
      <c r="J687" t="s">
        <v>3</v>
      </c>
      <c r="K687" t="s">
        <v>1097</v>
      </c>
      <c r="L687">
        <v>1191</v>
      </c>
      <c r="N687">
        <v>1013</v>
      </c>
      <c r="O687" t="s">
        <v>1098</v>
      </c>
      <c r="P687" t="s">
        <v>1098</v>
      </c>
      <c r="Q687">
        <v>1</v>
      </c>
      <c r="W687">
        <v>0</v>
      </c>
      <c r="X687">
        <v>476480486</v>
      </c>
      <c r="Y687">
        <f>(AT687*1.15)</f>
        <v>0.10349999999999999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1</v>
      </c>
      <c r="AJ687">
        <v>1</v>
      </c>
      <c r="AK687">
        <v>1</v>
      </c>
      <c r="AL687">
        <v>1</v>
      </c>
      <c r="AN687">
        <v>0</v>
      </c>
      <c r="AO687">
        <v>1</v>
      </c>
      <c r="AP687">
        <v>1</v>
      </c>
      <c r="AQ687">
        <v>0</v>
      </c>
      <c r="AR687">
        <v>0</v>
      </c>
      <c r="AS687" t="s">
        <v>3</v>
      </c>
      <c r="AT687">
        <v>0.09</v>
      </c>
      <c r="AU687" t="s">
        <v>87</v>
      </c>
      <c r="AV687">
        <v>1</v>
      </c>
      <c r="AW687">
        <v>2</v>
      </c>
      <c r="AX687">
        <v>129763987</v>
      </c>
      <c r="AY687">
        <v>1</v>
      </c>
      <c r="AZ687">
        <v>0</v>
      </c>
      <c r="BA687">
        <v>677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CX687">
        <f>ROUND(Y687*Source!I669,9)</f>
        <v>0.10349999999999999</v>
      </c>
      <c r="CY687">
        <f>AD687</f>
        <v>0</v>
      </c>
      <c r="CZ687">
        <f>AH687</f>
        <v>0</v>
      </c>
      <c r="DA687">
        <f>AL687</f>
        <v>1</v>
      </c>
      <c r="DB687">
        <f>ROUND((ROUND(AT687*CZ687,2)*1.15),6)</f>
        <v>0</v>
      </c>
      <c r="DC687">
        <f>ROUND((ROUND(AT687*AG687,2)*1.15),6)</f>
        <v>0</v>
      </c>
      <c r="DD687" t="s">
        <v>3</v>
      </c>
      <c r="DE687" t="s">
        <v>3</v>
      </c>
      <c r="DF687">
        <f t="shared" si="343"/>
        <v>0</v>
      </c>
      <c r="DG687">
        <f t="shared" si="332"/>
        <v>0</v>
      </c>
      <c r="DH687">
        <f t="shared" si="333"/>
        <v>0</v>
      </c>
      <c r="DI687">
        <f t="shared" si="325"/>
        <v>0</v>
      </c>
      <c r="DJ687">
        <f>DI687</f>
        <v>0</v>
      </c>
      <c r="DK687">
        <v>0</v>
      </c>
    </row>
    <row r="688" spans="1:115" x14ac:dyDescent="0.2">
      <c r="A688">
        <f>ROW(Source!A669)</f>
        <v>669</v>
      </c>
      <c r="B688">
        <v>129761636</v>
      </c>
      <c r="C688">
        <v>129763983</v>
      </c>
      <c r="D688">
        <v>37394909</v>
      </c>
      <c r="E688">
        <v>1</v>
      </c>
      <c r="F688">
        <v>1</v>
      </c>
      <c r="G688">
        <v>37345137</v>
      </c>
      <c r="H688">
        <v>3</v>
      </c>
      <c r="I688" t="s">
        <v>1344</v>
      </c>
      <c r="J688" t="s">
        <v>1345</v>
      </c>
      <c r="K688" t="s">
        <v>1346</v>
      </c>
      <c r="L688">
        <v>1348</v>
      </c>
      <c r="N688">
        <v>1009</v>
      </c>
      <c r="O688" t="s">
        <v>114</v>
      </c>
      <c r="P688" t="s">
        <v>114</v>
      </c>
      <c r="Q688">
        <v>1000</v>
      </c>
      <c r="W688">
        <v>0</v>
      </c>
      <c r="X688">
        <v>1398464837</v>
      </c>
      <c r="Y688">
        <f>AT688</f>
        <v>1.0000000000000001E-5</v>
      </c>
      <c r="AA688">
        <v>16744.32</v>
      </c>
      <c r="AB688">
        <v>0</v>
      </c>
      <c r="AC688">
        <v>0</v>
      </c>
      <c r="AD688">
        <v>0</v>
      </c>
      <c r="AE688">
        <v>16744.32</v>
      </c>
      <c r="AF688">
        <v>0</v>
      </c>
      <c r="AG688">
        <v>0</v>
      </c>
      <c r="AH688">
        <v>0</v>
      </c>
      <c r="AI688">
        <v>1</v>
      </c>
      <c r="AJ688">
        <v>1</v>
      </c>
      <c r="AK688">
        <v>1</v>
      </c>
      <c r="AL688">
        <v>1</v>
      </c>
      <c r="AN688">
        <v>0</v>
      </c>
      <c r="AO688">
        <v>1</v>
      </c>
      <c r="AP688">
        <v>0</v>
      </c>
      <c r="AQ688">
        <v>0</v>
      </c>
      <c r="AR688">
        <v>0</v>
      </c>
      <c r="AS688" t="s">
        <v>3</v>
      </c>
      <c r="AT688">
        <v>1.0000000000000001E-5</v>
      </c>
      <c r="AU688" t="s">
        <v>3</v>
      </c>
      <c r="AV688">
        <v>0</v>
      </c>
      <c r="AW688">
        <v>2</v>
      </c>
      <c r="AX688">
        <v>129763988</v>
      </c>
      <c r="AY688">
        <v>1</v>
      </c>
      <c r="AZ688">
        <v>0</v>
      </c>
      <c r="BA688">
        <v>678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CX688">
        <f>ROUND(Y688*Source!I669,9)</f>
        <v>1.0000000000000001E-5</v>
      </c>
      <c r="CY688">
        <f>AA688</f>
        <v>16744.32</v>
      </c>
      <c r="CZ688">
        <f>AE688</f>
        <v>16744.32</v>
      </c>
      <c r="DA688">
        <f>AI688</f>
        <v>1</v>
      </c>
      <c r="DB688">
        <f>ROUND(ROUND(AT688*CZ688,2),6)</f>
        <v>0.17</v>
      </c>
      <c r="DC688">
        <f>ROUND(ROUND(AT688*AG688,2),6)</f>
        <v>0</v>
      </c>
      <c r="DD688" t="s">
        <v>3</v>
      </c>
      <c r="DE688" t="s">
        <v>3</v>
      </c>
      <c r="DF688">
        <f t="shared" si="343"/>
        <v>0.17</v>
      </c>
      <c r="DG688">
        <f t="shared" si="332"/>
        <v>0</v>
      </c>
      <c r="DH688">
        <f t="shared" si="333"/>
        <v>0</v>
      </c>
      <c r="DI688">
        <f t="shared" si="325"/>
        <v>0</v>
      </c>
      <c r="DJ688">
        <f>DF688</f>
        <v>0.17</v>
      </c>
      <c r="DK688">
        <v>0</v>
      </c>
    </row>
    <row r="689" spans="1:115" x14ac:dyDescent="0.2">
      <c r="A689">
        <f>ROW(Source!A669)</f>
        <v>669</v>
      </c>
      <c r="B689">
        <v>129761636</v>
      </c>
      <c r="C689">
        <v>129763983</v>
      </c>
      <c r="D689">
        <v>0</v>
      </c>
      <c r="E689">
        <v>1</v>
      </c>
      <c r="F689">
        <v>1</v>
      </c>
      <c r="G689">
        <v>37345137</v>
      </c>
      <c r="H689">
        <v>3</v>
      </c>
      <c r="I689" t="s">
        <v>248</v>
      </c>
      <c r="J689" t="s">
        <v>3</v>
      </c>
      <c r="K689" t="s">
        <v>661</v>
      </c>
      <c r="L689">
        <v>1354</v>
      </c>
      <c r="N689">
        <v>1010</v>
      </c>
      <c r="O689" t="s">
        <v>250</v>
      </c>
      <c r="P689" t="s">
        <v>250</v>
      </c>
      <c r="Q689">
        <v>1</v>
      </c>
      <c r="W689">
        <v>0</v>
      </c>
      <c r="X689">
        <v>745168912</v>
      </c>
      <c r="Y689">
        <f>AT689</f>
        <v>1</v>
      </c>
      <c r="AA689">
        <v>60.25</v>
      </c>
      <c r="AB689">
        <v>0</v>
      </c>
      <c r="AC689">
        <v>0</v>
      </c>
      <c r="AD689">
        <v>0</v>
      </c>
      <c r="AE689">
        <v>60.25</v>
      </c>
      <c r="AF689">
        <v>0</v>
      </c>
      <c r="AG689">
        <v>0</v>
      </c>
      <c r="AH689">
        <v>0</v>
      </c>
      <c r="AI689">
        <v>1</v>
      </c>
      <c r="AJ689">
        <v>1</v>
      </c>
      <c r="AK689">
        <v>1</v>
      </c>
      <c r="AL689">
        <v>1</v>
      </c>
      <c r="AN689">
        <v>0</v>
      </c>
      <c r="AO689">
        <v>0</v>
      </c>
      <c r="AP689">
        <v>0</v>
      </c>
      <c r="AQ689">
        <v>0</v>
      </c>
      <c r="AR689">
        <v>0</v>
      </c>
      <c r="AS689" t="s">
        <v>3</v>
      </c>
      <c r="AT689">
        <v>1</v>
      </c>
      <c r="AU689" t="s">
        <v>3</v>
      </c>
      <c r="AV689">
        <v>0</v>
      </c>
      <c r="AW689">
        <v>1</v>
      </c>
      <c r="AX689">
        <v>-1</v>
      </c>
      <c r="AY689">
        <v>0</v>
      </c>
      <c r="AZ689">
        <v>0</v>
      </c>
      <c r="BA689" t="s">
        <v>3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CX689">
        <f>ROUND(Y689*Source!I669,9)</f>
        <v>1</v>
      </c>
      <c r="CY689">
        <f>AA689</f>
        <v>60.25</v>
      </c>
      <c r="CZ689">
        <f>AE689</f>
        <v>60.25</v>
      </c>
      <c r="DA689">
        <f>AI689</f>
        <v>1</v>
      </c>
      <c r="DB689">
        <f>ROUND(ROUND(AT689*CZ689,2),6)</f>
        <v>60.25</v>
      </c>
      <c r="DC689">
        <f>ROUND(ROUND(AT689*AG689,2),6)</f>
        <v>0</v>
      </c>
      <c r="DD689" t="s">
        <v>3</v>
      </c>
      <c r="DE689" t="s">
        <v>3</v>
      </c>
      <c r="DF689">
        <f t="shared" si="343"/>
        <v>60.25</v>
      </c>
      <c r="DG689">
        <f t="shared" si="332"/>
        <v>0</v>
      </c>
      <c r="DH689">
        <f t="shared" si="333"/>
        <v>0</v>
      </c>
      <c r="DI689">
        <f t="shared" si="325"/>
        <v>0</v>
      </c>
      <c r="DJ689">
        <f>DF689</f>
        <v>60.25</v>
      </c>
      <c r="DK689">
        <v>0</v>
      </c>
    </row>
    <row r="690" spans="1:115" x14ac:dyDescent="0.2">
      <c r="A690">
        <f>ROW(Source!A670)</f>
        <v>670</v>
      </c>
      <c r="B690">
        <v>129761633</v>
      </c>
      <c r="C690">
        <v>129763983</v>
      </c>
      <c r="D690">
        <v>37345142</v>
      </c>
      <c r="E690">
        <v>37345137</v>
      </c>
      <c r="F690">
        <v>1</v>
      </c>
      <c r="G690">
        <v>37345137</v>
      </c>
      <c r="H690">
        <v>1</v>
      </c>
      <c r="I690" t="s">
        <v>1096</v>
      </c>
      <c r="J690" t="s">
        <v>3</v>
      </c>
      <c r="K690" t="s">
        <v>1097</v>
      </c>
      <c r="L690">
        <v>1191</v>
      </c>
      <c r="N690">
        <v>1013</v>
      </c>
      <c r="O690" t="s">
        <v>1098</v>
      </c>
      <c r="P690" t="s">
        <v>1098</v>
      </c>
      <c r="Q690">
        <v>1</v>
      </c>
      <c r="W690">
        <v>0</v>
      </c>
      <c r="X690">
        <v>476480486</v>
      </c>
      <c r="Y690">
        <f>(AT690*1.15)</f>
        <v>0.10349999999999999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1</v>
      </c>
      <c r="AJ690">
        <v>1</v>
      </c>
      <c r="AK690">
        <v>1</v>
      </c>
      <c r="AL690">
        <v>1</v>
      </c>
      <c r="AN690">
        <v>0</v>
      </c>
      <c r="AO690">
        <v>1</v>
      </c>
      <c r="AP690">
        <v>1</v>
      </c>
      <c r="AQ690">
        <v>0</v>
      </c>
      <c r="AR690">
        <v>0</v>
      </c>
      <c r="AS690" t="s">
        <v>3</v>
      </c>
      <c r="AT690">
        <v>0.09</v>
      </c>
      <c r="AU690" t="s">
        <v>87</v>
      </c>
      <c r="AV690">
        <v>1</v>
      </c>
      <c r="AW690">
        <v>2</v>
      </c>
      <c r="AX690">
        <v>129763987</v>
      </c>
      <c r="AY690">
        <v>1</v>
      </c>
      <c r="AZ690">
        <v>0</v>
      </c>
      <c r="BA690">
        <v>680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CX690">
        <f>ROUND(Y690*Source!I670,9)</f>
        <v>0.10349999999999999</v>
      </c>
      <c r="CY690">
        <f>AD690</f>
        <v>0</v>
      </c>
      <c r="CZ690">
        <f>AH690</f>
        <v>0</v>
      </c>
      <c r="DA690">
        <f>AL690</f>
        <v>1</v>
      </c>
      <c r="DB690">
        <f>ROUND((ROUND(AT690*CZ690,2)*1.15),6)</f>
        <v>0</v>
      </c>
      <c r="DC690">
        <f>ROUND((ROUND(AT690*AG690,2)*1.15),6)</f>
        <v>0</v>
      </c>
      <c r="DD690" t="s">
        <v>3</v>
      </c>
      <c r="DE690" t="s">
        <v>3</v>
      </c>
      <c r="DF690">
        <f t="shared" si="343"/>
        <v>0</v>
      </c>
      <c r="DG690">
        <f t="shared" si="332"/>
        <v>0</v>
      </c>
      <c r="DH690">
        <f t="shared" si="333"/>
        <v>0</v>
      </c>
      <c r="DI690">
        <f t="shared" si="325"/>
        <v>0</v>
      </c>
      <c r="DJ690">
        <f>DI690</f>
        <v>0</v>
      </c>
      <c r="DK690">
        <v>0</v>
      </c>
    </row>
    <row r="691" spans="1:115" x14ac:dyDescent="0.2">
      <c r="A691">
        <f>ROW(Source!A670)</f>
        <v>670</v>
      </c>
      <c r="B691">
        <v>129761633</v>
      </c>
      <c r="C691">
        <v>129763983</v>
      </c>
      <c r="D691">
        <v>37394909</v>
      </c>
      <c r="E691">
        <v>1</v>
      </c>
      <c r="F691">
        <v>1</v>
      </c>
      <c r="G691">
        <v>37345137</v>
      </c>
      <c r="H691">
        <v>3</v>
      </c>
      <c r="I691" t="s">
        <v>1344</v>
      </c>
      <c r="J691" t="s">
        <v>1345</v>
      </c>
      <c r="K691" t="s">
        <v>1346</v>
      </c>
      <c r="L691">
        <v>1348</v>
      </c>
      <c r="N691">
        <v>1009</v>
      </c>
      <c r="O691" t="s">
        <v>114</v>
      </c>
      <c r="P691" t="s">
        <v>114</v>
      </c>
      <c r="Q691">
        <v>1000</v>
      </c>
      <c r="W691">
        <v>0</v>
      </c>
      <c r="X691">
        <v>1398464837</v>
      </c>
      <c r="Y691">
        <f t="shared" ref="Y691:Y726" si="344">AT691</f>
        <v>1.0000000000000001E-5</v>
      </c>
      <c r="AA691">
        <v>199927.18</v>
      </c>
      <c r="AB691">
        <v>0</v>
      </c>
      <c r="AC691">
        <v>0</v>
      </c>
      <c r="AD691">
        <v>0</v>
      </c>
      <c r="AE691">
        <v>16744.32</v>
      </c>
      <c r="AF691">
        <v>0</v>
      </c>
      <c r="AG691">
        <v>0</v>
      </c>
      <c r="AH691">
        <v>0</v>
      </c>
      <c r="AI691">
        <v>11.94</v>
      </c>
      <c r="AJ691">
        <v>1</v>
      </c>
      <c r="AK691">
        <v>1</v>
      </c>
      <c r="AL691">
        <v>1</v>
      </c>
      <c r="AN691">
        <v>0</v>
      </c>
      <c r="AO691">
        <v>1</v>
      </c>
      <c r="AP691">
        <v>0</v>
      </c>
      <c r="AQ691">
        <v>0</v>
      </c>
      <c r="AR691">
        <v>0</v>
      </c>
      <c r="AS691" t="s">
        <v>3</v>
      </c>
      <c r="AT691">
        <v>1.0000000000000001E-5</v>
      </c>
      <c r="AU691" t="s">
        <v>3</v>
      </c>
      <c r="AV691">
        <v>0</v>
      </c>
      <c r="AW691">
        <v>2</v>
      </c>
      <c r="AX691">
        <v>129763988</v>
      </c>
      <c r="AY691">
        <v>1</v>
      </c>
      <c r="AZ691">
        <v>0</v>
      </c>
      <c r="BA691">
        <v>681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CX691">
        <f>ROUND(Y691*Source!I670,9)</f>
        <v>1.0000000000000001E-5</v>
      </c>
      <c r="CY691">
        <f>AA691</f>
        <v>199927.18</v>
      </c>
      <c r="CZ691">
        <f>AE691</f>
        <v>16744.32</v>
      </c>
      <c r="DA691">
        <f>AI691</f>
        <v>11.94</v>
      </c>
      <c r="DB691">
        <f t="shared" ref="DB691:DB726" si="345">ROUND(ROUND(AT691*CZ691,2),6)</f>
        <v>0.17</v>
      </c>
      <c r="DC691">
        <f t="shared" ref="DC691:DC726" si="346">ROUND(ROUND(AT691*AG691,2),6)</f>
        <v>0</v>
      </c>
      <c r="DD691" t="s">
        <v>3</v>
      </c>
      <c r="DE691" t="s">
        <v>3</v>
      </c>
      <c r="DF691">
        <f>ROUND(ROUND(AE691*CX691,2)*AI691,2)</f>
        <v>2.0299999999999998</v>
      </c>
      <c r="DG691">
        <f t="shared" ref="DG691:DG722" si="347">ROUND(AF691*CX691,2)</f>
        <v>0</v>
      </c>
      <c r="DH691">
        <f t="shared" ref="DH691:DH722" si="348">ROUND(AG691*CX691,2)</f>
        <v>0</v>
      </c>
      <c r="DI691">
        <f t="shared" si="325"/>
        <v>0</v>
      </c>
      <c r="DJ691">
        <f>DF691</f>
        <v>2.0299999999999998</v>
      </c>
      <c r="DK691">
        <v>0</v>
      </c>
    </row>
    <row r="692" spans="1:115" x14ac:dyDescent="0.2">
      <c r="A692">
        <f>ROW(Source!A670)</f>
        <v>670</v>
      </c>
      <c r="B692">
        <v>129761633</v>
      </c>
      <c r="C692">
        <v>129763983</v>
      </c>
      <c r="D692">
        <v>0</v>
      </c>
      <c r="E692">
        <v>1</v>
      </c>
      <c r="F692">
        <v>1</v>
      </c>
      <c r="G692">
        <v>37345137</v>
      </c>
      <c r="H692">
        <v>3</v>
      </c>
      <c r="I692" t="s">
        <v>248</v>
      </c>
      <c r="J692" t="s">
        <v>3</v>
      </c>
      <c r="K692" t="s">
        <v>661</v>
      </c>
      <c r="L692">
        <v>1354</v>
      </c>
      <c r="N692">
        <v>1010</v>
      </c>
      <c r="O692" t="s">
        <v>250</v>
      </c>
      <c r="P692" t="s">
        <v>250</v>
      </c>
      <c r="Q692">
        <v>1</v>
      </c>
      <c r="W692">
        <v>0</v>
      </c>
      <c r="X692">
        <v>745168912</v>
      </c>
      <c r="Y692">
        <f t="shared" si="344"/>
        <v>1</v>
      </c>
      <c r="AA692">
        <v>586.47</v>
      </c>
      <c r="AB692">
        <v>0</v>
      </c>
      <c r="AC692">
        <v>0</v>
      </c>
      <c r="AD692">
        <v>0</v>
      </c>
      <c r="AE692">
        <v>67.8</v>
      </c>
      <c r="AF692">
        <v>0</v>
      </c>
      <c r="AG692">
        <v>0</v>
      </c>
      <c r="AH692">
        <v>0</v>
      </c>
      <c r="AI692">
        <v>8.65</v>
      </c>
      <c r="AJ692">
        <v>1</v>
      </c>
      <c r="AK692">
        <v>1</v>
      </c>
      <c r="AL692">
        <v>1</v>
      </c>
      <c r="AN692">
        <v>0</v>
      </c>
      <c r="AO692">
        <v>0</v>
      </c>
      <c r="AP692">
        <v>0</v>
      </c>
      <c r="AQ692">
        <v>0</v>
      </c>
      <c r="AR692">
        <v>0</v>
      </c>
      <c r="AS692" t="s">
        <v>3</v>
      </c>
      <c r="AT692">
        <v>1</v>
      </c>
      <c r="AU692" t="s">
        <v>3</v>
      </c>
      <c r="AV692">
        <v>0</v>
      </c>
      <c r="AW692">
        <v>1</v>
      </c>
      <c r="AX692">
        <v>-1</v>
      </c>
      <c r="AY692">
        <v>0</v>
      </c>
      <c r="AZ692">
        <v>0</v>
      </c>
      <c r="BA692" t="s">
        <v>3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CX692">
        <f>ROUND(Y692*Source!I670,9)</f>
        <v>1</v>
      </c>
      <c r="CY692">
        <f>AA692</f>
        <v>586.47</v>
      </c>
      <c r="CZ692">
        <f>AE692</f>
        <v>67.8</v>
      </c>
      <c r="DA692">
        <f>AI692</f>
        <v>8.65</v>
      </c>
      <c r="DB692">
        <f t="shared" si="345"/>
        <v>67.8</v>
      </c>
      <c r="DC692">
        <f t="shared" si="346"/>
        <v>0</v>
      </c>
      <c r="DD692" t="s">
        <v>3</v>
      </c>
      <c r="DE692" t="s">
        <v>3</v>
      </c>
      <c r="DF692">
        <f>ROUND(ROUND(AE692*CX692,2)*AI692,2)</f>
        <v>586.47</v>
      </c>
      <c r="DG692">
        <f t="shared" si="347"/>
        <v>0</v>
      </c>
      <c r="DH692">
        <f t="shared" si="348"/>
        <v>0</v>
      </c>
      <c r="DI692">
        <f t="shared" si="325"/>
        <v>0</v>
      </c>
      <c r="DJ692">
        <f>DF692</f>
        <v>586.47</v>
      </c>
      <c r="DK692">
        <v>0</v>
      </c>
    </row>
    <row r="693" spans="1:115" x14ac:dyDescent="0.2">
      <c r="A693">
        <f>ROW(Source!A673)</f>
        <v>673</v>
      </c>
      <c r="B693">
        <v>129761636</v>
      </c>
      <c r="C693">
        <v>129763991</v>
      </c>
      <c r="D693">
        <v>37345142</v>
      </c>
      <c r="E693">
        <v>37345137</v>
      </c>
      <c r="F693">
        <v>1</v>
      </c>
      <c r="G693">
        <v>37345137</v>
      </c>
      <c r="H693">
        <v>1</v>
      </c>
      <c r="I693" t="s">
        <v>1096</v>
      </c>
      <c r="J693" t="s">
        <v>3</v>
      </c>
      <c r="K693" t="s">
        <v>1097</v>
      </c>
      <c r="L693">
        <v>1191</v>
      </c>
      <c r="N693">
        <v>1013</v>
      </c>
      <c r="O693" t="s">
        <v>1098</v>
      </c>
      <c r="P693" t="s">
        <v>1098</v>
      </c>
      <c r="Q693">
        <v>1</v>
      </c>
      <c r="W693">
        <v>0</v>
      </c>
      <c r="X693">
        <v>476480486</v>
      </c>
      <c r="Y693">
        <f t="shared" si="344"/>
        <v>9.3000000000000007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1</v>
      </c>
      <c r="AJ693">
        <v>1</v>
      </c>
      <c r="AK693">
        <v>1</v>
      </c>
      <c r="AL693">
        <v>1</v>
      </c>
      <c r="AN693">
        <v>0</v>
      </c>
      <c r="AO693">
        <v>1</v>
      </c>
      <c r="AP693">
        <v>0</v>
      </c>
      <c r="AQ693">
        <v>0</v>
      </c>
      <c r="AR693">
        <v>0</v>
      </c>
      <c r="AS693" t="s">
        <v>3</v>
      </c>
      <c r="AT693">
        <v>9.3000000000000007</v>
      </c>
      <c r="AU693" t="s">
        <v>3</v>
      </c>
      <c r="AV693">
        <v>1</v>
      </c>
      <c r="AW693">
        <v>2</v>
      </c>
      <c r="AX693">
        <v>129763994</v>
      </c>
      <c r="AY693">
        <v>1</v>
      </c>
      <c r="AZ693">
        <v>0</v>
      </c>
      <c r="BA693">
        <v>683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CX693">
        <f>ROUND(Y693*Source!I673,9)</f>
        <v>9.3000000000000007</v>
      </c>
      <c r="CY693">
        <f>AD693</f>
        <v>0</v>
      </c>
      <c r="CZ693">
        <f>AH693</f>
        <v>0</v>
      </c>
      <c r="DA693">
        <f>AL693</f>
        <v>1</v>
      </c>
      <c r="DB693">
        <f t="shared" si="345"/>
        <v>0</v>
      </c>
      <c r="DC693">
        <f t="shared" si="346"/>
        <v>0</v>
      </c>
      <c r="DD693" t="s">
        <v>3</v>
      </c>
      <c r="DE693" t="s">
        <v>3</v>
      </c>
      <c r="DF693">
        <f>ROUND(AE693*CX693,2)</f>
        <v>0</v>
      </c>
      <c r="DG693">
        <f t="shared" si="347"/>
        <v>0</v>
      </c>
      <c r="DH693">
        <f t="shared" si="348"/>
        <v>0</v>
      </c>
      <c r="DI693">
        <f t="shared" si="325"/>
        <v>0</v>
      </c>
      <c r="DJ693">
        <f>DI693</f>
        <v>0</v>
      </c>
      <c r="DK693">
        <v>0</v>
      </c>
    </row>
    <row r="694" spans="1:115" x14ac:dyDescent="0.2">
      <c r="A694">
        <f>ROW(Source!A673)</f>
        <v>673</v>
      </c>
      <c r="B694">
        <v>129761636</v>
      </c>
      <c r="C694">
        <v>129763991</v>
      </c>
      <c r="D694">
        <v>37367069</v>
      </c>
      <c r="E694">
        <v>37345137</v>
      </c>
      <c r="F694">
        <v>1</v>
      </c>
      <c r="G694">
        <v>37345137</v>
      </c>
      <c r="H694">
        <v>3</v>
      </c>
      <c r="I694" t="s">
        <v>1342</v>
      </c>
      <c r="J694" t="s">
        <v>3</v>
      </c>
      <c r="K694" t="s">
        <v>1343</v>
      </c>
      <c r="L694">
        <v>1348</v>
      </c>
      <c r="N694">
        <v>1009</v>
      </c>
      <c r="O694" t="s">
        <v>114</v>
      </c>
      <c r="P694" t="s">
        <v>114</v>
      </c>
      <c r="Q694">
        <v>1000</v>
      </c>
      <c r="W694">
        <v>0</v>
      </c>
      <c r="X694">
        <v>-783086922</v>
      </c>
      <c r="Y694">
        <f t="shared" si="344"/>
        <v>1E-3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1</v>
      </c>
      <c r="AJ694">
        <v>1</v>
      </c>
      <c r="AK694">
        <v>1</v>
      </c>
      <c r="AL694">
        <v>1</v>
      </c>
      <c r="AN694">
        <v>0</v>
      </c>
      <c r="AO694">
        <v>1</v>
      </c>
      <c r="AP694">
        <v>0</v>
      </c>
      <c r="AQ694">
        <v>0</v>
      </c>
      <c r="AR694">
        <v>0</v>
      </c>
      <c r="AS694" t="s">
        <v>3</v>
      </c>
      <c r="AT694">
        <v>1E-3</v>
      </c>
      <c r="AU694" t="s">
        <v>3</v>
      </c>
      <c r="AV694">
        <v>0</v>
      </c>
      <c r="AW694">
        <v>2</v>
      </c>
      <c r="AX694">
        <v>129763995</v>
      </c>
      <c r="AY694">
        <v>1</v>
      </c>
      <c r="AZ694">
        <v>0</v>
      </c>
      <c r="BA694">
        <v>684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CX694">
        <f>ROUND(Y694*Source!I673,9)</f>
        <v>1E-3</v>
      </c>
      <c r="CY694">
        <f>AA694</f>
        <v>0</v>
      </c>
      <c r="CZ694">
        <f>AE694</f>
        <v>0</v>
      </c>
      <c r="DA694">
        <f>AI694</f>
        <v>1</v>
      </c>
      <c r="DB694">
        <f t="shared" si="345"/>
        <v>0</v>
      </c>
      <c r="DC694">
        <f t="shared" si="346"/>
        <v>0</v>
      </c>
      <c r="DD694" t="s">
        <v>3</v>
      </c>
      <c r="DE694" t="s">
        <v>3</v>
      </c>
      <c r="DF694">
        <f>ROUND(AE694*CX694,2)</f>
        <v>0</v>
      </c>
      <c r="DG694">
        <f t="shared" si="347"/>
        <v>0</v>
      </c>
      <c r="DH694">
        <f t="shared" si="348"/>
        <v>0</v>
      </c>
      <c r="DI694">
        <f t="shared" si="325"/>
        <v>0</v>
      </c>
      <c r="DJ694">
        <f>DF694</f>
        <v>0</v>
      </c>
      <c r="DK694">
        <v>0</v>
      </c>
    </row>
    <row r="695" spans="1:115" x14ac:dyDescent="0.2">
      <c r="A695">
        <f>ROW(Source!A674)</f>
        <v>674</v>
      </c>
      <c r="B695">
        <v>129761633</v>
      </c>
      <c r="C695">
        <v>129763991</v>
      </c>
      <c r="D695">
        <v>37345142</v>
      </c>
      <c r="E695">
        <v>37345137</v>
      </c>
      <c r="F695">
        <v>1</v>
      </c>
      <c r="G695">
        <v>37345137</v>
      </c>
      <c r="H695">
        <v>1</v>
      </c>
      <c r="I695" t="s">
        <v>1096</v>
      </c>
      <c r="J695" t="s">
        <v>3</v>
      </c>
      <c r="K695" t="s">
        <v>1097</v>
      </c>
      <c r="L695">
        <v>1191</v>
      </c>
      <c r="N695">
        <v>1013</v>
      </c>
      <c r="O695" t="s">
        <v>1098</v>
      </c>
      <c r="P695" t="s">
        <v>1098</v>
      </c>
      <c r="Q695">
        <v>1</v>
      </c>
      <c r="W695">
        <v>0</v>
      </c>
      <c r="X695">
        <v>476480486</v>
      </c>
      <c r="Y695">
        <f t="shared" si="344"/>
        <v>9.3000000000000007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1</v>
      </c>
      <c r="AJ695">
        <v>1</v>
      </c>
      <c r="AK695">
        <v>1</v>
      </c>
      <c r="AL695">
        <v>1</v>
      </c>
      <c r="AN695">
        <v>0</v>
      </c>
      <c r="AO695">
        <v>1</v>
      </c>
      <c r="AP695">
        <v>0</v>
      </c>
      <c r="AQ695">
        <v>0</v>
      </c>
      <c r="AR695">
        <v>0</v>
      </c>
      <c r="AS695" t="s">
        <v>3</v>
      </c>
      <c r="AT695">
        <v>9.3000000000000007</v>
      </c>
      <c r="AU695" t="s">
        <v>3</v>
      </c>
      <c r="AV695">
        <v>1</v>
      </c>
      <c r="AW695">
        <v>2</v>
      </c>
      <c r="AX695">
        <v>129763994</v>
      </c>
      <c r="AY695">
        <v>1</v>
      </c>
      <c r="AZ695">
        <v>0</v>
      </c>
      <c r="BA695">
        <v>685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CX695">
        <f>ROUND(Y695*Source!I674,9)</f>
        <v>9.3000000000000007</v>
      </c>
      <c r="CY695">
        <f>AD695</f>
        <v>0</v>
      </c>
      <c r="CZ695">
        <f>AH695</f>
        <v>0</v>
      </c>
      <c r="DA695">
        <f>AL695</f>
        <v>1</v>
      </c>
      <c r="DB695">
        <f t="shared" si="345"/>
        <v>0</v>
      </c>
      <c r="DC695">
        <f t="shared" si="346"/>
        <v>0</v>
      </c>
      <c r="DD695" t="s">
        <v>3</v>
      </c>
      <c r="DE695" t="s">
        <v>3</v>
      </c>
      <c r="DF695">
        <f>ROUND(AE695*CX695,2)</f>
        <v>0</v>
      </c>
      <c r="DG695">
        <f t="shared" si="347"/>
        <v>0</v>
      </c>
      <c r="DH695">
        <f t="shared" si="348"/>
        <v>0</v>
      </c>
      <c r="DI695">
        <f t="shared" si="325"/>
        <v>0</v>
      </c>
      <c r="DJ695">
        <f>DI695</f>
        <v>0</v>
      </c>
      <c r="DK695">
        <v>0</v>
      </c>
    </row>
    <row r="696" spans="1:115" x14ac:dyDescent="0.2">
      <c r="A696">
        <f>ROW(Source!A674)</f>
        <v>674</v>
      </c>
      <c r="B696">
        <v>129761633</v>
      </c>
      <c r="C696">
        <v>129763991</v>
      </c>
      <c r="D696">
        <v>37367069</v>
      </c>
      <c r="E696">
        <v>37345137</v>
      </c>
      <c r="F696">
        <v>1</v>
      </c>
      <c r="G696">
        <v>37345137</v>
      </c>
      <c r="H696">
        <v>3</v>
      </c>
      <c r="I696" t="s">
        <v>1342</v>
      </c>
      <c r="J696" t="s">
        <v>3</v>
      </c>
      <c r="K696" t="s">
        <v>1343</v>
      </c>
      <c r="L696">
        <v>1348</v>
      </c>
      <c r="N696">
        <v>1009</v>
      </c>
      <c r="O696" t="s">
        <v>114</v>
      </c>
      <c r="P696" t="s">
        <v>114</v>
      </c>
      <c r="Q696">
        <v>1000</v>
      </c>
      <c r="W696">
        <v>0</v>
      </c>
      <c r="X696">
        <v>-783086922</v>
      </c>
      <c r="Y696">
        <f t="shared" si="344"/>
        <v>1E-3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8.65</v>
      </c>
      <c r="AJ696">
        <v>1</v>
      </c>
      <c r="AK696">
        <v>1</v>
      </c>
      <c r="AL696">
        <v>1</v>
      </c>
      <c r="AN696">
        <v>0</v>
      </c>
      <c r="AO696">
        <v>1</v>
      </c>
      <c r="AP696">
        <v>0</v>
      </c>
      <c r="AQ696">
        <v>0</v>
      </c>
      <c r="AR696">
        <v>0</v>
      </c>
      <c r="AS696" t="s">
        <v>3</v>
      </c>
      <c r="AT696">
        <v>1E-3</v>
      </c>
      <c r="AU696" t="s">
        <v>3</v>
      </c>
      <c r="AV696">
        <v>0</v>
      </c>
      <c r="AW696">
        <v>2</v>
      </c>
      <c r="AX696">
        <v>129763995</v>
      </c>
      <c r="AY696">
        <v>1</v>
      </c>
      <c r="AZ696">
        <v>0</v>
      </c>
      <c r="BA696">
        <v>686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CX696">
        <f>ROUND(Y696*Source!I674,9)</f>
        <v>1E-3</v>
      </c>
      <c r="CY696">
        <f>AA696</f>
        <v>0</v>
      </c>
      <c r="CZ696">
        <f>AE696</f>
        <v>0</v>
      </c>
      <c r="DA696">
        <f>AI696</f>
        <v>8.65</v>
      </c>
      <c r="DB696">
        <f t="shared" si="345"/>
        <v>0</v>
      </c>
      <c r="DC696">
        <f t="shared" si="346"/>
        <v>0</v>
      </c>
      <c r="DD696" t="s">
        <v>3</v>
      </c>
      <c r="DE696" t="s">
        <v>3</v>
      </c>
      <c r="DF696">
        <f>ROUND(ROUND(AE696*CX696,2)*AI696,2)</f>
        <v>0</v>
      </c>
      <c r="DG696">
        <f t="shared" si="347"/>
        <v>0</v>
      </c>
      <c r="DH696">
        <f t="shared" si="348"/>
        <v>0</v>
      </c>
      <c r="DI696">
        <f t="shared" si="325"/>
        <v>0</v>
      </c>
      <c r="DJ696">
        <f>DF696</f>
        <v>0</v>
      </c>
      <c r="DK696">
        <v>0</v>
      </c>
    </row>
    <row r="697" spans="1:115" x14ac:dyDescent="0.2">
      <c r="A697">
        <f>ROW(Source!A675)</f>
        <v>675</v>
      </c>
      <c r="B697">
        <v>129761636</v>
      </c>
      <c r="C697">
        <v>129763996</v>
      </c>
      <c r="D697">
        <v>37345142</v>
      </c>
      <c r="E697">
        <v>37345137</v>
      </c>
      <c r="F697">
        <v>1</v>
      </c>
      <c r="G697">
        <v>37345137</v>
      </c>
      <c r="H697">
        <v>1</v>
      </c>
      <c r="I697" t="s">
        <v>1096</v>
      </c>
      <c r="J697" t="s">
        <v>3</v>
      </c>
      <c r="K697" t="s">
        <v>1097</v>
      </c>
      <c r="L697">
        <v>1191</v>
      </c>
      <c r="N697">
        <v>1013</v>
      </c>
      <c r="O697" t="s">
        <v>1098</v>
      </c>
      <c r="P697" t="s">
        <v>1098</v>
      </c>
      <c r="Q697">
        <v>1</v>
      </c>
      <c r="W697">
        <v>0</v>
      </c>
      <c r="X697">
        <v>476480486</v>
      </c>
      <c r="Y697">
        <f t="shared" si="344"/>
        <v>2.9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1</v>
      </c>
      <c r="AJ697">
        <v>1</v>
      </c>
      <c r="AK697">
        <v>1</v>
      </c>
      <c r="AL697">
        <v>1</v>
      </c>
      <c r="AN697">
        <v>0</v>
      </c>
      <c r="AO697">
        <v>1</v>
      </c>
      <c r="AP697">
        <v>0</v>
      </c>
      <c r="AQ697">
        <v>0</v>
      </c>
      <c r="AR697">
        <v>0</v>
      </c>
      <c r="AS697" t="s">
        <v>3</v>
      </c>
      <c r="AT697">
        <v>2.9</v>
      </c>
      <c r="AU697" t="s">
        <v>3</v>
      </c>
      <c r="AV697">
        <v>1</v>
      </c>
      <c r="AW697">
        <v>2</v>
      </c>
      <c r="AX697">
        <v>129763999</v>
      </c>
      <c r="AY697">
        <v>1</v>
      </c>
      <c r="AZ697">
        <v>0</v>
      </c>
      <c r="BA697">
        <v>687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CX697">
        <f>ROUND(Y697*Source!I675,9)</f>
        <v>2.9</v>
      </c>
      <c r="CY697">
        <f>AD697</f>
        <v>0</v>
      </c>
      <c r="CZ697">
        <f>AH697</f>
        <v>0</v>
      </c>
      <c r="DA697">
        <f>AL697</f>
        <v>1</v>
      </c>
      <c r="DB697">
        <f t="shared" si="345"/>
        <v>0</v>
      </c>
      <c r="DC697">
        <f t="shared" si="346"/>
        <v>0</v>
      </c>
      <c r="DD697" t="s">
        <v>3</v>
      </c>
      <c r="DE697" t="s">
        <v>3</v>
      </c>
      <c r="DF697">
        <f>ROUND(AE697*CX697,2)</f>
        <v>0</v>
      </c>
      <c r="DG697">
        <f t="shared" si="347"/>
        <v>0</v>
      </c>
      <c r="DH697">
        <f t="shared" si="348"/>
        <v>0</v>
      </c>
      <c r="DI697">
        <f t="shared" si="325"/>
        <v>0</v>
      </c>
      <c r="DJ697">
        <f>DI697</f>
        <v>0</v>
      </c>
      <c r="DK697">
        <v>0</v>
      </c>
    </row>
    <row r="698" spans="1:115" x14ac:dyDescent="0.2">
      <c r="A698">
        <f>ROW(Source!A675)</f>
        <v>675</v>
      </c>
      <c r="B698">
        <v>129761636</v>
      </c>
      <c r="C698">
        <v>129763996</v>
      </c>
      <c r="D698">
        <v>37406212</v>
      </c>
      <c r="E698">
        <v>1</v>
      </c>
      <c r="F698">
        <v>1</v>
      </c>
      <c r="G698">
        <v>37345137</v>
      </c>
      <c r="H698">
        <v>3</v>
      </c>
      <c r="I698" t="s">
        <v>665</v>
      </c>
      <c r="J698" t="s">
        <v>667</v>
      </c>
      <c r="K698" t="s">
        <v>666</v>
      </c>
      <c r="L698">
        <v>1354</v>
      </c>
      <c r="N698">
        <v>1010</v>
      </c>
      <c r="O698" t="s">
        <v>250</v>
      </c>
      <c r="P698" t="s">
        <v>250</v>
      </c>
      <c r="Q698">
        <v>1</v>
      </c>
      <c r="W698">
        <v>0</v>
      </c>
      <c r="X698">
        <v>-935473514</v>
      </c>
      <c r="Y698">
        <f t="shared" si="344"/>
        <v>1</v>
      </c>
      <c r="AA698">
        <v>56.94</v>
      </c>
      <c r="AB698">
        <v>0</v>
      </c>
      <c r="AC698">
        <v>0</v>
      </c>
      <c r="AD698">
        <v>0</v>
      </c>
      <c r="AE698">
        <v>56.94</v>
      </c>
      <c r="AF698">
        <v>0</v>
      </c>
      <c r="AG698">
        <v>0</v>
      </c>
      <c r="AH698">
        <v>0</v>
      </c>
      <c r="AI698">
        <v>1</v>
      </c>
      <c r="AJ698">
        <v>1</v>
      </c>
      <c r="AK698">
        <v>1</v>
      </c>
      <c r="AL698">
        <v>1</v>
      </c>
      <c r="AN698">
        <v>0</v>
      </c>
      <c r="AO698">
        <v>0</v>
      </c>
      <c r="AP698">
        <v>0</v>
      </c>
      <c r="AQ698">
        <v>0</v>
      </c>
      <c r="AR698">
        <v>0</v>
      </c>
      <c r="AS698" t="s">
        <v>3</v>
      </c>
      <c r="AT698">
        <v>1</v>
      </c>
      <c r="AU698" t="s">
        <v>3</v>
      </c>
      <c r="AV698">
        <v>0</v>
      </c>
      <c r="AW698">
        <v>1</v>
      </c>
      <c r="AX698">
        <v>-1</v>
      </c>
      <c r="AY698">
        <v>0</v>
      </c>
      <c r="AZ698">
        <v>0</v>
      </c>
      <c r="BA698" t="s">
        <v>3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CX698">
        <f>ROUND(Y698*Source!I675,9)</f>
        <v>1</v>
      </c>
      <c r="CY698">
        <f>AA698</f>
        <v>56.94</v>
      </c>
      <c r="CZ698">
        <f>AE698</f>
        <v>56.94</v>
      </c>
      <c r="DA698">
        <f>AI698</f>
        <v>1</v>
      </c>
      <c r="DB698">
        <f t="shared" si="345"/>
        <v>56.94</v>
      </c>
      <c r="DC698">
        <f t="shared" si="346"/>
        <v>0</v>
      </c>
      <c r="DD698" t="s">
        <v>3</v>
      </c>
      <c r="DE698" t="s">
        <v>3</v>
      </c>
      <c r="DF698">
        <f>ROUND(AE698*CX698,2)</f>
        <v>56.94</v>
      </c>
      <c r="DG698">
        <f t="shared" si="347"/>
        <v>0</v>
      </c>
      <c r="DH698">
        <f t="shared" si="348"/>
        <v>0</v>
      </c>
      <c r="DI698">
        <f t="shared" si="325"/>
        <v>0</v>
      </c>
      <c r="DJ698">
        <f>DF698</f>
        <v>56.94</v>
      </c>
      <c r="DK698">
        <v>0</v>
      </c>
    </row>
    <row r="699" spans="1:115" x14ac:dyDescent="0.2">
      <c r="A699">
        <f>ROW(Source!A676)</f>
        <v>676</v>
      </c>
      <c r="B699">
        <v>129761633</v>
      </c>
      <c r="C699">
        <v>129763996</v>
      </c>
      <c r="D699">
        <v>37345142</v>
      </c>
      <c r="E699">
        <v>37345137</v>
      </c>
      <c r="F699">
        <v>1</v>
      </c>
      <c r="G699">
        <v>37345137</v>
      </c>
      <c r="H699">
        <v>1</v>
      </c>
      <c r="I699" t="s">
        <v>1096</v>
      </c>
      <c r="J699" t="s">
        <v>3</v>
      </c>
      <c r="K699" t="s">
        <v>1097</v>
      </c>
      <c r="L699">
        <v>1191</v>
      </c>
      <c r="N699">
        <v>1013</v>
      </c>
      <c r="O699" t="s">
        <v>1098</v>
      </c>
      <c r="P699" t="s">
        <v>1098</v>
      </c>
      <c r="Q699">
        <v>1</v>
      </c>
      <c r="W699">
        <v>0</v>
      </c>
      <c r="X699">
        <v>476480486</v>
      </c>
      <c r="Y699">
        <f t="shared" si="344"/>
        <v>2.9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1</v>
      </c>
      <c r="AJ699">
        <v>1</v>
      </c>
      <c r="AK699">
        <v>1</v>
      </c>
      <c r="AL699">
        <v>1</v>
      </c>
      <c r="AN699">
        <v>0</v>
      </c>
      <c r="AO699">
        <v>1</v>
      </c>
      <c r="AP699">
        <v>0</v>
      </c>
      <c r="AQ699">
        <v>0</v>
      </c>
      <c r="AR699">
        <v>0</v>
      </c>
      <c r="AS699" t="s">
        <v>3</v>
      </c>
      <c r="AT699">
        <v>2.9</v>
      </c>
      <c r="AU699" t="s">
        <v>3</v>
      </c>
      <c r="AV699">
        <v>1</v>
      </c>
      <c r="AW699">
        <v>2</v>
      </c>
      <c r="AX699">
        <v>129763999</v>
      </c>
      <c r="AY699">
        <v>1</v>
      </c>
      <c r="AZ699">
        <v>0</v>
      </c>
      <c r="BA699">
        <v>688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CX699">
        <f>ROUND(Y699*Source!I676,9)</f>
        <v>2.9</v>
      </c>
      <c r="CY699">
        <f>AD699</f>
        <v>0</v>
      </c>
      <c r="CZ699">
        <f>AH699</f>
        <v>0</v>
      </c>
      <c r="DA699">
        <f>AL699</f>
        <v>1</v>
      </c>
      <c r="DB699">
        <f t="shared" si="345"/>
        <v>0</v>
      </c>
      <c r="DC699">
        <f t="shared" si="346"/>
        <v>0</v>
      </c>
      <c r="DD699" t="s">
        <v>3</v>
      </c>
      <c r="DE699" t="s">
        <v>3</v>
      </c>
      <c r="DF699">
        <f>ROUND(AE699*CX699,2)</f>
        <v>0</v>
      </c>
      <c r="DG699">
        <f t="shared" si="347"/>
        <v>0</v>
      </c>
      <c r="DH699">
        <f t="shared" si="348"/>
        <v>0</v>
      </c>
      <c r="DI699">
        <f t="shared" si="325"/>
        <v>0</v>
      </c>
      <c r="DJ699">
        <f>DI699</f>
        <v>0</v>
      </c>
      <c r="DK699">
        <v>0</v>
      </c>
    </row>
    <row r="700" spans="1:115" x14ac:dyDescent="0.2">
      <c r="A700">
        <f>ROW(Source!A676)</f>
        <v>676</v>
      </c>
      <c r="B700">
        <v>129761633</v>
      </c>
      <c r="C700">
        <v>129763996</v>
      </c>
      <c r="D700">
        <v>37406212</v>
      </c>
      <c r="E700">
        <v>1</v>
      </c>
      <c r="F700">
        <v>1</v>
      </c>
      <c r="G700">
        <v>37345137</v>
      </c>
      <c r="H700">
        <v>3</v>
      </c>
      <c r="I700" t="s">
        <v>665</v>
      </c>
      <c r="J700" t="s">
        <v>667</v>
      </c>
      <c r="K700" t="s">
        <v>666</v>
      </c>
      <c r="L700">
        <v>1354</v>
      </c>
      <c r="N700">
        <v>1010</v>
      </c>
      <c r="O700" t="s">
        <v>250</v>
      </c>
      <c r="P700" t="s">
        <v>250</v>
      </c>
      <c r="Q700">
        <v>1</v>
      </c>
      <c r="W700">
        <v>0</v>
      </c>
      <c r="X700">
        <v>-935473514</v>
      </c>
      <c r="Y700">
        <f t="shared" si="344"/>
        <v>1</v>
      </c>
      <c r="AA700">
        <v>510.75</v>
      </c>
      <c r="AB700">
        <v>0</v>
      </c>
      <c r="AC700">
        <v>0</v>
      </c>
      <c r="AD700">
        <v>0</v>
      </c>
      <c r="AE700">
        <v>56.94</v>
      </c>
      <c r="AF700">
        <v>0</v>
      </c>
      <c r="AG700">
        <v>0</v>
      </c>
      <c r="AH700">
        <v>0</v>
      </c>
      <c r="AI700">
        <v>8.9700000000000006</v>
      </c>
      <c r="AJ700">
        <v>1</v>
      </c>
      <c r="AK700">
        <v>1</v>
      </c>
      <c r="AL700">
        <v>1</v>
      </c>
      <c r="AN700">
        <v>0</v>
      </c>
      <c r="AO700">
        <v>0</v>
      </c>
      <c r="AP700">
        <v>0</v>
      </c>
      <c r="AQ700">
        <v>0</v>
      </c>
      <c r="AR700">
        <v>0</v>
      </c>
      <c r="AS700" t="s">
        <v>3</v>
      </c>
      <c r="AT700">
        <v>1</v>
      </c>
      <c r="AU700" t="s">
        <v>3</v>
      </c>
      <c r="AV700">
        <v>0</v>
      </c>
      <c r="AW700">
        <v>1</v>
      </c>
      <c r="AX700">
        <v>-1</v>
      </c>
      <c r="AY700">
        <v>0</v>
      </c>
      <c r="AZ700">
        <v>0</v>
      </c>
      <c r="BA700" t="s">
        <v>3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CX700">
        <f>ROUND(Y700*Source!I676,9)</f>
        <v>1</v>
      </c>
      <c r="CY700">
        <f>AA700</f>
        <v>510.75</v>
      </c>
      <c r="CZ700">
        <f>AE700</f>
        <v>56.94</v>
      </c>
      <c r="DA700">
        <f>AI700</f>
        <v>8.9700000000000006</v>
      </c>
      <c r="DB700">
        <f t="shared" si="345"/>
        <v>56.94</v>
      </c>
      <c r="DC700">
        <f t="shared" si="346"/>
        <v>0</v>
      </c>
      <c r="DD700" t="s">
        <v>3</v>
      </c>
      <c r="DE700" t="s">
        <v>3</v>
      </c>
      <c r="DF700">
        <f>ROUND(ROUND(AE700*CX700,2)*AI700,2)</f>
        <v>510.75</v>
      </c>
      <c r="DG700">
        <f t="shared" si="347"/>
        <v>0</v>
      </c>
      <c r="DH700">
        <f t="shared" si="348"/>
        <v>0</v>
      </c>
      <c r="DI700">
        <f t="shared" si="325"/>
        <v>0</v>
      </c>
      <c r="DJ700">
        <f>DF700</f>
        <v>510.75</v>
      </c>
      <c r="DK700">
        <v>0</v>
      </c>
    </row>
    <row r="701" spans="1:115" x14ac:dyDescent="0.2">
      <c r="A701">
        <f>ROW(Source!A679)</f>
        <v>679</v>
      </c>
      <c r="B701">
        <v>129761636</v>
      </c>
      <c r="C701">
        <v>129764001</v>
      </c>
      <c r="D701">
        <v>37345142</v>
      </c>
      <c r="E701">
        <v>37345137</v>
      </c>
      <c r="F701">
        <v>1</v>
      </c>
      <c r="G701">
        <v>37345137</v>
      </c>
      <c r="H701">
        <v>1</v>
      </c>
      <c r="I701" t="s">
        <v>1096</v>
      </c>
      <c r="J701" t="s">
        <v>3</v>
      </c>
      <c r="K701" t="s">
        <v>1097</v>
      </c>
      <c r="L701">
        <v>1191</v>
      </c>
      <c r="N701">
        <v>1013</v>
      </c>
      <c r="O701" t="s">
        <v>1098</v>
      </c>
      <c r="P701" t="s">
        <v>1098</v>
      </c>
      <c r="Q701">
        <v>1</v>
      </c>
      <c r="W701">
        <v>0</v>
      </c>
      <c r="X701">
        <v>476480486</v>
      </c>
      <c r="Y701">
        <f t="shared" si="344"/>
        <v>40.67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1</v>
      </c>
      <c r="AJ701">
        <v>1</v>
      </c>
      <c r="AK701">
        <v>1</v>
      </c>
      <c r="AL701">
        <v>1</v>
      </c>
      <c r="AN701">
        <v>0</v>
      </c>
      <c r="AO701">
        <v>1</v>
      </c>
      <c r="AP701">
        <v>0</v>
      </c>
      <c r="AQ701">
        <v>0</v>
      </c>
      <c r="AR701">
        <v>0</v>
      </c>
      <c r="AS701" t="s">
        <v>3</v>
      </c>
      <c r="AT701">
        <v>40.67</v>
      </c>
      <c r="AU701" t="s">
        <v>3</v>
      </c>
      <c r="AV701">
        <v>1</v>
      </c>
      <c r="AW701">
        <v>2</v>
      </c>
      <c r="AX701">
        <v>129764004</v>
      </c>
      <c r="AY701">
        <v>1</v>
      </c>
      <c r="AZ701">
        <v>0</v>
      </c>
      <c r="BA701">
        <v>689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CX701">
        <f>ROUND(Y701*Source!I679,9)</f>
        <v>20.335000000000001</v>
      </c>
      <c r="CY701">
        <f>AD701</f>
        <v>0</v>
      </c>
      <c r="CZ701">
        <f>AH701</f>
        <v>0</v>
      </c>
      <c r="DA701">
        <f>AL701</f>
        <v>1</v>
      </c>
      <c r="DB701">
        <f t="shared" si="345"/>
        <v>0</v>
      </c>
      <c r="DC701">
        <f t="shared" si="346"/>
        <v>0</v>
      </c>
      <c r="DD701" t="s">
        <v>3</v>
      </c>
      <c r="DE701" t="s">
        <v>3</v>
      </c>
      <c r="DF701">
        <f>ROUND(AE701*CX701,2)</f>
        <v>0</v>
      </c>
      <c r="DG701">
        <f t="shared" si="347"/>
        <v>0</v>
      </c>
      <c r="DH701">
        <f t="shared" si="348"/>
        <v>0</v>
      </c>
      <c r="DI701">
        <f t="shared" si="325"/>
        <v>0</v>
      </c>
      <c r="DJ701">
        <f>DI701</f>
        <v>0</v>
      </c>
      <c r="DK701">
        <v>0</v>
      </c>
    </row>
    <row r="702" spans="1:115" x14ac:dyDescent="0.2">
      <c r="A702">
        <f>ROW(Source!A679)</f>
        <v>679</v>
      </c>
      <c r="B702">
        <v>129761636</v>
      </c>
      <c r="C702">
        <v>129764001</v>
      </c>
      <c r="D702">
        <v>37396222</v>
      </c>
      <c r="E702">
        <v>1</v>
      </c>
      <c r="F702">
        <v>1</v>
      </c>
      <c r="G702">
        <v>37345137</v>
      </c>
      <c r="H702">
        <v>3</v>
      </c>
      <c r="I702" t="s">
        <v>673</v>
      </c>
      <c r="J702" t="s">
        <v>675</v>
      </c>
      <c r="K702" t="s">
        <v>674</v>
      </c>
      <c r="L702">
        <v>1301</v>
      </c>
      <c r="N702">
        <v>1003</v>
      </c>
      <c r="O702" t="s">
        <v>270</v>
      </c>
      <c r="P702" t="s">
        <v>270</v>
      </c>
      <c r="Q702">
        <v>1</v>
      </c>
      <c r="W702">
        <v>0</v>
      </c>
      <c r="X702">
        <v>-961474962</v>
      </c>
      <c r="Y702">
        <f t="shared" si="344"/>
        <v>100</v>
      </c>
      <c r="AA702">
        <v>9.74</v>
      </c>
      <c r="AB702">
        <v>0</v>
      </c>
      <c r="AC702">
        <v>0</v>
      </c>
      <c r="AD702">
        <v>0</v>
      </c>
      <c r="AE702">
        <v>9.74</v>
      </c>
      <c r="AF702">
        <v>0</v>
      </c>
      <c r="AG702">
        <v>0</v>
      </c>
      <c r="AH702">
        <v>0</v>
      </c>
      <c r="AI702">
        <v>1</v>
      </c>
      <c r="AJ702">
        <v>1</v>
      </c>
      <c r="AK702">
        <v>1</v>
      </c>
      <c r="AL702">
        <v>1</v>
      </c>
      <c r="AN702">
        <v>0</v>
      </c>
      <c r="AO702">
        <v>0</v>
      </c>
      <c r="AP702">
        <v>0</v>
      </c>
      <c r="AQ702">
        <v>0</v>
      </c>
      <c r="AR702">
        <v>0</v>
      </c>
      <c r="AS702" t="s">
        <v>3</v>
      </c>
      <c r="AT702">
        <v>100</v>
      </c>
      <c r="AU702" t="s">
        <v>3</v>
      </c>
      <c r="AV702">
        <v>0</v>
      </c>
      <c r="AW702">
        <v>1</v>
      </c>
      <c r="AX702">
        <v>-1</v>
      </c>
      <c r="AY702">
        <v>0</v>
      </c>
      <c r="AZ702">
        <v>0</v>
      </c>
      <c r="BA702" t="s">
        <v>3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CX702">
        <f>ROUND(Y702*Source!I679,9)</f>
        <v>50</v>
      </c>
      <c r="CY702">
        <f>AA702</f>
        <v>9.74</v>
      </c>
      <c r="CZ702">
        <f>AE702</f>
        <v>9.74</v>
      </c>
      <c r="DA702">
        <f>AI702</f>
        <v>1</v>
      </c>
      <c r="DB702">
        <f t="shared" si="345"/>
        <v>974</v>
      </c>
      <c r="DC702">
        <f t="shared" si="346"/>
        <v>0</v>
      </c>
      <c r="DD702" t="s">
        <v>3</v>
      </c>
      <c r="DE702" t="s">
        <v>3</v>
      </c>
      <c r="DF702">
        <f>ROUND(AE702*CX702,2)</f>
        <v>487</v>
      </c>
      <c r="DG702">
        <f t="shared" si="347"/>
        <v>0</v>
      </c>
      <c r="DH702">
        <f t="shared" si="348"/>
        <v>0</v>
      </c>
      <c r="DI702">
        <f t="shared" si="325"/>
        <v>0</v>
      </c>
      <c r="DJ702">
        <f>DF702</f>
        <v>487</v>
      </c>
      <c r="DK702">
        <v>0</v>
      </c>
    </row>
    <row r="703" spans="1:115" x14ac:dyDescent="0.2">
      <c r="A703">
        <f>ROW(Source!A680)</f>
        <v>680</v>
      </c>
      <c r="B703">
        <v>129761633</v>
      </c>
      <c r="C703">
        <v>129764001</v>
      </c>
      <c r="D703">
        <v>37345142</v>
      </c>
      <c r="E703">
        <v>37345137</v>
      </c>
      <c r="F703">
        <v>1</v>
      </c>
      <c r="G703">
        <v>37345137</v>
      </c>
      <c r="H703">
        <v>1</v>
      </c>
      <c r="I703" t="s">
        <v>1096</v>
      </c>
      <c r="J703" t="s">
        <v>3</v>
      </c>
      <c r="K703" t="s">
        <v>1097</v>
      </c>
      <c r="L703">
        <v>1191</v>
      </c>
      <c r="N703">
        <v>1013</v>
      </c>
      <c r="O703" t="s">
        <v>1098</v>
      </c>
      <c r="P703" t="s">
        <v>1098</v>
      </c>
      <c r="Q703">
        <v>1</v>
      </c>
      <c r="W703">
        <v>0</v>
      </c>
      <c r="X703">
        <v>476480486</v>
      </c>
      <c r="Y703">
        <f t="shared" si="344"/>
        <v>40.67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1</v>
      </c>
      <c r="AJ703">
        <v>1</v>
      </c>
      <c r="AK703">
        <v>1</v>
      </c>
      <c r="AL703">
        <v>1</v>
      </c>
      <c r="AN703">
        <v>0</v>
      </c>
      <c r="AO703">
        <v>1</v>
      </c>
      <c r="AP703">
        <v>0</v>
      </c>
      <c r="AQ703">
        <v>0</v>
      </c>
      <c r="AR703">
        <v>0</v>
      </c>
      <c r="AS703" t="s">
        <v>3</v>
      </c>
      <c r="AT703">
        <v>40.67</v>
      </c>
      <c r="AU703" t="s">
        <v>3</v>
      </c>
      <c r="AV703">
        <v>1</v>
      </c>
      <c r="AW703">
        <v>2</v>
      </c>
      <c r="AX703">
        <v>129764004</v>
      </c>
      <c r="AY703">
        <v>1</v>
      </c>
      <c r="AZ703">
        <v>0</v>
      </c>
      <c r="BA703">
        <v>697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CX703">
        <f>ROUND(Y703*Source!I680,9)</f>
        <v>20.335000000000001</v>
      </c>
      <c r="CY703">
        <f>AD703</f>
        <v>0</v>
      </c>
      <c r="CZ703">
        <f>AH703</f>
        <v>0</v>
      </c>
      <c r="DA703">
        <f>AL703</f>
        <v>1</v>
      </c>
      <c r="DB703">
        <f t="shared" si="345"/>
        <v>0</v>
      </c>
      <c r="DC703">
        <f t="shared" si="346"/>
        <v>0</v>
      </c>
      <c r="DD703" t="s">
        <v>3</v>
      </c>
      <c r="DE703" t="s">
        <v>3</v>
      </c>
      <c r="DF703">
        <f>ROUND(AE703*CX703,2)</f>
        <v>0</v>
      </c>
      <c r="DG703">
        <f t="shared" si="347"/>
        <v>0</v>
      </c>
      <c r="DH703">
        <f t="shared" si="348"/>
        <v>0</v>
      </c>
      <c r="DI703">
        <f t="shared" si="325"/>
        <v>0</v>
      </c>
      <c r="DJ703">
        <f>DI703</f>
        <v>0</v>
      </c>
      <c r="DK703">
        <v>0</v>
      </c>
    </row>
    <row r="704" spans="1:115" x14ac:dyDescent="0.2">
      <c r="A704">
        <f>ROW(Source!A680)</f>
        <v>680</v>
      </c>
      <c r="B704">
        <v>129761633</v>
      </c>
      <c r="C704">
        <v>129764001</v>
      </c>
      <c r="D704">
        <v>37396222</v>
      </c>
      <c r="E704">
        <v>1</v>
      </c>
      <c r="F704">
        <v>1</v>
      </c>
      <c r="G704">
        <v>37345137</v>
      </c>
      <c r="H704">
        <v>3</v>
      </c>
      <c r="I704" t="s">
        <v>673</v>
      </c>
      <c r="J704" t="s">
        <v>675</v>
      </c>
      <c r="K704" t="s">
        <v>674</v>
      </c>
      <c r="L704">
        <v>1301</v>
      </c>
      <c r="N704">
        <v>1003</v>
      </c>
      <c r="O704" t="s">
        <v>270</v>
      </c>
      <c r="P704" t="s">
        <v>270</v>
      </c>
      <c r="Q704">
        <v>1</v>
      </c>
      <c r="W704">
        <v>0</v>
      </c>
      <c r="X704">
        <v>-961474962</v>
      </c>
      <c r="Y704">
        <f t="shared" si="344"/>
        <v>100</v>
      </c>
      <c r="AA704">
        <v>67.89</v>
      </c>
      <c r="AB704">
        <v>0</v>
      </c>
      <c r="AC704">
        <v>0</v>
      </c>
      <c r="AD704">
        <v>0</v>
      </c>
      <c r="AE704">
        <v>9.74</v>
      </c>
      <c r="AF704">
        <v>0</v>
      </c>
      <c r="AG704">
        <v>0</v>
      </c>
      <c r="AH704">
        <v>0</v>
      </c>
      <c r="AI704">
        <v>6.97</v>
      </c>
      <c r="AJ704">
        <v>1</v>
      </c>
      <c r="AK704">
        <v>1</v>
      </c>
      <c r="AL704">
        <v>1</v>
      </c>
      <c r="AN704">
        <v>0</v>
      </c>
      <c r="AO704">
        <v>0</v>
      </c>
      <c r="AP704">
        <v>0</v>
      </c>
      <c r="AQ704">
        <v>0</v>
      </c>
      <c r="AR704">
        <v>0</v>
      </c>
      <c r="AS704" t="s">
        <v>3</v>
      </c>
      <c r="AT704">
        <v>100</v>
      </c>
      <c r="AU704" t="s">
        <v>3</v>
      </c>
      <c r="AV704">
        <v>0</v>
      </c>
      <c r="AW704">
        <v>1</v>
      </c>
      <c r="AX704">
        <v>-1</v>
      </c>
      <c r="AY704">
        <v>0</v>
      </c>
      <c r="AZ704">
        <v>0</v>
      </c>
      <c r="BA704" t="s">
        <v>3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CX704">
        <f>ROUND(Y704*Source!I680,9)</f>
        <v>50</v>
      </c>
      <c r="CY704">
        <f>AA704</f>
        <v>67.89</v>
      </c>
      <c r="CZ704">
        <f>AE704</f>
        <v>9.74</v>
      </c>
      <c r="DA704">
        <f>AI704</f>
        <v>6.97</v>
      </c>
      <c r="DB704">
        <f t="shared" si="345"/>
        <v>974</v>
      </c>
      <c r="DC704">
        <f t="shared" si="346"/>
        <v>0</v>
      </c>
      <c r="DD704" t="s">
        <v>3</v>
      </c>
      <c r="DE704" t="s">
        <v>3</v>
      </c>
      <c r="DF704">
        <f>ROUND(ROUND(AE704*CX704,2)*AI704,2)</f>
        <v>3394.39</v>
      </c>
      <c r="DG704">
        <f t="shared" si="347"/>
        <v>0</v>
      </c>
      <c r="DH704">
        <f t="shared" si="348"/>
        <v>0</v>
      </c>
      <c r="DI704">
        <f t="shared" si="325"/>
        <v>0</v>
      </c>
      <c r="DJ704">
        <f>DF704</f>
        <v>3394.39</v>
      </c>
      <c r="DK704">
        <v>0</v>
      </c>
    </row>
    <row r="705" spans="1:115" x14ac:dyDescent="0.2">
      <c r="A705">
        <f>ROW(Source!A683)</f>
        <v>683</v>
      </c>
      <c r="B705">
        <v>129761636</v>
      </c>
      <c r="C705">
        <v>129764013</v>
      </c>
      <c r="D705">
        <v>37345142</v>
      </c>
      <c r="E705">
        <v>37345137</v>
      </c>
      <c r="F705">
        <v>1</v>
      </c>
      <c r="G705">
        <v>37345137</v>
      </c>
      <c r="H705">
        <v>1</v>
      </c>
      <c r="I705" t="s">
        <v>1096</v>
      </c>
      <c r="J705" t="s">
        <v>3</v>
      </c>
      <c r="K705" t="s">
        <v>1097</v>
      </c>
      <c r="L705">
        <v>1191</v>
      </c>
      <c r="N705">
        <v>1013</v>
      </c>
      <c r="O705" t="s">
        <v>1098</v>
      </c>
      <c r="P705" t="s">
        <v>1098</v>
      </c>
      <c r="Q705">
        <v>1</v>
      </c>
      <c r="W705">
        <v>0</v>
      </c>
      <c r="X705">
        <v>476480486</v>
      </c>
      <c r="Y705">
        <f t="shared" si="344"/>
        <v>20.7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1</v>
      </c>
      <c r="AJ705">
        <v>1</v>
      </c>
      <c r="AK705">
        <v>1</v>
      </c>
      <c r="AL705">
        <v>1</v>
      </c>
      <c r="AN705">
        <v>0</v>
      </c>
      <c r="AO705">
        <v>1</v>
      </c>
      <c r="AP705">
        <v>0</v>
      </c>
      <c r="AQ705">
        <v>0</v>
      </c>
      <c r="AR705">
        <v>0</v>
      </c>
      <c r="AS705" t="s">
        <v>3</v>
      </c>
      <c r="AT705">
        <v>20.7</v>
      </c>
      <c r="AU705" t="s">
        <v>3</v>
      </c>
      <c r="AV705">
        <v>1</v>
      </c>
      <c r="AW705">
        <v>2</v>
      </c>
      <c r="AX705">
        <v>129764016</v>
      </c>
      <c r="AY705">
        <v>1</v>
      </c>
      <c r="AZ705">
        <v>0</v>
      </c>
      <c r="BA705">
        <v>705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CX705">
        <f>ROUND(Y705*Source!I683,9)</f>
        <v>0.22770000000000001</v>
      </c>
      <c r="CY705">
        <f>AD705</f>
        <v>0</v>
      </c>
      <c r="CZ705">
        <f>AH705</f>
        <v>0</v>
      </c>
      <c r="DA705">
        <f>AL705</f>
        <v>1</v>
      </c>
      <c r="DB705">
        <f t="shared" si="345"/>
        <v>0</v>
      </c>
      <c r="DC705">
        <f t="shared" si="346"/>
        <v>0</v>
      </c>
      <c r="DD705" t="s">
        <v>3</v>
      </c>
      <c r="DE705" t="s">
        <v>3</v>
      </c>
      <c r="DF705">
        <f>ROUND(AE705*CX705,2)</f>
        <v>0</v>
      </c>
      <c r="DG705">
        <f t="shared" si="347"/>
        <v>0</v>
      </c>
      <c r="DH705">
        <f t="shared" si="348"/>
        <v>0</v>
      </c>
      <c r="DI705">
        <f t="shared" ref="DI705:DI768" si="349">ROUND(AH705*CX705,2)</f>
        <v>0</v>
      </c>
      <c r="DJ705">
        <f>DI705</f>
        <v>0</v>
      </c>
      <c r="DK705">
        <v>0</v>
      </c>
    </row>
    <row r="706" spans="1:115" x14ac:dyDescent="0.2">
      <c r="A706">
        <f>ROW(Source!A683)</f>
        <v>683</v>
      </c>
      <c r="B706">
        <v>129761636</v>
      </c>
      <c r="C706">
        <v>129764013</v>
      </c>
      <c r="D706">
        <v>37398765</v>
      </c>
      <c r="E706">
        <v>1</v>
      </c>
      <c r="F706">
        <v>1</v>
      </c>
      <c r="G706">
        <v>37345137</v>
      </c>
      <c r="H706">
        <v>3</v>
      </c>
      <c r="I706" t="s">
        <v>681</v>
      </c>
      <c r="J706" t="s">
        <v>683</v>
      </c>
      <c r="K706" t="s">
        <v>682</v>
      </c>
      <c r="L706">
        <v>1301</v>
      </c>
      <c r="N706">
        <v>1003</v>
      </c>
      <c r="O706" t="s">
        <v>270</v>
      </c>
      <c r="P706" t="s">
        <v>270</v>
      </c>
      <c r="Q706">
        <v>1</v>
      </c>
      <c r="W706">
        <v>0</v>
      </c>
      <c r="X706">
        <v>-2061019636</v>
      </c>
      <c r="Y706">
        <f t="shared" si="344"/>
        <v>102.00000000000001</v>
      </c>
      <c r="AA706">
        <v>3.35</v>
      </c>
      <c r="AB706">
        <v>0</v>
      </c>
      <c r="AC706">
        <v>0</v>
      </c>
      <c r="AD706">
        <v>0</v>
      </c>
      <c r="AE706">
        <v>3.35</v>
      </c>
      <c r="AF706">
        <v>0</v>
      </c>
      <c r="AG706">
        <v>0</v>
      </c>
      <c r="AH706">
        <v>0</v>
      </c>
      <c r="AI706">
        <v>1</v>
      </c>
      <c r="AJ706">
        <v>1</v>
      </c>
      <c r="AK706">
        <v>1</v>
      </c>
      <c r="AL706">
        <v>1</v>
      </c>
      <c r="AN706">
        <v>0</v>
      </c>
      <c r="AO706">
        <v>0</v>
      </c>
      <c r="AP706">
        <v>0</v>
      </c>
      <c r="AQ706">
        <v>0</v>
      </c>
      <c r="AR706">
        <v>0</v>
      </c>
      <c r="AS706" t="s">
        <v>3</v>
      </c>
      <c r="AT706">
        <v>102.00000000000001</v>
      </c>
      <c r="AU706" t="s">
        <v>3</v>
      </c>
      <c r="AV706">
        <v>0</v>
      </c>
      <c r="AW706">
        <v>1</v>
      </c>
      <c r="AX706">
        <v>-1</v>
      </c>
      <c r="AY706">
        <v>0</v>
      </c>
      <c r="AZ706">
        <v>0</v>
      </c>
      <c r="BA706" t="s">
        <v>3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CX706">
        <f>ROUND(Y706*Source!I683,9)</f>
        <v>1.1220000000000001</v>
      </c>
      <c r="CY706">
        <f>AA706</f>
        <v>3.35</v>
      </c>
      <c r="CZ706">
        <f>AE706</f>
        <v>3.35</v>
      </c>
      <c r="DA706">
        <f>AI706</f>
        <v>1</v>
      </c>
      <c r="DB706">
        <f t="shared" si="345"/>
        <v>341.7</v>
      </c>
      <c r="DC706">
        <f t="shared" si="346"/>
        <v>0</v>
      </c>
      <c r="DD706" t="s">
        <v>3</v>
      </c>
      <c r="DE706" t="s">
        <v>3</v>
      </c>
      <c r="DF706">
        <f>ROUND(AE706*CX706,2)</f>
        <v>3.76</v>
      </c>
      <c r="DG706">
        <f t="shared" si="347"/>
        <v>0</v>
      </c>
      <c r="DH706">
        <f t="shared" si="348"/>
        <v>0</v>
      </c>
      <c r="DI706">
        <f t="shared" si="349"/>
        <v>0</v>
      </c>
      <c r="DJ706">
        <f>DF706</f>
        <v>3.76</v>
      </c>
      <c r="DK706">
        <v>0</v>
      </c>
    </row>
    <row r="707" spans="1:115" x14ac:dyDescent="0.2">
      <c r="A707">
        <f>ROW(Source!A684)</f>
        <v>684</v>
      </c>
      <c r="B707">
        <v>129761633</v>
      </c>
      <c r="C707">
        <v>129764013</v>
      </c>
      <c r="D707">
        <v>37345142</v>
      </c>
      <c r="E707">
        <v>37345137</v>
      </c>
      <c r="F707">
        <v>1</v>
      </c>
      <c r="G707">
        <v>37345137</v>
      </c>
      <c r="H707">
        <v>1</v>
      </c>
      <c r="I707" t="s">
        <v>1096</v>
      </c>
      <c r="J707" t="s">
        <v>3</v>
      </c>
      <c r="K707" t="s">
        <v>1097</v>
      </c>
      <c r="L707">
        <v>1191</v>
      </c>
      <c r="N707">
        <v>1013</v>
      </c>
      <c r="O707" t="s">
        <v>1098</v>
      </c>
      <c r="P707" t="s">
        <v>1098</v>
      </c>
      <c r="Q707">
        <v>1</v>
      </c>
      <c r="W707">
        <v>0</v>
      </c>
      <c r="X707">
        <v>476480486</v>
      </c>
      <c r="Y707">
        <f t="shared" si="344"/>
        <v>20.7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1</v>
      </c>
      <c r="AJ707">
        <v>1</v>
      </c>
      <c r="AK707">
        <v>1</v>
      </c>
      <c r="AL707">
        <v>1</v>
      </c>
      <c r="AN707">
        <v>0</v>
      </c>
      <c r="AO707">
        <v>1</v>
      </c>
      <c r="AP707">
        <v>0</v>
      </c>
      <c r="AQ707">
        <v>0</v>
      </c>
      <c r="AR707">
        <v>0</v>
      </c>
      <c r="AS707" t="s">
        <v>3</v>
      </c>
      <c r="AT707">
        <v>20.7</v>
      </c>
      <c r="AU707" t="s">
        <v>3</v>
      </c>
      <c r="AV707">
        <v>1</v>
      </c>
      <c r="AW707">
        <v>2</v>
      </c>
      <c r="AX707">
        <v>129764016</v>
      </c>
      <c r="AY707">
        <v>1</v>
      </c>
      <c r="AZ707">
        <v>0</v>
      </c>
      <c r="BA707">
        <v>706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CX707">
        <f>ROUND(Y707*Source!I684,9)</f>
        <v>0.22770000000000001</v>
      </c>
      <c r="CY707">
        <f>AD707</f>
        <v>0</v>
      </c>
      <c r="CZ707">
        <f>AH707</f>
        <v>0</v>
      </c>
      <c r="DA707">
        <f>AL707</f>
        <v>1</v>
      </c>
      <c r="DB707">
        <f t="shared" si="345"/>
        <v>0</v>
      </c>
      <c r="DC707">
        <f t="shared" si="346"/>
        <v>0</v>
      </c>
      <c r="DD707" t="s">
        <v>3</v>
      </c>
      <c r="DE707" t="s">
        <v>3</v>
      </c>
      <c r="DF707">
        <f>ROUND(AE707*CX707,2)</f>
        <v>0</v>
      </c>
      <c r="DG707">
        <f t="shared" si="347"/>
        <v>0</v>
      </c>
      <c r="DH707">
        <f t="shared" si="348"/>
        <v>0</v>
      </c>
      <c r="DI707">
        <f t="shared" si="349"/>
        <v>0</v>
      </c>
      <c r="DJ707">
        <f>DI707</f>
        <v>0</v>
      </c>
      <c r="DK707">
        <v>0</v>
      </c>
    </row>
    <row r="708" spans="1:115" x14ac:dyDescent="0.2">
      <c r="A708">
        <f>ROW(Source!A684)</f>
        <v>684</v>
      </c>
      <c r="B708">
        <v>129761633</v>
      </c>
      <c r="C708">
        <v>129764013</v>
      </c>
      <c r="D708">
        <v>37398765</v>
      </c>
      <c r="E708">
        <v>1</v>
      </c>
      <c r="F708">
        <v>1</v>
      </c>
      <c r="G708">
        <v>37345137</v>
      </c>
      <c r="H708">
        <v>3</v>
      </c>
      <c r="I708" t="s">
        <v>681</v>
      </c>
      <c r="J708" t="s">
        <v>683</v>
      </c>
      <c r="K708" t="s">
        <v>682</v>
      </c>
      <c r="L708">
        <v>1301</v>
      </c>
      <c r="N708">
        <v>1003</v>
      </c>
      <c r="O708" t="s">
        <v>270</v>
      </c>
      <c r="P708" t="s">
        <v>270</v>
      </c>
      <c r="Q708">
        <v>1</v>
      </c>
      <c r="W708">
        <v>0</v>
      </c>
      <c r="X708">
        <v>-2061019636</v>
      </c>
      <c r="Y708">
        <f t="shared" si="344"/>
        <v>102.00000000000001</v>
      </c>
      <c r="AA708">
        <v>16.72</v>
      </c>
      <c r="AB708">
        <v>0</v>
      </c>
      <c r="AC708">
        <v>0</v>
      </c>
      <c r="AD708">
        <v>0</v>
      </c>
      <c r="AE708">
        <v>3.35</v>
      </c>
      <c r="AF708">
        <v>0</v>
      </c>
      <c r="AG708">
        <v>0</v>
      </c>
      <c r="AH708">
        <v>0</v>
      </c>
      <c r="AI708">
        <v>4.99</v>
      </c>
      <c r="AJ708">
        <v>1</v>
      </c>
      <c r="AK708">
        <v>1</v>
      </c>
      <c r="AL708">
        <v>1</v>
      </c>
      <c r="AN708">
        <v>0</v>
      </c>
      <c r="AO708">
        <v>0</v>
      </c>
      <c r="AP708">
        <v>0</v>
      </c>
      <c r="AQ708">
        <v>0</v>
      </c>
      <c r="AR708">
        <v>0</v>
      </c>
      <c r="AS708" t="s">
        <v>3</v>
      </c>
      <c r="AT708">
        <v>102.00000000000001</v>
      </c>
      <c r="AU708" t="s">
        <v>3</v>
      </c>
      <c r="AV708">
        <v>0</v>
      </c>
      <c r="AW708">
        <v>1</v>
      </c>
      <c r="AX708">
        <v>-1</v>
      </c>
      <c r="AY708">
        <v>0</v>
      </c>
      <c r="AZ708">
        <v>0</v>
      </c>
      <c r="BA708" t="s">
        <v>3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0</v>
      </c>
      <c r="CX708">
        <f>ROUND(Y708*Source!I684,9)</f>
        <v>1.1220000000000001</v>
      </c>
      <c r="CY708">
        <f>AA708</f>
        <v>16.72</v>
      </c>
      <c r="CZ708">
        <f>AE708</f>
        <v>3.35</v>
      </c>
      <c r="DA708">
        <f>AI708</f>
        <v>4.99</v>
      </c>
      <c r="DB708">
        <f t="shared" si="345"/>
        <v>341.7</v>
      </c>
      <c r="DC708">
        <f t="shared" si="346"/>
        <v>0</v>
      </c>
      <c r="DD708" t="s">
        <v>3</v>
      </c>
      <c r="DE708" t="s">
        <v>3</v>
      </c>
      <c r="DF708">
        <f>ROUND(ROUND(AE708*CX708,2)*AI708,2)</f>
        <v>18.760000000000002</v>
      </c>
      <c r="DG708">
        <f t="shared" si="347"/>
        <v>0</v>
      </c>
      <c r="DH708">
        <f t="shared" si="348"/>
        <v>0</v>
      </c>
      <c r="DI708">
        <f t="shared" si="349"/>
        <v>0</v>
      </c>
      <c r="DJ708">
        <f>DF708</f>
        <v>18.760000000000002</v>
      </c>
      <c r="DK708">
        <v>0</v>
      </c>
    </row>
    <row r="709" spans="1:115" x14ac:dyDescent="0.2">
      <c r="A709">
        <f>ROW(Source!A687)</f>
        <v>687</v>
      </c>
      <c r="B709">
        <v>129761636</v>
      </c>
      <c r="C709">
        <v>129764018</v>
      </c>
      <c r="D709">
        <v>37345142</v>
      </c>
      <c r="E709">
        <v>37345137</v>
      </c>
      <c r="F709">
        <v>1</v>
      </c>
      <c r="G709">
        <v>37345137</v>
      </c>
      <c r="H709">
        <v>1</v>
      </c>
      <c r="I709" t="s">
        <v>1096</v>
      </c>
      <c r="J709" t="s">
        <v>3</v>
      </c>
      <c r="K709" t="s">
        <v>1097</v>
      </c>
      <c r="L709">
        <v>1191</v>
      </c>
      <c r="N709">
        <v>1013</v>
      </c>
      <c r="O709" t="s">
        <v>1098</v>
      </c>
      <c r="P709" t="s">
        <v>1098</v>
      </c>
      <c r="Q709">
        <v>1</v>
      </c>
      <c r="W709">
        <v>0</v>
      </c>
      <c r="X709">
        <v>476480486</v>
      </c>
      <c r="Y709">
        <f t="shared" si="344"/>
        <v>29.9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1</v>
      </c>
      <c r="AJ709">
        <v>1</v>
      </c>
      <c r="AK709">
        <v>1</v>
      </c>
      <c r="AL709">
        <v>1</v>
      </c>
      <c r="AN709">
        <v>0</v>
      </c>
      <c r="AO709">
        <v>1</v>
      </c>
      <c r="AP709">
        <v>0</v>
      </c>
      <c r="AQ709">
        <v>0</v>
      </c>
      <c r="AR709">
        <v>0</v>
      </c>
      <c r="AS709" t="s">
        <v>3</v>
      </c>
      <c r="AT709">
        <v>29.9</v>
      </c>
      <c r="AU709" t="s">
        <v>3</v>
      </c>
      <c r="AV709">
        <v>1</v>
      </c>
      <c r="AW709">
        <v>2</v>
      </c>
      <c r="AX709">
        <v>129764021</v>
      </c>
      <c r="AY709">
        <v>1</v>
      </c>
      <c r="AZ709">
        <v>0</v>
      </c>
      <c r="BA709">
        <v>707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CX709">
        <f>ROUND(Y709*Source!I687,9)</f>
        <v>2.99</v>
      </c>
      <c r="CY709">
        <f>AD709</f>
        <v>0</v>
      </c>
      <c r="CZ709">
        <f>AH709</f>
        <v>0</v>
      </c>
      <c r="DA709">
        <f>AL709</f>
        <v>1</v>
      </c>
      <c r="DB709">
        <f t="shared" si="345"/>
        <v>0</v>
      </c>
      <c r="DC709">
        <f t="shared" si="346"/>
        <v>0</v>
      </c>
      <c r="DD709" t="s">
        <v>3</v>
      </c>
      <c r="DE709" t="s">
        <v>3</v>
      </c>
      <c r="DF709">
        <f>ROUND(AE709*CX709,2)</f>
        <v>0</v>
      </c>
      <c r="DG709">
        <f t="shared" si="347"/>
        <v>0</v>
      </c>
      <c r="DH709">
        <f t="shared" si="348"/>
        <v>0</v>
      </c>
      <c r="DI709">
        <f t="shared" si="349"/>
        <v>0</v>
      </c>
      <c r="DJ709">
        <f>DI709</f>
        <v>0</v>
      </c>
      <c r="DK709">
        <v>0</v>
      </c>
    </row>
    <row r="710" spans="1:115" x14ac:dyDescent="0.2">
      <c r="A710">
        <f>ROW(Source!A687)</f>
        <v>687</v>
      </c>
      <c r="B710">
        <v>129761636</v>
      </c>
      <c r="C710">
        <v>129764018</v>
      </c>
      <c r="D710">
        <v>0</v>
      </c>
      <c r="E710">
        <v>1</v>
      </c>
      <c r="F710">
        <v>1</v>
      </c>
      <c r="G710">
        <v>37345137</v>
      </c>
      <c r="H710">
        <v>3</v>
      </c>
      <c r="I710" t="s">
        <v>248</v>
      </c>
      <c r="J710" t="s">
        <v>3</v>
      </c>
      <c r="K710" t="s">
        <v>687</v>
      </c>
      <c r="L710">
        <v>1301</v>
      </c>
      <c r="N710">
        <v>1003</v>
      </c>
      <c r="O710" t="s">
        <v>270</v>
      </c>
      <c r="P710" t="s">
        <v>270</v>
      </c>
      <c r="Q710">
        <v>1</v>
      </c>
      <c r="W710">
        <v>0</v>
      </c>
      <c r="X710">
        <v>-1468781135</v>
      </c>
      <c r="Y710">
        <f t="shared" si="344"/>
        <v>103</v>
      </c>
      <c r="AA710">
        <v>16.02</v>
      </c>
      <c r="AB710">
        <v>0</v>
      </c>
      <c r="AC710">
        <v>0</v>
      </c>
      <c r="AD710">
        <v>0</v>
      </c>
      <c r="AE710">
        <v>16.02</v>
      </c>
      <c r="AF710">
        <v>0</v>
      </c>
      <c r="AG710">
        <v>0</v>
      </c>
      <c r="AH710">
        <v>0</v>
      </c>
      <c r="AI710">
        <v>1</v>
      </c>
      <c r="AJ710">
        <v>1</v>
      </c>
      <c r="AK710">
        <v>1</v>
      </c>
      <c r="AL710">
        <v>1</v>
      </c>
      <c r="AN710">
        <v>0</v>
      </c>
      <c r="AO710">
        <v>0</v>
      </c>
      <c r="AP710">
        <v>0</v>
      </c>
      <c r="AQ710">
        <v>0</v>
      </c>
      <c r="AR710">
        <v>0</v>
      </c>
      <c r="AS710" t="s">
        <v>3</v>
      </c>
      <c r="AT710">
        <v>103</v>
      </c>
      <c r="AU710" t="s">
        <v>3</v>
      </c>
      <c r="AV710">
        <v>0</v>
      </c>
      <c r="AW710">
        <v>1</v>
      </c>
      <c r="AX710">
        <v>-1</v>
      </c>
      <c r="AY710">
        <v>0</v>
      </c>
      <c r="AZ710">
        <v>0</v>
      </c>
      <c r="BA710" t="s">
        <v>3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CX710">
        <f>ROUND(Y710*Source!I687,9)</f>
        <v>10.3</v>
      </c>
      <c r="CY710">
        <f>AA710</f>
        <v>16.02</v>
      </c>
      <c r="CZ710">
        <f>AE710</f>
        <v>16.02</v>
      </c>
      <c r="DA710">
        <f>AI710</f>
        <v>1</v>
      </c>
      <c r="DB710">
        <f t="shared" si="345"/>
        <v>1650.06</v>
      </c>
      <c r="DC710">
        <f t="shared" si="346"/>
        <v>0</v>
      </c>
      <c r="DD710" t="s">
        <v>3</v>
      </c>
      <c r="DE710" t="s">
        <v>3</v>
      </c>
      <c r="DF710">
        <f>ROUND(AE710*CX710,2)</f>
        <v>165.01</v>
      </c>
      <c r="DG710">
        <f t="shared" si="347"/>
        <v>0</v>
      </c>
      <c r="DH710">
        <f t="shared" si="348"/>
        <v>0</v>
      </c>
      <c r="DI710">
        <f t="shared" si="349"/>
        <v>0</v>
      </c>
      <c r="DJ710">
        <f>DF710</f>
        <v>165.01</v>
      </c>
      <c r="DK710">
        <v>0</v>
      </c>
    </row>
    <row r="711" spans="1:115" x14ac:dyDescent="0.2">
      <c r="A711">
        <f>ROW(Source!A688)</f>
        <v>688</v>
      </c>
      <c r="B711">
        <v>129761633</v>
      </c>
      <c r="C711">
        <v>129764018</v>
      </c>
      <c r="D711">
        <v>37345142</v>
      </c>
      <c r="E711">
        <v>37345137</v>
      </c>
      <c r="F711">
        <v>1</v>
      </c>
      <c r="G711">
        <v>37345137</v>
      </c>
      <c r="H711">
        <v>1</v>
      </c>
      <c r="I711" t="s">
        <v>1096</v>
      </c>
      <c r="J711" t="s">
        <v>3</v>
      </c>
      <c r="K711" t="s">
        <v>1097</v>
      </c>
      <c r="L711">
        <v>1191</v>
      </c>
      <c r="N711">
        <v>1013</v>
      </c>
      <c r="O711" t="s">
        <v>1098</v>
      </c>
      <c r="P711" t="s">
        <v>1098</v>
      </c>
      <c r="Q711">
        <v>1</v>
      </c>
      <c r="W711">
        <v>0</v>
      </c>
      <c r="X711">
        <v>476480486</v>
      </c>
      <c r="Y711">
        <f t="shared" si="344"/>
        <v>29.9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1</v>
      </c>
      <c r="AJ711">
        <v>1</v>
      </c>
      <c r="AK711">
        <v>1</v>
      </c>
      <c r="AL711">
        <v>1</v>
      </c>
      <c r="AN711">
        <v>0</v>
      </c>
      <c r="AO711">
        <v>1</v>
      </c>
      <c r="AP711">
        <v>0</v>
      </c>
      <c r="AQ711">
        <v>0</v>
      </c>
      <c r="AR711">
        <v>0</v>
      </c>
      <c r="AS711" t="s">
        <v>3</v>
      </c>
      <c r="AT711">
        <v>29.9</v>
      </c>
      <c r="AU711" t="s">
        <v>3</v>
      </c>
      <c r="AV711">
        <v>1</v>
      </c>
      <c r="AW711">
        <v>2</v>
      </c>
      <c r="AX711">
        <v>129764021</v>
      </c>
      <c r="AY711">
        <v>1</v>
      </c>
      <c r="AZ711">
        <v>0</v>
      </c>
      <c r="BA711">
        <v>708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CX711">
        <f>ROUND(Y711*Source!I688,9)</f>
        <v>2.99</v>
      </c>
      <c r="CY711">
        <f>AD711</f>
        <v>0</v>
      </c>
      <c r="CZ711">
        <f>AH711</f>
        <v>0</v>
      </c>
      <c r="DA711">
        <f>AL711</f>
        <v>1</v>
      </c>
      <c r="DB711">
        <f t="shared" si="345"/>
        <v>0</v>
      </c>
      <c r="DC711">
        <f t="shared" si="346"/>
        <v>0</v>
      </c>
      <c r="DD711" t="s">
        <v>3</v>
      </c>
      <c r="DE711" t="s">
        <v>3</v>
      </c>
      <c r="DF711">
        <f>ROUND(AE711*CX711,2)</f>
        <v>0</v>
      </c>
      <c r="DG711">
        <f t="shared" si="347"/>
        <v>0</v>
      </c>
      <c r="DH711">
        <f t="shared" si="348"/>
        <v>0</v>
      </c>
      <c r="DI711">
        <f t="shared" si="349"/>
        <v>0</v>
      </c>
      <c r="DJ711">
        <f>DI711</f>
        <v>0</v>
      </c>
      <c r="DK711">
        <v>0</v>
      </c>
    </row>
    <row r="712" spans="1:115" x14ac:dyDescent="0.2">
      <c r="A712">
        <f>ROW(Source!A688)</f>
        <v>688</v>
      </c>
      <c r="B712">
        <v>129761633</v>
      </c>
      <c r="C712">
        <v>129764018</v>
      </c>
      <c r="D712">
        <v>0</v>
      </c>
      <c r="E712">
        <v>1</v>
      </c>
      <c r="F712">
        <v>1</v>
      </c>
      <c r="G712">
        <v>37345137</v>
      </c>
      <c r="H712">
        <v>3</v>
      </c>
      <c r="I712" t="s">
        <v>248</v>
      </c>
      <c r="J712" t="s">
        <v>3</v>
      </c>
      <c r="K712" t="s">
        <v>687</v>
      </c>
      <c r="L712">
        <v>1301</v>
      </c>
      <c r="N712">
        <v>1003</v>
      </c>
      <c r="O712" t="s">
        <v>270</v>
      </c>
      <c r="P712" t="s">
        <v>270</v>
      </c>
      <c r="Q712">
        <v>1</v>
      </c>
      <c r="W712">
        <v>0</v>
      </c>
      <c r="X712">
        <v>-1468781135</v>
      </c>
      <c r="Y712">
        <f t="shared" si="344"/>
        <v>103</v>
      </c>
      <c r="AA712">
        <v>106.22</v>
      </c>
      <c r="AB712">
        <v>0</v>
      </c>
      <c r="AC712">
        <v>0</v>
      </c>
      <c r="AD712">
        <v>0</v>
      </c>
      <c r="AE712">
        <v>12.28</v>
      </c>
      <c r="AF712">
        <v>0</v>
      </c>
      <c r="AG712">
        <v>0</v>
      </c>
      <c r="AH712">
        <v>0</v>
      </c>
      <c r="AI712">
        <v>8.65</v>
      </c>
      <c r="AJ712">
        <v>1</v>
      </c>
      <c r="AK712">
        <v>1</v>
      </c>
      <c r="AL712">
        <v>1</v>
      </c>
      <c r="AN712">
        <v>0</v>
      </c>
      <c r="AO712">
        <v>0</v>
      </c>
      <c r="AP712">
        <v>0</v>
      </c>
      <c r="AQ712">
        <v>0</v>
      </c>
      <c r="AR712">
        <v>0</v>
      </c>
      <c r="AS712" t="s">
        <v>3</v>
      </c>
      <c r="AT712">
        <v>103</v>
      </c>
      <c r="AU712" t="s">
        <v>3</v>
      </c>
      <c r="AV712">
        <v>0</v>
      </c>
      <c r="AW712">
        <v>1</v>
      </c>
      <c r="AX712">
        <v>-1</v>
      </c>
      <c r="AY712">
        <v>0</v>
      </c>
      <c r="AZ712">
        <v>0</v>
      </c>
      <c r="BA712" t="s">
        <v>3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CX712">
        <f>ROUND(Y712*Source!I688,9)</f>
        <v>10.3</v>
      </c>
      <c r="CY712">
        <f>AA712</f>
        <v>106.22</v>
      </c>
      <c r="CZ712">
        <f>AE712</f>
        <v>12.28</v>
      </c>
      <c r="DA712">
        <f>AI712</f>
        <v>8.65</v>
      </c>
      <c r="DB712">
        <f t="shared" si="345"/>
        <v>1264.8399999999999</v>
      </c>
      <c r="DC712">
        <f t="shared" si="346"/>
        <v>0</v>
      </c>
      <c r="DD712" t="s">
        <v>3</v>
      </c>
      <c r="DE712" t="s">
        <v>3</v>
      </c>
      <c r="DF712">
        <f>ROUND(ROUND(AE712*CX712,2)*AI712,2)</f>
        <v>1094.05</v>
      </c>
      <c r="DG712">
        <f t="shared" si="347"/>
        <v>0</v>
      </c>
      <c r="DH712">
        <f t="shared" si="348"/>
        <v>0</v>
      </c>
      <c r="DI712">
        <f t="shared" si="349"/>
        <v>0</v>
      </c>
      <c r="DJ712">
        <f>DF712</f>
        <v>1094.05</v>
      </c>
      <c r="DK712">
        <v>0</v>
      </c>
    </row>
    <row r="713" spans="1:115" x14ac:dyDescent="0.2">
      <c r="A713">
        <f>ROW(Source!A691)</f>
        <v>691</v>
      </c>
      <c r="B713">
        <v>129761636</v>
      </c>
      <c r="C713">
        <v>129764023</v>
      </c>
      <c r="D713">
        <v>37345142</v>
      </c>
      <c r="E713">
        <v>37345137</v>
      </c>
      <c r="F713">
        <v>1</v>
      </c>
      <c r="G713">
        <v>37345137</v>
      </c>
      <c r="H713">
        <v>1</v>
      </c>
      <c r="I713" t="s">
        <v>1096</v>
      </c>
      <c r="J713" t="s">
        <v>3</v>
      </c>
      <c r="K713" t="s">
        <v>1097</v>
      </c>
      <c r="L713">
        <v>1191</v>
      </c>
      <c r="N713">
        <v>1013</v>
      </c>
      <c r="O713" t="s">
        <v>1098</v>
      </c>
      <c r="P713" t="s">
        <v>1098</v>
      </c>
      <c r="Q713">
        <v>1</v>
      </c>
      <c r="W713">
        <v>0</v>
      </c>
      <c r="X713">
        <v>476480486</v>
      </c>
      <c r="Y713">
        <f t="shared" si="344"/>
        <v>3.09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1</v>
      </c>
      <c r="AJ713">
        <v>1</v>
      </c>
      <c r="AK713">
        <v>1</v>
      </c>
      <c r="AL713">
        <v>1</v>
      </c>
      <c r="AN713">
        <v>0</v>
      </c>
      <c r="AO713">
        <v>1</v>
      </c>
      <c r="AP713">
        <v>0</v>
      </c>
      <c r="AQ713">
        <v>0</v>
      </c>
      <c r="AR713">
        <v>0</v>
      </c>
      <c r="AS713" t="s">
        <v>3</v>
      </c>
      <c r="AT713">
        <v>3.09</v>
      </c>
      <c r="AU713" t="s">
        <v>3</v>
      </c>
      <c r="AV713">
        <v>1</v>
      </c>
      <c r="AW713">
        <v>2</v>
      </c>
      <c r="AX713">
        <v>129764027</v>
      </c>
      <c r="AY713">
        <v>1</v>
      </c>
      <c r="AZ713">
        <v>0</v>
      </c>
      <c r="BA713">
        <v>709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CX713">
        <f>ROUND(Y713*Source!I691,9)</f>
        <v>3.399</v>
      </c>
      <c r="CY713">
        <f>AD713</f>
        <v>0</v>
      </c>
      <c r="CZ713">
        <f>AH713</f>
        <v>0</v>
      </c>
      <c r="DA713">
        <f>AL713</f>
        <v>1</v>
      </c>
      <c r="DB713">
        <f t="shared" si="345"/>
        <v>0</v>
      </c>
      <c r="DC713">
        <f t="shared" si="346"/>
        <v>0</v>
      </c>
      <c r="DD713" t="s">
        <v>3</v>
      </c>
      <c r="DE713" t="s">
        <v>3</v>
      </c>
      <c r="DF713">
        <f>ROUND(AE713*CX713,2)</f>
        <v>0</v>
      </c>
      <c r="DG713">
        <f t="shared" si="347"/>
        <v>0</v>
      </c>
      <c r="DH713">
        <f t="shared" si="348"/>
        <v>0</v>
      </c>
      <c r="DI713">
        <f t="shared" si="349"/>
        <v>0</v>
      </c>
      <c r="DJ713">
        <f>DI713</f>
        <v>0</v>
      </c>
      <c r="DK713">
        <v>0</v>
      </c>
    </row>
    <row r="714" spans="1:115" x14ac:dyDescent="0.2">
      <c r="A714">
        <f>ROW(Source!A691)</f>
        <v>691</v>
      </c>
      <c r="B714">
        <v>129761636</v>
      </c>
      <c r="C714">
        <v>129764023</v>
      </c>
      <c r="D714">
        <v>37409031</v>
      </c>
      <c r="E714">
        <v>1</v>
      </c>
      <c r="F714">
        <v>1</v>
      </c>
      <c r="G714">
        <v>37345137</v>
      </c>
      <c r="H714">
        <v>3</v>
      </c>
      <c r="I714" t="s">
        <v>692</v>
      </c>
      <c r="J714" t="s">
        <v>695</v>
      </c>
      <c r="K714" t="s">
        <v>693</v>
      </c>
      <c r="L714">
        <v>1303</v>
      </c>
      <c r="N714">
        <v>1003</v>
      </c>
      <c r="O714" t="s">
        <v>694</v>
      </c>
      <c r="P714" t="s">
        <v>694</v>
      </c>
      <c r="Q714">
        <v>1000</v>
      </c>
      <c r="W714">
        <v>0</v>
      </c>
      <c r="X714">
        <v>-202822686</v>
      </c>
      <c r="Y714">
        <f t="shared" si="344"/>
        <v>8.8090909090909081E-2</v>
      </c>
      <c r="AA714">
        <v>1223.45</v>
      </c>
      <c r="AB714">
        <v>0</v>
      </c>
      <c r="AC714">
        <v>0</v>
      </c>
      <c r="AD714">
        <v>0</v>
      </c>
      <c r="AE714">
        <v>1223.45</v>
      </c>
      <c r="AF714">
        <v>0</v>
      </c>
      <c r="AG714">
        <v>0</v>
      </c>
      <c r="AH714">
        <v>0</v>
      </c>
      <c r="AI714">
        <v>1</v>
      </c>
      <c r="AJ714">
        <v>1</v>
      </c>
      <c r="AK714">
        <v>1</v>
      </c>
      <c r="AL714">
        <v>1</v>
      </c>
      <c r="AN714">
        <v>0</v>
      </c>
      <c r="AO714">
        <v>0</v>
      </c>
      <c r="AP714">
        <v>0</v>
      </c>
      <c r="AQ714">
        <v>0</v>
      </c>
      <c r="AR714">
        <v>0</v>
      </c>
      <c r="AS714" t="s">
        <v>3</v>
      </c>
      <c r="AT714">
        <v>8.8090909090909081E-2</v>
      </c>
      <c r="AU714" t="s">
        <v>3</v>
      </c>
      <c r="AV714">
        <v>0</v>
      </c>
      <c r="AW714">
        <v>1</v>
      </c>
      <c r="AX714">
        <v>-1</v>
      </c>
      <c r="AY714">
        <v>0</v>
      </c>
      <c r="AZ714">
        <v>0</v>
      </c>
      <c r="BA714" t="s">
        <v>3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CX714">
        <f>ROUND(Y714*Source!I691,9)</f>
        <v>9.69E-2</v>
      </c>
      <c r="CY714">
        <f>AA714</f>
        <v>1223.45</v>
      </c>
      <c r="CZ714">
        <f>AE714</f>
        <v>1223.45</v>
      </c>
      <c r="DA714">
        <f>AI714</f>
        <v>1</v>
      </c>
      <c r="DB714">
        <f t="shared" si="345"/>
        <v>107.77</v>
      </c>
      <c r="DC714">
        <f t="shared" si="346"/>
        <v>0</v>
      </c>
      <c r="DD714" t="s">
        <v>3</v>
      </c>
      <c r="DE714" t="s">
        <v>3</v>
      </c>
      <c r="DF714">
        <f>ROUND(AE714*CX714,2)</f>
        <v>118.55</v>
      </c>
      <c r="DG714">
        <f t="shared" si="347"/>
        <v>0</v>
      </c>
      <c r="DH714">
        <f t="shared" si="348"/>
        <v>0</v>
      </c>
      <c r="DI714">
        <f t="shared" si="349"/>
        <v>0</v>
      </c>
      <c r="DJ714">
        <f>DF714</f>
        <v>118.55</v>
      </c>
      <c r="DK714">
        <v>0</v>
      </c>
    </row>
    <row r="715" spans="1:115" x14ac:dyDescent="0.2">
      <c r="A715">
        <f>ROW(Source!A691)</f>
        <v>691</v>
      </c>
      <c r="B715">
        <v>129761636</v>
      </c>
      <c r="C715">
        <v>129764023</v>
      </c>
      <c r="D715">
        <v>37409032</v>
      </c>
      <c r="E715">
        <v>1</v>
      </c>
      <c r="F715">
        <v>1</v>
      </c>
      <c r="G715">
        <v>37345137</v>
      </c>
      <c r="H715">
        <v>3</v>
      </c>
      <c r="I715" t="s">
        <v>696</v>
      </c>
      <c r="J715" t="s">
        <v>698</v>
      </c>
      <c r="K715" t="s">
        <v>697</v>
      </c>
      <c r="L715">
        <v>1303</v>
      </c>
      <c r="N715">
        <v>1003</v>
      </c>
      <c r="O715" t="s">
        <v>694</v>
      </c>
      <c r="P715" t="s">
        <v>694</v>
      </c>
      <c r="Q715">
        <v>1000</v>
      </c>
      <c r="W715">
        <v>0</v>
      </c>
      <c r="X715">
        <v>-909786354</v>
      </c>
      <c r="Y715">
        <f t="shared" si="344"/>
        <v>1.3908999999999999E-2</v>
      </c>
      <c r="AA715">
        <v>2839.83</v>
      </c>
      <c r="AB715">
        <v>0</v>
      </c>
      <c r="AC715">
        <v>0</v>
      </c>
      <c r="AD715">
        <v>0</v>
      </c>
      <c r="AE715">
        <v>2839.83</v>
      </c>
      <c r="AF715">
        <v>0</v>
      </c>
      <c r="AG715">
        <v>0</v>
      </c>
      <c r="AH715">
        <v>0</v>
      </c>
      <c r="AI715">
        <v>1</v>
      </c>
      <c r="AJ715">
        <v>1</v>
      </c>
      <c r="AK715">
        <v>1</v>
      </c>
      <c r="AL715">
        <v>1</v>
      </c>
      <c r="AN715">
        <v>0</v>
      </c>
      <c r="AO715">
        <v>0</v>
      </c>
      <c r="AP715">
        <v>0</v>
      </c>
      <c r="AQ715">
        <v>0</v>
      </c>
      <c r="AR715">
        <v>0</v>
      </c>
      <c r="AS715" t="s">
        <v>3</v>
      </c>
      <c r="AT715">
        <v>1.3908999999999999E-2</v>
      </c>
      <c r="AU715" t="s">
        <v>3</v>
      </c>
      <c r="AV715">
        <v>0</v>
      </c>
      <c r="AW715">
        <v>1</v>
      </c>
      <c r="AX715">
        <v>-1</v>
      </c>
      <c r="AY715">
        <v>0</v>
      </c>
      <c r="AZ715">
        <v>0</v>
      </c>
      <c r="BA715" t="s">
        <v>3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CX715">
        <f>ROUND(Y715*Source!I691,9)</f>
        <v>1.52999E-2</v>
      </c>
      <c r="CY715">
        <f>AA715</f>
        <v>2839.83</v>
      </c>
      <c r="CZ715">
        <f>AE715</f>
        <v>2839.83</v>
      </c>
      <c r="DA715">
        <f>AI715</f>
        <v>1</v>
      </c>
      <c r="DB715">
        <f t="shared" si="345"/>
        <v>39.5</v>
      </c>
      <c r="DC715">
        <f t="shared" si="346"/>
        <v>0</v>
      </c>
      <c r="DD715" t="s">
        <v>3</v>
      </c>
      <c r="DE715" t="s">
        <v>3</v>
      </c>
      <c r="DF715">
        <f>ROUND(AE715*CX715,2)</f>
        <v>43.45</v>
      </c>
      <c r="DG715">
        <f t="shared" si="347"/>
        <v>0</v>
      </c>
      <c r="DH715">
        <f t="shared" si="348"/>
        <v>0</v>
      </c>
      <c r="DI715">
        <f t="shared" si="349"/>
        <v>0</v>
      </c>
      <c r="DJ715">
        <f>DF715</f>
        <v>43.45</v>
      </c>
      <c r="DK715">
        <v>0</v>
      </c>
    </row>
    <row r="716" spans="1:115" x14ac:dyDescent="0.2">
      <c r="A716">
        <f>ROW(Source!A692)</f>
        <v>692</v>
      </c>
      <c r="B716">
        <v>129761633</v>
      </c>
      <c r="C716">
        <v>129764023</v>
      </c>
      <c r="D716">
        <v>37345142</v>
      </c>
      <c r="E716">
        <v>37345137</v>
      </c>
      <c r="F716">
        <v>1</v>
      </c>
      <c r="G716">
        <v>37345137</v>
      </c>
      <c r="H716">
        <v>1</v>
      </c>
      <c r="I716" t="s">
        <v>1096</v>
      </c>
      <c r="J716" t="s">
        <v>3</v>
      </c>
      <c r="K716" t="s">
        <v>1097</v>
      </c>
      <c r="L716">
        <v>1191</v>
      </c>
      <c r="N716">
        <v>1013</v>
      </c>
      <c r="O716" t="s">
        <v>1098</v>
      </c>
      <c r="P716" t="s">
        <v>1098</v>
      </c>
      <c r="Q716">
        <v>1</v>
      </c>
      <c r="W716">
        <v>0</v>
      </c>
      <c r="X716">
        <v>476480486</v>
      </c>
      <c r="Y716">
        <f t="shared" si="344"/>
        <v>3.09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1</v>
      </c>
      <c r="AJ716">
        <v>1</v>
      </c>
      <c r="AK716">
        <v>1</v>
      </c>
      <c r="AL716">
        <v>1</v>
      </c>
      <c r="AN716">
        <v>0</v>
      </c>
      <c r="AO716">
        <v>1</v>
      </c>
      <c r="AP716">
        <v>0</v>
      </c>
      <c r="AQ716">
        <v>0</v>
      </c>
      <c r="AR716">
        <v>0</v>
      </c>
      <c r="AS716" t="s">
        <v>3</v>
      </c>
      <c r="AT716">
        <v>3.09</v>
      </c>
      <c r="AU716" t="s">
        <v>3</v>
      </c>
      <c r="AV716">
        <v>1</v>
      </c>
      <c r="AW716">
        <v>2</v>
      </c>
      <c r="AX716">
        <v>129764027</v>
      </c>
      <c r="AY716">
        <v>1</v>
      </c>
      <c r="AZ716">
        <v>0</v>
      </c>
      <c r="BA716">
        <v>710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CX716">
        <f>ROUND(Y716*Source!I692,9)</f>
        <v>3.399</v>
      </c>
      <c r="CY716">
        <f>AD716</f>
        <v>0</v>
      </c>
      <c r="CZ716">
        <f>AH716</f>
        <v>0</v>
      </c>
      <c r="DA716">
        <f>AL716</f>
        <v>1</v>
      </c>
      <c r="DB716">
        <f t="shared" si="345"/>
        <v>0</v>
      </c>
      <c r="DC716">
        <f t="shared" si="346"/>
        <v>0</v>
      </c>
      <c r="DD716" t="s">
        <v>3</v>
      </c>
      <c r="DE716" t="s">
        <v>3</v>
      </c>
      <c r="DF716">
        <f>ROUND(AE716*CX716,2)</f>
        <v>0</v>
      </c>
      <c r="DG716">
        <f t="shared" si="347"/>
        <v>0</v>
      </c>
      <c r="DH716">
        <f t="shared" si="348"/>
        <v>0</v>
      </c>
      <c r="DI716">
        <f t="shared" si="349"/>
        <v>0</v>
      </c>
      <c r="DJ716">
        <f>DI716</f>
        <v>0</v>
      </c>
      <c r="DK716">
        <v>0</v>
      </c>
    </row>
    <row r="717" spans="1:115" x14ac:dyDescent="0.2">
      <c r="A717">
        <f>ROW(Source!A692)</f>
        <v>692</v>
      </c>
      <c r="B717">
        <v>129761633</v>
      </c>
      <c r="C717">
        <v>129764023</v>
      </c>
      <c r="D717">
        <v>37409031</v>
      </c>
      <c r="E717">
        <v>1</v>
      </c>
      <c r="F717">
        <v>1</v>
      </c>
      <c r="G717">
        <v>37345137</v>
      </c>
      <c r="H717">
        <v>3</v>
      </c>
      <c r="I717" t="s">
        <v>692</v>
      </c>
      <c r="J717" t="s">
        <v>695</v>
      </c>
      <c r="K717" t="s">
        <v>693</v>
      </c>
      <c r="L717">
        <v>1303</v>
      </c>
      <c r="N717">
        <v>1003</v>
      </c>
      <c r="O717" t="s">
        <v>694</v>
      </c>
      <c r="P717" t="s">
        <v>694</v>
      </c>
      <c r="Q717">
        <v>1000</v>
      </c>
      <c r="W717">
        <v>0</v>
      </c>
      <c r="X717">
        <v>-202822686</v>
      </c>
      <c r="Y717">
        <f t="shared" si="344"/>
        <v>8.8090909090909081E-2</v>
      </c>
      <c r="AA717">
        <v>17654.38</v>
      </c>
      <c r="AB717">
        <v>0</v>
      </c>
      <c r="AC717">
        <v>0</v>
      </c>
      <c r="AD717">
        <v>0</v>
      </c>
      <c r="AE717">
        <v>1223.45</v>
      </c>
      <c r="AF717">
        <v>0</v>
      </c>
      <c r="AG717">
        <v>0</v>
      </c>
      <c r="AH717">
        <v>0</v>
      </c>
      <c r="AI717">
        <v>14.43</v>
      </c>
      <c r="AJ717">
        <v>1</v>
      </c>
      <c r="AK717">
        <v>1</v>
      </c>
      <c r="AL717">
        <v>1</v>
      </c>
      <c r="AN717">
        <v>0</v>
      </c>
      <c r="AO717">
        <v>0</v>
      </c>
      <c r="AP717">
        <v>0</v>
      </c>
      <c r="AQ717">
        <v>0</v>
      </c>
      <c r="AR717">
        <v>0</v>
      </c>
      <c r="AS717" t="s">
        <v>3</v>
      </c>
      <c r="AT717">
        <v>8.8090909090909081E-2</v>
      </c>
      <c r="AU717" t="s">
        <v>3</v>
      </c>
      <c r="AV717">
        <v>0</v>
      </c>
      <c r="AW717">
        <v>1</v>
      </c>
      <c r="AX717">
        <v>-1</v>
      </c>
      <c r="AY717">
        <v>0</v>
      </c>
      <c r="AZ717">
        <v>0</v>
      </c>
      <c r="BA717" t="s">
        <v>3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CX717">
        <f>ROUND(Y717*Source!I692,9)</f>
        <v>9.69E-2</v>
      </c>
      <c r="CY717">
        <f>AA717</f>
        <v>17654.38</v>
      </c>
      <c r="CZ717">
        <f>AE717</f>
        <v>1223.45</v>
      </c>
      <c r="DA717">
        <f>AI717</f>
        <v>14.43</v>
      </c>
      <c r="DB717">
        <f t="shared" si="345"/>
        <v>107.77</v>
      </c>
      <c r="DC717">
        <f t="shared" si="346"/>
        <v>0</v>
      </c>
      <c r="DD717" t="s">
        <v>3</v>
      </c>
      <c r="DE717" t="s">
        <v>3</v>
      </c>
      <c r="DF717">
        <f>ROUND(ROUND(AE717*CX717,2)*AI717,2)</f>
        <v>1710.68</v>
      </c>
      <c r="DG717">
        <f t="shared" si="347"/>
        <v>0</v>
      </c>
      <c r="DH717">
        <f t="shared" si="348"/>
        <v>0</v>
      </c>
      <c r="DI717">
        <f t="shared" si="349"/>
        <v>0</v>
      </c>
      <c r="DJ717">
        <f>DF717</f>
        <v>1710.68</v>
      </c>
      <c r="DK717">
        <v>0</v>
      </c>
    </row>
    <row r="718" spans="1:115" x14ac:dyDescent="0.2">
      <c r="A718">
        <f>ROW(Source!A692)</f>
        <v>692</v>
      </c>
      <c r="B718">
        <v>129761633</v>
      </c>
      <c r="C718">
        <v>129764023</v>
      </c>
      <c r="D718">
        <v>37409032</v>
      </c>
      <c r="E718">
        <v>1</v>
      </c>
      <c r="F718">
        <v>1</v>
      </c>
      <c r="G718">
        <v>37345137</v>
      </c>
      <c r="H718">
        <v>3</v>
      </c>
      <c r="I718" t="s">
        <v>696</v>
      </c>
      <c r="J718" t="s">
        <v>698</v>
      </c>
      <c r="K718" t="s">
        <v>697</v>
      </c>
      <c r="L718">
        <v>1303</v>
      </c>
      <c r="N718">
        <v>1003</v>
      </c>
      <c r="O718" t="s">
        <v>694</v>
      </c>
      <c r="P718" t="s">
        <v>694</v>
      </c>
      <c r="Q718">
        <v>1000</v>
      </c>
      <c r="W718">
        <v>0</v>
      </c>
      <c r="X718">
        <v>-909786354</v>
      </c>
      <c r="Y718">
        <f t="shared" si="344"/>
        <v>1.3908999999999999E-2</v>
      </c>
      <c r="AA718">
        <v>31209.73</v>
      </c>
      <c r="AB718">
        <v>0</v>
      </c>
      <c r="AC718">
        <v>0</v>
      </c>
      <c r="AD718">
        <v>0</v>
      </c>
      <c r="AE718">
        <v>2839.83</v>
      </c>
      <c r="AF718">
        <v>0</v>
      </c>
      <c r="AG718">
        <v>0</v>
      </c>
      <c r="AH718">
        <v>0</v>
      </c>
      <c r="AI718">
        <v>10.99</v>
      </c>
      <c r="AJ718">
        <v>1</v>
      </c>
      <c r="AK718">
        <v>1</v>
      </c>
      <c r="AL718">
        <v>1</v>
      </c>
      <c r="AN718">
        <v>0</v>
      </c>
      <c r="AO718">
        <v>0</v>
      </c>
      <c r="AP718">
        <v>0</v>
      </c>
      <c r="AQ718">
        <v>0</v>
      </c>
      <c r="AR718">
        <v>0</v>
      </c>
      <c r="AS718" t="s">
        <v>3</v>
      </c>
      <c r="AT718">
        <v>1.3908999999999999E-2</v>
      </c>
      <c r="AU718" t="s">
        <v>3</v>
      </c>
      <c r="AV718">
        <v>0</v>
      </c>
      <c r="AW718">
        <v>1</v>
      </c>
      <c r="AX718">
        <v>-1</v>
      </c>
      <c r="AY718">
        <v>0</v>
      </c>
      <c r="AZ718">
        <v>0</v>
      </c>
      <c r="BA718" t="s">
        <v>3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CX718">
        <f>ROUND(Y718*Source!I692,9)</f>
        <v>1.52999E-2</v>
      </c>
      <c r="CY718">
        <f>AA718</f>
        <v>31209.73</v>
      </c>
      <c r="CZ718">
        <f>AE718</f>
        <v>2839.83</v>
      </c>
      <c r="DA718">
        <f>AI718</f>
        <v>10.99</v>
      </c>
      <c r="DB718">
        <f t="shared" si="345"/>
        <v>39.5</v>
      </c>
      <c r="DC718">
        <f t="shared" si="346"/>
        <v>0</v>
      </c>
      <c r="DD718" t="s">
        <v>3</v>
      </c>
      <c r="DE718" t="s">
        <v>3</v>
      </c>
      <c r="DF718">
        <f>ROUND(ROUND(AE718*CX718,2)*AI718,2)</f>
        <v>477.52</v>
      </c>
      <c r="DG718">
        <f t="shared" si="347"/>
        <v>0</v>
      </c>
      <c r="DH718">
        <f t="shared" si="348"/>
        <v>0</v>
      </c>
      <c r="DI718">
        <f t="shared" si="349"/>
        <v>0</v>
      </c>
      <c r="DJ718">
        <f>DF718</f>
        <v>477.52</v>
      </c>
      <c r="DK718">
        <v>0</v>
      </c>
    </row>
    <row r="719" spans="1:115" x14ac:dyDescent="0.2">
      <c r="A719">
        <f>ROW(Source!A697)</f>
        <v>697</v>
      </c>
      <c r="B719">
        <v>129761636</v>
      </c>
      <c r="C719">
        <v>129764030</v>
      </c>
      <c r="D719">
        <v>37345142</v>
      </c>
      <c r="E719">
        <v>37345137</v>
      </c>
      <c r="F719">
        <v>1</v>
      </c>
      <c r="G719">
        <v>37345137</v>
      </c>
      <c r="H719">
        <v>1</v>
      </c>
      <c r="I719" t="s">
        <v>1096</v>
      </c>
      <c r="J719" t="s">
        <v>3</v>
      </c>
      <c r="K719" t="s">
        <v>1097</v>
      </c>
      <c r="L719">
        <v>1191</v>
      </c>
      <c r="N719">
        <v>1013</v>
      </c>
      <c r="O719" t="s">
        <v>1098</v>
      </c>
      <c r="P719" t="s">
        <v>1098</v>
      </c>
      <c r="Q719">
        <v>1</v>
      </c>
      <c r="W719">
        <v>0</v>
      </c>
      <c r="X719">
        <v>476480486</v>
      </c>
      <c r="Y719">
        <f t="shared" si="344"/>
        <v>6.18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1</v>
      </c>
      <c r="AJ719">
        <v>1</v>
      </c>
      <c r="AK719">
        <v>1</v>
      </c>
      <c r="AL719">
        <v>1</v>
      </c>
      <c r="AN719">
        <v>0</v>
      </c>
      <c r="AO719">
        <v>1</v>
      </c>
      <c r="AP719">
        <v>0</v>
      </c>
      <c r="AQ719">
        <v>0</v>
      </c>
      <c r="AR719">
        <v>0</v>
      </c>
      <c r="AS719" t="s">
        <v>3</v>
      </c>
      <c r="AT719">
        <v>6.18</v>
      </c>
      <c r="AU719" t="s">
        <v>3</v>
      </c>
      <c r="AV719">
        <v>1</v>
      </c>
      <c r="AW719">
        <v>2</v>
      </c>
      <c r="AX719">
        <v>129764033</v>
      </c>
      <c r="AY719">
        <v>1</v>
      </c>
      <c r="AZ719">
        <v>0</v>
      </c>
      <c r="BA719">
        <v>711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CX719">
        <f>ROUND(Y719*Source!I697,9)</f>
        <v>0.61799999999999999</v>
      </c>
      <c r="CY719">
        <f>AD719</f>
        <v>0</v>
      </c>
      <c r="CZ719">
        <f>AH719</f>
        <v>0</v>
      </c>
      <c r="DA719">
        <f>AL719</f>
        <v>1</v>
      </c>
      <c r="DB719">
        <f t="shared" si="345"/>
        <v>0</v>
      </c>
      <c r="DC719">
        <f t="shared" si="346"/>
        <v>0</v>
      </c>
      <c r="DD719" t="s">
        <v>3</v>
      </c>
      <c r="DE719" t="s">
        <v>3</v>
      </c>
      <c r="DF719">
        <f>ROUND(AE719*CX719,2)</f>
        <v>0</v>
      </c>
      <c r="DG719">
        <f t="shared" si="347"/>
        <v>0</v>
      </c>
      <c r="DH719">
        <f t="shared" si="348"/>
        <v>0</v>
      </c>
      <c r="DI719">
        <f t="shared" si="349"/>
        <v>0</v>
      </c>
      <c r="DJ719">
        <f>DI719</f>
        <v>0</v>
      </c>
      <c r="DK719">
        <v>0</v>
      </c>
    </row>
    <row r="720" spans="1:115" x14ac:dyDescent="0.2">
      <c r="A720">
        <f>ROW(Source!A697)</f>
        <v>697</v>
      </c>
      <c r="B720">
        <v>129761636</v>
      </c>
      <c r="C720">
        <v>129764030</v>
      </c>
      <c r="D720">
        <v>37409031</v>
      </c>
      <c r="E720">
        <v>1</v>
      </c>
      <c r="F720">
        <v>1</v>
      </c>
      <c r="G720">
        <v>37345137</v>
      </c>
      <c r="H720">
        <v>3</v>
      </c>
      <c r="I720" t="s">
        <v>692</v>
      </c>
      <c r="J720" t="s">
        <v>695</v>
      </c>
      <c r="K720" t="s">
        <v>693</v>
      </c>
      <c r="L720">
        <v>1303</v>
      </c>
      <c r="N720">
        <v>1003</v>
      </c>
      <c r="O720" t="s">
        <v>694</v>
      </c>
      <c r="P720" t="s">
        <v>694</v>
      </c>
      <c r="Q720">
        <v>1000</v>
      </c>
      <c r="W720">
        <v>0</v>
      </c>
      <c r="X720">
        <v>-202822686</v>
      </c>
      <c r="Y720">
        <f t="shared" si="344"/>
        <v>0.10200000000000001</v>
      </c>
      <c r="AA720">
        <v>1223.45</v>
      </c>
      <c r="AB720">
        <v>0</v>
      </c>
      <c r="AC720">
        <v>0</v>
      </c>
      <c r="AD720">
        <v>0</v>
      </c>
      <c r="AE720">
        <v>1223.45</v>
      </c>
      <c r="AF720">
        <v>0</v>
      </c>
      <c r="AG720">
        <v>0</v>
      </c>
      <c r="AH720">
        <v>0</v>
      </c>
      <c r="AI720">
        <v>1</v>
      </c>
      <c r="AJ720">
        <v>1</v>
      </c>
      <c r="AK720">
        <v>1</v>
      </c>
      <c r="AL720">
        <v>1</v>
      </c>
      <c r="AN720">
        <v>0</v>
      </c>
      <c r="AO720">
        <v>0</v>
      </c>
      <c r="AP720">
        <v>0</v>
      </c>
      <c r="AQ720">
        <v>0</v>
      </c>
      <c r="AR720">
        <v>0</v>
      </c>
      <c r="AS720" t="s">
        <v>3</v>
      </c>
      <c r="AT720">
        <v>0.10200000000000001</v>
      </c>
      <c r="AU720" t="s">
        <v>3</v>
      </c>
      <c r="AV720">
        <v>0</v>
      </c>
      <c r="AW720">
        <v>1</v>
      </c>
      <c r="AX720">
        <v>-1</v>
      </c>
      <c r="AY720">
        <v>0</v>
      </c>
      <c r="AZ720">
        <v>0</v>
      </c>
      <c r="BA720" t="s">
        <v>3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CX720">
        <f>ROUND(Y720*Source!I697,9)</f>
        <v>1.0200000000000001E-2</v>
      </c>
      <c r="CY720">
        <f>AA720</f>
        <v>1223.45</v>
      </c>
      <c r="CZ720">
        <f>AE720</f>
        <v>1223.45</v>
      </c>
      <c r="DA720">
        <f>AI720</f>
        <v>1</v>
      </c>
      <c r="DB720">
        <f t="shared" si="345"/>
        <v>124.79</v>
      </c>
      <c r="DC720">
        <f t="shared" si="346"/>
        <v>0</v>
      </c>
      <c r="DD720" t="s">
        <v>3</v>
      </c>
      <c r="DE720" t="s">
        <v>3</v>
      </c>
      <c r="DF720">
        <f>ROUND(AE720*CX720,2)</f>
        <v>12.48</v>
      </c>
      <c r="DG720">
        <f t="shared" si="347"/>
        <v>0</v>
      </c>
      <c r="DH720">
        <f t="shared" si="348"/>
        <v>0</v>
      </c>
      <c r="DI720">
        <f t="shared" si="349"/>
        <v>0</v>
      </c>
      <c r="DJ720">
        <f>DF720</f>
        <v>12.48</v>
      </c>
      <c r="DK720">
        <v>0</v>
      </c>
    </row>
    <row r="721" spans="1:115" x14ac:dyDescent="0.2">
      <c r="A721">
        <f>ROW(Source!A698)</f>
        <v>698</v>
      </c>
      <c r="B721">
        <v>129761633</v>
      </c>
      <c r="C721">
        <v>129764030</v>
      </c>
      <c r="D721">
        <v>37345142</v>
      </c>
      <c r="E721">
        <v>37345137</v>
      </c>
      <c r="F721">
        <v>1</v>
      </c>
      <c r="G721">
        <v>37345137</v>
      </c>
      <c r="H721">
        <v>1</v>
      </c>
      <c r="I721" t="s">
        <v>1096</v>
      </c>
      <c r="J721" t="s">
        <v>3</v>
      </c>
      <c r="K721" t="s">
        <v>1097</v>
      </c>
      <c r="L721">
        <v>1191</v>
      </c>
      <c r="N721">
        <v>1013</v>
      </c>
      <c r="O721" t="s">
        <v>1098</v>
      </c>
      <c r="P721" t="s">
        <v>1098</v>
      </c>
      <c r="Q721">
        <v>1</v>
      </c>
      <c r="W721">
        <v>0</v>
      </c>
      <c r="X721">
        <v>476480486</v>
      </c>
      <c r="Y721">
        <f t="shared" si="344"/>
        <v>6.18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1</v>
      </c>
      <c r="AJ721">
        <v>1</v>
      </c>
      <c r="AK721">
        <v>1</v>
      </c>
      <c r="AL721">
        <v>1</v>
      </c>
      <c r="AN721">
        <v>0</v>
      </c>
      <c r="AO721">
        <v>1</v>
      </c>
      <c r="AP721">
        <v>0</v>
      </c>
      <c r="AQ721">
        <v>0</v>
      </c>
      <c r="AR721">
        <v>0</v>
      </c>
      <c r="AS721" t="s">
        <v>3</v>
      </c>
      <c r="AT721">
        <v>6.18</v>
      </c>
      <c r="AU721" t="s">
        <v>3</v>
      </c>
      <c r="AV721">
        <v>1</v>
      </c>
      <c r="AW721">
        <v>2</v>
      </c>
      <c r="AX721">
        <v>129764033</v>
      </c>
      <c r="AY721">
        <v>1</v>
      </c>
      <c r="AZ721">
        <v>0</v>
      </c>
      <c r="BA721">
        <v>712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CX721">
        <f>ROUND(Y721*Source!I698,9)</f>
        <v>0.61799999999999999</v>
      </c>
      <c r="CY721">
        <f>AD721</f>
        <v>0</v>
      </c>
      <c r="CZ721">
        <f>AH721</f>
        <v>0</v>
      </c>
      <c r="DA721">
        <f>AL721</f>
        <v>1</v>
      </c>
      <c r="DB721">
        <f t="shared" si="345"/>
        <v>0</v>
      </c>
      <c r="DC721">
        <f t="shared" si="346"/>
        <v>0</v>
      </c>
      <c r="DD721" t="s">
        <v>3</v>
      </c>
      <c r="DE721" t="s">
        <v>3</v>
      </c>
      <c r="DF721">
        <f>ROUND(AE721*CX721,2)</f>
        <v>0</v>
      </c>
      <c r="DG721">
        <f t="shared" si="347"/>
        <v>0</v>
      </c>
      <c r="DH721">
        <f t="shared" si="348"/>
        <v>0</v>
      </c>
      <c r="DI721">
        <f t="shared" si="349"/>
        <v>0</v>
      </c>
      <c r="DJ721">
        <f>DI721</f>
        <v>0</v>
      </c>
      <c r="DK721">
        <v>0</v>
      </c>
    </row>
    <row r="722" spans="1:115" x14ac:dyDescent="0.2">
      <c r="A722">
        <f>ROW(Source!A698)</f>
        <v>698</v>
      </c>
      <c r="B722">
        <v>129761633</v>
      </c>
      <c r="C722">
        <v>129764030</v>
      </c>
      <c r="D722">
        <v>37409031</v>
      </c>
      <c r="E722">
        <v>1</v>
      </c>
      <c r="F722">
        <v>1</v>
      </c>
      <c r="G722">
        <v>37345137</v>
      </c>
      <c r="H722">
        <v>3</v>
      </c>
      <c r="I722" t="s">
        <v>692</v>
      </c>
      <c r="J722" t="s">
        <v>695</v>
      </c>
      <c r="K722" t="s">
        <v>693</v>
      </c>
      <c r="L722">
        <v>1303</v>
      </c>
      <c r="N722">
        <v>1003</v>
      </c>
      <c r="O722" t="s">
        <v>694</v>
      </c>
      <c r="P722" t="s">
        <v>694</v>
      </c>
      <c r="Q722">
        <v>1000</v>
      </c>
      <c r="W722">
        <v>0</v>
      </c>
      <c r="X722">
        <v>-202822686</v>
      </c>
      <c r="Y722">
        <f t="shared" si="344"/>
        <v>0.10200000000000001</v>
      </c>
      <c r="AA722">
        <v>17654.38</v>
      </c>
      <c r="AB722">
        <v>0</v>
      </c>
      <c r="AC722">
        <v>0</v>
      </c>
      <c r="AD722">
        <v>0</v>
      </c>
      <c r="AE722">
        <v>1223.45</v>
      </c>
      <c r="AF722">
        <v>0</v>
      </c>
      <c r="AG722">
        <v>0</v>
      </c>
      <c r="AH722">
        <v>0</v>
      </c>
      <c r="AI722">
        <v>14.43</v>
      </c>
      <c r="AJ722">
        <v>1</v>
      </c>
      <c r="AK722">
        <v>1</v>
      </c>
      <c r="AL722">
        <v>1</v>
      </c>
      <c r="AN722">
        <v>0</v>
      </c>
      <c r="AO722">
        <v>0</v>
      </c>
      <c r="AP722">
        <v>0</v>
      </c>
      <c r="AQ722">
        <v>0</v>
      </c>
      <c r="AR722">
        <v>0</v>
      </c>
      <c r="AS722" t="s">
        <v>3</v>
      </c>
      <c r="AT722">
        <v>0.10200000000000001</v>
      </c>
      <c r="AU722" t="s">
        <v>3</v>
      </c>
      <c r="AV722">
        <v>0</v>
      </c>
      <c r="AW722">
        <v>1</v>
      </c>
      <c r="AX722">
        <v>-1</v>
      </c>
      <c r="AY722">
        <v>0</v>
      </c>
      <c r="AZ722">
        <v>0</v>
      </c>
      <c r="BA722" t="s">
        <v>3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0</v>
      </c>
      <c r="BW722">
        <v>0</v>
      </c>
      <c r="CX722">
        <f>ROUND(Y722*Source!I698,9)</f>
        <v>1.0200000000000001E-2</v>
      </c>
      <c r="CY722">
        <f>AA722</f>
        <v>17654.38</v>
      </c>
      <c r="CZ722">
        <f>AE722</f>
        <v>1223.45</v>
      </c>
      <c r="DA722">
        <f>AI722</f>
        <v>14.43</v>
      </c>
      <c r="DB722">
        <f t="shared" si="345"/>
        <v>124.79</v>
      </c>
      <c r="DC722">
        <f t="shared" si="346"/>
        <v>0</v>
      </c>
      <c r="DD722" t="s">
        <v>3</v>
      </c>
      <c r="DE722" t="s">
        <v>3</v>
      </c>
      <c r="DF722">
        <f>ROUND(ROUND(AE722*CX722,2)*AI722,2)</f>
        <v>180.09</v>
      </c>
      <c r="DG722">
        <f t="shared" si="347"/>
        <v>0</v>
      </c>
      <c r="DH722">
        <f t="shared" si="348"/>
        <v>0</v>
      </c>
      <c r="DI722">
        <f t="shared" si="349"/>
        <v>0</v>
      </c>
      <c r="DJ722">
        <f>DF722</f>
        <v>180.09</v>
      </c>
      <c r="DK722">
        <v>0</v>
      </c>
    </row>
    <row r="723" spans="1:115" x14ac:dyDescent="0.2">
      <c r="A723">
        <f>ROW(Source!A827)</f>
        <v>827</v>
      </c>
      <c r="B723">
        <v>129761636</v>
      </c>
      <c r="C723">
        <v>129764046</v>
      </c>
      <c r="D723">
        <v>37345142</v>
      </c>
      <c r="E723">
        <v>37345137</v>
      </c>
      <c r="F723">
        <v>1</v>
      </c>
      <c r="G723">
        <v>37345137</v>
      </c>
      <c r="H723">
        <v>1</v>
      </c>
      <c r="I723" t="s">
        <v>1096</v>
      </c>
      <c r="J723" t="s">
        <v>3</v>
      </c>
      <c r="K723" t="s">
        <v>1097</v>
      </c>
      <c r="L723">
        <v>1191</v>
      </c>
      <c r="N723">
        <v>1013</v>
      </c>
      <c r="O723" t="s">
        <v>1098</v>
      </c>
      <c r="P723" t="s">
        <v>1098</v>
      </c>
      <c r="Q723">
        <v>1</v>
      </c>
      <c r="W723">
        <v>0</v>
      </c>
      <c r="X723">
        <v>476480486</v>
      </c>
      <c r="Y723">
        <f t="shared" si="344"/>
        <v>6.32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1</v>
      </c>
      <c r="AJ723">
        <v>1</v>
      </c>
      <c r="AK723">
        <v>1</v>
      </c>
      <c r="AL723">
        <v>1</v>
      </c>
      <c r="AN723">
        <v>0</v>
      </c>
      <c r="AO723">
        <v>1</v>
      </c>
      <c r="AP723">
        <v>0</v>
      </c>
      <c r="AQ723">
        <v>0</v>
      </c>
      <c r="AR723">
        <v>0</v>
      </c>
      <c r="AS723" t="s">
        <v>3</v>
      </c>
      <c r="AT723">
        <v>6.32</v>
      </c>
      <c r="AU723" t="s">
        <v>3</v>
      </c>
      <c r="AV723">
        <v>1</v>
      </c>
      <c r="AW723">
        <v>2</v>
      </c>
      <c r="AX723">
        <v>129764048</v>
      </c>
      <c r="AY723">
        <v>1</v>
      </c>
      <c r="AZ723">
        <v>0</v>
      </c>
      <c r="BA723">
        <v>713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CX723">
        <f>ROUND(Y723*Source!I827,9)</f>
        <v>0.50560000000000005</v>
      </c>
      <c r="CY723">
        <f>AD723</f>
        <v>0</v>
      </c>
      <c r="CZ723">
        <f>AH723</f>
        <v>0</v>
      </c>
      <c r="DA723">
        <f>AL723</f>
        <v>1</v>
      </c>
      <c r="DB723">
        <f t="shared" si="345"/>
        <v>0</v>
      </c>
      <c r="DC723">
        <f t="shared" si="346"/>
        <v>0</v>
      </c>
      <c r="DD723" t="s">
        <v>3</v>
      </c>
      <c r="DE723" t="s">
        <v>3</v>
      </c>
      <c r="DF723">
        <f t="shared" ref="DF723:DF729" si="350">ROUND(AE723*CX723,2)</f>
        <v>0</v>
      </c>
      <c r="DG723">
        <f t="shared" ref="DG723:DG754" si="351">ROUND(AF723*CX723,2)</f>
        <v>0</v>
      </c>
      <c r="DH723">
        <f t="shared" ref="DH723:DH754" si="352">ROUND(AG723*CX723,2)</f>
        <v>0</v>
      </c>
      <c r="DI723">
        <f t="shared" si="349"/>
        <v>0</v>
      </c>
      <c r="DJ723">
        <f>DI723</f>
        <v>0</v>
      </c>
      <c r="DK723">
        <v>0</v>
      </c>
    </row>
    <row r="724" spans="1:115" x14ac:dyDescent="0.2">
      <c r="A724">
        <f>ROW(Source!A828)</f>
        <v>828</v>
      </c>
      <c r="B724">
        <v>129761633</v>
      </c>
      <c r="C724">
        <v>129764046</v>
      </c>
      <c r="D724">
        <v>37345142</v>
      </c>
      <c r="E724">
        <v>37345137</v>
      </c>
      <c r="F724">
        <v>1</v>
      </c>
      <c r="G724">
        <v>37345137</v>
      </c>
      <c r="H724">
        <v>1</v>
      </c>
      <c r="I724" t="s">
        <v>1096</v>
      </c>
      <c r="J724" t="s">
        <v>3</v>
      </c>
      <c r="K724" t="s">
        <v>1097</v>
      </c>
      <c r="L724">
        <v>1191</v>
      </c>
      <c r="N724">
        <v>1013</v>
      </c>
      <c r="O724" t="s">
        <v>1098</v>
      </c>
      <c r="P724" t="s">
        <v>1098</v>
      </c>
      <c r="Q724">
        <v>1</v>
      </c>
      <c r="W724">
        <v>0</v>
      </c>
      <c r="X724">
        <v>476480486</v>
      </c>
      <c r="Y724">
        <f t="shared" si="344"/>
        <v>6.32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1</v>
      </c>
      <c r="AJ724">
        <v>1</v>
      </c>
      <c r="AK724">
        <v>1</v>
      </c>
      <c r="AL724">
        <v>1</v>
      </c>
      <c r="AN724">
        <v>0</v>
      </c>
      <c r="AO724">
        <v>1</v>
      </c>
      <c r="AP724">
        <v>0</v>
      </c>
      <c r="AQ724">
        <v>0</v>
      </c>
      <c r="AR724">
        <v>0</v>
      </c>
      <c r="AS724" t="s">
        <v>3</v>
      </c>
      <c r="AT724">
        <v>6.32</v>
      </c>
      <c r="AU724" t="s">
        <v>3</v>
      </c>
      <c r="AV724">
        <v>1</v>
      </c>
      <c r="AW724">
        <v>2</v>
      </c>
      <c r="AX724">
        <v>129764048</v>
      </c>
      <c r="AY724">
        <v>1</v>
      </c>
      <c r="AZ724">
        <v>0</v>
      </c>
      <c r="BA724">
        <v>714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CX724">
        <f>ROUND(Y724*Source!I828,9)</f>
        <v>0.50560000000000005</v>
      </c>
      <c r="CY724">
        <f>AD724</f>
        <v>0</v>
      </c>
      <c r="CZ724">
        <f>AH724</f>
        <v>0</v>
      </c>
      <c r="DA724">
        <f>AL724</f>
        <v>1</v>
      </c>
      <c r="DB724">
        <f t="shared" si="345"/>
        <v>0</v>
      </c>
      <c r="DC724">
        <f t="shared" si="346"/>
        <v>0</v>
      </c>
      <c r="DD724" t="s">
        <v>3</v>
      </c>
      <c r="DE724" t="s">
        <v>3</v>
      </c>
      <c r="DF724">
        <f t="shared" si="350"/>
        <v>0</v>
      </c>
      <c r="DG724">
        <f t="shared" si="351"/>
        <v>0</v>
      </c>
      <c r="DH724">
        <f t="shared" si="352"/>
        <v>0</v>
      </c>
      <c r="DI724">
        <f t="shared" si="349"/>
        <v>0</v>
      </c>
      <c r="DJ724">
        <f>DI724</f>
        <v>0</v>
      </c>
      <c r="DK724">
        <v>0</v>
      </c>
    </row>
    <row r="725" spans="1:115" x14ac:dyDescent="0.2">
      <c r="A725">
        <f>ROW(Source!A829)</f>
        <v>829</v>
      </c>
      <c r="B725">
        <v>129761636</v>
      </c>
      <c r="C725">
        <v>129764049</v>
      </c>
      <c r="D725">
        <v>37345142</v>
      </c>
      <c r="E725">
        <v>37345137</v>
      </c>
      <c r="F725">
        <v>1</v>
      </c>
      <c r="G725">
        <v>37345137</v>
      </c>
      <c r="H725">
        <v>1</v>
      </c>
      <c r="I725" t="s">
        <v>1096</v>
      </c>
      <c r="J725" t="s">
        <v>3</v>
      </c>
      <c r="K725" t="s">
        <v>1097</v>
      </c>
      <c r="L725">
        <v>1191</v>
      </c>
      <c r="N725">
        <v>1013</v>
      </c>
      <c r="O725" t="s">
        <v>1098</v>
      </c>
      <c r="P725" t="s">
        <v>1098</v>
      </c>
      <c r="Q725">
        <v>1</v>
      </c>
      <c r="W725">
        <v>0</v>
      </c>
      <c r="X725">
        <v>476480486</v>
      </c>
      <c r="Y725">
        <f t="shared" si="344"/>
        <v>9.64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1</v>
      </c>
      <c r="AJ725">
        <v>1</v>
      </c>
      <c r="AK725">
        <v>1</v>
      </c>
      <c r="AL725">
        <v>1</v>
      </c>
      <c r="AN725">
        <v>0</v>
      </c>
      <c r="AO725">
        <v>1</v>
      </c>
      <c r="AP725">
        <v>0</v>
      </c>
      <c r="AQ725">
        <v>0</v>
      </c>
      <c r="AR725">
        <v>0</v>
      </c>
      <c r="AS725" t="s">
        <v>3</v>
      </c>
      <c r="AT725">
        <v>9.64</v>
      </c>
      <c r="AU725" t="s">
        <v>3</v>
      </c>
      <c r="AV725">
        <v>1</v>
      </c>
      <c r="AW725">
        <v>2</v>
      </c>
      <c r="AX725">
        <v>129764051</v>
      </c>
      <c r="AY725">
        <v>1</v>
      </c>
      <c r="AZ725">
        <v>0</v>
      </c>
      <c r="BA725">
        <v>715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CX725">
        <f>ROUND(Y725*Source!I829,9)</f>
        <v>2.8919999999999999</v>
      </c>
      <c r="CY725">
        <f>AD725</f>
        <v>0</v>
      </c>
      <c r="CZ725">
        <f>AH725</f>
        <v>0</v>
      </c>
      <c r="DA725">
        <f>AL725</f>
        <v>1</v>
      </c>
      <c r="DB725">
        <f t="shared" si="345"/>
        <v>0</v>
      </c>
      <c r="DC725">
        <f t="shared" si="346"/>
        <v>0</v>
      </c>
      <c r="DD725" t="s">
        <v>3</v>
      </c>
      <c r="DE725" t="s">
        <v>3</v>
      </c>
      <c r="DF725">
        <f t="shared" si="350"/>
        <v>0</v>
      </c>
      <c r="DG725">
        <f t="shared" si="351"/>
        <v>0</v>
      </c>
      <c r="DH725">
        <f t="shared" si="352"/>
        <v>0</v>
      </c>
      <c r="DI725">
        <f t="shared" si="349"/>
        <v>0</v>
      </c>
      <c r="DJ725">
        <f>DI725</f>
        <v>0</v>
      </c>
      <c r="DK725">
        <v>0</v>
      </c>
    </row>
    <row r="726" spans="1:115" x14ac:dyDescent="0.2">
      <c r="A726">
        <f>ROW(Source!A830)</f>
        <v>830</v>
      </c>
      <c r="B726">
        <v>129761633</v>
      </c>
      <c r="C726">
        <v>129764049</v>
      </c>
      <c r="D726">
        <v>37345142</v>
      </c>
      <c r="E726">
        <v>37345137</v>
      </c>
      <c r="F726">
        <v>1</v>
      </c>
      <c r="G726">
        <v>37345137</v>
      </c>
      <c r="H726">
        <v>1</v>
      </c>
      <c r="I726" t="s">
        <v>1096</v>
      </c>
      <c r="J726" t="s">
        <v>3</v>
      </c>
      <c r="K726" t="s">
        <v>1097</v>
      </c>
      <c r="L726">
        <v>1191</v>
      </c>
      <c r="N726">
        <v>1013</v>
      </c>
      <c r="O726" t="s">
        <v>1098</v>
      </c>
      <c r="P726" t="s">
        <v>1098</v>
      </c>
      <c r="Q726">
        <v>1</v>
      </c>
      <c r="W726">
        <v>0</v>
      </c>
      <c r="X726">
        <v>476480486</v>
      </c>
      <c r="Y726">
        <f t="shared" si="344"/>
        <v>9.64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1</v>
      </c>
      <c r="AJ726">
        <v>1</v>
      </c>
      <c r="AK726">
        <v>1</v>
      </c>
      <c r="AL726">
        <v>1</v>
      </c>
      <c r="AN726">
        <v>0</v>
      </c>
      <c r="AO726">
        <v>1</v>
      </c>
      <c r="AP726">
        <v>0</v>
      </c>
      <c r="AQ726">
        <v>0</v>
      </c>
      <c r="AR726">
        <v>0</v>
      </c>
      <c r="AS726" t="s">
        <v>3</v>
      </c>
      <c r="AT726">
        <v>9.64</v>
      </c>
      <c r="AU726" t="s">
        <v>3</v>
      </c>
      <c r="AV726">
        <v>1</v>
      </c>
      <c r="AW726">
        <v>2</v>
      </c>
      <c r="AX726">
        <v>129764051</v>
      </c>
      <c r="AY726">
        <v>1</v>
      </c>
      <c r="AZ726">
        <v>0</v>
      </c>
      <c r="BA726">
        <v>716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CX726">
        <f>ROUND(Y726*Source!I830,9)</f>
        <v>2.8919999999999999</v>
      </c>
      <c r="CY726">
        <f>AD726</f>
        <v>0</v>
      </c>
      <c r="CZ726">
        <f>AH726</f>
        <v>0</v>
      </c>
      <c r="DA726">
        <f>AL726</f>
        <v>1</v>
      </c>
      <c r="DB726">
        <f t="shared" si="345"/>
        <v>0</v>
      </c>
      <c r="DC726">
        <f t="shared" si="346"/>
        <v>0</v>
      </c>
      <c r="DD726" t="s">
        <v>3</v>
      </c>
      <c r="DE726" t="s">
        <v>3</v>
      </c>
      <c r="DF726">
        <f t="shared" si="350"/>
        <v>0</v>
      </c>
      <c r="DG726">
        <f t="shared" si="351"/>
        <v>0</v>
      </c>
      <c r="DH726">
        <f t="shared" si="352"/>
        <v>0</v>
      </c>
      <c r="DI726">
        <f t="shared" si="349"/>
        <v>0</v>
      </c>
      <c r="DJ726">
        <f>DI726</f>
        <v>0</v>
      </c>
      <c r="DK726">
        <v>0</v>
      </c>
    </row>
    <row r="727" spans="1:115" x14ac:dyDescent="0.2">
      <c r="A727">
        <f>ROW(Source!A866)</f>
        <v>866</v>
      </c>
      <c r="B727">
        <v>129761636</v>
      </c>
      <c r="C727">
        <v>129764052</v>
      </c>
      <c r="D727">
        <v>37345142</v>
      </c>
      <c r="E727">
        <v>37345137</v>
      </c>
      <c r="F727">
        <v>1</v>
      </c>
      <c r="G727">
        <v>37345137</v>
      </c>
      <c r="H727">
        <v>1</v>
      </c>
      <c r="I727" t="s">
        <v>1096</v>
      </c>
      <c r="J727" t="s">
        <v>3</v>
      </c>
      <c r="K727" t="s">
        <v>1097</v>
      </c>
      <c r="L727">
        <v>1191</v>
      </c>
      <c r="N727">
        <v>1013</v>
      </c>
      <c r="O727" t="s">
        <v>1098</v>
      </c>
      <c r="P727" t="s">
        <v>1098</v>
      </c>
      <c r="Q727">
        <v>1</v>
      </c>
      <c r="W727">
        <v>0</v>
      </c>
      <c r="X727">
        <v>476480486</v>
      </c>
      <c r="Y727">
        <f>(AT727*0.8)</f>
        <v>1.0720000000000001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1</v>
      </c>
      <c r="AJ727">
        <v>1</v>
      </c>
      <c r="AK727">
        <v>1</v>
      </c>
      <c r="AL727">
        <v>1</v>
      </c>
      <c r="AN727">
        <v>0</v>
      </c>
      <c r="AO727">
        <v>1</v>
      </c>
      <c r="AP727">
        <v>1</v>
      </c>
      <c r="AQ727">
        <v>0</v>
      </c>
      <c r="AR727">
        <v>0</v>
      </c>
      <c r="AS727" t="s">
        <v>3</v>
      </c>
      <c r="AT727">
        <v>1.34</v>
      </c>
      <c r="AU727" t="s">
        <v>743</v>
      </c>
      <c r="AV727">
        <v>1</v>
      </c>
      <c r="AW727">
        <v>2</v>
      </c>
      <c r="AX727">
        <v>129764055</v>
      </c>
      <c r="AY727">
        <v>1</v>
      </c>
      <c r="AZ727">
        <v>0</v>
      </c>
      <c r="BA727">
        <v>717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CX727">
        <f>ROUND(Y727*Source!I866,9)</f>
        <v>1.0720000000000001</v>
      </c>
      <c r="CY727">
        <f>AD727</f>
        <v>0</v>
      </c>
      <c r="CZ727">
        <f>AH727</f>
        <v>0</v>
      </c>
      <c r="DA727">
        <f>AL727</f>
        <v>1</v>
      </c>
      <c r="DB727">
        <f>ROUND((ROUND(AT727*CZ727,2)*0.8),6)</f>
        <v>0</v>
      </c>
      <c r="DC727">
        <f>ROUND((ROUND(AT727*AG727,2)*0.8),6)</f>
        <v>0</v>
      </c>
      <c r="DD727" t="s">
        <v>3</v>
      </c>
      <c r="DE727" t="s">
        <v>3</v>
      </c>
      <c r="DF727">
        <f t="shared" si="350"/>
        <v>0</v>
      </c>
      <c r="DG727">
        <f t="shared" si="351"/>
        <v>0</v>
      </c>
      <c r="DH727">
        <f t="shared" si="352"/>
        <v>0</v>
      </c>
      <c r="DI727">
        <f t="shared" si="349"/>
        <v>0</v>
      </c>
      <c r="DJ727">
        <f>DI727</f>
        <v>0</v>
      </c>
      <c r="DK727">
        <v>0</v>
      </c>
    </row>
    <row r="728" spans="1:115" x14ac:dyDescent="0.2">
      <c r="A728">
        <f>ROW(Source!A866)</f>
        <v>866</v>
      </c>
      <c r="B728">
        <v>129761636</v>
      </c>
      <c r="C728">
        <v>129764052</v>
      </c>
      <c r="D728">
        <v>37407197</v>
      </c>
      <c r="E728">
        <v>1</v>
      </c>
      <c r="F728">
        <v>1</v>
      </c>
      <c r="G728">
        <v>37345137</v>
      </c>
      <c r="H728">
        <v>3</v>
      </c>
      <c r="I728" t="s">
        <v>745</v>
      </c>
      <c r="J728" t="s">
        <v>747</v>
      </c>
      <c r="K728" t="s">
        <v>746</v>
      </c>
      <c r="L728">
        <v>1354</v>
      </c>
      <c r="N728">
        <v>1010</v>
      </c>
      <c r="O728" t="s">
        <v>250</v>
      </c>
      <c r="P728" t="s">
        <v>250</v>
      </c>
      <c r="Q728">
        <v>1</v>
      </c>
      <c r="W728">
        <v>0</v>
      </c>
      <c r="X728">
        <v>1794565900</v>
      </c>
      <c r="Y728">
        <f>AT728</f>
        <v>1</v>
      </c>
      <c r="AA728">
        <v>37.369999999999997</v>
      </c>
      <c r="AB728">
        <v>0</v>
      </c>
      <c r="AC728">
        <v>0</v>
      </c>
      <c r="AD728">
        <v>0</v>
      </c>
      <c r="AE728">
        <v>37.369999999999997</v>
      </c>
      <c r="AF728">
        <v>0</v>
      </c>
      <c r="AG728">
        <v>0</v>
      </c>
      <c r="AH728">
        <v>0</v>
      </c>
      <c r="AI728">
        <v>1</v>
      </c>
      <c r="AJ728">
        <v>1</v>
      </c>
      <c r="AK728">
        <v>1</v>
      </c>
      <c r="AL728">
        <v>1</v>
      </c>
      <c r="AN728">
        <v>0</v>
      </c>
      <c r="AO728">
        <v>0</v>
      </c>
      <c r="AP728">
        <v>0</v>
      </c>
      <c r="AQ728">
        <v>0</v>
      </c>
      <c r="AR728">
        <v>0</v>
      </c>
      <c r="AS728" t="s">
        <v>3</v>
      </c>
      <c r="AT728">
        <v>1</v>
      </c>
      <c r="AU728" t="s">
        <v>3</v>
      </c>
      <c r="AV728">
        <v>0</v>
      </c>
      <c r="AW728">
        <v>1</v>
      </c>
      <c r="AX728">
        <v>-1</v>
      </c>
      <c r="AY728">
        <v>0</v>
      </c>
      <c r="AZ728">
        <v>0</v>
      </c>
      <c r="BA728" t="s">
        <v>3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CX728">
        <f>ROUND(Y728*Source!I866,9)</f>
        <v>1</v>
      </c>
      <c r="CY728">
        <f>AA728</f>
        <v>37.369999999999997</v>
      </c>
      <c r="CZ728">
        <f>AE728</f>
        <v>37.369999999999997</v>
      </c>
      <c r="DA728">
        <f>AI728</f>
        <v>1</v>
      </c>
      <c r="DB728">
        <f>ROUND(ROUND(AT728*CZ728,2),6)</f>
        <v>37.369999999999997</v>
      </c>
      <c r="DC728">
        <f>ROUND(ROUND(AT728*AG728,2),6)</f>
        <v>0</v>
      </c>
      <c r="DD728" t="s">
        <v>3</v>
      </c>
      <c r="DE728" t="s">
        <v>3</v>
      </c>
      <c r="DF728">
        <f t="shared" si="350"/>
        <v>37.369999999999997</v>
      </c>
      <c r="DG728">
        <f t="shared" si="351"/>
        <v>0</v>
      </c>
      <c r="DH728">
        <f t="shared" si="352"/>
        <v>0</v>
      </c>
      <c r="DI728">
        <f t="shared" si="349"/>
        <v>0</v>
      </c>
      <c r="DJ728">
        <f>DF728</f>
        <v>37.369999999999997</v>
      </c>
      <c r="DK728">
        <v>0</v>
      </c>
    </row>
    <row r="729" spans="1:115" x14ac:dyDescent="0.2">
      <c r="A729">
        <f>ROW(Source!A867)</f>
        <v>867</v>
      </c>
      <c r="B729">
        <v>129761633</v>
      </c>
      <c r="C729">
        <v>129764052</v>
      </c>
      <c r="D729">
        <v>37345142</v>
      </c>
      <c r="E729">
        <v>37345137</v>
      </c>
      <c r="F729">
        <v>1</v>
      </c>
      <c r="G729">
        <v>37345137</v>
      </c>
      <c r="H729">
        <v>1</v>
      </c>
      <c r="I729" t="s">
        <v>1096</v>
      </c>
      <c r="J729" t="s">
        <v>3</v>
      </c>
      <c r="K729" t="s">
        <v>1097</v>
      </c>
      <c r="L729">
        <v>1191</v>
      </c>
      <c r="N729">
        <v>1013</v>
      </c>
      <c r="O729" t="s">
        <v>1098</v>
      </c>
      <c r="P729" t="s">
        <v>1098</v>
      </c>
      <c r="Q729">
        <v>1</v>
      </c>
      <c r="W729">
        <v>0</v>
      </c>
      <c r="X729">
        <v>476480486</v>
      </c>
      <c r="Y729">
        <f>(AT729*0.8)</f>
        <v>1.0720000000000001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1</v>
      </c>
      <c r="AJ729">
        <v>1</v>
      </c>
      <c r="AK729">
        <v>1</v>
      </c>
      <c r="AL729">
        <v>1</v>
      </c>
      <c r="AN729">
        <v>0</v>
      </c>
      <c r="AO729">
        <v>1</v>
      </c>
      <c r="AP729">
        <v>1</v>
      </c>
      <c r="AQ729">
        <v>0</v>
      </c>
      <c r="AR729">
        <v>0</v>
      </c>
      <c r="AS729" t="s">
        <v>3</v>
      </c>
      <c r="AT729">
        <v>1.34</v>
      </c>
      <c r="AU729" t="s">
        <v>743</v>
      </c>
      <c r="AV729">
        <v>1</v>
      </c>
      <c r="AW729">
        <v>2</v>
      </c>
      <c r="AX729">
        <v>129764055</v>
      </c>
      <c r="AY729">
        <v>1</v>
      </c>
      <c r="AZ729">
        <v>0</v>
      </c>
      <c r="BA729">
        <v>718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CX729">
        <f>ROUND(Y729*Source!I867,9)</f>
        <v>1.0720000000000001</v>
      </c>
      <c r="CY729">
        <f>AD729</f>
        <v>0</v>
      </c>
      <c r="CZ729">
        <f>AH729</f>
        <v>0</v>
      </c>
      <c r="DA729">
        <f>AL729</f>
        <v>1</v>
      </c>
      <c r="DB729">
        <f>ROUND((ROUND(AT729*CZ729,2)*0.8),6)</f>
        <v>0</v>
      </c>
      <c r="DC729">
        <f>ROUND((ROUND(AT729*AG729,2)*0.8),6)</f>
        <v>0</v>
      </c>
      <c r="DD729" t="s">
        <v>3</v>
      </c>
      <c r="DE729" t="s">
        <v>3</v>
      </c>
      <c r="DF729">
        <f t="shared" si="350"/>
        <v>0</v>
      </c>
      <c r="DG729">
        <f t="shared" si="351"/>
        <v>0</v>
      </c>
      <c r="DH729">
        <f t="shared" si="352"/>
        <v>0</v>
      </c>
      <c r="DI729">
        <f t="shared" si="349"/>
        <v>0</v>
      </c>
      <c r="DJ729">
        <f>DI729</f>
        <v>0</v>
      </c>
      <c r="DK729">
        <v>0</v>
      </c>
    </row>
    <row r="730" spans="1:115" x14ac:dyDescent="0.2">
      <c r="A730">
        <f>ROW(Source!A867)</f>
        <v>867</v>
      </c>
      <c r="B730">
        <v>129761633</v>
      </c>
      <c r="C730">
        <v>129764052</v>
      </c>
      <c r="D730">
        <v>37407197</v>
      </c>
      <c r="E730">
        <v>1</v>
      </c>
      <c r="F730">
        <v>1</v>
      </c>
      <c r="G730">
        <v>37345137</v>
      </c>
      <c r="H730">
        <v>3</v>
      </c>
      <c r="I730" t="s">
        <v>745</v>
      </c>
      <c r="J730" t="s">
        <v>747</v>
      </c>
      <c r="K730" t="s">
        <v>746</v>
      </c>
      <c r="L730">
        <v>1354</v>
      </c>
      <c r="N730">
        <v>1010</v>
      </c>
      <c r="O730" t="s">
        <v>250</v>
      </c>
      <c r="P730" t="s">
        <v>250</v>
      </c>
      <c r="Q730">
        <v>1</v>
      </c>
      <c r="W730">
        <v>0</v>
      </c>
      <c r="X730">
        <v>1794565900</v>
      </c>
      <c r="Y730">
        <f t="shared" ref="Y730:Y761" si="353">AT730</f>
        <v>1</v>
      </c>
      <c r="AA730">
        <v>520.55999999999995</v>
      </c>
      <c r="AB730">
        <v>0</v>
      </c>
      <c r="AC730">
        <v>0</v>
      </c>
      <c r="AD730">
        <v>0</v>
      </c>
      <c r="AE730">
        <v>37.369999999999997</v>
      </c>
      <c r="AF730">
        <v>0</v>
      </c>
      <c r="AG730">
        <v>0</v>
      </c>
      <c r="AH730">
        <v>0</v>
      </c>
      <c r="AI730">
        <v>13.93</v>
      </c>
      <c r="AJ730">
        <v>1</v>
      </c>
      <c r="AK730">
        <v>1</v>
      </c>
      <c r="AL730">
        <v>1</v>
      </c>
      <c r="AN730">
        <v>0</v>
      </c>
      <c r="AO730">
        <v>0</v>
      </c>
      <c r="AP730">
        <v>0</v>
      </c>
      <c r="AQ730">
        <v>0</v>
      </c>
      <c r="AR730">
        <v>0</v>
      </c>
      <c r="AS730" t="s">
        <v>3</v>
      </c>
      <c r="AT730">
        <v>1</v>
      </c>
      <c r="AU730" t="s">
        <v>3</v>
      </c>
      <c r="AV730">
        <v>0</v>
      </c>
      <c r="AW730">
        <v>1</v>
      </c>
      <c r="AX730">
        <v>-1</v>
      </c>
      <c r="AY730">
        <v>0</v>
      </c>
      <c r="AZ730">
        <v>0</v>
      </c>
      <c r="BA730" t="s">
        <v>3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CX730">
        <f>ROUND(Y730*Source!I867,9)</f>
        <v>1</v>
      </c>
      <c r="CY730">
        <f>AA730</f>
        <v>520.55999999999995</v>
      </c>
      <c r="CZ730">
        <f>AE730</f>
        <v>37.369999999999997</v>
      </c>
      <c r="DA730">
        <f>AI730</f>
        <v>13.93</v>
      </c>
      <c r="DB730">
        <f t="shared" ref="DB730:DB761" si="354">ROUND(ROUND(AT730*CZ730,2),6)</f>
        <v>37.369999999999997</v>
      </c>
      <c r="DC730">
        <f t="shared" ref="DC730:DC761" si="355">ROUND(ROUND(AT730*AG730,2),6)</f>
        <v>0</v>
      </c>
      <c r="DD730" t="s">
        <v>3</v>
      </c>
      <c r="DE730" t="s">
        <v>3</v>
      </c>
      <c r="DF730">
        <f>ROUND(ROUND(AE730*CX730,2)*AI730,2)</f>
        <v>520.55999999999995</v>
      </c>
      <c r="DG730">
        <f t="shared" si="351"/>
        <v>0</v>
      </c>
      <c r="DH730">
        <f t="shared" si="352"/>
        <v>0</v>
      </c>
      <c r="DI730">
        <f t="shared" si="349"/>
        <v>0</v>
      </c>
      <c r="DJ730">
        <f>DF730</f>
        <v>520.55999999999995</v>
      </c>
      <c r="DK730">
        <v>0</v>
      </c>
    </row>
    <row r="731" spans="1:115" x14ac:dyDescent="0.2">
      <c r="A731">
        <f>ROW(Source!A870)</f>
        <v>870</v>
      </c>
      <c r="B731">
        <v>129761636</v>
      </c>
      <c r="C731">
        <v>129764057</v>
      </c>
      <c r="D731">
        <v>37345142</v>
      </c>
      <c r="E731">
        <v>37345137</v>
      </c>
      <c r="F731">
        <v>1</v>
      </c>
      <c r="G731">
        <v>37345137</v>
      </c>
      <c r="H731">
        <v>1</v>
      </c>
      <c r="I731" t="s">
        <v>1096</v>
      </c>
      <c r="J731" t="s">
        <v>3</v>
      </c>
      <c r="K731" t="s">
        <v>1097</v>
      </c>
      <c r="L731">
        <v>1191</v>
      </c>
      <c r="N731">
        <v>1013</v>
      </c>
      <c r="O731" t="s">
        <v>1098</v>
      </c>
      <c r="P731" t="s">
        <v>1098</v>
      </c>
      <c r="Q731">
        <v>1</v>
      </c>
      <c r="W731">
        <v>0</v>
      </c>
      <c r="X731">
        <v>476480486</v>
      </c>
      <c r="Y731">
        <f t="shared" si="353"/>
        <v>127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1</v>
      </c>
      <c r="AJ731">
        <v>1</v>
      </c>
      <c r="AK731">
        <v>1</v>
      </c>
      <c r="AL731">
        <v>1</v>
      </c>
      <c r="AN731">
        <v>0</v>
      </c>
      <c r="AO731">
        <v>1</v>
      </c>
      <c r="AP731">
        <v>0</v>
      </c>
      <c r="AQ731">
        <v>0</v>
      </c>
      <c r="AR731">
        <v>0</v>
      </c>
      <c r="AS731" t="s">
        <v>3</v>
      </c>
      <c r="AT731">
        <v>127</v>
      </c>
      <c r="AU731" t="s">
        <v>3</v>
      </c>
      <c r="AV731">
        <v>1</v>
      </c>
      <c r="AW731">
        <v>2</v>
      </c>
      <c r="AX731">
        <v>129764062</v>
      </c>
      <c r="AY731">
        <v>1</v>
      </c>
      <c r="AZ731">
        <v>0</v>
      </c>
      <c r="BA731">
        <v>719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CX731">
        <f>ROUND(Y731*Source!I870,9)</f>
        <v>6.35</v>
      </c>
      <c r="CY731">
        <f>AD731</f>
        <v>0</v>
      </c>
      <c r="CZ731">
        <f>AH731</f>
        <v>0</v>
      </c>
      <c r="DA731">
        <f>AL731</f>
        <v>1</v>
      </c>
      <c r="DB731">
        <f t="shared" si="354"/>
        <v>0</v>
      </c>
      <c r="DC731">
        <f t="shared" si="355"/>
        <v>0</v>
      </c>
      <c r="DD731" t="s">
        <v>3</v>
      </c>
      <c r="DE731" t="s">
        <v>3</v>
      </c>
      <c r="DF731">
        <f>ROUND(AE731*CX731,2)</f>
        <v>0</v>
      </c>
      <c r="DG731">
        <f t="shared" si="351"/>
        <v>0</v>
      </c>
      <c r="DH731">
        <f t="shared" si="352"/>
        <v>0</v>
      </c>
      <c r="DI731">
        <f t="shared" si="349"/>
        <v>0</v>
      </c>
      <c r="DJ731">
        <f>DI731</f>
        <v>0</v>
      </c>
      <c r="DK731">
        <v>0</v>
      </c>
    </row>
    <row r="732" spans="1:115" x14ac:dyDescent="0.2">
      <c r="A732">
        <f>ROW(Source!A870)</f>
        <v>870</v>
      </c>
      <c r="B732">
        <v>129761636</v>
      </c>
      <c r="C732">
        <v>129764057</v>
      </c>
      <c r="D732">
        <v>0</v>
      </c>
      <c r="E732">
        <v>1</v>
      </c>
      <c r="F732">
        <v>1</v>
      </c>
      <c r="G732">
        <v>37345137</v>
      </c>
      <c r="H732">
        <v>3</v>
      </c>
      <c r="I732" t="s">
        <v>248</v>
      </c>
      <c r="J732" t="s">
        <v>3</v>
      </c>
      <c r="K732" t="s">
        <v>751</v>
      </c>
      <c r="L732">
        <v>1354</v>
      </c>
      <c r="N732">
        <v>1010</v>
      </c>
      <c r="O732" t="s">
        <v>250</v>
      </c>
      <c r="P732" t="s">
        <v>250</v>
      </c>
      <c r="Q732">
        <v>1</v>
      </c>
      <c r="W732">
        <v>0</v>
      </c>
      <c r="X732">
        <v>1673954470</v>
      </c>
      <c r="Y732">
        <f t="shared" si="353"/>
        <v>60</v>
      </c>
      <c r="AA732">
        <v>82.05</v>
      </c>
      <c r="AB732">
        <v>0</v>
      </c>
      <c r="AC732">
        <v>0</v>
      </c>
      <c r="AD732">
        <v>0</v>
      </c>
      <c r="AE732">
        <v>82.05</v>
      </c>
      <c r="AF732">
        <v>0</v>
      </c>
      <c r="AG732">
        <v>0</v>
      </c>
      <c r="AH732">
        <v>0</v>
      </c>
      <c r="AI732">
        <v>1</v>
      </c>
      <c r="AJ732">
        <v>1</v>
      </c>
      <c r="AK732">
        <v>1</v>
      </c>
      <c r="AL732">
        <v>1</v>
      </c>
      <c r="AN732">
        <v>0</v>
      </c>
      <c r="AO732">
        <v>0</v>
      </c>
      <c r="AP732">
        <v>0</v>
      </c>
      <c r="AQ732">
        <v>0</v>
      </c>
      <c r="AR732">
        <v>0</v>
      </c>
      <c r="AS732" t="s">
        <v>3</v>
      </c>
      <c r="AT732">
        <v>60</v>
      </c>
      <c r="AU732" t="s">
        <v>3</v>
      </c>
      <c r="AV732">
        <v>0</v>
      </c>
      <c r="AW732">
        <v>1</v>
      </c>
      <c r="AX732">
        <v>-1</v>
      </c>
      <c r="AY732">
        <v>0</v>
      </c>
      <c r="AZ732">
        <v>0</v>
      </c>
      <c r="BA732" t="s">
        <v>3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CX732">
        <f>ROUND(Y732*Source!I870,9)</f>
        <v>3</v>
      </c>
      <c r="CY732">
        <f>AA732</f>
        <v>82.05</v>
      </c>
      <c r="CZ732">
        <f>AE732</f>
        <v>82.05</v>
      </c>
      <c r="DA732">
        <f>AI732</f>
        <v>1</v>
      </c>
      <c r="DB732">
        <f t="shared" si="354"/>
        <v>4923</v>
      </c>
      <c r="DC732">
        <f t="shared" si="355"/>
        <v>0</v>
      </c>
      <c r="DD732" t="s">
        <v>3</v>
      </c>
      <c r="DE732" t="s">
        <v>3</v>
      </c>
      <c r="DF732">
        <f>ROUND(AE732*CX732,2)</f>
        <v>246.15</v>
      </c>
      <c r="DG732">
        <f t="shared" si="351"/>
        <v>0</v>
      </c>
      <c r="DH732">
        <f t="shared" si="352"/>
        <v>0</v>
      </c>
      <c r="DI732">
        <f t="shared" si="349"/>
        <v>0</v>
      </c>
      <c r="DJ732">
        <f>DF732</f>
        <v>246.15</v>
      </c>
      <c r="DK732">
        <v>0</v>
      </c>
    </row>
    <row r="733" spans="1:115" x14ac:dyDescent="0.2">
      <c r="A733">
        <f>ROW(Source!A870)</f>
        <v>870</v>
      </c>
      <c r="B733">
        <v>129761636</v>
      </c>
      <c r="C733">
        <v>129764057</v>
      </c>
      <c r="D733">
        <v>0</v>
      </c>
      <c r="E733">
        <v>1</v>
      </c>
      <c r="F733">
        <v>1</v>
      </c>
      <c r="G733">
        <v>37345137</v>
      </c>
      <c r="H733">
        <v>3</v>
      </c>
      <c r="I733" t="s">
        <v>248</v>
      </c>
      <c r="J733" t="s">
        <v>3</v>
      </c>
      <c r="K733" t="s">
        <v>754</v>
      </c>
      <c r="L733">
        <v>1354</v>
      </c>
      <c r="N733">
        <v>1010</v>
      </c>
      <c r="O733" t="s">
        <v>250</v>
      </c>
      <c r="P733" t="s">
        <v>250</v>
      </c>
      <c r="Q733">
        <v>1</v>
      </c>
      <c r="W733">
        <v>0</v>
      </c>
      <c r="X733">
        <v>-707882540</v>
      </c>
      <c r="Y733">
        <f t="shared" si="353"/>
        <v>20</v>
      </c>
      <c r="AA733">
        <v>725.89</v>
      </c>
      <c r="AB733">
        <v>0</v>
      </c>
      <c r="AC733">
        <v>0</v>
      </c>
      <c r="AD733">
        <v>0</v>
      </c>
      <c r="AE733">
        <v>725.89</v>
      </c>
      <c r="AF733">
        <v>0</v>
      </c>
      <c r="AG733">
        <v>0</v>
      </c>
      <c r="AH733">
        <v>0</v>
      </c>
      <c r="AI733">
        <v>1</v>
      </c>
      <c r="AJ733">
        <v>1</v>
      </c>
      <c r="AK733">
        <v>1</v>
      </c>
      <c r="AL733">
        <v>1</v>
      </c>
      <c r="AN733">
        <v>0</v>
      </c>
      <c r="AO733">
        <v>0</v>
      </c>
      <c r="AP733">
        <v>0</v>
      </c>
      <c r="AQ733">
        <v>0</v>
      </c>
      <c r="AR733">
        <v>0</v>
      </c>
      <c r="AS733" t="s">
        <v>3</v>
      </c>
      <c r="AT733">
        <v>20</v>
      </c>
      <c r="AU733" t="s">
        <v>3</v>
      </c>
      <c r="AV733">
        <v>0</v>
      </c>
      <c r="AW733">
        <v>1</v>
      </c>
      <c r="AX733">
        <v>-1</v>
      </c>
      <c r="AY733">
        <v>0</v>
      </c>
      <c r="AZ733">
        <v>0</v>
      </c>
      <c r="BA733" t="s">
        <v>3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CX733">
        <f>ROUND(Y733*Source!I870,9)</f>
        <v>1</v>
      </c>
      <c r="CY733">
        <f>AA733</f>
        <v>725.89</v>
      </c>
      <c r="CZ733">
        <f>AE733</f>
        <v>725.89</v>
      </c>
      <c r="DA733">
        <f>AI733</f>
        <v>1</v>
      </c>
      <c r="DB733">
        <f t="shared" si="354"/>
        <v>14517.8</v>
      </c>
      <c r="DC733">
        <f t="shared" si="355"/>
        <v>0</v>
      </c>
      <c r="DD733" t="s">
        <v>3</v>
      </c>
      <c r="DE733" t="s">
        <v>3</v>
      </c>
      <c r="DF733">
        <f>ROUND(AE733*CX733,2)</f>
        <v>725.89</v>
      </c>
      <c r="DG733">
        <f t="shared" si="351"/>
        <v>0</v>
      </c>
      <c r="DH733">
        <f t="shared" si="352"/>
        <v>0</v>
      </c>
      <c r="DI733">
        <f t="shared" si="349"/>
        <v>0</v>
      </c>
      <c r="DJ733">
        <f>DF733</f>
        <v>725.89</v>
      </c>
      <c r="DK733">
        <v>0</v>
      </c>
    </row>
    <row r="734" spans="1:115" x14ac:dyDescent="0.2">
      <c r="A734">
        <f>ROW(Source!A870)</f>
        <v>870</v>
      </c>
      <c r="B734">
        <v>129761636</v>
      </c>
      <c r="C734">
        <v>129764057</v>
      </c>
      <c r="D734">
        <v>0</v>
      </c>
      <c r="E734">
        <v>1</v>
      </c>
      <c r="F734">
        <v>1</v>
      </c>
      <c r="G734">
        <v>37345137</v>
      </c>
      <c r="H734">
        <v>3</v>
      </c>
      <c r="I734" t="s">
        <v>248</v>
      </c>
      <c r="J734" t="s">
        <v>3</v>
      </c>
      <c r="K734" t="s">
        <v>757</v>
      </c>
      <c r="L734">
        <v>1354</v>
      </c>
      <c r="N734">
        <v>1010</v>
      </c>
      <c r="O734" t="s">
        <v>250</v>
      </c>
      <c r="P734" t="s">
        <v>250</v>
      </c>
      <c r="Q734">
        <v>1</v>
      </c>
      <c r="W734">
        <v>0</v>
      </c>
      <c r="X734">
        <v>-824144964</v>
      </c>
      <c r="Y734">
        <f t="shared" si="353"/>
        <v>20</v>
      </c>
      <c r="AA734">
        <v>1345.77</v>
      </c>
      <c r="AB734">
        <v>0</v>
      </c>
      <c r="AC734">
        <v>0</v>
      </c>
      <c r="AD734">
        <v>0</v>
      </c>
      <c r="AE734">
        <v>1345.7700000000002</v>
      </c>
      <c r="AF734">
        <v>0</v>
      </c>
      <c r="AG734">
        <v>0</v>
      </c>
      <c r="AH734">
        <v>0</v>
      </c>
      <c r="AI734">
        <v>1</v>
      </c>
      <c r="AJ734">
        <v>1</v>
      </c>
      <c r="AK734">
        <v>1</v>
      </c>
      <c r="AL734">
        <v>1</v>
      </c>
      <c r="AN734">
        <v>0</v>
      </c>
      <c r="AO734">
        <v>0</v>
      </c>
      <c r="AP734">
        <v>0</v>
      </c>
      <c r="AQ734">
        <v>0</v>
      </c>
      <c r="AR734">
        <v>0</v>
      </c>
      <c r="AS734" t="s">
        <v>3</v>
      </c>
      <c r="AT734">
        <v>20</v>
      </c>
      <c r="AU734" t="s">
        <v>3</v>
      </c>
      <c r="AV734">
        <v>0</v>
      </c>
      <c r="AW734">
        <v>1</v>
      </c>
      <c r="AX734">
        <v>-1</v>
      </c>
      <c r="AY734">
        <v>0</v>
      </c>
      <c r="AZ734">
        <v>0</v>
      </c>
      <c r="BA734" t="s">
        <v>3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CX734">
        <f>ROUND(Y734*Source!I870,9)</f>
        <v>1</v>
      </c>
      <c r="CY734">
        <f>AA734</f>
        <v>1345.77</v>
      </c>
      <c r="CZ734">
        <f>AE734</f>
        <v>1345.7700000000002</v>
      </c>
      <c r="DA734">
        <f>AI734</f>
        <v>1</v>
      </c>
      <c r="DB734">
        <f t="shared" si="354"/>
        <v>26915.4</v>
      </c>
      <c r="DC734">
        <f t="shared" si="355"/>
        <v>0</v>
      </c>
      <c r="DD734" t="s">
        <v>3</v>
      </c>
      <c r="DE734" t="s">
        <v>3</v>
      </c>
      <c r="DF734">
        <f>ROUND(AE734*CX734,2)</f>
        <v>1345.77</v>
      </c>
      <c r="DG734">
        <f t="shared" si="351"/>
        <v>0</v>
      </c>
      <c r="DH734">
        <f t="shared" si="352"/>
        <v>0</v>
      </c>
      <c r="DI734">
        <f t="shared" si="349"/>
        <v>0</v>
      </c>
      <c r="DJ734">
        <f>DF734</f>
        <v>1345.77</v>
      </c>
      <c r="DK734">
        <v>0</v>
      </c>
    </row>
    <row r="735" spans="1:115" x14ac:dyDescent="0.2">
      <c r="A735">
        <f>ROW(Source!A871)</f>
        <v>871</v>
      </c>
      <c r="B735">
        <v>129761633</v>
      </c>
      <c r="C735">
        <v>129764057</v>
      </c>
      <c r="D735">
        <v>37345142</v>
      </c>
      <c r="E735">
        <v>37345137</v>
      </c>
      <c r="F735">
        <v>1</v>
      </c>
      <c r="G735">
        <v>37345137</v>
      </c>
      <c r="H735">
        <v>1</v>
      </c>
      <c r="I735" t="s">
        <v>1096</v>
      </c>
      <c r="J735" t="s">
        <v>3</v>
      </c>
      <c r="K735" t="s">
        <v>1097</v>
      </c>
      <c r="L735">
        <v>1191</v>
      </c>
      <c r="N735">
        <v>1013</v>
      </c>
      <c r="O735" t="s">
        <v>1098</v>
      </c>
      <c r="P735" t="s">
        <v>1098</v>
      </c>
      <c r="Q735">
        <v>1</v>
      </c>
      <c r="W735">
        <v>0</v>
      </c>
      <c r="X735">
        <v>476480486</v>
      </c>
      <c r="Y735">
        <f t="shared" si="353"/>
        <v>127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1</v>
      </c>
      <c r="AJ735">
        <v>1</v>
      </c>
      <c r="AK735">
        <v>1</v>
      </c>
      <c r="AL735">
        <v>1</v>
      </c>
      <c r="AN735">
        <v>0</v>
      </c>
      <c r="AO735">
        <v>1</v>
      </c>
      <c r="AP735">
        <v>0</v>
      </c>
      <c r="AQ735">
        <v>0</v>
      </c>
      <c r="AR735">
        <v>0</v>
      </c>
      <c r="AS735" t="s">
        <v>3</v>
      </c>
      <c r="AT735">
        <v>127</v>
      </c>
      <c r="AU735" t="s">
        <v>3</v>
      </c>
      <c r="AV735">
        <v>1</v>
      </c>
      <c r="AW735">
        <v>2</v>
      </c>
      <c r="AX735">
        <v>129764062</v>
      </c>
      <c r="AY735">
        <v>1</v>
      </c>
      <c r="AZ735">
        <v>0</v>
      </c>
      <c r="BA735">
        <v>720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CX735">
        <f>ROUND(Y735*Source!I871,9)</f>
        <v>6.35</v>
      </c>
      <c r="CY735">
        <f>AD735</f>
        <v>0</v>
      </c>
      <c r="CZ735">
        <f>AH735</f>
        <v>0</v>
      </c>
      <c r="DA735">
        <f>AL735</f>
        <v>1</v>
      </c>
      <c r="DB735">
        <f t="shared" si="354"/>
        <v>0</v>
      </c>
      <c r="DC735">
        <f t="shared" si="355"/>
        <v>0</v>
      </c>
      <c r="DD735" t="s">
        <v>3</v>
      </c>
      <c r="DE735" t="s">
        <v>3</v>
      </c>
      <c r="DF735">
        <f>ROUND(AE735*CX735,2)</f>
        <v>0</v>
      </c>
      <c r="DG735">
        <f t="shared" si="351"/>
        <v>0</v>
      </c>
      <c r="DH735">
        <f t="shared" si="352"/>
        <v>0</v>
      </c>
      <c r="DI735">
        <f t="shared" si="349"/>
        <v>0</v>
      </c>
      <c r="DJ735">
        <f>DI735</f>
        <v>0</v>
      </c>
      <c r="DK735">
        <v>0</v>
      </c>
    </row>
    <row r="736" spans="1:115" x14ac:dyDescent="0.2">
      <c r="A736">
        <f>ROW(Source!A871)</f>
        <v>871</v>
      </c>
      <c r="B736">
        <v>129761633</v>
      </c>
      <c r="C736">
        <v>129764057</v>
      </c>
      <c r="D736">
        <v>0</v>
      </c>
      <c r="E736">
        <v>1</v>
      </c>
      <c r="F736">
        <v>1</v>
      </c>
      <c r="G736">
        <v>37345137</v>
      </c>
      <c r="H736">
        <v>3</v>
      </c>
      <c r="I736" t="s">
        <v>248</v>
      </c>
      <c r="J736" t="s">
        <v>3</v>
      </c>
      <c r="K736" t="s">
        <v>751</v>
      </c>
      <c r="L736">
        <v>1354</v>
      </c>
      <c r="N736">
        <v>1010</v>
      </c>
      <c r="O736" t="s">
        <v>250</v>
      </c>
      <c r="P736" t="s">
        <v>250</v>
      </c>
      <c r="Q736">
        <v>1</v>
      </c>
      <c r="W736">
        <v>0</v>
      </c>
      <c r="X736">
        <v>1673954470</v>
      </c>
      <c r="Y736">
        <f t="shared" si="353"/>
        <v>60</v>
      </c>
      <c r="AA736">
        <v>1416.96</v>
      </c>
      <c r="AB736">
        <v>0</v>
      </c>
      <c r="AC736">
        <v>0</v>
      </c>
      <c r="AD736">
        <v>0</v>
      </c>
      <c r="AE736">
        <v>163.81</v>
      </c>
      <c r="AF736">
        <v>0</v>
      </c>
      <c r="AG736">
        <v>0</v>
      </c>
      <c r="AH736">
        <v>0</v>
      </c>
      <c r="AI736">
        <v>8.65</v>
      </c>
      <c r="AJ736">
        <v>1</v>
      </c>
      <c r="AK736">
        <v>1</v>
      </c>
      <c r="AL736">
        <v>1</v>
      </c>
      <c r="AN736">
        <v>0</v>
      </c>
      <c r="AO736">
        <v>0</v>
      </c>
      <c r="AP736">
        <v>0</v>
      </c>
      <c r="AQ736">
        <v>0</v>
      </c>
      <c r="AR736">
        <v>0</v>
      </c>
      <c r="AS736" t="s">
        <v>3</v>
      </c>
      <c r="AT736">
        <v>60</v>
      </c>
      <c r="AU736" t="s">
        <v>3</v>
      </c>
      <c r="AV736">
        <v>0</v>
      </c>
      <c r="AW736">
        <v>1</v>
      </c>
      <c r="AX736">
        <v>-1</v>
      </c>
      <c r="AY736">
        <v>0</v>
      </c>
      <c r="AZ736">
        <v>0</v>
      </c>
      <c r="BA736" t="s">
        <v>3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CX736">
        <f>ROUND(Y736*Source!I871,9)</f>
        <v>3</v>
      </c>
      <c r="CY736">
        <f>AA736</f>
        <v>1416.96</v>
      </c>
      <c r="CZ736">
        <f>AE736</f>
        <v>163.81</v>
      </c>
      <c r="DA736">
        <f>AI736</f>
        <v>8.65</v>
      </c>
      <c r="DB736">
        <f t="shared" si="354"/>
        <v>9828.6</v>
      </c>
      <c r="DC736">
        <f t="shared" si="355"/>
        <v>0</v>
      </c>
      <c r="DD736" t="s">
        <v>3</v>
      </c>
      <c r="DE736" t="s">
        <v>3</v>
      </c>
      <c r="DF736">
        <f>ROUND(ROUND(AE736*CX736,2)*AI736,2)</f>
        <v>4250.87</v>
      </c>
      <c r="DG736">
        <f t="shared" si="351"/>
        <v>0</v>
      </c>
      <c r="DH736">
        <f t="shared" si="352"/>
        <v>0</v>
      </c>
      <c r="DI736">
        <f t="shared" si="349"/>
        <v>0</v>
      </c>
      <c r="DJ736">
        <f>DF736</f>
        <v>4250.87</v>
      </c>
      <c r="DK736">
        <v>0</v>
      </c>
    </row>
    <row r="737" spans="1:115" x14ac:dyDescent="0.2">
      <c r="A737">
        <f>ROW(Source!A871)</f>
        <v>871</v>
      </c>
      <c r="B737">
        <v>129761633</v>
      </c>
      <c r="C737">
        <v>129764057</v>
      </c>
      <c r="D737">
        <v>0</v>
      </c>
      <c r="E737">
        <v>1</v>
      </c>
      <c r="F737">
        <v>1</v>
      </c>
      <c r="G737">
        <v>37345137</v>
      </c>
      <c r="H737">
        <v>3</v>
      </c>
      <c r="I737" t="s">
        <v>248</v>
      </c>
      <c r="J737" t="s">
        <v>3</v>
      </c>
      <c r="K737" t="s">
        <v>754</v>
      </c>
      <c r="L737">
        <v>1354</v>
      </c>
      <c r="N737">
        <v>1010</v>
      </c>
      <c r="O737" t="s">
        <v>250</v>
      </c>
      <c r="P737" t="s">
        <v>250</v>
      </c>
      <c r="Q737">
        <v>1</v>
      </c>
      <c r="W737">
        <v>0</v>
      </c>
      <c r="X737">
        <v>-707882540</v>
      </c>
      <c r="Y737">
        <f t="shared" si="353"/>
        <v>20</v>
      </c>
      <c r="AA737">
        <v>6806.77</v>
      </c>
      <c r="AB737">
        <v>0</v>
      </c>
      <c r="AC737">
        <v>0</v>
      </c>
      <c r="AD737">
        <v>0</v>
      </c>
      <c r="AE737">
        <v>786.91</v>
      </c>
      <c r="AF737">
        <v>0</v>
      </c>
      <c r="AG737">
        <v>0</v>
      </c>
      <c r="AH737">
        <v>0</v>
      </c>
      <c r="AI737">
        <v>8.65</v>
      </c>
      <c r="AJ737">
        <v>1</v>
      </c>
      <c r="AK737">
        <v>1</v>
      </c>
      <c r="AL737">
        <v>1</v>
      </c>
      <c r="AN737">
        <v>0</v>
      </c>
      <c r="AO737">
        <v>0</v>
      </c>
      <c r="AP737">
        <v>0</v>
      </c>
      <c r="AQ737">
        <v>0</v>
      </c>
      <c r="AR737">
        <v>0</v>
      </c>
      <c r="AS737" t="s">
        <v>3</v>
      </c>
      <c r="AT737">
        <v>20</v>
      </c>
      <c r="AU737" t="s">
        <v>3</v>
      </c>
      <c r="AV737">
        <v>0</v>
      </c>
      <c r="AW737">
        <v>1</v>
      </c>
      <c r="AX737">
        <v>-1</v>
      </c>
      <c r="AY737">
        <v>0</v>
      </c>
      <c r="AZ737">
        <v>0</v>
      </c>
      <c r="BA737" t="s">
        <v>3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CX737">
        <f>ROUND(Y737*Source!I871,9)</f>
        <v>1</v>
      </c>
      <c r="CY737">
        <f>AA737</f>
        <v>6806.77</v>
      </c>
      <c r="CZ737">
        <f>AE737</f>
        <v>786.91</v>
      </c>
      <c r="DA737">
        <f>AI737</f>
        <v>8.65</v>
      </c>
      <c r="DB737">
        <f t="shared" si="354"/>
        <v>15738.2</v>
      </c>
      <c r="DC737">
        <f t="shared" si="355"/>
        <v>0</v>
      </c>
      <c r="DD737" t="s">
        <v>3</v>
      </c>
      <c r="DE737" t="s">
        <v>3</v>
      </c>
      <c r="DF737">
        <f>ROUND(ROUND(AE737*CX737,2)*AI737,2)</f>
        <v>6806.77</v>
      </c>
      <c r="DG737">
        <f t="shared" si="351"/>
        <v>0</v>
      </c>
      <c r="DH737">
        <f t="shared" si="352"/>
        <v>0</v>
      </c>
      <c r="DI737">
        <f t="shared" si="349"/>
        <v>0</v>
      </c>
      <c r="DJ737">
        <f>DF737</f>
        <v>6806.77</v>
      </c>
      <c r="DK737">
        <v>0</v>
      </c>
    </row>
    <row r="738" spans="1:115" x14ac:dyDescent="0.2">
      <c r="A738">
        <f>ROW(Source!A871)</f>
        <v>871</v>
      </c>
      <c r="B738">
        <v>129761633</v>
      </c>
      <c r="C738">
        <v>129764057</v>
      </c>
      <c r="D738">
        <v>0</v>
      </c>
      <c r="E738">
        <v>1</v>
      </c>
      <c r="F738">
        <v>1</v>
      </c>
      <c r="G738">
        <v>37345137</v>
      </c>
      <c r="H738">
        <v>3</v>
      </c>
      <c r="I738" t="s">
        <v>248</v>
      </c>
      <c r="J738" t="s">
        <v>3</v>
      </c>
      <c r="K738" t="s">
        <v>757</v>
      </c>
      <c r="L738">
        <v>1354</v>
      </c>
      <c r="N738">
        <v>1010</v>
      </c>
      <c r="O738" t="s">
        <v>250</v>
      </c>
      <c r="P738" t="s">
        <v>250</v>
      </c>
      <c r="Q738">
        <v>1</v>
      </c>
      <c r="W738">
        <v>0</v>
      </c>
      <c r="X738">
        <v>-824144964</v>
      </c>
      <c r="Y738">
        <f t="shared" si="353"/>
        <v>20</v>
      </c>
      <c r="AA738">
        <v>9968.8700000000008</v>
      </c>
      <c r="AB738">
        <v>0</v>
      </c>
      <c r="AC738">
        <v>0</v>
      </c>
      <c r="AD738">
        <v>0</v>
      </c>
      <c r="AE738">
        <v>1152.4699999999998</v>
      </c>
      <c r="AF738">
        <v>0</v>
      </c>
      <c r="AG738">
        <v>0</v>
      </c>
      <c r="AH738">
        <v>0</v>
      </c>
      <c r="AI738">
        <v>8.65</v>
      </c>
      <c r="AJ738">
        <v>1</v>
      </c>
      <c r="AK738">
        <v>1</v>
      </c>
      <c r="AL738">
        <v>1</v>
      </c>
      <c r="AN738">
        <v>0</v>
      </c>
      <c r="AO738">
        <v>0</v>
      </c>
      <c r="AP738">
        <v>0</v>
      </c>
      <c r="AQ738">
        <v>0</v>
      </c>
      <c r="AR738">
        <v>0</v>
      </c>
      <c r="AS738" t="s">
        <v>3</v>
      </c>
      <c r="AT738">
        <v>20</v>
      </c>
      <c r="AU738" t="s">
        <v>3</v>
      </c>
      <c r="AV738">
        <v>0</v>
      </c>
      <c r="AW738">
        <v>1</v>
      </c>
      <c r="AX738">
        <v>-1</v>
      </c>
      <c r="AY738">
        <v>0</v>
      </c>
      <c r="AZ738">
        <v>0</v>
      </c>
      <c r="BA738" t="s">
        <v>3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CX738">
        <f>ROUND(Y738*Source!I871,9)</f>
        <v>1</v>
      </c>
      <c r="CY738">
        <f>AA738</f>
        <v>9968.8700000000008</v>
      </c>
      <c r="CZ738">
        <f>AE738</f>
        <v>1152.4699999999998</v>
      </c>
      <c r="DA738">
        <f>AI738</f>
        <v>8.65</v>
      </c>
      <c r="DB738">
        <f t="shared" si="354"/>
        <v>23049.4</v>
      </c>
      <c r="DC738">
        <f t="shared" si="355"/>
        <v>0</v>
      </c>
      <c r="DD738" t="s">
        <v>3</v>
      </c>
      <c r="DE738" t="s">
        <v>3</v>
      </c>
      <c r="DF738">
        <f>ROUND(ROUND(AE738*CX738,2)*AI738,2)</f>
        <v>9968.8700000000008</v>
      </c>
      <c r="DG738">
        <f t="shared" si="351"/>
        <v>0</v>
      </c>
      <c r="DH738">
        <f t="shared" si="352"/>
        <v>0</v>
      </c>
      <c r="DI738">
        <f t="shared" si="349"/>
        <v>0</v>
      </c>
      <c r="DJ738">
        <f>DF738</f>
        <v>9968.8700000000008</v>
      </c>
      <c r="DK738">
        <v>0</v>
      </c>
    </row>
    <row r="739" spans="1:115" x14ac:dyDescent="0.2">
      <c r="A739">
        <f>ROW(Source!A878)</f>
        <v>878</v>
      </c>
      <c r="B739">
        <v>129761636</v>
      </c>
      <c r="C739">
        <v>129764066</v>
      </c>
      <c r="D739">
        <v>37345142</v>
      </c>
      <c r="E739">
        <v>37345137</v>
      </c>
      <c r="F739">
        <v>1</v>
      </c>
      <c r="G739">
        <v>37345137</v>
      </c>
      <c r="H739">
        <v>1</v>
      </c>
      <c r="I739" t="s">
        <v>1096</v>
      </c>
      <c r="J739" t="s">
        <v>3</v>
      </c>
      <c r="K739" t="s">
        <v>1097</v>
      </c>
      <c r="L739">
        <v>1191</v>
      </c>
      <c r="N739">
        <v>1013</v>
      </c>
      <c r="O739" t="s">
        <v>1098</v>
      </c>
      <c r="P739" t="s">
        <v>1098</v>
      </c>
      <c r="Q739">
        <v>1</v>
      </c>
      <c r="W739">
        <v>0</v>
      </c>
      <c r="X739">
        <v>476480486</v>
      </c>
      <c r="Y739">
        <f t="shared" si="353"/>
        <v>84.67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1</v>
      </c>
      <c r="AJ739">
        <v>1</v>
      </c>
      <c r="AK739">
        <v>1</v>
      </c>
      <c r="AL739">
        <v>1</v>
      </c>
      <c r="AN739">
        <v>0</v>
      </c>
      <c r="AO739">
        <v>1</v>
      </c>
      <c r="AP739">
        <v>0</v>
      </c>
      <c r="AQ739">
        <v>0</v>
      </c>
      <c r="AR739">
        <v>0</v>
      </c>
      <c r="AS739" t="s">
        <v>3</v>
      </c>
      <c r="AT739">
        <v>84.67</v>
      </c>
      <c r="AU739" t="s">
        <v>3</v>
      </c>
      <c r="AV739">
        <v>1</v>
      </c>
      <c r="AW739">
        <v>2</v>
      </c>
      <c r="AX739">
        <v>129764070</v>
      </c>
      <c r="AY739">
        <v>1</v>
      </c>
      <c r="AZ739">
        <v>0</v>
      </c>
      <c r="BA739">
        <v>721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CX739">
        <f>ROUND(Y739*Source!I878,9)</f>
        <v>2.5400999999999998</v>
      </c>
      <c r="CY739">
        <f>AD739</f>
        <v>0</v>
      </c>
      <c r="CZ739">
        <f>AH739</f>
        <v>0</v>
      </c>
      <c r="DA739">
        <f>AL739</f>
        <v>1</v>
      </c>
      <c r="DB739">
        <f t="shared" si="354"/>
        <v>0</v>
      </c>
      <c r="DC739">
        <f t="shared" si="355"/>
        <v>0</v>
      </c>
      <c r="DD739" t="s">
        <v>3</v>
      </c>
      <c r="DE739" t="s">
        <v>3</v>
      </c>
      <c r="DF739">
        <f>ROUND(AE739*CX739,2)</f>
        <v>0</v>
      </c>
      <c r="DG739">
        <f t="shared" si="351"/>
        <v>0</v>
      </c>
      <c r="DH739">
        <f t="shared" si="352"/>
        <v>0</v>
      </c>
      <c r="DI739">
        <f t="shared" si="349"/>
        <v>0</v>
      </c>
      <c r="DJ739">
        <f>DI739</f>
        <v>0</v>
      </c>
      <c r="DK739">
        <v>0</v>
      </c>
    </row>
    <row r="740" spans="1:115" x14ac:dyDescent="0.2">
      <c r="A740">
        <f>ROW(Source!A878)</f>
        <v>878</v>
      </c>
      <c r="B740">
        <v>129761636</v>
      </c>
      <c r="C740">
        <v>129764066</v>
      </c>
      <c r="D740">
        <v>37395787</v>
      </c>
      <c r="E740">
        <v>1</v>
      </c>
      <c r="F740">
        <v>1</v>
      </c>
      <c r="G740">
        <v>37345137</v>
      </c>
      <c r="H740">
        <v>3</v>
      </c>
      <c r="I740" t="s">
        <v>648</v>
      </c>
      <c r="J740" t="s">
        <v>650</v>
      </c>
      <c r="K740" t="s">
        <v>649</v>
      </c>
      <c r="L740">
        <v>1354</v>
      </c>
      <c r="N740">
        <v>1010</v>
      </c>
      <c r="O740" t="s">
        <v>250</v>
      </c>
      <c r="P740" t="s">
        <v>250</v>
      </c>
      <c r="Q740">
        <v>1</v>
      </c>
      <c r="W740">
        <v>0</v>
      </c>
      <c r="X740">
        <v>1588752738</v>
      </c>
      <c r="Y740">
        <f t="shared" si="353"/>
        <v>100</v>
      </c>
      <c r="AA740">
        <v>15.36</v>
      </c>
      <c r="AB740">
        <v>0</v>
      </c>
      <c r="AC740">
        <v>0</v>
      </c>
      <c r="AD740">
        <v>0</v>
      </c>
      <c r="AE740">
        <v>15.36</v>
      </c>
      <c r="AF740">
        <v>0</v>
      </c>
      <c r="AG740">
        <v>0</v>
      </c>
      <c r="AH740">
        <v>0</v>
      </c>
      <c r="AI740">
        <v>1</v>
      </c>
      <c r="AJ740">
        <v>1</v>
      </c>
      <c r="AK740">
        <v>1</v>
      </c>
      <c r="AL740">
        <v>1</v>
      </c>
      <c r="AN740">
        <v>0</v>
      </c>
      <c r="AO740">
        <v>0</v>
      </c>
      <c r="AP740">
        <v>0</v>
      </c>
      <c r="AQ740">
        <v>0</v>
      </c>
      <c r="AR740">
        <v>0</v>
      </c>
      <c r="AS740" t="s">
        <v>3</v>
      </c>
      <c r="AT740">
        <v>100</v>
      </c>
      <c r="AU740" t="s">
        <v>3</v>
      </c>
      <c r="AV740">
        <v>0</v>
      </c>
      <c r="AW740">
        <v>1</v>
      </c>
      <c r="AX740">
        <v>-1</v>
      </c>
      <c r="AY740">
        <v>0</v>
      </c>
      <c r="AZ740">
        <v>0</v>
      </c>
      <c r="BA740" t="s">
        <v>3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CX740">
        <f>ROUND(Y740*Source!I878,9)</f>
        <v>3</v>
      </c>
      <c r="CY740">
        <f>AA740</f>
        <v>15.36</v>
      </c>
      <c r="CZ740">
        <f>AE740</f>
        <v>15.36</v>
      </c>
      <c r="DA740">
        <f>AI740</f>
        <v>1</v>
      </c>
      <c r="DB740">
        <f t="shared" si="354"/>
        <v>1536</v>
      </c>
      <c r="DC740">
        <f t="shared" si="355"/>
        <v>0</v>
      </c>
      <c r="DD740" t="s">
        <v>3</v>
      </c>
      <c r="DE740" t="s">
        <v>3</v>
      </c>
      <c r="DF740">
        <f>ROUND(AE740*CX740,2)</f>
        <v>46.08</v>
      </c>
      <c r="DG740">
        <f t="shared" si="351"/>
        <v>0</v>
      </c>
      <c r="DH740">
        <f t="shared" si="352"/>
        <v>0</v>
      </c>
      <c r="DI740">
        <f t="shared" si="349"/>
        <v>0</v>
      </c>
      <c r="DJ740">
        <f>DF740</f>
        <v>46.08</v>
      </c>
      <c r="DK740">
        <v>0</v>
      </c>
    </row>
    <row r="741" spans="1:115" x14ac:dyDescent="0.2">
      <c r="A741">
        <f>ROW(Source!A878)</f>
        <v>878</v>
      </c>
      <c r="B741">
        <v>129761636</v>
      </c>
      <c r="C741">
        <v>129764066</v>
      </c>
      <c r="D741">
        <v>37407813</v>
      </c>
      <c r="E741">
        <v>1</v>
      </c>
      <c r="F741">
        <v>1</v>
      </c>
      <c r="G741">
        <v>37345137</v>
      </c>
      <c r="H741">
        <v>3</v>
      </c>
      <c r="I741" t="s">
        <v>759</v>
      </c>
      <c r="J741" t="s">
        <v>761</v>
      </c>
      <c r="K741" t="s">
        <v>760</v>
      </c>
      <c r="L741">
        <v>1354</v>
      </c>
      <c r="N741">
        <v>1010</v>
      </c>
      <c r="O741" t="s">
        <v>250</v>
      </c>
      <c r="P741" t="s">
        <v>250</v>
      </c>
      <c r="Q741">
        <v>1</v>
      </c>
      <c r="W741">
        <v>0</v>
      </c>
      <c r="X741">
        <v>-2016539353</v>
      </c>
      <c r="Y741">
        <f t="shared" si="353"/>
        <v>100</v>
      </c>
      <c r="AA741">
        <v>347.2</v>
      </c>
      <c r="AB741">
        <v>0</v>
      </c>
      <c r="AC741">
        <v>0</v>
      </c>
      <c r="AD741">
        <v>0</v>
      </c>
      <c r="AE741">
        <v>347.2</v>
      </c>
      <c r="AF741">
        <v>0</v>
      </c>
      <c r="AG741">
        <v>0</v>
      </c>
      <c r="AH741">
        <v>0</v>
      </c>
      <c r="AI741">
        <v>1</v>
      </c>
      <c r="AJ741">
        <v>1</v>
      </c>
      <c r="AK741">
        <v>1</v>
      </c>
      <c r="AL741">
        <v>1</v>
      </c>
      <c r="AN741">
        <v>0</v>
      </c>
      <c r="AO741">
        <v>0</v>
      </c>
      <c r="AP741">
        <v>0</v>
      </c>
      <c r="AQ741">
        <v>0</v>
      </c>
      <c r="AR741">
        <v>0</v>
      </c>
      <c r="AS741" t="s">
        <v>3</v>
      </c>
      <c r="AT741">
        <v>100</v>
      </c>
      <c r="AU741" t="s">
        <v>3</v>
      </c>
      <c r="AV741">
        <v>0</v>
      </c>
      <c r="AW741">
        <v>1</v>
      </c>
      <c r="AX741">
        <v>-1</v>
      </c>
      <c r="AY741">
        <v>0</v>
      </c>
      <c r="AZ741">
        <v>0</v>
      </c>
      <c r="BA741" t="s">
        <v>3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CX741">
        <f>ROUND(Y741*Source!I878,9)</f>
        <v>3</v>
      </c>
      <c r="CY741">
        <f>AA741</f>
        <v>347.2</v>
      </c>
      <c r="CZ741">
        <f>AE741</f>
        <v>347.2</v>
      </c>
      <c r="DA741">
        <f>AI741</f>
        <v>1</v>
      </c>
      <c r="DB741">
        <f t="shared" si="354"/>
        <v>34720</v>
      </c>
      <c r="DC741">
        <f t="shared" si="355"/>
        <v>0</v>
      </c>
      <c r="DD741" t="s">
        <v>3</v>
      </c>
      <c r="DE741" t="s">
        <v>3</v>
      </c>
      <c r="DF741">
        <f>ROUND(AE741*CX741,2)</f>
        <v>1041.5999999999999</v>
      </c>
      <c r="DG741">
        <f t="shared" si="351"/>
        <v>0</v>
      </c>
      <c r="DH741">
        <f t="shared" si="352"/>
        <v>0</v>
      </c>
      <c r="DI741">
        <f t="shared" si="349"/>
        <v>0</v>
      </c>
      <c r="DJ741">
        <f>DF741</f>
        <v>1041.5999999999999</v>
      </c>
      <c r="DK741">
        <v>0</v>
      </c>
    </row>
    <row r="742" spans="1:115" x14ac:dyDescent="0.2">
      <c r="A742">
        <f>ROW(Source!A879)</f>
        <v>879</v>
      </c>
      <c r="B742">
        <v>129761633</v>
      </c>
      <c r="C742">
        <v>129764066</v>
      </c>
      <c r="D742">
        <v>37345142</v>
      </c>
      <c r="E742">
        <v>37345137</v>
      </c>
      <c r="F742">
        <v>1</v>
      </c>
      <c r="G742">
        <v>37345137</v>
      </c>
      <c r="H742">
        <v>1</v>
      </c>
      <c r="I742" t="s">
        <v>1096</v>
      </c>
      <c r="J742" t="s">
        <v>3</v>
      </c>
      <c r="K742" t="s">
        <v>1097</v>
      </c>
      <c r="L742">
        <v>1191</v>
      </c>
      <c r="N742">
        <v>1013</v>
      </c>
      <c r="O742" t="s">
        <v>1098</v>
      </c>
      <c r="P742" t="s">
        <v>1098</v>
      </c>
      <c r="Q742">
        <v>1</v>
      </c>
      <c r="W742">
        <v>0</v>
      </c>
      <c r="X742">
        <v>476480486</v>
      </c>
      <c r="Y742">
        <f t="shared" si="353"/>
        <v>84.67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1</v>
      </c>
      <c r="AJ742">
        <v>1</v>
      </c>
      <c r="AK742">
        <v>1</v>
      </c>
      <c r="AL742">
        <v>1</v>
      </c>
      <c r="AN742">
        <v>0</v>
      </c>
      <c r="AO742">
        <v>1</v>
      </c>
      <c r="AP742">
        <v>0</v>
      </c>
      <c r="AQ742">
        <v>0</v>
      </c>
      <c r="AR742">
        <v>0</v>
      </c>
      <c r="AS742" t="s">
        <v>3</v>
      </c>
      <c r="AT742">
        <v>84.67</v>
      </c>
      <c r="AU742" t="s">
        <v>3</v>
      </c>
      <c r="AV742">
        <v>1</v>
      </c>
      <c r="AW742">
        <v>2</v>
      </c>
      <c r="AX742">
        <v>129764070</v>
      </c>
      <c r="AY742">
        <v>1</v>
      </c>
      <c r="AZ742">
        <v>0</v>
      </c>
      <c r="BA742">
        <v>722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CX742">
        <f>ROUND(Y742*Source!I879,9)</f>
        <v>2.5400999999999998</v>
      </c>
      <c r="CY742">
        <f>AD742</f>
        <v>0</v>
      </c>
      <c r="CZ742">
        <f>AH742</f>
        <v>0</v>
      </c>
      <c r="DA742">
        <f>AL742</f>
        <v>1</v>
      </c>
      <c r="DB742">
        <f t="shared" si="354"/>
        <v>0</v>
      </c>
      <c r="DC742">
        <f t="shared" si="355"/>
        <v>0</v>
      </c>
      <c r="DD742" t="s">
        <v>3</v>
      </c>
      <c r="DE742" t="s">
        <v>3</v>
      </c>
      <c r="DF742">
        <f>ROUND(AE742*CX742,2)</f>
        <v>0</v>
      </c>
      <c r="DG742">
        <f t="shared" si="351"/>
        <v>0</v>
      </c>
      <c r="DH742">
        <f t="shared" si="352"/>
        <v>0</v>
      </c>
      <c r="DI742">
        <f t="shared" si="349"/>
        <v>0</v>
      </c>
      <c r="DJ742">
        <f>DI742</f>
        <v>0</v>
      </c>
      <c r="DK742">
        <v>0</v>
      </c>
    </row>
    <row r="743" spans="1:115" x14ac:dyDescent="0.2">
      <c r="A743">
        <f>ROW(Source!A879)</f>
        <v>879</v>
      </c>
      <c r="B743">
        <v>129761633</v>
      </c>
      <c r="C743">
        <v>129764066</v>
      </c>
      <c r="D743">
        <v>37395787</v>
      </c>
      <c r="E743">
        <v>1</v>
      </c>
      <c r="F743">
        <v>1</v>
      </c>
      <c r="G743">
        <v>37345137</v>
      </c>
      <c r="H743">
        <v>3</v>
      </c>
      <c r="I743" t="s">
        <v>648</v>
      </c>
      <c r="J743" t="s">
        <v>650</v>
      </c>
      <c r="K743" t="s">
        <v>649</v>
      </c>
      <c r="L743">
        <v>1354</v>
      </c>
      <c r="N743">
        <v>1010</v>
      </c>
      <c r="O743" t="s">
        <v>250</v>
      </c>
      <c r="P743" t="s">
        <v>250</v>
      </c>
      <c r="Q743">
        <v>1</v>
      </c>
      <c r="W743">
        <v>0</v>
      </c>
      <c r="X743">
        <v>1588752738</v>
      </c>
      <c r="Y743">
        <f t="shared" si="353"/>
        <v>100</v>
      </c>
      <c r="AA743">
        <v>60.52</v>
      </c>
      <c r="AB743">
        <v>0</v>
      </c>
      <c r="AC743">
        <v>0</v>
      </c>
      <c r="AD743">
        <v>0</v>
      </c>
      <c r="AE743">
        <v>15.36</v>
      </c>
      <c r="AF743">
        <v>0</v>
      </c>
      <c r="AG743">
        <v>0</v>
      </c>
      <c r="AH743">
        <v>0</v>
      </c>
      <c r="AI743">
        <v>3.94</v>
      </c>
      <c r="AJ743">
        <v>1</v>
      </c>
      <c r="AK743">
        <v>1</v>
      </c>
      <c r="AL743">
        <v>1</v>
      </c>
      <c r="AN743">
        <v>0</v>
      </c>
      <c r="AO743">
        <v>0</v>
      </c>
      <c r="AP743">
        <v>0</v>
      </c>
      <c r="AQ743">
        <v>0</v>
      </c>
      <c r="AR743">
        <v>0</v>
      </c>
      <c r="AS743" t="s">
        <v>3</v>
      </c>
      <c r="AT743">
        <v>100</v>
      </c>
      <c r="AU743" t="s">
        <v>3</v>
      </c>
      <c r="AV743">
        <v>0</v>
      </c>
      <c r="AW743">
        <v>1</v>
      </c>
      <c r="AX743">
        <v>-1</v>
      </c>
      <c r="AY743">
        <v>0</v>
      </c>
      <c r="AZ743">
        <v>0</v>
      </c>
      <c r="BA743" t="s">
        <v>3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CX743">
        <f>ROUND(Y743*Source!I879,9)</f>
        <v>3</v>
      </c>
      <c r="CY743">
        <f>AA743</f>
        <v>60.52</v>
      </c>
      <c r="CZ743">
        <f>AE743</f>
        <v>15.36</v>
      </c>
      <c r="DA743">
        <f>AI743</f>
        <v>3.94</v>
      </c>
      <c r="DB743">
        <f t="shared" si="354"/>
        <v>1536</v>
      </c>
      <c r="DC743">
        <f t="shared" si="355"/>
        <v>0</v>
      </c>
      <c r="DD743" t="s">
        <v>3</v>
      </c>
      <c r="DE743" t="s">
        <v>3</v>
      </c>
      <c r="DF743">
        <f>ROUND(ROUND(AE743*CX743,2)*AI743,2)</f>
        <v>181.56</v>
      </c>
      <c r="DG743">
        <f t="shared" si="351"/>
        <v>0</v>
      </c>
      <c r="DH743">
        <f t="shared" si="352"/>
        <v>0</v>
      </c>
      <c r="DI743">
        <f t="shared" si="349"/>
        <v>0</v>
      </c>
      <c r="DJ743">
        <f>DF743</f>
        <v>181.56</v>
      </c>
      <c r="DK743">
        <v>0</v>
      </c>
    </row>
    <row r="744" spans="1:115" x14ac:dyDescent="0.2">
      <c r="A744">
        <f>ROW(Source!A879)</f>
        <v>879</v>
      </c>
      <c r="B744">
        <v>129761633</v>
      </c>
      <c r="C744">
        <v>129764066</v>
      </c>
      <c r="D744">
        <v>37407813</v>
      </c>
      <c r="E744">
        <v>1</v>
      </c>
      <c r="F744">
        <v>1</v>
      </c>
      <c r="G744">
        <v>37345137</v>
      </c>
      <c r="H744">
        <v>3</v>
      </c>
      <c r="I744" t="s">
        <v>759</v>
      </c>
      <c r="J744" t="s">
        <v>761</v>
      </c>
      <c r="K744" t="s">
        <v>760</v>
      </c>
      <c r="L744">
        <v>1354</v>
      </c>
      <c r="N744">
        <v>1010</v>
      </c>
      <c r="O744" t="s">
        <v>250</v>
      </c>
      <c r="P744" t="s">
        <v>250</v>
      </c>
      <c r="Q744">
        <v>1</v>
      </c>
      <c r="W744">
        <v>0</v>
      </c>
      <c r="X744">
        <v>-2016539353</v>
      </c>
      <c r="Y744">
        <f t="shared" si="353"/>
        <v>100</v>
      </c>
      <c r="AA744">
        <v>4565.68</v>
      </c>
      <c r="AB744">
        <v>0</v>
      </c>
      <c r="AC744">
        <v>0</v>
      </c>
      <c r="AD744">
        <v>0</v>
      </c>
      <c r="AE744">
        <v>347.2</v>
      </c>
      <c r="AF744">
        <v>0</v>
      </c>
      <c r="AG744">
        <v>0</v>
      </c>
      <c r="AH744">
        <v>0</v>
      </c>
      <c r="AI744">
        <v>13.15</v>
      </c>
      <c r="AJ744">
        <v>1</v>
      </c>
      <c r="AK744">
        <v>1</v>
      </c>
      <c r="AL744">
        <v>1</v>
      </c>
      <c r="AN744">
        <v>0</v>
      </c>
      <c r="AO744">
        <v>0</v>
      </c>
      <c r="AP744">
        <v>0</v>
      </c>
      <c r="AQ744">
        <v>0</v>
      </c>
      <c r="AR744">
        <v>0</v>
      </c>
      <c r="AS744" t="s">
        <v>3</v>
      </c>
      <c r="AT744">
        <v>100</v>
      </c>
      <c r="AU744" t="s">
        <v>3</v>
      </c>
      <c r="AV744">
        <v>0</v>
      </c>
      <c r="AW744">
        <v>1</v>
      </c>
      <c r="AX744">
        <v>-1</v>
      </c>
      <c r="AY744">
        <v>0</v>
      </c>
      <c r="AZ744">
        <v>0</v>
      </c>
      <c r="BA744" t="s">
        <v>3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CX744">
        <f>ROUND(Y744*Source!I879,9)</f>
        <v>3</v>
      </c>
      <c r="CY744">
        <f>AA744</f>
        <v>4565.68</v>
      </c>
      <c r="CZ744">
        <f>AE744</f>
        <v>347.2</v>
      </c>
      <c r="DA744">
        <f>AI744</f>
        <v>13.15</v>
      </c>
      <c r="DB744">
        <f t="shared" si="354"/>
        <v>34720</v>
      </c>
      <c r="DC744">
        <f t="shared" si="355"/>
        <v>0</v>
      </c>
      <c r="DD744" t="s">
        <v>3</v>
      </c>
      <c r="DE744" t="s">
        <v>3</v>
      </c>
      <c r="DF744">
        <f>ROUND(ROUND(AE744*CX744,2)*AI744,2)</f>
        <v>13697.04</v>
      </c>
      <c r="DG744">
        <f t="shared" si="351"/>
        <v>0</v>
      </c>
      <c r="DH744">
        <f t="shared" si="352"/>
        <v>0</v>
      </c>
      <c r="DI744">
        <f t="shared" si="349"/>
        <v>0</v>
      </c>
      <c r="DJ744">
        <f>DF744</f>
        <v>13697.04</v>
      </c>
      <c r="DK744">
        <v>0</v>
      </c>
    </row>
    <row r="745" spans="1:115" x14ac:dyDescent="0.2">
      <c r="A745">
        <f>ROW(Source!A884)</f>
        <v>884</v>
      </c>
      <c r="B745">
        <v>129761636</v>
      </c>
      <c r="C745">
        <v>129764073</v>
      </c>
      <c r="D745">
        <v>37345142</v>
      </c>
      <c r="E745">
        <v>37345137</v>
      </c>
      <c r="F745">
        <v>1</v>
      </c>
      <c r="G745">
        <v>37345137</v>
      </c>
      <c r="H745">
        <v>1</v>
      </c>
      <c r="I745" t="s">
        <v>1096</v>
      </c>
      <c r="J745" t="s">
        <v>3</v>
      </c>
      <c r="K745" t="s">
        <v>1097</v>
      </c>
      <c r="L745">
        <v>1191</v>
      </c>
      <c r="N745">
        <v>1013</v>
      </c>
      <c r="O745" t="s">
        <v>1098</v>
      </c>
      <c r="P745" t="s">
        <v>1098</v>
      </c>
      <c r="Q745">
        <v>1</v>
      </c>
      <c r="W745">
        <v>0</v>
      </c>
      <c r="X745">
        <v>476480486</v>
      </c>
      <c r="Y745">
        <f t="shared" si="353"/>
        <v>0.5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1</v>
      </c>
      <c r="AJ745">
        <v>1</v>
      </c>
      <c r="AK745">
        <v>1</v>
      </c>
      <c r="AL745">
        <v>1</v>
      </c>
      <c r="AN745">
        <v>0</v>
      </c>
      <c r="AO745">
        <v>1</v>
      </c>
      <c r="AP745">
        <v>0</v>
      </c>
      <c r="AQ745">
        <v>0</v>
      </c>
      <c r="AR745">
        <v>0</v>
      </c>
      <c r="AS745" t="s">
        <v>3</v>
      </c>
      <c r="AT745">
        <v>0.5</v>
      </c>
      <c r="AU745" t="s">
        <v>3</v>
      </c>
      <c r="AV745">
        <v>1</v>
      </c>
      <c r="AW745">
        <v>2</v>
      </c>
      <c r="AX745">
        <v>129764077</v>
      </c>
      <c r="AY745">
        <v>1</v>
      </c>
      <c r="AZ745">
        <v>0</v>
      </c>
      <c r="BA745">
        <v>723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CX745">
        <f>ROUND(Y745*Source!I884,9)</f>
        <v>0.5</v>
      </c>
      <c r="CY745">
        <f>AD745</f>
        <v>0</v>
      </c>
      <c r="CZ745">
        <f>AH745</f>
        <v>0</v>
      </c>
      <c r="DA745">
        <f>AL745</f>
        <v>1</v>
      </c>
      <c r="DB745">
        <f t="shared" si="354"/>
        <v>0</v>
      </c>
      <c r="DC745">
        <f t="shared" si="355"/>
        <v>0</v>
      </c>
      <c r="DD745" t="s">
        <v>3</v>
      </c>
      <c r="DE745" t="s">
        <v>3</v>
      </c>
      <c r="DF745">
        <f>ROUND(AE745*CX745,2)</f>
        <v>0</v>
      </c>
      <c r="DG745">
        <f t="shared" si="351"/>
        <v>0</v>
      </c>
      <c r="DH745">
        <f t="shared" si="352"/>
        <v>0</v>
      </c>
      <c r="DI745">
        <f t="shared" si="349"/>
        <v>0</v>
      </c>
      <c r="DJ745">
        <f>DI745</f>
        <v>0</v>
      </c>
      <c r="DK745">
        <v>0</v>
      </c>
    </row>
    <row r="746" spans="1:115" x14ac:dyDescent="0.2">
      <c r="A746">
        <f>ROW(Source!A884)</f>
        <v>884</v>
      </c>
      <c r="B746">
        <v>129761636</v>
      </c>
      <c r="C746">
        <v>129764073</v>
      </c>
      <c r="D746">
        <v>37367069</v>
      </c>
      <c r="E746">
        <v>37345137</v>
      </c>
      <c r="F746">
        <v>1</v>
      </c>
      <c r="G746">
        <v>37345137</v>
      </c>
      <c r="H746">
        <v>3</v>
      </c>
      <c r="I746" t="s">
        <v>1342</v>
      </c>
      <c r="J746" t="s">
        <v>3</v>
      </c>
      <c r="K746" t="s">
        <v>1343</v>
      </c>
      <c r="L746">
        <v>1348</v>
      </c>
      <c r="N746">
        <v>1009</v>
      </c>
      <c r="O746" t="s">
        <v>114</v>
      </c>
      <c r="P746" t="s">
        <v>114</v>
      </c>
      <c r="Q746">
        <v>1000</v>
      </c>
      <c r="W746">
        <v>0</v>
      </c>
      <c r="X746">
        <v>-783086922</v>
      </c>
      <c r="Y746">
        <f t="shared" si="353"/>
        <v>1E-3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1</v>
      </c>
      <c r="AJ746">
        <v>1</v>
      </c>
      <c r="AK746">
        <v>1</v>
      </c>
      <c r="AL746">
        <v>1</v>
      </c>
      <c r="AN746">
        <v>0</v>
      </c>
      <c r="AO746">
        <v>1</v>
      </c>
      <c r="AP746">
        <v>0</v>
      </c>
      <c r="AQ746">
        <v>0</v>
      </c>
      <c r="AR746">
        <v>0</v>
      </c>
      <c r="AS746" t="s">
        <v>3</v>
      </c>
      <c r="AT746">
        <v>1E-3</v>
      </c>
      <c r="AU746" t="s">
        <v>3</v>
      </c>
      <c r="AV746">
        <v>0</v>
      </c>
      <c r="AW746">
        <v>2</v>
      </c>
      <c r="AX746">
        <v>129764078</v>
      </c>
      <c r="AY746">
        <v>1</v>
      </c>
      <c r="AZ746">
        <v>0</v>
      </c>
      <c r="BA746">
        <v>724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CX746">
        <f>ROUND(Y746*Source!I884,9)</f>
        <v>1E-3</v>
      </c>
      <c r="CY746">
        <f>AA746</f>
        <v>0</v>
      </c>
      <c r="CZ746">
        <f>AE746</f>
        <v>0</v>
      </c>
      <c r="DA746">
        <f>AI746</f>
        <v>1</v>
      </c>
      <c r="DB746">
        <f t="shared" si="354"/>
        <v>0</v>
      </c>
      <c r="DC746">
        <f t="shared" si="355"/>
        <v>0</v>
      </c>
      <c r="DD746" t="s">
        <v>3</v>
      </c>
      <c r="DE746" t="s">
        <v>3</v>
      </c>
      <c r="DF746">
        <f>ROUND(AE746*CX746,2)</f>
        <v>0</v>
      </c>
      <c r="DG746">
        <f t="shared" si="351"/>
        <v>0</v>
      </c>
      <c r="DH746">
        <f t="shared" si="352"/>
        <v>0</v>
      </c>
      <c r="DI746">
        <f t="shared" si="349"/>
        <v>0</v>
      </c>
      <c r="DJ746">
        <f>DF746</f>
        <v>0</v>
      </c>
      <c r="DK746">
        <v>0</v>
      </c>
    </row>
    <row r="747" spans="1:115" x14ac:dyDescent="0.2">
      <c r="A747">
        <f>ROW(Source!A884)</f>
        <v>884</v>
      </c>
      <c r="B747">
        <v>129761636</v>
      </c>
      <c r="C747">
        <v>129764073</v>
      </c>
      <c r="D747">
        <v>0</v>
      </c>
      <c r="E747">
        <v>1</v>
      </c>
      <c r="F747">
        <v>1</v>
      </c>
      <c r="G747">
        <v>37345137</v>
      </c>
      <c r="H747">
        <v>3</v>
      </c>
      <c r="I747" t="s">
        <v>248</v>
      </c>
      <c r="J747" t="s">
        <v>3</v>
      </c>
      <c r="K747" t="s">
        <v>765</v>
      </c>
      <c r="L747">
        <v>1354</v>
      </c>
      <c r="N747">
        <v>1010</v>
      </c>
      <c r="O747" t="s">
        <v>250</v>
      </c>
      <c r="P747" t="s">
        <v>250</v>
      </c>
      <c r="Q747">
        <v>1</v>
      </c>
      <c r="W747">
        <v>0</v>
      </c>
      <c r="X747">
        <v>3657451</v>
      </c>
      <c r="Y747">
        <f t="shared" si="353"/>
        <v>1</v>
      </c>
      <c r="AA747">
        <v>30.5</v>
      </c>
      <c r="AB747">
        <v>0</v>
      </c>
      <c r="AC747">
        <v>0</v>
      </c>
      <c r="AD747">
        <v>0</v>
      </c>
      <c r="AE747">
        <v>30.5</v>
      </c>
      <c r="AF747">
        <v>0</v>
      </c>
      <c r="AG747">
        <v>0</v>
      </c>
      <c r="AH747">
        <v>0</v>
      </c>
      <c r="AI747">
        <v>1</v>
      </c>
      <c r="AJ747">
        <v>1</v>
      </c>
      <c r="AK747">
        <v>1</v>
      </c>
      <c r="AL747">
        <v>1</v>
      </c>
      <c r="AN747">
        <v>0</v>
      </c>
      <c r="AO747">
        <v>0</v>
      </c>
      <c r="AP747">
        <v>0</v>
      </c>
      <c r="AQ747">
        <v>0</v>
      </c>
      <c r="AR747">
        <v>0</v>
      </c>
      <c r="AS747" t="s">
        <v>3</v>
      </c>
      <c r="AT747">
        <v>1</v>
      </c>
      <c r="AU747" t="s">
        <v>3</v>
      </c>
      <c r="AV747">
        <v>0</v>
      </c>
      <c r="AW747">
        <v>1</v>
      </c>
      <c r="AX747">
        <v>-1</v>
      </c>
      <c r="AY747">
        <v>0</v>
      </c>
      <c r="AZ747">
        <v>0</v>
      </c>
      <c r="BA747" t="s">
        <v>3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CX747">
        <f>ROUND(Y747*Source!I884,9)</f>
        <v>1</v>
      </c>
      <c r="CY747">
        <f>AA747</f>
        <v>30.5</v>
      </c>
      <c r="CZ747">
        <f>AE747</f>
        <v>30.5</v>
      </c>
      <c r="DA747">
        <f>AI747</f>
        <v>1</v>
      </c>
      <c r="DB747">
        <f t="shared" si="354"/>
        <v>30.5</v>
      </c>
      <c r="DC747">
        <f t="shared" si="355"/>
        <v>0</v>
      </c>
      <c r="DD747" t="s">
        <v>3</v>
      </c>
      <c r="DE747" t="s">
        <v>3</v>
      </c>
      <c r="DF747">
        <f>ROUND(AE747*CX747,2)</f>
        <v>30.5</v>
      </c>
      <c r="DG747">
        <f t="shared" si="351"/>
        <v>0</v>
      </c>
      <c r="DH747">
        <f t="shared" si="352"/>
        <v>0</v>
      </c>
      <c r="DI747">
        <f t="shared" si="349"/>
        <v>0</v>
      </c>
      <c r="DJ747">
        <f>DF747</f>
        <v>30.5</v>
      </c>
      <c r="DK747">
        <v>0</v>
      </c>
    </row>
    <row r="748" spans="1:115" x14ac:dyDescent="0.2">
      <c r="A748">
        <f>ROW(Source!A885)</f>
        <v>885</v>
      </c>
      <c r="B748">
        <v>129761633</v>
      </c>
      <c r="C748">
        <v>129764073</v>
      </c>
      <c r="D748">
        <v>37345142</v>
      </c>
      <c r="E748">
        <v>37345137</v>
      </c>
      <c r="F748">
        <v>1</v>
      </c>
      <c r="G748">
        <v>37345137</v>
      </c>
      <c r="H748">
        <v>1</v>
      </c>
      <c r="I748" t="s">
        <v>1096</v>
      </c>
      <c r="J748" t="s">
        <v>3</v>
      </c>
      <c r="K748" t="s">
        <v>1097</v>
      </c>
      <c r="L748">
        <v>1191</v>
      </c>
      <c r="N748">
        <v>1013</v>
      </c>
      <c r="O748" t="s">
        <v>1098</v>
      </c>
      <c r="P748" t="s">
        <v>1098</v>
      </c>
      <c r="Q748">
        <v>1</v>
      </c>
      <c r="W748">
        <v>0</v>
      </c>
      <c r="X748">
        <v>476480486</v>
      </c>
      <c r="Y748">
        <f t="shared" si="353"/>
        <v>0.5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1</v>
      </c>
      <c r="AJ748">
        <v>1</v>
      </c>
      <c r="AK748">
        <v>1</v>
      </c>
      <c r="AL748">
        <v>1</v>
      </c>
      <c r="AN748">
        <v>0</v>
      </c>
      <c r="AO748">
        <v>1</v>
      </c>
      <c r="AP748">
        <v>0</v>
      </c>
      <c r="AQ748">
        <v>0</v>
      </c>
      <c r="AR748">
        <v>0</v>
      </c>
      <c r="AS748" t="s">
        <v>3</v>
      </c>
      <c r="AT748">
        <v>0.5</v>
      </c>
      <c r="AU748" t="s">
        <v>3</v>
      </c>
      <c r="AV748">
        <v>1</v>
      </c>
      <c r="AW748">
        <v>2</v>
      </c>
      <c r="AX748">
        <v>129764077</v>
      </c>
      <c r="AY748">
        <v>1</v>
      </c>
      <c r="AZ748">
        <v>0</v>
      </c>
      <c r="BA748">
        <v>725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CX748">
        <f>ROUND(Y748*Source!I885,9)</f>
        <v>0.5</v>
      </c>
      <c r="CY748">
        <f>AD748</f>
        <v>0</v>
      </c>
      <c r="CZ748">
        <f>AH748</f>
        <v>0</v>
      </c>
      <c r="DA748">
        <f>AL748</f>
        <v>1</v>
      </c>
      <c r="DB748">
        <f t="shared" si="354"/>
        <v>0</v>
      </c>
      <c r="DC748">
        <f t="shared" si="355"/>
        <v>0</v>
      </c>
      <c r="DD748" t="s">
        <v>3</v>
      </c>
      <c r="DE748" t="s">
        <v>3</v>
      </c>
      <c r="DF748">
        <f>ROUND(AE748*CX748,2)</f>
        <v>0</v>
      </c>
      <c r="DG748">
        <f t="shared" si="351"/>
        <v>0</v>
      </c>
      <c r="DH748">
        <f t="shared" si="352"/>
        <v>0</v>
      </c>
      <c r="DI748">
        <f t="shared" si="349"/>
        <v>0</v>
      </c>
      <c r="DJ748">
        <f>DI748</f>
        <v>0</v>
      </c>
      <c r="DK748">
        <v>0</v>
      </c>
    </row>
    <row r="749" spans="1:115" x14ac:dyDescent="0.2">
      <c r="A749">
        <f>ROW(Source!A885)</f>
        <v>885</v>
      </c>
      <c r="B749">
        <v>129761633</v>
      </c>
      <c r="C749">
        <v>129764073</v>
      </c>
      <c r="D749">
        <v>37367069</v>
      </c>
      <c r="E749">
        <v>37345137</v>
      </c>
      <c r="F749">
        <v>1</v>
      </c>
      <c r="G749">
        <v>37345137</v>
      </c>
      <c r="H749">
        <v>3</v>
      </c>
      <c r="I749" t="s">
        <v>1342</v>
      </c>
      <c r="J749" t="s">
        <v>3</v>
      </c>
      <c r="K749" t="s">
        <v>1343</v>
      </c>
      <c r="L749">
        <v>1348</v>
      </c>
      <c r="N749">
        <v>1009</v>
      </c>
      <c r="O749" t="s">
        <v>114</v>
      </c>
      <c r="P749" t="s">
        <v>114</v>
      </c>
      <c r="Q749">
        <v>1000</v>
      </c>
      <c r="W749">
        <v>0</v>
      </c>
      <c r="X749">
        <v>-783086922</v>
      </c>
      <c r="Y749">
        <f t="shared" si="353"/>
        <v>1E-3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8.65</v>
      </c>
      <c r="AJ749">
        <v>1</v>
      </c>
      <c r="AK749">
        <v>1</v>
      </c>
      <c r="AL749">
        <v>1</v>
      </c>
      <c r="AN749">
        <v>0</v>
      </c>
      <c r="AO749">
        <v>1</v>
      </c>
      <c r="AP749">
        <v>0</v>
      </c>
      <c r="AQ749">
        <v>0</v>
      </c>
      <c r="AR749">
        <v>0</v>
      </c>
      <c r="AS749" t="s">
        <v>3</v>
      </c>
      <c r="AT749">
        <v>1E-3</v>
      </c>
      <c r="AU749" t="s">
        <v>3</v>
      </c>
      <c r="AV749">
        <v>0</v>
      </c>
      <c r="AW749">
        <v>2</v>
      </c>
      <c r="AX749">
        <v>129764078</v>
      </c>
      <c r="AY749">
        <v>1</v>
      </c>
      <c r="AZ749">
        <v>0</v>
      </c>
      <c r="BA749">
        <v>726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0</v>
      </c>
      <c r="CX749">
        <f>ROUND(Y749*Source!I885,9)</f>
        <v>1E-3</v>
      </c>
      <c r="CY749">
        <f>AA749</f>
        <v>0</v>
      </c>
      <c r="CZ749">
        <f>AE749</f>
        <v>0</v>
      </c>
      <c r="DA749">
        <f>AI749</f>
        <v>8.65</v>
      </c>
      <c r="DB749">
        <f t="shared" si="354"/>
        <v>0</v>
      </c>
      <c r="DC749">
        <f t="shared" si="355"/>
        <v>0</v>
      </c>
      <c r="DD749" t="s">
        <v>3</v>
      </c>
      <c r="DE749" t="s">
        <v>3</v>
      </c>
      <c r="DF749">
        <f>ROUND(ROUND(AE749*CX749,2)*AI749,2)</f>
        <v>0</v>
      </c>
      <c r="DG749">
        <f t="shared" si="351"/>
        <v>0</v>
      </c>
      <c r="DH749">
        <f t="shared" si="352"/>
        <v>0</v>
      </c>
      <c r="DI749">
        <f t="shared" si="349"/>
        <v>0</v>
      </c>
      <c r="DJ749">
        <f>DF749</f>
        <v>0</v>
      </c>
      <c r="DK749">
        <v>0</v>
      </c>
    </row>
    <row r="750" spans="1:115" x14ac:dyDescent="0.2">
      <c r="A750">
        <f>ROW(Source!A885)</f>
        <v>885</v>
      </c>
      <c r="B750">
        <v>129761633</v>
      </c>
      <c r="C750">
        <v>129764073</v>
      </c>
      <c r="D750">
        <v>0</v>
      </c>
      <c r="E750">
        <v>1</v>
      </c>
      <c r="F750">
        <v>1</v>
      </c>
      <c r="G750">
        <v>37345137</v>
      </c>
      <c r="H750">
        <v>3</v>
      </c>
      <c r="I750" t="s">
        <v>248</v>
      </c>
      <c r="J750" t="s">
        <v>3</v>
      </c>
      <c r="K750" t="s">
        <v>765</v>
      </c>
      <c r="L750">
        <v>1354</v>
      </c>
      <c r="N750">
        <v>1010</v>
      </c>
      <c r="O750" t="s">
        <v>250</v>
      </c>
      <c r="P750" t="s">
        <v>250</v>
      </c>
      <c r="Q750">
        <v>1</v>
      </c>
      <c r="W750">
        <v>0</v>
      </c>
      <c r="X750">
        <v>3657451</v>
      </c>
      <c r="Y750">
        <f t="shared" si="353"/>
        <v>1</v>
      </c>
      <c r="AA750">
        <v>202.24</v>
      </c>
      <c r="AB750">
        <v>0</v>
      </c>
      <c r="AC750">
        <v>0</v>
      </c>
      <c r="AD750">
        <v>0</v>
      </c>
      <c r="AE750">
        <v>23.380000000000003</v>
      </c>
      <c r="AF750">
        <v>0</v>
      </c>
      <c r="AG750">
        <v>0</v>
      </c>
      <c r="AH750">
        <v>0</v>
      </c>
      <c r="AI750">
        <v>8.65</v>
      </c>
      <c r="AJ750">
        <v>1</v>
      </c>
      <c r="AK750">
        <v>1</v>
      </c>
      <c r="AL750">
        <v>1</v>
      </c>
      <c r="AN750">
        <v>0</v>
      </c>
      <c r="AO750">
        <v>0</v>
      </c>
      <c r="AP750">
        <v>0</v>
      </c>
      <c r="AQ750">
        <v>0</v>
      </c>
      <c r="AR750">
        <v>0</v>
      </c>
      <c r="AS750" t="s">
        <v>3</v>
      </c>
      <c r="AT750">
        <v>1</v>
      </c>
      <c r="AU750" t="s">
        <v>3</v>
      </c>
      <c r="AV750">
        <v>0</v>
      </c>
      <c r="AW750">
        <v>1</v>
      </c>
      <c r="AX750">
        <v>-1</v>
      </c>
      <c r="AY750">
        <v>0</v>
      </c>
      <c r="AZ750">
        <v>0</v>
      </c>
      <c r="BA750" t="s">
        <v>3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CX750">
        <f>ROUND(Y750*Source!I885,9)</f>
        <v>1</v>
      </c>
      <c r="CY750">
        <f>AA750</f>
        <v>202.24</v>
      </c>
      <c r="CZ750">
        <f>AE750</f>
        <v>23.380000000000003</v>
      </c>
      <c r="DA750">
        <f>AI750</f>
        <v>8.65</v>
      </c>
      <c r="DB750">
        <f t="shared" si="354"/>
        <v>23.38</v>
      </c>
      <c r="DC750">
        <f t="shared" si="355"/>
        <v>0</v>
      </c>
      <c r="DD750" t="s">
        <v>3</v>
      </c>
      <c r="DE750" t="s">
        <v>3</v>
      </c>
      <c r="DF750">
        <f>ROUND(ROUND(AE750*CX750,2)*AI750,2)</f>
        <v>202.24</v>
      </c>
      <c r="DG750">
        <f t="shared" si="351"/>
        <v>0</v>
      </c>
      <c r="DH750">
        <f t="shared" si="352"/>
        <v>0</v>
      </c>
      <c r="DI750">
        <f t="shared" si="349"/>
        <v>0</v>
      </c>
      <c r="DJ750">
        <f>DF750</f>
        <v>202.24</v>
      </c>
      <c r="DK750">
        <v>0</v>
      </c>
    </row>
    <row r="751" spans="1:115" x14ac:dyDescent="0.2">
      <c r="A751">
        <f>ROW(Source!A888)</f>
        <v>888</v>
      </c>
      <c r="B751">
        <v>129761636</v>
      </c>
      <c r="C751">
        <v>129764080</v>
      </c>
      <c r="D751">
        <v>37345142</v>
      </c>
      <c r="E751">
        <v>37345137</v>
      </c>
      <c r="F751">
        <v>1</v>
      </c>
      <c r="G751">
        <v>37345137</v>
      </c>
      <c r="H751">
        <v>1</v>
      </c>
      <c r="I751" t="s">
        <v>1096</v>
      </c>
      <c r="J751" t="s">
        <v>3</v>
      </c>
      <c r="K751" t="s">
        <v>1097</v>
      </c>
      <c r="L751">
        <v>1191</v>
      </c>
      <c r="N751">
        <v>1013</v>
      </c>
      <c r="O751" t="s">
        <v>1098</v>
      </c>
      <c r="P751" t="s">
        <v>1098</v>
      </c>
      <c r="Q751">
        <v>1</v>
      </c>
      <c r="W751">
        <v>0</v>
      </c>
      <c r="X751">
        <v>476480486</v>
      </c>
      <c r="Y751">
        <f t="shared" si="353"/>
        <v>40.67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1</v>
      </c>
      <c r="AJ751">
        <v>1</v>
      </c>
      <c r="AK751">
        <v>1</v>
      </c>
      <c r="AL751">
        <v>1</v>
      </c>
      <c r="AN751">
        <v>0</v>
      </c>
      <c r="AO751">
        <v>1</v>
      </c>
      <c r="AP751">
        <v>0</v>
      </c>
      <c r="AQ751">
        <v>0</v>
      </c>
      <c r="AR751">
        <v>0</v>
      </c>
      <c r="AS751" t="s">
        <v>3</v>
      </c>
      <c r="AT751">
        <v>40.67</v>
      </c>
      <c r="AU751" t="s">
        <v>3</v>
      </c>
      <c r="AV751">
        <v>1</v>
      </c>
      <c r="AW751">
        <v>2</v>
      </c>
      <c r="AX751">
        <v>129764085</v>
      </c>
      <c r="AY751">
        <v>1</v>
      </c>
      <c r="AZ751">
        <v>0</v>
      </c>
      <c r="BA751">
        <v>727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CX751">
        <f>ROUND(Y751*Source!I888,9)</f>
        <v>36.603000000000002</v>
      </c>
      <c r="CY751">
        <f>AD751</f>
        <v>0</v>
      </c>
      <c r="CZ751">
        <f>AH751</f>
        <v>0</v>
      </c>
      <c r="DA751">
        <f>AL751</f>
        <v>1</v>
      </c>
      <c r="DB751">
        <f t="shared" si="354"/>
        <v>0</v>
      </c>
      <c r="DC751">
        <f t="shared" si="355"/>
        <v>0</v>
      </c>
      <c r="DD751" t="s">
        <v>3</v>
      </c>
      <c r="DE751" t="s">
        <v>3</v>
      </c>
      <c r="DF751">
        <f>ROUND(AE751*CX751,2)</f>
        <v>0</v>
      </c>
      <c r="DG751">
        <f t="shared" si="351"/>
        <v>0</v>
      </c>
      <c r="DH751">
        <f t="shared" si="352"/>
        <v>0</v>
      </c>
      <c r="DI751">
        <f t="shared" si="349"/>
        <v>0</v>
      </c>
      <c r="DJ751">
        <f>DI751</f>
        <v>0</v>
      </c>
      <c r="DK751">
        <v>0</v>
      </c>
    </row>
    <row r="752" spans="1:115" x14ac:dyDescent="0.2">
      <c r="A752">
        <f>ROW(Source!A888)</f>
        <v>888</v>
      </c>
      <c r="B752">
        <v>129761636</v>
      </c>
      <c r="C752">
        <v>129764080</v>
      </c>
      <c r="D752">
        <v>37396222</v>
      </c>
      <c r="E752">
        <v>1</v>
      </c>
      <c r="F752">
        <v>1</v>
      </c>
      <c r="G752">
        <v>37345137</v>
      </c>
      <c r="H752">
        <v>3</v>
      </c>
      <c r="I752" t="s">
        <v>673</v>
      </c>
      <c r="J752" t="s">
        <v>675</v>
      </c>
      <c r="K752" t="s">
        <v>674</v>
      </c>
      <c r="L752">
        <v>1301</v>
      </c>
      <c r="N752">
        <v>1003</v>
      </c>
      <c r="O752" t="s">
        <v>270</v>
      </c>
      <c r="P752" t="s">
        <v>270</v>
      </c>
      <c r="Q752">
        <v>1</v>
      </c>
      <c r="W752">
        <v>0</v>
      </c>
      <c r="X752">
        <v>-961474962</v>
      </c>
      <c r="Y752">
        <f t="shared" si="353"/>
        <v>100</v>
      </c>
      <c r="AA752">
        <v>9.74</v>
      </c>
      <c r="AB752">
        <v>0</v>
      </c>
      <c r="AC752">
        <v>0</v>
      </c>
      <c r="AD752">
        <v>0</v>
      </c>
      <c r="AE752">
        <v>9.74</v>
      </c>
      <c r="AF752">
        <v>0</v>
      </c>
      <c r="AG752">
        <v>0</v>
      </c>
      <c r="AH752">
        <v>0</v>
      </c>
      <c r="AI752">
        <v>1</v>
      </c>
      <c r="AJ752">
        <v>1</v>
      </c>
      <c r="AK752">
        <v>1</v>
      </c>
      <c r="AL752">
        <v>1</v>
      </c>
      <c r="AN752">
        <v>0</v>
      </c>
      <c r="AO752">
        <v>0</v>
      </c>
      <c r="AP752">
        <v>0</v>
      </c>
      <c r="AQ752">
        <v>0</v>
      </c>
      <c r="AR752">
        <v>0</v>
      </c>
      <c r="AS752" t="s">
        <v>3</v>
      </c>
      <c r="AT752">
        <v>100</v>
      </c>
      <c r="AU752" t="s">
        <v>3</v>
      </c>
      <c r="AV752">
        <v>0</v>
      </c>
      <c r="AW752">
        <v>1</v>
      </c>
      <c r="AX752">
        <v>-1</v>
      </c>
      <c r="AY752">
        <v>0</v>
      </c>
      <c r="AZ752">
        <v>0</v>
      </c>
      <c r="BA752" t="s">
        <v>3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CX752">
        <f>ROUND(Y752*Source!I888,9)</f>
        <v>90</v>
      </c>
      <c r="CY752">
        <f>AA752</f>
        <v>9.74</v>
      </c>
      <c r="CZ752">
        <f>AE752</f>
        <v>9.74</v>
      </c>
      <c r="DA752">
        <f>AI752</f>
        <v>1</v>
      </c>
      <c r="DB752">
        <f t="shared" si="354"/>
        <v>974</v>
      </c>
      <c r="DC752">
        <f t="shared" si="355"/>
        <v>0</v>
      </c>
      <c r="DD752" t="s">
        <v>3</v>
      </c>
      <c r="DE752" t="s">
        <v>3</v>
      </c>
      <c r="DF752">
        <f>ROUND(AE752*CX752,2)</f>
        <v>876.6</v>
      </c>
      <c r="DG752">
        <f t="shared" si="351"/>
        <v>0</v>
      </c>
      <c r="DH752">
        <f t="shared" si="352"/>
        <v>0</v>
      </c>
      <c r="DI752">
        <f t="shared" si="349"/>
        <v>0</v>
      </c>
      <c r="DJ752">
        <f>DF752</f>
        <v>876.6</v>
      </c>
      <c r="DK752">
        <v>0</v>
      </c>
    </row>
    <row r="753" spans="1:115" x14ac:dyDescent="0.2">
      <c r="A753">
        <f>ROW(Source!A888)</f>
        <v>888</v>
      </c>
      <c r="B753">
        <v>129761636</v>
      </c>
      <c r="C753">
        <v>129764080</v>
      </c>
      <c r="D753">
        <v>37406393</v>
      </c>
      <c r="E753">
        <v>1</v>
      </c>
      <c r="F753">
        <v>1</v>
      </c>
      <c r="G753">
        <v>37345137</v>
      </c>
      <c r="H753">
        <v>3</v>
      </c>
      <c r="I753" t="s">
        <v>767</v>
      </c>
      <c r="J753" t="s">
        <v>769</v>
      </c>
      <c r="K753" t="s">
        <v>768</v>
      </c>
      <c r="L753">
        <v>1354</v>
      </c>
      <c r="N753">
        <v>1010</v>
      </c>
      <c r="O753" t="s">
        <v>250</v>
      </c>
      <c r="P753" t="s">
        <v>250</v>
      </c>
      <c r="Q753">
        <v>1</v>
      </c>
      <c r="W753">
        <v>0</v>
      </c>
      <c r="X753">
        <v>-838499012</v>
      </c>
      <c r="Y753">
        <f t="shared" si="353"/>
        <v>7.7777777777777777</v>
      </c>
      <c r="AA753">
        <v>26.19</v>
      </c>
      <c r="AB753">
        <v>0</v>
      </c>
      <c r="AC753">
        <v>0</v>
      </c>
      <c r="AD753">
        <v>0</v>
      </c>
      <c r="AE753">
        <v>26.19</v>
      </c>
      <c r="AF753">
        <v>0</v>
      </c>
      <c r="AG753">
        <v>0</v>
      </c>
      <c r="AH753">
        <v>0</v>
      </c>
      <c r="AI753">
        <v>1</v>
      </c>
      <c r="AJ753">
        <v>1</v>
      </c>
      <c r="AK753">
        <v>1</v>
      </c>
      <c r="AL753">
        <v>1</v>
      </c>
      <c r="AN753">
        <v>0</v>
      </c>
      <c r="AO753">
        <v>0</v>
      </c>
      <c r="AP753">
        <v>0</v>
      </c>
      <c r="AQ753">
        <v>0</v>
      </c>
      <c r="AR753">
        <v>0</v>
      </c>
      <c r="AS753" t="s">
        <v>3</v>
      </c>
      <c r="AT753">
        <v>7.7777777777777777</v>
      </c>
      <c r="AU753" t="s">
        <v>3</v>
      </c>
      <c r="AV753">
        <v>0</v>
      </c>
      <c r="AW753">
        <v>1</v>
      </c>
      <c r="AX753">
        <v>-1</v>
      </c>
      <c r="AY753">
        <v>0</v>
      </c>
      <c r="AZ753">
        <v>0</v>
      </c>
      <c r="BA753" t="s">
        <v>3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CX753">
        <f>ROUND(Y753*Source!I888,9)</f>
        <v>7</v>
      </c>
      <c r="CY753">
        <f>AA753</f>
        <v>26.19</v>
      </c>
      <c r="CZ753">
        <f>AE753</f>
        <v>26.19</v>
      </c>
      <c r="DA753">
        <f>AI753</f>
        <v>1</v>
      </c>
      <c r="DB753">
        <f t="shared" si="354"/>
        <v>203.7</v>
      </c>
      <c r="DC753">
        <f t="shared" si="355"/>
        <v>0</v>
      </c>
      <c r="DD753" t="s">
        <v>3</v>
      </c>
      <c r="DE753" t="s">
        <v>3</v>
      </c>
      <c r="DF753">
        <f>ROUND(AE753*CX753,2)</f>
        <v>183.33</v>
      </c>
      <c r="DG753">
        <f t="shared" si="351"/>
        <v>0</v>
      </c>
      <c r="DH753">
        <f t="shared" si="352"/>
        <v>0</v>
      </c>
      <c r="DI753">
        <f t="shared" si="349"/>
        <v>0</v>
      </c>
      <c r="DJ753">
        <f>DF753</f>
        <v>183.33</v>
      </c>
      <c r="DK753">
        <v>0</v>
      </c>
    </row>
    <row r="754" spans="1:115" x14ac:dyDescent="0.2">
      <c r="A754">
        <f>ROW(Source!A888)</f>
        <v>888</v>
      </c>
      <c r="B754">
        <v>129761636</v>
      </c>
      <c r="C754">
        <v>129764080</v>
      </c>
      <c r="D754">
        <v>0</v>
      </c>
      <c r="E754">
        <v>1</v>
      </c>
      <c r="F754">
        <v>1</v>
      </c>
      <c r="G754">
        <v>37345137</v>
      </c>
      <c r="H754">
        <v>3</v>
      </c>
      <c r="I754" t="s">
        <v>248</v>
      </c>
      <c r="J754" t="s">
        <v>3</v>
      </c>
      <c r="K754" t="s">
        <v>770</v>
      </c>
      <c r="L754">
        <v>1354</v>
      </c>
      <c r="N754">
        <v>1010</v>
      </c>
      <c r="O754" t="s">
        <v>250</v>
      </c>
      <c r="P754" t="s">
        <v>250</v>
      </c>
      <c r="Q754">
        <v>1</v>
      </c>
      <c r="W754">
        <v>0</v>
      </c>
      <c r="X754">
        <v>1560097417</v>
      </c>
      <c r="Y754">
        <f t="shared" si="353"/>
        <v>23.333333333333332</v>
      </c>
      <c r="AA754">
        <v>4.0999999999999996</v>
      </c>
      <c r="AB754">
        <v>0</v>
      </c>
      <c r="AC754">
        <v>0</v>
      </c>
      <c r="AD754">
        <v>0</v>
      </c>
      <c r="AE754">
        <v>4.0999999999999996</v>
      </c>
      <c r="AF754">
        <v>0</v>
      </c>
      <c r="AG754">
        <v>0</v>
      </c>
      <c r="AH754">
        <v>0</v>
      </c>
      <c r="AI754">
        <v>1</v>
      </c>
      <c r="AJ754">
        <v>1</v>
      </c>
      <c r="AK754">
        <v>1</v>
      </c>
      <c r="AL754">
        <v>1</v>
      </c>
      <c r="AN754">
        <v>0</v>
      </c>
      <c r="AO754">
        <v>0</v>
      </c>
      <c r="AP754">
        <v>0</v>
      </c>
      <c r="AQ754">
        <v>0</v>
      </c>
      <c r="AR754">
        <v>0</v>
      </c>
      <c r="AS754" t="s">
        <v>3</v>
      </c>
      <c r="AT754">
        <v>23.333333333333332</v>
      </c>
      <c r="AU754" t="s">
        <v>3</v>
      </c>
      <c r="AV754">
        <v>0</v>
      </c>
      <c r="AW754">
        <v>1</v>
      </c>
      <c r="AX754">
        <v>-1</v>
      </c>
      <c r="AY754">
        <v>0</v>
      </c>
      <c r="AZ754">
        <v>0</v>
      </c>
      <c r="BA754" t="s">
        <v>3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CX754">
        <f>ROUND(Y754*Source!I888,9)</f>
        <v>21</v>
      </c>
      <c r="CY754">
        <f>AA754</f>
        <v>4.0999999999999996</v>
      </c>
      <c r="CZ754">
        <f>AE754</f>
        <v>4.0999999999999996</v>
      </c>
      <c r="DA754">
        <f>AI754</f>
        <v>1</v>
      </c>
      <c r="DB754">
        <f t="shared" si="354"/>
        <v>95.67</v>
      </c>
      <c r="DC754">
        <f t="shared" si="355"/>
        <v>0</v>
      </c>
      <c r="DD754" t="s">
        <v>3</v>
      </c>
      <c r="DE754" t="s">
        <v>3</v>
      </c>
      <c r="DF754">
        <f>ROUND(AE754*CX754,2)</f>
        <v>86.1</v>
      </c>
      <c r="DG754">
        <f t="shared" si="351"/>
        <v>0</v>
      </c>
      <c r="DH754">
        <f t="shared" si="352"/>
        <v>0</v>
      </c>
      <c r="DI754">
        <f t="shared" si="349"/>
        <v>0</v>
      </c>
      <c r="DJ754">
        <f>DF754</f>
        <v>86.1</v>
      </c>
      <c r="DK754">
        <v>0</v>
      </c>
    </row>
    <row r="755" spans="1:115" x14ac:dyDescent="0.2">
      <c r="A755">
        <f>ROW(Source!A889)</f>
        <v>889</v>
      </c>
      <c r="B755">
        <v>129761633</v>
      </c>
      <c r="C755">
        <v>129764080</v>
      </c>
      <c r="D755">
        <v>37345142</v>
      </c>
      <c r="E755">
        <v>37345137</v>
      </c>
      <c r="F755">
        <v>1</v>
      </c>
      <c r="G755">
        <v>37345137</v>
      </c>
      <c r="H755">
        <v>1</v>
      </c>
      <c r="I755" t="s">
        <v>1096</v>
      </c>
      <c r="J755" t="s">
        <v>3</v>
      </c>
      <c r="K755" t="s">
        <v>1097</v>
      </c>
      <c r="L755">
        <v>1191</v>
      </c>
      <c r="N755">
        <v>1013</v>
      </c>
      <c r="O755" t="s">
        <v>1098</v>
      </c>
      <c r="P755" t="s">
        <v>1098</v>
      </c>
      <c r="Q755">
        <v>1</v>
      </c>
      <c r="W755">
        <v>0</v>
      </c>
      <c r="X755">
        <v>476480486</v>
      </c>
      <c r="Y755">
        <f t="shared" si="353"/>
        <v>40.67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1</v>
      </c>
      <c r="AJ755">
        <v>1</v>
      </c>
      <c r="AK755">
        <v>1</v>
      </c>
      <c r="AL755">
        <v>1</v>
      </c>
      <c r="AN755">
        <v>0</v>
      </c>
      <c r="AO755">
        <v>1</v>
      </c>
      <c r="AP755">
        <v>0</v>
      </c>
      <c r="AQ755">
        <v>0</v>
      </c>
      <c r="AR755">
        <v>0</v>
      </c>
      <c r="AS755" t="s">
        <v>3</v>
      </c>
      <c r="AT755">
        <v>40.67</v>
      </c>
      <c r="AU755" t="s">
        <v>3</v>
      </c>
      <c r="AV755">
        <v>1</v>
      </c>
      <c r="AW755">
        <v>2</v>
      </c>
      <c r="AX755">
        <v>129764085</v>
      </c>
      <c r="AY755">
        <v>1</v>
      </c>
      <c r="AZ755">
        <v>0</v>
      </c>
      <c r="BA755">
        <v>735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CX755">
        <f>ROUND(Y755*Source!I889,9)</f>
        <v>36.603000000000002</v>
      </c>
      <c r="CY755">
        <f>AD755</f>
        <v>0</v>
      </c>
      <c r="CZ755">
        <f>AH755</f>
        <v>0</v>
      </c>
      <c r="DA755">
        <f>AL755</f>
        <v>1</v>
      </c>
      <c r="DB755">
        <f t="shared" si="354"/>
        <v>0</v>
      </c>
      <c r="DC755">
        <f t="shared" si="355"/>
        <v>0</v>
      </c>
      <c r="DD755" t="s">
        <v>3</v>
      </c>
      <c r="DE755" t="s">
        <v>3</v>
      </c>
      <c r="DF755">
        <f>ROUND(AE755*CX755,2)</f>
        <v>0</v>
      </c>
      <c r="DG755">
        <f t="shared" ref="DG755:DG786" si="356">ROUND(AF755*CX755,2)</f>
        <v>0</v>
      </c>
      <c r="DH755">
        <f t="shared" ref="DH755:DH786" si="357">ROUND(AG755*CX755,2)</f>
        <v>0</v>
      </c>
      <c r="DI755">
        <f t="shared" si="349"/>
        <v>0</v>
      </c>
      <c r="DJ755">
        <f>DI755</f>
        <v>0</v>
      </c>
      <c r="DK755">
        <v>0</v>
      </c>
    </row>
    <row r="756" spans="1:115" x14ac:dyDescent="0.2">
      <c r="A756">
        <f>ROW(Source!A889)</f>
        <v>889</v>
      </c>
      <c r="B756">
        <v>129761633</v>
      </c>
      <c r="C756">
        <v>129764080</v>
      </c>
      <c r="D756">
        <v>37396222</v>
      </c>
      <c r="E756">
        <v>1</v>
      </c>
      <c r="F756">
        <v>1</v>
      </c>
      <c r="G756">
        <v>37345137</v>
      </c>
      <c r="H756">
        <v>3</v>
      </c>
      <c r="I756" t="s">
        <v>673</v>
      </c>
      <c r="J756" t="s">
        <v>675</v>
      </c>
      <c r="K756" t="s">
        <v>674</v>
      </c>
      <c r="L756">
        <v>1301</v>
      </c>
      <c r="N756">
        <v>1003</v>
      </c>
      <c r="O756" t="s">
        <v>270</v>
      </c>
      <c r="P756" t="s">
        <v>270</v>
      </c>
      <c r="Q756">
        <v>1</v>
      </c>
      <c r="W756">
        <v>0</v>
      </c>
      <c r="X756">
        <v>-961474962</v>
      </c>
      <c r="Y756">
        <f t="shared" si="353"/>
        <v>100</v>
      </c>
      <c r="AA756">
        <v>67.89</v>
      </c>
      <c r="AB756">
        <v>0</v>
      </c>
      <c r="AC756">
        <v>0</v>
      </c>
      <c r="AD756">
        <v>0</v>
      </c>
      <c r="AE756">
        <v>9.74</v>
      </c>
      <c r="AF756">
        <v>0</v>
      </c>
      <c r="AG756">
        <v>0</v>
      </c>
      <c r="AH756">
        <v>0</v>
      </c>
      <c r="AI756">
        <v>6.97</v>
      </c>
      <c r="AJ756">
        <v>1</v>
      </c>
      <c r="AK756">
        <v>1</v>
      </c>
      <c r="AL756">
        <v>1</v>
      </c>
      <c r="AN756">
        <v>0</v>
      </c>
      <c r="AO756">
        <v>0</v>
      </c>
      <c r="AP756">
        <v>0</v>
      </c>
      <c r="AQ756">
        <v>0</v>
      </c>
      <c r="AR756">
        <v>0</v>
      </c>
      <c r="AS756" t="s">
        <v>3</v>
      </c>
      <c r="AT756">
        <v>100</v>
      </c>
      <c r="AU756" t="s">
        <v>3</v>
      </c>
      <c r="AV756">
        <v>0</v>
      </c>
      <c r="AW756">
        <v>1</v>
      </c>
      <c r="AX756">
        <v>-1</v>
      </c>
      <c r="AY756">
        <v>0</v>
      </c>
      <c r="AZ756">
        <v>0</v>
      </c>
      <c r="BA756" t="s">
        <v>3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CX756">
        <f>ROUND(Y756*Source!I889,9)</f>
        <v>90</v>
      </c>
      <c r="CY756">
        <f>AA756</f>
        <v>67.89</v>
      </c>
      <c r="CZ756">
        <f>AE756</f>
        <v>9.74</v>
      </c>
      <c r="DA756">
        <f>AI756</f>
        <v>6.97</v>
      </c>
      <c r="DB756">
        <f t="shared" si="354"/>
        <v>974</v>
      </c>
      <c r="DC756">
        <f t="shared" si="355"/>
        <v>0</v>
      </c>
      <c r="DD756" t="s">
        <v>3</v>
      </c>
      <c r="DE756" t="s">
        <v>3</v>
      </c>
      <c r="DF756">
        <f>ROUND(ROUND(AE756*CX756,2)*AI756,2)</f>
        <v>6109.9</v>
      </c>
      <c r="DG756">
        <f t="shared" si="356"/>
        <v>0</v>
      </c>
      <c r="DH756">
        <f t="shared" si="357"/>
        <v>0</v>
      </c>
      <c r="DI756">
        <f t="shared" si="349"/>
        <v>0</v>
      </c>
      <c r="DJ756">
        <f>DF756</f>
        <v>6109.9</v>
      </c>
      <c r="DK756">
        <v>0</v>
      </c>
    </row>
    <row r="757" spans="1:115" x14ac:dyDescent="0.2">
      <c r="A757">
        <f>ROW(Source!A889)</f>
        <v>889</v>
      </c>
      <c r="B757">
        <v>129761633</v>
      </c>
      <c r="C757">
        <v>129764080</v>
      </c>
      <c r="D757">
        <v>37406393</v>
      </c>
      <c r="E757">
        <v>1</v>
      </c>
      <c r="F757">
        <v>1</v>
      </c>
      <c r="G757">
        <v>37345137</v>
      </c>
      <c r="H757">
        <v>3</v>
      </c>
      <c r="I757" t="s">
        <v>767</v>
      </c>
      <c r="J757" t="s">
        <v>769</v>
      </c>
      <c r="K757" t="s">
        <v>768</v>
      </c>
      <c r="L757">
        <v>1354</v>
      </c>
      <c r="N757">
        <v>1010</v>
      </c>
      <c r="O757" t="s">
        <v>250</v>
      </c>
      <c r="P757" t="s">
        <v>250</v>
      </c>
      <c r="Q757">
        <v>1</v>
      </c>
      <c r="W757">
        <v>0</v>
      </c>
      <c r="X757">
        <v>-838499012</v>
      </c>
      <c r="Y757">
        <f t="shared" si="353"/>
        <v>7.7777777777777777</v>
      </c>
      <c r="AA757">
        <v>285.99</v>
      </c>
      <c r="AB757">
        <v>0</v>
      </c>
      <c r="AC757">
        <v>0</v>
      </c>
      <c r="AD757">
        <v>0</v>
      </c>
      <c r="AE757">
        <v>26.19</v>
      </c>
      <c r="AF757">
        <v>0</v>
      </c>
      <c r="AG757">
        <v>0</v>
      </c>
      <c r="AH757">
        <v>0</v>
      </c>
      <c r="AI757">
        <v>10.92</v>
      </c>
      <c r="AJ757">
        <v>1</v>
      </c>
      <c r="AK757">
        <v>1</v>
      </c>
      <c r="AL757">
        <v>1</v>
      </c>
      <c r="AN757">
        <v>0</v>
      </c>
      <c r="AO757">
        <v>0</v>
      </c>
      <c r="AP757">
        <v>0</v>
      </c>
      <c r="AQ757">
        <v>0</v>
      </c>
      <c r="AR757">
        <v>0</v>
      </c>
      <c r="AS757" t="s">
        <v>3</v>
      </c>
      <c r="AT757">
        <v>7.7777777777777777</v>
      </c>
      <c r="AU757" t="s">
        <v>3</v>
      </c>
      <c r="AV757">
        <v>0</v>
      </c>
      <c r="AW757">
        <v>1</v>
      </c>
      <c r="AX757">
        <v>-1</v>
      </c>
      <c r="AY757">
        <v>0</v>
      </c>
      <c r="AZ757">
        <v>0</v>
      </c>
      <c r="BA757" t="s">
        <v>3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CX757">
        <f>ROUND(Y757*Source!I889,9)</f>
        <v>7</v>
      </c>
      <c r="CY757">
        <f>AA757</f>
        <v>285.99</v>
      </c>
      <c r="CZ757">
        <f>AE757</f>
        <v>26.19</v>
      </c>
      <c r="DA757">
        <f>AI757</f>
        <v>10.92</v>
      </c>
      <c r="DB757">
        <f t="shared" si="354"/>
        <v>203.7</v>
      </c>
      <c r="DC757">
        <f t="shared" si="355"/>
        <v>0</v>
      </c>
      <c r="DD757" t="s">
        <v>3</v>
      </c>
      <c r="DE757" t="s">
        <v>3</v>
      </c>
      <c r="DF757">
        <f>ROUND(ROUND(AE757*CX757,2)*AI757,2)</f>
        <v>2001.96</v>
      </c>
      <c r="DG757">
        <f t="shared" si="356"/>
        <v>0</v>
      </c>
      <c r="DH757">
        <f t="shared" si="357"/>
        <v>0</v>
      </c>
      <c r="DI757">
        <f t="shared" si="349"/>
        <v>0</v>
      </c>
      <c r="DJ757">
        <f>DF757</f>
        <v>2001.96</v>
      </c>
      <c r="DK757">
        <v>0</v>
      </c>
    </row>
    <row r="758" spans="1:115" x14ac:dyDescent="0.2">
      <c r="A758">
        <f>ROW(Source!A889)</f>
        <v>889</v>
      </c>
      <c r="B758">
        <v>129761633</v>
      </c>
      <c r="C758">
        <v>129764080</v>
      </c>
      <c r="D758">
        <v>0</v>
      </c>
      <c r="E758">
        <v>1</v>
      </c>
      <c r="F758">
        <v>1</v>
      </c>
      <c r="G758">
        <v>37345137</v>
      </c>
      <c r="H758">
        <v>3</v>
      </c>
      <c r="I758" t="s">
        <v>248</v>
      </c>
      <c r="J758" t="s">
        <v>3</v>
      </c>
      <c r="K758" t="s">
        <v>770</v>
      </c>
      <c r="L758">
        <v>1354</v>
      </c>
      <c r="N758">
        <v>1010</v>
      </c>
      <c r="O758" t="s">
        <v>250</v>
      </c>
      <c r="P758" t="s">
        <v>250</v>
      </c>
      <c r="Q758">
        <v>1</v>
      </c>
      <c r="W758">
        <v>0</v>
      </c>
      <c r="X758">
        <v>1560097417</v>
      </c>
      <c r="Y758">
        <f t="shared" si="353"/>
        <v>23.333333333333332</v>
      </c>
      <c r="AA758">
        <v>27.16</v>
      </c>
      <c r="AB758">
        <v>0</v>
      </c>
      <c r="AC758">
        <v>0</v>
      </c>
      <c r="AD758">
        <v>0</v>
      </c>
      <c r="AE758">
        <v>3.14</v>
      </c>
      <c r="AF758">
        <v>0</v>
      </c>
      <c r="AG758">
        <v>0</v>
      </c>
      <c r="AH758">
        <v>0</v>
      </c>
      <c r="AI758">
        <v>8.65</v>
      </c>
      <c r="AJ758">
        <v>1</v>
      </c>
      <c r="AK758">
        <v>1</v>
      </c>
      <c r="AL758">
        <v>1</v>
      </c>
      <c r="AN758">
        <v>0</v>
      </c>
      <c r="AO758">
        <v>0</v>
      </c>
      <c r="AP758">
        <v>0</v>
      </c>
      <c r="AQ758">
        <v>0</v>
      </c>
      <c r="AR758">
        <v>0</v>
      </c>
      <c r="AS758" t="s">
        <v>3</v>
      </c>
      <c r="AT758">
        <v>23.333333333333332</v>
      </c>
      <c r="AU758" t="s">
        <v>3</v>
      </c>
      <c r="AV758">
        <v>0</v>
      </c>
      <c r="AW758">
        <v>1</v>
      </c>
      <c r="AX758">
        <v>-1</v>
      </c>
      <c r="AY758">
        <v>0</v>
      </c>
      <c r="AZ758">
        <v>0</v>
      </c>
      <c r="BA758" t="s">
        <v>3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CX758">
        <f>ROUND(Y758*Source!I889,9)</f>
        <v>21</v>
      </c>
      <c r="CY758">
        <f>AA758</f>
        <v>27.16</v>
      </c>
      <c r="CZ758">
        <f>AE758</f>
        <v>3.14</v>
      </c>
      <c r="DA758">
        <f>AI758</f>
        <v>8.65</v>
      </c>
      <c r="DB758">
        <f t="shared" si="354"/>
        <v>73.27</v>
      </c>
      <c r="DC758">
        <f t="shared" si="355"/>
        <v>0</v>
      </c>
      <c r="DD758" t="s">
        <v>3</v>
      </c>
      <c r="DE758" t="s">
        <v>3</v>
      </c>
      <c r="DF758">
        <f>ROUND(ROUND(AE758*CX758,2)*AI758,2)</f>
        <v>570.38</v>
      </c>
      <c r="DG758">
        <f t="shared" si="356"/>
        <v>0</v>
      </c>
      <c r="DH758">
        <f t="shared" si="357"/>
        <v>0</v>
      </c>
      <c r="DI758">
        <f t="shared" si="349"/>
        <v>0</v>
      </c>
      <c r="DJ758">
        <f>DF758</f>
        <v>570.38</v>
      </c>
      <c r="DK758">
        <v>0</v>
      </c>
    </row>
    <row r="759" spans="1:115" x14ac:dyDescent="0.2">
      <c r="A759">
        <f>ROW(Source!A896)</f>
        <v>896</v>
      </c>
      <c r="B759">
        <v>129761636</v>
      </c>
      <c r="C759">
        <v>129764096</v>
      </c>
      <c r="D759">
        <v>37345142</v>
      </c>
      <c r="E759">
        <v>37345137</v>
      </c>
      <c r="F759">
        <v>1</v>
      </c>
      <c r="G759">
        <v>37345137</v>
      </c>
      <c r="H759">
        <v>1</v>
      </c>
      <c r="I759" t="s">
        <v>1096</v>
      </c>
      <c r="J759" t="s">
        <v>3</v>
      </c>
      <c r="K759" t="s">
        <v>1097</v>
      </c>
      <c r="L759">
        <v>1191</v>
      </c>
      <c r="N759">
        <v>1013</v>
      </c>
      <c r="O759" t="s">
        <v>1098</v>
      </c>
      <c r="P759" t="s">
        <v>1098</v>
      </c>
      <c r="Q759">
        <v>1</v>
      </c>
      <c r="W759">
        <v>0</v>
      </c>
      <c r="X759">
        <v>476480486</v>
      </c>
      <c r="Y759">
        <f t="shared" si="353"/>
        <v>20.7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1</v>
      </c>
      <c r="AJ759">
        <v>1</v>
      </c>
      <c r="AK759">
        <v>1</v>
      </c>
      <c r="AL759">
        <v>1</v>
      </c>
      <c r="AN759">
        <v>0</v>
      </c>
      <c r="AO759">
        <v>1</v>
      </c>
      <c r="AP759">
        <v>0</v>
      </c>
      <c r="AQ759">
        <v>0</v>
      </c>
      <c r="AR759">
        <v>0</v>
      </c>
      <c r="AS759" t="s">
        <v>3</v>
      </c>
      <c r="AT759">
        <v>20.7</v>
      </c>
      <c r="AU759" t="s">
        <v>3</v>
      </c>
      <c r="AV759">
        <v>1</v>
      </c>
      <c r="AW759">
        <v>2</v>
      </c>
      <c r="AX759">
        <v>129764099</v>
      </c>
      <c r="AY759">
        <v>1</v>
      </c>
      <c r="AZ759">
        <v>0</v>
      </c>
      <c r="BA759">
        <v>743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CX759">
        <f>ROUND(Y759*Source!I896,9)</f>
        <v>0.5796</v>
      </c>
      <c r="CY759">
        <f>AD759</f>
        <v>0</v>
      </c>
      <c r="CZ759">
        <f>AH759</f>
        <v>0</v>
      </c>
      <c r="DA759">
        <f>AL759</f>
        <v>1</v>
      </c>
      <c r="DB759">
        <f t="shared" si="354"/>
        <v>0</v>
      </c>
      <c r="DC759">
        <f t="shared" si="355"/>
        <v>0</v>
      </c>
      <c r="DD759" t="s">
        <v>3</v>
      </c>
      <c r="DE759" t="s">
        <v>3</v>
      </c>
      <c r="DF759">
        <f>ROUND(AE759*CX759,2)</f>
        <v>0</v>
      </c>
      <c r="DG759">
        <f t="shared" si="356"/>
        <v>0</v>
      </c>
      <c r="DH759">
        <f t="shared" si="357"/>
        <v>0</v>
      </c>
      <c r="DI759">
        <f t="shared" si="349"/>
        <v>0</v>
      </c>
      <c r="DJ759">
        <f>DI759</f>
        <v>0</v>
      </c>
      <c r="DK759">
        <v>0</v>
      </c>
    </row>
    <row r="760" spans="1:115" x14ac:dyDescent="0.2">
      <c r="A760">
        <f>ROW(Source!A896)</f>
        <v>896</v>
      </c>
      <c r="B760">
        <v>129761636</v>
      </c>
      <c r="C760">
        <v>129764096</v>
      </c>
      <c r="D760">
        <v>37398766</v>
      </c>
      <c r="E760">
        <v>1</v>
      </c>
      <c r="F760">
        <v>1</v>
      </c>
      <c r="G760">
        <v>37345137</v>
      </c>
      <c r="H760">
        <v>3</v>
      </c>
      <c r="I760" t="s">
        <v>772</v>
      </c>
      <c r="J760" t="s">
        <v>774</v>
      </c>
      <c r="K760" t="s">
        <v>773</v>
      </c>
      <c r="L760">
        <v>1301</v>
      </c>
      <c r="N760">
        <v>1003</v>
      </c>
      <c r="O760" t="s">
        <v>270</v>
      </c>
      <c r="P760" t="s">
        <v>270</v>
      </c>
      <c r="Q760">
        <v>1</v>
      </c>
      <c r="W760">
        <v>0</v>
      </c>
      <c r="X760">
        <v>-1102095183</v>
      </c>
      <c r="Y760">
        <f t="shared" si="353"/>
        <v>102</v>
      </c>
      <c r="AA760">
        <v>4.59</v>
      </c>
      <c r="AB760">
        <v>0</v>
      </c>
      <c r="AC760">
        <v>0</v>
      </c>
      <c r="AD760">
        <v>0</v>
      </c>
      <c r="AE760">
        <v>4.59</v>
      </c>
      <c r="AF760">
        <v>0</v>
      </c>
      <c r="AG760">
        <v>0</v>
      </c>
      <c r="AH760">
        <v>0</v>
      </c>
      <c r="AI760">
        <v>1</v>
      </c>
      <c r="AJ760">
        <v>1</v>
      </c>
      <c r="AK760">
        <v>1</v>
      </c>
      <c r="AL760">
        <v>1</v>
      </c>
      <c r="AN760">
        <v>0</v>
      </c>
      <c r="AO760">
        <v>0</v>
      </c>
      <c r="AP760">
        <v>0</v>
      </c>
      <c r="AQ760">
        <v>0</v>
      </c>
      <c r="AR760">
        <v>0</v>
      </c>
      <c r="AS760" t="s">
        <v>3</v>
      </c>
      <c r="AT760">
        <v>102</v>
      </c>
      <c r="AU760" t="s">
        <v>3</v>
      </c>
      <c r="AV760">
        <v>0</v>
      </c>
      <c r="AW760">
        <v>1</v>
      </c>
      <c r="AX760">
        <v>-1</v>
      </c>
      <c r="AY760">
        <v>0</v>
      </c>
      <c r="AZ760">
        <v>0</v>
      </c>
      <c r="BA760" t="s">
        <v>3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CX760">
        <f>ROUND(Y760*Source!I896,9)</f>
        <v>2.8559999999999999</v>
      </c>
      <c r="CY760">
        <f>AA760</f>
        <v>4.59</v>
      </c>
      <c r="CZ760">
        <f>AE760</f>
        <v>4.59</v>
      </c>
      <c r="DA760">
        <f>AI760</f>
        <v>1</v>
      </c>
      <c r="DB760">
        <f t="shared" si="354"/>
        <v>468.18</v>
      </c>
      <c r="DC760">
        <f t="shared" si="355"/>
        <v>0</v>
      </c>
      <c r="DD760" t="s">
        <v>3</v>
      </c>
      <c r="DE760" t="s">
        <v>3</v>
      </c>
      <c r="DF760">
        <f>ROUND(AE760*CX760,2)</f>
        <v>13.11</v>
      </c>
      <c r="DG760">
        <f t="shared" si="356"/>
        <v>0</v>
      </c>
      <c r="DH760">
        <f t="shared" si="357"/>
        <v>0</v>
      </c>
      <c r="DI760">
        <f t="shared" si="349"/>
        <v>0</v>
      </c>
      <c r="DJ760">
        <f>DF760</f>
        <v>13.11</v>
      </c>
      <c r="DK760">
        <v>0</v>
      </c>
    </row>
    <row r="761" spans="1:115" x14ac:dyDescent="0.2">
      <c r="A761">
        <f>ROW(Source!A897)</f>
        <v>897</v>
      </c>
      <c r="B761">
        <v>129761633</v>
      </c>
      <c r="C761">
        <v>129764096</v>
      </c>
      <c r="D761">
        <v>37345142</v>
      </c>
      <c r="E761">
        <v>37345137</v>
      </c>
      <c r="F761">
        <v>1</v>
      </c>
      <c r="G761">
        <v>37345137</v>
      </c>
      <c r="H761">
        <v>1</v>
      </c>
      <c r="I761" t="s">
        <v>1096</v>
      </c>
      <c r="J761" t="s">
        <v>3</v>
      </c>
      <c r="K761" t="s">
        <v>1097</v>
      </c>
      <c r="L761">
        <v>1191</v>
      </c>
      <c r="N761">
        <v>1013</v>
      </c>
      <c r="O761" t="s">
        <v>1098</v>
      </c>
      <c r="P761" t="s">
        <v>1098</v>
      </c>
      <c r="Q761">
        <v>1</v>
      </c>
      <c r="W761">
        <v>0</v>
      </c>
      <c r="X761">
        <v>476480486</v>
      </c>
      <c r="Y761">
        <f t="shared" si="353"/>
        <v>20.7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1</v>
      </c>
      <c r="AJ761">
        <v>1</v>
      </c>
      <c r="AK761">
        <v>1</v>
      </c>
      <c r="AL761">
        <v>1</v>
      </c>
      <c r="AN761">
        <v>0</v>
      </c>
      <c r="AO761">
        <v>1</v>
      </c>
      <c r="AP761">
        <v>0</v>
      </c>
      <c r="AQ761">
        <v>0</v>
      </c>
      <c r="AR761">
        <v>0</v>
      </c>
      <c r="AS761" t="s">
        <v>3</v>
      </c>
      <c r="AT761">
        <v>20.7</v>
      </c>
      <c r="AU761" t="s">
        <v>3</v>
      </c>
      <c r="AV761">
        <v>1</v>
      </c>
      <c r="AW761">
        <v>2</v>
      </c>
      <c r="AX761">
        <v>129764099</v>
      </c>
      <c r="AY761">
        <v>1</v>
      </c>
      <c r="AZ761">
        <v>0</v>
      </c>
      <c r="BA761">
        <v>744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  <c r="CX761">
        <f>ROUND(Y761*Source!I897,9)</f>
        <v>0.5796</v>
      </c>
      <c r="CY761">
        <f>AD761</f>
        <v>0</v>
      </c>
      <c r="CZ761">
        <f>AH761</f>
        <v>0</v>
      </c>
      <c r="DA761">
        <f>AL761</f>
        <v>1</v>
      </c>
      <c r="DB761">
        <f t="shared" si="354"/>
        <v>0</v>
      </c>
      <c r="DC761">
        <f t="shared" si="355"/>
        <v>0</v>
      </c>
      <c r="DD761" t="s">
        <v>3</v>
      </c>
      <c r="DE761" t="s">
        <v>3</v>
      </c>
      <c r="DF761">
        <f>ROUND(AE761*CX761,2)</f>
        <v>0</v>
      </c>
      <c r="DG761">
        <f t="shared" si="356"/>
        <v>0</v>
      </c>
      <c r="DH761">
        <f t="shared" si="357"/>
        <v>0</v>
      </c>
      <c r="DI761">
        <f t="shared" si="349"/>
        <v>0</v>
      </c>
      <c r="DJ761">
        <f>DI761</f>
        <v>0</v>
      </c>
      <c r="DK761">
        <v>0</v>
      </c>
    </row>
    <row r="762" spans="1:115" x14ac:dyDescent="0.2">
      <c r="A762">
        <f>ROW(Source!A897)</f>
        <v>897</v>
      </c>
      <c r="B762">
        <v>129761633</v>
      </c>
      <c r="C762">
        <v>129764096</v>
      </c>
      <c r="D762">
        <v>37398766</v>
      </c>
      <c r="E762">
        <v>1</v>
      </c>
      <c r="F762">
        <v>1</v>
      </c>
      <c r="G762">
        <v>37345137</v>
      </c>
      <c r="H762">
        <v>3</v>
      </c>
      <c r="I762" t="s">
        <v>772</v>
      </c>
      <c r="J762" t="s">
        <v>774</v>
      </c>
      <c r="K762" t="s">
        <v>773</v>
      </c>
      <c r="L762">
        <v>1301</v>
      </c>
      <c r="N762">
        <v>1003</v>
      </c>
      <c r="O762" t="s">
        <v>270</v>
      </c>
      <c r="P762" t="s">
        <v>270</v>
      </c>
      <c r="Q762">
        <v>1</v>
      </c>
      <c r="W762">
        <v>0</v>
      </c>
      <c r="X762">
        <v>-1102095183</v>
      </c>
      <c r="Y762">
        <f t="shared" ref="Y762:Y793" si="358">AT762</f>
        <v>102</v>
      </c>
      <c r="AA762">
        <v>22.63</v>
      </c>
      <c r="AB762">
        <v>0</v>
      </c>
      <c r="AC762">
        <v>0</v>
      </c>
      <c r="AD762">
        <v>0</v>
      </c>
      <c r="AE762">
        <v>4.59</v>
      </c>
      <c r="AF762">
        <v>0</v>
      </c>
      <c r="AG762">
        <v>0</v>
      </c>
      <c r="AH762">
        <v>0</v>
      </c>
      <c r="AI762">
        <v>4.93</v>
      </c>
      <c r="AJ762">
        <v>1</v>
      </c>
      <c r="AK762">
        <v>1</v>
      </c>
      <c r="AL762">
        <v>1</v>
      </c>
      <c r="AN762">
        <v>0</v>
      </c>
      <c r="AO762">
        <v>0</v>
      </c>
      <c r="AP762">
        <v>0</v>
      </c>
      <c r="AQ762">
        <v>0</v>
      </c>
      <c r="AR762">
        <v>0</v>
      </c>
      <c r="AS762" t="s">
        <v>3</v>
      </c>
      <c r="AT762">
        <v>102</v>
      </c>
      <c r="AU762" t="s">
        <v>3</v>
      </c>
      <c r="AV762">
        <v>0</v>
      </c>
      <c r="AW762">
        <v>1</v>
      </c>
      <c r="AX762">
        <v>-1</v>
      </c>
      <c r="AY762">
        <v>0</v>
      </c>
      <c r="AZ762">
        <v>0</v>
      </c>
      <c r="BA762" t="s">
        <v>3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CX762">
        <f>ROUND(Y762*Source!I897,9)</f>
        <v>2.8559999999999999</v>
      </c>
      <c r="CY762">
        <f>AA762</f>
        <v>22.63</v>
      </c>
      <c r="CZ762">
        <f>AE762</f>
        <v>4.59</v>
      </c>
      <c r="DA762">
        <f>AI762</f>
        <v>4.93</v>
      </c>
      <c r="DB762">
        <f t="shared" ref="DB762:DB793" si="359">ROUND(ROUND(AT762*CZ762,2),6)</f>
        <v>468.18</v>
      </c>
      <c r="DC762">
        <f t="shared" ref="DC762:DC793" si="360">ROUND(ROUND(AT762*AG762,2),6)</f>
        <v>0</v>
      </c>
      <c r="DD762" t="s">
        <v>3</v>
      </c>
      <c r="DE762" t="s">
        <v>3</v>
      </c>
      <c r="DF762">
        <f>ROUND(ROUND(AE762*CX762,2)*AI762,2)</f>
        <v>64.63</v>
      </c>
      <c r="DG762">
        <f t="shared" si="356"/>
        <v>0</v>
      </c>
      <c r="DH762">
        <f t="shared" si="357"/>
        <v>0</v>
      </c>
      <c r="DI762">
        <f t="shared" si="349"/>
        <v>0</v>
      </c>
      <c r="DJ762">
        <f>DF762</f>
        <v>64.63</v>
      </c>
      <c r="DK762">
        <v>0</v>
      </c>
    </row>
    <row r="763" spans="1:115" x14ac:dyDescent="0.2">
      <c r="A763">
        <f>ROW(Source!A900)</f>
        <v>900</v>
      </c>
      <c r="B763">
        <v>129761636</v>
      </c>
      <c r="C763">
        <v>129764101</v>
      </c>
      <c r="D763">
        <v>37345142</v>
      </c>
      <c r="E763">
        <v>37345137</v>
      </c>
      <c r="F763">
        <v>1</v>
      </c>
      <c r="G763">
        <v>37345137</v>
      </c>
      <c r="H763">
        <v>1</v>
      </c>
      <c r="I763" t="s">
        <v>1096</v>
      </c>
      <c r="J763" t="s">
        <v>3</v>
      </c>
      <c r="K763" t="s">
        <v>1097</v>
      </c>
      <c r="L763">
        <v>1191</v>
      </c>
      <c r="N763">
        <v>1013</v>
      </c>
      <c r="O763" t="s">
        <v>1098</v>
      </c>
      <c r="P763" t="s">
        <v>1098</v>
      </c>
      <c r="Q763">
        <v>1</v>
      </c>
      <c r="W763">
        <v>0</v>
      </c>
      <c r="X763">
        <v>476480486</v>
      </c>
      <c r="Y763">
        <f t="shared" si="358"/>
        <v>29.9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1</v>
      </c>
      <c r="AJ763">
        <v>1</v>
      </c>
      <c r="AK763">
        <v>1</v>
      </c>
      <c r="AL763">
        <v>1</v>
      </c>
      <c r="AN763">
        <v>0</v>
      </c>
      <c r="AO763">
        <v>1</v>
      </c>
      <c r="AP763">
        <v>0</v>
      </c>
      <c r="AQ763">
        <v>0</v>
      </c>
      <c r="AR763">
        <v>0</v>
      </c>
      <c r="AS763" t="s">
        <v>3</v>
      </c>
      <c r="AT763">
        <v>29.9</v>
      </c>
      <c r="AU763" t="s">
        <v>3</v>
      </c>
      <c r="AV763">
        <v>1</v>
      </c>
      <c r="AW763">
        <v>2</v>
      </c>
      <c r="AX763">
        <v>129764104</v>
      </c>
      <c r="AY763">
        <v>1</v>
      </c>
      <c r="AZ763">
        <v>0</v>
      </c>
      <c r="BA763">
        <v>745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CX763">
        <f>ROUND(Y763*Source!I900,9)</f>
        <v>1.4950000000000001</v>
      </c>
      <c r="CY763">
        <f>AD763</f>
        <v>0</v>
      </c>
      <c r="CZ763">
        <f>AH763</f>
        <v>0</v>
      </c>
      <c r="DA763">
        <f>AL763</f>
        <v>1</v>
      </c>
      <c r="DB763">
        <f t="shared" si="359"/>
        <v>0</v>
      </c>
      <c r="DC763">
        <f t="shared" si="360"/>
        <v>0</v>
      </c>
      <c r="DD763" t="s">
        <v>3</v>
      </c>
      <c r="DE763" t="s">
        <v>3</v>
      </c>
      <c r="DF763">
        <f>ROUND(AE763*CX763,2)</f>
        <v>0</v>
      </c>
      <c r="DG763">
        <f t="shared" si="356"/>
        <v>0</v>
      </c>
      <c r="DH763">
        <f t="shared" si="357"/>
        <v>0</v>
      </c>
      <c r="DI763">
        <f t="shared" si="349"/>
        <v>0</v>
      </c>
      <c r="DJ763">
        <f>DI763</f>
        <v>0</v>
      </c>
      <c r="DK763">
        <v>0</v>
      </c>
    </row>
    <row r="764" spans="1:115" x14ac:dyDescent="0.2">
      <c r="A764">
        <f>ROW(Source!A900)</f>
        <v>900</v>
      </c>
      <c r="B764">
        <v>129761636</v>
      </c>
      <c r="C764">
        <v>129764101</v>
      </c>
      <c r="D764">
        <v>0</v>
      </c>
      <c r="E764">
        <v>1</v>
      </c>
      <c r="F764">
        <v>1</v>
      </c>
      <c r="G764">
        <v>37345137</v>
      </c>
      <c r="H764">
        <v>3</v>
      </c>
      <c r="I764" t="s">
        <v>248</v>
      </c>
      <c r="J764" t="s">
        <v>3</v>
      </c>
      <c r="K764" t="s">
        <v>775</v>
      </c>
      <c r="L764">
        <v>1301</v>
      </c>
      <c r="N764">
        <v>1003</v>
      </c>
      <c r="O764" t="s">
        <v>270</v>
      </c>
      <c r="P764" t="s">
        <v>270</v>
      </c>
      <c r="Q764">
        <v>1</v>
      </c>
      <c r="W764">
        <v>0</v>
      </c>
      <c r="X764">
        <v>-473689300</v>
      </c>
      <c r="Y764">
        <f t="shared" si="358"/>
        <v>103</v>
      </c>
      <c r="AA764">
        <v>19.100000000000001</v>
      </c>
      <c r="AB764">
        <v>0</v>
      </c>
      <c r="AC764">
        <v>0</v>
      </c>
      <c r="AD764">
        <v>0</v>
      </c>
      <c r="AE764">
        <v>19.100000000000001</v>
      </c>
      <c r="AF764">
        <v>0</v>
      </c>
      <c r="AG764">
        <v>0</v>
      </c>
      <c r="AH764">
        <v>0</v>
      </c>
      <c r="AI764">
        <v>1</v>
      </c>
      <c r="AJ764">
        <v>1</v>
      </c>
      <c r="AK764">
        <v>1</v>
      </c>
      <c r="AL764">
        <v>1</v>
      </c>
      <c r="AN764">
        <v>0</v>
      </c>
      <c r="AO764">
        <v>0</v>
      </c>
      <c r="AP764">
        <v>0</v>
      </c>
      <c r="AQ764">
        <v>0</v>
      </c>
      <c r="AR764">
        <v>0</v>
      </c>
      <c r="AS764" t="s">
        <v>3</v>
      </c>
      <c r="AT764">
        <v>103</v>
      </c>
      <c r="AU764" t="s">
        <v>3</v>
      </c>
      <c r="AV764">
        <v>0</v>
      </c>
      <c r="AW764">
        <v>1</v>
      </c>
      <c r="AX764">
        <v>-1</v>
      </c>
      <c r="AY764">
        <v>0</v>
      </c>
      <c r="AZ764">
        <v>0</v>
      </c>
      <c r="BA764" t="s">
        <v>3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  <c r="CX764">
        <f>ROUND(Y764*Source!I900,9)</f>
        <v>5.15</v>
      </c>
      <c r="CY764">
        <f>AA764</f>
        <v>19.100000000000001</v>
      </c>
      <c r="CZ764">
        <f>AE764</f>
        <v>19.100000000000001</v>
      </c>
      <c r="DA764">
        <f>AI764</f>
        <v>1</v>
      </c>
      <c r="DB764">
        <f t="shared" si="359"/>
        <v>1967.3</v>
      </c>
      <c r="DC764">
        <f t="shared" si="360"/>
        <v>0</v>
      </c>
      <c r="DD764" t="s">
        <v>3</v>
      </c>
      <c r="DE764" t="s">
        <v>3</v>
      </c>
      <c r="DF764">
        <f>ROUND(AE764*CX764,2)</f>
        <v>98.37</v>
      </c>
      <c r="DG764">
        <f t="shared" si="356"/>
        <v>0</v>
      </c>
      <c r="DH764">
        <f t="shared" si="357"/>
        <v>0</v>
      </c>
      <c r="DI764">
        <f t="shared" si="349"/>
        <v>0</v>
      </c>
      <c r="DJ764">
        <f>DF764</f>
        <v>98.37</v>
      </c>
      <c r="DK764">
        <v>0</v>
      </c>
    </row>
    <row r="765" spans="1:115" x14ac:dyDescent="0.2">
      <c r="A765">
        <f>ROW(Source!A901)</f>
        <v>901</v>
      </c>
      <c r="B765">
        <v>129761633</v>
      </c>
      <c r="C765">
        <v>129764101</v>
      </c>
      <c r="D765">
        <v>37345142</v>
      </c>
      <c r="E765">
        <v>37345137</v>
      </c>
      <c r="F765">
        <v>1</v>
      </c>
      <c r="G765">
        <v>37345137</v>
      </c>
      <c r="H765">
        <v>1</v>
      </c>
      <c r="I765" t="s">
        <v>1096</v>
      </c>
      <c r="J765" t="s">
        <v>3</v>
      </c>
      <c r="K765" t="s">
        <v>1097</v>
      </c>
      <c r="L765">
        <v>1191</v>
      </c>
      <c r="N765">
        <v>1013</v>
      </c>
      <c r="O765" t="s">
        <v>1098</v>
      </c>
      <c r="P765" t="s">
        <v>1098</v>
      </c>
      <c r="Q765">
        <v>1</v>
      </c>
      <c r="W765">
        <v>0</v>
      </c>
      <c r="X765">
        <v>476480486</v>
      </c>
      <c r="Y765">
        <f t="shared" si="358"/>
        <v>29.9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1</v>
      </c>
      <c r="AJ765">
        <v>1</v>
      </c>
      <c r="AK765">
        <v>1</v>
      </c>
      <c r="AL765">
        <v>1</v>
      </c>
      <c r="AN765">
        <v>0</v>
      </c>
      <c r="AO765">
        <v>1</v>
      </c>
      <c r="AP765">
        <v>0</v>
      </c>
      <c r="AQ765">
        <v>0</v>
      </c>
      <c r="AR765">
        <v>0</v>
      </c>
      <c r="AS765" t="s">
        <v>3</v>
      </c>
      <c r="AT765">
        <v>29.9</v>
      </c>
      <c r="AU765" t="s">
        <v>3</v>
      </c>
      <c r="AV765">
        <v>1</v>
      </c>
      <c r="AW765">
        <v>2</v>
      </c>
      <c r="AX765">
        <v>129764104</v>
      </c>
      <c r="AY765">
        <v>1</v>
      </c>
      <c r="AZ765">
        <v>0</v>
      </c>
      <c r="BA765">
        <v>746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CX765">
        <f>ROUND(Y765*Source!I901,9)</f>
        <v>1.4950000000000001</v>
      </c>
      <c r="CY765">
        <f>AD765</f>
        <v>0</v>
      </c>
      <c r="CZ765">
        <f>AH765</f>
        <v>0</v>
      </c>
      <c r="DA765">
        <f>AL765</f>
        <v>1</v>
      </c>
      <c r="DB765">
        <f t="shared" si="359"/>
        <v>0</v>
      </c>
      <c r="DC765">
        <f t="shared" si="360"/>
        <v>0</v>
      </c>
      <c r="DD765" t="s">
        <v>3</v>
      </c>
      <c r="DE765" t="s">
        <v>3</v>
      </c>
      <c r="DF765">
        <f>ROUND(AE765*CX765,2)</f>
        <v>0</v>
      </c>
      <c r="DG765">
        <f t="shared" si="356"/>
        <v>0</v>
      </c>
      <c r="DH765">
        <f t="shared" si="357"/>
        <v>0</v>
      </c>
      <c r="DI765">
        <f t="shared" si="349"/>
        <v>0</v>
      </c>
      <c r="DJ765">
        <f>DI765</f>
        <v>0</v>
      </c>
      <c r="DK765">
        <v>0</v>
      </c>
    </row>
    <row r="766" spans="1:115" x14ac:dyDescent="0.2">
      <c r="A766">
        <f>ROW(Source!A901)</f>
        <v>901</v>
      </c>
      <c r="B766">
        <v>129761633</v>
      </c>
      <c r="C766">
        <v>129764101</v>
      </c>
      <c r="D766">
        <v>0</v>
      </c>
      <c r="E766">
        <v>1</v>
      </c>
      <c r="F766">
        <v>1</v>
      </c>
      <c r="G766">
        <v>37345137</v>
      </c>
      <c r="H766">
        <v>3</v>
      </c>
      <c r="I766" t="s">
        <v>248</v>
      </c>
      <c r="J766" t="s">
        <v>3</v>
      </c>
      <c r="K766" t="s">
        <v>775</v>
      </c>
      <c r="L766">
        <v>1301</v>
      </c>
      <c r="N766">
        <v>1003</v>
      </c>
      <c r="O766" t="s">
        <v>270</v>
      </c>
      <c r="P766" t="s">
        <v>270</v>
      </c>
      <c r="Q766">
        <v>1</v>
      </c>
      <c r="W766">
        <v>0</v>
      </c>
      <c r="X766">
        <v>-473689300</v>
      </c>
      <c r="Y766">
        <f t="shared" si="358"/>
        <v>103</v>
      </c>
      <c r="AA766">
        <v>126.64</v>
      </c>
      <c r="AB766">
        <v>0</v>
      </c>
      <c r="AC766">
        <v>0</v>
      </c>
      <c r="AD766">
        <v>0</v>
      </c>
      <c r="AE766">
        <v>14.639999999999999</v>
      </c>
      <c r="AF766">
        <v>0</v>
      </c>
      <c r="AG766">
        <v>0</v>
      </c>
      <c r="AH766">
        <v>0</v>
      </c>
      <c r="AI766">
        <v>8.65</v>
      </c>
      <c r="AJ766">
        <v>1</v>
      </c>
      <c r="AK766">
        <v>1</v>
      </c>
      <c r="AL766">
        <v>1</v>
      </c>
      <c r="AN766">
        <v>0</v>
      </c>
      <c r="AO766">
        <v>0</v>
      </c>
      <c r="AP766">
        <v>0</v>
      </c>
      <c r="AQ766">
        <v>0</v>
      </c>
      <c r="AR766">
        <v>0</v>
      </c>
      <c r="AS766" t="s">
        <v>3</v>
      </c>
      <c r="AT766">
        <v>103</v>
      </c>
      <c r="AU766" t="s">
        <v>3</v>
      </c>
      <c r="AV766">
        <v>0</v>
      </c>
      <c r="AW766">
        <v>1</v>
      </c>
      <c r="AX766">
        <v>-1</v>
      </c>
      <c r="AY766">
        <v>0</v>
      </c>
      <c r="AZ766">
        <v>0</v>
      </c>
      <c r="BA766" t="s">
        <v>3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CX766">
        <f>ROUND(Y766*Source!I901,9)</f>
        <v>5.15</v>
      </c>
      <c r="CY766">
        <f>AA766</f>
        <v>126.64</v>
      </c>
      <c r="CZ766">
        <f>AE766</f>
        <v>14.639999999999999</v>
      </c>
      <c r="DA766">
        <f>AI766</f>
        <v>8.65</v>
      </c>
      <c r="DB766">
        <f t="shared" si="359"/>
        <v>1507.92</v>
      </c>
      <c r="DC766">
        <f t="shared" si="360"/>
        <v>0</v>
      </c>
      <c r="DD766" t="s">
        <v>3</v>
      </c>
      <c r="DE766" t="s">
        <v>3</v>
      </c>
      <c r="DF766">
        <f>ROUND(ROUND(AE766*CX766,2)*AI766,2)</f>
        <v>652.21</v>
      </c>
      <c r="DG766">
        <f t="shared" si="356"/>
        <v>0</v>
      </c>
      <c r="DH766">
        <f t="shared" si="357"/>
        <v>0</v>
      </c>
      <c r="DI766">
        <f t="shared" si="349"/>
        <v>0</v>
      </c>
      <c r="DJ766">
        <f>DF766</f>
        <v>652.21</v>
      </c>
      <c r="DK766">
        <v>0</v>
      </c>
    </row>
    <row r="767" spans="1:115" x14ac:dyDescent="0.2">
      <c r="A767">
        <f>ROW(Source!A904)</f>
        <v>904</v>
      </c>
      <c r="B767">
        <v>129761636</v>
      </c>
      <c r="C767">
        <v>129764106</v>
      </c>
      <c r="D767">
        <v>37345142</v>
      </c>
      <c r="E767">
        <v>37345137</v>
      </c>
      <c r="F767">
        <v>1</v>
      </c>
      <c r="G767">
        <v>37345137</v>
      </c>
      <c r="H767">
        <v>1</v>
      </c>
      <c r="I767" t="s">
        <v>1096</v>
      </c>
      <c r="J767" t="s">
        <v>3</v>
      </c>
      <c r="K767" t="s">
        <v>1097</v>
      </c>
      <c r="L767">
        <v>1191</v>
      </c>
      <c r="N767">
        <v>1013</v>
      </c>
      <c r="O767" t="s">
        <v>1098</v>
      </c>
      <c r="P767" t="s">
        <v>1098</v>
      </c>
      <c r="Q767">
        <v>1</v>
      </c>
      <c r="W767">
        <v>0</v>
      </c>
      <c r="X767">
        <v>476480486</v>
      </c>
      <c r="Y767">
        <f t="shared" si="358"/>
        <v>6.18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1</v>
      </c>
      <c r="AJ767">
        <v>1</v>
      </c>
      <c r="AK767">
        <v>1</v>
      </c>
      <c r="AL767">
        <v>1</v>
      </c>
      <c r="AN767">
        <v>0</v>
      </c>
      <c r="AO767">
        <v>1</v>
      </c>
      <c r="AP767">
        <v>0</v>
      </c>
      <c r="AQ767">
        <v>0</v>
      </c>
      <c r="AR767">
        <v>0</v>
      </c>
      <c r="AS767" t="s">
        <v>3</v>
      </c>
      <c r="AT767">
        <v>6.18</v>
      </c>
      <c r="AU767" t="s">
        <v>3</v>
      </c>
      <c r="AV767">
        <v>1</v>
      </c>
      <c r="AW767">
        <v>2</v>
      </c>
      <c r="AX767">
        <v>129764109</v>
      </c>
      <c r="AY767">
        <v>1</v>
      </c>
      <c r="AZ767">
        <v>0</v>
      </c>
      <c r="BA767">
        <v>747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CX767">
        <f>ROUND(Y767*Source!I904,9)</f>
        <v>0.309</v>
      </c>
      <c r="CY767">
        <f>AD767</f>
        <v>0</v>
      </c>
      <c r="CZ767">
        <f>AH767</f>
        <v>0</v>
      </c>
      <c r="DA767">
        <f>AL767</f>
        <v>1</v>
      </c>
      <c r="DB767">
        <f t="shared" si="359"/>
        <v>0</v>
      </c>
      <c r="DC767">
        <f t="shared" si="360"/>
        <v>0</v>
      </c>
      <c r="DD767" t="s">
        <v>3</v>
      </c>
      <c r="DE767" t="s">
        <v>3</v>
      </c>
      <c r="DF767">
        <f>ROUND(AE767*CX767,2)</f>
        <v>0</v>
      </c>
      <c r="DG767">
        <f t="shared" si="356"/>
        <v>0</v>
      </c>
      <c r="DH767">
        <f t="shared" si="357"/>
        <v>0</v>
      </c>
      <c r="DI767">
        <f t="shared" si="349"/>
        <v>0</v>
      </c>
      <c r="DJ767">
        <f>DI767</f>
        <v>0</v>
      </c>
      <c r="DK767">
        <v>0</v>
      </c>
    </row>
    <row r="768" spans="1:115" x14ac:dyDescent="0.2">
      <c r="A768">
        <f>ROW(Source!A904)</f>
        <v>904</v>
      </c>
      <c r="B768">
        <v>129761636</v>
      </c>
      <c r="C768">
        <v>129764106</v>
      </c>
      <c r="D768">
        <v>37410816</v>
      </c>
      <c r="E768">
        <v>1</v>
      </c>
      <c r="F768">
        <v>1</v>
      </c>
      <c r="G768">
        <v>37345137</v>
      </c>
      <c r="H768">
        <v>3</v>
      </c>
      <c r="I768" t="s">
        <v>777</v>
      </c>
      <c r="J768" t="s">
        <v>778</v>
      </c>
      <c r="K768" t="s">
        <v>1565</v>
      </c>
      <c r="L768">
        <v>1303</v>
      </c>
      <c r="N768">
        <v>1003</v>
      </c>
      <c r="O768" t="s">
        <v>694</v>
      </c>
      <c r="P768" t="s">
        <v>694</v>
      </c>
      <c r="Q768">
        <v>1000</v>
      </c>
      <c r="W768">
        <v>0</v>
      </c>
      <c r="X768">
        <v>-1303751812</v>
      </c>
      <c r="Y768">
        <f t="shared" si="358"/>
        <v>0.10200000000000001</v>
      </c>
      <c r="AA768">
        <v>9707.41</v>
      </c>
      <c r="AB768">
        <v>0</v>
      </c>
      <c r="AC768">
        <v>0</v>
      </c>
      <c r="AD768">
        <v>0</v>
      </c>
      <c r="AE768">
        <v>9707.41</v>
      </c>
      <c r="AF768">
        <v>0</v>
      </c>
      <c r="AG768">
        <v>0</v>
      </c>
      <c r="AH768">
        <v>0</v>
      </c>
      <c r="AI768">
        <v>1</v>
      </c>
      <c r="AJ768">
        <v>1</v>
      </c>
      <c r="AK768">
        <v>1</v>
      </c>
      <c r="AL768">
        <v>1</v>
      </c>
      <c r="AN768">
        <v>0</v>
      </c>
      <c r="AO768">
        <v>0</v>
      </c>
      <c r="AP768">
        <v>0</v>
      </c>
      <c r="AQ768">
        <v>0</v>
      </c>
      <c r="AR768">
        <v>0</v>
      </c>
      <c r="AS768" t="s">
        <v>3</v>
      </c>
      <c r="AT768">
        <v>0.10200000000000001</v>
      </c>
      <c r="AU768" t="s">
        <v>3</v>
      </c>
      <c r="AV768">
        <v>0</v>
      </c>
      <c r="AW768">
        <v>1</v>
      </c>
      <c r="AX768">
        <v>-1</v>
      </c>
      <c r="AY768">
        <v>0</v>
      </c>
      <c r="AZ768">
        <v>0</v>
      </c>
      <c r="BA768" t="s">
        <v>3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CX768">
        <f>ROUND(Y768*Source!I904,9)</f>
        <v>5.1000000000000004E-3</v>
      </c>
      <c r="CY768">
        <f>AA768</f>
        <v>9707.41</v>
      </c>
      <c r="CZ768">
        <f>AE768</f>
        <v>9707.41</v>
      </c>
      <c r="DA768">
        <f>AI768</f>
        <v>1</v>
      </c>
      <c r="DB768">
        <f t="shared" si="359"/>
        <v>990.16</v>
      </c>
      <c r="DC768">
        <f t="shared" si="360"/>
        <v>0</v>
      </c>
      <c r="DD768" t="s">
        <v>3</v>
      </c>
      <c r="DE768" t="s">
        <v>3</v>
      </c>
      <c r="DF768">
        <f>ROUND(AE768*CX768,2)</f>
        <v>49.51</v>
      </c>
      <c r="DG768">
        <f t="shared" si="356"/>
        <v>0</v>
      </c>
      <c r="DH768">
        <f t="shared" si="357"/>
        <v>0</v>
      </c>
      <c r="DI768">
        <f t="shared" si="349"/>
        <v>0</v>
      </c>
      <c r="DJ768">
        <f>DF768</f>
        <v>49.51</v>
      </c>
      <c r="DK768">
        <v>0</v>
      </c>
    </row>
    <row r="769" spans="1:115" x14ac:dyDescent="0.2">
      <c r="A769">
        <f>ROW(Source!A905)</f>
        <v>905</v>
      </c>
      <c r="B769">
        <v>129761633</v>
      </c>
      <c r="C769">
        <v>129764106</v>
      </c>
      <c r="D769">
        <v>37345142</v>
      </c>
      <c r="E769">
        <v>37345137</v>
      </c>
      <c r="F769">
        <v>1</v>
      </c>
      <c r="G769">
        <v>37345137</v>
      </c>
      <c r="H769">
        <v>1</v>
      </c>
      <c r="I769" t="s">
        <v>1096</v>
      </c>
      <c r="J769" t="s">
        <v>3</v>
      </c>
      <c r="K769" t="s">
        <v>1097</v>
      </c>
      <c r="L769">
        <v>1191</v>
      </c>
      <c r="N769">
        <v>1013</v>
      </c>
      <c r="O769" t="s">
        <v>1098</v>
      </c>
      <c r="P769" t="s">
        <v>1098</v>
      </c>
      <c r="Q769">
        <v>1</v>
      </c>
      <c r="W769">
        <v>0</v>
      </c>
      <c r="X769">
        <v>476480486</v>
      </c>
      <c r="Y769">
        <f t="shared" si="358"/>
        <v>6.18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1</v>
      </c>
      <c r="AJ769">
        <v>1</v>
      </c>
      <c r="AK769">
        <v>1</v>
      </c>
      <c r="AL769">
        <v>1</v>
      </c>
      <c r="AN769">
        <v>0</v>
      </c>
      <c r="AO769">
        <v>1</v>
      </c>
      <c r="AP769">
        <v>0</v>
      </c>
      <c r="AQ769">
        <v>0</v>
      </c>
      <c r="AR769">
        <v>0</v>
      </c>
      <c r="AS769" t="s">
        <v>3</v>
      </c>
      <c r="AT769">
        <v>6.18</v>
      </c>
      <c r="AU769" t="s">
        <v>3</v>
      </c>
      <c r="AV769">
        <v>1</v>
      </c>
      <c r="AW769">
        <v>2</v>
      </c>
      <c r="AX769">
        <v>129764109</v>
      </c>
      <c r="AY769">
        <v>1</v>
      </c>
      <c r="AZ769">
        <v>0</v>
      </c>
      <c r="BA769">
        <v>748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CX769">
        <f>ROUND(Y769*Source!I905,9)</f>
        <v>0.309</v>
      </c>
      <c r="CY769">
        <f>AD769</f>
        <v>0</v>
      </c>
      <c r="CZ769">
        <f>AH769</f>
        <v>0</v>
      </c>
      <c r="DA769">
        <f>AL769</f>
        <v>1</v>
      </c>
      <c r="DB769">
        <f t="shared" si="359"/>
        <v>0</v>
      </c>
      <c r="DC769">
        <f t="shared" si="360"/>
        <v>0</v>
      </c>
      <c r="DD769" t="s">
        <v>3</v>
      </c>
      <c r="DE769" t="s">
        <v>3</v>
      </c>
      <c r="DF769">
        <f>ROUND(AE769*CX769,2)</f>
        <v>0</v>
      </c>
      <c r="DG769">
        <f t="shared" si="356"/>
        <v>0</v>
      </c>
      <c r="DH769">
        <f t="shared" si="357"/>
        <v>0</v>
      </c>
      <c r="DI769">
        <f t="shared" ref="DI769:DI832" si="361">ROUND(AH769*CX769,2)</f>
        <v>0</v>
      </c>
      <c r="DJ769">
        <f>DI769</f>
        <v>0</v>
      </c>
      <c r="DK769">
        <v>0</v>
      </c>
    </row>
    <row r="770" spans="1:115" x14ac:dyDescent="0.2">
      <c r="A770">
        <f>ROW(Source!A905)</f>
        <v>905</v>
      </c>
      <c r="B770">
        <v>129761633</v>
      </c>
      <c r="C770">
        <v>129764106</v>
      </c>
      <c r="D770">
        <v>37410816</v>
      </c>
      <c r="E770">
        <v>1</v>
      </c>
      <c r="F770">
        <v>1</v>
      </c>
      <c r="G770">
        <v>37345137</v>
      </c>
      <c r="H770">
        <v>3</v>
      </c>
      <c r="I770" t="s">
        <v>777</v>
      </c>
      <c r="J770" t="s">
        <v>778</v>
      </c>
      <c r="K770" t="s">
        <v>1565</v>
      </c>
      <c r="L770">
        <v>1303</v>
      </c>
      <c r="N770">
        <v>1003</v>
      </c>
      <c r="O770" t="s">
        <v>694</v>
      </c>
      <c r="P770" t="s">
        <v>694</v>
      </c>
      <c r="Q770">
        <v>1000</v>
      </c>
      <c r="W770">
        <v>0</v>
      </c>
      <c r="X770">
        <v>-1303751812</v>
      </c>
      <c r="Y770">
        <f t="shared" si="358"/>
        <v>0.10200000000000001</v>
      </c>
      <c r="AA770">
        <v>50381.46</v>
      </c>
      <c r="AB770">
        <v>0</v>
      </c>
      <c r="AC770">
        <v>0</v>
      </c>
      <c r="AD770">
        <v>0</v>
      </c>
      <c r="AE770">
        <v>9707.41</v>
      </c>
      <c r="AF770">
        <v>0</v>
      </c>
      <c r="AG770">
        <v>0</v>
      </c>
      <c r="AH770">
        <v>0</v>
      </c>
      <c r="AI770">
        <v>5.19</v>
      </c>
      <c r="AJ770">
        <v>1</v>
      </c>
      <c r="AK770">
        <v>1</v>
      </c>
      <c r="AL770">
        <v>1</v>
      </c>
      <c r="AN770">
        <v>0</v>
      </c>
      <c r="AO770">
        <v>0</v>
      </c>
      <c r="AP770">
        <v>0</v>
      </c>
      <c r="AQ770">
        <v>0</v>
      </c>
      <c r="AR770">
        <v>0</v>
      </c>
      <c r="AS770" t="s">
        <v>3</v>
      </c>
      <c r="AT770">
        <v>0.10200000000000001</v>
      </c>
      <c r="AU770" t="s">
        <v>3</v>
      </c>
      <c r="AV770">
        <v>0</v>
      </c>
      <c r="AW770">
        <v>1</v>
      </c>
      <c r="AX770">
        <v>-1</v>
      </c>
      <c r="AY770">
        <v>0</v>
      </c>
      <c r="AZ770">
        <v>0</v>
      </c>
      <c r="BA770" t="s">
        <v>3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CX770">
        <f>ROUND(Y770*Source!I905,9)</f>
        <v>5.1000000000000004E-3</v>
      </c>
      <c r="CY770">
        <f>AA770</f>
        <v>50381.46</v>
      </c>
      <c r="CZ770">
        <f>AE770</f>
        <v>9707.41</v>
      </c>
      <c r="DA770">
        <f>AI770</f>
        <v>5.19</v>
      </c>
      <c r="DB770">
        <f t="shared" si="359"/>
        <v>990.16</v>
      </c>
      <c r="DC770">
        <f t="shared" si="360"/>
        <v>0</v>
      </c>
      <c r="DD770" t="s">
        <v>3</v>
      </c>
      <c r="DE770" t="s">
        <v>3</v>
      </c>
      <c r="DF770">
        <f>ROUND(ROUND(AE770*CX770,2)*AI770,2)</f>
        <v>256.95999999999998</v>
      </c>
      <c r="DG770">
        <f t="shared" si="356"/>
        <v>0</v>
      </c>
      <c r="DH770">
        <f t="shared" si="357"/>
        <v>0</v>
      </c>
      <c r="DI770">
        <f t="shared" si="361"/>
        <v>0</v>
      </c>
      <c r="DJ770">
        <f>DF770</f>
        <v>256.95999999999998</v>
      </c>
      <c r="DK770">
        <v>0</v>
      </c>
    </row>
    <row r="771" spans="1:115" x14ac:dyDescent="0.2">
      <c r="A771">
        <f>ROW(Source!A908)</f>
        <v>908</v>
      </c>
      <c r="B771">
        <v>129761636</v>
      </c>
      <c r="C771">
        <v>129764111</v>
      </c>
      <c r="D771">
        <v>37345142</v>
      </c>
      <c r="E771">
        <v>37345137</v>
      </c>
      <c r="F771">
        <v>1</v>
      </c>
      <c r="G771">
        <v>37345137</v>
      </c>
      <c r="H771">
        <v>1</v>
      </c>
      <c r="I771" t="s">
        <v>1096</v>
      </c>
      <c r="J771" t="s">
        <v>3</v>
      </c>
      <c r="K771" t="s">
        <v>1097</v>
      </c>
      <c r="L771">
        <v>1191</v>
      </c>
      <c r="N771">
        <v>1013</v>
      </c>
      <c r="O771" t="s">
        <v>1098</v>
      </c>
      <c r="P771" t="s">
        <v>1098</v>
      </c>
      <c r="Q771">
        <v>1</v>
      </c>
      <c r="W771">
        <v>0</v>
      </c>
      <c r="X771">
        <v>476480486</v>
      </c>
      <c r="Y771">
        <f t="shared" si="358"/>
        <v>3.09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1</v>
      </c>
      <c r="AJ771">
        <v>1</v>
      </c>
      <c r="AK771">
        <v>1</v>
      </c>
      <c r="AL771">
        <v>1</v>
      </c>
      <c r="AN771">
        <v>0</v>
      </c>
      <c r="AO771">
        <v>1</v>
      </c>
      <c r="AP771">
        <v>0</v>
      </c>
      <c r="AQ771">
        <v>0</v>
      </c>
      <c r="AR771">
        <v>0</v>
      </c>
      <c r="AS771" t="s">
        <v>3</v>
      </c>
      <c r="AT771">
        <v>3.09</v>
      </c>
      <c r="AU771" t="s">
        <v>3</v>
      </c>
      <c r="AV771">
        <v>1</v>
      </c>
      <c r="AW771">
        <v>2</v>
      </c>
      <c r="AX771">
        <v>129764117</v>
      </c>
      <c r="AY771">
        <v>1</v>
      </c>
      <c r="AZ771">
        <v>0</v>
      </c>
      <c r="BA771">
        <v>749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CX771">
        <f>ROUND(Y771*Source!I908,9)</f>
        <v>1.4214</v>
      </c>
      <c r="CY771">
        <f>AD771</f>
        <v>0</v>
      </c>
      <c r="CZ771">
        <f>AH771</f>
        <v>0</v>
      </c>
      <c r="DA771">
        <f>AL771</f>
        <v>1</v>
      </c>
      <c r="DB771">
        <f t="shared" si="359"/>
        <v>0</v>
      </c>
      <c r="DC771">
        <f t="shared" si="360"/>
        <v>0</v>
      </c>
      <c r="DD771" t="s">
        <v>3</v>
      </c>
      <c r="DE771" t="s">
        <v>3</v>
      </c>
      <c r="DF771">
        <f t="shared" ref="DF771:DF776" si="362">ROUND(AE771*CX771,2)</f>
        <v>0</v>
      </c>
      <c r="DG771">
        <f t="shared" si="356"/>
        <v>0</v>
      </c>
      <c r="DH771">
        <f t="shared" si="357"/>
        <v>0</v>
      </c>
      <c r="DI771">
        <f t="shared" si="361"/>
        <v>0</v>
      </c>
      <c r="DJ771">
        <f>DI771</f>
        <v>0</v>
      </c>
      <c r="DK771">
        <v>0</v>
      </c>
    </row>
    <row r="772" spans="1:115" x14ac:dyDescent="0.2">
      <c r="A772">
        <f>ROW(Source!A908)</f>
        <v>908</v>
      </c>
      <c r="B772">
        <v>129761636</v>
      </c>
      <c r="C772">
        <v>129764111</v>
      </c>
      <c r="D772">
        <v>37410830</v>
      </c>
      <c r="E772">
        <v>1</v>
      </c>
      <c r="F772">
        <v>1</v>
      </c>
      <c r="G772">
        <v>37345137</v>
      </c>
      <c r="H772">
        <v>3</v>
      </c>
      <c r="I772" t="s">
        <v>785</v>
      </c>
      <c r="J772" t="s">
        <v>786</v>
      </c>
      <c r="K772" t="s">
        <v>1566</v>
      </c>
      <c r="L772">
        <v>1303</v>
      </c>
      <c r="N772">
        <v>1003</v>
      </c>
      <c r="O772" t="s">
        <v>694</v>
      </c>
      <c r="P772" t="s">
        <v>694</v>
      </c>
      <c r="Q772">
        <v>1000</v>
      </c>
      <c r="W772">
        <v>0</v>
      </c>
      <c r="X772">
        <v>-1539127029</v>
      </c>
      <c r="Y772">
        <f t="shared" si="358"/>
        <v>6.6519999999999999E-3</v>
      </c>
      <c r="AA772">
        <v>12919.08</v>
      </c>
      <c r="AB772">
        <v>0</v>
      </c>
      <c r="AC772">
        <v>0</v>
      </c>
      <c r="AD772">
        <v>0</v>
      </c>
      <c r="AE772">
        <v>12919.08</v>
      </c>
      <c r="AF772">
        <v>0</v>
      </c>
      <c r="AG772">
        <v>0</v>
      </c>
      <c r="AH772">
        <v>0</v>
      </c>
      <c r="AI772">
        <v>1</v>
      </c>
      <c r="AJ772">
        <v>1</v>
      </c>
      <c r="AK772">
        <v>1</v>
      </c>
      <c r="AL772">
        <v>1</v>
      </c>
      <c r="AN772">
        <v>0</v>
      </c>
      <c r="AO772">
        <v>0</v>
      </c>
      <c r="AP772">
        <v>0</v>
      </c>
      <c r="AQ772">
        <v>0</v>
      </c>
      <c r="AR772">
        <v>0</v>
      </c>
      <c r="AS772" t="s">
        <v>3</v>
      </c>
      <c r="AT772">
        <v>6.6519999999999999E-3</v>
      </c>
      <c r="AU772" t="s">
        <v>3</v>
      </c>
      <c r="AV772">
        <v>0</v>
      </c>
      <c r="AW772">
        <v>1</v>
      </c>
      <c r="AX772">
        <v>-1</v>
      </c>
      <c r="AY772">
        <v>0</v>
      </c>
      <c r="AZ772">
        <v>0</v>
      </c>
      <c r="BA772" t="s">
        <v>3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CX772">
        <f>ROUND(Y772*Source!I908,9)</f>
        <v>3.0599199999999998E-3</v>
      </c>
      <c r="CY772">
        <f>AA772</f>
        <v>12919.08</v>
      </c>
      <c r="CZ772">
        <f>AE772</f>
        <v>12919.08</v>
      </c>
      <c r="DA772">
        <f>AI772</f>
        <v>1</v>
      </c>
      <c r="DB772">
        <f t="shared" si="359"/>
        <v>85.94</v>
      </c>
      <c r="DC772">
        <f t="shared" si="360"/>
        <v>0</v>
      </c>
      <c r="DD772" t="s">
        <v>3</v>
      </c>
      <c r="DE772" t="s">
        <v>3</v>
      </c>
      <c r="DF772">
        <f t="shared" si="362"/>
        <v>39.53</v>
      </c>
      <c r="DG772">
        <f t="shared" si="356"/>
        <v>0</v>
      </c>
      <c r="DH772">
        <f t="shared" si="357"/>
        <v>0</v>
      </c>
      <c r="DI772">
        <f t="shared" si="361"/>
        <v>0</v>
      </c>
      <c r="DJ772">
        <f>DF772</f>
        <v>39.53</v>
      </c>
      <c r="DK772">
        <v>0</v>
      </c>
    </row>
    <row r="773" spans="1:115" x14ac:dyDescent="0.2">
      <c r="A773">
        <f>ROW(Source!A908)</f>
        <v>908</v>
      </c>
      <c r="B773">
        <v>129761636</v>
      </c>
      <c r="C773">
        <v>129764111</v>
      </c>
      <c r="D773">
        <v>37410831</v>
      </c>
      <c r="E773">
        <v>1</v>
      </c>
      <c r="F773">
        <v>1</v>
      </c>
      <c r="G773">
        <v>37345137</v>
      </c>
      <c r="H773">
        <v>3</v>
      </c>
      <c r="I773" t="s">
        <v>782</v>
      </c>
      <c r="J773" t="s">
        <v>783</v>
      </c>
      <c r="K773" t="s">
        <v>1567</v>
      </c>
      <c r="L773">
        <v>1303</v>
      </c>
      <c r="N773">
        <v>1003</v>
      </c>
      <c r="O773" t="s">
        <v>694</v>
      </c>
      <c r="P773" t="s">
        <v>694</v>
      </c>
      <c r="Q773">
        <v>1000</v>
      </c>
      <c r="W773">
        <v>0</v>
      </c>
      <c r="X773">
        <v>-198952881</v>
      </c>
      <c r="Y773">
        <f t="shared" si="358"/>
        <v>7.7608999999999997E-2</v>
      </c>
      <c r="AA773">
        <v>19722.349999999999</v>
      </c>
      <c r="AB773">
        <v>0</v>
      </c>
      <c r="AC773">
        <v>0</v>
      </c>
      <c r="AD773">
        <v>0</v>
      </c>
      <c r="AE773">
        <v>19722.349999999999</v>
      </c>
      <c r="AF773">
        <v>0</v>
      </c>
      <c r="AG773">
        <v>0</v>
      </c>
      <c r="AH773">
        <v>0</v>
      </c>
      <c r="AI773">
        <v>1</v>
      </c>
      <c r="AJ773">
        <v>1</v>
      </c>
      <c r="AK773">
        <v>1</v>
      </c>
      <c r="AL773">
        <v>1</v>
      </c>
      <c r="AN773">
        <v>0</v>
      </c>
      <c r="AO773">
        <v>0</v>
      </c>
      <c r="AP773">
        <v>0</v>
      </c>
      <c r="AQ773">
        <v>0</v>
      </c>
      <c r="AR773">
        <v>0</v>
      </c>
      <c r="AS773" t="s">
        <v>3</v>
      </c>
      <c r="AT773">
        <v>7.7608999999999997E-2</v>
      </c>
      <c r="AU773" t="s">
        <v>3</v>
      </c>
      <c r="AV773">
        <v>0</v>
      </c>
      <c r="AW773">
        <v>1</v>
      </c>
      <c r="AX773">
        <v>-1</v>
      </c>
      <c r="AY773">
        <v>0</v>
      </c>
      <c r="AZ773">
        <v>0</v>
      </c>
      <c r="BA773" t="s">
        <v>3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CX773">
        <f>ROUND(Y773*Source!I908,9)</f>
        <v>3.5700139999999998E-2</v>
      </c>
      <c r="CY773">
        <f>AA773</f>
        <v>19722.349999999999</v>
      </c>
      <c r="CZ773">
        <f>AE773</f>
        <v>19722.349999999999</v>
      </c>
      <c r="DA773">
        <f>AI773</f>
        <v>1</v>
      </c>
      <c r="DB773">
        <f t="shared" si="359"/>
        <v>1530.63</v>
      </c>
      <c r="DC773">
        <f t="shared" si="360"/>
        <v>0</v>
      </c>
      <c r="DD773" t="s">
        <v>3</v>
      </c>
      <c r="DE773" t="s">
        <v>3</v>
      </c>
      <c r="DF773">
        <f t="shared" si="362"/>
        <v>704.09</v>
      </c>
      <c r="DG773">
        <f t="shared" si="356"/>
        <v>0</v>
      </c>
      <c r="DH773">
        <f t="shared" si="357"/>
        <v>0</v>
      </c>
      <c r="DI773">
        <f t="shared" si="361"/>
        <v>0</v>
      </c>
      <c r="DJ773">
        <f>DF773</f>
        <v>704.09</v>
      </c>
      <c r="DK773">
        <v>0</v>
      </c>
    </row>
    <row r="774" spans="1:115" x14ac:dyDescent="0.2">
      <c r="A774">
        <f>ROW(Source!A908)</f>
        <v>908</v>
      </c>
      <c r="B774">
        <v>129761636</v>
      </c>
      <c r="C774">
        <v>129764111</v>
      </c>
      <c r="D774">
        <v>0</v>
      </c>
      <c r="E774">
        <v>1</v>
      </c>
      <c r="F774">
        <v>1</v>
      </c>
      <c r="G774">
        <v>37345137</v>
      </c>
      <c r="H774">
        <v>3</v>
      </c>
      <c r="I774" t="s">
        <v>248</v>
      </c>
      <c r="J774" t="s">
        <v>3</v>
      </c>
      <c r="K774" t="s">
        <v>779</v>
      </c>
      <c r="L774">
        <v>1301</v>
      </c>
      <c r="N774">
        <v>1003</v>
      </c>
      <c r="O774" t="s">
        <v>270</v>
      </c>
      <c r="P774" t="s">
        <v>270</v>
      </c>
      <c r="Q774">
        <v>1</v>
      </c>
      <c r="W774">
        <v>0</v>
      </c>
      <c r="X774">
        <v>1541029887</v>
      </c>
      <c r="Y774">
        <f t="shared" si="358"/>
        <v>6.6521739130434785</v>
      </c>
      <c r="AA774">
        <v>7.05</v>
      </c>
      <c r="AB774">
        <v>0</v>
      </c>
      <c r="AC774">
        <v>0</v>
      </c>
      <c r="AD774">
        <v>0</v>
      </c>
      <c r="AE774">
        <v>7.05</v>
      </c>
      <c r="AF774">
        <v>0</v>
      </c>
      <c r="AG774">
        <v>0</v>
      </c>
      <c r="AH774">
        <v>0</v>
      </c>
      <c r="AI774">
        <v>1</v>
      </c>
      <c r="AJ774">
        <v>1</v>
      </c>
      <c r="AK774">
        <v>1</v>
      </c>
      <c r="AL774">
        <v>1</v>
      </c>
      <c r="AN774">
        <v>0</v>
      </c>
      <c r="AO774">
        <v>0</v>
      </c>
      <c r="AP774">
        <v>0</v>
      </c>
      <c r="AQ774">
        <v>0</v>
      </c>
      <c r="AR774">
        <v>0</v>
      </c>
      <c r="AS774" t="s">
        <v>3</v>
      </c>
      <c r="AT774">
        <v>6.6521739130434785</v>
      </c>
      <c r="AU774" t="s">
        <v>3</v>
      </c>
      <c r="AV774">
        <v>0</v>
      </c>
      <c r="AW774">
        <v>1</v>
      </c>
      <c r="AX774">
        <v>-1</v>
      </c>
      <c r="AY774">
        <v>0</v>
      </c>
      <c r="AZ774">
        <v>0</v>
      </c>
      <c r="BA774" t="s">
        <v>3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CX774">
        <f>ROUND(Y774*Source!I908,9)</f>
        <v>3.06</v>
      </c>
      <c r="CY774">
        <f>AA774</f>
        <v>7.05</v>
      </c>
      <c r="CZ774">
        <f>AE774</f>
        <v>7.05</v>
      </c>
      <c r="DA774">
        <f>AI774</f>
        <v>1</v>
      </c>
      <c r="DB774">
        <f t="shared" si="359"/>
        <v>46.9</v>
      </c>
      <c r="DC774">
        <f t="shared" si="360"/>
        <v>0</v>
      </c>
      <c r="DD774" t="s">
        <v>3</v>
      </c>
      <c r="DE774" t="s">
        <v>3</v>
      </c>
      <c r="DF774">
        <f t="shared" si="362"/>
        <v>21.57</v>
      </c>
      <c r="DG774">
        <f t="shared" si="356"/>
        <v>0</v>
      </c>
      <c r="DH774">
        <f t="shared" si="357"/>
        <v>0</v>
      </c>
      <c r="DI774">
        <f t="shared" si="361"/>
        <v>0</v>
      </c>
      <c r="DJ774">
        <f>DF774</f>
        <v>21.57</v>
      </c>
      <c r="DK774">
        <v>0</v>
      </c>
    </row>
    <row r="775" spans="1:115" x14ac:dyDescent="0.2">
      <c r="A775">
        <f>ROW(Source!A908)</f>
        <v>908</v>
      </c>
      <c r="B775">
        <v>129761636</v>
      </c>
      <c r="C775">
        <v>129764111</v>
      </c>
      <c r="D775">
        <v>0</v>
      </c>
      <c r="E775">
        <v>1</v>
      </c>
      <c r="F775">
        <v>1</v>
      </c>
      <c r="G775">
        <v>37345137</v>
      </c>
      <c r="H775">
        <v>3</v>
      </c>
      <c r="I775" t="s">
        <v>248</v>
      </c>
      <c r="J775" t="s">
        <v>3</v>
      </c>
      <c r="K775" t="s">
        <v>788</v>
      </c>
      <c r="L775">
        <v>1301</v>
      </c>
      <c r="N775">
        <v>1003</v>
      </c>
      <c r="O775" t="s">
        <v>270</v>
      </c>
      <c r="P775" t="s">
        <v>270</v>
      </c>
      <c r="Q775">
        <v>1</v>
      </c>
      <c r="W775">
        <v>0</v>
      </c>
      <c r="X775">
        <v>321724379</v>
      </c>
      <c r="Y775">
        <f t="shared" si="358"/>
        <v>11.086957</v>
      </c>
      <c r="AA775">
        <v>11.41</v>
      </c>
      <c r="AB775">
        <v>0</v>
      </c>
      <c r="AC775">
        <v>0</v>
      </c>
      <c r="AD775">
        <v>0</v>
      </c>
      <c r="AE775">
        <v>11.41</v>
      </c>
      <c r="AF775">
        <v>0</v>
      </c>
      <c r="AG775">
        <v>0</v>
      </c>
      <c r="AH775">
        <v>0</v>
      </c>
      <c r="AI775">
        <v>1</v>
      </c>
      <c r="AJ775">
        <v>1</v>
      </c>
      <c r="AK775">
        <v>1</v>
      </c>
      <c r="AL775">
        <v>1</v>
      </c>
      <c r="AN775">
        <v>0</v>
      </c>
      <c r="AO775">
        <v>0</v>
      </c>
      <c r="AP775">
        <v>0</v>
      </c>
      <c r="AQ775">
        <v>0</v>
      </c>
      <c r="AR775">
        <v>0</v>
      </c>
      <c r="AS775" t="s">
        <v>3</v>
      </c>
      <c r="AT775">
        <v>11.086957</v>
      </c>
      <c r="AU775" t="s">
        <v>3</v>
      </c>
      <c r="AV775">
        <v>0</v>
      </c>
      <c r="AW775">
        <v>1</v>
      </c>
      <c r="AX775">
        <v>-1</v>
      </c>
      <c r="AY775">
        <v>0</v>
      </c>
      <c r="AZ775">
        <v>0</v>
      </c>
      <c r="BA775" t="s">
        <v>3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CX775">
        <f>ROUND(Y775*Source!I908,9)</f>
        <v>5.1000002200000001</v>
      </c>
      <c r="CY775">
        <f>AA775</f>
        <v>11.41</v>
      </c>
      <c r="CZ775">
        <f>AE775</f>
        <v>11.41</v>
      </c>
      <c r="DA775">
        <f>AI775</f>
        <v>1</v>
      </c>
      <c r="DB775">
        <f t="shared" si="359"/>
        <v>126.5</v>
      </c>
      <c r="DC775">
        <f t="shared" si="360"/>
        <v>0</v>
      </c>
      <c r="DD775" t="s">
        <v>3</v>
      </c>
      <c r="DE775" t="s">
        <v>3</v>
      </c>
      <c r="DF775">
        <f t="shared" si="362"/>
        <v>58.19</v>
      </c>
      <c r="DG775">
        <f t="shared" si="356"/>
        <v>0</v>
      </c>
      <c r="DH775">
        <f t="shared" si="357"/>
        <v>0</v>
      </c>
      <c r="DI775">
        <f t="shared" si="361"/>
        <v>0</v>
      </c>
      <c r="DJ775">
        <f>DF775</f>
        <v>58.19</v>
      </c>
      <c r="DK775">
        <v>0</v>
      </c>
    </row>
    <row r="776" spans="1:115" x14ac:dyDescent="0.2">
      <c r="A776">
        <f>ROW(Source!A909)</f>
        <v>909</v>
      </c>
      <c r="B776">
        <v>129761633</v>
      </c>
      <c r="C776">
        <v>129764111</v>
      </c>
      <c r="D776">
        <v>37345142</v>
      </c>
      <c r="E776">
        <v>37345137</v>
      </c>
      <c r="F776">
        <v>1</v>
      </c>
      <c r="G776">
        <v>37345137</v>
      </c>
      <c r="H776">
        <v>1</v>
      </c>
      <c r="I776" t="s">
        <v>1096</v>
      </c>
      <c r="J776" t="s">
        <v>3</v>
      </c>
      <c r="K776" t="s">
        <v>1097</v>
      </c>
      <c r="L776">
        <v>1191</v>
      </c>
      <c r="N776">
        <v>1013</v>
      </c>
      <c r="O776" t="s">
        <v>1098</v>
      </c>
      <c r="P776" t="s">
        <v>1098</v>
      </c>
      <c r="Q776">
        <v>1</v>
      </c>
      <c r="W776">
        <v>0</v>
      </c>
      <c r="X776">
        <v>476480486</v>
      </c>
      <c r="Y776">
        <f t="shared" si="358"/>
        <v>3.09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1</v>
      </c>
      <c r="AJ776">
        <v>1</v>
      </c>
      <c r="AK776">
        <v>1</v>
      </c>
      <c r="AL776">
        <v>1</v>
      </c>
      <c r="AN776">
        <v>0</v>
      </c>
      <c r="AO776">
        <v>1</v>
      </c>
      <c r="AP776">
        <v>0</v>
      </c>
      <c r="AQ776">
        <v>0</v>
      </c>
      <c r="AR776">
        <v>0</v>
      </c>
      <c r="AS776" t="s">
        <v>3</v>
      </c>
      <c r="AT776">
        <v>3.09</v>
      </c>
      <c r="AU776" t="s">
        <v>3</v>
      </c>
      <c r="AV776">
        <v>1</v>
      </c>
      <c r="AW776">
        <v>2</v>
      </c>
      <c r="AX776">
        <v>129764117</v>
      </c>
      <c r="AY776">
        <v>1</v>
      </c>
      <c r="AZ776">
        <v>0</v>
      </c>
      <c r="BA776">
        <v>750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CX776">
        <f>ROUND(Y776*Source!I909,9)</f>
        <v>1.4214</v>
      </c>
      <c r="CY776">
        <f>AD776</f>
        <v>0</v>
      </c>
      <c r="CZ776">
        <f>AH776</f>
        <v>0</v>
      </c>
      <c r="DA776">
        <f>AL776</f>
        <v>1</v>
      </c>
      <c r="DB776">
        <f t="shared" si="359"/>
        <v>0</v>
      </c>
      <c r="DC776">
        <f t="shared" si="360"/>
        <v>0</v>
      </c>
      <c r="DD776" t="s">
        <v>3</v>
      </c>
      <c r="DE776" t="s">
        <v>3</v>
      </c>
      <c r="DF776">
        <f t="shared" si="362"/>
        <v>0</v>
      </c>
      <c r="DG776">
        <f t="shared" si="356"/>
        <v>0</v>
      </c>
      <c r="DH776">
        <f t="shared" si="357"/>
        <v>0</v>
      </c>
      <c r="DI776">
        <f t="shared" si="361"/>
        <v>0</v>
      </c>
      <c r="DJ776">
        <f>DI776</f>
        <v>0</v>
      </c>
      <c r="DK776">
        <v>0</v>
      </c>
    </row>
    <row r="777" spans="1:115" x14ac:dyDescent="0.2">
      <c r="A777">
        <f>ROW(Source!A909)</f>
        <v>909</v>
      </c>
      <c r="B777">
        <v>129761633</v>
      </c>
      <c r="C777">
        <v>129764111</v>
      </c>
      <c r="D777">
        <v>37410830</v>
      </c>
      <c r="E777">
        <v>1</v>
      </c>
      <c r="F777">
        <v>1</v>
      </c>
      <c r="G777">
        <v>37345137</v>
      </c>
      <c r="H777">
        <v>3</v>
      </c>
      <c r="I777" t="s">
        <v>785</v>
      </c>
      <c r="J777" t="s">
        <v>786</v>
      </c>
      <c r="K777" t="s">
        <v>1566</v>
      </c>
      <c r="L777">
        <v>1303</v>
      </c>
      <c r="N777">
        <v>1003</v>
      </c>
      <c r="O777" t="s">
        <v>694</v>
      </c>
      <c r="P777" t="s">
        <v>694</v>
      </c>
      <c r="Q777">
        <v>1000</v>
      </c>
      <c r="W777">
        <v>0</v>
      </c>
      <c r="X777">
        <v>-1539127029</v>
      </c>
      <c r="Y777">
        <f t="shared" si="358"/>
        <v>6.6519999999999999E-3</v>
      </c>
      <c r="AA777">
        <v>43795.68</v>
      </c>
      <c r="AB777">
        <v>0</v>
      </c>
      <c r="AC777">
        <v>0</v>
      </c>
      <c r="AD777">
        <v>0</v>
      </c>
      <c r="AE777">
        <v>12919.08</v>
      </c>
      <c r="AF777">
        <v>0</v>
      </c>
      <c r="AG777">
        <v>0</v>
      </c>
      <c r="AH777">
        <v>0</v>
      </c>
      <c r="AI777">
        <v>3.39</v>
      </c>
      <c r="AJ777">
        <v>1</v>
      </c>
      <c r="AK777">
        <v>1</v>
      </c>
      <c r="AL777">
        <v>1</v>
      </c>
      <c r="AN777">
        <v>0</v>
      </c>
      <c r="AO777">
        <v>0</v>
      </c>
      <c r="AP777">
        <v>0</v>
      </c>
      <c r="AQ777">
        <v>0</v>
      </c>
      <c r="AR777">
        <v>0</v>
      </c>
      <c r="AS777" t="s">
        <v>3</v>
      </c>
      <c r="AT777">
        <v>6.6519999999999999E-3</v>
      </c>
      <c r="AU777" t="s">
        <v>3</v>
      </c>
      <c r="AV777">
        <v>0</v>
      </c>
      <c r="AW777">
        <v>1</v>
      </c>
      <c r="AX777">
        <v>-1</v>
      </c>
      <c r="AY777">
        <v>0</v>
      </c>
      <c r="AZ777">
        <v>0</v>
      </c>
      <c r="BA777" t="s">
        <v>3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CX777">
        <f>ROUND(Y777*Source!I909,9)</f>
        <v>3.0599199999999998E-3</v>
      </c>
      <c r="CY777">
        <f>AA777</f>
        <v>43795.68</v>
      </c>
      <c r="CZ777">
        <f>AE777</f>
        <v>12919.08</v>
      </c>
      <c r="DA777">
        <f>AI777</f>
        <v>3.39</v>
      </c>
      <c r="DB777">
        <f t="shared" si="359"/>
        <v>85.94</v>
      </c>
      <c r="DC777">
        <f t="shared" si="360"/>
        <v>0</v>
      </c>
      <c r="DD777" t="s">
        <v>3</v>
      </c>
      <c r="DE777" t="s">
        <v>3</v>
      </c>
      <c r="DF777">
        <f>ROUND(ROUND(AE777*CX777,2)*AI777,2)</f>
        <v>134.01</v>
      </c>
      <c r="DG777">
        <f t="shared" si="356"/>
        <v>0</v>
      </c>
      <c r="DH777">
        <f t="shared" si="357"/>
        <v>0</v>
      </c>
      <c r="DI777">
        <f t="shared" si="361"/>
        <v>0</v>
      </c>
      <c r="DJ777">
        <f>DF777</f>
        <v>134.01</v>
      </c>
      <c r="DK777">
        <v>0</v>
      </c>
    </row>
    <row r="778" spans="1:115" x14ac:dyDescent="0.2">
      <c r="A778">
        <f>ROW(Source!A909)</f>
        <v>909</v>
      </c>
      <c r="B778">
        <v>129761633</v>
      </c>
      <c r="C778">
        <v>129764111</v>
      </c>
      <c r="D778">
        <v>37410831</v>
      </c>
      <c r="E778">
        <v>1</v>
      </c>
      <c r="F778">
        <v>1</v>
      </c>
      <c r="G778">
        <v>37345137</v>
      </c>
      <c r="H778">
        <v>3</v>
      </c>
      <c r="I778" t="s">
        <v>782</v>
      </c>
      <c r="J778" t="s">
        <v>783</v>
      </c>
      <c r="K778" t="s">
        <v>1567</v>
      </c>
      <c r="L778">
        <v>1303</v>
      </c>
      <c r="N778">
        <v>1003</v>
      </c>
      <c r="O778" t="s">
        <v>694</v>
      </c>
      <c r="P778" t="s">
        <v>694</v>
      </c>
      <c r="Q778">
        <v>1000</v>
      </c>
      <c r="W778">
        <v>0</v>
      </c>
      <c r="X778">
        <v>-198952881</v>
      </c>
      <c r="Y778">
        <f t="shared" si="358"/>
        <v>7.7608999999999997E-2</v>
      </c>
      <c r="AA778">
        <v>57983.71</v>
      </c>
      <c r="AB778">
        <v>0</v>
      </c>
      <c r="AC778">
        <v>0</v>
      </c>
      <c r="AD778">
        <v>0</v>
      </c>
      <c r="AE778">
        <v>19722.349999999999</v>
      </c>
      <c r="AF778">
        <v>0</v>
      </c>
      <c r="AG778">
        <v>0</v>
      </c>
      <c r="AH778">
        <v>0</v>
      </c>
      <c r="AI778">
        <v>2.94</v>
      </c>
      <c r="AJ778">
        <v>1</v>
      </c>
      <c r="AK778">
        <v>1</v>
      </c>
      <c r="AL778">
        <v>1</v>
      </c>
      <c r="AN778">
        <v>0</v>
      </c>
      <c r="AO778">
        <v>0</v>
      </c>
      <c r="AP778">
        <v>0</v>
      </c>
      <c r="AQ778">
        <v>0</v>
      </c>
      <c r="AR778">
        <v>0</v>
      </c>
      <c r="AS778" t="s">
        <v>3</v>
      </c>
      <c r="AT778">
        <v>7.7608999999999997E-2</v>
      </c>
      <c r="AU778" t="s">
        <v>3</v>
      </c>
      <c r="AV778">
        <v>0</v>
      </c>
      <c r="AW778">
        <v>1</v>
      </c>
      <c r="AX778">
        <v>-1</v>
      </c>
      <c r="AY778">
        <v>0</v>
      </c>
      <c r="AZ778">
        <v>0</v>
      </c>
      <c r="BA778" t="s">
        <v>3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CX778">
        <f>ROUND(Y778*Source!I909,9)</f>
        <v>3.5700139999999998E-2</v>
      </c>
      <c r="CY778">
        <f>AA778</f>
        <v>57983.71</v>
      </c>
      <c r="CZ778">
        <f>AE778</f>
        <v>19722.349999999999</v>
      </c>
      <c r="DA778">
        <f>AI778</f>
        <v>2.94</v>
      </c>
      <c r="DB778">
        <f t="shared" si="359"/>
        <v>1530.63</v>
      </c>
      <c r="DC778">
        <f t="shared" si="360"/>
        <v>0</v>
      </c>
      <c r="DD778" t="s">
        <v>3</v>
      </c>
      <c r="DE778" t="s">
        <v>3</v>
      </c>
      <c r="DF778">
        <f>ROUND(ROUND(AE778*CX778,2)*AI778,2)</f>
        <v>2070.02</v>
      </c>
      <c r="DG778">
        <f t="shared" si="356"/>
        <v>0</v>
      </c>
      <c r="DH778">
        <f t="shared" si="357"/>
        <v>0</v>
      </c>
      <c r="DI778">
        <f t="shared" si="361"/>
        <v>0</v>
      </c>
      <c r="DJ778">
        <f>DF778</f>
        <v>2070.02</v>
      </c>
      <c r="DK778">
        <v>0</v>
      </c>
    </row>
    <row r="779" spans="1:115" x14ac:dyDescent="0.2">
      <c r="A779">
        <f>ROW(Source!A909)</f>
        <v>909</v>
      </c>
      <c r="B779">
        <v>129761633</v>
      </c>
      <c r="C779">
        <v>129764111</v>
      </c>
      <c r="D779">
        <v>0</v>
      </c>
      <c r="E779">
        <v>1</v>
      </c>
      <c r="F779">
        <v>1</v>
      </c>
      <c r="G779">
        <v>37345137</v>
      </c>
      <c r="H779">
        <v>3</v>
      </c>
      <c r="I779" t="s">
        <v>248</v>
      </c>
      <c r="J779" t="s">
        <v>3</v>
      </c>
      <c r="K779" t="s">
        <v>779</v>
      </c>
      <c r="L779">
        <v>1301</v>
      </c>
      <c r="N779">
        <v>1003</v>
      </c>
      <c r="O779" t="s">
        <v>270</v>
      </c>
      <c r="P779" t="s">
        <v>270</v>
      </c>
      <c r="Q779">
        <v>1</v>
      </c>
      <c r="W779">
        <v>0</v>
      </c>
      <c r="X779">
        <v>1541029887</v>
      </c>
      <c r="Y779">
        <f t="shared" si="358"/>
        <v>6.6521739130434785</v>
      </c>
      <c r="AA779">
        <v>46.8</v>
      </c>
      <c r="AB779">
        <v>0</v>
      </c>
      <c r="AC779">
        <v>0</v>
      </c>
      <c r="AD779">
        <v>0</v>
      </c>
      <c r="AE779">
        <v>5.41</v>
      </c>
      <c r="AF779">
        <v>0</v>
      </c>
      <c r="AG779">
        <v>0</v>
      </c>
      <c r="AH779">
        <v>0</v>
      </c>
      <c r="AI779">
        <v>8.65</v>
      </c>
      <c r="AJ779">
        <v>1</v>
      </c>
      <c r="AK779">
        <v>1</v>
      </c>
      <c r="AL779">
        <v>1</v>
      </c>
      <c r="AN779">
        <v>0</v>
      </c>
      <c r="AO779">
        <v>0</v>
      </c>
      <c r="AP779">
        <v>0</v>
      </c>
      <c r="AQ779">
        <v>0</v>
      </c>
      <c r="AR779">
        <v>0</v>
      </c>
      <c r="AS779" t="s">
        <v>3</v>
      </c>
      <c r="AT779">
        <v>6.6521739130434785</v>
      </c>
      <c r="AU779" t="s">
        <v>3</v>
      </c>
      <c r="AV779">
        <v>0</v>
      </c>
      <c r="AW779">
        <v>1</v>
      </c>
      <c r="AX779">
        <v>-1</v>
      </c>
      <c r="AY779">
        <v>0</v>
      </c>
      <c r="AZ779">
        <v>0</v>
      </c>
      <c r="BA779" t="s">
        <v>3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0</v>
      </c>
      <c r="BW779">
        <v>0</v>
      </c>
      <c r="CX779">
        <f>ROUND(Y779*Source!I909,9)</f>
        <v>3.06</v>
      </c>
      <c r="CY779">
        <f>AA779</f>
        <v>46.8</v>
      </c>
      <c r="CZ779">
        <f>AE779</f>
        <v>5.41</v>
      </c>
      <c r="DA779">
        <f>AI779</f>
        <v>8.65</v>
      </c>
      <c r="DB779">
        <f t="shared" si="359"/>
        <v>35.99</v>
      </c>
      <c r="DC779">
        <f t="shared" si="360"/>
        <v>0</v>
      </c>
      <c r="DD779" t="s">
        <v>3</v>
      </c>
      <c r="DE779" t="s">
        <v>3</v>
      </c>
      <c r="DF779">
        <f>ROUND(ROUND(AE779*CX779,2)*AI779,2)</f>
        <v>143.16</v>
      </c>
      <c r="DG779">
        <f t="shared" si="356"/>
        <v>0</v>
      </c>
      <c r="DH779">
        <f t="shared" si="357"/>
        <v>0</v>
      </c>
      <c r="DI779">
        <f t="shared" si="361"/>
        <v>0</v>
      </c>
      <c r="DJ779">
        <f>DF779</f>
        <v>143.16</v>
      </c>
      <c r="DK779">
        <v>0</v>
      </c>
    </row>
    <row r="780" spans="1:115" x14ac:dyDescent="0.2">
      <c r="A780">
        <f>ROW(Source!A909)</f>
        <v>909</v>
      </c>
      <c r="B780">
        <v>129761633</v>
      </c>
      <c r="C780">
        <v>129764111</v>
      </c>
      <c r="D780">
        <v>0</v>
      </c>
      <c r="E780">
        <v>1</v>
      </c>
      <c r="F780">
        <v>1</v>
      </c>
      <c r="G780">
        <v>37345137</v>
      </c>
      <c r="H780">
        <v>3</v>
      </c>
      <c r="I780" t="s">
        <v>248</v>
      </c>
      <c r="J780" t="s">
        <v>3</v>
      </c>
      <c r="K780" t="s">
        <v>788</v>
      </c>
      <c r="L780">
        <v>1301</v>
      </c>
      <c r="N780">
        <v>1003</v>
      </c>
      <c r="O780" t="s">
        <v>270</v>
      </c>
      <c r="P780" t="s">
        <v>270</v>
      </c>
      <c r="Q780">
        <v>1</v>
      </c>
      <c r="W780">
        <v>0</v>
      </c>
      <c r="X780">
        <v>321724379</v>
      </c>
      <c r="Y780">
        <f t="shared" si="358"/>
        <v>11.086957</v>
      </c>
      <c r="AA780">
        <v>75.599999999999994</v>
      </c>
      <c r="AB780">
        <v>0</v>
      </c>
      <c r="AC780">
        <v>0</v>
      </c>
      <c r="AD780">
        <v>0</v>
      </c>
      <c r="AE780">
        <v>8.74</v>
      </c>
      <c r="AF780">
        <v>0</v>
      </c>
      <c r="AG780">
        <v>0</v>
      </c>
      <c r="AH780">
        <v>0</v>
      </c>
      <c r="AI780">
        <v>8.65</v>
      </c>
      <c r="AJ780">
        <v>1</v>
      </c>
      <c r="AK780">
        <v>1</v>
      </c>
      <c r="AL780">
        <v>1</v>
      </c>
      <c r="AN780">
        <v>0</v>
      </c>
      <c r="AO780">
        <v>0</v>
      </c>
      <c r="AP780">
        <v>0</v>
      </c>
      <c r="AQ780">
        <v>0</v>
      </c>
      <c r="AR780">
        <v>0</v>
      </c>
      <c r="AS780" t="s">
        <v>3</v>
      </c>
      <c r="AT780">
        <v>11.086957</v>
      </c>
      <c r="AU780" t="s">
        <v>3</v>
      </c>
      <c r="AV780">
        <v>0</v>
      </c>
      <c r="AW780">
        <v>1</v>
      </c>
      <c r="AX780">
        <v>-1</v>
      </c>
      <c r="AY780">
        <v>0</v>
      </c>
      <c r="AZ780">
        <v>0</v>
      </c>
      <c r="BA780" t="s">
        <v>3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CX780">
        <f>ROUND(Y780*Source!I909,9)</f>
        <v>5.1000002200000001</v>
      </c>
      <c r="CY780">
        <f>AA780</f>
        <v>75.599999999999994</v>
      </c>
      <c r="CZ780">
        <f>AE780</f>
        <v>8.74</v>
      </c>
      <c r="DA780">
        <f>AI780</f>
        <v>8.65</v>
      </c>
      <c r="DB780">
        <f t="shared" si="359"/>
        <v>96.9</v>
      </c>
      <c r="DC780">
        <f t="shared" si="360"/>
        <v>0</v>
      </c>
      <c r="DD780" t="s">
        <v>3</v>
      </c>
      <c r="DE780" t="s">
        <v>3</v>
      </c>
      <c r="DF780">
        <f>ROUND(ROUND(AE780*CX780,2)*AI780,2)</f>
        <v>385.53</v>
      </c>
      <c r="DG780">
        <f t="shared" si="356"/>
        <v>0</v>
      </c>
      <c r="DH780">
        <f t="shared" si="357"/>
        <v>0</v>
      </c>
      <c r="DI780">
        <f t="shared" si="361"/>
        <v>0</v>
      </c>
      <c r="DJ780">
        <f>DF780</f>
        <v>385.53</v>
      </c>
      <c r="DK780">
        <v>0</v>
      </c>
    </row>
    <row r="781" spans="1:115" x14ac:dyDescent="0.2">
      <c r="A781">
        <f>ROW(Source!A918)</f>
        <v>918</v>
      </c>
      <c r="B781">
        <v>129761636</v>
      </c>
      <c r="C781">
        <v>129764122</v>
      </c>
      <c r="D781">
        <v>37345142</v>
      </c>
      <c r="E781">
        <v>37345137</v>
      </c>
      <c r="F781">
        <v>1</v>
      </c>
      <c r="G781">
        <v>37345137</v>
      </c>
      <c r="H781">
        <v>1</v>
      </c>
      <c r="I781" t="s">
        <v>1096</v>
      </c>
      <c r="J781" t="s">
        <v>3</v>
      </c>
      <c r="K781" t="s">
        <v>1097</v>
      </c>
      <c r="L781">
        <v>1191</v>
      </c>
      <c r="N781">
        <v>1013</v>
      </c>
      <c r="O781" t="s">
        <v>1098</v>
      </c>
      <c r="P781" t="s">
        <v>1098</v>
      </c>
      <c r="Q781">
        <v>1</v>
      </c>
      <c r="W781">
        <v>0</v>
      </c>
      <c r="X781">
        <v>476480486</v>
      </c>
      <c r="Y781">
        <f t="shared" si="358"/>
        <v>4.12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1</v>
      </c>
      <c r="AJ781">
        <v>1</v>
      </c>
      <c r="AK781">
        <v>1</v>
      </c>
      <c r="AL781">
        <v>1</v>
      </c>
      <c r="AN781">
        <v>0</v>
      </c>
      <c r="AO781">
        <v>1</v>
      </c>
      <c r="AP781">
        <v>0</v>
      </c>
      <c r="AQ781">
        <v>0</v>
      </c>
      <c r="AR781">
        <v>0</v>
      </c>
      <c r="AS781" t="s">
        <v>3</v>
      </c>
      <c r="AT781">
        <v>4.12</v>
      </c>
      <c r="AU781" t="s">
        <v>3</v>
      </c>
      <c r="AV781">
        <v>1</v>
      </c>
      <c r="AW781">
        <v>2</v>
      </c>
      <c r="AX781">
        <v>129764125</v>
      </c>
      <c r="AY781">
        <v>1</v>
      </c>
      <c r="AZ781">
        <v>0</v>
      </c>
      <c r="BA781">
        <v>751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0</v>
      </c>
      <c r="CX781">
        <f>ROUND(Y781*Source!I918,9)</f>
        <v>3.2959999999999998</v>
      </c>
      <c r="CY781">
        <f>AD781</f>
        <v>0</v>
      </c>
      <c r="CZ781">
        <f>AH781</f>
        <v>0</v>
      </c>
      <c r="DA781">
        <f>AL781</f>
        <v>1</v>
      </c>
      <c r="DB781">
        <f t="shared" si="359"/>
        <v>0</v>
      </c>
      <c r="DC781">
        <f t="shared" si="360"/>
        <v>0</v>
      </c>
      <c r="DD781" t="s">
        <v>3</v>
      </c>
      <c r="DE781" t="s">
        <v>3</v>
      </c>
      <c r="DF781">
        <f>ROUND(AE781*CX781,2)</f>
        <v>0</v>
      </c>
      <c r="DG781">
        <f t="shared" si="356"/>
        <v>0</v>
      </c>
      <c r="DH781">
        <f t="shared" si="357"/>
        <v>0</v>
      </c>
      <c r="DI781">
        <f t="shared" si="361"/>
        <v>0</v>
      </c>
      <c r="DJ781">
        <f>DI781</f>
        <v>0</v>
      </c>
      <c r="DK781">
        <v>0</v>
      </c>
    </row>
    <row r="782" spans="1:115" x14ac:dyDescent="0.2">
      <c r="A782">
        <f>ROW(Source!A918)</f>
        <v>918</v>
      </c>
      <c r="B782">
        <v>129761636</v>
      </c>
      <c r="C782">
        <v>129764122</v>
      </c>
      <c r="D782">
        <v>37410817</v>
      </c>
      <c r="E782">
        <v>1</v>
      </c>
      <c r="F782">
        <v>1</v>
      </c>
      <c r="G782">
        <v>37345137</v>
      </c>
      <c r="H782">
        <v>3</v>
      </c>
      <c r="I782" t="s">
        <v>793</v>
      </c>
      <c r="J782" t="s">
        <v>794</v>
      </c>
      <c r="K782" t="s">
        <v>1568</v>
      </c>
      <c r="L782">
        <v>1303</v>
      </c>
      <c r="N782">
        <v>1003</v>
      </c>
      <c r="O782" t="s">
        <v>694</v>
      </c>
      <c r="P782" t="s">
        <v>694</v>
      </c>
      <c r="Q782">
        <v>1000</v>
      </c>
      <c r="W782">
        <v>0</v>
      </c>
      <c r="X782">
        <v>-1928631878</v>
      </c>
      <c r="Y782">
        <f t="shared" si="358"/>
        <v>0.10200000000000001</v>
      </c>
      <c r="AA782">
        <v>14788.24</v>
      </c>
      <c r="AB782">
        <v>0</v>
      </c>
      <c r="AC782">
        <v>0</v>
      </c>
      <c r="AD782">
        <v>0</v>
      </c>
      <c r="AE782">
        <v>14788.24</v>
      </c>
      <c r="AF782">
        <v>0</v>
      </c>
      <c r="AG782">
        <v>0</v>
      </c>
      <c r="AH782">
        <v>0</v>
      </c>
      <c r="AI782">
        <v>1</v>
      </c>
      <c r="AJ782">
        <v>1</v>
      </c>
      <c r="AK782">
        <v>1</v>
      </c>
      <c r="AL782">
        <v>1</v>
      </c>
      <c r="AN782">
        <v>0</v>
      </c>
      <c r="AO782">
        <v>0</v>
      </c>
      <c r="AP782">
        <v>0</v>
      </c>
      <c r="AQ782">
        <v>0</v>
      </c>
      <c r="AR782">
        <v>0</v>
      </c>
      <c r="AS782" t="s">
        <v>3</v>
      </c>
      <c r="AT782">
        <v>0.10200000000000001</v>
      </c>
      <c r="AU782" t="s">
        <v>3</v>
      </c>
      <c r="AV782">
        <v>0</v>
      </c>
      <c r="AW782">
        <v>1</v>
      </c>
      <c r="AX782">
        <v>-1</v>
      </c>
      <c r="AY782">
        <v>0</v>
      </c>
      <c r="AZ782">
        <v>0</v>
      </c>
      <c r="BA782" t="s">
        <v>3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CX782">
        <f>ROUND(Y782*Source!I918,9)</f>
        <v>8.1600000000000006E-2</v>
      </c>
      <c r="CY782">
        <f>AA782</f>
        <v>14788.24</v>
      </c>
      <c r="CZ782">
        <f>AE782</f>
        <v>14788.24</v>
      </c>
      <c r="DA782">
        <f>AI782</f>
        <v>1</v>
      </c>
      <c r="DB782">
        <f t="shared" si="359"/>
        <v>1508.4</v>
      </c>
      <c r="DC782">
        <f t="shared" si="360"/>
        <v>0</v>
      </c>
      <c r="DD782" t="s">
        <v>3</v>
      </c>
      <c r="DE782" t="s">
        <v>3</v>
      </c>
      <c r="DF782">
        <f>ROUND(AE782*CX782,2)</f>
        <v>1206.72</v>
      </c>
      <c r="DG782">
        <f t="shared" si="356"/>
        <v>0</v>
      </c>
      <c r="DH782">
        <f t="shared" si="357"/>
        <v>0</v>
      </c>
      <c r="DI782">
        <f t="shared" si="361"/>
        <v>0</v>
      </c>
      <c r="DJ782">
        <f>DF782</f>
        <v>1206.72</v>
      </c>
      <c r="DK782">
        <v>0</v>
      </c>
    </row>
    <row r="783" spans="1:115" x14ac:dyDescent="0.2">
      <c r="A783">
        <f>ROW(Source!A919)</f>
        <v>919</v>
      </c>
      <c r="B783">
        <v>129761633</v>
      </c>
      <c r="C783">
        <v>129764122</v>
      </c>
      <c r="D783">
        <v>37345142</v>
      </c>
      <c r="E783">
        <v>37345137</v>
      </c>
      <c r="F783">
        <v>1</v>
      </c>
      <c r="G783">
        <v>37345137</v>
      </c>
      <c r="H783">
        <v>1</v>
      </c>
      <c r="I783" t="s">
        <v>1096</v>
      </c>
      <c r="J783" t="s">
        <v>3</v>
      </c>
      <c r="K783" t="s">
        <v>1097</v>
      </c>
      <c r="L783">
        <v>1191</v>
      </c>
      <c r="N783">
        <v>1013</v>
      </c>
      <c r="O783" t="s">
        <v>1098</v>
      </c>
      <c r="P783" t="s">
        <v>1098</v>
      </c>
      <c r="Q783">
        <v>1</v>
      </c>
      <c r="W783">
        <v>0</v>
      </c>
      <c r="X783">
        <v>476480486</v>
      </c>
      <c r="Y783">
        <f t="shared" si="358"/>
        <v>4.12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1</v>
      </c>
      <c r="AJ783">
        <v>1</v>
      </c>
      <c r="AK783">
        <v>1</v>
      </c>
      <c r="AL783">
        <v>1</v>
      </c>
      <c r="AN783">
        <v>0</v>
      </c>
      <c r="AO783">
        <v>1</v>
      </c>
      <c r="AP783">
        <v>0</v>
      </c>
      <c r="AQ783">
        <v>0</v>
      </c>
      <c r="AR783">
        <v>0</v>
      </c>
      <c r="AS783" t="s">
        <v>3</v>
      </c>
      <c r="AT783">
        <v>4.12</v>
      </c>
      <c r="AU783" t="s">
        <v>3</v>
      </c>
      <c r="AV783">
        <v>1</v>
      </c>
      <c r="AW783">
        <v>2</v>
      </c>
      <c r="AX783">
        <v>129764125</v>
      </c>
      <c r="AY783">
        <v>1</v>
      </c>
      <c r="AZ783">
        <v>0</v>
      </c>
      <c r="BA783">
        <v>752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0</v>
      </c>
      <c r="CX783">
        <f>ROUND(Y783*Source!I919,9)</f>
        <v>3.2959999999999998</v>
      </c>
      <c r="CY783">
        <f>AD783</f>
        <v>0</v>
      </c>
      <c r="CZ783">
        <f>AH783</f>
        <v>0</v>
      </c>
      <c r="DA783">
        <f>AL783</f>
        <v>1</v>
      </c>
      <c r="DB783">
        <f t="shared" si="359"/>
        <v>0</v>
      </c>
      <c r="DC783">
        <f t="shared" si="360"/>
        <v>0</v>
      </c>
      <c r="DD783" t="s">
        <v>3</v>
      </c>
      <c r="DE783" t="s">
        <v>3</v>
      </c>
      <c r="DF783">
        <f>ROUND(AE783*CX783,2)</f>
        <v>0</v>
      </c>
      <c r="DG783">
        <f t="shared" si="356"/>
        <v>0</v>
      </c>
      <c r="DH783">
        <f t="shared" si="357"/>
        <v>0</v>
      </c>
      <c r="DI783">
        <f t="shared" si="361"/>
        <v>0</v>
      </c>
      <c r="DJ783">
        <f>DI783</f>
        <v>0</v>
      </c>
      <c r="DK783">
        <v>0</v>
      </c>
    </row>
    <row r="784" spans="1:115" x14ac:dyDescent="0.2">
      <c r="A784">
        <f>ROW(Source!A919)</f>
        <v>919</v>
      </c>
      <c r="B784">
        <v>129761633</v>
      </c>
      <c r="C784">
        <v>129764122</v>
      </c>
      <c r="D784">
        <v>37410817</v>
      </c>
      <c r="E784">
        <v>1</v>
      </c>
      <c r="F784">
        <v>1</v>
      </c>
      <c r="G784">
        <v>37345137</v>
      </c>
      <c r="H784">
        <v>3</v>
      </c>
      <c r="I784" t="s">
        <v>793</v>
      </c>
      <c r="J784" t="s">
        <v>794</v>
      </c>
      <c r="K784" t="s">
        <v>1568</v>
      </c>
      <c r="L784">
        <v>1303</v>
      </c>
      <c r="N784">
        <v>1003</v>
      </c>
      <c r="O784" t="s">
        <v>694</v>
      </c>
      <c r="P784" t="s">
        <v>694</v>
      </c>
      <c r="Q784">
        <v>1000</v>
      </c>
      <c r="W784">
        <v>0</v>
      </c>
      <c r="X784">
        <v>-1928631878</v>
      </c>
      <c r="Y784">
        <f t="shared" si="358"/>
        <v>0.10200000000000001</v>
      </c>
      <c r="AA784">
        <v>73793.320000000007</v>
      </c>
      <c r="AB784">
        <v>0</v>
      </c>
      <c r="AC784">
        <v>0</v>
      </c>
      <c r="AD784">
        <v>0</v>
      </c>
      <c r="AE784">
        <v>14788.24</v>
      </c>
      <c r="AF784">
        <v>0</v>
      </c>
      <c r="AG784">
        <v>0</v>
      </c>
      <c r="AH784">
        <v>0</v>
      </c>
      <c r="AI784">
        <v>4.99</v>
      </c>
      <c r="AJ784">
        <v>1</v>
      </c>
      <c r="AK784">
        <v>1</v>
      </c>
      <c r="AL784">
        <v>1</v>
      </c>
      <c r="AN784">
        <v>0</v>
      </c>
      <c r="AO784">
        <v>0</v>
      </c>
      <c r="AP784">
        <v>0</v>
      </c>
      <c r="AQ784">
        <v>0</v>
      </c>
      <c r="AR784">
        <v>0</v>
      </c>
      <c r="AS784" t="s">
        <v>3</v>
      </c>
      <c r="AT784">
        <v>0.10200000000000001</v>
      </c>
      <c r="AU784" t="s">
        <v>3</v>
      </c>
      <c r="AV784">
        <v>0</v>
      </c>
      <c r="AW784">
        <v>1</v>
      </c>
      <c r="AX784">
        <v>-1</v>
      </c>
      <c r="AY784">
        <v>0</v>
      </c>
      <c r="AZ784">
        <v>0</v>
      </c>
      <c r="BA784" t="s">
        <v>3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CX784">
        <f>ROUND(Y784*Source!I919,9)</f>
        <v>8.1600000000000006E-2</v>
      </c>
      <c r="CY784">
        <f>AA784</f>
        <v>73793.320000000007</v>
      </c>
      <c r="CZ784">
        <f>AE784</f>
        <v>14788.24</v>
      </c>
      <c r="DA784">
        <f>AI784</f>
        <v>4.99</v>
      </c>
      <c r="DB784">
        <f t="shared" si="359"/>
        <v>1508.4</v>
      </c>
      <c r="DC784">
        <f t="shared" si="360"/>
        <v>0</v>
      </c>
      <c r="DD784" t="s">
        <v>3</v>
      </c>
      <c r="DE784" t="s">
        <v>3</v>
      </c>
      <c r="DF784">
        <f>ROUND(ROUND(AE784*CX784,2)*AI784,2)</f>
        <v>6021.53</v>
      </c>
      <c r="DG784">
        <f t="shared" si="356"/>
        <v>0</v>
      </c>
      <c r="DH784">
        <f t="shared" si="357"/>
        <v>0</v>
      </c>
      <c r="DI784">
        <f t="shared" si="361"/>
        <v>0</v>
      </c>
      <c r="DJ784">
        <f>DF784</f>
        <v>6021.53</v>
      </c>
      <c r="DK784">
        <v>0</v>
      </c>
    </row>
    <row r="785" spans="1:115" x14ac:dyDescent="0.2">
      <c r="A785">
        <f>ROW(Source!A922)</f>
        <v>922</v>
      </c>
      <c r="B785">
        <v>129761636</v>
      </c>
      <c r="C785">
        <v>129764127</v>
      </c>
      <c r="D785">
        <v>37345142</v>
      </c>
      <c r="E785">
        <v>37345137</v>
      </c>
      <c r="F785">
        <v>1</v>
      </c>
      <c r="G785">
        <v>37345137</v>
      </c>
      <c r="H785">
        <v>1</v>
      </c>
      <c r="I785" t="s">
        <v>1096</v>
      </c>
      <c r="J785" t="s">
        <v>3</v>
      </c>
      <c r="K785" t="s">
        <v>1097</v>
      </c>
      <c r="L785">
        <v>1191</v>
      </c>
      <c r="N785">
        <v>1013</v>
      </c>
      <c r="O785" t="s">
        <v>1098</v>
      </c>
      <c r="P785" t="s">
        <v>1098</v>
      </c>
      <c r="Q785">
        <v>1</v>
      </c>
      <c r="W785">
        <v>0</v>
      </c>
      <c r="X785">
        <v>476480486</v>
      </c>
      <c r="Y785">
        <f t="shared" si="358"/>
        <v>37.229999999999997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1</v>
      </c>
      <c r="AJ785">
        <v>1</v>
      </c>
      <c r="AK785">
        <v>1</v>
      </c>
      <c r="AL785">
        <v>1</v>
      </c>
      <c r="AN785">
        <v>0</v>
      </c>
      <c r="AO785">
        <v>1</v>
      </c>
      <c r="AP785">
        <v>0</v>
      </c>
      <c r="AQ785">
        <v>0</v>
      </c>
      <c r="AR785">
        <v>0</v>
      </c>
      <c r="AS785" t="s">
        <v>3</v>
      </c>
      <c r="AT785">
        <v>37.229999999999997</v>
      </c>
      <c r="AU785" t="s">
        <v>3</v>
      </c>
      <c r="AV785">
        <v>1</v>
      </c>
      <c r="AW785">
        <v>2</v>
      </c>
      <c r="AX785">
        <v>129764130</v>
      </c>
      <c r="AY785">
        <v>1</v>
      </c>
      <c r="AZ785">
        <v>0</v>
      </c>
      <c r="BA785">
        <v>753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CX785">
        <f>ROUND(Y785*Source!I922,9)</f>
        <v>0.74460000000000004</v>
      </c>
      <c r="CY785">
        <f>AD785</f>
        <v>0</v>
      </c>
      <c r="CZ785">
        <f>AH785</f>
        <v>0</v>
      </c>
      <c r="DA785">
        <f>AL785</f>
        <v>1</v>
      </c>
      <c r="DB785">
        <f t="shared" si="359"/>
        <v>0</v>
      </c>
      <c r="DC785">
        <f t="shared" si="360"/>
        <v>0</v>
      </c>
      <c r="DD785" t="s">
        <v>3</v>
      </c>
      <c r="DE785" t="s">
        <v>3</v>
      </c>
      <c r="DF785">
        <f>ROUND(AE785*CX785,2)</f>
        <v>0</v>
      </c>
      <c r="DG785">
        <f t="shared" si="356"/>
        <v>0</v>
      </c>
      <c r="DH785">
        <f t="shared" si="357"/>
        <v>0</v>
      </c>
      <c r="DI785">
        <f t="shared" si="361"/>
        <v>0</v>
      </c>
      <c r="DJ785">
        <f>DI785</f>
        <v>0</v>
      </c>
      <c r="DK785">
        <v>0</v>
      </c>
    </row>
    <row r="786" spans="1:115" x14ac:dyDescent="0.2">
      <c r="A786">
        <f>ROW(Source!A922)</f>
        <v>922</v>
      </c>
      <c r="B786">
        <v>129761636</v>
      </c>
      <c r="C786">
        <v>129764127</v>
      </c>
      <c r="D786">
        <v>37406537</v>
      </c>
      <c r="E786">
        <v>1</v>
      </c>
      <c r="F786">
        <v>1</v>
      </c>
      <c r="G786">
        <v>37345137</v>
      </c>
      <c r="H786">
        <v>3</v>
      </c>
      <c r="I786" t="s">
        <v>798</v>
      </c>
      <c r="J786" t="s">
        <v>800</v>
      </c>
      <c r="K786" t="s">
        <v>799</v>
      </c>
      <c r="L786">
        <v>1354</v>
      </c>
      <c r="N786">
        <v>1010</v>
      </c>
      <c r="O786" t="s">
        <v>250</v>
      </c>
      <c r="P786" t="s">
        <v>250</v>
      </c>
      <c r="Q786">
        <v>1</v>
      </c>
      <c r="W786">
        <v>0</v>
      </c>
      <c r="X786">
        <v>918488354</v>
      </c>
      <c r="Y786">
        <f t="shared" si="358"/>
        <v>100</v>
      </c>
      <c r="AA786">
        <v>6.96</v>
      </c>
      <c r="AB786">
        <v>0</v>
      </c>
      <c r="AC786">
        <v>0</v>
      </c>
      <c r="AD786">
        <v>0</v>
      </c>
      <c r="AE786">
        <v>6.96</v>
      </c>
      <c r="AF786">
        <v>0</v>
      </c>
      <c r="AG786">
        <v>0</v>
      </c>
      <c r="AH786">
        <v>0</v>
      </c>
      <c r="AI786">
        <v>1</v>
      </c>
      <c r="AJ786">
        <v>1</v>
      </c>
      <c r="AK786">
        <v>1</v>
      </c>
      <c r="AL786">
        <v>1</v>
      </c>
      <c r="AN786">
        <v>0</v>
      </c>
      <c r="AO786">
        <v>0</v>
      </c>
      <c r="AP786">
        <v>0</v>
      </c>
      <c r="AQ786">
        <v>0</v>
      </c>
      <c r="AR786">
        <v>0</v>
      </c>
      <c r="AS786" t="s">
        <v>3</v>
      </c>
      <c r="AT786">
        <v>100</v>
      </c>
      <c r="AU786" t="s">
        <v>3</v>
      </c>
      <c r="AV786">
        <v>0</v>
      </c>
      <c r="AW786">
        <v>1</v>
      </c>
      <c r="AX786">
        <v>-1</v>
      </c>
      <c r="AY786">
        <v>0</v>
      </c>
      <c r="AZ786">
        <v>0</v>
      </c>
      <c r="BA786" t="s">
        <v>3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0</v>
      </c>
      <c r="BW786">
        <v>0</v>
      </c>
      <c r="CX786">
        <f>ROUND(Y786*Source!I922,9)</f>
        <v>2</v>
      </c>
      <c r="CY786">
        <f>AA786</f>
        <v>6.96</v>
      </c>
      <c r="CZ786">
        <f>AE786</f>
        <v>6.96</v>
      </c>
      <c r="DA786">
        <f>AI786</f>
        <v>1</v>
      </c>
      <c r="DB786">
        <f t="shared" si="359"/>
        <v>696</v>
      </c>
      <c r="DC786">
        <f t="shared" si="360"/>
        <v>0</v>
      </c>
      <c r="DD786" t="s">
        <v>3</v>
      </c>
      <c r="DE786" t="s">
        <v>3</v>
      </c>
      <c r="DF786">
        <f>ROUND(AE786*CX786,2)</f>
        <v>13.92</v>
      </c>
      <c r="DG786">
        <f t="shared" si="356"/>
        <v>0</v>
      </c>
      <c r="DH786">
        <f t="shared" si="357"/>
        <v>0</v>
      </c>
      <c r="DI786">
        <f t="shared" si="361"/>
        <v>0</v>
      </c>
      <c r="DJ786">
        <f>DF786</f>
        <v>13.92</v>
      </c>
      <c r="DK786">
        <v>0</v>
      </c>
    </row>
    <row r="787" spans="1:115" x14ac:dyDescent="0.2">
      <c r="A787">
        <f>ROW(Source!A923)</f>
        <v>923</v>
      </c>
      <c r="B787">
        <v>129761633</v>
      </c>
      <c r="C787">
        <v>129764127</v>
      </c>
      <c r="D787">
        <v>37345142</v>
      </c>
      <c r="E787">
        <v>37345137</v>
      </c>
      <c r="F787">
        <v>1</v>
      </c>
      <c r="G787">
        <v>37345137</v>
      </c>
      <c r="H787">
        <v>1</v>
      </c>
      <c r="I787" t="s">
        <v>1096</v>
      </c>
      <c r="J787" t="s">
        <v>3</v>
      </c>
      <c r="K787" t="s">
        <v>1097</v>
      </c>
      <c r="L787">
        <v>1191</v>
      </c>
      <c r="N787">
        <v>1013</v>
      </c>
      <c r="O787" t="s">
        <v>1098</v>
      </c>
      <c r="P787" t="s">
        <v>1098</v>
      </c>
      <c r="Q787">
        <v>1</v>
      </c>
      <c r="W787">
        <v>0</v>
      </c>
      <c r="X787">
        <v>476480486</v>
      </c>
      <c r="Y787">
        <f t="shared" si="358"/>
        <v>37.229999999999997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1</v>
      </c>
      <c r="AJ787">
        <v>1</v>
      </c>
      <c r="AK787">
        <v>1</v>
      </c>
      <c r="AL787">
        <v>1</v>
      </c>
      <c r="AN787">
        <v>0</v>
      </c>
      <c r="AO787">
        <v>1</v>
      </c>
      <c r="AP787">
        <v>0</v>
      </c>
      <c r="AQ787">
        <v>0</v>
      </c>
      <c r="AR787">
        <v>0</v>
      </c>
      <c r="AS787" t="s">
        <v>3</v>
      </c>
      <c r="AT787">
        <v>37.229999999999997</v>
      </c>
      <c r="AU787" t="s">
        <v>3</v>
      </c>
      <c r="AV787">
        <v>1</v>
      </c>
      <c r="AW787">
        <v>2</v>
      </c>
      <c r="AX787">
        <v>129764130</v>
      </c>
      <c r="AY787">
        <v>1</v>
      </c>
      <c r="AZ787">
        <v>0</v>
      </c>
      <c r="BA787">
        <v>754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0</v>
      </c>
      <c r="BS787">
        <v>0</v>
      </c>
      <c r="BT787">
        <v>0</v>
      </c>
      <c r="BU787">
        <v>0</v>
      </c>
      <c r="BV787">
        <v>0</v>
      </c>
      <c r="BW787">
        <v>0</v>
      </c>
      <c r="CX787">
        <f>ROUND(Y787*Source!I923,9)</f>
        <v>0.74460000000000004</v>
      </c>
      <c r="CY787">
        <f>AD787</f>
        <v>0</v>
      </c>
      <c r="CZ787">
        <f>AH787</f>
        <v>0</v>
      </c>
      <c r="DA787">
        <f>AL787</f>
        <v>1</v>
      </c>
      <c r="DB787">
        <f t="shared" si="359"/>
        <v>0</v>
      </c>
      <c r="DC787">
        <f t="shared" si="360"/>
        <v>0</v>
      </c>
      <c r="DD787" t="s">
        <v>3</v>
      </c>
      <c r="DE787" t="s">
        <v>3</v>
      </c>
      <c r="DF787">
        <f>ROUND(AE787*CX787,2)</f>
        <v>0</v>
      </c>
      <c r="DG787">
        <f t="shared" ref="DG787:DG813" si="363">ROUND(AF787*CX787,2)</f>
        <v>0</v>
      </c>
      <c r="DH787">
        <f t="shared" ref="DH787:DH813" si="364">ROUND(AG787*CX787,2)</f>
        <v>0</v>
      </c>
      <c r="DI787">
        <f t="shared" si="361"/>
        <v>0</v>
      </c>
      <c r="DJ787">
        <f>DI787</f>
        <v>0</v>
      </c>
      <c r="DK787">
        <v>0</v>
      </c>
    </row>
    <row r="788" spans="1:115" x14ac:dyDescent="0.2">
      <c r="A788">
        <f>ROW(Source!A923)</f>
        <v>923</v>
      </c>
      <c r="B788">
        <v>129761633</v>
      </c>
      <c r="C788">
        <v>129764127</v>
      </c>
      <c r="D788">
        <v>37406537</v>
      </c>
      <c r="E788">
        <v>1</v>
      </c>
      <c r="F788">
        <v>1</v>
      </c>
      <c r="G788">
        <v>37345137</v>
      </c>
      <c r="H788">
        <v>3</v>
      </c>
      <c r="I788" t="s">
        <v>798</v>
      </c>
      <c r="J788" t="s">
        <v>800</v>
      </c>
      <c r="K788" t="s">
        <v>799</v>
      </c>
      <c r="L788">
        <v>1354</v>
      </c>
      <c r="N788">
        <v>1010</v>
      </c>
      <c r="O788" t="s">
        <v>250</v>
      </c>
      <c r="P788" t="s">
        <v>250</v>
      </c>
      <c r="Q788">
        <v>1</v>
      </c>
      <c r="W788">
        <v>0</v>
      </c>
      <c r="X788">
        <v>918488354</v>
      </c>
      <c r="Y788">
        <f t="shared" si="358"/>
        <v>100</v>
      </c>
      <c r="AA788">
        <v>79.83</v>
      </c>
      <c r="AB788">
        <v>0</v>
      </c>
      <c r="AC788">
        <v>0</v>
      </c>
      <c r="AD788">
        <v>0</v>
      </c>
      <c r="AE788">
        <v>6.96</v>
      </c>
      <c r="AF788">
        <v>0</v>
      </c>
      <c r="AG788">
        <v>0</v>
      </c>
      <c r="AH788">
        <v>0</v>
      </c>
      <c r="AI788">
        <v>11.47</v>
      </c>
      <c r="AJ788">
        <v>1</v>
      </c>
      <c r="AK788">
        <v>1</v>
      </c>
      <c r="AL788">
        <v>1</v>
      </c>
      <c r="AN788">
        <v>0</v>
      </c>
      <c r="AO788">
        <v>0</v>
      </c>
      <c r="AP788">
        <v>0</v>
      </c>
      <c r="AQ788">
        <v>0</v>
      </c>
      <c r="AR788">
        <v>0</v>
      </c>
      <c r="AS788" t="s">
        <v>3</v>
      </c>
      <c r="AT788">
        <v>100</v>
      </c>
      <c r="AU788" t="s">
        <v>3</v>
      </c>
      <c r="AV788">
        <v>0</v>
      </c>
      <c r="AW788">
        <v>1</v>
      </c>
      <c r="AX788">
        <v>-1</v>
      </c>
      <c r="AY788">
        <v>0</v>
      </c>
      <c r="AZ788">
        <v>0</v>
      </c>
      <c r="BA788" t="s">
        <v>3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CX788">
        <f>ROUND(Y788*Source!I923,9)</f>
        <v>2</v>
      </c>
      <c r="CY788">
        <f>AA788</f>
        <v>79.83</v>
      </c>
      <c r="CZ788">
        <f>AE788</f>
        <v>6.96</v>
      </c>
      <c r="DA788">
        <f>AI788</f>
        <v>11.47</v>
      </c>
      <c r="DB788">
        <f t="shared" si="359"/>
        <v>696</v>
      </c>
      <c r="DC788">
        <f t="shared" si="360"/>
        <v>0</v>
      </c>
      <c r="DD788" t="s">
        <v>3</v>
      </c>
      <c r="DE788" t="s">
        <v>3</v>
      </c>
      <c r="DF788">
        <f>ROUND(ROUND(AE788*CX788,2)*AI788,2)</f>
        <v>159.66</v>
      </c>
      <c r="DG788">
        <f t="shared" si="363"/>
        <v>0</v>
      </c>
      <c r="DH788">
        <f t="shared" si="364"/>
        <v>0</v>
      </c>
      <c r="DI788">
        <f t="shared" si="361"/>
        <v>0</v>
      </c>
      <c r="DJ788">
        <f>DF788</f>
        <v>159.66</v>
      </c>
      <c r="DK788">
        <v>0</v>
      </c>
    </row>
    <row r="789" spans="1:115" x14ac:dyDescent="0.2">
      <c r="A789">
        <f>ROW(Source!A926)</f>
        <v>926</v>
      </c>
      <c r="B789">
        <v>129761636</v>
      </c>
      <c r="C789">
        <v>129764132</v>
      </c>
      <c r="D789">
        <v>37345142</v>
      </c>
      <c r="E789">
        <v>37345137</v>
      </c>
      <c r="F789">
        <v>1</v>
      </c>
      <c r="G789">
        <v>37345137</v>
      </c>
      <c r="H789">
        <v>1</v>
      </c>
      <c r="I789" t="s">
        <v>1096</v>
      </c>
      <c r="J789" t="s">
        <v>3</v>
      </c>
      <c r="K789" t="s">
        <v>1097</v>
      </c>
      <c r="L789">
        <v>1191</v>
      </c>
      <c r="N789">
        <v>1013</v>
      </c>
      <c r="O789" t="s">
        <v>1098</v>
      </c>
      <c r="P789" t="s">
        <v>1098</v>
      </c>
      <c r="Q789">
        <v>1</v>
      </c>
      <c r="W789">
        <v>0</v>
      </c>
      <c r="X789">
        <v>476480486</v>
      </c>
      <c r="Y789">
        <f t="shared" si="358"/>
        <v>34.1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1</v>
      </c>
      <c r="AJ789">
        <v>1</v>
      </c>
      <c r="AK789">
        <v>1</v>
      </c>
      <c r="AL789">
        <v>1</v>
      </c>
      <c r="AN789">
        <v>0</v>
      </c>
      <c r="AO789">
        <v>1</v>
      </c>
      <c r="AP789">
        <v>0</v>
      </c>
      <c r="AQ789">
        <v>0</v>
      </c>
      <c r="AR789">
        <v>0</v>
      </c>
      <c r="AS789" t="s">
        <v>3</v>
      </c>
      <c r="AT789">
        <v>34.1</v>
      </c>
      <c r="AU789" t="s">
        <v>3</v>
      </c>
      <c r="AV789">
        <v>1</v>
      </c>
      <c r="AW789">
        <v>2</v>
      </c>
      <c r="AX789">
        <v>129764135</v>
      </c>
      <c r="AY789">
        <v>1</v>
      </c>
      <c r="AZ789">
        <v>0</v>
      </c>
      <c r="BA789">
        <v>755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0</v>
      </c>
      <c r="BW789">
        <v>0</v>
      </c>
      <c r="CX789">
        <f>ROUND(Y789*Source!I926,9)</f>
        <v>0.68200000000000005</v>
      </c>
      <c r="CY789">
        <f>AD789</f>
        <v>0</v>
      </c>
      <c r="CZ789">
        <f>AH789</f>
        <v>0</v>
      </c>
      <c r="DA789">
        <f>AL789</f>
        <v>1</v>
      </c>
      <c r="DB789">
        <f t="shared" si="359"/>
        <v>0</v>
      </c>
      <c r="DC789">
        <f t="shared" si="360"/>
        <v>0</v>
      </c>
      <c r="DD789" t="s">
        <v>3</v>
      </c>
      <c r="DE789" t="s">
        <v>3</v>
      </c>
      <c r="DF789">
        <f>ROUND(AE789*CX789,2)</f>
        <v>0</v>
      </c>
      <c r="DG789">
        <f t="shared" si="363"/>
        <v>0</v>
      </c>
      <c r="DH789">
        <f t="shared" si="364"/>
        <v>0</v>
      </c>
      <c r="DI789">
        <f t="shared" si="361"/>
        <v>0</v>
      </c>
      <c r="DJ789">
        <f>DI789</f>
        <v>0</v>
      </c>
      <c r="DK789">
        <v>0</v>
      </c>
    </row>
    <row r="790" spans="1:115" x14ac:dyDescent="0.2">
      <c r="A790">
        <f>ROW(Source!A926)</f>
        <v>926</v>
      </c>
      <c r="B790">
        <v>129761636</v>
      </c>
      <c r="C790">
        <v>129764132</v>
      </c>
      <c r="D790">
        <v>37407127</v>
      </c>
      <c r="E790">
        <v>1</v>
      </c>
      <c r="F790">
        <v>1</v>
      </c>
      <c r="G790">
        <v>37345137</v>
      </c>
      <c r="H790">
        <v>3</v>
      </c>
      <c r="I790" t="s">
        <v>804</v>
      </c>
      <c r="J790" t="s">
        <v>806</v>
      </c>
      <c r="K790" t="s">
        <v>805</v>
      </c>
      <c r="L790">
        <v>1354</v>
      </c>
      <c r="N790">
        <v>1010</v>
      </c>
      <c r="O790" t="s">
        <v>250</v>
      </c>
      <c r="P790" t="s">
        <v>250</v>
      </c>
      <c r="Q790">
        <v>1</v>
      </c>
      <c r="W790">
        <v>0</v>
      </c>
      <c r="X790">
        <v>308295664</v>
      </c>
      <c r="Y790">
        <f t="shared" si="358"/>
        <v>100</v>
      </c>
      <c r="AA790">
        <v>31.42</v>
      </c>
      <c r="AB790">
        <v>0</v>
      </c>
      <c r="AC790">
        <v>0</v>
      </c>
      <c r="AD790">
        <v>0</v>
      </c>
      <c r="AE790">
        <v>31.42</v>
      </c>
      <c r="AF790">
        <v>0</v>
      </c>
      <c r="AG790">
        <v>0</v>
      </c>
      <c r="AH790">
        <v>0</v>
      </c>
      <c r="AI790">
        <v>1</v>
      </c>
      <c r="AJ790">
        <v>1</v>
      </c>
      <c r="AK790">
        <v>1</v>
      </c>
      <c r="AL790">
        <v>1</v>
      </c>
      <c r="AN790">
        <v>0</v>
      </c>
      <c r="AO790">
        <v>0</v>
      </c>
      <c r="AP790">
        <v>0</v>
      </c>
      <c r="AQ790">
        <v>0</v>
      </c>
      <c r="AR790">
        <v>0</v>
      </c>
      <c r="AS790" t="s">
        <v>3</v>
      </c>
      <c r="AT790">
        <v>100</v>
      </c>
      <c r="AU790" t="s">
        <v>3</v>
      </c>
      <c r="AV790">
        <v>0</v>
      </c>
      <c r="AW790">
        <v>1</v>
      </c>
      <c r="AX790">
        <v>-1</v>
      </c>
      <c r="AY790">
        <v>0</v>
      </c>
      <c r="AZ790">
        <v>0</v>
      </c>
      <c r="BA790" t="s">
        <v>3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CX790">
        <f>ROUND(Y790*Source!I926,9)</f>
        <v>2</v>
      </c>
      <c r="CY790">
        <f>AA790</f>
        <v>31.42</v>
      </c>
      <c r="CZ790">
        <f>AE790</f>
        <v>31.42</v>
      </c>
      <c r="DA790">
        <f>AI790</f>
        <v>1</v>
      </c>
      <c r="DB790">
        <f t="shared" si="359"/>
        <v>3142</v>
      </c>
      <c r="DC790">
        <f t="shared" si="360"/>
        <v>0</v>
      </c>
      <c r="DD790" t="s">
        <v>3</v>
      </c>
      <c r="DE790" t="s">
        <v>3</v>
      </c>
      <c r="DF790">
        <f>ROUND(AE790*CX790,2)</f>
        <v>62.84</v>
      </c>
      <c r="DG790">
        <f t="shared" si="363"/>
        <v>0</v>
      </c>
      <c r="DH790">
        <f t="shared" si="364"/>
        <v>0</v>
      </c>
      <c r="DI790">
        <f t="shared" si="361"/>
        <v>0</v>
      </c>
      <c r="DJ790">
        <f>DF790</f>
        <v>62.84</v>
      </c>
      <c r="DK790">
        <v>0</v>
      </c>
    </row>
    <row r="791" spans="1:115" x14ac:dyDescent="0.2">
      <c r="A791">
        <f>ROW(Source!A927)</f>
        <v>927</v>
      </c>
      <c r="B791">
        <v>129761633</v>
      </c>
      <c r="C791">
        <v>129764132</v>
      </c>
      <c r="D791">
        <v>37345142</v>
      </c>
      <c r="E791">
        <v>37345137</v>
      </c>
      <c r="F791">
        <v>1</v>
      </c>
      <c r="G791">
        <v>37345137</v>
      </c>
      <c r="H791">
        <v>1</v>
      </c>
      <c r="I791" t="s">
        <v>1096</v>
      </c>
      <c r="J791" t="s">
        <v>3</v>
      </c>
      <c r="K791" t="s">
        <v>1097</v>
      </c>
      <c r="L791">
        <v>1191</v>
      </c>
      <c r="N791">
        <v>1013</v>
      </c>
      <c r="O791" t="s">
        <v>1098</v>
      </c>
      <c r="P791" t="s">
        <v>1098</v>
      </c>
      <c r="Q791">
        <v>1</v>
      </c>
      <c r="W791">
        <v>0</v>
      </c>
      <c r="X791">
        <v>476480486</v>
      </c>
      <c r="Y791">
        <f t="shared" si="358"/>
        <v>34.1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1</v>
      </c>
      <c r="AJ791">
        <v>1</v>
      </c>
      <c r="AK791">
        <v>1</v>
      </c>
      <c r="AL791">
        <v>1</v>
      </c>
      <c r="AN791">
        <v>0</v>
      </c>
      <c r="AO791">
        <v>1</v>
      </c>
      <c r="AP791">
        <v>0</v>
      </c>
      <c r="AQ791">
        <v>0</v>
      </c>
      <c r="AR791">
        <v>0</v>
      </c>
      <c r="AS791" t="s">
        <v>3</v>
      </c>
      <c r="AT791">
        <v>34.1</v>
      </c>
      <c r="AU791" t="s">
        <v>3</v>
      </c>
      <c r="AV791">
        <v>1</v>
      </c>
      <c r="AW791">
        <v>2</v>
      </c>
      <c r="AX791">
        <v>129764135</v>
      </c>
      <c r="AY791">
        <v>1</v>
      </c>
      <c r="AZ791">
        <v>0</v>
      </c>
      <c r="BA791">
        <v>756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0</v>
      </c>
      <c r="CX791">
        <f>ROUND(Y791*Source!I927,9)</f>
        <v>0.68200000000000005</v>
      </c>
      <c r="CY791">
        <f>AD791</f>
        <v>0</v>
      </c>
      <c r="CZ791">
        <f>AH791</f>
        <v>0</v>
      </c>
      <c r="DA791">
        <f>AL791</f>
        <v>1</v>
      </c>
      <c r="DB791">
        <f t="shared" si="359"/>
        <v>0</v>
      </c>
      <c r="DC791">
        <f t="shared" si="360"/>
        <v>0</v>
      </c>
      <c r="DD791" t="s">
        <v>3</v>
      </c>
      <c r="DE791" t="s">
        <v>3</v>
      </c>
      <c r="DF791">
        <f>ROUND(AE791*CX791,2)</f>
        <v>0</v>
      </c>
      <c r="DG791">
        <f t="shared" si="363"/>
        <v>0</v>
      </c>
      <c r="DH791">
        <f t="shared" si="364"/>
        <v>0</v>
      </c>
      <c r="DI791">
        <f t="shared" si="361"/>
        <v>0</v>
      </c>
      <c r="DJ791">
        <f>DI791</f>
        <v>0</v>
      </c>
      <c r="DK791">
        <v>0</v>
      </c>
    </row>
    <row r="792" spans="1:115" x14ac:dyDescent="0.2">
      <c r="A792">
        <f>ROW(Source!A927)</f>
        <v>927</v>
      </c>
      <c r="B792">
        <v>129761633</v>
      </c>
      <c r="C792">
        <v>129764132</v>
      </c>
      <c r="D792">
        <v>37407127</v>
      </c>
      <c r="E792">
        <v>1</v>
      </c>
      <c r="F792">
        <v>1</v>
      </c>
      <c r="G792">
        <v>37345137</v>
      </c>
      <c r="H792">
        <v>3</v>
      </c>
      <c r="I792" t="s">
        <v>804</v>
      </c>
      <c r="J792" t="s">
        <v>806</v>
      </c>
      <c r="K792" t="s">
        <v>805</v>
      </c>
      <c r="L792">
        <v>1354</v>
      </c>
      <c r="N792">
        <v>1010</v>
      </c>
      <c r="O792" t="s">
        <v>250</v>
      </c>
      <c r="P792" t="s">
        <v>250</v>
      </c>
      <c r="Q792">
        <v>1</v>
      </c>
      <c r="W792">
        <v>0</v>
      </c>
      <c r="X792">
        <v>308295664</v>
      </c>
      <c r="Y792">
        <f t="shared" si="358"/>
        <v>100</v>
      </c>
      <c r="AA792">
        <v>175.32</v>
      </c>
      <c r="AB792">
        <v>0</v>
      </c>
      <c r="AC792">
        <v>0</v>
      </c>
      <c r="AD792">
        <v>0</v>
      </c>
      <c r="AE792">
        <v>31.42</v>
      </c>
      <c r="AF792">
        <v>0</v>
      </c>
      <c r="AG792">
        <v>0</v>
      </c>
      <c r="AH792">
        <v>0</v>
      </c>
      <c r="AI792">
        <v>5.58</v>
      </c>
      <c r="AJ792">
        <v>1</v>
      </c>
      <c r="AK792">
        <v>1</v>
      </c>
      <c r="AL792">
        <v>1</v>
      </c>
      <c r="AN792">
        <v>0</v>
      </c>
      <c r="AO792">
        <v>0</v>
      </c>
      <c r="AP792">
        <v>0</v>
      </c>
      <c r="AQ792">
        <v>0</v>
      </c>
      <c r="AR792">
        <v>0</v>
      </c>
      <c r="AS792" t="s">
        <v>3</v>
      </c>
      <c r="AT792">
        <v>100</v>
      </c>
      <c r="AU792" t="s">
        <v>3</v>
      </c>
      <c r="AV792">
        <v>0</v>
      </c>
      <c r="AW792">
        <v>1</v>
      </c>
      <c r="AX792">
        <v>-1</v>
      </c>
      <c r="AY792">
        <v>0</v>
      </c>
      <c r="AZ792">
        <v>0</v>
      </c>
      <c r="BA792" t="s">
        <v>3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0</v>
      </c>
      <c r="BW792">
        <v>0</v>
      </c>
      <c r="CX792">
        <f>ROUND(Y792*Source!I927,9)</f>
        <v>2</v>
      </c>
      <c r="CY792">
        <f>AA792</f>
        <v>175.32</v>
      </c>
      <c r="CZ792">
        <f>AE792</f>
        <v>31.42</v>
      </c>
      <c r="DA792">
        <f>AI792</f>
        <v>5.58</v>
      </c>
      <c r="DB792">
        <f t="shared" si="359"/>
        <v>3142</v>
      </c>
      <c r="DC792">
        <f t="shared" si="360"/>
        <v>0</v>
      </c>
      <c r="DD792" t="s">
        <v>3</v>
      </c>
      <c r="DE792" t="s">
        <v>3</v>
      </c>
      <c r="DF792">
        <f>ROUND(ROUND(AE792*CX792,2)*AI792,2)</f>
        <v>350.65</v>
      </c>
      <c r="DG792">
        <f t="shared" si="363"/>
        <v>0</v>
      </c>
      <c r="DH792">
        <f t="shared" si="364"/>
        <v>0</v>
      </c>
      <c r="DI792">
        <f t="shared" si="361"/>
        <v>0</v>
      </c>
      <c r="DJ792">
        <f>DF792</f>
        <v>350.65</v>
      </c>
      <c r="DK792">
        <v>0</v>
      </c>
    </row>
    <row r="793" spans="1:115" x14ac:dyDescent="0.2">
      <c r="A793">
        <f>ROW(Source!A999)</f>
        <v>999</v>
      </c>
      <c r="B793">
        <v>129761636</v>
      </c>
      <c r="C793">
        <v>129764137</v>
      </c>
      <c r="D793">
        <v>37345142</v>
      </c>
      <c r="E793">
        <v>37345137</v>
      </c>
      <c r="F793">
        <v>1</v>
      </c>
      <c r="G793">
        <v>37345137</v>
      </c>
      <c r="H793">
        <v>1</v>
      </c>
      <c r="I793" t="s">
        <v>1096</v>
      </c>
      <c r="J793" t="s">
        <v>3</v>
      </c>
      <c r="K793" t="s">
        <v>1097</v>
      </c>
      <c r="L793">
        <v>1191</v>
      </c>
      <c r="N793">
        <v>1013</v>
      </c>
      <c r="O793" t="s">
        <v>1098</v>
      </c>
      <c r="P793" t="s">
        <v>1098</v>
      </c>
      <c r="Q793">
        <v>1</v>
      </c>
      <c r="W793">
        <v>0</v>
      </c>
      <c r="X793">
        <v>476480486</v>
      </c>
      <c r="Y793">
        <f t="shared" si="358"/>
        <v>60.8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1</v>
      </c>
      <c r="AJ793">
        <v>1</v>
      </c>
      <c r="AK793">
        <v>1</v>
      </c>
      <c r="AL793">
        <v>1</v>
      </c>
      <c r="AN793">
        <v>0</v>
      </c>
      <c r="AO793">
        <v>1</v>
      </c>
      <c r="AP793">
        <v>0</v>
      </c>
      <c r="AQ793">
        <v>0</v>
      </c>
      <c r="AR793">
        <v>0</v>
      </c>
      <c r="AS793" t="s">
        <v>3</v>
      </c>
      <c r="AT793">
        <v>60.8</v>
      </c>
      <c r="AU793" t="s">
        <v>3</v>
      </c>
      <c r="AV793">
        <v>1</v>
      </c>
      <c r="AW793">
        <v>2</v>
      </c>
      <c r="AX793">
        <v>129764140</v>
      </c>
      <c r="AY793">
        <v>1</v>
      </c>
      <c r="AZ793">
        <v>0</v>
      </c>
      <c r="BA793">
        <v>757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CX793">
        <f>ROUND(Y793*Source!I999,9)</f>
        <v>0.60799999999999998</v>
      </c>
      <c r="CY793">
        <f>AD793</f>
        <v>0</v>
      </c>
      <c r="CZ793">
        <f>AH793</f>
        <v>0</v>
      </c>
      <c r="DA793">
        <f>AL793</f>
        <v>1</v>
      </c>
      <c r="DB793">
        <f t="shared" si="359"/>
        <v>0</v>
      </c>
      <c r="DC793">
        <f t="shared" si="360"/>
        <v>0</v>
      </c>
      <c r="DD793" t="s">
        <v>3</v>
      </c>
      <c r="DE793" t="s">
        <v>3</v>
      </c>
      <c r="DF793">
        <f>ROUND(AE793*CX793,2)</f>
        <v>0</v>
      </c>
      <c r="DG793">
        <f t="shared" si="363"/>
        <v>0</v>
      </c>
      <c r="DH793">
        <f t="shared" si="364"/>
        <v>0</v>
      </c>
      <c r="DI793">
        <f t="shared" si="361"/>
        <v>0</v>
      </c>
      <c r="DJ793">
        <f>DI793</f>
        <v>0</v>
      </c>
      <c r="DK793">
        <v>0</v>
      </c>
    </row>
    <row r="794" spans="1:115" x14ac:dyDescent="0.2">
      <c r="A794">
        <f>ROW(Source!A999)</f>
        <v>999</v>
      </c>
      <c r="B794">
        <v>129761636</v>
      </c>
      <c r="C794">
        <v>129764137</v>
      </c>
      <c r="D794">
        <v>37367068</v>
      </c>
      <c r="E794">
        <v>37345137</v>
      </c>
      <c r="F794">
        <v>1</v>
      </c>
      <c r="G794">
        <v>37345137</v>
      </c>
      <c r="H794">
        <v>3</v>
      </c>
      <c r="I794" t="s">
        <v>162</v>
      </c>
      <c r="J794" t="s">
        <v>3</v>
      </c>
      <c r="K794" t="s">
        <v>163</v>
      </c>
      <c r="L794">
        <v>1348</v>
      </c>
      <c r="N794">
        <v>1009</v>
      </c>
      <c r="O794" t="s">
        <v>114</v>
      </c>
      <c r="P794" t="s">
        <v>114</v>
      </c>
      <c r="Q794">
        <v>1000</v>
      </c>
      <c r="W794">
        <v>0</v>
      </c>
      <c r="X794">
        <v>1489638031</v>
      </c>
      <c r="Y794">
        <f t="shared" ref="Y794:Y800" si="365">AT794</f>
        <v>1.66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1</v>
      </c>
      <c r="AJ794">
        <v>1</v>
      </c>
      <c r="AK794">
        <v>1</v>
      </c>
      <c r="AL794">
        <v>1</v>
      </c>
      <c r="AN794">
        <v>0</v>
      </c>
      <c r="AO794">
        <v>1</v>
      </c>
      <c r="AP794">
        <v>0</v>
      </c>
      <c r="AQ794">
        <v>0</v>
      </c>
      <c r="AR794">
        <v>0</v>
      </c>
      <c r="AS794" t="s">
        <v>3</v>
      </c>
      <c r="AT794">
        <v>1.66</v>
      </c>
      <c r="AU794" t="s">
        <v>3</v>
      </c>
      <c r="AV794">
        <v>0</v>
      </c>
      <c r="AW794">
        <v>2</v>
      </c>
      <c r="AX794">
        <v>129764141</v>
      </c>
      <c r="AY794">
        <v>1</v>
      </c>
      <c r="AZ794">
        <v>0</v>
      </c>
      <c r="BA794">
        <v>758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  <c r="CX794">
        <f>ROUND(Y794*Source!I999,9)</f>
        <v>1.66E-2</v>
      </c>
      <c r="CY794">
        <f>AA794</f>
        <v>0</v>
      </c>
      <c r="CZ794">
        <f>AE794</f>
        <v>0</v>
      </c>
      <c r="DA794">
        <f>AI794</f>
        <v>1</v>
      </c>
      <c r="DB794">
        <f t="shared" ref="DB794:DB800" si="366">ROUND(ROUND(AT794*CZ794,2),6)</f>
        <v>0</v>
      </c>
      <c r="DC794">
        <f t="shared" ref="DC794:DC800" si="367">ROUND(ROUND(AT794*AG794,2),6)</f>
        <v>0</v>
      </c>
      <c r="DD794" t="s">
        <v>3</v>
      </c>
      <c r="DE794" t="s">
        <v>3</v>
      </c>
      <c r="DF794">
        <f>ROUND(AE794*CX794,2)</f>
        <v>0</v>
      </c>
      <c r="DG794">
        <f t="shared" si="363"/>
        <v>0</v>
      </c>
      <c r="DH794">
        <f t="shared" si="364"/>
        <v>0</v>
      </c>
      <c r="DI794">
        <f t="shared" si="361"/>
        <v>0</v>
      </c>
      <c r="DJ794">
        <f>DF794</f>
        <v>0</v>
      </c>
      <c r="DK794">
        <v>0</v>
      </c>
    </row>
    <row r="795" spans="1:115" x14ac:dyDescent="0.2">
      <c r="A795">
        <f>ROW(Source!A1000)</f>
        <v>1000</v>
      </c>
      <c r="B795">
        <v>129761633</v>
      </c>
      <c r="C795">
        <v>129764137</v>
      </c>
      <c r="D795">
        <v>37345142</v>
      </c>
      <c r="E795">
        <v>37345137</v>
      </c>
      <c r="F795">
        <v>1</v>
      </c>
      <c r="G795">
        <v>37345137</v>
      </c>
      <c r="H795">
        <v>1</v>
      </c>
      <c r="I795" t="s">
        <v>1096</v>
      </c>
      <c r="J795" t="s">
        <v>3</v>
      </c>
      <c r="K795" t="s">
        <v>1097</v>
      </c>
      <c r="L795">
        <v>1191</v>
      </c>
      <c r="N795">
        <v>1013</v>
      </c>
      <c r="O795" t="s">
        <v>1098</v>
      </c>
      <c r="P795" t="s">
        <v>1098</v>
      </c>
      <c r="Q795">
        <v>1</v>
      </c>
      <c r="W795">
        <v>0</v>
      </c>
      <c r="X795">
        <v>476480486</v>
      </c>
      <c r="Y795">
        <f t="shared" si="365"/>
        <v>60.8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1</v>
      </c>
      <c r="AJ795">
        <v>1</v>
      </c>
      <c r="AK795">
        <v>1</v>
      </c>
      <c r="AL795">
        <v>1</v>
      </c>
      <c r="AN795">
        <v>0</v>
      </c>
      <c r="AO795">
        <v>1</v>
      </c>
      <c r="AP795">
        <v>0</v>
      </c>
      <c r="AQ795">
        <v>0</v>
      </c>
      <c r="AR795">
        <v>0</v>
      </c>
      <c r="AS795" t="s">
        <v>3</v>
      </c>
      <c r="AT795">
        <v>60.8</v>
      </c>
      <c r="AU795" t="s">
        <v>3</v>
      </c>
      <c r="AV795">
        <v>1</v>
      </c>
      <c r="AW795">
        <v>2</v>
      </c>
      <c r="AX795">
        <v>129764140</v>
      </c>
      <c r="AY795">
        <v>1</v>
      </c>
      <c r="AZ795">
        <v>0</v>
      </c>
      <c r="BA795">
        <v>759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CX795">
        <f>ROUND(Y795*Source!I1000,9)</f>
        <v>0.60799999999999998</v>
      </c>
      <c r="CY795">
        <f>AD795</f>
        <v>0</v>
      </c>
      <c r="CZ795">
        <f>AH795</f>
        <v>0</v>
      </c>
      <c r="DA795">
        <f>AL795</f>
        <v>1</v>
      </c>
      <c r="DB795">
        <f t="shared" si="366"/>
        <v>0</v>
      </c>
      <c r="DC795">
        <f t="shared" si="367"/>
        <v>0</v>
      </c>
      <c r="DD795" t="s">
        <v>3</v>
      </c>
      <c r="DE795" t="s">
        <v>3</v>
      </c>
      <c r="DF795">
        <f>ROUND(AE795*CX795,2)</f>
        <v>0</v>
      </c>
      <c r="DG795">
        <f t="shared" si="363"/>
        <v>0</v>
      </c>
      <c r="DH795">
        <f t="shared" si="364"/>
        <v>0</v>
      </c>
      <c r="DI795">
        <f t="shared" si="361"/>
        <v>0</v>
      </c>
      <c r="DJ795">
        <f>DI795</f>
        <v>0</v>
      </c>
      <c r="DK795">
        <v>0</v>
      </c>
    </row>
    <row r="796" spans="1:115" x14ac:dyDescent="0.2">
      <c r="A796">
        <f>ROW(Source!A1000)</f>
        <v>1000</v>
      </c>
      <c r="B796">
        <v>129761633</v>
      </c>
      <c r="C796">
        <v>129764137</v>
      </c>
      <c r="D796">
        <v>37367068</v>
      </c>
      <c r="E796">
        <v>37345137</v>
      </c>
      <c r="F796">
        <v>1</v>
      </c>
      <c r="G796">
        <v>37345137</v>
      </c>
      <c r="H796">
        <v>3</v>
      </c>
      <c r="I796" t="s">
        <v>162</v>
      </c>
      <c r="J796" t="s">
        <v>3</v>
      </c>
      <c r="K796" t="s">
        <v>163</v>
      </c>
      <c r="L796">
        <v>1348</v>
      </c>
      <c r="N796">
        <v>1009</v>
      </c>
      <c r="O796" t="s">
        <v>114</v>
      </c>
      <c r="P796" t="s">
        <v>114</v>
      </c>
      <c r="Q796">
        <v>1000</v>
      </c>
      <c r="W796">
        <v>0</v>
      </c>
      <c r="X796">
        <v>1489638031</v>
      </c>
      <c r="Y796">
        <f t="shared" si="365"/>
        <v>1.66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8.65</v>
      </c>
      <c r="AJ796">
        <v>1</v>
      </c>
      <c r="AK796">
        <v>1</v>
      </c>
      <c r="AL796">
        <v>1</v>
      </c>
      <c r="AN796">
        <v>0</v>
      </c>
      <c r="AO796">
        <v>1</v>
      </c>
      <c r="AP796">
        <v>0</v>
      </c>
      <c r="AQ796">
        <v>0</v>
      </c>
      <c r="AR796">
        <v>0</v>
      </c>
      <c r="AS796" t="s">
        <v>3</v>
      </c>
      <c r="AT796">
        <v>1.66</v>
      </c>
      <c r="AU796" t="s">
        <v>3</v>
      </c>
      <c r="AV796">
        <v>0</v>
      </c>
      <c r="AW796">
        <v>2</v>
      </c>
      <c r="AX796">
        <v>129764141</v>
      </c>
      <c r="AY796">
        <v>1</v>
      </c>
      <c r="AZ796">
        <v>0</v>
      </c>
      <c r="BA796">
        <v>760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CX796">
        <f>ROUND(Y796*Source!I1000,9)</f>
        <v>1.66E-2</v>
      </c>
      <c r="CY796">
        <f>AA796</f>
        <v>0</v>
      </c>
      <c r="CZ796">
        <f>AE796</f>
        <v>0</v>
      </c>
      <c r="DA796">
        <f>AI796</f>
        <v>8.65</v>
      </c>
      <c r="DB796">
        <f t="shared" si="366"/>
        <v>0</v>
      </c>
      <c r="DC796">
        <f t="shared" si="367"/>
        <v>0</v>
      </c>
      <c r="DD796" t="s">
        <v>3</v>
      </c>
      <c r="DE796" t="s">
        <v>3</v>
      </c>
      <c r="DF796">
        <f>ROUND(ROUND(AE796*CX796,2)*AI796,2)</f>
        <v>0</v>
      </c>
      <c r="DG796">
        <f t="shared" si="363"/>
        <v>0</v>
      </c>
      <c r="DH796">
        <f t="shared" si="364"/>
        <v>0</v>
      </c>
      <c r="DI796">
        <f t="shared" si="361"/>
        <v>0</v>
      </c>
      <c r="DJ796">
        <f>DF796</f>
        <v>0</v>
      </c>
      <c r="DK796">
        <v>0</v>
      </c>
    </row>
    <row r="797" spans="1:115" x14ac:dyDescent="0.2">
      <c r="A797">
        <f>ROW(Source!A1001)</f>
        <v>1001</v>
      </c>
      <c r="B797">
        <v>129761636</v>
      </c>
      <c r="C797">
        <v>129764142</v>
      </c>
      <c r="D797">
        <v>37345142</v>
      </c>
      <c r="E797">
        <v>37345137</v>
      </c>
      <c r="F797">
        <v>1</v>
      </c>
      <c r="G797">
        <v>37345137</v>
      </c>
      <c r="H797">
        <v>1</v>
      </c>
      <c r="I797" t="s">
        <v>1096</v>
      </c>
      <c r="J797" t="s">
        <v>3</v>
      </c>
      <c r="K797" t="s">
        <v>1097</v>
      </c>
      <c r="L797">
        <v>1191</v>
      </c>
      <c r="N797">
        <v>1013</v>
      </c>
      <c r="O797" t="s">
        <v>1098</v>
      </c>
      <c r="P797" t="s">
        <v>1098</v>
      </c>
      <c r="Q797">
        <v>1</v>
      </c>
      <c r="W797">
        <v>0</v>
      </c>
      <c r="X797">
        <v>476480486</v>
      </c>
      <c r="Y797">
        <f t="shared" si="365"/>
        <v>143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1</v>
      </c>
      <c r="AJ797">
        <v>1</v>
      </c>
      <c r="AK797">
        <v>1</v>
      </c>
      <c r="AL797">
        <v>1</v>
      </c>
      <c r="AN797">
        <v>0</v>
      </c>
      <c r="AO797">
        <v>1</v>
      </c>
      <c r="AP797">
        <v>0</v>
      </c>
      <c r="AQ797">
        <v>0</v>
      </c>
      <c r="AR797">
        <v>0</v>
      </c>
      <c r="AS797" t="s">
        <v>3</v>
      </c>
      <c r="AT797">
        <v>143</v>
      </c>
      <c r="AU797" t="s">
        <v>3</v>
      </c>
      <c r="AV797">
        <v>1</v>
      </c>
      <c r="AW797">
        <v>2</v>
      </c>
      <c r="AX797">
        <v>129764145</v>
      </c>
      <c r="AY797">
        <v>1</v>
      </c>
      <c r="AZ797">
        <v>0</v>
      </c>
      <c r="BA797">
        <v>761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0</v>
      </c>
      <c r="CX797">
        <f>ROUND(Y797*Source!I1001,9)</f>
        <v>1.43</v>
      </c>
      <c r="CY797">
        <f>AD797</f>
        <v>0</v>
      </c>
      <c r="CZ797">
        <f>AH797</f>
        <v>0</v>
      </c>
      <c r="DA797">
        <f>AL797</f>
        <v>1</v>
      </c>
      <c r="DB797">
        <f t="shared" si="366"/>
        <v>0</v>
      </c>
      <c r="DC797">
        <f t="shared" si="367"/>
        <v>0</v>
      </c>
      <c r="DD797" t="s">
        <v>3</v>
      </c>
      <c r="DE797" t="s">
        <v>3</v>
      </c>
      <c r="DF797">
        <f>ROUND(AE797*CX797,2)</f>
        <v>0</v>
      </c>
      <c r="DG797">
        <f t="shared" si="363"/>
        <v>0</v>
      </c>
      <c r="DH797">
        <f t="shared" si="364"/>
        <v>0</v>
      </c>
      <c r="DI797">
        <f t="shared" si="361"/>
        <v>0</v>
      </c>
      <c r="DJ797">
        <f>DI797</f>
        <v>0</v>
      </c>
      <c r="DK797">
        <v>0</v>
      </c>
    </row>
    <row r="798" spans="1:115" x14ac:dyDescent="0.2">
      <c r="A798">
        <f>ROW(Source!A1001)</f>
        <v>1001</v>
      </c>
      <c r="B798">
        <v>129761636</v>
      </c>
      <c r="C798">
        <v>129764142</v>
      </c>
      <c r="D798">
        <v>37367068</v>
      </c>
      <c r="E798">
        <v>37345137</v>
      </c>
      <c r="F798">
        <v>1</v>
      </c>
      <c r="G798">
        <v>37345137</v>
      </c>
      <c r="H798">
        <v>3</v>
      </c>
      <c r="I798" t="s">
        <v>162</v>
      </c>
      <c r="J798" t="s">
        <v>3</v>
      </c>
      <c r="K798" t="s">
        <v>163</v>
      </c>
      <c r="L798">
        <v>1348</v>
      </c>
      <c r="N798">
        <v>1009</v>
      </c>
      <c r="O798" t="s">
        <v>114</v>
      </c>
      <c r="P798" t="s">
        <v>114</v>
      </c>
      <c r="Q798">
        <v>1000</v>
      </c>
      <c r="W798">
        <v>0</v>
      </c>
      <c r="X798">
        <v>1489638031</v>
      </c>
      <c r="Y798">
        <f t="shared" si="365"/>
        <v>3.23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1</v>
      </c>
      <c r="AJ798">
        <v>1</v>
      </c>
      <c r="AK798">
        <v>1</v>
      </c>
      <c r="AL798">
        <v>1</v>
      </c>
      <c r="AN798">
        <v>0</v>
      </c>
      <c r="AO798">
        <v>1</v>
      </c>
      <c r="AP798">
        <v>0</v>
      </c>
      <c r="AQ798">
        <v>0</v>
      </c>
      <c r="AR798">
        <v>0</v>
      </c>
      <c r="AS798" t="s">
        <v>3</v>
      </c>
      <c r="AT798">
        <v>3.23</v>
      </c>
      <c r="AU798" t="s">
        <v>3</v>
      </c>
      <c r="AV798">
        <v>0</v>
      </c>
      <c r="AW798">
        <v>2</v>
      </c>
      <c r="AX798">
        <v>129764146</v>
      </c>
      <c r="AY798">
        <v>1</v>
      </c>
      <c r="AZ798">
        <v>0</v>
      </c>
      <c r="BA798">
        <v>762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CX798">
        <f>ROUND(Y798*Source!I1001,9)</f>
        <v>3.2300000000000002E-2</v>
      </c>
      <c r="CY798">
        <f>AA798</f>
        <v>0</v>
      </c>
      <c r="CZ798">
        <f>AE798</f>
        <v>0</v>
      </c>
      <c r="DA798">
        <f>AI798</f>
        <v>1</v>
      </c>
      <c r="DB798">
        <f t="shared" si="366"/>
        <v>0</v>
      </c>
      <c r="DC798">
        <f t="shared" si="367"/>
        <v>0</v>
      </c>
      <c r="DD798" t="s">
        <v>3</v>
      </c>
      <c r="DE798" t="s">
        <v>3</v>
      </c>
      <c r="DF798">
        <f>ROUND(AE798*CX798,2)</f>
        <v>0</v>
      </c>
      <c r="DG798">
        <f t="shared" si="363"/>
        <v>0</v>
      </c>
      <c r="DH798">
        <f t="shared" si="364"/>
        <v>0</v>
      </c>
      <c r="DI798">
        <f t="shared" si="361"/>
        <v>0</v>
      </c>
      <c r="DJ798">
        <f>DF798</f>
        <v>0</v>
      </c>
      <c r="DK798">
        <v>0</v>
      </c>
    </row>
    <row r="799" spans="1:115" x14ac:dyDescent="0.2">
      <c r="A799">
        <f>ROW(Source!A1002)</f>
        <v>1002</v>
      </c>
      <c r="B799">
        <v>129761633</v>
      </c>
      <c r="C799">
        <v>129764142</v>
      </c>
      <c r="D799">
        <v>37345142</v>
      </c>
      <c r="E799">
        <v>37345137</v>
      </c>
      <c r="F799">
        <v>1</v>
      </c>
      <c r="G799">
        <v>37345137</v>
      </c>
      <c r="H799">
        <v>1</v>
      </c>
      <c r="I799" t="s">
        <v>1096</v>
      </c>
      <c r="J799" t="s">
        <v>3</v>
      </c>
      <c r="K799" t="s">
        <v>1097</v>
      </c>
      <c r="L799">
        <v>1191</v>
      </c>
      <c r="N799">
        <v>1013</v>
      </c>
      <c r="O799" t="s">
        <v>1098</v>
      </c>
      <c r="P799" t="s">
        <v>1098</v>
      </c>
      <c r="Q799">
        <v>1</v>
      </c>
      <c r="W799">
        <v>0</v>
      </c>
      <c r="X799">
        <v>476480486</v>
      </c>
      <c r="Y799">
        <f t="shared" si="365"/>
        <v>143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1</v>
      </c>
      <c r="AJ799">
        <v>1</v>
      </c>
      <c r="AK799">
        <v>1</v>
      </c>
      <c r="AL799">
        <v>1</v>
      </c>
      <c r="AN799">
        <v>0</v>
      </c>
      <c r="AO799">
        <v>1</v>
      </c>
      <c r="AP799">
        <v>0</v>
      </c>
      <c r="AQ799">
        <v>0</v>
      </c>
      <c r="AR799">
        <v>0</v>
      </c>
      <c r="AS799" t="s">
        <v>3</v>
      </c>
      <c r="AT799">
        <v>143</v>
      </c>
      <c r="AU799" t="s">
        <v>3</v>
      </c>
      <c r="AV799">
        <v>1</v>
      </c>
      <c r="AW799">
        <v>2</v>
      </c>
      <c r="AX799">
        <v>129764145</v>
      </c>
      <c r="AY799">
        <v>1</v>
      </c>
      <c r="AZ799">
        <v>0</v>
      </c>
      <c r="BA799">
        <v>763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CX799">
        <f>ROUND(Y799*Source!I1002,9)</f>
        <v>1.43</v>
      </c>
      <c r="CY799">
        <f>AD799</f>
        <v>0</v>
      </c>
      <c r="CZ799">
        <f>AH799</f>
        <v>0</v>
      </c>
      <c r="DA799">
        <f>AL799</f>
        <v>1</v>
      </c>
      <c r="DB799">
        <f t="shared" si="366"/>
        <v>0</v>
      </c>
      <c r="DC799">
        <f t="shared" si="367"/>
        <v>0</v>
      </c>
      <c r="DD799" t="s">
        <v>3</v>
      </c>
      <c r="DE799" t="s">
        <v>3</v>
      </c>
      <c r="DF799">
        <f>ROUND(AE799*CX799,2)</f>
        <v>0</v>
      </c>
      <c r="DG799">
        <f t="shared" si="363"/>
        <v>0</v>
      </c>
      <c r="DH799">
        <f t="shared" si="364"/>
        <v>0</v>
      </c>
      <c r="DI799">
        <f t="shared" si="361"/>
        <v>0</v>
      </c>
      <c r="DJ799">
        <f>DI799</f>
        <v>0</v>
      </c>
      <c r="DK799">
        <v>0</v>
      </c>
    </row>
    <row r="800" spans="1:115" x14ac:dyDescent="0.2">
      <c r="A800">
        <f>ROW(Source!A1002)</f>
        <v>1002</v>
      </c>
      <c r="B800">
        <v>129761633</v>
      </c>
      <c r="C800">
        <v>129764142</v>
      </c>
      <c r="D800">
        <v>37367068</v>
      </c>
      <c r="E800">
        <v>37345137</v>
      </c>
      <c r="F800">
        <v>1</v>
      </c>
      <c r="G800">
        <v>37345137</v>
      </c>
      <c r="H800">
        <v>3</v>
      </c>
      <c r="I800" t="s">
        <v>162</v>
      </c>
      <c r="J800" t="s">
        <v>3</v>
      </c>
      <c r="K800" t="s">
        <v>163</v>
      </c>
      <c r="L800">
        <v>1348</v>
      </c>
      <c r="N800">
        <v>1009</v>
      </c>
      <c r="O800" t="s">
        <v>114</v>
      </c>
      <c r="P800" t="s">
        <v>114</v>
      </c>
      <c r="Q800">
        <v>1000</v>
      </c>
      <c r="W800">
        <v>0</v>
      </c>
      <c r="X800">
        <v>1489638031</v>
      </c>
      <c r="Y800">
        <f t="shared" si="365"/>
        <v>3.23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8.65</v>
      </c>
      <c r="AJ800">
        <v>1</v>
      </c>
      <c r="AK800">
        <v>1</v>
      </c>
      <c r="AL800">
        <v>1</v>
      </c>
      <c r="AN800">
        <v>0</v>
      </c>
      <c r="AO800">
        <v>1</v>
      </c>
      <c r="AP800">
        <v>0</v>
      </c>
      <c r="AQ800">
        <v>0</v>
      </c>
      <c r="AR800">
        <v>0</v>
      </c>
      <c r="AS800" t="s">
        <v>3</v>
      </c>
      <c r="AT800">
        <v>3.23</v>
      </c>
      <c r="AU800" t="s">
        <v>3</v>
      </c>
      <c r="AV800">
        <v>0</v>
      </c>
      <c r="AW800">
        <v>2</v>
      </c>
      <c r="AX800">
        <v>129764146</v>
      </c>
      <c r="AY800">
        <v>1</v>
      </c>
      <c r="AZ800">
        <v>0</v>
      </c>
      <c r="BA800">
        <v>764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0</v>
      </c>
      <c r="CX800">
        <f>ROUND(Y800*Source!I1002,9)</f>
        <v>3.2300000000000002E-2</v>
      </c>
      <c r="CY800">
        <f>AA800</f>
        <v>0</v>
      </c>
      <c r="CZ800">
        <f>AE800</f>
        <v>0</v>
      </c>
      <c r="DA800">
        <f>AI800</f>
        <v>8.65</v>
      </c>
      <c r="DB800">
        <f t="shared" si="366"/>
        <v>0</v>
      </c>
      <c r="DC800">
        <f t="shared" si="367"/>
        <v>0</v>
      </c>
      <c r="DD800" t="s">
        <v>3</v>
      </c>
      <c r="DE800" t="s">
        <v>3</v>
      </c>
      <c r="DF800">
        <f>ROUND(ROUND(AE800*CX800,2)*AI800,2)</f>
        <v>0</v>
      </c>
      <c r="DG800">
        <f t="shared" si="363"/>
        <v>0</v>
      </c>
      <c r="DH800">
        <f t="shared" si="364"/>
        <v>0</v>
      </c>
      <c r="DI800">
        <f t="shared" si="361"/>
        <v>0</v>
      </c>
      <c r="DJ800">
        <f>DF800</f>
        <v>0</v>
      </c>
      <c r="DK800">
        <v>0</v>
      </c>
    </row>
    <row r="801" spans="1:115" x14ac:dyDescent="0.2">
      <c r="A801">
        <f>ROW(Source!A1003)</f>
        <v>1003</v>
      </c>
      <c r="B801">
        <v>129761636</v>
      </c>
      <c r="C801">
        <v>129764147</v>
      </c>
      <c r="D801">
        <v>37345142</v>
      </c>
      <c r="E801">
        <v>37345137</v>
      </c>
      <c r="F801">
        <v>1</v>
      </c>
      <c r="G801">
        <v>37345137</v>
      </c>
      <c r="H801">
        <v>1</v>
      </c>
      <c r="I801" t="s">
        <v>1096</v>
      </c>
      <c r="J801" t="s">
        <v>3</v>
      </c>
      <c r="K801" t="s">
        <v>1097</v>
      </c>
      <c r="L801">
        <v>1191</v>
      </c>
      <c r="N801">
        <v>1013</v>
      </c>
      <c r="O801" t="s">
        <v>1098</v>
      </c>
      <c r="P801" t="s">
        <v>1098</v>
      </c>
      <c r="Q801">
        <v>1</v>
      </c>
      <c r="W801">
        <v>0</v>
      </c>
      <c r="X801">
        <v>476480486</v>
      </c>
      <c r="Y801">
        <f>(AT801*0.6)</f>
        <v>98.399999999999991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1</v>
      </c>
      <c r="AJ801">
        <v>1</v>
      </c>
      <c r="AK801">
        <v>1</v>
      </c>
      <c r="AL801">
        <v>1</v>
      </c>
      <c r="AN801">
        <v>0</v>
      </c>
      <c r="AO801">
        <v>1</v>
      </c>
      <c r="AP801">
        <v>1</v>
      </c>
      <c r="AQ801">
        <v>0</v>
      </c>
      <c r="AR801">
        <v>0</v>
      </c>
      <c r="AS801" t="s">
        <v>3</v>
      </c>
      <c r="AT801">
        <v>164</v>
      </c>
      <c r="AU801" t="s">
        <v>142</v>
      </c>
      <c r="AV801">
        <v>1</v>
      </c>
      <c r="AW801">
        <v>2</v>
      </c>
      <c r="AX801">
        <v>129764160</v>
      </c>
      <c r="AY801">
        <v>1</v>
      </c>
      <c r="AZ801">
        <v>0</v>
      </c>
      <c r="BA801">
        <v>765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CX801">
        <f>ROUND(Y801*Source!I1003,9)</f>
        <v>9.84</v>
      </c>
      <c r="CY801">
        <f>AD801</f>
        <v>0</v>
      </c>
      <c r="CZ801">
        <f>AH801</f>
        <v>0</v>
      </c>
      <c r="DA801">
        <f>AL801</f>
        <v>1</v>
      </c>
      <c r="DB801">
        <f>ROUND((ROUND(AT801*CZ801,2)*0.6),6)</f>
        <v>0</v>
      </c>
      <c r="DC801">
        <f>ROUND((ROUND(AT801*AG801,2)*0.6),6)</f>
        <v>0</v>
      </c>
      <c r="DD801" t="s">
        <v>3</v>
      </c>
      <c r="DE801" t="s">
        <v>3</v>
      </c>
      <c r="DF801">
        <f t="shared" ref="DF801:DF816" si="368">ROUND(AE801*CX801,2)</f>
        <v>0</v>
      </c>
      <c r="DG801">
        <f t="shared" si="363"/>
        <v>0</v>
      </c>
      <c r="DH801">
        <f t="shared" si="364"/>
        <v>0</v>
      </c>
      <c r="DI801">
        <f t="shared" si="361"/>
        <v>0</v>
      </c>
      <c r="DJ801">
        <f>DI801</f>
        <v>0</v>
      </c>
      <c r="DK801">
        <v>0</v>
      </c>
    </row>
    <row r="802" spans="1:115" x14ac:dyDescent="0.2">
      <c r="A802">
        <f>ROW(Source!A1003)</f>
        <v>1003</v>
      </c>
      <c r="B802">
        <v>129761636</v>
      </c>
      <c r="C802">
        <v>129764147</v>
      </c>
      <c r="D802">
        <v>41572463</v>
      </c>
      <c r="E802">
        <v>1</v>
      </c>
      <c r="F802">
        <v>1</v>
      </c>
      <c r="G802">
        <v>37345137</v>
      </c>
      <c r="H802">
        <v>2</v>
      </c>
      <c r="I802" t="s">
        <v>1347</v>
      </c>
      <c r="J802" t="s">
        <v>1348</v>
      </c>
      <c r="K802" t="s">
        <v>1349</v>
      </c>
      <c r="L802">
        <v>1367</v>
      </c>
      <c r="N802">
        <v>1011</v>
      </c>
      <c r="O802" t="s">
        <v>1102</v>
      </c>
      <c r="P802" t="s">
        <v>1102</v>
      </c>
      <c r="Q802">
        <v>1</v>
      </c>
      <c r="W802">
        <v>0</v>
      </c>
      <c r="X802">
        <v>162885925</v>
      </c>
      <c r="Y802">
        <f>(AT802*0.6)</f>
        <v>6.8579999999999997</v>
      </c>
      <c r="AA802">
        <v>0</v>
      </c>
      <c r="AB802">
        <v>1.42</v>
      </c>
      <c r="AC802">
        <v>0.01</v>
      </c>
      <c r="AD802">
        <v>0</v>
      </c>
      <c r="AE802">
        <v>0</v>
      </c>
      <c r="AF802">
        <v>1.42</v>
      </c>
      <c r="AG802">
        <v>0.01</v>
      </c>
      <c r="AH802">
        <v>0</v>
      </c>
      <c r="AI802">
        <v>1</v>
      </c>
      <c r="AJ802">
        <v>1</v>
      </c>
      <c r="AK802">
        <v>1</v>
      </c>
      <c r="AL802">
        <v>1</v>
      </c>
      <c r="AN802">
        <v>0</v>
      </c>
      <c r="AO802">
        <v>1</v>
      </c>
      <c r="AP802">
        <v>1</v>
      </c>
      <c r="AQ802">
        <v>0</v>
      </c>
      <c r="AR802">
        <v>0</v>
      </c>
      <c r="AS802" t="s">
        <v>3</v>
      </c>
      <c r="AT802">
        <v>11.43</v>
      </c>
      <c r="AU802" t="s">
        <v>142</v>
      </c>
      <c r="AV802">
        <v>0</v>
      </c>
      <c r="AW802">
        <v>2</v>
      </c>
      <c r="AX802">
        <v>129764161</v>
      </c>
      <c r="AY802">
        <v>1</v>
      </c>
      <c r="AZ802">
        <v>0</v>
      </c>
      <c r="BA802">
        <v>766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  <c r="CX802">
        <f>ROUND(Y802*Source!I1003,9)</f>
        <v>0.68579999999999997</v>
      </c>
      <c r="CY802">
        <f>AB802</f>
        <v>1.42</v>
      </c>
      <c r="CZ802">
        <f>AF802</f>
        <v>1.42</v>
      </c>
      <c r="DA802">
        <f>AJ802</f>
        <v>1</v>
      </c>
      <c r="DB802">
        <f>ROUND((ROUND(AT802*CZ802,2)*0.6),6)</f>
        <v>9.7379999999999995</v>
      </c>
      <c r="DC802">
        <f>ROUND((ROUND(AT802*AG802,2)*0.6),6)</f>
        <v>6.6000000000000003E-2</v>
      </c>
      <c r="DD802" t="s">
        <v>3</v>
      </c>
      <c r="DE802" t="s">
        <v>3</v>
      </c>
      <c r="DF802">
        <f t="shared" si="368"/>
        <v>0</v>
      </c>
      <c r="DG802">
        <f t="shared" si="363"/>
        <v>0.97</v>
      </c>
      <c r="DH802">
        <f t="shared" si="364"/>
        <v>0.01</v>
      </c>
      <c r="DI802">
        <f t="shared" si="361"/>
        <v>0</v>
      </c>
      <c r="DJ802">
        <f>DG802</f>
        <v>0.97</v>
      </c>
      <c r="DK802">
        <v>0</v>
      </c>
    </row>
    <row r="803" spans="1:115" x14ac:dyDescent="0.2">
      <c r="A803">
        <f>ROW(Source!A1003)</f>
        <v>1003</v>
      </c>
      <c r="B803">
        <v>129761636</v>
      </c>
      <c r="C803">
        <v>129764147</v>
      </c>
      <c r="D803">
        <v>37418445</v>
      </c>
      <c r="E803">
        <v>1</v>
      </c>
      <c r="F803">
        <v>1</v>
      </c>
      <c r="G803">
        <v>37345137</v>
      </c>
      <c r="H803">
        <v>2</v>
      </c>
      <c r="I803" t="s">
        <v>1189</v>
      </c>
      <c r="J803" t="s">
        <v>1190</v>
      </c>
      <c r="K803" t="s">
        <v>1191</v>
      </c>
      <c r="L803">
        <v>1367</v>
      </c>
      <c r="N803">
        <v>1011</v>
      </c>
      <c r="O803" t="s">
        <v>1102</v>
      </c>
      <c r="P803" t="s">
        <v>1102</v>
      </c>
      <c r="Q803">
        <v>1</v>
      </c>
      <c r="W803">
        <v>0</v>
      </c>
      <c r="X803">
        <v>-628430174</v>
      </c>
      <c r="Y803">
        <f>(AT803*0.6)</f>
        <v>0.12</v>
      </c>
      <c r="AA803">
        <v>0</v>
      </c>
      <c r="AB803">
        <v>76.81</v>
      </c>
      <c r="AC803">
        <v>14.36</v>
      </c>
      <c r="AD803">
        <v>0</v>
      </c>
      <c r="AE803">
        <v>0</v>
      </c>
      <c r="AF803">
        <v>76.81</v>
      </c>
      <c r="AG803">
        <v>14.36</v>
      </c>
      <c r="AH803">
        <v>0</v>
      </c>
      <c r="AI803">
        <v>1</v>
      </c>
      <c r="AJ803">
        <v>1</v>
      </c>
      <c r="AK803">
        <v>1</v>
      </c>
      <c r="AL803">
        <v>1</v>
      </c>
      <c r="AN803">
        <v>0</v>
      </c>
      <c r="AO803">
        <v>1</v>
      </c>
      <c r="AP803">
        <v>1</v>
      </c>
      <c r="AQ803">
        <v>0</v>
      </c>
      <c r="AR803">
        <v>0</v>
      </c>
      <c r="AS803" t="s">
        <v>3</v>
      </c>
      <c r="AT803">
        <v>0.2</v>
      </c>
      <c r="AU803" t="s">
        <v>142</v>
      </c>
      <c r="AV803">
        <v>0</v>
      </c>
      <c r="AW803">
        <v>2</v>
      </c>
      <c r="AX803">
        <v>129764162</v>
      </c>
      <c r="AY803">
        <v>1</v>
      </c>
      <c r="AZ803">
        <v>0</v>
      </c>
      <c r="BA803">
        <v>767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0</v>
      </c>
      <c r="BW803">
        <v>0</v>
      </c>
      <c r="CX803">
        <f>ROUND(Y803*Source!I1003,9)</f>
        <v>1.2E-2</v>
      </c>
      <c r="CY803">
        <f>AB803</f>
        <v>76.81</v>
      </c>
      <c r="CZ803">
        <f>AF803</f>
        <v>76.81</v>
      </c>
      <c r="DA803">
        <f>AJ803</f>
        <v>1</v>
      </c>
      <c r="DB803">
        <f>ROUND((ROUND(AT803*CZ803,2)*0.6),6)</f>
        <v>9.2159999999999993</v>
      </c>
      <c r="DC803">
        <f>ROUND((ROUND(AT803*AG803,2)*0.6),6)</f>
        <v>1.722</v>
      </c>
      <c r="DD803" t="s">
        <v>3</v>
      </c>
      <c r="DE803" t="s">
        <v>3</v>
      </c>
      <c r="DF803">
        <f t="shared" si="368"/>
        <v>0</v>
      </c>
      <c r="DG803">
        <f t="shared" si="363"/>
        <v>0.92</v>
      </c>
      <c r="DH803">
        <f t="shared" si="364"/>
        <v>0.17</v>
      </c>
      <c r="DI803">
        <f t="shared" si="361"/>
        <v>0</v>
      </c>
      <c r="DJ803">
        <f>DG803</f>
        <v>0.92</v>
      </c>
      <c r="DK803">
        <v>0</v>
      </c>
    </row>
    <row r="804" spans="1:115" x14ac:dyDescent="0.2">
      <c r="A804">
        <f>ROW(Source!A1003)</f>
        <v>1003</v>
      </c>
      <c r="B804">
        <v>129761636</v>
      </c>
      <c r="C804">
        <v>129764147</v>
      </c>
      <c r="D804">
        <v>37417692</v>
      </c>
      <c r="E804">
        <v>1</v>
      </c>
      <c r="F804">
        <v>1</v>
      </c>
      <c r="G804">
        <v>37345137</v>
      </c>
      <c r="H804">
        <v>2</v>
      </c>
      <c r="I804" t="s">
        <v>1127</v>
      </c>
      <c r="J804" t="s">
        <v>1128</v>
      </c>
      <c r="K804" t="s">
        <v>1129</v>
      </c>
      <c r="L804">
        <v>1367</v>
      </c>
      <c r="N804">
        <v>1011</v>
      </c>
      <c r="O804" t="s">
        <v>1102</v>
      </c>
      <c r="P804" t="s">
        <v>1102</v>
      </c>
      <c r="Q804">
        <v>1</v>
      </c>
      <c r="W804">
        <v>0</v>
      </c>
      <c r="X804">
        <v>-266174272</v>
      </c>
      <c r="Y804">
        <f>(AT804*0.6)</f>
        <v>1.7999999999999999E-2</v>
      </c>
      <c r="AA804">
        <v>0</v>
      </c>
      <c r="AB804">
        <v>190.93</v>
      </c>
      <c r="AC804">
        <v>18.149999999999999</v>
      </c>
      <c r="AD804">
        <v>0</v>
      </c>
      <c r="AE804">
        <v>0</v>
      </c>
      <c r="AF804">
        <v>190.93</v>
      </c>
      <c r="AG804">
        <v>18.149999999999999</v>
      </c>
      <c r="AH804">
        <v>0</v>
      </c>
      <c r="AI804">
        <v>1</v>
      </c>
      <c r="AJ804">
        <v>1</v>
      </c>
      <c r="AK804">
        <v>1</v>
      </c>
      <c r="AL804">
        <v>1</v>
      </c>
      <c r="AN804">
        <v>0</v>
      </c>
      <c r="AO804">
        <v>1</v>
      </c>
      <c r="AP804">
        <v>1</v>
      </c>
      <c r="AQ804">
        <v>0</v>
      </c>
      <c r="AR804">
        <v>0</v>
      </c>
      <c r="AS804" t="s">
        <v>3</v>
      </c>
      <c r="AT804">
        <v>0.03</v>
      </c>
      <c r="AU804" t="s">
        <v>142</v>
      </c>
      <c r="AV804">
        <v>0</v>
      </c>
      <c r="AW804">
        <v>2</v>
      </c>
      <c r="AX804">
        <v>129764163</v>
      </c>
      <c r="AY804">
        <v>1</v>
      </c>
      <c r="AZ804">
        <v>0</v>
      </c>
      <c r="BA804">
        <v>768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0</v>
      </c>
      <c r="BW804">
        <v>0</v>
      </c>
      <c r="CX804">
        <f>ROUND(Y804*Source!I1003,9)</f>
        <v>1.8E-3</v>
      </c>
      <c r="CY804">
        <f>AB804</f>
        <v>190.93</v>
      </c>
      <c r="CZ804">
        <f>AF804</f>
        <v>190.93</v>
      </c>
      <c r="DA804">
        <f>AJ804</f>
        <v>1</v>
      </c>
      <c r="DB804">
        <f>ROUND((ROUND(AT804*CZ804,2)*0.6),6)</f>
        <v>3.4380000000000002</v>
      </c>
      <c r="DC804">
        <f>ROUND((ROUND(AT804*AG804,2)*0.6),6)</f>
        <v>0.32400000000000001</v>
      </c>
      <c r="DD804" t="s">
        <v>3</v>
      </c>
      <c r="DE804" t="s">
        <v>3</v>
      </c>
      <c r="DF804">
        <f t="shared" si="368"/>
        <v>0</v>
      </c>
      <c r="DG804">
        <f t="shared" si="363"/>
        <v>0.34</v>
      </c>
      <c r="DH804">
        <f t="shared" si="364"/>
        <v>0.03</v>
      </c>
      <c r="DI804">
        <f t="shared" si="361"/>
        <v>0</v>
      </c>
      <c r="DJ804">
        <f>DG804</f>
        <v>0.34</v>
      </c>
      <c r="DK804">
        <v>0</v>
      </c>
    </row>
    <row r="805" spans="1:115" x14ac:dyDescent="0.2">
      <c r="A805">
        <f>ROW(Source!A1003)</f>
        <v>1003</v>
      </c>
      <c r="B805">
        <v>129761636</v>
      </c>
      <c r="C805">
        <v>129764147</v>
      </c>
      <c r="D805">
        <v>37393552</v>
      </c>
      <c r="E805">
        <v>1</v>
      </c>
      <c r="F805">
        <v>1</v>
      </c>
      <c r="G805">
        <v>37345137</v>
      </c>
      <c r="H805">
        <v>3</v>
      </c>
      <c r="I805" t="s">
        <v>348</v>
      </c>
      <c r="J805" t="s">
        <v>350</v>
      </c>
      <c r="K805" t="s">
        <v>349</v>
      </c>
      <c r="L805">
        <v>1339</v>
      </c>
      <c r="N805">
        <v>1007</v>
      </c>
      <c r="O805" t="s">
        <v>94</v>
      </c>
      <c r="P805" t="s">
        <v>94</v>
      </c>
      <c r="Q805">
        <v>1</v>
      </c>
      <c r="W805">
        <v>0</v>
      </c>
      <c r="X805">
        <v>-862991314</v>
      </c>
      <c r="Y805">
        <f t="shared" ref="Y805:Y812" si="369">(AT805*0)</f>
        <v>0</v>
      </c>
      <c r="AA805">
        <v>7.07</v>
      </c>
      <c r="AB805">
        <v>0</v>
      </c>
      <c r="AC805">
        <v>0</v>
      </c>
      <c r="AD805">
        <v>0</v>
      </c>
      <c r="AE805">
        <v>7.07</v>
      </c>
      <c r="AF805">
        <v>0</v>
      </c>
      <c r="AG805">
        <v>0</v>
      </c>
      <c r="AH805">
        <v>0</v>
      </c>
      <c r="AI805">
        <v>1</v>
      </c>
      <c r="AJ805">
        <v>1</v>
      </c>
      <c r="AK805">
        <v>1</v>
      </c>
      <c r="AL805">
        <v>1</v>
      </c>
      <c r="AN805">
        <v>0</v>
      </c>
      <c r="AO805">
        <v>1</v>
      </c>
      <c r="AP805">
        <v>1</v>
      </c>
      <c r="AQ805">
        <v>0</v>
      </c>
      <c r="AR805">
        <v>0</v>
      </c>
      <c r="AS805" t="s">
        <v>3</v>
      </c>
      <c r="AT805">
        <v>6.3E-2</v>
      </c>
      <c r="AU805" t="s">
        <v>823</v>
      </c>
      <c r="AV805">
        <v>0</v>
      </c>
      <c r="AW805">
        <v>2</v>
      </c>
      <c r="AX805">
        <v>129764164</v>
      </c>
      <c r="AY805">
        <v>1</v>
      </c>
      <c r="AZ805">
        <v>0</v>
      </c>
      <c r="BA805">
        <v>769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0</v>
      </c>
      <c r="BW805">
        <v>0</v>
      </c>
      <c r="CX805">
        <f>ROUND(Y805*Source!I1003,9)</f>
        <v>0</v>
      </c>
      <c r="CY805">
        <f t="shared" ref="CY805:CY812" si="370">AA805</f>
        <v>7.07</v>
      </c>
      <c r="CZ805">
        <f t="shared" ref="CZ805:CZ812" si="371">AE805</f>
        <v>7.07</v>
      </c>
      <c r="DA805">
        <f t="shared" ref="DA805:DA812" si="372">AI805</f>
        <v>1</v>
      </c>
      <c r="DB805">
        <f t="shared" ref="DB805:DB812" si="373">ROUND((ROUND(AT805*CZ805,2)*0),6)</f>
        <v>0</v>
      </c>
      <c r="DC805">
        <f t="shared" ref="DC805:DC812" si="374">ROUND((ROUND(AT805*AG805,2)*0),6)</f>
        <v>0</v>
      </c>
      <c r="DD805" t="s">
        <v>3</v>
      </c>
      <c r="DE805" t="s">
        <v>3</v>
      </c>
      <c r="DF805">
        <f t="shared" si="368"/>
        <v>0</v>
      </c>
      <c r="DG805">
        <f t="shared" si="363"/>
        <v>0</v>
      </c>
      <c r="DH805">
        <f t="shared" si="364"/>
        <v>0</v>
      </c>
      <c r="DI805">
        <f t="shared" si="361"/>
        <v>0</v>
      </c>
      <c r="DJ805">
        <f t="shared" ref="DJ805:DJ812" si="375">DF805</f>
        <v>0</v>
      </c>
      <c r="DK805">
        <v>0</v>
      </c>
    </row>
    <row r="806" spans="1:115" x14ac:dyDescent="0.2">
      <c r="A806">
        <f>ROW(Source!A1003)</f>
        <v>1003</v>
      </c>
      <c r="B806">
        <v>129761636</v>
      </c>
      <c r="C806">
        <v>129764147</v>
      </c>
      <c r="D806">
        <v>37394915</v>
      </c>
      <c r="E806">
        <v>1</v>
      </c>
      <c r="F806">
        <v>1</v>
      </c>
      <c r="G806">
        <v>37345137</v>
      </c>
      <c r="H806">
        <v>3</v>
      </c>
      <c r="I806" t="s">
        <v>1350</v>
      </c>
      <c r="J806" t="s">
        <v>1351</v>
      </c>
      <c r="K806" t="s">
        <v>1352</v>
      </c>
      <c r="L806">
        <v>1355</v>
      </c>
      <c r="N806">
        <v>1010</v>
      </c>
      <c r="O806" t="s">
        <v>551</v>
      </c>
      <c r="P806" t="s">
        <v>551</v>
      </c>
      <c r="Q806">
        <v>100</v>
      </c>
      <c r="W806">
        <v>0</v>
      </c>
      <c r="X806">
        <v>1356090561</v>
      </c>
      <c r="Y806">
        <f t="shared" si="369"/>
        <v>0</v>
      </c>
      <c r="AA806">
        <v>180.35</v>
      </c>
      <c r="AB806">
        <v>0</v>
      </c>
      <c r="AC806">
        <v>0</v>
      </c>
      <c r="AD806">
        <v>0</v>
      </c>
      <c r="AE806">
        <v>180.35</v>
      </c>
      <c r="AF806">
        <v>0</v>
      </c>
      <c r="AG806">
        <v>0</v>
      </c>
      <c r="AH806">
        <v>0</v>
      </c>
      <c r="AI806">
        <v>1</v>
      </c>
      <c r="AJ806">
        <v>1</v>
      </c>
      <c r="AK806">
        <v>1</v>
      </c>
      <c r="AL806">
        <v>1</v>
      </c>
      <c r="AN806">
        <v>0</v>
      </c>
      <c r="AO806">
        <v>1</v>
      </c>
      <c r="AP806">
        <v>1</v>
      </c>
      <c r="AQ806">
        <v>0</v>
      </c>
      <c r="AR806">
        <v>0</v>
      </c>
      <c r="AS806" t="s">
        <v>3</v>
      </c>
      <c r="AT806">
        <v>1</v>
      </c>
      <c r="AU806" t="s">
        <v>823</v>
      </c>
      <c r="AV806">
        <v>0</v>
      </c>
      <c r="AW806">
        <v>2</v>
      </c>
      <c r="AX806">
        <v>129764165</v>
      </c>
      <c r="AY806">
        <v>1</v>
      </c>
      <c r="AZ806">
        <v>0</v>
      </c>
      <c r="BA806">
        <v>770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CX806">
        <f>ROUND(Y806*Source!I1003,9)</f>
        <v>0</v>
      </c>
      <c r="CY806">
        <f t="shared" si="370"/>
        <v>180.35</v>
      </c>
      <c r="CZ806">
        <f t="shared" si="371"/>
        <v>180.35</v>
      </c>
      <c r="DA806">
        <f t="shared" si="372"/>
        <v>1</v>
      </c>
      <c r="DB806">
        <f t="shared" si="373"/>
        <v>0</v>
      </c>
      <c r="DC806">
        <f t="shared" si="374"/>
        <v>0</v>
      </c>
      <c r="DD806" t="s">
        <v>3</v>
      </c>
      <c r="DE806" t="s">
        <v>3</v>
      </c>
      <c r="DF806">
        <f t="shared" si="368"/>
        <v>0</v>
      </c>
      <c r="DG806">
        <f t="shared" si="363"/>
        <v>0</v>
      </c>
      <c r="DH806">
        <f t="shared" si="364"/>
        <v>0</v>
      </c>
      <c r="DI806">
        <f t="shared" si="361"/>
        <v>0</v>
      </c>
      <c r="DJ806">
        <f t="shared" si="375"/>
        <v>0</v>
      </c>
      <c r="DK806">
        <v>0</v>
      </c>
    </row>
    <row r="807" spans="1:115" x14ac:dyDescent="0.2">
      <c r="A807">
        <f>ROW(Source!A1003)</f>
        <v>1003</v>
      </c>
      <c r="B807">
        <v>129761636</v>
      </c>
      <c r="C807">
        <v>129764147</v>
      </c>
      <c r="D807">
        <v>37393665</v>
      </c>
      <c r="E807">
        <v>1</v>
      </c>
      <c r="F807">
        <v>1</v>
      </c>
      <c r="G807">
        <v>37345137</v>
      </c>
      <c r="H807">
        <v>3</v>
      </c>
      <c r="I807" t="s">
        <v>1353</v>
      </c>
      <c r="J807" t="s">
        <v>1354</v>
      </c>
      <c r="K807" t="s">
        <v>1355</v>
      </c>
      <c r="L807">
        <v>1348</v>
      </c>
      <c r="N807">
        <v>1009</v>
      </c>
      <c r="O807" t="s">
        <v>114</v>
      </c>
      <c r="P807" t="s">
        <v>114</v>
      </c>
      <c r="Q807">
        <v>1000</v>
      </c>
      <c r="W807">
        <v>0</v>
      </c>
      <c r="X807">
        <v>1693650758</v>
      </c>
      <c r="Y807">
        <f t="shared" si="369"/>
        <v>0</v>
      </c>
      <c r="AA807">
        <v>20166.439999999999</v>
      </c>
      <c r="AB807">
        <v>0</v>
      </c>
      <c r="AC807">
        <v>0</v>
      </c>
      <c r="AD807">
        <v>0</v>
      </c>
      <c r="AE807">
        <v>20166.439999999999</v>
      </c>
      <c r="AF807">
        <v>0</v>
      </c>
      <c r="AG807">
        <v>0</v>
      </c>
      <c r="AH807">
        <v>0</v>
      </c>
      <c r="AI807">
        <v>1</v>
      </c>
      <c r="AJ807">
        <v>1</v>
      </c>
      <c r="AK807">
        <v>1</v>
      </c>
      <c r="AL807">
        <v>1</v>
      </c>
      <c r="AN807">
        <v>0</v>
      </c>
      <c r="AO807">
        <v>1</v>
      </c>
      <c r="AP807">
        <v>1</v>
      </c>
      <c r="AQ807">
        <v>0</v>
      </c>
      <c r="AR807">
        <v>0</v>
      </c>
      <c r="AS807" t="s">
        <v>3</v>
      </c>
      <c r="AT807">
        <v>8.4999999999999995E-4</v>
      </c>
      <c r="AU807" t="s">
        <v>823</v>
      </c>
      <c r="AV807">
        <v>0</v>
      </c>
      <c r="AW807">
        <v>2</v>
      </c>
      <c r="AX807">
        <v>129764166</v>
      </c>
      <c r="AY807">
        <v>1</v>
      </c>
      <c r="AZ807">
        <v>0</v>
      </c>
      <c r="BA807">
        <v>771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0</v>
      </c>
      <c r="BW807">
        <v>0</v>
      </c>
      <c r="CX807">
        <f>ROUND(Y807*Source!I1003,9)</f>
        <v>0</v>
      </c>
      <c r="CY807">
        <f t="shared" si="370"/>
        <v>20166.439999999999</v>
      </c>
      <c r="CZ807">
        <f t="shared" si="371"/>
        <v>20166.439999999999</v>
      </c>
      <c r="DA807">
        <f t="shared" si="372"/>
        <v>1</v>
      </c>
      <c r="DB807">
        <f t="shared" si="373"/>
        <v>0</v>
      </c>
      <c r="DC807">
        <f t="shared" si="374"/>
        <v>0</v>
      </c>
      <c r="DD807" t="s">
        <v>3</v>
      </c>
      <c r="DE807" t="s">
        <v>3</v>
      </c>
      <c r="DF807">
        <f t="shared" si="368"/>
        <v>0</v>
      </c>
      <c r="DG807">
        <f t="shared" si="363"/>
        <v>0</v>
      </c>
      <c r="DH807">
        <f t="shared" si="364"/>
        <v>0</v>
      </c>
      <c r="DI807">
        <f t="shared" si="361"/>
        <v>0</v>
      </c>
      <c r="DJ807">
        <f t="shared" si="375"/>
        <v>0</v>
      </c>
      <c r="DK807">
        <v>0</v>
      </c>
    </row>
    <row r="808" spans="1:115" x14ac:dyDescent="0.2">
      <c r="A808">
        <f>ROW(Source!A1003)</f>
        <v>1003</v>
      </c>
      <c r="B808">
        <v>129761636</v>
      </c>
      <c r="C808">
        <v>129764147</v>
      </c>
      <c r="D808">
        <v>37395753</v>
      </c>
      <c r="E808">
        <v>1</v>
      </c>
      <c r="F808">
        <v>1</v>
      </c>
      <c r="G808">
        <v>37345137</v>
      </c>
      <c r="H808">
        <v>3</v>
      </c>
      <c r="I808" t="s">
        <v>1356</v>
      </c>
      <c r="J808" t="s">
        <v>1357</v>
      </c>
      <c r="K808" t="s">
        <v>1358</v>
      </c>
      <c r="L808">
        <v>1346</v>
      </c>
      <c r="N808">
        <v>1009</v>
      </c>
      <c r="O808" t="s">
        <v>369</v>
      </c>
      <c r="P808" t="s">
        <v>369</v>
      </c>
      <c r="Q808">
        <v>1</v>
      </c>
      <c r="W808">
        <v>0</v>
      </c>
      <c r="X808">
        <v>-675737513</v>
      </c>
      <c r="Y808">
        <f t="shared" si="369"/>
        <v>0</v>
      </c>
      <c r="AA808">
        <v>16.22</v>
      </c>
      <c r="AB808">
        <v>0</v>
      </c>
      <c r="AC808">
        <v>0</v>
      </c>
      <c r="AD808">
        <v>0</v>
      </c>
      <c r="AE808">
        <v>16.22</v>
      </c>
      <c r="AF808">
        <v>0</v>
      </c>
      <c r="AG808">
        <v>0</v>
      </c>
      <c r="AH808">
        <v>0</v>
      </c>
      <c r="AI808">
        <v>1</v>
      </c>
      <c r="AJ808">
        <v>1</v>
      </c>
      <c r="AK808">
        <v>1</v>
      </c>
      <c r="AL808">
        <v>1</v>
      </c>
      <c r="AN808">
        <v>0</v>
      </c>
      <c r="AO808">
        <v>1</v>
      </c>
      <c r="AP808">
        <v>1</v>
      </c>
      <c r="AQ808">
        <v>0</v>
      </c>
      <c r="AR808">
        <v>0</v>
      </c>
      <c r="AS808" t="s">
        <v>3</v>
      </c>
      <c r="AT808">
        <v>0.25</v>
      </c>
      <c r="AU808" t="s">
        <v>823</v>
      </c>
      <c r="AV808">
        <v>0</v>
      </c>
      <c r="AW808">
        <v>2</v>
      </c>
      <c r="AX808">
        <v>129764167</v>
      </c>
      <c r="AY808">
        <v>1</v>
      </c>
      <c r="AZ808">
        <v>0</v>
      </c>
      <c r="BA808">
        <v>772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0</v>
      </c>
      <c r="BW808">
        <v>0</v>
      </c>
      <c r="CX808">
        <f>ROUND(Y808*Source!I1003,9)</f>
        <v>0</v>
      </c>
      <c r="CY808">
        <f t="shared" si="370"/>
        <v>16.22</v>
      </c>
      <c r="CZ808">
        <f t="shared" si="371"/>
        <v>16.22</v>
      </c>
      <c r="DA808">
        <f t="shared" si="372"/>
        <v>1</v>
      </c>
      <c r="DB808">
        <f t="shared" si="373"/>
        <v>0</v>
      </c>
      <c r="DC808">
        <f t="shared" si="374"/>
        <v>0</v>
      </c>
      <c r="DD808" t="s">
        <v>3</v>
      </c>
      <c r="DE808" t="s">
        <v>3</v>
      </c>
      <c r="DF808">
        <f t="shared" si="368"/>
        <v>0</v>
      </c>
      <c r="DG808">
        <f t="shared" si="363"/>
        <v>0</v>
      </c>
      <c r="DH808">
        <f t="shared" si="364"/>
        <v>0</v>
      </c>
      <c r="DI808">
        <f t="shared" si="361"/>
        <v>0</v>
      </c>
      <c r="DJ808">
        <f t="shared" si="375"/>
        <v>0</v>
      </c>
      <c r="DK808">
        <v>0</v>
      </c>
    </row>
    <row r="809" spans="1:115" x14ac:dyDescent="0.2">
      <c r="A809">
        <f>ROW(Source!A1003)</f>
        <v>1003</v>
      </c>
      <c r="B809">
        <v>129761636</v>
      </c>
      <c r="C809">
        <v>129764147</v>
      </c>
      <c r="D809">
        <v>37393685</v>
      </c>
      <c r="E809">
        <v>1</v>
      </c>
      <c r="F809">
        <v>1</v>
      </c>
      <c r="G809">
        <v>37345137</v>
      </c>
      <c r="H809">
        <v>3</v>
      </c>
      <c r="I809" t="s">
        <v>1359</v>
      </c>
      <c r="J809" t="s">
        <v>1360</v>
      </c>
      <c r="K809" t="s">
        <v>1361</v>
      </c>
      <c r="L809">
        <v>1348</v>
      </c>
      <c r="N809">
        <v>1009</v>
      </c>
      <c r="O809" t="s">
        <v>114</v>
      </c>
      <c r="P809" t="s">
        <v>114</v>
      </c>
      <c r="Q809">
        <v>1000</v>
      </c>
      <c r="W809">
        <v>0</v>
      </c>
      <c r="X809">
        <v>-1837888431</v>
      </c>
      <c r="Y809">
        <f t="shared" si="369"/>
        <v>0</v>
      </c>
      <c r="AA809">
        <v>3246.35</v>
      </c>
      <c r="AB809">
        <v>0</v>
      </c>
      <c r="AC809">
        <v>0</v>
      </c>
      <c r="AD809">
        <v>0</v>
      </c>
      <c r="AE809">
        <v>3246.35</v>
      </c>
      <c r="AF809">
        <v>0</v>
      </c>
      <c r="AG809">
        <v>0</v>
      </c>
      <c r="AH809">
        <v>0</v>
      </c>
      <c r="AI809">
        <v>1</v>
      </c>
      <c r="AJ809">
        <v>1</v>
      </c>
      <c r="AK809">
        <v>1</v>
      </c>
      <c r="AL809">
        <v>1</v>
      </c>
      <c r="AN809">
        <v>0</v>
      </c>
      <c r="AO809">
        <v>1</v>
      </c>
      <c r="AP809">
        <v>1</v>
      </c>
      <c r="AQ809">
        <v>0</v>
      </c>
      <c r="AR809">
        <v>0</v>
      </c>
      <c r="AS809" t="s">
        <v>3</v>
      </c>
      <c r="AT809">
        <v>1.5999999999999999E-6</v>
      </c>
      <c r="AU809" t="s">
        <v>823</v>
      </c>
      <c r="AV809">
        <v>0</v>
      </c>
      <c r="AW809">
        <v>2</v>
      </c>
      <c r="AX809">
        <v>129764168</v>
      </c>
      <c r="AY809">
        <v>1</v>
      </c>
      <c r="AZ809">
        <v>0</v>
      </c>
      <c r="BA809">
        <v>773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0</v>
      </c>
      <c r="CX809">
        <f>ROUND(Y809*Source!I1003,9)</f>
        <v>0</v>
      </c>
      <c r="CY809">
        <f t="shared" si="370"/>
        <v>3246.35</v>
      </c>
      <c r="CZ809">
        <f t="shared" si="371"/>
        <v>3246.35</v>
      </c>
      <c r="DA809">
        <f t="shared" si="372"/>
        <v>1</v>
      </c>
      <c r="DB809">
        <f t="shared" si="373"/>
        <v>0</v>
      </c>
      <c r="DC809">
        <f t="shared" si="374"/>
        <v>0</v>
      </c>
      <c r="DD809" t="s">
        <v>3</v>
      </c>
      <c r="DE809" t="s">
        <v>3</v>
      </c>
      <c r="DF809">
        <f t="shared" si="368"/>
        <v>0</v>
      </c>
      <c r="DG809">
        <f t="shared" si="363"/>
        <v>0</v>
      </c>
      <c r="DH809">
        <f t="shared" si="364"/>
        <v>0</v>
      </c>
      <c r="DI809">
        <f t="shared" si="361"/>
        <v>0</v>
      </c>
      <c r="DJ809">
        <f t="shared" si="375"/>
        <v>0</v>
      </c>
      <c r="DK809">
        <v>0</v>
      </c>
    </row>
    <row r="810" spans="1:115" x14ac:dyDescent="0.2">
      <c r="A810">
        <f>ROW(Source!A1003)</f>
        <v>1003</v>
      </c>
      <c r="B810">
        <v>129761636</v>
      </c>
      <c r="C810">
        <v>129764147</v>
      </c>
      <c r="D810">
        <v>37395903</v>
      </c>
      <c r="E810">
        <v>1</v>
      </c>
      <c r="F810">
        <v>1</v>
      </c>
      <c r="G810">
        <v>37345137</v>
      </c>
      <c r="H810">
        <v>3</v>
      </c>
      <c r="I810" t="s">
        <v>1362</v>
      </c>
      <c r="J810" t="s">
        <v>1363</v>
      </c>
      <c r="K810" t="s">
        <v>1364</v>
      </c>
      <c r="L810">
        <v>1346</v>
      </c>
      <c r="N810">
        <v>1009</v>
      </c>
      <c r="O810" t="s">
        <v>369</v>
      </c>
      <c r="P810" t="s">
        <v>369</v>
      </c>
      <c r="Q810">
        <v>1</v>
      </c>
      <c r="W810">
        <v>0</v>
      </c>
      <c r="X810">
        <v>1061104562</v>
      </c>
      <c r="Y810">
        <f t="shared" si="369"/>
        <v>0</v>
      </c>
      <c r="AA810">
        <v>45.16</v>
      </c>
      <c r="AB810">
        <v>0</v>
      </c>
      <c r="AC810">
        <v>0</v>
      </c>
      <c r="AD810">
        <v>0</v>
      </c>
      <c r="AE810">
        <v>45.16</v>
      </c>
      <c r="AF810">
        <v>0</v>
      </c>
      <c r="AG810">
        <v>0</v>
      </c>
      <c r="AH810">
        <v>0</v>
      </c>
      <c r="AI810">
        <v>1</v>
      </c>
      <c r="AJ810">
        <v>1</v>
      </c>
      <c r="AK810">
        <v>1</v>
      </c>
      <c r="AL810">
        <v>1</v>
      </c>
      <c r="AN810">
        <v>0</v>
      </c>
      <c r="AO810">
        <v>1</v>
      </c>
      <c r="AP810">
        <v>1</v>
      </c>
      <c r="AQ810">
        <v>0</v>
      </c>
      <c r="AR810">
        <v>0</v>
      </c>
      <c r="AS810" t="s">
        <v>3</v>
      </c>
      <c r="AT810">
        <v>0.55000000000000004</v>
      </c>
      <c r="AU810" t="s">
        <v>823</v>
      </c>
      <c r="AV810">
        <v>0</v>
      </c>
      <c r="AW810">
        <v>2</v>
      </c>
      <c r="AX810">
        <v>129764169</v>
      </c>
      <c r="AY810">
        <v>1</v>
      </c>
      <c r="AZ810">
        <v>0</v>
      </c>
      <c r="BA810">
        <v>774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0</v>
      </c>
      <c r="CX810">
        <f>ROUND(Y810*Source!I1003,9)</f>
        <v>0</v>
      </c>
      <c r="CY810">
        <f t="shared" si="370"/>
        <v>45.16</v>
      </c>
      <c r="CZ810">
        <f t="shared" si="371"/>
        <v>45.16</v>
      </c>
      <c r="DA810">
        <f t="shared" si="372"/>
        <v>1</v>
      </c>
      <c r="DB810">
        <f t="shared" si="373"/>
        <v>0</v>
      </c>
      <c r="DC810">
        <f t="shared" si="374"/>
        <v>0</v>
      </c>
      <c r="DD810" t="s">
        <v>3</v>
      </c>
      <c r="DE810" t="s">
        <v>3</v>
      </c>
      <c r="DF810">
        <f t="shared" si="368"/>
        <v>0</v>
      </c>
      <c r="DG810">
        <f t="shared" si="363"/>
        <v>0</v>
      </c>
      <c r="DH810">
        <f t="shared" si="364"/>
        <v>0</v>
      </c>
      <c r="DI810">
        <f t="shared" si="361"/>
        <v>0</v>
      </c>
      <c r="DJ810">
        <f t="shared" si="375"/>
        <v>0</v>
      </c>
      <c r="DK810">
        <v>0</v>
      </c>
    </row>
    <row r="811" spans="1:115" x14ac:dyDescent="0.2">
      <c r="A811">
        <f>ROW(Source!A1003)</f>
        <v>1003</v>
      </c>
      <c r="B811">
        <v>129761636</v>
      </c>
      <c r="C811">
        <v>129764147</v>
      </c>
      <c r="D811">
        <v>37393818</v>
      </c>
      <c r="E811">
        <v>1</v>
      </c>
      <c r="F811">
        <v>1</v>
      </c>
      <c r="G811">
        <v>37345137</v>
      </c>
      <c r="H811">
        <v>3</v>
      </c>
      <c r="I811" t="s">
        <v>1365</v>
      </c>
      <c r="J811" t="s">
        <v>1366</v>
      </c>
      <c r="K811" t="s">
        <v>1367</v>
      </c>
      <c r="L811">
        <v>1346</v>
      </c>
      <c r="N811">
        <v>1009</v>
      </c>
      <c r="O811" t="s">
        <v>369</v>
      </c>
      <c r="P811" t="s">
        <v>369</v>
      </c>
      <c r="Q811">
        <v>1</v>
      </c>
      <c r="W811">
        <v>0</v>
      </c>
      <c r="X811">
        <v>-291619796</v>
      </c>
      <c r="Y811">
        <f t="shared" si="369"/>
        <v>0</v>
      </c>
      <c r="AA811">
        <v>43.74</v>
      </c>
      <c r="AB811">
        <v>0</v>
      </c>
      <c r="AC811">
        <v>0</v>
      </c>
      <c r="AD811">
        <v>0</v>
      </c>
      <c r="AE811">
        <v>43.74</v>
      </c>
      <c r="AF811">
        <v>0</v>
      </c>
      <c r="AG811">
        <v>0</v>
      </c>
      <c r="AH811">
        <v>0</v>
      </c>
      <c r="AI811">
        <v>1</v>
      </c>
      <c r="AJ811">
        <v>1</v>
      </c>
      <c r="AK811">
        <v>1</v>
      </c>
      <c r="AL811">
        <v>1</v>
      </c>
      <c r="AN811">
        <v>0</v>
      </c>
      <c r="AO811">
        <v>1</v>
      </c>
      <c r="AP811">
        <v>1</v>
      </c>
      <c r="AQ811">
        <v>0</v>
      </c>
      <c r="AR811">
        <v>0</v>
      </c>
      <c r="AS811" t="s">
        <v>3</v>
      </c>
      <c r="AT811">
        <v>0.25</v>
      </c>
      <c r="AU811" t="s">
        <v>823</v>
      </c>
      <c r="AV811">
        <v>0</v>
      </c>
      <c r="AW811">
        <v>2</v>
      </c>
      <c r="AX811">
        <v>129764170</v>
      </c>
      <c r="AY811">
        <v>1</v>
      </c>
      <c r="AZ811">
        <v>0</v>
      </c>
      <c r="BA811">
        <v>775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0</v>
      </c>
      <c r="CX811">
        <f>ROUND(Y811*Source!I1003,9)</f>
        <v>0</v>
      </c>
      <c r="CY811">
        <f t="shared" si="370"/>
        <v>43.74</v>
      </c>
      <c r="CZ811">
        <f t="shared" si="371"/>
        <v>43.74</v>
      </c>
      <c r="DA811">
        <f t="shared" si="372"/>
        <v>1</v>
      </c>
      <c r="DB811">
        <f t="shared" si="373"/>
        <v>0</v>
      </c>
      <c r="DC811">
        <f t="shared" si="374"/>
        <v>0</v>
      </c>
      <c r="DD811" t="s">
        <v>3</v>
      </c>
      <c r="DE811" t="s">
        <v>3</v>
      </c>
      <c r="DF811">
        <f t="shared" si="368"/>
        <v>0</v>
      </c>
      <c r="DG811">
        <f t="shared" si="363"/>
        <v>0</v>
      </c>
      <c r="DH811">
        <f t="shared" si="364"/>
        <v>0</v>
      </c>
      <c r="DI811">
        <f t="shared" si="361"/>
        <v>0</v>
      </c>
      <c r="DJ811">
        <f t="shared" si="375"/>
        <v>0</v>
      </c>
      <c r="DK811">
        <v>0</v>
      </c>
    </row>
    <row r="812" spans="1:115" x14ac:dyDescent="0.2">
      <c r="A812">
        <f>ROW(Source!A1003)</f>
        <v>1003</v>
      </c>
      <c r="B812">
        <v>129761636</v>
      </c>
      <c r="C812">
        <v>129764147</v>
      </c>
      <c r="D812">
        <v>37367082</v>
      </c>
      <c r="E812">
        <v>37345137</v>
      </c>
      <c r="F812">
        <v>1</v>
      </c>
      <c r="G812">
        <v>37345137</v>
      </c>
      <c r="H812">
        <v>3</v>
      </c>
      <c r="I812" t="s">
        <v>1136</v>
      </c>
      <c r="J812" t="s">
        <v>3</v>
      </c>
      <c r="K812" t="s">
        <v>1137</v>
      </c>
      <c r="L812">
        <v>1344</v>
      </c>
      <c r="N812">
        <v>1008</v>
      </c>
      <c r="O812" t="s">
        <v>1138</v>
      </c>
      <c r="P812" t="s">
        <v>1138</v>
      </c>
      <c r="Q812">
        <v>1</v>
      </c>
      <c r="W812">
        <v>0</v>
      </c>
      <c r="X812">
        <v>-94250534</v>
      </c>
      <c r="Y812">
        <f t="shared" si="369"/>
        <v>0</v>
      </c>
      <c r="AA812">
        <v>1</v>
      </c>
      <c r="AB812">
        <v>0</v>
      </c>
      <c r="AC812">
        <v>0</v>
      </c>
      <c r="AD812">
        <v>0</v>
      </c>
      <c r="AE812">
        <v>1</v>
      </c>
      <c r="AF812">
        <v>0</v>
      </c>
      <c r="AG812">
        <v>0</v>
      </c>
      <c r="AH812">
        <v>0</v>
      </c>
      <c r="AI812">
        <v>1</v>
      </c>
      <c r="AJ812">
        <v>1</v>
      </c>
      <c r="AK812">
        <v>1</v>
      </c>
      <c r="AL812">
        <v>1</v>
      </c>
      <c r="AN812">
        <v>0</v>
      </c>
      <c r="AO812">
        <v>1</v>
      </c>
      <c r="AP812">
        <v>1</v>
      </c>
      <c r="AQ812">
        <v>0</v>
      </c>
      <c r="AR812">
        <v>0</v>
      </c>
      <c r="AS812" t="s">
        <v>3</v>
      </c>
      <c r="AT812">
        <v>0.04</v>
      </c>
      <c r="AU812" t="s">
        <v>823</v>
      </c>
      <c r="AV812">
        <v>0</v>
      </c>
      <c r="AW812">
        <v>2</v>
      </c>
      <c r="AX812">
        <v>129764175</v>
      </c>
      <c r="AY812">
        <v>1</v>
      </c>
      <c r="AZ812">
        <v>0</v>
      </c>
      <c r="BA812">
        <v>780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0</v>
      </c>
      <c r="CX812">
        <f>ROUND(Y812*Source!I1003,9)</f>
        <v>0</v>
      </c>
      <c r="CY812">
        <f t="shared" si="370"/>
        <v>1</v>
      </c>
      <c r="CZ812">
        <f t="shared" si="371"/>
        <v>1</v>
      </c>
      <c r="DA812">
        <f t="shared" si="372"/>
        <v>1</v>
      </c>
      <c r="DB812">
        <f t="shared" si="373"/>
        <v>0</v>
      </c>
      <c r="DC812">
        <f t="shared" si="374"/>
        <v>0</v>
      </c>
      <c r="DD812" t="s">
        <v>3</v>
      </c>
      <c r="DE812" t="s">
        <v>3</v>
      </c>
      <c r="DF812">
        <f t="shared" si="368"/>
        <v>0</v>
      </c>
      <c r="DG812">
        <f t="shared" si="363"/>
        <v>0</v>
      </c>
      <c r="DH812">
        <f t="shared" si="364"/>
        <v>0</v>
      </c>
      <c r="DI812">
        <f t="shared" si="361"/>
        <v>0</v>
      </c>
      <c r="DJ812">
        <f t="shared" si="375"/>
        <v>0</v>
      </c>
      <c r="DK812">
        <v>0</v>
      </c>
    </row>
    <row r="813" spans="1:115" x14ac:dyDescent="0.2">
      <c r="A813">
        <f>ROW(Source!A1004)</f>
        <v>1004</v>
      </c>
      <c r="B813">
        <v>129761633</v>
      </c>
      <c r="C813">
        <v>129764147</v>
      </c>
      <c r="D813">
        <v>37345142</v>
      </c>
      <c r="E813">
        <v>37345137</v>
      </c>
      <c r="F813">
        <v>1</v>
      </c>
      <c r="G813">
        <v>37345137</v>
      </c>
      <c r="H813">
        <v>1</v>
      </c>
      <c r="I813" t="s">
        <v>1096</v>
      </c>
      <c r="J813" t="s">
        <v>3</v>
      </c>
      <c r="K813" t="s">
        <v>1097</v>
      </c>
      <c r="L813">
        <v>1191</v>
      </c>
      <c r="N813">
        <v>1013</v>
      </c>
      <c r="O813" t="s">
        <v>1098</v>
      </c>
      <c r="P813" t="s">
        <v>1098</v>
      </c>
      <c r="Q813">
        <v>1</v>
      </c>
      <c r="W813">
        <v>0</v>
      </c>
      <c r="X813">
        <v>476480486</v>
      </c>
      <c r="Y813">
        <f>(AT813*0.6)</f>
        <v>98.399999999999991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1</v>
      </c>
      <c r="AJ813">
        <v>1</v>
      </c>
      <c r="AK813">
        <v>1</v>
      </c>
      <c r="AL813">
        <v>1</v>
      </c>
      <c r="AN813">
        <v>0</v>
      </c>
      <c r="AO813">
        <v>1</v>
      </c>
      <c r="AP813">
        <v>1</v>
      </c>
      <c r="AQ813">
        <v>0</v>
      </c>
      <c r="AR813">
        <v>0</v>
      </c>
      <c r="AS813" t="s">
        <v>3</v>
      </c>
      <c r="AT813">
        <v>164</v>
      </c>
      <c r="AU813" t="s">
        <v>142</v>
      </c>
      <c r="AV813">
        <v>1</v>
      </c>
      <c r="AW813">
        <v>2</v>
      </c>
      <c r="AX813">
        <v>129764160</v>
      </c>
      <c r="AY813">
        <v>1</v>
      </c>
      <c r="AZ813">
        <v>0</v>
      </c>
      <c r="BA813">
        <v>781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CX813">
        <f>ROUND(Y813*Source!I1004,9)</f>
        <v>9.84</v>
      </c>
      <c r="CY813">
        <f>AD813</f>
        <v>0</v>
      </c>
      <c r="CZ813">
        <f>AH813</f>
        <v>0</v>
      </c>
      <c r="DA813">
        <f>AL813</f>
        <v>1</v>
      </c>
      <c r="DB813">
        <f>ROUND((ROUND(AT813*CZ813,2)*0.6),6)</f>
        <v>0</v>
      </c>
      <c r="DC813">
        <f>ROUND((ROUND(AT813*AG813,2)*0.6),6)</f>
        <v>0</v>
      </c>
      <c r="DD813" t="s">
        <v>3</v>
      </c>
      <c r="DE813" t="s">
        <v>3</v>
      </c>
      <c r="DF813">
        <f t="shared" si="368"/>
        <v>0</v>
      </c>
      <c r="DG813">
        <f t="shared" si="363"/>
        <v>0</v>
      </c>
      <c r="DH813">
        <f t="shared" si="364"/>
        <v>0</v>
      </c>
      <c r="DI813">
        <f t="shared" si="361"/>
        <v>0</v>
      </c>
      <c r="DJ813">
        <f>DI813</f>
        <v>0</v>
      </c>
      <c r="DK813">
        <v>0</v>
      </c>
    </row>
    <row r="814" spans="1:115" x14ac:dyDescent="0.2">
      <c r="A814">
        <f>ROW(Source!A1004)</f>
        <v>1004</v>
      </c>
      <c r="B814">
        <v>129761633</v>
      </c>
      <c r="C814">
        <v>129764147</v>
      </c>
      <c r="D814">
        <v>41572463</v>
      </c>
      <c r="E814">
        <v>1</v>
      </c>
      <c r="F814">
        <v>1</v>
      </c>
      <c r="G814">
        <v>37345137</v>
      </c>
      <c r="H814">
        <v>2</v>
      </c>
      <c r="I814" t="s">
        <v>1347</v>
      </c>
      <c r="J814" t="s">
        <v>1348</v>
      </c>
      <c r="K814" t="s">
        <v>1349</v>
      </c>
      <c r="L814">
        <v>1367</v>
      </c>
      <c r="N814">
        <v>1011</v>
      </c>
      <c r="O814" t="s">
        <v>1102</v>
      </c>
      <c r="P814" t="s">
        <v>1102</v>
      </c>
      <c r="Q814">
        <v>1</v>
      </c>
      <c r="W814">
        <v>0</v>
      </c>
      <c r="X814">
        <v>162885925</v>
      </c>
      <c r="Y814">
        <f>(AT814*0.6)</f>
        <v>6.8579999999999997</v>
      </c>
      <c r="AA814">
        <v>0</v>
      </c>
      <c r="AB814">
        <v>14.65</v>
      </c>
      <c r="AC814">
        <v>0.31</v>
      </c>
      <c r="AD814">
        <v>0</v>
      </c>
      <c r="AE814">
        <v>0</v>
      </c>
      <c r="AF814">
        <v>1.42</v>
      </c>
      <c r="AG814">
        <v>0.01</v>
      </c>
      <c r="AH814">
        <v>0</v>
      </c>
      <c r="AI814">
        <v>1</v>
      </c>
      <c r="AJ814">
        <v>9.67</v>
      </c>
      <c r="AK814">
        <v>29.03</v>
      </c>
      <c r="AL814">
        <v>1</v>
      </c>
      <c r="AN814">
        <v>0</v>
      </c>
      <c r="AO814">
        <v>1</v>
      </c>
      <c r="AP814">
        <v>1</v>
      </c>
      <c r="AQ814">
        <v>0</v>
      </c>
      <c r="AR814">
        <v>0</v>
      </c>
      <c r="AS814" t="s">
        <v>3</v>
      </c>
      <c r="AT814">
        <v>11.43</v>
      </c>
      <c r="AU814" t="s">
        <v>142</v>
      </c>
      <c r="AV814">
        <v>0</v>
      </c>
      <c r="AW814">
        <v>2</v>
      </c>
      <c r="AX814">
        <v>129764161</v>
      </c>
      <c r="AY814">
        <v>1</v>
      </c>
      <c r="AZ814">
        <v>0</v>
      </c>
      <c r="BA814">
        <v>782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0</v>
      </c>
      <c r="BV814">
        <v>0</v>
      </c>
      <c r="BW814">
        <v>0</v>
      </c>
      <c r="CX814">
        <f>ROUND(Y814*Source!I1004,9)</f>
        <v>0.68579999999999997</v>
      </c>
      <c r="CY814">
        <f>AB814</f>
        <v>14.65</v>
      </c>
      <c r="CZ814">
        <f>AF814</f>
        <v>1.42</v>
      </c>
      <c r="DA814">
        <f>AJ814</f>
        <v>9.67</v>
      </c>
      <c r="DB814">
        <f>ROUND((ROUND(AT814*CZ814,2)*0.6),6)</f>
        <v>9.7379999999999995</v>
      </c>
      <c r="DC814">
        <f>ROUND((ROUND(AT814*AG814,2)*0.6),6)</f>
        <v>6.6000000000000003E-2</v>
      </c>
      <c r="DD814" t="s">
        <v>3</v>
      </c>
      <c r="DE814" t="s">
        <v>3</v>
      </c>
      <c r="DF814">
        <f t="shared" si="368"/>
        <v>0</v>
      </c>
      <c r="DG814">
        <f>ROUND(ROUND(AF814*CX814,2)*AJ814,2)</f>
        <v>9.3800000000000008</v>
      </c>
      <c r="DH814">
        <f>ROUND(ROUND(AG814*CX814,2)*AK814,2)</f>
        <v>0.28999999999999998</v>
      </c>
      <c r="DI814">
        <f t="shared" si="361"/>
        <v>0</v>
      </c>
      <c r="DJ814">
        <f>DG814</f>
        <v>9.3800000000000008</v>
      </c>
      <c r="DK814">
        <v>0</v>
      </c>
    </row>
    <row r="815" spans="1:115" x14ac:dyDescent="0.2">
      <c r="A815">
        <f>ROW(Source!A1004)</f>
        <v>1004</v>
      </c>
      <c r="B815">
        <v>129761633</v>
      </c>
      <c r="C815">
        <v>129764147</v>
      </c>
      <c r="D815">
        <v>37418445</v>
      </c>
      <c r="E815">
        <v>1</v>
      </c>
      <c r="F815">
        <v>1</v>
      </c>
      <c r="G815">
        <v>37345137</v>
      </c>
      <c r="H815">
        <v>2</v>
      </c>
      <c r="I815" t="s">
        <v>1189</v>
      </c>
      <c r="J815" t="s">
        <v>1190</v>
      </c>
      <c r="K815" t="s">
        <v>1191</v>
      </c>
      <c r="L815">
        <v>1367</v>
      </c>
      <c r="N815">
        <v>1011</v>
      </c>
      <c r="O815" t="s">
        <v>1102</v>
      </c>
      <c r="P815" t="s">
        <v>1102</v>
      </c>
      <c r="Q815">
        <v>1</v>
      </c>
      <c r="W815">
        <v>0</v>
      </c>
      <c r="X815">
        <v>-628430174</v>
      </c>
      <c r="Y815">
        <f>(AT815*0.6)</f>
        <v>0.12</v>
      </c>
      <c r="AA815">
        <v>0</v>
      </c>
      <c r="AB815">
        <v>935.94</v>
      </c>
      <c r="AC815">
        <v>444.8</v>
      </c>
      <c r="AD815">
        <v>0</v>
      </c>
      <c r="AE815">
        <v>0</v>
      </c>
      <c r="AF815">
        <v>76.81</v>
      </c>
      <c r="AG815">
        <v>14.36</v>
      </c>
      <c r="AH815">
        <v>0</v>
      </c>
      <c r="AI815">
        <v>1</v>
      </c>
      <c r="AJ815">
        <v>11.42</v>
      </c>
      <c r="AK815">
        <v>29.03</v>
      </c>
      <c r="AL815">
        <v>1</v>
      </c>
      <c r="AN815">
        <v>0</v>
      </c>
      <c r="AO815">
        <v>1</v>
      </c>
      <c r="AP815">
        <v>1</v>
      </c>
      <c r="AQ815">
        <v>0</v>
      </c>
      <c r="AR815">
        <v>0</v>
      </c>
      <c r="AS815" t="s">
        <v>3</v>
      </c>
      <c r="AT815">
        <v>0.2</v>
      </c>
      <c r="AU815" t="s">
        <v>142</v>
      </c>
      <c r="AV815">
        <v>0</v>
      </c>
      <c r="AW815">
        <v>2</v>
      </c>
      <c r="AX815">
        <v>129764162</v>
      </c>
      <c r="AY815">
        <v>1</v>
      </c>
      <c r="AZ815">
        <v>0</v>
      </c>
      <c r="BA815">
        <v>783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0</v>
      </c>
      <c r="BW815">
        <v>0</v>
      </c>
      <c r="CX815">
        <f>ROUND(Y815*Source!I1004,9)</f>
        <v>1.2E-2</v>
      </c>
      <c r="CY815">
        <f>AB815</f>
        <v>935.94</v>
      </c>
      <c r="CZ815">
        <f>AF815</f>
        <v>76.81</v>
      </c>
      <c r="DA815">
        <f>AJ815</f>
        <v>11.42</v>
      </c>
      <c r="DB815">
        <f>ROUND((ROUND(AT815*CZ815,2)*0.6),6)</f>
        <v>9.2159999999999993</v>
      </c>
      <c r="DC815">
        <f>ROUND((ROUND(AT815*AG815,2)*0.6),6)</f>
        <v>1.722</v>
      </c>
      <c r="DD815" t="s">
        <v>3</v>
      </c>
      <c r="DE815" t="s">
        <v>3</v>
      </c>
      <c r="DF815">
        <f t="shared" si="368"/>
        <v>0</v>
      </c>
      <c r="DG815">
        <f>ROUND(ROUND(AF815*CX815,2)*AJ815,2)</f>
        <v>10.51</v>
      </c>
      <c r="DH815">
        <f>ROUND(ROUND(AG815*CX815,2)*AK815,2)</f>
        <v>4.9400000000000004</v>
      </c>
      <c r="DI815">
        <f t="shared" si="361"/>
        <v>0</v>
      </c>
      <c r="DJ815">
        <f>DG815</f>
        <v>10.51</v>
      </c>
      <c r="DK815">
        <v>0</v>
      </c>
    </row>
    <row r="816" spans="1:115" x14ac:dyDescent="0.2">
      <c r="A816">
        <f>ROW(Source!A1004)</f>
        <v>1004</v>
      </c>
      <c r="B816">
        <v>129761633</v>
      </c>
      <c r="C816">
        <v>129764147</v>
      </c>
      <c r="D816">
        <v>37417692</v>
      </c>
      <c r="E816">
        <v>1</v>
      </c>
      <c r="F816">
        <v>1</v>
      </c>
      <c r="G816">
        <v>37345137</v>
      </c>
      <c r="H816">
        <v>2</v>
      </c>
      <c r="I816" t="s">
        <v>1127</v>
      </c>
      <c r="J816" t="s">
        <v>1128</v>
      </c>
      <c r="K816" t="s">
        <v>1129</v>
      </c>
      <c r="L816">
        <v>1367</v>
      </c>
      <c r="N816">
        <v>1011</v>
      </c>
      <c r="O816" t="s">
        <v>1102</v>
      </c>
      <c r="P816" t="s">
        <v>1102</v>
      </c>
      <c r="Q816">
        <v>1</v>
      </c>
      <c r="W816">
        <v>0</v>
      </c>
      <c r="X816">
        <v>-266174272</v>
      </c>
      <c r="Y816">
        <f>(AT816*0.6)</f>
        <v>1.7999999999999999E-2</v>
      </c>
      <c r="AA816">
        <v>0</v>
      </c>
      <c r="AB816">
        <v>2098.34</v>
      </c>
      <c r="AC816">
        <v>562.20000000000005</v>
      </c>
      <c r="AD816">
        <v>0</v>
      </c>
      <c r="AE816">
        <v>0</v>
      </c>
      <c r="AF816">
        <v>190.93</v>
      </c>
      <c r="AG816">
        <v>18.149999999999999</v>
      </c>
      <c r="AH816">
        <v>0</v>
      </c>
      <c r="AI816">
        <v>1</v>
      </c>
      <c r="AJ816">
        <v>10.3</v>
      </c>
      <c r="AK816">
        <v>29.03</v>
      </c>
      <c r="AL816">
        <v>1</v>
      </c>
      <c r="AN816">
        <v>0</v>
      </c>
      <c r="AO816">
        <v>1</v>
      </c>
      <c r="AP816">
        <v>1</v>
      </c>
      <c r="AQ816">
        <v>0</v>
      </c>
      <c r="AR816">
        <v>0</v>
      </c>
      <c r="AS816" t="s">
        <v>3</v>
      </c>
      <c r="AT816">
        <v>0.03</v>
      </c>
      <c r="AU816" t="s">
        <v>142</v>
      </c>
      <c r="AV816">
        <v>0</v>
      </c>
      <c r="AW816">
        <v>2</v>
      </c>
      <c r="AX816">
        <v>129764163</v>
      </c>
      <c r="AY816">
        <v>1</v>
      </c>
      <c r="AZ816">
        <v>0</v>
      </c>
      <c r="BA816">
        <v>784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0</v>
      </c>
      <c r="BS816">
        <v>0</v>
      </c>
      <c r="BT816">
        <v>0</v>
      </c>
      <c r="BU816">
        <v>0</v>
      </c>
      <c r="BV816">
        <v>0</v>
      </c>
      <c r="BW816">
        <v>0</v>
      </c>
      <c r="CX816">
        <f>ROUND(Y816*Source!I1004,9)</f>
        <v>1.8E-3</v>
      </c>
      <c r="CY816">
        <f>AB816</f>
        <v>2098.34</v>
      </c>
      <c r="CZ816">
        <f>AF816</f>
        <v>190.93</v>
      </c>
      <c r="DA816">
        <f>AJ816</f>
        <v>10.3</v>
      </c>
      <c r="DB816">
        <f>ROUND((ROUND(AT816*CZ816,2)*0.6),6)</f>
        <v>3.4380000000000002</v>
      </c>
      <c r="DC816">
        <f>ROUND((ROUND(AT816*AG816,2)*0.6),6)</f>
        <v>0.32400000000000001</v>
      </c>
      <c r="DD816" t="s">
        <v>3</v>
      </c>
      <c r="DE816" t="s">
        <v>3</v>
      </c>
      <c r="DF816">
        <f t="shared" si="368"/>
        <v>0</v>
      </c>
      <c r="DG816">
        <f>ROUND(ROUND(AF816*CX816,2)*AJ816,2)</f>
        <v>3.5</v>
      </c>
      <c r="DH816">
        <f>ROUND(ROUND(AG816*CX816,2)*AK816,2)</f>
        <v>0.87</v>
      </c>
      <c r="DI816">
        <f t="shared" si="361"/>
        <v>0</v>
      </c>
      <c r="DJ816">
        <f>DG816</f>
        <v>3.5</v>
      </c>
      <c r="DK816">
        <v>0</v>
      </c>
    </row>
    <row r="817" spans="1:115" x14ac:dyDescent="0.2">
      <c r="A817">
        <f>ROW(Source!A1004)</f>
        <v>1004</v>
      </c>
      <c r="B817">
        <v>129761633</v>
      </c>
      <c r="C817">
        <v>129764147</v>
      </c>
      <c r="D817">
        <v>37393552</v>
      </c>
      <c r="E817">
        <v>1</v>
      </c>
      <c r="F817">
        <v>1</v>
      </c>
      <c r="G817">
        <v>37345137</v>
      </c>
      <c r="H817">
        <v>3</v>
      </c>
      <c r="I817" t="s">
        <v>348</v>
      </c>
      <c r="J817" t="s">
        <v>350</v>
      </c>
      <c r="K817" t="s">
        <v>349</v>
      </c>
      <c r="L817">
        <v>1339</v>
      </c>
      <c r="N817">
        <v>1007</v>
      </c>
      <c r="O817" t="s">
        <v>94</v>
      </c>
      <c r="P817" t="s">
        <v>94</v>
      </c>
      <c r="Q817">
        <v>1</v>
      </c>
      <c r="W817">
        <v>0</v>
      </c>
      <c r="X817">
        <v>-862991314</v>
      </c>
      <c r="Y817">
        <f t="shared" ref="Y817:Y824" si="376">(AT817*0)</f>
        <v>0</v>
      </c>
      <c r="AA817">
        <v>42.42</v>
      </c>
      <c r="AB817">
        <v>0</v>
      </c>
      <c r="AC817">
        <v>0</v>
      </c>
      <c r="AD817">
        <v>0</v>
      </c>
      <c r="AE817">
        <v>7.07</v>
      </c>
      <c r="AF817">
        <v>0</v>
      </c>
      <c r="AG817">
        <v>0</v>
      </c>
      <c r="AH817">
        <v>0</v>
      </c>
      <c r="AI817">
        <v>6</v>
      </c>
      <c r="AJ817">
        <v>1</v>
      </c>
      <c r="AK817">
        <v>1</v>
      </c>
      <c r="AL817">
        <v>1</v>
      </c>
      <c r="AN817">
        <v>0</v>
      </c>
      <c r="AO817">
        <v>1</v>
      </c>
      <c r="AP817">
        <v>1</v>
      </c>
      <c r="AQ817">
        <v>0</v>
      </c>
      <c r="AR817">
        <v>0</v>
      </c>
      <c r="AS817" t="s">
        <v>3</v>
      </c>
      <c r="AT817">
        <v>6.3E-2</v>
      </c>
      <c r="AU817" t="s">
        <v>823</v>
      </c>
      <c r="AV817">
        <v>0</v>
      </c>
      <c r="AW817">
        <v>2</v>
      </c>
      <c r="AX817">
        <v>129764164</v>
      </c>
      <c r="AY817">
        <v>1</v>
      </c>
      <c r="AZ817">
        <v>0</v>
      </c>
      <c r="BA817">
        <v>785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0</v>
      </c>
      <c r="BW817">
        <v>0</v>
      </c>
      <c r="CX817">
        <f>ROUND(Y817*Source!I1004,9)</f>
        <v>0</v>
      </c>
      <c r="CY817">
        <f t="shared" ref="CY817:CY824" si="377">AA817</f>
        <v>42.42</v>
      </c>
      <c r="CZ817">
        <f t="shared" ref="CZ817:CZ824" si="378">AE817</f>
        <v>7.07</v>
      </c>
      <c r="DA817">
        <f t="shared" ref="DA817:DA824" si="379">AI817</f>
        <v>6</v>
      </c>
      <c r="DB817">
        <f t="shared" ref="DB817:DB824" si="380">ROUND((ROUND(AT817*CZ817,2)*0),6)</f>
        <v>0</v>
      </c>
      <c r="DC817">
        <f t="shared" ref="DC817:DC824" si="381">ROUND((ROUND(AT817*AG817,2)*0),6)</f>
        <v>0</v>
      </c>
      <c r="DD817" t="s">
        <v>3</v>
      </c>
      <c r="DE817" t="s">
        <v>3</v>
      </c>
      <c r="DF817">
        <f t="shared" ref="DF817:DF824" si="382">ROUND(ROUND(AE817*CX817,2)*AI817,2)</f>
        <v>0</v>
      </c>
      <c r="DG817">
        <f t="shared" ref="DG817:DG852" si="383">ROUND(AF817*CX817,2)</f>
        <v>0</v>
      </c>
      <c r="DH817">
        <f t="shared" ref="DH817:DH852" si="384">ROUND(AG817*CX817,2)</f>
        <v>0</v>
      </c>
      <c r="DI817">
        <f t="shared" si="361"/>
        <v>0</v>
      </c>
      <c r="DJ817">
        <f t="shared" ref="DJ817:DJ824" si="385">DF817</f>
        <v>0</v>
      </c>
      <c r="DK817">
        <v>0</v>
      </c>
    </row>
    <row r="818" spans="1:115" x14ac:dyDescent="0.2">
      <c r="A818">
        <f>ROW(Source!A1004)</f>
        <v>1004</v>
      </c>
      <c r="B818">
        <v>129761633</v>
      </c>
      <c r="C818">
        <v>129764147</v>
      </c>
      <c r="D818">
        <v>37394915</v>
      </c>
      <c r="E818">
        <v>1</v>
      </c>
      <c r="F818">
        <v>1</v>
      </c>
      <c r="G818">
        <v>37345137</v>
      </c>
      <c r="H818">
        <v>3</v>
      </c>
      <c r="I818" t="s">
        <v>1350</v>
      </c>
      <c r="J818" t="s">
        <v>1351</v>
      </c>
      <c r="K818" t="s">
        <v>1352</v>
      </c>
      <c r="L818">
        <v>1355</v>
      </c>
      <c r="N818">
        <v>1010</v>
      </c>
      <c r="O818" t="s">
        <v>551</v>
      </c>
      <c r="P818" t="s">
        <v>551</v>
      </c>
      <c r="Q818">
        <v>100</v>
      </c>
      <c r="W818">
        <v>0</v>
      </c>
      <c r="X818">
        <v>1356090561</v>
      </c>
      <c r="Y818">
        <f t="shared" si="376"/>
        <v>0</v>
      </c>
      <c r="AA818">
        <v>2198.4699999999998</v>
      </c>
      <c r="AB818">
        <v>0</v>
      </c>
      <c r="AC818">
        <v>0</v>
      </c>
      <c r="AD818">
        <v>0</v>
      </c>
      <c r="AE818">
        <v>180.35</v>
      </c>
      <c r="AF818">
        <v>0</v>
      </c>
      <c r="AG818">
        <v>0</v>
      </c>
      <c r="AH818">
        <v>0</v>
      </c>
      <c r="AI818">
        <v>12.19</v>
      </c>
      <c r="AJ818">
        <v>1</v>
      </c>
      <c r="AK818">
        <v>1</v>
      </c>
      <c r="AL818">
        <v>1</v>
      </c>
      <c r="AN818">
        <v>0</v>
      </c>
      <c r="AO818">
        <v>1</v>
      </c>
      <c r="AP818">
        <v>1</v>
      </c>
      <c r="AQ818">
        <v>0</v>
      </c>
      <c r="AR818">
        <v>0</v>
      </c>
      <c r="AS818" t="s">
        <v>3</v>
      </c>
      <c r="AT818">
        <v>1</v>
      </c>
      <c r="AU818" t="s">
        <v>823</v>
      </c>
      <c r="AV818">
        <v>0</v>
      </c>
      <c r="AW818">
        <v>2</v>
      </c>
      <c r="AX818">
        <v>129764165</v>
      </c>
      <c r="AY818">
        <v>1</v>
      </c>
      <c r="AZ818">
        <v>0</v>
      </c>
      <c r="BA818">
        <v>786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0</v>
      </c>
      <c r="CX818">
        <f>ROUND(Y818*Source!I1004,9)</f>
        <v>0</v>
      </c>
      <c r="CY818">
        <f t="shared" si="377"/>
        <v>2198.4699999999998</v>
      </c>
      <c r="CZ818">
        <f t="shared" si="378"/>
        <v>180.35</v>
      </c>
      <c r="DA818">
        <f t="shared" si="379"/>
        <v>12.19</v>
      </c>
      <c r="DB818">
        <f t="shared" si="380"/>
        <v>0</v>
      </c>
      <c r="DC818">
        <f t="shared" si="381"/>
        <v>0</v>
      </c>
      <c r="DD818" t="s">
        <v>3</v>
      </c>
      <c r="DE818" t="s">
        <v>3</v>
      </c>
      <c r="DF818">
        <f t="shared" si="382"/>
        <v>0</v>
      </c>
      <c r="DG818">
        <f t="shared" si="383"/>
        <v>0</v>
      </c>
      <c r="DH818">
        <f t="shared" si="384"/>
        <v>0</v>
      </c>
      <c r="DI818">
        <f t="shared" si="361"/>
        <v>0</v>
      </c>
      <c r="DJ818">
        <f t="shared" si="385"/>
        <v>0</v>
      </c>
      <c r="DK818">
        <v>0</v>
      </c>
    </row>
    <row r="819" spans="1:115" x14ac:dyDescent="0.2">
      <c r="A819">
        <f>ROW(Source!A1004)</f>
        <v>1004</v>
      </c>
      <c r="B819">
        <v>129761633</v>
      </c>
      <c r="C819">
        <v>129764147</v>
      </c>
      <c r="D819">
        <v>37393665</v>
      </c>
      <c r="E819">
        <v>1</v>
      </c>
      <c r="F819">
        <v>1</v>
      </c>
      <c r="G819">
        <v>37345137</v>
      </c>
      <c r="H819">
        <v>3</v>
      </c>
      <c r="I819" t="s">
        <v>1353</v>
      </c>
      <c r="J819" t="s">
        <v>1354</v>
      </c>
      <c r="K819" t="s">
        <v>1355</v>
      </c>
      <c r="L819">
        <v>1348</v>
      </c>
      <c r="N819">
        <v>1009</v>
      </c>
      <c r="O819" t="s">
        <v>114</v>
      </c>
      <c r="P819" t="s">
        <v>114</v>
      </c>
      <c r="Q819">
        <v>1000</v>
      </c>
      <c r="W819">
        <v>0</v>
      </c>
      <c r="X819">
        <v>1693650758</v>
      </c>
      <c r="Y819">
        <f t="shared" si="376"/>
        <v>0</v>
      </c>
      <c r="AA819">
        <v>222435.83</v>
      </c>
      <c r="AB819">
        <v>0</v>
      </c>
      <c r="AC819">
        <v>0</v>
      </c>
      <c r="AD819">
        <v>0</v>
      </c>
      <c r="AE819">
        <v>20166.439999999999</v>
      </c>
      <c r="AF819">
        <v>0</v>
      </c>
      <c r="AG819">
        <v>0</v>
      </c>
      <c r="AH819">
        <v>0</v>
      </c>
      <c r="AI819">
        <v>11.03</v>
      </c>
      <c r="AJ819">
        <v>1</v>
      </c>
      <c r="AK819">
        <v>1</v>
      </c>
      <c r="AL819">
        <v>1</v>
      </c>
      <c r="AN819">
        <v>0</v>
      </c>
      <c r="AO819">
        <v>1</v>
      </c>
      <c r="AP819">
        <v>1</v>
      </c>
      <c r="AQ819">
        <v>0</v>
      </c>
      <c r="AR819">
        <v>0</v>
      </c>
      <c r="AS819" t="s">
        <v>3</v>
      </c>
      <c r="AT819">
        <v>8.4999999999999995E-4</v>
      </c>
      <c r="AU819" t="s">
        <v>823</v>
      </c>
      <c r="AV819">
        <v>0</v>
      </c>
      <c r="AW819">
        <v>2</v>
      </c>
      <c r="AX819">
        <v>129764166</v>
      </c>
      <c r="AY819">
        <v>1</v>
      </c>
      <c r="AZ819">
        <v>0</v>
      </c>
      <c r="BA819">
        <v>787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0</v>
      </c>
      <c r="BR819">
        <v>0</v>
      </c>
      <c r="BS819">
        <v>0</v>
      </c>
      <c r="BT819">
        <v>0</v>
      </c>
      <c r="BU819">
        <v>0</v>
      </c>
      <c r="BV819">
        <v>0</v>
      </c>
      <c r="BW819">
        <v>0</v>
      </c>
      <c r="CX819">
        <f>ROUND(Y819*Source!I1004,9)</f>
        <v>0</v>
      </c>
      <c r="CY819">
        <f t="shared" si="377"/>
        <v>222435.83</v>
      </c>
      <c r="CZ819">
        <f t="shared" si="378"/>
        <v>20166.439999999999</v>
      </c>
      <c r="DA819">
        <f t="shared" si="379"/>
        <v>11.03</v>
      </c>
      <c r="DB819">
        <f t="shared" si="380"/>
        <v>0</v>
      </c>
      <c r="DC819">
        <f t="shared" si="381"/>
        <v>0</v>
      </c>
      <c r="DD819" t="s">
        <v>3</v>
      </c>
      <c r="DE819" t="s">
        <v>3</v>
      </c>
      <c r="DF819">
        <f t="shared" si="382"/>
        <v>0</v>
      </c>
      <c r="DG819">
        <f t="shared" si="383"/>
        <v>0</v>
      </c>
      <c r="DH819">
        <f t="shared" si="384"/>
        <v>0</v>
      </c>
      <c r="DI819">
        <f t="shared" si="361"/>
        <v>0</v>
      </c>
      <c r="DJ819">
        <f t="shared" si="385"/>
        <v>0</v>
      </c>
      <c r="DK819">
        <v>0</v>
      </c>
    </row>
    <row r="820" spans="1:115" x14ac:dyDescent="0.2">
      <c r="A820">
        <f>ROW(Source!A1004)</f>
        <v>1004</v>
      </c>
      <c r="B820">
        <v>129761633</v>
      </c>
      <c r="C820">
        <v>129764147</v>
      </c>
      <c r="D820">
        <v>37395753</v>
      </c>
      <c r="E820">
        <v>1</v>
      </c>
      <c r="F820">
        <v>1</v>
      </c>
      <c r="G820">
        <v>37345137</v>
      </c>
      <c r="H820">
        <v>3</v>
      </c>
      <c r="I820" t="s">
        <v>1356</v>
      </c>
      <c r="J820" t="s">
        <v>1357</v>
      </c>
      <c r="K820" t="s">
        <v>1358</v>
      </c>
      <c r="L820">
        <v>1346</v>
      </c>
      <c r="N820">
        <v>1009</v>
      </c>
      <c r="O820" t="s">
        <v>369</v>
      </c>
      <c r="P820" t="s">
        <v>369</v>
      </c>
      <c r="Q820">
        <v>1</v>
      </c>
      <c r="W820">
        <v>0</v>
      </c>
      <c r="X820">
        <v>-675737513</v>
      </c>
      <c r="Y820">
        <f t="shared" si="376"/>
        <v>0</v>
      </c>
      <c r="AA820">
        <v>212.48</v>
      </c>
      <c r="AB820">
        <v>0</v>
      </c>
      <c r="AC820">
        <v>0</v>
      </c>
      <c r="AD820">
        <v>0</v>
      </c>
      <c r="AE820">
        <v>16.22</v>
      </c>
      <c r="AF820">
        <v>0</v>
      </c>
      <c r="AG820">
        <v>0</v>
      </c>
      <c r="AH820">
        <v>0</v>
      </c>
      <c r="AI820">
        <v>13.1</v>
      </c>
      <c r="AJ820">
        <v>1</v>
      </c>
      <c r="AK820">
        <v>1</v>
      </c>
      <c r="AL820">
        <v>1</v>
      </c>
      <c r="AN820">
        <v>0</v>
      </c>
      <c r="AO820">
        <v>1</v>
      </c>
      <c r="AP820">
        <v>1</v>
      </c>
      <c r="AQ820">
        <v>0</v>
      </c>
      <c r="AR820">
        <v>0</v>
      </c>
      <c r="AS820" t="s">
        <v>3</v>
      </c>
      <c r="AT820">
        <v>0.25</v>
      </c>
      <c r="AU820" t="s">
        <v>823</v>
      </c>
      <c r="AV820">
        <v>0</v>
      </c>
      <c r="AW820">
        <v>2</v>
      </c>
      <c r="AX820">
        <v>129764167</v>
      </c>
      <c r="AY820">
        <v>1</v>
      </c>
      <c r="AZ820">
        <v>0</v>
      </c>
      <c r="BA820">
        <v>788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0</v>
      </c>
      <c r="BW820">
        <v>0</v>
      </c>
      <c r="CX820">
        <f>ROUND(Y820*Source!I1004,9)</f>
        <v>0</v>
      </c>
      <c r="CY820">
        <f t="shared" si="377"/>
        <v>212.48</v>
      </c>
      <c r="CZ820">
        <f t="shared" si="378"/>
        <v>16.22</v>
      </c>
      <c r="DA820">
        <f t="shared" si="379"/>
        <v>13.1</v>
      </c>
      <c r="DB820">
        <f t="shared" si="380"/>
        <v>0</v>
      </c>
      <c r="DC820">
        <f t="shared" si="381"/>
        <v>0</v>
      </c>
      <c r="DD820" t="s">
        <v>3</v>
      </c>
      <c r="DE820" t="s">
        <v>3</v>
      </c>
      <c r="DF820">
        <f t="shared" si="382"/>
        <v>0</v>
      </c>
      <c r="DG820">
        <f t="shared" si="383"/>
        <v>0</v>
      </c>
      <c r="DH820">
        <f t="shared" si="384"/>
        <v>0</v>
      </c>
      <c r="DI820">
        <f t="shared" si="361"/>
        <v>0</v>
      </c>
      <c r="DJ820">
        <f t="shared" si="385"/>
        <v>0</v>
      </c>
      <c r="DK820">
        <v>0</v>
      </c>
    </row>
    <row r="821" spans="1:115" x14ac:dyDescent="0.2">
      <c r="A821">
        <f>ROW(Source!A1004)</f>
        <v>1004</v>
      </c>
      <c r="B821">
        <v>129761633</v>
      </c>
      <c r="C821">
        <v>129764147</v>
      </c>
      <c r="D821">
        <v>37393685</v>
      </c>
      <c r="E821">
        <v>1</v>
      </c>
      <c r="F821">
        <v>1</v>
      </c>
      <c r="G821">
        <v>37345137</v>
      </c>
      <c r="H821">
        <v>3</v>
      </c>
      <c r="I821" t="s">
        <v>1359</v>
      </c>
      <c r="J821" t="s">
        <v>1360</v>
      </c>
      <c r="K821" t="s">
        <v>1361</v>
      </c>
      <c r="L821">
        <v>1348</v>
      </c>
      <c r="N821">
        <v>1009</v>
      </c>
      <c r="O821" t="s">
        <v>114</v>
      </c>
      <c r="P821" t="s">
        <v>114</v>
      </c>
      <c r="Q821">
        <v>1000</v>
      </c>
      <c r="W821">
        <v>0</v>
      </c>
      <c r="X821">
        <v>-1837888431</v>
      </c>
      <c r="Y821">
        <f t="shared" si="376"/>
        <v>0</v>
      </c>
      <c r="AA821">
        <v>68238.28</v>
      </c>
      <c r="AB821">
        <v>0</v>
      </c>
      <c r="AC821">
        <v>0</v>
      </c>
      <c r="AD821">
        <v>0</v>
      </c>
      <c r="AE821">
        <v>3246.35</v>
      </c>
      <c r="AF821">
        <v>0</v>
      </c>
      <c r="AG821">
        <v>0</v>
      </c>
      <c r="AH821">
        <v>0</v>
      </c>
      <c r="AI821">
        <v>21.02</v>
      </c>
      <c r="AJ821">
        <v>1</v>
      </c>
      <c r="AK821">
        <v>1</v>
      </c>
      <c r="AL821">
        <v>1</v>
      </c>
      <c r="AN821">
        <v>0</v>
      </c>
      <c r="AO821">
        <v>1</v>
      </c>
      <c r="AP821">
        <v>1</v>
      </c>
      <c r="AQ821">
        <v>0</v>
      </c>
      <c r="AR821">
        <v>0</v>
      </c>
      <c r="AS821" t="s">
        <v>3</v>
      </c>
      <c r="AT821">
        <v>1.5999999999999999E-6</v>
      </c>
      <c r="AU821" t="s">
        <v>823</v>
      </c>
      <c r="AV821">
        <v>0</v>
      </c>
      <c r="AW821">
        <v>2</v>
      </c>
      <c r="AX821">
        <v>129764168</v>
      </c>
      <c r="AY821">
        <v>1</v>
      </c>
      <c r="AZ821">
        <v>0</v>
      </c>
      <c r="BA821">
        <v>789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0</v>
      </c>
      <c r="BW821">
        <v>0</v>
      </c>
      <c r="CX821">
        <f>ROUND(Y821*Source!I1004,9)</f>
        <v>0</v>
      </c>
      <c r="CY821">
        <f t="shared" si="377"/>
        <v>68238.28</v>
      </c>
      <c r="CZ821">
        <f t="shared" si="378"/>
        <v>3246.35</v>
      </c>
      <c r="DA821">
        <f t="shared" si="379"/>
        <v>21.02</v>
      </c>
      <c r="DB821">
        <f t="shared" si="380"/>
        <v>0</v>
      </c>
      <c r="DC821">
        <f t="shared" si="381"/>
        <v>0</v>
      </c>
      <c r="DD821" t="s">
        <v>3</v>
      </c>
      <c r="DE821" t="s">
        <v>3</v>
      </c>
      <c r="DF821">
        <f t="shared" si="382"/>
        <v>0</v>
      </c>
      <c r="DG821">
        <f t="shared" si="383"/>
        <v>0</v>
      </c>
      <c r="DH821">
        <f t="shared" si="384"/>
        <v>0</v>
      </c>
      <c r="DI821">
        <f t="shared" si="361"/>
        <v>0</v>
      </c>
      <c r="DJ821">
        <f t="shared" si="385"/>
        <v>0</v>
      </c>
      <c r="DK821">
        <v>0</v>
      </c>
    </row>
    <row r="822" spans="1:115" x14ac:dyDescent="0.2">
      <c r="A822">
        <f>ROW(Source!A1004)</f>
        <v>1004</v>
      </c>
      <c r="B822">
        <v>129761633</v>
      </c>
      <c r="C822">
        <v>129764147</v>
      </c>
      <c r="D822">
        <v>37395903</v>
      </c>
      <c r="E822">
        <v>1</v>
      </c>
      <c r="F822">
        <v>1</v>
      </c>
      <c r="G822">
        <v>37345137</v>
      </c>
      <c r="H822">
        <v>3</v>
      </c>
      <c r="I822" t="s">
        <v>1362</v>
      </c>
      <c r="J822" t="s">
        <v>1363</v>
      </c>
      <c r="K822" t="s">
        <v>1364</v>
      </c>
      <c r="L822">
        <v>1346</v>
      </c>
      <c r="N822">
        <v>1009</v>
      </c>
      <c r="O822" t="s">
        <v>369</v>
      </c>
      <c r="P822" t="s">
        <v>369</v>
      </c>
      <c r="Q822">
        <v>1</v>
      </c>
      <c r="W822">
        <v>0</v>
      </c>
      <c r="X822">
        <v>1061104562</v>
      </c>
      <c r="Y822">
        <f t="shared" si="376"/>
        <v>0</v>
      </c>
      <c r="AA822">
        <v>99.35</v>
      </c>
      <c r="AB822">
        <v>0</v>
      </c>
      <c r="AC822">
        <v>0</v>
      </c>
      <c r="AD822">
        <v>0</v>
      </c>
      <c r="AE822">
        <v>45.16</v>
      </c>
      <c r="AF822">
        <v>0</v>
      </c>
      <c r="AG822">
        <v>0</v>
      </c>
      <c r="AH822">
        <v>0</v>
      </c>
      <c r="AI822">
        <v>2.2000000000000002</v>
      </c>
      <c r="AJ822">
        <v>1</v>
      </c>
      <c r="AK822">
        <v>1</v>
      </c>
      <c r="AL822">
        <v>1</v>
      </c>
      <c r="AN822">
        <v>0</v>
      </c>
      <c r="AO822">
        <v>1</v>
      </c>
      <c r="AP822">
        <v>1</v>
      </c>
      <c r="AQ822">
        <v>0</v>
      </c>
      <c r="AR822">
        <v>0</v>
      </c>
      <c r="AS822" t="s">
        <v>3</v>
      </c>
      <c r="AT822">
        <v>0.55000000000000004</v>
      </c>
      <c r="AU822" t="s">
        <v>823</v>
      </c>
      <c r="AV822">
        <v>0</v>
      </c>
      <c r="AW822">
        <v>2</v>
      </c>
      <c r="AX822">
        <v>129764169</v>
      </c>
      <c r="AY822">
        <v>1</v>
      </c>
      <c r="AZ822">
        <v>0</v>
      </c>
      <c r="BA822">
        <v>790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0</v>
      </c>
      <c r="BR822">
        <v>0</v>
      </c>
      <c r="BS822">
        <v>0</v>
      </c>
      <c r="BT822">
        <v>0</v>
      </c>
      <c r="BU822">
        <v>0</v>
      </c>
      <c r="BV822">
        <v>0</v>
      </c>
      <c r="BW822">
        <v>0</v>
      </c>
      <c r="CX822">
        <f>ROUND(Y822*Source!I1004,9)</f>
        <v>0</v>
      </c>
      <c r="CY822">
        <f t="shared" si="377"/>
        <v>99.35</v>
      </c>
      <c r="CZ822">
        <f t="shared" si="378"/>
        <v>45.16</v>
      </c>
      <c r="DA822">
        <f t="shared" si="379"/>
        <v>2.2000000000000002</v>
      </c>
      <c r="DB822">
        <f t="shared" si="380"/>
        <v>0</v>
      </c>
      <c r="DC822">
        <f t="shared" si="381"/>
        <v>0</v>
      </c>
      <c r="DD822" t="s">
        <v>3</v>
      </c>
      <c r="DE822" t="s">
        <v>3</v>
      </c>
      <c r="DF822">
        <f t="shared" si="382"/>
        <v>0</v>
      </c>
      <c r="DG822">
        <f t="shared" si="383"/>
        <v>0</v>
      </c>
      <c r="DH822">
        <f t="shared" si="384"/>
        <v>0</v>
      </c>
      <c r="DI822">
        <f t="shared" si="361"/>
        <v>0</v>
      </c>
      <c r="DJ822">
        <f t="shared" si="385"/>
        <v>0</v>
      </c>
      <c r="DK822">
        <v>0</v>
      </c>
    </row>
    <row r="823" spans="1:115" x14ac:dyDescent="0.2">
      <c r="A823">
        <f>ROW(Source!A1004)</f>
        <v>1004</v>
      </c>
      <c r="B823">
        <v>129761633</v>
      </c>
      <c r="C823">
        <v>129764147</v>
      </c>
      <c r="D823">
        <v>37393818</v>
      </c>
      <c r="E823">
        <v>1</v>
      </c>
      <c r="F823">
        <v>1</v>
      </c>
      <c r="G823">
        <v>37345137</v>
      </c>
      <c r="H823">
        <v>3</v>
      </c>
      <c r="I823" t="s">
        <v>1365</v>
      </c>
      <c r="J823" t="s">
        <v>1366</v>
      </c>
      <c r="K823" t="s">
        <v>1367</v>
      </c>
      <c r="L823">
        <v>1346</v>
      </c>
      <c r="N823">
        <v>1009</v>
      </c>
      <c r="O823" t="s">
        <v>369</v>
      </c>
      <c r="P823" t="s">
        <v>369</v>
      </c>
      <c r="Q823">
        <v>1</v>
      </c>
      <c r="W823">
        <v>0</v>
      </c>
      <c r="X823">
        <v>-291619796</v>
      </c>
      <c r="Y823">
        <f t="shared" si="376"/>
        <v>0</v>
      </c>
      <c r="AA823">
        <v>241.88</v>
      </c>
      <c r="AB823">
        <v>0</v>
      </c>
      <c r="AC823">
        <v>0</v>
      </c>
      <c r="AD823">
        <v>0</v>
      </c>
      <c r="AE823">
        <v>43.74</v>
      </c>
      <c r="AF823">
        <v>0</v>
      </c>
      <c r="AG823">
        <v>0</v>
      </c>
      <c r="AH823">
        <v>0</v>
      </c>
      <c r="AI823">
        <v>5.53</v>
      </c>
      <c r="AJ823">
        <v>1</v>
      </c>
      <c r="AK823">
        <v>1</v>
      </c>
      <c r="AL823">
        <v>1</v>
      </c>
      <c r="AN823">
        <v>0</v>
      </c>
      <c r="AO823">
        <v>1</v>
      </c>
      <c r="AP823">
        <v>1</v>
      </c>
      <c r="AQ823">
        <v>0</v>
      </c>
      <c r="AR823">
        <v>0</v>
      </c>
      <c r="AS823" t="s">
        <v>3</v>
      </c>
      <c r="AT823">
        <v>0.25</v>
      </c>
      <c r="AU823" t="s">
        <v>823</v>
      </c>
      <c r="AV823">
        <v>0</v>
      </c>
      <c r="AW823">
        <v>2</v>
      </c>
      <c r="AX823">
        <v>129764170</v>
      </c>
      <c r="AY823">
        <v>1</v>
      </c>
      <c r="AZ823">
        <v>0</v>
      </c>
      <c r="BA823">
        <v>791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0</v>
      </c>
      <c r="BW823">
        <v>0</v>
      </c>
      <c r="CX823">
        <f>ROUND(Y823*Source!I1004,9)</f>
        <v>0</v>
      </c>
      <c r="CY823">
        <f t="shared" si="377"/>
        <v>241.88</v>
      </c>
      <c r="CZ823">
        <f t="shared" si="378"/>
        <v>43.74</v>
      </c>
      <c r="DA823">
        <f t="shared" si="379"/>
        <v>5.53</v>
      </c>
      <c r="DB823">
        <f t="shared" si="380"/>
        <v>0</v>
      </c>
      <c r="DC823">
        <f t="shared" si="381"/>
        <v>0</v>
      </c>
      <c r="DD823" t="s">
        <v>3</v>
      </c>
      <c r="DE823" t="s">
        <v>3</v>
      </c>
      <c r="DF823">
        <f t="shared" si="382"/>
        <v>0</v>
      </c>
      <c r="DG823">
        <f t="shared" si="383"/>
        <v>0</v>
      </c>
      <c r="DH823">
        <f t="shared" si="384"/>
        <v>0</v>
      </c>
      <c r="DI823">
        <f t="shared" si="361"/>
        <v>0</v>
      </c>
      <c r="DJ823">
        <f t="shared" si="385"/>
        <v>0</v>
      </c>
      <c r="DK823">
        <v>0</v>
      </c>
    </row>
    <row r="824" spans="1:115" x14ac:dyDescent="0.2">
      <c r="A824">
        <f>ROW(Source!A1004)</f>
        <v>1004</v>
      </c>
      <c r="B824">
        <v>129761633</v>
      </c>
      <c r="C824">
        <v>129764147</v>
      </c>
      <c r="D824">
        <v>37367082</v>
      </c>
      <c r="E824">
        <v>37345137</v>
      </c>
      <c r="F824">
        <v>1</v>
      </c>
      <c r="G824">
        <v>37345137</v>
      </c>
      <c r="H824">
        <v>3</v>
      </c>
      <c r="I824" t="s">
        <v>1136</v>
      </c>
      <c r="J824" t="s">
        <v>3</v>
      </c>
      <c r="K824" t="s">
        <v>1137</v>
      </c>
      <c r="L824">
        <v>1344</v>
      </c>
      <c r="N824">
        <v>1008</v>
      </c>
      <c r="O824" t="s">
        <v>1138</v>
      </c>
      <c r="P824" t="s">
        <v>1138</v>
      </c>
      <c r="Q824">
        <v>1</v>
      </c>
      <c r="W824">
        <v>0</v>
      </c>
      <c r="X824">
        <v>-94250534</v>
      </c>
      <c r="Y824">
        <f t="shared" si="376"/>
        <v>0</v>
      </c>
      <c r="AA824">
        <v>8.65</v>
      </c>
      <c r="AB824">
        <v>0</v>
      </c>
      <c r="AC824">
        <v>0</v>
      </c>
      <c r="AD824">
        <v>0</v>
      </c>
      <c r="AE824">
        <v>1</v>
      </c>
      <c r="AF824">
        <v>0</v>
      </c>
      <c r="AG824">
        <v>0</v>
      </c>
      <c r="AH824">
        <v>0</v>
      </c>
      <c r="AI824">
        <v>8.65</v>
      </c>
      <c r="AJ824">
        <v>1</v>
      </c>
      <c r="AK824">
        <v>1</v>
      </c>
      <c r="AL824">
        <v>1</v>
      </c>
      <c r="AN824">
        <v>0</v>
      </c>
      <c r="AO824">
        <v>1</v>
      </c>
      <c r="AP824">
        <v>1</v>
      </c>
      <c r="AQ824">
        <v>0</v>
      </c>
      <c r="AR824">
        <v>0</v>
      </c>
      <c r="AS824" t="s">
        <v>3</v>
      </c>
      <c r="AT824">
        <v>0.04</v>
      </c>
      <c r="AU824" t="s">
        <v>823</v>
      </c>
      <c r="AV824">
        <v>0</v>
      </c>
      <c r="AW824">
        <v>2</v>
      </c>
      <c r="AX824">
        <v>129764175</v>
      </c>
      <c r="AY824">
        <v>1</v>
      </c>
      <c r="AZ824">
        <v>0</v>
      </c>
      <c r="BA824">
        <v>796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0</v>
      </c>
      <c r="BR824">
        <v>0</v>
      </c>
      <c r="BS824">
        <v>0</v>
      </c>
      <c r="BT824">
        <v>0</v>
      </c>
      <c r="BU824">
        <v>0</v>
      </c>
      <c r="BV824">
        <v>0</v>
      </c>
      <c r="BW824">
        <v>0</v>
      </c>
      <c r="CX824">
        <f>ROUND(Y824*Source!I1004,9)</f>
        <v>0</v>
      </c>
      <c r="CY824">
        <f t="shared" si="377"/>
        <v>8.65</v>
      </c>
      <c r="CZ824">
        <f t="shared" si="378"/>
        <v>1</v>
      </c>
      <c r="DA824">
        <f t="shared" si="379"/>
        <v>8.65</v>
      </c>
      <c r="DB824">
        <f t="shared" si="380"/>
        <v>0</v>
      </c>
      <c r="DC824">
        <f t="shared" si="381"/>
        <v>0</v>
      </c>
      <c r="DD824" t="s">
        <v>3</v>
      </c>
      <c r="DE824" t="s">
        <v>3</v>
      </c>
      <c r="DF824">
        <f t="shared" si="382"/>
        <v>0</v>
      </c>
      <c r="DG824">
        <f t="shared" si="383"/>
        <v>0</v>
      </c>
      <c r="DH824">
        <f t="shared" si="384"/>
        <v>0</v>
      </c>
      <c r="DI824">
        <f t="shared" si="361"/>
        <v>0</v>
      </c>
      <c r="DJ824">
        <f t="shared" si="385"/>
        <v>0</v>
      </c>
      <c r="DK824">
        <v>0</v>
      </c>
    </row>
    <row r="825" spans="1:115" x14ac:dyDescent="0.2">
      <c r="A825">
        <f>ROW(Source!A1005)</f>
        <v>1005</v>
      </c>
      <c r="B825">
        <v>129761636</v>
      </c>
      <c r="C825">
        <v>129764176</v>
      </c>
      <c r="D825">
        <v>37345142</v>
      </c>
      <c r="E825">
        <v>37345137</v>
      </c>
      <c r="F825">
        <v>1</v>
      </c>
      <c r="G825">
        <v>37345137</v>
      </c>
      <c r="H825">
        <v>1</v>
      </c>
      <c r="I825" t="s">
        <v>1096</v>
      </c>
      <c r="J825" t="s">
        <v>3</v>
      </c>
      <c r="K825" t="s">
        <v>1097</v>
      </c>
      <c r="L825">
        <v>1191</v>
      </c>
      <c r="N825">
        <v>1013</v>
      </c>
      <c r="O825" t="s">
        <v>1098</v>
      </c>
      <c r="P825" t="s">
        <v>1098</v>
      </c>
      <c r="Q825">
        <v>1</v>
      </c>
      <c r="W825">
        <v>0</v>
      </c>
      <c r="X825">
        <v>476480486</v>
      </c>
      <c r="Y825">
        <f>(AT825*0.6)</f>
        <v>33.6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1</v>
      </c>
      <c r="AJ825">
        <v>1</v>
      </c>
      <c r="AK825">
        <v>1</v>
      </c>
      <c r="AL825">
        <v>1</v>
      </c>
      <c r="AN825">
        <v>0</v>
      </c>
      <c r="AO825">
        <v>1</v>
      </c>
      <c r="AP825">
        <v>1</v>
      </c>
      <c r="AQ825">
        <v>0</v>
      </c>
      <c r="AR825">
        <v>0</v>
      </c>
      <c r="AS825" t="s">
        <v>3</v>
      </c>
      <c r="AT825">
        <v>56</v>
      </c>
      <c r="AU825" t="s">
        <v>142</v>
      </c>
      <c r="AV825">
        <v>1</v>
      </c>
      <c r="AW825">
        <v>2</v>
      </c>
      <c r="AX825">
        <v>129764180</v>
      </c>
      <c r="AY825">
        <v>1</v>
      </c>
      <c r="AZ825">
        <v>0</v>
      </c>
      <c r="BA825">
        <v>797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0</v>
      </c>
      <c r="BW825">
        <v>0</v>
      </c>
      <c r="CX825">
        <f>ROUND(Y825*Source!I1005,9)</f>
        <v>2.6880000000000002</v>
      </c>
      <c r="CY825">
        <f>AD825</f>
        <v>0</v>
      </c>
      <c r="CZ825">
        <f>AH825</f>
        <v>0</v>
      </c>
      <c r="DA825">
        <f>AL825</f>
        <v>1</v>
      </c>
      <c r="DB825">
        <f>ROUND((ROUND(AT825*CZ825,2)*0.6),6)</f>
        <v>0</v>
      </c>
      <c r="DC825">
        <f>ROUND((ROUND(AT825*AG825,2)*0.6),6)</f>
        <v>0</v>
      </c>
      <c r="DD825" t="s">
        <v>3</v>
      </c>
      <c r="DE825" t="s">
        <v>3</v>
      </c>
      <c r="DF825">
        <f>ROUND(AE825*CX825,2)</f>
        <v>0</v>
      </c>
      <c r="DG825">
        <f t="shared" si="383"/>
        <v>0</v>
      </c>
      <c r="DH825">
        <f t="shared" si="384"/>
        <v>0</v>
      </c>
      <c r="DI825">
        <f t="shared" si="361"/>
        <v>0</v>
      </c>
      <c r="DJ825">
        <f>DI825</f>
        <v>0</v>
      </c>
      <c r="DK825">
        <v>0</v>
      </c>
    </row>
    <row r="826" spans="1:115" x14ac:dyDescent="0.2">
      <c r="A826">
        <f>ROW(Source!A1005)</f>
        <v>1005</v>
      </c>
      <c r="B826">
        <v>129761636</v>
      </c>
      <c r="C826">
        <v>129764176</v>
      </c>
      <c r="D826">
        <v>37345890</v>
      </c>
      <c r="E826">
        <v>37345137</v>
      </c>
      <c r="F826">
        <v>1</v>
      </c>
      <c r="G826">
        <v>37345137</v>
      </c>
      <c r="H826">
        <v>2</v>
      </c>
      <c r="I826" t="s">
        <v>1145</v>
      </c>
      <c r="J826" t="s">
        <v>3</v>
      </c>
      <c r="K826" t="s">
        <v>1146</v>
      </c>
      <c r="L826">
        <v>1344</v>
      </c>
      <c r="N826">
        <v>1008</v>
      </c>
      <c r="O826" t="s">
        <v>1138</v>
      </c>
      <c r="P826" t="s">
        <v>1138</v>
      </c>
      <c r="Q826">
        <v>1</v>
      </c>
      <c r="W826">
        <v>0</v>
      </c>
      <c r="X826">
        <v>-1180195794</v>
      </c>
      <c r="Y826">
        <f>(AT826*0.6)</f>
        <v>10.157999999999999</v>
      </c>
      <c r="AA826">
        <v>0</v>
      </c>
      <c r="AB826">
        <v>1</v>
      </c>
      <c r="AC826">
        <v>0</v>
      </c>
      <c r="AD826">
        <v>0</v>
      </c>
      <c r="AE826">
        <v>0</v>
      </c>
      <c r="AF826">
        <v>1</v>
      </c>
      <c r="AG826">
        <v>0</v>
      </c>
      <c r="AH826">
        <v>0</v>
      </c>
      <c r="AI826">
        <v>1</v>
      </c>
      <c r="AJ826">
        <v>1</v>
      </c>
      <c r="AK826">
        <v>1</v>
      </c>
      <c r="AL826">
        <v>1</v>
      </c>
      <c r="AN826">
        <v>0</v>
      </c>
      <c r="AO826">
        <v>1</v>
      </c>
      <c r="AP826">
        <v>1</v>
      </c>
      <c r="AQ826">
        <v>0</v>
      </c>
      <c r="AR826">
        <v>0</v>
      </c>
      <c r="AS826" t="s">
        <v>3</v>
      </c>
      <c r="AT826">
        <v>16.93</v>
      </c>
      <c r="AU826" t="s">
        <v>142</v>
      </c>
      <c r="AV826">
        <v>0</v>
      </c>
      <c r="AW826">
        <v>2</v>
      </c>
      <c r="AX826">
        <v>129764181</v>
      </c>
      <c r="AY826">
        <v>1</v>
      </c>
      <c r="AZ826">
        <v>0</v>
      </c>
      <c r="BA826">
        <v>798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0</v>
      </c>
      <c r="BR826">
        <v>0</v>
      </c>
      <c r="BS826">
        <v>0</v>
      </c>
      <c r="BT826">
        <v>0</v>
      </c>
      <c r="BU826">
        <v>0</v>
      </c>
      <c r="BV826">
        <v>0</v>
      </c>
      <c r="BW826">
        <v>0</v>
      </c>
      <c r="CX826">
        <f>ROUND(Y826*Source!I1005,9)</f>
        <v>0.81264000000000003</v>
      </c>
      <c r="CY826">
        <f>AB826</f>
        <v>1</v>
      </c>
      <c r="CZ826">
        <f>AF826</f>
        <v>1</v>
      </c>
      <c r="DA826">
        <f>AJ826</f>
        <v>1</v>
      </c>
      <c r="DB826">
        <f>ROUND((ROUND(AT826*CZ826,2)*0.6),6)</f>
        <v>10.157999999999999</v>
      </c>
      <c r="DC826">
        <f>ROUND((ROUND(AT826*AG826,2)*0.6),6)</f>
        <v>0</v>
      </c>
      <c r="DD826" t="s">
        <v>3</v>
      </c>
      <c r="DE826" t="s">
        <v>3</v>
      </c>
      <c r="DF826">
        <f>ROUND(AE826*CX826,2)</f>
        <v>0</v>
      </c>
      <c r="DG826">
        <f t="shared" si="383"/>
        <v>0.81</v>
      </c>
      <c r="DH826">
        <f t="shared" si="384"/>
        <v>0</v>
      </c>
      <c r="DI826">
        <f t="shared" si="361"/>
        <v>0</v>
      </c>
      <c r="DJ826">
        <f>DG826</f>
        <v>0.81</v>
      </c>
      <c r="DK826">
        <v>0</v>
      </c>
    </row>
    <row r="827" spans="1:115" x14ac:dyDescent="0.2">
      <c r="A827">
        <f>ROW(Source!A1005)</f>
        <v>1005</v>
      </c>
      <c r="B827">
        <v>129761636</v>
      </c>
      <c r="C827">
        <v>129764176</v>
      </c>
      <c r="D827">
        <v>37367082</v>
      </c>
      <c r="E827">
        <v>37345137</v>
      </c>
      <c r="F827">
        <v>1</v>
      </c>
      <c r="G827">
        <v>37345137</v>
      </c>
      <c r="H827">
        <v>3</v>
      </c>
      <c r="I827" t="s">
        <v>1136</v>
      </c>
      <c r="J827" t="s">
        <v>3</v>
      </c>
      <c r="K827" t="s">
        <v>1137</v>
      </c>
      <c r="L827">
        <v>1344</v>
      </c>
      <c r="N827">
        <v>1008</v>
      </c>
      <c r="O827" t="s">
        <v>1138</v>
      </c>
      <c r="P827" t="s">
        <v>1138</v>
      </c>
      <c r="Q827">
        <v>1</v>
      </c>
      <c r="W827">
        <v>0</v>
      </c>
      <c r="X827">
        <v>-94250534</v>
      </c>
      <c r="Y827">
        <f>(AT827*0)</f>
        <v>0</v>
      </c>
      <c r="AA827">
        <v>1</v>
      </c>
      <c r="AB827">
        <v>0</v>
      </c>
      <c r="AC827">
        <v>0</v>
      </c>
      <c r="AD827">
        <v>0</v>
      </c>
      <c r="AE827">
        <v>1</v>
      </c>
      <c r="AF827">
        <v>0</v>
      </c>
      <c r="AG827">
        <v>0</v>
      </c>
      <c r="AH827">
        <v>0</v>
      </c>
      <c r="AI827">
        <v>1</v>
      </c>
      <c r="AJ827">
        <v>1</v>
      </c>
      <c r="AK827">
        <v>1</v>
      </c>
      <c r="AL827">
        <v>1</v>
      </c>
      <c r="AN827">
        <v>0</v>
      </c>
      <c r="AO827">
        <v>1</v>
      </c>
      <c r="AP827">
        <v>1</v>
      </c>
      <c r="AQ827">
        <v>0</v>
      </c>
      <c r="AR827">
        <v>0</v>
      </c>
      <c r="AS827" t="s">
        <v>3</v>
      </c>
      <c r="AT827">
        <v>252.56</v>
      </c>
      <c r="AU827" t="s">
        <v>823</v>
      </c>
      <c r="AV827">
        <v>0</v>
      </c>
      <c r="AW827">
        <v>2</v>
      </c>
      <c r="AX827">
        <v>129764185</v>
      </c>
      <c r="AY827">
        <v>1</v>
      </c>
      <c r="AZ827">
        <v>0</v>
      </c>
      <c r="BA827">
        <v>802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  <c r="CX827">
        <f>ROUND(Y827*Source!I1005,9)</f>
        <v>0</v>
      </c>
      <c r="CY827">
        <f>AA827</f>
        <v>1</v>
      </c>
      <c r="CZ827">
        <f>AE827</f>
        <v>1</v>
      </c>
      <c r="DA827">
        <f>AI827</f>
        <v>1</v>
      </c>
      <c r="DB827">
        <f>ROUND((ROUND(AT827*CZ827,2)*0),6)</f>
        <v>0</v>
      </c>
      <c r="DC827">
        <f>ROUND((ROUND(AT827*AG827,2)*0),6)</f>
        <v>0</v>
      </c>
      <c r="DD827" t="s">
        <v>3</v>
      </c>
      <c r="DE827" t="s">
        <v>3</v>
      </c>
      <c r="DF827">
        <f>ROUND(AE827*CX827,2)</f>
        <v>0</v>
      </c>
      <c r="DG827">
        <f t="shared" si="383"/>
        <v>0</v>
      </c>
      <c r="DH827">
        <f t="shared" si="384"/>
        <v>0</v>
      </c>
      <c r="DI827">
        <f t="shared" si="361"/>
        <v>0</v>
      </c>
      <c r="DJ827">
        <f>DF827</f>
        <v>0</v>
      </c>
      <c r="DK827">
        <v>0</v>
      </c>
    </row>
    <row r="828" spans="1:115" x14ac:dyDescent="0.2">
      <c r="A828">
        <f>ROW(Source!A1006)</f>
        <v>1006</v>
      </c>
      <c r="B828">
        <v>129761633</v>
      </c>
      <c r="C828">
        <v>129764176</v>
      </c>
      <c r="D828">
        <v>37345142</v>
      </c>
      <c r="E828">
        <v>37345137</v>
      </c>
      <c r="F828">
        <v>1</v>
      </c>
      <c r="G828">
        <v>37345137</v>
      </c>
      <c r="H828">
        <v>1</v>
      </c>
      <c r="I828" t="s">
        <v>1096</v>
      </c>
      <c r="J828" t="s">
        <v>3</v>
      </c>
      <c r="K828" t="s">
        <v>1097</v>
      </c>
      <c r="L828">
        <v>1191</v>
      </c>
      <c r="N828">
        <v>1013</v>
      </c>
      <c r="O828" t="s">
        <v>1098</v>
      </c>
      <c r="P828" t="s">
        <v>1098</v>
      </c>
      <c r="Q828">
        <v>1</v>
      </c>
      <c r="W828">
        <v>0</v>
      </c>
      <c r="X828">
        <v>476480486</v>
      </c>
      <c r="Y828">
        <f>(AT828*0.6)</f>
        <v>33.6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1</v>
      </c>
      <c r="AJ828">
        <v>1</v>
      </c>
      <c r="AK828">
        <v>1</v>
      </c>
      <c r="AL828">
        <v>1</v>
      </c>
      <c r="AN828">
        <v>0</v>
      </c>
      <c r="AO828">
        <v>1</v>
      </c>
      <c r="AP828">
        <v>1</v>
      </c>
      <c r="AQ828">
        <v>0</v>
      </c>
      <c r="AR828">
        <v>0</v>
      </c>
      <c r="AS828" t="s">
        <v>3</v>
      </c>
      <c r="AT828">
        <v>56</v>
      </c>
      <c r="AU828" t="s">
        <v>142</v>
      </c>
      <c r="AV828">
        <v>1</v>
      </c>
      <c r="AW828">
        <v>2</v>
      </c>
      <c r="AX828">
        <v>129764180</v>
      </c>
      <c r="AY828">
        <v>1</v>
      </c>
      <c r="AZ828">
        <v>0</v>
      </c>
      <c r="BA828">
        <v>803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CX828">
        <f>ROUND(Y828*Source!I1006,9)</f>
        <v>2.6880000000000002</v>
      </c>
      <c r="CY828">
        <f>AD828</f>
        <v>0</v>
      </c>
      <c r="CZ828">
        <f>AH828</f>
        <v>0</v>
      </c>
      <c r="DA828">
        <f>AL828</f>
        <v>1</v>
      </c>
      <c r="DB828">
        <f>ROUND((ROUND(AT828*CZ828,2)*0.6),6)</f>
        <v>0</v>
      </c>
      <c r="DC828">
        <f>ROUND((ROUND(AT828*AG828,2)*0.6),6)</f>
        <v>0</v>
      </c>
      <c r="DD828" t="s">
        <v>3</v>
      </c>
      <c r="DE828" t="s">
        <v>3</v>
      </c>
      <c r="DF828">
        <f>ROUND(AE828*CX828,2)</f>
        <v>0</v>
      </c>
      <c r="DG828">
        <f t="shared" si="383"/>
        <v>0</v>
      </c>
      <c r="DH828">
        <f t="shared" si="384"/>
        <v>0</v>
      </c>
      <c r="DI828">
        <f t="shared" si="361"/>
        <v>0</v>
      </c>
      <c r="DJ828">
        <f>DI828</f>
        <v>0</v>
      </c>
      <c r="DK828">
        <v>0</v>
      </c>
    </row>
    <row r="829" spans="1:115" x14ac:dyDescent="0.2">
      <c r="A829">
        <f>ROW(Source!A1006)</f>
        <v>1006</v>
      </c>
      <c r="B829">
        <v>129761633</v>
      </c>
      <c r="C829">
        <v>129764176</v>
      </c>
      <c r="D829">
        <v>37345890</v>
      </c>
      <c r="E829">
        <v>37345137</v>
      </c>
      <c r="F829">
        <v>1</v>
      </c>
      <c r="G829">
        <v>37345137</v>
      </c>
      <c r="H829">
        <v>2</v>
      </c>
      <c r="I829" t="s">
        <v>1145</v>
      </c>
      <c r="J829" t="s">
        <v>3</v>
      </c>
      <c r="K829" t="s">
        <v>1146</v>
      </c>
      <c r="L829">
        <v>1344</v>
      </c>
      <c r="N829">
        <v>1008</v>
      </c>
      <c r="O829" t="s">
        <v>1138</v>
      </c>
      <c r="P829" t="s">
        <v>1138</v>
      </c>
      <c r="Q829">
        <v>1</v>
      </c>
      <c r="W829">
        <v>0</v>
      </c>
      <c r="X829">
        <v>-1180195794</v>
      </c>
      <c r="Y829">
        <f>(AT829*0.6)</f>
        <v>10.157999999999999</v>
      </c>
      <c r="AA829">
        <v>0</v>
      </c>
      <c r="AB829">
        <v>1.07</v>
      </c>
      <c r="AC829">
        <v>0</v>
      </c>
      <c r="AD829">
        <v>0</v>
      </c>
      <c r="AE829">
        <v>0</v>
      </c>
      <c r="AF829">
        <v>1</v>
      </c>
      <c r="AG829">
        <v>0</v>
      </c>
      <c r="AH829">
        <v>0</v>
      </c>
      <c r="AI829">
        <v>1</v>
      </c>
      <c r="AJ829">
        <v>1</v>
      </c>
      <c r="AK829">
        <v>1</v>
      </c>
      <c r="AL829">
        <v>1</v>
      </c>
      <c r="AN829">
        <v>0</v>
      </c>
      <c r="AO829">
        <v>1</v>
      </c>
      <c r="AP829">
        <v>1</v>
      </c>
      <c r="AQ829">
        <v>0</v>
      </c>
      <c r="AR829">
        <v>0</v>
      </c>
      <c r="AS829" t="s">
        <v>3</v>
      </c>
      <c r="AT829">
        <v>16.93</v>
      </c>
      <c r="AU829" t="s">
        <v>142</v>
      </c>
      <c r="AV829">
        <v>0</v>
      </c>
      <c r="AW829">
        <v>2</v>
      </c>
      <c r="AX829">
        <v>129764181</v>
      </c>
      <c r="AY829">
        <v>1</v>
      </c>
      <c r="AZ829">
        <v>0</v>
      </c>
      <c r="BA829">
        <v>804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  <c r="CX829">
        <f>ROUND(Y829*Source!I1006,9)</f>
        <v>0.81264000000000003</v>
      </c>
      <c r="CY829">
        <f>AB829</f>
        <v>1.07</v>
      </c>
      <c r="CZ829">
        <f>AF829</f>
        <v>1</v>
      </c>
      <c r="DA829">
        <f>AJ829</f>
        <v>1</v>
      </c>
      <c r="DB829">
        <f>ROUND((ROUND(AT829*CZ829,2)*0.6),6)</f>
        <v>10.157999999999999</v>
      </c>
      <c r="DC829">
        <f>ROUND((ROUND(AT829*AG829,2)*0.6),6)</f>
        <v>0</v>
      </c>
      <c r="DD829" t="s">
        <v>3</v>
      </c>
      <c r="DE829" t="s">
        <v>3</v>
      </c>
      <c r="DF829">
        <f>ROUND(AE829*CX829,2)</f>
        <v>0</v>
      </c>
      <c r="DG829">
        <f t="shared" si="383"/>
        <v>0.81</v>
      </c>
      <c r="DH829">
        <f t="shared" si="384"/>
        <v>0</v>
      </c>
      <c r="DI829">
        <f t="shared" si="361"/>
        <v>0</v>
      </c>
      <c r="DJ829">
        <f>DG829</f>
        <v>0.81</v>
      </c>
      <c r="DK829">
        <v>0</v>
      </c>
    </row>
    <row r="830" spans="1:115" x14ac:dyDescent="0.2">
      <c r="A830">
        <f>ROW(Source!A1006)</f>
        <v>1006</v>
      </c>
      <c r="B830">
        <v>129761633</v>
      </c>
      <c r="C830">
        <v>129764176</v>
      </c>
      <c r="D830">
        <v>37367082</v>
      </c>
      <c r="E830">
        <v>37345137</v>
      </c>
      <c r="F830">
        <v>1</v>
      </c>
      <c r="G830">
        <v>37345137</v>
      </c>
      <c r="H830">
        <v>3</v>
      </c>
      <c r="I830" t="s">
        <v>1136</v>
      </c>
      <c r="J830" t="s">
        <v>3</v>
      </c>
      <c r="K830" t="s">
        <v>1137</v>
      </c>
      <c r="L830">
        <v>1344</v>
      </c>
      <c r="N830">
        <v>1008</v>
      </c>
      <c r="O830" t="s">
        <v>1138</v>
      </c>
      <c r="P830" t="s">
        <v>1138</v>
      </c>
      <c r="Q830">
        <v>1</v>
      </c>
      <c r="W830">
        <v>0</v>
      </c>
      <c r="X830">
        <v>-94250534</v>
      </c>
      <c r="Y830">
        <f>(AT830*0)</f>
        <v>0</v>
      </c>
      <c r="AA830">
        <v>8.65</v>
      </c>
      <c r="AB830">
        <v>0</v>
      </c>
      <c r="AC830">
        <v>0</v>
      </c>
      <c r="AD830">
        <v>0</v>
      </c>
      <c r="AE830">
        <v>1</v>
      </c>
      <c r="AF830">
        <v>0</v>
      </c>
      <c r="AG830">
        <v>0</v>
      </c>
      <c r="AH830">
        <v>0</v>
      </c>
      <c r="AI830">
        <v>8.65</v>
      </c>
      <c r="AJ830">
        <v>1</v>
      </c>
      <c r="AK830">
        <v>1</v>
      </c>
      <c r="AL830">
        <v>1</v>
      </c>
      <c r="AN830">
        <v>0</v>
      </c>
      <c r="AO830">
        <v>1</v>
      </c>
      <c r="AP830">
        <v>1</v>
      </c>
      <c r="AQ830">
        <v>0</v>
      </c>
      <c r="AR830">
        <v>0</v>
      </c>
      <c r="AS830" t="s">
        <v>3</v>
      </c>
      <c r="AT830">
        <v>252.56</v>
      </c>
      <c r="AU830" t="s">
        <v>823</v>
      </c>
      <c r="AV830">
        <v>0</v>
      </c>
      <c r="AW830">
        <v>2</v>
      </c>
      <c r="AX830">
        <v>129764185</v>
      </c>
      <c r="AY830">
        <v>1</v>
      </c>
      <c r="AZ830">
        <v>0</v>
      </c>
      <c r="BA830">
        <v>808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CX830">
        <f>ROUND(Y830*Source!I1006,9)</f>
        <v>0</v>
      </c>
      <c r="CY830">
        <f>AA830</f>
        <v>8.65</v>
      </c>
      <c r="CZ830">
        <f>AE830</f>
        <v>1</v>
      </c>
      <c r="DA830">
        <f>AI830</f>
        <v>8.65</v>
      </c>
      <c r="DB830">
        <f>ROUND((ROUND(AT830*CZ830,2)*0),6)</f>
        <v>0</v>
      </c>
      <c r="DC830">
        <f>ROUND((ROUND(AT830*AG830,2)*0),6)</f>
        <v>0</v>
      </c>
      <c r="DD830" t="s">
        <v>3</v>
      </c>
      <c r="DE830" t="s">
        <v>3</v>
      </c>
      <c r="DF830">
        <f>ROUND(ROUND(AE830*CX830,2)*AI830,2)</f>
        <v>0</v>
      </c>
      <c r="DG830">
        <f t="shared" si="383"/>
        <v>0</v>
      </c>
      <c r="DH830">
        <f t="shared" si="384"/>
        <v>0</v>
      </c>
      <c r="DI830">
        <f t="shared" si="361"/>
        <v>0</v>
      </c>
      <c r="DJ830">
        <f>DF830</f>
        <v>0</v>
      </c>
      <c r="DK830">
        <v>0</v>
      </c>
    </row>
    <row r="831" spans="1:115" x14ac:dyDescent="0.2">
      <c r="A831">
        <f>ROW(Source!A1042)</f>
        <v>1042</v>
      </c>
      <c r="B831">
        <v>129761636</v>
      </c>
      <c r="C831">
        <v>129764186</v>
      </c>
      <c r="D831">
        <v>37345142</v>
      </c>
      <c r="E831">
        <v>37345137</v>
      </c>
      <c r="F831">
        <v>1</v>
      </c>
      <c r="G831">
        <v>37345137</v>
      </c>
      <c r="H831">
        <v>1</v>
      </c>
      <c r="I831" t="s">
        <v>1096</v>
      </c>
      <c r="J831" t="s">
        <v>3</v>
      </c>
      <c r="K831" t="s">
        <v>1097</v>
      </c>
      <c r="L831">
        <v>1191</v>
      </c>
      <c r="N831">
        <v>1013</v>
      </c>
      <c r="O831" t="s">
        <v>1098</v>
      </c>
      <c r="P831" t="s">
        <v>1098</v>
      </c>
      <c r="Q831">
        <v>1</v>
      </c>
      <c r="W831">
        <v>0</v>
      </c>
      <c r="X831">
        <v>476480486</v>
      </c>
      <c r="Y831">
        <f>(AT831*1.15)</f>
        <v>188.6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1</v>
      </c>
      <c r="AJ831">
        <v>1</v>
      </c>
      <c r="AK831">
        <v>1</v>
      </c>
      <c r="AL831">
        <v>1</v>
      </c>
      <c r="AN831">
        <v>0</v>
      </c>
      <c r="AO831">
        <v>1</v>
      </c>
      <c r="AP831">
        <v>1</v>
      </c>
      <c r="AQ831">
        <v>0</v>
      </c>
      <c r="AR831">
        <v>0</v>
      </c>
      <c r="AS831" t="s">
        <v>3</v>
      </c>
      <c r="AT831">
        <v>164</v>
      </c>
      <c r="AU831" t="s">
        <v>87</v>
      </c>
      <c r="AV831">
        <v>1</v>
      </c>
      <c r="AW831">
        <v>2</v>
      </c>
      <c r="AX831">
        <v>129764208</v>
      </c>
      <c r="AY831">
        <v>1</v>
      </c>
      <c r="AZ831">
        <v>0</v>
      </c>
      <c r="BA831">
        <v>809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CX831">
        <f>ROUND(Y831*Source!I1042,9)</f>
        <v>37.72</v>
      </c>
      <c r="CY831">
        <f>AD831</f>
        <v>0</v>
      </c>
      <c r="CZ831">
        <f>AH831</f>
        <v>0</v>
      </c>
      <c r="DA831">
        <f>AL831</f>
        <v>1</v>
      </c>
      <c r="DB831">
        <f>ROUND((ROUND(AT831*CZ831,2)*1.15),6)</f>
        <v>0</v>
      </c>
      <c r="DC831">
        <f>ROUND((ROUND(AT831*AG831,2)*1.15),6)</f>
        <v>0</v>
      </c>
      <c r="DD831" t="s">
        <v>3</v>
      </c>
      <c r="DE831" t="s">
        <v>3</v>
      </c>
      <c r="DF831">
        <f t="shared" ref="DF831:DF855" si="386">ROUND(AE831*CX831,2)</f>
        <v>0</v>
      </c>
      <c r="DG831">
        <f t="shared" si="383"/>
        <v>0</v>
      </c>
      <c r="DH831">
        <f t="shared" si="384"/>
        <v>0</v>
      </c>
      <c r="DI831">
        <f t="shared" si="361"/>
        <v>0</v>
      </c>
      <c r="DJ831">
        <f>DI831</f>
        <v>0</v>
      </c>
      <c r="DK831">
        <v>0</v>
      </c>
    </row>
    <row r="832" spans="1:115" x14ac:dyDescent="0.2">
      <c r="A832">
        <f>ROW(Source!A1042)</f>
        <v>1042</v>
      </c>
      <c r="B832">
        <v>129761636</v>
      </c>
      <c r="C832">
        <v>129764186</v>
      </c>
      <c r="D832">
        <v>41572463</v>
      </c>
      <c r="E832">
        <v>1</v>
      </c>
      <c r="F832">
        <v>1</v>
      </c>
      <c r="G832">
        <v>37345137</v>
      </c>
      <c r="H832">
        <v>2</v>
      </c>
      <c r="I832" t="s">
        <v>1347</v>
      </c>
      <c r="J832" t="s">
        <v>1348</v>
      </c>
      <c r="K832" t="s">
        <v>1349</v>
      </c>
      <c r="L832">
        <v>1367</v>
      </c>
      <c r="N832">
        <v>1011</v>
      </c>
      <c r="O832" t="s">
        <v>1102</v>
      </c>
      <c r="P832" t="s">
        <v>1102</v>
      </c>
      <c r="Q832">
        <v>1</v>
      </c>
      <c r="W832">
        <v>0</v>
      </c>
      <c r="X832">
        <v>162885925</v>
      </c>
      <c r="Y832">
        <f>(AT832*1.25)</f>
        <v>14.2875</v>
      </c>
      <c r="AA832">
        <v>0</v>
      </c>
      <c r="AB832">
        <v>1.42</v>
      </c>
      <c r="AC832">
        <v>0.01</v>
      </c>
      <c r="AD832">
        <v>0</v>
      </c>
      <c r="AE832">
        <v>0</v>
      </c>
      <c r="AF832">
        <v>1.42</v>
      </c>
      <c r="AG832">
        <v>0.01</v>
      </c>
      <c r="AH832">
        <v>0</v>
      </c>
      <c r="AI832">
        <v>1</v>
      </c>
      <c r="AJ832">
        <v>1</v>
      </c>
      <c r="AK832">
        <v>1</v>
      </c>
      <c r="AL832">
        <v>1</v>
      </c>
      <c r="AN832">
        <v>0</v>
      </c>
      <c r="AO832">
        <v>1</v>
      </c>
      <c r="AP832">
        <v>1</v>
      </c>
      <c r="AQ832">
        <v>0</v>
      </c>
      <c r="AR832">
        <v>0</v>
      </c>
      <c r="AS832" t="s">
        <v>3</v>
      </c>
      <c r="AT832">
        <v>11.43</v>
      </c>
      <c r="AU832" t="s">
        <v>86</v>
      </c>
      <c r="AV832">
        <v>0</v>
      </c>
      <c r="AW832">
        <v>2</v>
      </c>
      <c r="AX832">
        <v>129764209</v>
      </c>
      <c r="AY832">
        <v>1</v>
      </c>
      <c r="AZ832">
        <v>0</v>
      </c>
      <c r="BA832">
        <v>810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  <c r="CX832">
        <f>ROUND(Y832*Source!I1042,9)</f>
        <v>2.8574999999999999</v>
      </c>
      <c r="CY832">
        <f>AB832</f>
        <v>1.42</v>
      </c>
      <c r="CZ832">
        <f>AF832</f>
        <v>1.42</v>
      </c>
      <c r="DA832">
        <f>AJ832</f>
        <v>1</v>
      </c>
      <c r="DB832">
        <f>ROUND((ROUND(AT832*CZ832,2)*1.25),6)</f>
        <v>20.287500000000001</v>
      </c>
      <c r="DC832">
        <f>ROUND((ROUND(AT832*AG832,2)*1.25),6)</f>
        <v>0.13750000000000001</v>
      </c>
      <c r="DD832" t="s">
        <v>3</v>
      </c>
      <c r="DE832" t="s">
        <v>3</v>
      </c>
      <c r="DF832">
        <f t="shared" si="386"/>
        <v>0</v>
      </c>
      <c r="DG832">
        <f t="shared" si="383"/>
        <v>4.0599999999999996</v>
      </c>
      <c r="DH832">
        <f t="shared" si="384"/>
        <v>0.03</v>
      </c>
      <c r="DI832">
        <f t="shared" si="361"/>
        <v>0</v>
      </c>
      <c r="DJ832">
        <f>DG832</f>
        <v>4.0599999999999996</v>
      </c>
      <c r="DK832">
        <v>0</v>
      </c>
    </row>
    <row r="833" spans="1:115" x14ac:dyDescent="0.2">
      <c r="A833">
        <f>ROW(Source!A1042)</f>
        <v>1042</v>
      </c>
      <c r="B833">
        <v>129761636</v>
      </c>
      <c r="C833">
        <v>129764186</v>
      </c>
      <c r="D833">
        <v>37418445</v>
      </c>
      <c r="E833">
        <v>1</v>
      </c>
      <c r="F833">
        <v>1</v>
      </c>
      <c r="G833">
        <v>37345137</v>
      </c>
      <c r="H833">
        <v>2</v>
      </c>
      <c r="I833" t="s">
        <v>1189</v>
      </c>
      <c r="J833" t="s">
        <v>1190</v>
      </c>
      <c r="K833" t="s">
        <v>1191</v>
      </c>
      <c r="L833">
        <v>1367</v>
      </c>
      <c r="N833">
        <v>1011</v>
      </c>
      <c r="O833" t="s">
        <v>1102</v>
      </c>
      <c r="P833" t="s">
        <v>1102</v>
      </c>
      <c r="Q833">
        <v>1</v>
      </c>
      <c r="W833">
        <v>0</v>
      </c>
      <c r="X833">
        <v>-628430174</v>
      </c>
      <c r="Y833">
        <f>(AT833*1.25)</f>
        <v>0.25</v>
      </c>
      <c r="AA833">
        <v>0</v>
      </c>
      <c r="AB833">
        <v>76.81</v>
      </c>
      <c r="AC833">
        <v>14.36</v>
      </c>
      <c r="AD833">
        <v>0</v>
      </c>
      <c r="AE833">
        <v>0</v>
      </c>
      <c r="AF833">
        <v>76.81</v>
      </c>
      <c r="AG833">
        <v>14.36</v>
      </c>
      <c r="AH833">
        <v>0</v>
      </c>
      <c r="AI833">
        <v>1</v>
      </c>
      <c r="AJ833">
        <v>1</v>
      </c>
      <c r="AK833">
        <v>1</v>
      </c>
      <c r="AL833">
        <v>1</v>
      </c>
      <c r="AN833">
        <v>0</v>
      </c>
      <c r="AO833">
        <v>1</v>
      </c>
      <c r="AP833">
        <v>1</v>
      </c>
      <c r="AQ833">
        <v>0</v>
      </c>
      <c r="AR833">
        <v>0</v>
      </c>
      <c r="AS833" t="s">
        <v>3</v>
      </c>
      <c r="AT833">
        <v>0.2</v>
      </c>
      <c r="AU833" t="s">
        <v>86</v>
      </c>
      <c r="AV833">
        <v>0</v>
      </c>
      <c r="AW833">
        <v>2</v>
      </c>
      <c r="AX833">
        <v>129764210</v>
      </c>
      <c r="AY833">
        <v>1</v>
      </c>
      <c r="AZ833">
        <v>0</v>
      </c>
      <c r="BA833">
        <v>811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0</v>
      </c>
      <c r="BW833">
        <v>0</v>
      </c>
      <c r="CX833">
        <f>ROUND(Y833*Source!I1042,9)</f>
        <v>0.05</v>
      </c>
      <c r="CY833">
        <f>AB833</f>
        <v>76.81</v>
      </c>
      <c r="CZ833">
        <f>AF833</f>
        <v>76.81</v>
      </c>
      <c r="DA833">
        <f>AJ833</f>
        <v>1</v>
      </c>
      <c r="DB833">
        <f>ROUND((ROUND(AT833*CZ833,2)*1.25),6)</f>
        <v>19.2</v>
      </c>
      <c r="DC833">
        <f>ROUND((ROUND(AT833*AG833,2)*1.25),6)</f>
        <v>3.5874999999999999</v>
      </c>
      <c r="DD833" t="s">
        <v>3</v>
      </c>
      <c r="DE833" t="s">
        <v>3</v>
      </c>
      <c r="DF833">
        <f t="shared" si="386"/>
        <v>0</v>
      </c>
      <c r="DG833">
        <f t="shared" si="383"/>
        <v>3.84</v>
      </c>
      <c r="DH833">
        <f t="shared" si="384"/>
        <v>0.72</v>
      </c>
      <c r="DI833">
        <f t="shared" ref="DI833:DI896" si="387">ROUND(AH833*CX833,2)</f>
        <v>0</v>
      </c>
      <c r="DJ833">
        <f>DG833</f>
        <v>3.84</v>
      </c>
      <c r="DK833">
        <v>0</v>
      </c>
    </row>
    <row r="834" spans="1:115" x14ac:dyDescent="0.2">
      <c r="A834">
        <f>ROW(Source!A1042)</f>
        <v>1042</v>
      </c>
      <c r="B834">
        <v>129761636</v>
      </c>
      <c r="C834">
        <v>129764186</v>
      </c>
      <c r="D834">
        <v>37417692</v>
      </c>
      <c r="E834">
        <v>1</v>
      </c>
      <c r="F834">
        <v>1</v>
      </c>
      <c r="G834">
        <v>37345137</v>
      </c>
      <c r="H834">
        <v>2</v>
      </c>
      <c r="I834" t="s">
        <v>1127</v>
      </c>
      <c r="J834" t="s">
        <v>1128</v>
      </c>
      <c r="K834" t="s">
        <v>1129</v>
      </c>
      <c r="L834">
        <v>1367</v>
      </c>
      <c r="N834">
        <v>1011</v>
      </c>
      <c r="O834" t="s">
        <v>1102</v>
      </c>
      <c r="P834" t="s">
        <v>1102</v>
      </c>
      <c r="Q834">
        <v>1</v>
      </c>
      <c r="W834">
        <v>0</v>
      </c>
      <c r="X834">
        <v>-266174272</v>
      </c>
      <c r="Y834">
        <f>(AT834*1.25)</f>
        <v>3.7499999999999999E-2</v>
      </c>
      <c r="AA834">
        <v>0</v>
      </c>
      <c r="AB834">
        <v>190.93</v>
      </c>
      <c r="AC834">
        <v>18.149999999999999</v>
      </c>
      <c r="AD834">
        <v>0</v>
      </c>
      <c r="AE834">
        <v>0</v>
      </c>
      <c r="AF834">
        <v>190.93</v>
      </c>
      <c r="AG834">
        <v>18.149999999999999</v>
      </c>
      <c r="AH834">
        <v>0</v>
      </c>
      <c r="AI834">
        <v>1</v>
      </c>
      <c r="AJ834">
        <v>1</v>
      </c>
      <c r="AK834">
        <v>1</v>
      </c>
      <c r="AL834">
        <v>1</v>
      </c>
      <c r="AN834">
        <v>0</v>
      </c>
      <c r="AO834">
        <v>1</v>
      </c>
      <c r="AP834">
        <v>1</v>
      </c>
      <c r="AQ834">
        <v>0</v>
      </c>
      <c r="AR834">
        <v>0</v>
      </c>
      <c r="AS834" t="s">
        <v>3</v>
      </c>
      <c r="AT834">
        <v>0.03</v>
      </c>
      <c r="AU834" t="s">
        <v>86</v>
      </c>
      <c r="AV834">
        <v>0</v>
      </c>
      <c r="AW834">
        <v>2</v>
      </c>
      <c r="AX834">
        <v>129764211</v>
      </c>
      <c r="AY834">
        <v>1</v>
      </c>
      <c r="AZ834">
        <v>0</v>
      </c>
      <c r="BA834">
        <v>812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0</v>
      </c>
      <c r="BW834">
        <v>0</v>
      </c>
      <c r="CX834">
        <f>ROUND(Y834*Source!I1042,9)</f>
        <v>7.4999999999999997E-3</v>
      </c>
      <c r="CY834">
        <f>AB834</f>
        <v>190.93</v>
      </c>
      <c r="CZ834">
        <f>AF834</f>
        <v>190.93</v>
      </c>
      <c r="DA834">
        <f>AJ834</f>
        <v>1</v>
      </c>
      <c r="DB834">
        <f>ROUND((ROUND(AT834*CZ834,2)*1.25),6)</f>
        <v>7.1624999999999996</v>
      </c>
      <c r="DC834">
        <f>ROUND((ROUND(AT834*AG834,2)*1.25),6)</f>
        <v>0.67500000000000004</v>
      </c>
      <c r="DD834" t="s">
        <v>3</v>
      </c>
      <c r="DE834" t="s">
        <v>3</v>
      </c>
      <c r="DF834">
        <f t="shared" si="386"/>
        <v>0</v>
      </c>
      <c r="DG834">
        <f t="shared" si="383"/>
        <v>1.43</v>
      </c>
      <c r="DH834">
        <f t="shared" si="384"/>
        <v>0.14000000000000001</v>
      </c>
      <c r="DI834">
        <f t="shared" si="387"/>
        <v>0</v>
      </c>
      <c r="DJ834">
        <f>DG834</f>
        <v>1.43</v>
      </c>
      <c r="DK834">
        <v>0</v>
      </c>
    </row>
    <row r="835" spans="1:115" x14ac:dyDescent="0.2">
      <c r="A835">
        <f>ROW(Source!A1042)</f>
        <v>1042</v>
      </c>
      <c r="B835">
        <v>129761636</v>
      </c>
      <c r="C835">
        <v>129764186</v>
      </c>
      <c r="D835">
        <v>37393552</v>
      </c>
      <c r="E835">
        <v>1</v>
      </c>
      <c r="F835">
        <v>1</v>
      </c>
      <c r="G835">
        <v>37345137</v>
      </c>
      <c r="H835">
        <v>3</v>
      </c>
      <c r="I835" t="s">
        <v>348</v>
      </c>
      <c r="J835" t="s">
        <v>350</v>
      </c>
      <c r="K835" t="s">
        <v>349</v>
      </c>
      <c r="L835">
        <v>1339</v>
      </c>
      <c r="N835">
        <v>1007</v>
      </c>
      <c r="O835" t="s">
        <v>94</v>
      </c>
      <c r="P835" t="s">
        <v>94</v>
      </c>
      <c r="Q835">
        <v>1</v>
      </c>
      <c r="W835">
        <v>0</v>
      </c>
      <c r="X835">
        <v>-862991314</v>
      </c>
      <c r="Y835">
        <f t="shared" ref="Y835:Y851" si="388">AT835</f>
        <v>6.3E-2</v>
      </c>
      <c r="AA835">
        <v>7.07</v>
      </c>
      <c r="AB835">
        <v>0</v>
      </c>
      <c r="AC835">
        <v>0</v>
      </c>
      <c r="AD835">
        <v>0</v>
      </c>
      <c r="AE835">
        <v>7.07</v>
      </c>
      <c r="AF835">
        <v>0</v>
      </c>
      <c r="AG835">
        <v>0</v>
      </c>
      <c r="AH835">
        <v>0</v>
      </c>
      <c r="AI835">
        <v>1</v>
      </c>
      <c r="AJ835">
        <v>1</v>
      </c>
      <c r="AK835">
        <v>1</v>
      </c>
      <c r="AL835">
        <v>1</v>
      </c>
      <c r="AN835">
        <v>0</v>
      </c>
      <c r="AO835">
        <v>1</v>
      </c>
      <c r="AP835">
        <v>0</v>
      </c>
      <c r="AQ835">
        <v>0</v>
      </c>
      <c r="AR835">
        <v>0</v>
      </c>
      <c r="AS835" t="s">
        <v>3</v>
      </c>
      <c r="AT835">
        <v>6.3E-2</v>
      </c>
      <c r="AU835" t="s">
        <v>3</v>
      </c>
      <c r="AV835">
        <v>0</v>
      </c>
      <c r="AW835">
        <v>2</v>
      </c>
      <c r="AX835">
        <v>129764212</v>
      </c>
      <c r="AY835">
        <v>1</v>
      </c>
      <c r="AZ835">
        <v>0</v>
      </c>
      <c r="BA835">
        <v>813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0</v>
      </c>
      <c r="BW835">
        <v>0</v>
      </c>
      <c r="CX835">
        <f>ROUND(Y835*Source!I1042,9)</f>
        <v>1.26E-2</v>
      </c>
      <c r="CY835">
        <f t="shared" ref="CY835:CY851" si="389">AA835</f>
        <v>7.07</v>
      </c>
      <c r="CZ835">
        <f t="shared" ref="CZ835:CZ851" si="390">AE835</f>
        <v>7.07</v>
      </c>
      <c r="DA835">
        <f t="shared" ref="DA835:DA851" si="391">AI835</f>
        <v>1</v>
      </c>
      <c r="DB835">
        <f t="shared" ref="DB835:DB851" si="392">ROUND(ROUND(AT835*CZ835,2),6)</f>
        <v>0.45</v>
      </c>
      <c r="DC835">
        <f t="shared" ref="DC835:DC851" si="393">ROUND(ROUND(AT835*AG835,2),6)</f>
        <v>0</v>
      </c>
      <c r="DD835" t="s">
        <v>3</v>
      </c>
      <c r="DE835" t="s">
        <v>3</v>
      </c>
      <c r="DF835">
        <f t="shared" si="386"/>
        <v>0.09</v>
      </c>
      <c r="DG835">
        <f t="shared" si="383"/>
        <v>0</v>
      </c>
      <c r="DH835">
        <f t="shared" si="384"/>
        <v>0</v>
      </c>
      <c r="DI835">
        <f t="shared" si="387"/>
        <v>0</v>
      </c>
      <c r="DJ835">
        <f t="shared" ref="DJ835:DJ851" si="394">DF835</f>
        <v>0.09</v>
      </c>
      <c r="DK835">
        <v>0</v>
      </c>
    </row>
    <row r="836" spans="1:115" x14ac:dyDescent="0.2">
      <c r="A836">
        <f>ROW(Source!A1042)</f>
        <v>1042</v>
      </c>
      <c r="B836">
        <v>129761636</v>
      </c>
      <c r="C836">
        <v>129764186</v>
      </c>
      <c r="D836">
        <v>37394915</v>
      </c>
      <c r="E836">
        <v>1</v>
      </c>
      <c r="F836">
        <v>1</v>
      </c>
      <c r="G836">
        <v>37345137</v>
      </c>
      <c r="H836">
        <v>3</v>
      </c>
      <c r="I836" t="s">
        <v>1350</v>
      </c>
      <c r="J836" t="s">
        <v>1351</v>
      </c>
      <c r="K836" t="s">
        <v>1352</v>
      </c>
      <c r="L836">
        <v>1355</v>
      </c>
      <c r="N836">
        <v>1010</v>
      </c>
      <c r="O836" t="s">
        <v>551</v>
      </c>
      <c r="P836" t="s">
        <v>551</v>
      </c>
      <c r="Q836">
        <v>100</v>
      </c>
      <c r="W836">
        <v>0</v>
      </c>
      <c r="X836">
        <v>1356090561</v>
      </c>
      <c r="Y836">
        <f t="shared" si="388"/>
        <v>1</v>
      </c>
      <c r="AA836">
        <v>180.35</v>
      </c>
      <c r="AB836">
        <v>0</v>
      </c>
      <c r="AC836">
        <v>0</v>
      </c>
      <c r="AD836">
        <v>0</v>
      </c>
      <c r="AE836">
        <v>180.35</v>
      </c>
      <c r="AF836">
        <v>0</v>
      </c>
      <c r="AG836">
        <v>0</v>
      </c>
      <c r="AH836">
        <v>0</v>
      </c>
      <c r="AI836">
        <v>1</v>
      </c>
      <c r="AJ836">
        <v>1</v>
      </c>
      <c r="AK836">
        <v>1</v>
      </c>
      <c r="AL836">
        <v>1</v>
      </c>
      <c r="AN836">
        <v>0</v>
      </c>
      <c r="AO836">
        <v>1</v>
      </c>
      <c r="AP836">
        <v>0</v>
      </c>
      <c r="AQ836">
        <v>0</v>
      </c>
      <c r="AR836">
        <v>0</v>
      </c>
      <c r="AS836" t="s">
        <v>3</v>
      </c>
      <c r="AT836">
        <v>1</v>
      </c>
      <c r="AU836" t="s">
        <v>3</v>
      </c>
      <c r="AV836">
        <v>0</v>
      </c>
      <c r="AW836">
        <v>2</v>
      </c>
      <c r="AX836">
        <v>129764213</v>
      </c>
      <c r="AY836">
        <v>1</v>
      </c>
      <c r="AZ836">
        <v>0</v>
      </c>
      <c r="BA836">
        <v>814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0</v>
      </c>
      <c r="BW836">
        <v>0</v>
      </c>
      <c r="CX836">
        <f>ROUND(Y836*Source!I1042,9)</f>
        <v>0.2</v>
      </c>
      <c r="CY836">
        <f t="shared" si="389"/>
        <v>180.35</v>
      </c>
      <c r="CZ836">
        <f t="shared" si="390"/>
        <v>180.35</v>
      </c>
      <c r="DA836">
        <f t="shared" si="391"/>
        <v>1</v>
      </c>
      <c r="DB836">
        <f t="shared" si="392"/>
        <v>180.35</v>
      </c>
      <c r="DC836">
        <f t="shared" si="393"/>
        <v>0</v>
      </c>
      <c r="DD836" t="s">
        <v>3</v>
      </c>
      <c r="DE836" t="s">
        <v>3</v>
      </c>
      <c r="DF836">
        <f t="shared" si="386"/>
        <v>36.07</v>
      </c>
      <c r="DG836">
        <f t="shared" si="383"/>
        <v>0</v>
      </c>
      <c r="DH836">
        <f t="shared" si="384"/>
        <v>0</v>
      </c>
      <c r="DI836">
        <f t="shared" si="387"/>
        <v>0</v>
      </c>
      <c r="DJ836">
        <f t="shared" si="394"/>
        <v>36.07</v>
      </c>
      <c r="DK836">
        <v>0</v>
      </c>
    </row>
    <row r="837" spans="1:115" x14ac:dyDescent="0.2">
      <c r="A837">
        <f>ROW(Source!A1042)</f>
        <v>1042</v>
      </c>
      <c r="B837">
        <v>129761636</v>
      </c>
      <c r="C837">
        <v>129764186</v>
      </c>
      <c r="D837">
        <v>37393665</v>
      </c>
      <c r="E837">
        <v>1</v>
      </c>
      <c r="F837">
        <v>1</v>
      </c>
      <c r="G837">
        <v>37345137</v>
      </c>
      <c r="H837">
        <v>3</v>
      </c>
      <c r="I837" t="s">
        <v>1353</v>
      </c>
      <c r="J837" t="s">
        <v>1354</v>
      </c>
      <c r="K837" t="s">
        <v>1355</v>
      </c>
      <c r="L837">
        <v>1348</v>
      </c>
      <c r="N837">
        <v>1009</v>
      </c>
      <c r="O837" t="s">
        <v>114</v>
      </c>
      <c r="P837" t="s">
        <v>114</v>
      </c>
      <c r="Q837">
        <v>1000</v>
      </c>
      <c r="W837">
        <v>0</v>
      </c>
      <c r="X837">
        <v>1693650758</v>
      </c>
      <c r="Y837">
        <f t="shared" si="388"/>
        <v>8.4999999999999995E-4</v>
      </c>
      <c r="AA837">
        <v>20166.439999999999</v>
      </c>
      <c r="AB837">
        <v>0</v>
      </c>
      <c r="AC837">
        <v>0</v>
      </c>
      <c r="AD837">
        <v>0</v>
      </c>
      <c r="AE837">
        <v>20166.439999999999</v>
      </c>
      <c r="AF837">
        <v>0</v>
      </c>
      <c r="AG837">
        <v>0</v>
      </c>
      <c r="AH837">
        <v>0</v>
      </c>
      <c r="AI837">
        <v>1</v>
      </c>
      <c r="AJ837">
        <v>1</v>
      </c>
      <c r="AK837">
        <v>1</v>
      </c>
      <c r="AL837">
        <v>1</v>
      </c>
      <c r="AN837">
        <v>0</v>
      </c>
      <c r="AO837">
        <v>1</v>
      </c>
      <c r="AP837">
        <v>0</v>
      </c>
      <c r="AQ837">
        <v>0</v>
      </c>
      <c r="AR837">
        <v>0</v>
      </c>
      <c r="AS837" t="s">
        <v>3</v>
      </c>
      <c r="AT837">
        <v>8.4999999999999995E-4</v>
      </c>
      <c r="AU837" t="s">
        <v>3</v>
      </c>
      <c r="AV837">
        <v>0</v>
      </c>
      <c r="AW837">
        <v>2</v>
      </c>
      <c r="AX837">
        <v>129764214</v>
      </c>
      <c r="AY837">
        <v>1</v>
      </c>
      <c r="AZ837">
        <v>0</v>
      </c>
      <c r="BA837">
        <v>815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0</v>
      </c>
      <c r="BW837">
        <v>0</v>
      </c>
      <c r="CX837">
        <f>ROUND(Y837*Source!I1042,9)</f>
        <v>1.7000000000000001E-4</v>
      </c>
      <c r="CY837">
        <f t="shared" si="389"/>
        <v>20166.439999999999</v>
      </c>
      <c r="CZ837">
        <f t="shared" si="390"/>
        <v>20166.439999999999</v>
      </c>
      <c r="DA837">
        <f t="shared" si="391"/>
        <v>1</v>
      </c>
      <c r="DB837">
        <f t="shared" si="392"/>
        <v>17.14</v>
      </c>
      <c r="DC837">
        <f t="shared" si="393"/>
        <v>0</v>
      </c>
      <c r="DD837" t="s">
        <v>3</v>
      </c>
      <c r="DE837" t="s">
        <v>3</v>
      </c>
      <c r="DF837">
        <f t="shared" si="386"/>
        <v>3.43</v>
      </c>
      <c r="DG837">
        <f t="shared" si="383"/>
        <v>0</v>
      </c>
      <c r="DH837">
        <f t="shared" si="384"/>
        <v>0</v>
      </c>
      <c r="DI837">
        <f t="shared" si="387"/>
        <v>0</v>
      </c>
      <c r="DJ837">
        <f t="shared" si="394"/>
        <v>3.43</v>
      </c>
      <c r="DK837">
        <v>0</v>
      </c>
    </row>
    <row r="838" spans="1:115" x14ac:dyDescent="0.2">
      <c r="A838">
        <f>ROW(Source!A1042)</f>
        <v>1042</v>
      </c>
      <c r="B838">
        <v>129761636</v>
      </c>
      <c r="C838">
        <v>129764186</v>
      </c>
      <c r="D838">
        <v>37395753</v>
      </c>
      <c r="E838">
        <v>1</v>
      </c>
      <c r="F838">
        <v>1</v>
      </c>
      <c r="G838">
        <v>37345137</v>
      </c>
      <c r="H838">
        <v>3</v>
      </c>
      <c r="I838" t="s">
        <v>1356</v>
      </c>
      <c r="J838" t="s">
        <v>1357</v>
      </c>
      <c r="K838" t="s">
        <v>1358</v>
      </c>
      <c r="L838">
        <v>1346</v>
      </c>
      <c r="N838">
        <v>1009</v>
      </c>
      <c r="O838" t="s">
        <v>369</v>
      </c>
      <c r="P838" t="s">
        <v>369</v>
      </c>
      <c r="Q838">
        <v>1</v>
      </c>
      <c r="W838">
        <v>0</v>
      </c>
      <c r="X838">
        <v>-675737513</v>
      </c>
      <c r="Y838">
        <f t="shared" si="388"/>
        <v>0.25</v>
      </c>
      <c r="AA838">
        <v>16.22</v>
      </c>
      <c r="AB838">
        <v>0</v>
      </c>
      <c r="AC838">
        <v>0</v>
      </c>
      <c r="AD838">
        <v>0</v>
      </c>
      <c r="AE838">
        <v>16.22</v>
      </c>
      <c r="AF838">
        <v>0</v>
      </c>
      <c r="AG838">
        <v>0</v>
      </c>
      <c r="AH838">
        <v>0</v>
      </c>
      <c r="AI838">
        <v>1</v>
      </c>
      <c r="AJ838">
        <v>1</v>
      </c>
      <c r="AK838">
        <v>1</v>
      </c>
      <c r="AL838">
        <v>1</v>
      </c>
      <c r="AN838">
        <v>0</v>
      </c>
      <c r="AO838">
        <v>1</v>
      </c>
      <c r="AP838">
        <v>0</v>
      </c>
      <c r="AQ838">
        <v>0</v>
      </c>
      <c r="AR838">
        <v>0</v>
      </c>
      <c r="AS838" t="s">
        <v>3</v>
      </c>
      <c r="AT838">
        <v>0.25</v>
      </c>
      <c r="AU838" t="s">
        <v>3</v>
      </c>
      <c r="AV838">
        <v>0</v>
      </c>
      <c r="AW838">
        <v>2</v>
      </c>
      <c r="AX838">
        <v>129764215</v>
      </c>
      <c r="AY838">
        <v>1</v>
      </c>
      <c r="AZ838">
        <v>0</v>
      </c>
      <c r="BA838">
        <v>816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0</v>
      </c>
      <c r="BT838">
        <v>0</v>
      </c>
      <c r="BU838">
        <v>0</v>
      </c>
      <c r="BV838">
        <v>0</v>
      </c>
      <c r="BW838">
        <v>0</v>
      </c>
      <c r="CX838">
        <f>ROUND(Y838*Source!I1042,9)</f>
        <v>0.05</v>
      </c>
      <c r="CY838">
        <f t="shared" si="389"/>
        <v>16.22</v>
      </c>
      <c r="CZ838">
        <f t="shared" si="390"/>
        <v>16.22</v>
      </c>
      <c r="DA838">
        <f t="shared" si="391"/>
        <v>1</v>
      </c>
      <c r="DB838">
        <f t="shared" si="392"/>
        <v>4.0599999999999996</v>
      </c>
      <c r="DC838">
        <f t="shared" si="393"/>
        <v>0</v>
      </c>
      <c r="DD838" t="s">
        <v>3</v>
      </c>
      <c r="DE838" t="s">
        <v>3</v>
      </c>
      <c r="DF838">
        <f t="shared" si="386"/>
        <v>0.81</v>
      </c>
      <c r="DG838">
        <f t="shared" si="383"/>
        <v>0</v>
      </c>
      <c r="DH838">
        <f t="shared" si="384"/>
        <v>0</v>
      </c>
      <c r="DI838">
        <f t="shared" si="387"/>
        <v>0</v>
      </c>
      <c r="DJ838">
        <f t="shared" si="394"/>
        <v>0.81</v>
      </c>
      <c r="DK838">
        <v>0</v>
      </c>
    </row>
    <row r="839" spans="1:115" x14ac:dyDescent="0.2">
      <c r="A839">
        <f>ROW(Source!A1042)</f>
        <v>1042</v>
      </c>
      <c r="B839">
        <v>129761636</v>
      </c>
      <c r="C839">
        <v>129764186</v>
      </c>
      <c r="D839">
        <v>37393685</v>
      </c>
      <c r="E839">
        <v>1</v>
      </c>
      <c r="F839">
        <v>1</v>
      </c>
      <c r="G839">
        <v>37345137</v>
      </c>
      <c r="H839">
        <v>3</v>
      </c>
      <c r="I839" t="s">
        <v>1359</v>
      </c>
      <c r="J839" t="s">
        <v>1360</v>
      </c>
      <c r="K839" t="s">
        <v>1361</v>
      </c>
      <c r="L839">
        <v>1348</v>
      </c>
      <c r="N839">
        <v>1009</v>
      </c>
      <c r="O839" t="s">
        <v>114</v>
      </c>
      <c r="P839" t="s">
        <v>114</v>
      </c>
      <c r="Q839">
        <v>1000</v>
      </c>
      <c r="W839">
        <v>0</v>
      </c>
      <c r="X839">
        <v>-1837888431</v>
      </c>
      <c r="Y839">
        <f t="shared" si="388"/>
        <v>1.5999999999999999E-6</v>
      </c>
      <c r="AA839">
        <v>3246.35</v>
      </c>
      <c r="AB839">
        <v>0</v>
      </c>
      <c r="AC839">
        <v>0</v>
      </c>
      <c r="AD839">
        <v>0</v>
      </c>
      <c r="AE839">
        <v>3246.35</v>
      </c>
      <c r="AF839">
        <v>0</v>
      </c>
      <c r="AG839">
        <v>0</v>
      </c>
      <c r="AH839">
        <v>0</v>
      </c>
      <c r="AI839">
        <v>1</v>
      </c>
      <c r="AJ839">
        <v>1</v>
      </c>
      <c r="AK839">
        <v>1</v>
      </c>
      <c r="AL839">
        <v>1</v>
      </c>
      <c r="AN839">
        <v>0</v>
      </c>
      <c r="AO839">
        <v>1</v>
      </c>
      <c r="AP839">
        <v>0</v>
      </c>
      <c r="AQ839">
        <v>0</v>
      </c>
      <c r="AR839">
        <v>0</v>
      </c>
      <c r="AS839" t="s">
        <v>3</v>
      </c>
      <c r="AT839">
        <v>1.5999999999999999E-6</v>
      </c>
      <c r="AU839" t="s">
        <v>3</v>
      </c>
      <c r="AV839">
        <v>0</v>
      </c>
      <c r="AW839">
        <v>2</v>
      </c>
      <c r="AX839">
        <v>129764216</v>
      </c>
      <c r="AY839">
        <v>1</v>
      </c>
      <c r="AZ839">
        <v>0</v>
      </c>
      <c r="BA839">
        <v>817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0</v>
      </c>
      <c r="CX839">
        <f>ROUND(Y839*Source!I1042,9)</f>
        <v>3.2000000000000001E-7</v>
      </c>
      <c r="CY839">
        <f t="shared" si="389"/>
        <v>3246.35</v>
      </c>
      <c r="CZ839">
        <f t="shared" si="390"/>
        <v>3246.35</v>
      </c>
      <c r="DA839">
        <f t="shared" si="391"/>
        <v>1</v>
      </c>
      <c r="DB839">
        <f t="shared" si="392"/>
        <v>0.01</v>
      </c>
      <c r="DC839">
        <f t="shared" si="393"/>
        <v>0</v>
      </c>
      <c r="DD839" t="s">
        <v>3</v>
      </c>
      <c r="DE839" t="s">
        <v>3</v>
      </c>
      <c r="DF839">
        <f t="shared" si="386"/>
        <v>0</v>
      </c>
      <c r="DG839">
        <f t="shared" si="383"/>
        <v>0</v>
      </c>
      <c r="DH839">
        <f t="shared" si="384"/>
        <v>0</v>
      </c>
      <c r="DI839">
        <f t="shared" si="387"/>
        <v>0</v>
      </c>
      <c r="DJ839">
        <f t="shared" si="394"/>
        <v>0</v>
      </c>
      <c r="DK839">
        <v>0</v>
      </c>
    </row>
    <row r="840" spans="1:115" x14ac:dyDescent="0.2">
      <c r="A840">
        <f>ROW(Source!A1042)</f>
        <v>1042</v>
      </c>
      <c r="B840">
        <v>129761636</v>
      </c>
      <c r="C840">
        <v>129764186</v>
      </c>
      <c r="D840">
        <v>37395903</v>
      </c>
      <c r="E840">
        <v>1</v>
      </c>
      <c r="F840">
        <v>1</v>
      </c>
      <c r="G840">
        <v>37345137</v>
      </c>
      <c r="H840">
        <v>3</v>
      </c>
      <c r="I840" t="s">
        <v>1362</v>
      </c>
      <c r="J840" t="s">
        <v>1363</v>
      </c>
      <c r="K840" t="s">
        <v>1364</v>
      </c>
      <c r="L840">
        <v>1346</v>
      </c>
      <c r="N840">
        <v>1009</v>
      </c>
      <c r="O840" t="s">
        <v>369</v>
      </c>
      <c r="P840" t="s">
        <v>369</v>
      </c>
      <c r="Q840">
        <v>1</v>
      </c>
      <c r="W840">
        <v>0</v>
      </c>
      <c r="X840">
        <v>1061104562</v>
      </c>
      <c r="Y840">
        <f t="shared" si="388"/>
        <v>0.55000000000000004</v>
      </c>
      <c r="AA840">
        <v>45.16</v>
      </c>
      <c r="AB840">
        <v>0</v>
      </c>
      <c r="AC840">
        <v>0</v>
      </c>
      <c r="AD840">
        <v>0</v>
      </c>
      <c r="AE840">
        <v>45.16</v>
      </c>
      <c r="AF840">
        <v>0</v>
      </c>
      <c r="AG840">
        <v>0</v>
      </c>
      <c r="AH840">
        <v>0</v>
      </c>
      <c r="AI840">
        <v>1</v>
      </c>
      <c r="AJ840">
        <v>1</v>
      </c>
      <c r="AK840">
        <v>1</v>
      </c>
      <c r="AL840">
        <v>1</v>
      </c>
      <c r="AN840">
        <v>0</v>
      </c>
      <c r="AO840">
        <v>1</v>
      </c>
      <c r="AP840">
        <v>0</v>
      </c>
      <c r="AQ840">
        <v>0</v>
      </c>
      <c r="AR840">
        <v>0</v>
      </c>
      <c r="AS840" t="s">
        <v>3</v>
      </c>
      <c r="AT840">
        <v>0.55000000000000004</v>
      </c>
      <c r="AU840" t="s">
        <v>3</v>
      </c>
      <c r="AV840">
        <v>0</v>
      </c>
      <c r="AW840">
        <v>2</v>
      </c>
      <c r="AX840">
        <v>129764217</v>
      </c>
      <c r="AY840">
        <v>1</v>
      </c>
      <c r="AZ840">
        <v>0</v>
      </c>
      <c r="BA840">
        <v>818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0</v>
      </c>
      <c r="BR840">
        <v>0</v>
      </c>
      <c r="BS840">
        <v>0</v>
      </c>
      <c r="BT840">
        <v>0</v>
      </c>
      <c r="BU840">
        <v>0</v>
      </c>
      <c r="BV840">
        <v>0</v>
      </c>
      <c r="BW840">
        <v>0</v>
      </c>
      <c r="CX840">
        <f>ROUND(Y840*Source!I1042,9)</f>
        <v>0.11</v>
      </c>
      <c r="CY840">
        <f t="shared" si="389"/>
        <v>45.16</v>
      </c>
      <c r="CZ840">
        <f t="shared" si="390"/>
        <v>45.16</v>
      </c>
      <c r="DA840">
        <f t="shared" si="391"/>
        <v>1</v>
      </c>
      <c r="DB840">
        <f t="shared" si="392"/>
        <v>24.84</v>
      </c>
      <c r="DC840">
        <f t="shared" si="393"/>
        <v>0</v>
      </c>
      <c r="DD840" t="s">
        <v>3</v>
      </c>
      <c r="DE840" t="s">
        <v>3</v>
      </c>
      <c r="DF840">
        <f t="shared" si="386"/>
        <v>4.97</v>
      </c>
      <c r="DG840">
        <f t="shared" si="383"/>
        <v>0</v>
      </c>
      <c r="DH840">
        <f t="shared" si="384"/>
        <v>0</v>
      </c>
      <c r="DI840">
        <f t="shared" si="387"/>
        <v>0</v>
      </c>
      <c r="DJ840">
        <f t="shared" si="394"/>
        <v>4.97</v>
      </c>
      <c r="DK840">
        <v>0</v>
      </c>
    </row>
    <row r="841" spans="1:115" x14ac:dyDescent="0.2">
      <c r="A841">
        <f>ROW(Source!A1042)</f>
        <v>1042</v>
      </c>
      <c r="B841">
        <v>129761636</v>
      </c>
      <c r="C841">
        <v>129764186</v>
      </c>
      <c r="D841">
        <v>37393818</v>
      </c>
      <c r="E841">
        <v>1</v>
      </c>
      <c r="F841">
        <v>1</v>
      </c>
      <c r="G841">
        <v>37345137</v>
      </c>
      <c r="H841">
        <v>3</v>
      </c>
      <c r="I841" t="s">
        <v>1365</v>
      </c>
      <c r="J841" t="s">
        <v>1366</v>
      </c>
      <c r="K841" t="s">
        <v>1367</v>
      </c>
      <c r="L841">
        <v>1346</v>
      </c>
      <c r="N841">
        <v>1009</v>
      </c>
      <c r="O841" t="s">
        <v>369</v>
      </c>
      <c r="P841" t="s">
        <v>369</v>
      </c>
      <c r="Q841">
        <v>1</v>
      </c>
      <c r="W841">
        <v>0</v>
      </c>
      <c r="X841">
        <v>-291619796</v>
      </c>
      <c r="Y841">
        <f t="shared" si="388"/>
        <v>0.25</v>
      </c>
      <c r="AA841">
        <v>43.74</v>
      </c>
      <c r="AB841">
        <v>0</v>
      </c>
      <c r="AC841">
        <v>0</v>
      </c>
      <c r="AD841">
        <v>0</v>
      </c>
      <c r="AE841">
        <v>43.74</v>
      </c>
      <c r="AF841">
        <v>0</v>
      </c>
      <c r="AG841">
        <v>0</v>
      </c>
      <c r="AH841">
        <v>0</v>
      </c>
      <c r="AI841">
        <v>1</v>
      </c>
      <c r="AJ841">
        <v>1</v>
      </c>
      <c r="AK841">
        <v>1</v>
      </c>
      <c r="AL841">
        <v>1</v>
      </c>
      <c r="AN841">
        <v>0</v>
      </c>
      <c r="AO841">
        <v>1</v>
      </c>
      <c r="AP841">
        <v>0</v>
      </c>
      <c r="AQ841">
        <v>0</v>
      </c>
      <c r="AR841">
        <v>0</v>
      </c>
      <c r="AS841" t="s">
        <v>3</v>
      </c>
      <c r="AT841">
        <v>0.25</v>
      </c>
      <c r="AU841" t="s">
        <v>3</v>
      </c>
      <c r="AV841">
        <v>0</v>
      </c>
      <c r="AW841">
        <v>2</v>
      </c>
      <c r="AX841">
        <v>129764218</v>
      </c>
      <c r="AY841">
        <v>1</v>
      </c>
      <c r="AZ841">
        <v>0</v>
      </c>
      <c r="BA841">
        <v>819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0</v>
      </c>
      <c r="BW841">
        <v>0</v>
      </c>
      <c r="CX841">
        <f>ROUND(Y841*Source!I1042,9)</f>
        <v>0.05</v>
      </c>
      <c r="CY841">
        <f t="shared" si="389"/>
        <v>43.74</v>
      </c>
      <c r="CZ841">
        <f t="shared" si="390"/>
        <v>43.74</v>
      </c>
      <c r="DA841">
        <f t="shared" si="391"/>
        <v>1</v>
      </c>
      <c r="DB841">
        <f t="shared" si="392"/>
        <v>10.94</v>
      </c>
      <c r="DC841">
        <f t="shared" si="393"/>
        <v>0</v>
      </c>
      <c r="DD841" t="s">
        <v>3</v>
      </c>
      <c r="DE841" t="s">
        <v>3</v>
      </c>
      <c r="DF841">
        <f t="shared" si="386"/>
        <v>2.19</v>
      </c>
      <c r="DG841">
        <f t="shared" si="383"/>
        <v>0</v>
      </c>
      <c r="DH841">
        <f t="shared" si="384"/>
        <v>0</v>
      </c>
      <c r="DI841">
        <f t="shared" si="387"/>
        <v>0</v>
      </c>
      <c r="DJ841">
        <f t="shared" si="394"/>
        <v>2.19</v>
      </c>
      <c r="DK841">
        <v>0</v>
      </c>
    </row>
    <row r="842" spans="1:115" x14ac:dyDescent="0.2">
      <c r="A842">
        <f>ROW(Source!A1042)</f>
        <v>1042</v>
      </c>
      <c r="B842">
        <v>129761636</v>
      </c>
      <c r="C842">
        <v>129764186</v>
      </c>
      <c r="D842">
        <v>0</v>
      </c>
      <c r="E842">
        <v>1</v>
      </c>
      <c r="F842">
        <v>1</v>
      </c>
      <c r="G842">
        <v>37345137</v>
      </c>
      <c r="H842">
        <v>3</v>
      </c>
      <c r="I842" t="s">
        <v>831</v>
      </c>
      <c r="J842" t="s">
        <v>3</v>
      </c>
      <c r="K842" t="s">
        <v>832</v>
      </c>
      <c r="L842">
        <v>1301</v>
      </c>
      <c r="N842">
        <v>1003</v>
      </c>
      <c r="O842" t="s">
        <v>270</v>
      </c>
      <c r="P842" t="s">
        <v>270</v>
      </c>
      <c r="Q842">
        <v>1</v>
      </c>
      <c r="W842">
        <v>0</v>
      </c>
      <c r="X842">
        <v>1418106712</v>
      </c>
      <c r="Y842">
        <f t="shared" si="388"/>
        <v>89.9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1</v>
      </c>
      <c r="AJ842">
        <v>1</v>
      </c>
      <c r="AK842">
        <v>1</v>
      </c>
      <c r="AL842">
        <v>1</v>
      </c>
      <c r="AN842">
        <v>0</v>
      </c>
      <c r="AO842">
        <v>0</v>
      </c>
      <c r="AP842">
        <v>0</v>
      </c>
      <c r="AQ842">
        <v>0</v>
      </c>
      <c r="AR842">
        <v>0</v>
      </c>
      <c r="AS842" t="s">
        <v>3</v>
      </c>
      <c r="AT842">
        <v>89.9</v>
      </c>
      <c r="AU842" t="s">
        <v>3</v>
      </c>
      <c r="AV842">
        <v>0</v>
      </c>
      <c r="AW842">
        <v>1</v>
      </c>
      <c r="AX842">
        <v>-1</v>
      </c>
      <c r="AY842">
        <v>0</v>
      </c>
      <c r="AZ842">
        <v>0</v>
      </c>
      <c r="BA842" t="s">
        <v>3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0</v>
      </c>
      <c r="BW842">
        <v>0</v>
      </c>
      <c r="CX842">
        <f>ROUND(Y842*Source!I1042,9)</f>
        <v>17.98</v>
      </c>
      <c r="CY842">
        <f t="shared" si="389"/>
        <v>0</v>
      </c>
      <c r="CZ842">
        <f t="shared" si="390"/>
        <v>0</v>
      </c>
      <c r="DA842">
        <f t="shared" si="391"/>
        <v>1</v>
      </c>
      <c r="DB842">
        <f t="shared" si="392"/>
        <v>0</v>
      </c>
      <c r="DC842">
        <f t="shared" si="393"/>
        <v>0</v>
      </c>
      <c r="DD842" t="s">
        <v>3</v>
      </c>
      <c r="DE842" t="s">
        <v>3</v>
      </c>
      <c r="DF842">
        <f t="shared" si="386"/>
        <v>0</v>
      </c>
      <c r="DG842">
        <f t="shared" si="383"/>
        <v>0</v>
      </c>
      <c r="DH842">
        <f t="shared" si="384"/>
        <v>0</v>
      </c>
      <c r="DI842">
        <f t="shared" si="387"/>
        <v>0</v>
      </c>
      <c r="DJ842">
        <f t="shared" si="394"/>
        <v>0</v>
      </c>
      <c r="DK842">
        <v>0</v>
      </c>
    </row>
    <row r="843" spans="1:115" x14ac:dyDescent="0.2">
      <c r="A843">
        <f>ROW(Source!A1042)</f>
        <v>1042</v>
      </c>
      <c r="B843">
        <v>129761636</v>
      </c>
      <c r="C843">
        <v>129764186</v>
      </c>
      <c r="D843">
        <v>0</v>
      </c>
      <c r="E843">
        <v>1</v>
      </c>
      <c r="F843">
        <v>1</v>
      </c>
      <c r="G843">
        <v>37345137</v>
      </c>
      <c r="H843">
        <v>3</v>
      </c>
      <c r="I843" t="s">
        <v>838</v>
      </c>
      <c r="J843" t="s">
        <v>3</v>
      </c>
      <c r="K843" t="s">
        <v>839</v>
      </c>
      <c r="L843">
        <v>1354</v>
      </c>
      <c r="N843">
        <v>1010</v>
      </c>
      <c r="O843" t="s">
        <v>250</v>
      </c>
      <c r="P843" t="s">
        <v>250</v>
      </c>
      <c r="Q843">
        <v>1</v>
      </c>
      <c r="W843">
        <v>0</v>
      </c>
      <c r="X843">
        <v>-1495509255</v>
      </c>
      <c r="Y843">
        <f t="shared" si="388"/>
        <v>20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1</v>
      </c>
      <c r="AJ843">
        <v>1</v>
      </c>
      <c r="AK843">
        <v>1</v>
      </c>
      <c r="AL843">
        <v>1</v>
      </c>
      <c r="AN843">
        <v>0</v>
      </c>
      <c r="AO843">
        <v>0</v>
      </c>
      <c r="AP843">
        <v>0</v>
      </c>
      <c r="AQ843">
        <v>0</v>
      </c>
      <c r="AR843">
        <v>0</v>
      </c>
      <c r="AS843" t="s">
        <v>3</v>
      </c>
      <c r="AT843">
        <v>20</v>
      </c>
      <c r="AU843" t="s">
        <v>3</v>
      </c>
      <c r="AV843">
        <v>0</v>
      </c>
      <c r="AW843">
        <v>1</v>
      </c>
      <c r="AX843">
        <v>-1</v>
      </c>
      <c r="AY843">
        <v>0</v>
      </c>
      <c r="AZ843">
        <v>0</v>
      </c>
      <c r="BA843" t="s">
        <v>3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0</v>
      </c>
      <c r="BW843">
        <v>0</v>
      </c>
      <c r="CX843">
        <f>ROUND(Y843*Source!I1042,9)</f>
        <v>4</v>
      </c>
      <c r="CY843">
        <f t="shared" si="389"/>
        <v>0</v>
      </c>
      <c r="CZ843">
        <f t="shared" si="390"/>
        <v>0</v>
      </c>
      <c r="DA843">
        <f t="shared" si="391"/>
        <v>1</v>
      </c>
      <c r="DB843">
        <f t="shared" si="392"/>
        <v>0</v>
      </c>
      <c r="DC843">
        <f t="shared" si="393"/>
        <v>0</v>
      </c>
      <c r="DD843" t="s">
        <v>3</v>
      </c>
      <c r="DE843" t="s">
        <v>3</v>
      </c>
      <c r="DF843">
        <f t="shared" si="386"/>
        <v>0</v>
      </c>
      <c r="DG843">
        <f t="shared" si="383"/>
        <v>0</v>
      </c>
      <c r="DH843">
        <f t="shared" si="384"/>
        <v>0</v>
      </c>
      <c r="DI843">
        <f t="shared" si="387"/>
        <v>0</v>
      </c>
      <c r="DJ843">
        <f t="shared" si="394"/>
        <v>0</v>
      </c>
      <c r="DK843">
        <v>0</v>
      </c>
    </row>
    <row r="844" spans="1:115" x14ac:dyDescent="0.2">
      <c r="A844">
        <f>ROW(Source!A1042)</f>
        <v>1042</v>
      </c>
      <c r="B844">
        <v>129761636</v>
      </c>
      <c r="C844">
        <v>129764186</v>
      </c>
      <c r="D844">
        <v>0</v>
      </c>
      <c r="E844">
        <v>1</v>
      </c>
      <c r="F844">
        <v>1</v>
      </c>
      <c r="G844">
        <v>37345137</v>
      </c>
      <c r="H844">
        <v>3</v>
      </c>
      <c r="I844" t="s">
        <v>835</v>
      </c>
      <c r="J844" t="s">
        <v>3</v>
      </c>
      <c r="K844" t="s">
        <v>836</v>
      </c>
      <c r="L844">
        <v>1354</v>
      </c>
      <c r="N844">
        <v>1010</v>
      </c>
      <c r="O844" t="s">
        <v>250</v>
      </c>
      <c r="P844" t="s">
        <v>250</v>
      </c>
      <c r="Q844">
        <v>1</v>
      </c>
      <c r="W844">
        <v>0</v>
      </c>
      <c r="X844">
        <v>197807928</v>
      </c>
      <c r="Y844">
        <f t="shared" si="388"/>
        <v>60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1</v>
      </c>
      <c r="AJ844">
        <v>1</v>
      </c>
      <c r="AK844">
        <v>1</v>
      </c>
      <c r="AL844">
        <v>1</v>
      </c>
      <c r="AN844">
        <v>0</v>
      </c>
      <c r="AO844">
        <v>0</v>
      </c>
      <c r="AP844">
        <v>0</v>
      </c>
      <c r="AQ844">
        <v>0</v>
      </c>
      <c r="AR844">
        <v>0</v>
      </c>
      <c r="AS844" t="s">
        <v>3</v>
      </c>
      <c r="AT844">
        <v>60</v>
      </c>
      <c r="AU844" t="s">
        <v>3</v>
      </c>
      <c r="AV844">
        <v>0</v>
      </c>
      <c r="AW844">
        <v>1</v>
      </c>
      <c r="AX844">
        <v>-1</v>
      </c>
      <c r="AY844">
        <v>0</v>
      </c>
      <c r="AZ844">
        <v>0</v>
      </c>
      <c r="BA844" t="s">
        <v>3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0</v>
      </c>
      <c r="BW844">
        <v>0</v>
      </c>
      <c r="CX844">
        <f>ROUND(Y844*Source!I1042,9)</f>
        <v>12</v>
      </c>
      <c r="CY844">
        <f t="shared" si="389"/>
        <v>0</v>
      </c>
      <c r="CZ844">
        <f t="shared" si="390"/>
        <v>0</v>
      </c>
      <c r="DA844">
        <f t="shared" si="391"/>
        <v>1</v>
      </c>
      <c r="DB844">
        <f t="shared" si="392"/>
        <v>0</v>
      </c>
      <c r="DC844">
        <f t="shared" si="393"/>
        <v>0</v>
      </c>
      <c r="DD844" t="s">
        <v>3</v>
      </c>
      <c r="DE844" t="s">
        <v>3</v>
      </c>
      <c r="DF844">
        <f t="shared" si="386"/>
        <v>0</v>
      </c>
      <c r="DG844">
        <f t="shared" si="383"/>
        <v>0</v>
      </c>
      <c r="DH844">
        <f t="shared" si="384"/>
        <v>0</v>
      </c>
      <c r="DI844">
        <f t="shared" si="387"/>
        <v>0</v>
      </c>
      <c r="DJ844">
        <f t="shared" si="394"/>
        <v>0</v>
      </c>
      <c r="DK844">
        <v>0</v>
      </c>
    </row>
    <row r="845" spans="1:115" x14ac:dyDescent="0.2">
      <c r="A845">
        <f>ROW(Source!A1042)</f>
        <v>1042</v>
      </c>
      <c r="B845">
        <v>129761636</v>
      </c>
      <c r="C845">
        <v>129764186</v>
      </c>
      <c r="D845">
        <v>0</v>
      </c>
      <c r="E845">
        <v>1</v>
      </c>
      <c r="F845">
        <v>1</v>
      </c>
      <c r="G845">
        <v>37345137</v>
      </c>
      <c r="H845">
        <v>3</v>
      </c>
      <c r="I845" t="s">
        <v>841</v>
      </c>
      <c r="J845" t="s">
        <v>3</v>
      </c>
      <c r="K845" t="s">
        <v>842</v>
      </c>
      <c r="L845">
        <v>1354</v>
      </c>
      <c r="N845">
        <v>1010</v>
      </c>
      <c r="O845" t="s">
        <v>250</v>
      </c>
      <c r="P845" t="s">
        <v>250</v>
      </c>
      <c r="Q845">
        <v>1</v>
      </c>
      <c r="W845">
        <v>0</v>
      </c>
      <c r="X845">
        <v>1942050970</v>
      </c>
      <c r="Y845">
        <f t="shared" si="388"/>
        <v>35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0</v>
      </c>
      <c r="AI845">
        <v>1</v>
      </c>
      <c r="AJ845">
        <v>1</v>
      </c>
      <c r="AK845">
        <v>1</v>
      </c>
      <c r="AL845">
        <v>1</v>
      </c>
      <c r="AN845">
        <v>0</v>
      </c>
      <c r="AO845">
        <v>0</v>
      </c>
      <c r="AP845">
        <v>0</v>
      </c>
      <c r="AQ845">
        <v>0</v>
      </c>
      <c r="AR845">
        <v>0</v>
      </c>
      <c r="AS845" t="s">
        <v>3</v>
      </c>
      <c r="AT845">
        <v>35</v>
      </c>
      <c r="AU845" t="s">
        <v>3</v>
      </c>
      <c r="AV845">
        <v>0</v>
      </c>
      <c r="AW845">
        <v>1</v>
      </c>
      <c r="AX845">
        <v>-1</v>
      </c>
      <c r="AY845">
        <v>0</v>
      </c>
      <c r="AZ845">
        <v>0</v>
      </c>
      <c r="BA845" t="s">
        <v>3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0</v>
      </c>
      <c r="BK845">
        <v>0</v>
      </c>
      <c r="BL845">
        <v>0</v>
      </c>
      <c r="BM845">
        <v>0</v>
      </c>
      <c r="BN845">
        <v>0</v>
      </c>
      <c r="BO845">
        <v>0</v>
      </c>
      <c r="BP845">
        <v>0</v>
      </c>
      <c r="BQ845">
        <v>0</v>
      </c>
      <c r="BR845">
        <v>0</v>
      </c>
      <c r="BS845">
        <v>0</v>
      </c>
      <c r="BT845">
        <v>0</v>
      </c>
      <c r="BU845">
        <v>0</v>
      </c>
      <c r="BV845">
        <v>0</v>
      </c>
      <c r="BW845">
        <v>0</v>
      </c>
      <c r="CX845">
        <f>ROUND(Y845*Source!I1042,9)</f>
        <v>7</v>
      </c>
      <c r="CY845">
        <f t="shared" si="389"/>
        <v>0</v>
      </c>
      <c r="CZ845">
        <f t="shared" si="390"/>
        <v>0</v>
      </c>
      <c r="DA845">
        <f t="shared" si="391"/>
        <v>1</v>
      </c>
      <c r="DB845">
        <f t="shared" si="392"/>
        <v>0</v>
      </c>
      <c r="DC845">
        <f t="shared" si="393"/>
        <v>0</v>
      </c>
      <c r="DD845" t="s">
        <v>3</v>
      </c>
      <c r="DE845" t="s">
        <v>3</v>
      </c>
      <c r="DF845">
        <f t="shared" si="386"/>
        <v>0</v>
      </c>
      <c r="DG845">
        <f t="shared" si="383"/>
        <v>0</v>
      </c>
      <c r="DH845">
        <f t="shared" si="384"/>
        <v>0</v>
      </c>
      <c r="DI845">
        <f t="shared" si="387"/>
        <v>0</v>
      </c>
      <c r="DJ845">
        <f t="shared" si="394"/>
        <v>0</v>
      </c>
      <c r="DK845">
        <v>0</v>
      </c>
    </row>
    <row r="846" spans="1:115" x14ac:dyDescent="0.2">
      <c r="A846">
        <f>ROW(Source!A1042)</f>
        <v>1042</v>
      </c>
      <c r="B846">
        <v>129761636</v>
      </c>
      <c r="C846">
        <v>129764186</v>
      </c>
      <c r="D846">
        <v>0</v>
      </c>
      <c r="E846">
        <v>1</v>
      </c>
      <c r="F846">
        <v>1</v>
      </c>
      <c r="G846">
        <v>37345137</v>
      </c>
      <c r="H846">
        <v>3</v>
      </c>
      <c r="I846" t="s">
        <v>844</v>
      </c>
      <c r="J846" t="s">
        <v>3</v>
      </c>
      <c r="K846" t="s">
        <v>845</v>
      </c>
      <c r="L846">
        <v>1354</v>
      </c>
      <c r="N846">
        <v>1010</v>
      </c>
      <c r="O846" t="s">
        <v>250</v>
      </c>
      <c r="P846" t="s">
        <v>250</v>
      </c>
      <c r="Q846">
        <v>1</v>
      </c>
      <c r="W846">
        <v>0</v>
      </c>
      <c r="X846">
        <v>-729385371</v>
      </c>
      <c r="Y846">
        <f t="shared" si="388"/>
        <v>10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1</v>
      </c>
      <c r="AJ846">
        <v>1</v>
      </c>
      <c r="AK846">
        <v>1</v>
      </c>
      <c r="AL846">
        <v>1</v>
      </c>
      <c r="AN846">
        <v>0</v>
      </c>
      <c r="AO846">
        <v>0</v>
      </c>
      <c r="AP846">
        <v>0</v>
      </c>
      <c r="AQ846">
        <v>0</v>
      </c>
      <c r="AR846">
        <v>0</v>
      </c>
      <c r="AS846" t="s">
        <v>3</v>
      </c>
      <c r="AT846">
        <v>10</v>
      </c>
      <c r="AU846" t="s">
        <v>3</v>
      </c>
      <c r="AV846">
        <v>0</v>
      </c>
      <c r="AW846">
        <v>1</v>
      </c>
      <c r="AX846">
        <v>-1</v>
      </c>
      <c r="AY846">
        <v>0</v>
      </c>
      <c r="AZ846">
        <v>0</v>
      </c>
      <c r="BA846" t="s">
        <v>3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  <c r="BR846">
        <v>0</v>
      </c>
      <c r="BS846">
        <v>0</v>
      </c>
      <c r="BT846">
        <v>0</v>
      </c>
      <c r="BU846">
        <v>0</v>
      </c>
      <c r="BV846">
        <v>0</v>
      </c>
      <c r="BW846">
        <v>0</v>
      </c>
      <c r="CX846">
        <f>ROUND(Y846*Source!I1042,9)</f>
        <v>2</v>
      </c>
      <c r="CY846">
        <f t="shared" si="389"/>
        <v>0</v>
      </c>
      <c r="CZ846">
        <f t="shared" si="390"/>
        <v>0</v>
      </c>
      <c r="DA846">
        <f t="shared" si="391"/>
        <v>1</v>
      </c>
      <c r="DB846">
        <f t="shared" si="392"/>
        <v>0</v>
      </c>
      <c r="DC846">
        <f t="shared" si="393"/>
        <v>0</v>
      </c>
      <c r="DD846" t="s">
        <v>3</v>
      </c>
      <c r="DE846" t="s">
        <v>3</v>
      </c>
      <c r="DF846">
        <f t="shared" si="386"/>
        <v>0</v>
      </c>
      <c r="DG846">
        <f t="shared" si="383"/>
        <v>0</v>
      </c>
      <c r="DH846">
        <f t="shared" si="384"/>
        <v>0</v>
      </c>
      <c r="DI846">
        <f t="shared" si="387"/>
        <v>0</v>
      </c>
      <c r="DJ846">
        <f t="shared" si="394"/>
        <v>0</v>
      </c>
      <c r="DK846">
        <v>0</v>
      </c>
    </row>
    <row r="847" spans="1:115" x14ac:dyDescent="0.2">
      <c r="A847">
        <f>ROW(Source!A1042)</f>
        <v>1042</v>
      </c>
      <c r="B847">
        <v>129761636</v>
      </c>
      <c r="C847">
        <v>129764186</v>
      </c>
      <c r="D847">
        <v>0</v>
      </c>
      <c r="E847">
        <v>1</v>
      </c>
      <c r="F847">
        <v>1</v>
      </c>
      <c r="G847">
        <v>37345137</v>
      </c>
      <c r="H847">
        <v>3</v>
      </c>
      <c r="I847" t="s">
        <v>833</v>
      </c>
      <c r="J847" t="s">
        <v>3</v>
      </c>
      <c r="K847" t="s">
        <v>834</v>
      </c>
      <c r="L847">
        <v>1354</v>
      </c>
      <c r="N847">
        <v>1010</v>
      </c>
      <c r="O847" t="s">
        <v>250</v>
      </c>
      <c r="P847" t="s">
        <v>250</v>
      </c>
      <c r="Q847">
        <v>1</v>
      </c>
      <c r="W847">
        <v>0</v>
      </c>
      <c r="X847">
        <v>-1782072134</v>
      </c>
      <c r="Y847">
        <f t="shared" si="388"/>
        <v>25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1</v>
      </c>
      <c r="AJ847">
        <v>1</v>
      </c>
      <c r="AK847">
        <v>1</v>
      </c>
      <c r="AL847">
        <v>1</v>
      </c>
      <c r="AN847">
        <v>0</v>
      </c>
      <c r="AO847">
        <v>0</v>
      </c>
      <c r="AP847">
        <v>0</v>
      </c>
      <c r="AQ847">
        <v>0</v>
      </c>
      <c r="AR847">
        <v>0</v>
      </c>
      <c r="AS847" t="s">
        <v>3</v>
      </c>
      <c r="AT847">
        <v>25</v>
      </c>
      <c r="AU847" t="s">
        <v>3</v>
      </c>
      <c r="AV847">
        <v>0</v>
      </c>
      <c r="AW847">
        <v>1</v>
      </c>
      <c r="AX847">
        <v>-1</v>
      </c>
      <c r="AY847">
        <v>0</v>
      </c>
      <c r="AZ847">
        <v>0</v>
      </c>
      <c r="BA847" t="s">
        <v>3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0</v>
      </c>
      <c r="BR847">
        <v>0</v>
      </c>
      <c r="BS847">
        <v>0</v>
      </c>
      <c r="BT847">
        <v>0</v>
      </c>
      <c r="BU847">
        <v>0</v>
      </c>
      <c r="BV847">
        <v>0</v>
      </c>
      <c r="BW847">
        <v>0</v>
      </c>
      <c r="CX847">
        <f>ROUND(Y847*Source!I1042,9)</f>
        <v>5</v>
      </c>
      <c r="CY847">
        <f t="shared" si="389"/>
        <v>0</v>
      </c>
      <c r="CZ847">
        <f t="shared" si="390"/>
        <v>0</v>
      </c>
      <c r="DA847">
        <f t="shared" si="391"/>
        <v>1</v>
      </c>
      <c r="DB847">
        <f t="shared" si="392"/>
        <v>0</v>
      </c>
      <c r="DC847">
        <f t="shared" si="393"/>
        <v>0</v>
      </c>
      <c r="DD847" t="s">
        <v>3</v>
      </c>
      <c r="DE847" t="s">
        <v>3</v>
      </c>
      <c r="DF847">
        <f t="shared" si="386"/>
        <v>0</v>
      </c>
      <c r="DG847">
        <f t="shared" si="383"/>
        <v>0</v>
      </c>
      <c r="DH847">
        <f t="shared" si="384"/>
        <v>0</v>
      </c>
      <c r="DI847">
        <f t="shared" si="387"/>
        <v>0</v>
      </c>
      <c r="DJ847">
        <f t="shared" si="394"/>
        <v>0</v>
      </c>
      <c r="DK847">
        <v>0</v>
      </c>
    </row>
    <row r="848" spans="1:115" x14ac:dyDescent="0.2">
      <c r="A848">
        <f>ROW(Source!A1042)</f>
        <v>1042</v>
      </c>
      <c r="B848">
        <v>129761636</v>
      </c>
      <c r="C848">
        <v>129764186</v>
      </c>
      <c r="D848">
        <v>0</v>
      </c>
      <c r="E848">
        <v>1</v>
      </c>
      <c r="F848">
        <v>1</v>
      </c>
      <c r="G848">
        <v>37345137</v>
      </c>
      <c r="H848">
        <v>3</v>
      </c>
      <c r="I848" t="s">
        <v>850</v>
      </c>
      <c r="J848" t="s">
        <v>3</v>
      </c>
      <c r="K848" t="s">
        <v>851</v>
      </c>
      <c r="L848">
        <v>1354</v>
      </c>
      <c r="N848">
        <v>1010</v>
      </c>
      <c r="O848" t="s">
        <v>250</v>
      </c>
      <c r="P848" t="s">
        <v>250</v>
      </c>
      <c r="Q848">
        <v>1</v>
      </c>
      <c r="W848">
        <v>0</v>
      </c>
      <c r="X848">
        <v>1698173573</v>
      </c>
      <c r="Y848">
        <f t="shared" si="388"/>
        <v>20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  <c r="AI848">
        <v>1</v>
      </c>
      <c r="AJ848">
        <v>1</v>
      </c>
      <c r="AK848">
        <v>1</v>
      </c>
      <c r="AL848">
        <v>1</v>
      </c>
      <c r="AN848">
        <v>0</v>
      </c>
      <c r="AO848">
        <v>0</v>
      </c>
      <c r="AP848">
        <v>0</v>
      </c>
      <c r="AQ848">
        <v>0</v>
      </c>
      <c r="AR848">
        <v>0</v>
      </c>
      <c r="AS848" t="s">
        <v>3</v>
      </c>
      <c r="AT848">
        <v>20</v>
      </c>
      <c r="AU848" t="s">
        <v>3</v>
      </c>
      <c r="AV848">
        <v>0</v>
      </c>
      <c r="AW848">
        <v>1</v>
      </c>
      <c r="AX848">
        <v>-1</v>
      </c>
      <c r="AY848">
        <v>0</v>
      </c>
      <c r="AZ848">
        <v>0</v>
      </c>
      <c r="BA848" t="s">
        <v>3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0</v>
      </c>
      <c r="BP848">
        <v>0</v>
      </c>
      <c r="BQ848">
        <v>0</v>
      </c>
      <c r="BR848">
        <v>0</v>
      </c>
      <c r="BS848">
        <v>0</v>
      </c>
      <c r="BT848">
        <v>0</v>
      </c>
      <c r="BU848">
        <v>0</v>
      </c>
      <c r="BV848">
        <v>0</v>
      </c>
      <c r="BW848">
        <v>0</v>
      </c>
      <c r="CX848">
        <f>ROUND(Y848*Source!I1042,9)</f>
        <v>4</v>
      </c>
      <c r="CY848">
        <f t="shared" si="389"/>
        <v>0</v>
      </c>
      <c r="CZ848">
        <f t="shared" si="390"/>
        <v>0</v>
      </c>
      <c r="DA848">
        <f t="shared" si="391"/>
        <v>1</v>
      </c>
      <c r="DB848">
        <f t="shared" si="392"/>
        <v>0</v>
      </c>
      <c r="DC848">
        <f t="shared" si="393"/>
        <v>0</v>
      </c>
      <c r="DD848" t="s">
        <v>3</v>
      </c>
      <c r="DE848" t="s">
        <v>3</v>
      </c>
      <c r="DF848">
        <f t="shared" si="386"/>
        <v>0</v>
      </c>
      <c r="DG848">
        <f t="shared" si="383"/>
        <v>0</v>
      </c>
      <c r="DH848">
        <f t="shared" si="384"/>
        <v>0</v>
      </c>
      <c r="DI848">
        <f t="shared" si="387"/>
        <v>0</v>
      </c>
      <c r="DJ848">
        <f t="shared" si="394"/>
        <v>0</v>
      </c>
      <c r="DK848">
        <v>0</v>
      </c>
    </row>
    <row r="849" spans="1:115" x14ac:dyDescent="0.2">
      <c r="A849">
        <f>ROW(Source!A1042)</f>
        <v>1042</v>
      </c>
      <c r="B849">
        <v>129761636</v>
      </c>
      <c r="C849">
        <v>129764186</v>
      </c>
      <c r="D849">
        <v>0</v>
      </c>
      <c r="E849">
        <v>1</v>
      </c>
      <c r="F849">
        <v>1</v>
      </c>
      <c r="G849">
        <v>37345137</v>
      </c>
      <c r="H849">
        <v>3</v>
      </c>
      <c r="I849" t="s">
        <v>847</v>
      </c>
      <c r="J849" t="s">
        <v>3</v>
      </c>
      <c r="K849" t="s">
        <v>848</v>
      </c>
      <c r="L849">
        <v>1354</v>
      </c>
      <c r="N849">
        <v>1010</v>
      </c>
      <c r="O849" t="s">
        <v>250</v>
      </c>
      <c r="P849" t="s">
        <v>250</v>
      </c>
      <c r="Q849">
        <v>1</v>
      </c>
      <c r="W849">
        <v>0</v>
      </c>
      <c r="X849">
        <v>1773581639</v>
      </c>
      <c r="Y849">
        <f t="shared" si="388"/>
        <v>10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1</v>
      </c>
      <c r="AJ849">
        <v>1</v>
      </c>
      <c r="AK849">
        <v>1</v>
      </c>
      <c r="AL849">
        <v>1</v>
      </c>
      <c r="AN849">
        <v>0</v>
      </c>
      <c r="AO849">
        <v>0</v>
      </c>
      <c r="AP849">
        <v>0</v>
      </c>
      <c r="AQ849">
        <v>0</v>
      </c>
      <c r="AR849">
        <v>0</v>
      </c>
      <c r="AS849" t="s">
        <v>3</v>
      </c>
      <c r="AT849">
        <v>10</v>
      </c>
      <c r="AU849" t="s">
        <v>3</v>
      </c>
      <c r="AV849">
        <v>0</v>
      </c>
      <c r="AW849">
        <v>1</v>
      </c>
      <c r="AX849">
        <v>-1</v>
      </c>
      <c r="AY849">
        <v>0</v>
      </c>
      <c r="AZ849">
        <v>0</v>
      </c>
      <c r="BA849" t="s">
        <v>3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0</v>
      </c>
      <c r="BS849">
        <v>0</v>
      </c>
      <c r="BT849">
        <v>0</v>
      </c>
      <c r="BU849">
        <v>0</v>
      </c>
      <c r="BV849">
        <v>0</v>
      </c>
      <c r="BW849">
        <v>0</v>
      </c>
      <c r="CX849">
        <f>ROUND(Y849*Source!I1042,9)</f>
        <v>2</v>
      </c>
      <c r="CY849">
        <f t="shared" si="389"/>
        <v>0</v>
      </c>
      <c r="CZ849">
        <f t="shared" si="390"/>
        <v>0</v>
      </c>
      <c r="DA849">
        <f t="shared" si="391"/>
        <v>1</v>
      </c>
      <c r="DB849">
        <f t="shared" si="392"/>
        <v>0</v>
      </c>
      <c r="DC849">
        <f t="shared" si="393"/>
        <v>0</v>
      </c>
      <c r="DD849" t="s">
        <v>3</v>
      </c>
      <c r="DE849" t="s">
        <v>3</v>
      </c>
      <c r="DF849">
        <f t="shared" si="386"/>
        <v>0</v>
      </c>
      <c r="DG849">
        <f t="shared" si="383"/>
        <v>0</v>
      </c>
      <c r="DH849">
        <f t="shared" si="384"/>
        <v>0</v>
      </c>
      <c r="DI849">
        <f t="shared" si="387"/>
        <v>0</v>
      </c>
      <c r="DJ849">
        <f t="shared" si="394"/>
        <v>0</v>
      </c>
      <c r="DK849">
        <v>0</v>
      </c>
    </row>
    <row r="850" spans="1:115" x14ac:dyDescent="0.2">
      <c r="A850">
        <f>ROW(Source!A1042)</f>
        <v>1042</v>
      </c>
      <c r="B850">
        <v>129761636</v>
      </c>
      <c r="C850">
        <v>129764186</v>
      </c>
      <c r="D850">
        <v>0</v>
      </c>
      <c r="E850">
        <v>1</v>
      </c>
      <c r="F850">
        <v>1</v>
      </c>
      <c r="G850">
        <v>37345137</v>
      </c>
      <c r="H850">
        <v>3</v>
      </c>
      <c r="I850" t="s">
        <v>853</v>
      </c>
      <c r="J850" t="s">
        <v>3</v>
      </c>
      <c r="K850" t="s">
        <v>854</v>
      </c>
      <c r="L850">
        <v>1354</v>
      </c>
      <c r="N850">
        <v>1010</v>
      </c>
      <c r="O850" t="s">
        <v>250</v>
      </c>
      <c r="P850" t="s">
        <v>250</v>
      </c>
      <c r="Q850">
        <v>1</v>
      </c>
      <c r="W850">
        <v>0</v>
      </c>
      <c r="X850">
        <v>71534593</v>
      </c>
      <c r="Y850">
        <f t="shared" si="388"/>
        <v>100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0</v>
      </c>
      <c r="AI850">
        <v>1</v>
      </c>
      <c r="AJ850">
        <v>1</v>
      </c>
      <c r="AK850">
        <v>1</v>
      </c>
      <c r="AL850">
        <v>1</v>
      </c>
      <c r="AN850">
        <v>0</v>
      </c>
      <c r="AO850">
        <v>0</v>
      </c>
      <c r="AP850">
        <v>0</v>
      </c>
      <c r="AQ850">
        <v>0</v>
      </c>
      <c r="AR850">
        <v>0</v>
      </c>
      <c r="AS850" t="s">
        <v>3</v>
      </c>
      <c r="AT850">
        <v>100</v>
      </c>
      <c r="AU850" t="s">
        <v>3</v>
      </c>
      <c r="AV850">
        <v>0</v>
      </c>
      <c r="AW850">
        <v>1</v>
      </c>
      <c r="AX850">
        <v>-1</v>
      </c>
      <c r="AY850">
        <v>0</v>
      </c>
      <c r="AZ850">
        <v>0</v>
      </c>
      <c r="BA850" t="s">
        <v>3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0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0</v>
      </c>
      <c r="BR850">
        <v>0</v>
      </c>
      <c r="BS850">
        <v>0</v>
      </c>
      <c r="BT850">
        <v>0</v>
      </c>
      <c r="BU850">
        <v>0</v>
      </c>
      <c r="BV850">
        <v>0</v>
      </c>
      <c r="BW850">
        <v>0</v>
      </c>
      <c r="CX850">
        <f>ROUND(Y850*Source!I1042,9)</f>
        <v>20</v>
      </c>
      <c r="CY850">
        <f t="shared" si="389"/>
        <v>0</v>
      </c>
      <c r="CZ850">
        <f t="shared" si="390"/>
        <v>0</v>
      </c>
      <c r="DA850">
        <f t="shared" si="391"/>
        <v>1</v>
      </c>
      <c r="DB850">
        <f t="shared" si="392"/>
        <v>0</v>
      </c>
      <c r="DC850">
        <f t="shared" si="393"/>
        <v>0</v>
      </c>
      <c r="DD850" t="s">
        <v>3</v>
      </c>
      <c r="DE850" t="s">
        <v>3</v>
      </c>
      <c r="DF850">
        <f t="shared" si="386"/>
        <v>0</v>
      </c>
      <c r="DG850">
        <f t="shared" si="383"/>
        <v>0</v>
      </c>
      <c r="DH850">
        <f t="shared" si="384"/>
        <v>0</v>
      </c>
      <c r="DI850">
        <f t="shared" si="387"/>
        <v>0</v>
      </c>
      <c r="DJ850">
        <f t="shared" si="394"/>
        <v>0</v>
      </c>
      <c r="DK850">
        <v>0</v>
      </c>
    </row>
    <row r="851" spans="1:115" x14ac:dyDescent="0.2">
      <c r="A851">
        <f>ROW(Source!A1042)</f>
        <v>1042</v>
      </c>
      <c r="B851">
        <v>129761636</v>
      </c>
      <c r="C851">
        <v>129764186</v>
      </c>
      <c r="D851">
        <v>37367082</v>
      </c>
      <c r="E851">
        <v>37345137</v>
      </c>
      <c r="F851">
        <v>1</v>
      </c>
      <c r="G851">
        <v>37345137</v>
      </c>
      <c r="H851">
        <v>3</v>
      </c>
      <c r="I851" t="s">
        <v>1136</v>
      </c>
      <c r="J851" t="s">
        <v>3</v>
      </c>
      <c r="K851" t="s">
        <v>1137</v>
      </c>
      <c r="L851">
        <v>1344</v>
      </c>
      <c r="N851">
        <v>1008</v>
      </c>
      <c r="O851" t="s">
        <v>1138</v>
      </c>
      <c r="P851" t="s">
        <v>1138</v>
      </c>
      <c r="Q851">
        <v>1</v>
      </c>
      <c r="W851">
        <v>0</v>
      </c>
      <c r="X851">
        <v>-94250534</v>
      </c>
      <c r="Y851">
        <f t="shared" si="388"/>
        <v>0.04</v>
      </c>
      <c r="AA851">
        <v>1</v>
      </c>
      <c r="AB851">
        <v>0</v>
      </c>
      <c r="AC851">
        <v>0</v>
      </c>
      <c r="AD851">
        <v>0</v>
      </c>
      <c r="AE851">
        <v>1</v>
      </c>
      <c r="AF851">
        <v>0</v>
      </c>
      <c r="AG851">
        <v>0</v>
      </c>
      <c r="AH851">
        <v>0</v>
      </c>
      <c r="AI851">
        <v>1</v>
      </c>
      <c r="AJ851">
        <v>1</v>
      </c>
      <c r="AK851">
        <v>1</v>
      </c>
      <c r="AL851">
        <v>1</v>
      </c>
      <c r="AN851">
        <v>0</v>
      </c>
      <c r="AO851">
        <v>1</v>
      </c>
      <c r="AP851">
        <v>0</v>
      </c>
      <c r="AQ851">
        <v>0</v>
      </c>
      <c r="AR851">
        <v>0</v>
      </c>
      <c r="AS851" t="s">
        <v>3</v>
      </c>
      <c r="AT851">
        <v>0.04</v>
      </c>
      <c r="AU851" t="s">
        <v>3</v>
      </c>
      <c r="AV851">
        <v>0</v>
      </c>
      <c r="AW851">
        <v>2</v>
      </c>
      <c r="AX851">
        <v>129764223</v>
      </c>
      <c r="AY851">
        <v>1</v>
      </c>
      <c r="AZ851">
        <v>0</v>
      </c>
      <c r="BA851">
        <v>824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0</v>
      </c>
      <c r="BS851">
        <v>0</v>
      </c>
      <c r="BT851">
        <v>0</v>
      </c>
      <c r="BU851">
        <v>0</v>
      </c>
      <c r="BV851">
        <v>0</v>
      </c>
      <c r="BW851">
        <v>0</v>
      </c>
      <c r="CX851">
        <f>ROUND(Y851*Source!I1042,9)</f>
        <v>8.0000000000000002E-3</v>
      </c>
      <c r="CY851">
        <f t="shared" si="389"/>
        <v>1</v>
      </c>
      <c r="CZ851">
        <f t="shared" si="390"/>
        <v>1</v>
      </c>
      <c r="DA851">
        <f t="shared" si="391"/>
        <v>1</v>
      </c>
      <c r="DB851">
        <f t="shared" si="392"/>
        <v>0.04</v>
      </c>
      <c r="DC851">
        <f t="shared" si="393"/>
        <v>0</v>
      </c>
      <c r="DD851" t="s">
        <v>3</v>
      </c>
      <c r="DE851" t="s">
        <v>3</v>
      </c>
      <c r="DF851">
        <f t="shared" si="386"/>
        <v>0.01</v>
      </c>
      <c r="DG851">
        <f t="shared" si="383"/>
        <v>0</v>
      </c>
      <c r="DH851">
        <f t="shared" si="384"/>
        <v>0</v>
      </c>
      <c r="DI851">
        <f t="shared" si="387"/>
        <v>0</v>
      </c>
      <c r="DJ851">
        <f t="shared" si="394"/>
        <v>0.01</v>
      </c>
      <c r="DK851">
        <v>0</v>
      </c>
    </row>
    <row r="852" spans="1:115" x14ac:dyDescent="0.2">
      <c r="A852">
        <f>ROW(Source!A1043)</f>
        <v>1043</v>
      </c>
      <c r="B852">
        <v>129761633</v>
      </c>
      <c r="C852">
        <v>129764186</v>
      </c>
      <c r="D852">
        <v>37345142</v>
      </c>
      <c r="E852">
        <v>37345137</v>
      </c>
      <c r="F852">
        <v>1</v>
      </c>
      <c r="G852">
        <v>37345137</v>
      </c>
      <c r="H852">
        <v>1</v>
      </c>
      <c r="I852" t="s">
        <v>1096</v>
      </c>
      <c r="J852" t="s">
        <v>3</v>
      </c>
      <c r="K852" t="s">
        <v>1097</v>
      </c>
      <c r="L852">
        <v>1191</v>
      </c>
      <c r="N852">
        <v>1013</v>
      </c>
      <c r="O852" t="s">
        <v>1098</v>
      </c>
      <c r="P852" t="s">
        <v>1098</v>
      </c>
      <c r="Q852">
        <v>1</v>
      </c>
      <c r="W852">
        <v>0</v>
      </c>
      <c r="X852">
        <v>476480486</v>
      </c>
      <c r="Y852">
        <f>(AT852*1.15)</f>
        <v>188.6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1</v>
      </c>
      <c r="AJ852">
        <v>1</v>
      </c>
      <c r="AK852">
        <v>1</v>
      </c>
      <c r="AL852">
        <v>1</v>
      </c>
      <c r="AN852">
        <v>0</v>
      </c>
      <c r="AO852">
        <v>1</v>
      </c>
      <c r="AP852">
        <v>1</v>
      </c>
      <c r="AQ852">
        <v>0</v>
      </c>
      <c r="AR852">
        <v>0</v>
      </c>
      <c r="AS852" t="s">
        <v>3</v>
      </c>
      <c r="AT852">
        <v>164</v>
      </c>
      <c r="AU852" t="s">
        <v>87</v>
      </c>
      <c r="AV852">
        <v>1</v>
      </c>
      <c r="AW852">
        <v>2</v>
      </c>
      <c r="AX852">
        <v>129764208</v>
      </c>
      <c r="AY852">
        <v>1</v>
      </c>
      <c r="AZ852">
        <v>0</v>
      </c>
      <c r="BA852">
        <v>825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0</v>
      </c>
      <c r="BW852">
        <v>0</v>
      </c>
      <c r="CX852">
        <f>ROUND(Y852*Source!I1043,9)</f>
        <v>37.72</v>
      </c>
      <c r="CY852">
        <f>AD852</f>
        <v>0</v>
      </c>
      <c r="CZ852">
        <f>AH852</f>
        <v>0</v>
      </c>
      <c r="DA852">
        <f>AL852</f>
        <v>1</v>
      </c>
      <c r="DB852">
        <f>ROUND((ROUND(AT852*CZ852,2)*1.15),6)</f>
        <v>0</v>
      </c>
      <c r="DC852">
        <f>ROUND((ROUND(AT852*AG852,2)*1.15),6)</f>
        <v>0</v>
      </c>
      <c r="DD852" t="s">
        <v>3</v>
      </c>
      <c r="DE852" t="s">
        <v>3</v>
      </c>
      <c r="DF852">
        <f t="shared" si="386"/>
        <v>0</v>
      </c>
      <c r="DG852">
        <f t="shared" si="383"/>
        <v>0</v>
      </c>
      <c r="DH852">
        <f t="shared" si="384"/>
        <v>0</v>
      </c>
      <c r="DI852">
        <f t="shared" si="387"/>
        <v>0</v>
      </c>
      <c r="DJ852">
        <f>DI852</f>
        <v>0</v>
      </c>
      <c r="DK852">
        <v>0</v>
      </c>
    </row>
    <row r="853" spans="1:115" x14ac:dyDescent="0.2">
      <c r="A853">
        <f>ROW(Source!A1043)</f>
        <v>1043</v>
      </c>
      <c r="B853">
        <v>129761633</v>
      </c>
      <c r="C853">
        <v>129764186</v>
      </c>
      <c r="D853">
        <v>41572463</v>
      </c>
      <c r="E853">
        <v>1</v>
      </c>
      <c r="F853">
        <v>1</v>
      </c>
      <c r="G853">
        <v>37345137</v>
      </c>
      <c r="H853">
        <v>2</v>
      </c>
      <c r="I853" t="s">
        <v>1347</v>
      </c>
      <c r="J853" t="s">
        <v>1348</v>
      </c>
      <c r="K853" t="s">
        <v>1349</v>
      </c>
      <c r="L853">
        <v>1367</v>
      </c>
      <c r="N853">
        <v>1011</v>
      </c>
      <c r="O853" t="s">
        <v>1102</v>
      </c>
      <c r="P853" t="s">
        <v>1102</v>
      </c>
      <c r="Q853">
        <v>1</v>
      </c>
      <c r="W853">
        <v>0</v>
      </c>
      <c r="X853">
        <v>162885925</v>
      </c>
      <c r="Y853">
        <f>(AT853*1.25)</f>
        <v>14.2875</v>
      </c>
      <c r="AA853">
        <v>0</v>
      </c>
      <c r="AB853">
        <v>14.65</v>
      </c>
      <c r="AC853">
        <v>0.31</v>
      </c>
      <c r="AD853">
        <v>0</v>
      </c>
      <c r="AE853">
        <v>0</v>
      </c>
      <c r="AF853">
        <v>1.42</v>
      </c>
      <c r="AG853">
        <v>0.01</v>
      </c>
      <c r="AH853">
        <v>0</v>
      </c>
      <c r="AI853">
        <v>1</v>
      </c>
      <c r="AJ853">
        <v>9.67</v>
      </c>
      <c r="AK853">
        <v>29.03</v>
      </c>
      <c r="AL853">
        <v>1</v>
      </c>
      <c r="AN853">
        <v>0</v>
      </c>
      <c r="AO853">
        <v>1</v>
      </c>
      <c r="AP853">
        <v>1</v>
      </c>
      <c r="AQ853">
        <v>0</v>
      </c>
      <c r="AR853">
        <v>0</v>
      </c>
      <c r="AS853" t="s">
        <v>3</v>
      </c>
      <c r="AT853">
        <v>11.43</v>
      </c>
      <c r="AU853" t="s">
        <v>86</v>
      </c>
      <c r="AV853">
        <v>0</v>
      </c>
      <c r="AW853">
        <v>2</v>
      </c>
      <c r="AX853">
        <v>129764209</v>
      </c>
      <c r="AY853">
        <v>1</v>
      </c>
      <c r="AZ853">
        <v>0</v>
      </c>
      <c r="BA853">
        <v>826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0</v>
      </c>
      <c r="BR853">
        <v>0</v>
      </c>
      <c r="BS853">
        <v>0</v>
      </c>
      <c r="BT853">
        <v>0</v>
      </c>
      <c r="BU853">
        <v>0</v>
      </c>
      <c r="BV853">
        <v>0</v>
      </c>
      <c r="BW853">
        <v>0</v>
      </c>
      <c r="CX853">
        <f>ROUND(Y853*Source!I1043,9)</f>
        <v>2.8574999999999999</v>
      </c>
      <c r="CY853">
        <f>AB853</f>
        <v>14.65</v>
      </c>
      <c r="CZ853">
        <f>AF853</f>
        <v>1.42</v>
      </c>
      <c r="DA853">
        <f>AJ853</f>
        <v>9.67</v>
      </c>
      <c r="DB853">
        <f>ROUND((ROUND(AT853*CZ853,2)*1.25),6)</f>
        <v>20.287500000000001</v>
      </c>
      <c r="DC853">
        <f>ROUND((ROUND(AT853*AG853,2)*1.25),6)</f>
        <v>0.13750000000000001</v>
      </c>
      <c r="DD853" t="s">
        <v>3</v>
      </c>
      <c r="DE853" t="s">
        <v>3</v>
      </c>
      <c r="DF853">
        <f t="shared" si="386"/>
        <v>0</v>
      </c>
      <c r="DG853">
        <f>ROUND(ROUND(AF853*CX853,2)*AJ853,2)</f>
        <v>39.26</v>
      </c>
      <c r="DH853">
        <f>ROUND(ROUND(AG853*CX853,2)*AK853,2)</f>
        <v>0.87</v>
      </c>
      <c r="DI853">
        <f t="shared" si="387"/>
        <v>0</v>
      </c>
      <c r="DJ853">
        <f>DG853</f>
        <v>39.26</v>
      </c>
      <c r="DK853">
        <v>0</v>
      </c>
    </row>
    <row r="854" spans="1:115" x14ac:dyDescent="0.2">
      <c r="A854">
        <f>ROW(Source!A1043)</f>
        <v>1043</v>
      </c>
      <c r="B854">
        <v>129761633</v>
      </c>
      <c r="C854">
        <v>129764186</v>
      </c>
      <c r="D854">
        <v>37418445</v>
      </c>
      <c r="E854">
        <v>1</v>
      </c>
      <c r="F854">
        <v>1</v>
      </c>
      <c r="G854">
        <v>37345137</v>
      </c>
      <c r="H854">
        <v>2</v>
      </c>
      <c r="I854" t="s">
        <v>1189</v>
      </c>
      <c r="J854" t="s">
        <v>1190</v>
      </c>
      <c r="K854" t="s">
        <v>1191</v>
      </c>
      <c r="L854">
        <v>1367</v>
      </c>
      <c r="N854">
        <v>1011</v>
      </c>
      <c r="O854" t="s">
        <v>1102</v>
      </c>
      <c r="P854" t="s">
        <v>1102</v>
      </c>
      <c r="Q854">
        <v>1</v>
      </c>
      <c r="W854">
        <v>0</v>
      </c>
      <c r="X854">
        <v>-628430174</v>
      </c>
      <c r="Y854">
        <f>(AT854*1.25)</f>
        <v>0.25</v>
      </c>
      <c r="AA854">
        <v>0</v>
      </c>
      <c r="AB854">
        <v>935.94</v>
      </c>
      <c r="AC854">
        <v>444.8</v>
      </c>
      <c r="AD854">
        <v>0</v>
      </c>
      <c r="AE854">
        <v>0</v>
      </c>
      <c r="AF854">
        <v>76.81</v>
      </c>
      <c r="AG854">
        <v>14.36</v>
      </c>
      <c r="AH854">
        <v>0</v>
      </c>
      <c r="AI854">
        <v>1</v>
      </c>
      <c r="AJ854">
        <v>11.42</v>
      </c>
      <c r="AK854">
        <v>29.03</v>
      </c>
      <c r="AL854">
        <v>1</v>
      </c>
      <c r="AN854">
        <v>0</v>
      </c>
      <c r="AO854">
        <v>1</v>
      </c>
      <c r="AP854">
        <v>1</v>
      </c>
      <c r="AQ854">
        <v>0</v>
      </c>
      <c r="AR854">
        <v>0</v>
      </c>
      <c r="AS854" t="s">
        <v>3</v>
      </c>
      <c r="AT854">
        <v>0.2</v>
      </c>
      <c r="AU854" t="s">
        <v>86</v>
      </c>
      <c r="AV854">
        <v>0</v>
      </c>
      <c r="AW854">
        <v>2</v>
      </c>
      <c r="AX854">
        <v>129764210</v>
      </c>
      <c r="AY854">
        <v>1</v>
      </c>
      <c r="AZ854">
        <v>0</v>
      </c>
      <c r="BA854">
        <v>827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0</v>
      </c>
      <c r="BR854">
        <v>0</v>
      </c>
      <c r="BS854">
        <v>0</v>
      </c>
      <c r="BT854">
        <v>0</v>
      </c>
      <c r="BU854">
        <v>0</v>
      </c>
      <c r="BV854">
        <v>0</v>
      </c>
      <c r="BW854">
        <v>0</v>
      </c>
      <c r="CX854">
        <f>ROUND(Y854*Source!I1043,9)</f>
        <v>0.05</v>
      </c>
      <c r="CY854">
        <f>AB854</f>
        <v>935.94</v>
      </c>
      <c r="CZ854">
        <f>AF854</f>
        <v>76.81</v>
      </c>
      <c r="DA854">
        <f>AJ854</f>
        <v>11.42</v>
      </c>
      <c r="DB854">
        <f>ROUND((ROUND(AT854*CZ854,2)*1.25),6)</f>
        <v>19.2</v>
      </c>
      <c r="DC854">
        <f>ROUND((ROUND(AT854*AG854,2)*1.25),6)</f>
        <v>3.5874999999999999</v>
      </c>
      <c r="DD854" t="s">
        <v>3</v>
      </c>
      <c r="DE854" t="s">
        <v>3</v>
      </c>
      <c r="DF854">
        <f t="shared" si="386"/>
        <v>0</v>
      </c>
      <c r="DG854">
        <f>ROUND(ROUND(AF854*CX854,2)*AJ854,2)</f>
        <v>43.85</v>
      </c>
      <c r="DH854">
        <f>ROUND(ROUND(AG854*CX854,2)*AK854,2)</f>
        <v>20.9</v>
      </c>
      <c r="DI854">
        <f t="shared" si="387"/>
        <v>0</v>
      </c>
      <c r="DJ854">
        <f>DG854</f>
        <v>43.85</v>
      </c>
      <c r="DK854">
        <v>0</v>
      </c>
    </row>
    <row r="855" spans="1:115" x14ac:dyDescent="0.2">
      <c r="A855">
        <f>ROW(Source!A1043)</f>
        <v>1043</v>
      </c>
      <c r="B855">
        <v>129761633</v>
      </c>
      <c r="C855">
        <v>129764186</v>
      </c>
      <c r="D855">
        <v>37417692</v>
      </c>
      <c r="E855">
        <v>1</v>
      </c>
      <c r="F855">
        <v>1</v>
      </c>
      <c r="G855">
        <v>37345137</v>
      </c>
      <c r="H855">
        <v>2</v>
      </c>
      <c r="I855" t="s">
        <v>1127</v>
      </c>
      <c r="J855" t="s">
        <v>1128</v>
      </c>
      <c r="K855" t="s">
        <v>1129</v>
      </c>
      <c r="L855">
        <v>1367</v>
      </c>
      <c r="N855">
        <v>1011</v>
      </c>
      <c r="O855" t="s">
        <v>1102</v>
      </c>
      <c r="P855" t="s">
        <v>1102</v>
      </c>
      <c r="Q855">
        <v>1</v>
      </c>
      <c r="W855">
        <v>0</v>
      </c>
      <c r="X855">
        <v>-266174272</v>
      </c>
      <c r="Y855">
        <f>(AT855*1.25)</f>
        <v>3.7499999999999999E-2</v>
      </c>
      <c r="AA855">
        <v>0</v>
      </c>
      <c r="AB855">
        <v>2098.34</v>
      </c>
      <c r="AC855">
        <v>562.20000000000005</v>
      </c>
      <c r="AD855">
        <v>0</v>
      </c>
      <c r="AE855">
        <v>0</v>
      </c>
      <c r="AF855">
        <v>190.93</v>
      </c>
      <c r="AG855">
        <v>18.149999999999999</v>
      </c>
      <c r="AH855">
        <v>0</v>
      </c>
      <c r="AI855">
        <v>1</v>
      </c>
      <c r="AJ855">
        <v>10.3</v>
      </c>
      <c r="AK855">
        <v>29.03</v>
      </c>
      <c r="AL855">
        <v>1</v>
      </c>
      <c r="AN855">
        <v>0</v>
      </c>
      <c r="AO855">
        <v>1</v>
      </c>
      <c r="AP855">
        <v>1</v>
      </c>
      <c r="AQ855">
        <v>0</v>
      </c>
      <c r="AR855">
        <v>0</v>
      </c>
      <c r="AS855" t="s">
        <v>3</v>
      </c>
      <c r="AT855">
        <v>0.03</v>
      </c>
      <c r="AU855" t="s">
        <v>86</v>
      </c>
      <c r="AV855">
        <v>0</v>
      </c>
      <c r="AW855">
        <v>2</v>
      </c>
      <c r="AX855">
        <v>129764211</v>
      </c>
      <c r="AY855">
        <v>1</v>
      </c>
      <c r="AZ855">
        <v>0</v>
      </c>
      <c r="BA855">
        <v>828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0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0</v>
      </c>
      <c r="BP855">
        <v>0</v>
      </c>
      <c r="BQ855">
        <v>0</v>
      </c>
      <c r="BR855">
        <v>0</v>
      </c>
      <c r="BS855">
        <v>0</v>
      </c>
      <c r="BT855">
        <v>0</v>
      </c>
      <c r="BU855">
        <v>0</v>
      </c>
      <c r="BV855">
        <v>0</v>
      </c>
      <c r="BW855">
        <v>0</v>
      </c>
      <c r="CX855">
        <f>ROUND(Y855*Source!I1043,9)</f>
        <v>7.4999999999999997E-3</v>
      </c>
      <c r="CY855">
        <f>AB855</f>
        <v>2098.34</v>
      </c>
      <c r="CZ855">
        <f>AF855</f>
        <v>190.93</v>
      </c>
      <c r="DA855">
        <f>AJ855</f>
        <v>10.3</v>
      </c>
      <c r="DB855">
        <f>ROUND((ROUND(AT855*CZ855,2)*1.25),6)</f>
        <v>7.1624999999999996</v>
      </c>
      <c r="DC855">
        <f>ROUND((ROUND(AT855*AG855,2)*1.25),6)</f>
        <v>0.67500000000000004</v>
      </c>
      <c r="DD855" t="s">
        <v>3</v>
      </c>
      <c r="DE855" t="s">
        <v>3</v>
      </c>
      <c r="DF855">
        <f t="shared" si="386"/>
        <v>0</v>
      </c>
      <c r="DG855">
        <f>ROUND(ROUND(AF855*CX855,2)*AJ855,2)</f>
        <v>14.73</v>
      </c>
      <c r="DH855">
        <f>ROUND(ROUND(AG855*CX855,2)*AK855,2)</f>
        <v>4.0599999999999996</v>
      </c>
      <c r="DI855">
        <f t="shared" si="387"/>
        <v>0</v>
      </c>
      <c r="DJ855">
        <f>DG855</f>
        <v>14.73</v>
      </c>
      <c r="DK855">
        <v>0</v>
      </c>
    </row>
    <row r="856" spans="1:115" x14ac:dyDescent="0.2">
      <c r="A856">
        <f>ROW(Source!A1043)</f>
        <v>1043</v>
      </c>
      <c r="B856">
        <v>129761633</v>
      </c>
      <c r="C856">
        <v>129764186</v>
      </c>
      <c r="D856">
        <v>37393552</v>
      </c>
      <c r="E856">
        <v>1</v>
      </c>
      <c r="F856">
        <v>1</v>
      </c>
      <c r="G856">
        <v>37345137</v>
      </c>
      <c r="H856">
        <v>3</v>
      </c>
      <c r="I856" t="s">
        <v>348</v>
      </c>
      <c r="J856" t="s">
        <v>350</v>
      </c>
      <c r="K856" t="s">
        <v>349</v>
      </c>
      <c r="L856">
        <v>1339</v>
      </c>
      <c r="N856">
        <v>1007</v>
      </c>
      <c r="O856" t="s">
        <v>94</v>
      </c>
      <c r="P856" t="s">
        <v>94</v>
      </c>
      <c r="Q856">
        <v>1</v>
      </c>
      <c r="W856">
        <v>0</v>
      </c>
      <c r="X856">
        <v>-862991314</v>
      </c>
      <c r="Y856">
        <f t="shared" ref="Y856:Y872" si="395">AT856</f>
        <v>6.3E-2</v>
      </c>
      <c r="AA856">
        <v>42.42</v>
      </c>
      <c r="AB856">
        <v>0</v>
      </c>
      <c r="AC856">
        <v>0</v>
      </c>
      <c r="AD856">
        <v>0</v>
      </c>
      <c r="AE856">
        <v>7.07</v>
      </c>
      <c r="AF856">
        <v>0</v>
      </c>
      <c r="AG856">
        <v>0</v>
      </c>
      <c r="AH856">
        <v>0</v>
      </c>
      <c r="AI856">
        <v>6</v>
      </c>
      <c r="AJ856">
        <v>1</v>
      </c>
      <c r="AK856">
        <v>1</v>
      </c>
      <c r="AL856">
        <v>1</v>
      </c>
      <c r="AN856">
        <v>0</v>
      </c>
      <c r="AO856">
        <v>1</v>
      </c>
      <c r="AP856">
        <v>0</v>
      </c>
      <c r="AQ856">
        <v>0</v>
      </c>
      <c r="AR856">
        <v>0</v>
      </c>
      <c r="AS856" t="s">
        <v>3</v>
      </c>
      <c r="AT856">
        <v>6.3E-2</v>
      </c>
      <c r="AU856" t="s">
        <v>3</v>
      </c>
      <c r="AV856">
        <v>0</v>
      </c>
      <c r="AW856">
        <v>2</v>
      </c>
      <c r="AX856">
        <v>129764212</v>
      </c>
      <c r="AY856">
        <v>1</v>
      </c>
      <c r="AZ856">
        <v>0</v>
      </c>
      <c r="BA856">
        <v>829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0</v>
      </c>
      <c r="BR856">
        <v>0</v>
      </c>
      <c r="BS856">
        <v>0</v>
      </c>
      <c r="BT856">
        <v>0</v>
      </c>
      <c r="BU856">
        <v>0</v>
      </c>
      <c r="BV856">
        <v>0</v>
      </c>
      <c r="BW856">
        <v>0</v>
      </c>
      <c r="CX856">
        <f>ROUND(Y856*Source!I1043,9)</f>
        <v>1.26E-2</v>
      </c>
      <c r="CY856">
        <f t="shared" ref="CY856:CY872" si="396">AA856</f>
        <v>42.42</v>
      </c>
      <c r="CZ856">
        <f t="shared" ref="CZ856:CZ872" si="397">AE856</f>
        <v>7.07</v>
      </c>
      <c r="DA856">
        <f t="shared" ref="DA856:DA872" si="398">AI856</f>
        <v>6</v>
      </c>
      <c r="DB856">
        <f t="shared" ref="DB856:DB872" si="399">ROUND(ROUND(AT856*CZ856,2),6)</f>
        <v>0.45</v>
      </c>
      <c r="DC856">
        <f t="shared" ref="DC856:DC872" si="400">ROUND(ROUND(AT856*AG856,2),6)</f>
        <v>0</v>
      </c>
      <c r="DD856" t="s">
        <v>3</v>
      </c>
      <c r="DE856" t="s">
        <v>3</v>
      </c>
      <c r="DF856">
        <f t="shared" ref="DF856:DF872" si="401">ROUND(ROUND(AE856*CX856,2)*AI856,2)</f>
        <v>0.54</v>
      </c>
      <c r="DG856">
        <f t="shared" ref="DG856:DG887" si="402">ROUND(AF856*CX856,2)</f>
        <v>0</v>
      </c>
      <c r="DH856">
        <f t="shared" ref="DH856:DH887" si="403">ROUND(AG856*CX856,2)</f>
        <v>0</v>
      </c>
      <c r="DI856">
        <f t="shared" si="387"/>
        <v>0</v>
      </c>
      <c r="DJ856">
        <f t="shared" ref="DJ856:DJ872" si="404">DF856</f>
        <v>0.54</v>
      </c>
      <c r="DK856">
        <v>0</v>
      </c>
    </row>
    <row r="857" spans="1:115" x14ac:dyDescent="0.2">
      <c r="A857">
        <f>ROW(Source!A1043)</f>
        <v>1043</v>
      </c>
      <c r="B857">
        <v>129761633</v>
      </c>
      <c r="C857">
        <v>129764186</v>
      </c>
      <c r="D857">
        <v>37394915</v>
      </c>
      <c r="E857">
        <v>1</v>
      </c>
      <c r="F857">
        <v>1</v>
      </c>
      <c r="G857">
        <v>37345137</v>
      </c>
      <c r="H857">
        <v>3</v>
      </c>
      <c r="I857" t="s">
        <v>1350</v>
      </c>
      <c r="J857" t="s">
        <v>1351</v>
      </c>
      <c r="K857" t="s">
        <v>1352</v>
      </c>
      <c r="L857">
        <v>1355</v>
      </c>
      <c r="N857">
        <v>1010</v>
      </c>
      <c r="O857" t="s">
        <v>551</v>
      </c>
      <c r="P857" t="s">
        <v>551</v>
      </c>
      <c r="Q857">
        <v>100</v>
      </c>
      <c r="W857">
        <v>0</v>
      </c>
      <c r="X857">
        <v>1356090561</v>
      </c>
      <c r="Y857">
        <f t="shared" si="395"/>
        <v>1</v>
      </c>
      <c r="AA857">
        <v>2198.4699999999998</v>
      </c>
      <c r="AB857">
        <v>0</v>
      </c>
      <c r="AC857">
        <v>0</v>
      </c>
      <c r="AD857">
        <v>0</v>
      </c>
      <c r="AE857">
        <v>180.35</v>
      </c>
      <c r="AF857">
        <v>0</v>
      </c>
      <c r="AG857">
        <v>0</v>
      </c>
      <c r="AH857">
        <v>0</v>
      </c>
      <c r="AI857">
        <v>12.19</v>
      </c>
      <c r="AJ857">
        <v>1</v>
      </c>
      <c r="AK857">
        <v>1</v>
      </c>
      <c r="AL857">
        <v>1</v>
      </c>
      <c r="AN857">
        <v>0</v>
      </c>
      <c r="AO857">
        <v>1</v>
      </c>
      <c r="AP857">
        <v>0</v>
      </c>
      <c r="AQ857">
        <v>0</v>
      </c>
      <c r="AR857">
        <v>0</v>
      </c>
      <c r="AS857" t="s">
        <v>3</v>
      </c>
      <c r="AT857">
        <v>1</v>
      </c>
      <c r="AU857" t="s">
        <v>3</v>
      </c>
      <c r="AV857">
        <v>0</v>
      </c>
      <c r="AW857">
        <v>2</v>
      </c>
      <c r="AX857">
        <v>129764213</v>
      </c>
      <c r="AY857">
        <v>1</v>
      </c>
      <c r="AZ857">
        <v>0</v>
      </c>
      <c r="BA857">
        <v>830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0</v>
      </c>
      <c r="BR857">
        <v>0</v>
      </c>
      <c r="BS857">
        <v>0</v>
      </c>
      <c r="BT857">
        <v>0</v>
      </c>
      <c r="BU857">
        <v>0</v>
      </c>
      <c r="BV857">
        <v>0</v>
      </c>
      <c r="BW857">
        <v>0</v>
      </c>
      <c r="CX857">
        <f>ROUND(Y857*Source!I1043,9)</f>
        <v>0.2</v>
      </c>
      <c r="CY857">
        <f t="shared" si="396"/>
        <v>2198.4699999999998</v>
      </c>
      <c r="CZ857">
        <f t="shared" si="397"/>
        <v>180.35</v>
      </c>
      <c r="DA857">
        <f t="shared" si="398"/>
        <v>12.19</v>
      </c>
      <c r="DB857">
        <f t="shared" si="399"/>
        <v>180.35</v>
      </c>
      <c r="DC857">
        <f t="shared" si="400"/>
        <v>0</v>
      </c>
      <c r="DD857" t="s">
        <v>3</v>
      </c>
      <c r="DE857" t="s">
        <v>3</v>
      </c>
      <c r="DF857">
        <f t="shared" si="401"/>
        <v>439.69</v>
      </c>
      <c r="DG857">
        <f t="shared" si="402"/>
        <v>0</v>
      </c>
      <c r="DH857">
        <f t="shared" si="403"/>
        <v>0</v>
      </c>
      <c r="DI857">
        <f t="shared" si="387"/>
        <v>0</v>
      </c>
      <c r="DJ857">
        <f t="shared" si="404"/>
        <v>439.69</v>
      </c>
      <c r="DK857">
        <v>0</v>
      </c>
    </row>
    <row r="858" spans="1:115" x14ac:dyDescent="0.2">
      <c r="A858">
        <f>ROW(Source!A1043)</f>
        <v>1043</v>
      </c>
      <c r="B858">
        <v>129761633</v>
      </c>
      <c r="C858">
        <v>129764186</v>
      </c>
      <c r="D858">
        <v>37393665</v>
      </c>
      <c r="E858">
        <v>1</v>
      </c>
      <c r="F858">
        <v>1</v>
      </c>
      <c r="G858">
        <v>37345137</v>
      </c>
      <c r="H858">
        <v>3</v>
      </c>
      <c r="I858" t="s">
        <v>1353</v>
      </c>
      <c r="J858" t="s">
        <v>1354</v>
      </c>
      <c r="K858" t="s">
        <v>1355</v>
      </c>
      <c r="L858">
        <v>1348</v>
      </c>
      <c r="N858">
        <v>1009</v>
      </c>
      <c r="O858" t="s">
        <v>114</v>
      </c>
      <c r="P858" t="s">
        <v>114</v>
      </c>
      <c r="Q858">
        <v>1000</v>
      </c>
      <c r="W858">
        <v>0</v>
      </c>
      <c r="X858">
        <v>1693650758</v>
      </c>
      <c r="Y858">
        <f t="shared" si="395"/>
        <v>8.4999999999999995E-4</v>
      </c>
      <c r="AA858">
        <v>222435.83</v>
      </c>
      <c r="AB858">
        <v>0</v>
      </c>
      <c r="AC858">
        <v>0</v>
      </c>
      <c r="AD858">
        <v>0</v>
      </c>
      <c r="AE858">
        <v>20166.439999999999</v>
      </c>
      <c r="AF858">
        <v>0</v>
      </c>
      <c r="AG858">
        <v>0</v>
      </c>
      <c r="AH858">
        <v>0</v>
      </c>
      <c r="AI858">
        <v>11.03</v>
      </c>
      <c r="AJ858">
        <v>1</v>
      </c>
      <c r="AK858">
        <v>1</v>
      </c>
      <c r="AL858">
        <v>1</v>
      </c>
      <c r="AN858">
        <v>0</v>
      </c>
      <c r="AO858">
        <v>1</v>
      </c>
      <c r="AP858">
        <v>0</v>
      </c>
      <c r="AQ858">
        <v>0</v>
      </c>
      <c r="AR858">
        <v>0</v>
      </c>
      <c r="AS858" t="s">
        <v>3</v>
      </c>
      <c r="AT858">
        <v>8.4999999999999995E-4</v>
      </c>
      <c r="AU858" t="s">
        <v>3</v>
      </c>
      <c r="AV858">
        <v>0</v>
      </c>
      <c r="AW858">
        <v>2</v>
      </c>
      <c r="AX858">
        <v>129764214</v>
      </c>
      <c r="AY858">
        <v>1</v>
      </c>
      <c r="AZ858">
        <v>0</v>
      </c>
      <c r="BA858">
        <v>831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0</v>
      </c>
      <c r="BR858">
        <v>0</v>
      </c>
      <c r="BS858">
        <v>0</v>
      </c>
      <c r="BT858">
        <v>0</v>
      </c>
      <c r="BU858">
        <v>0</v>
      </c>
      <c r="BV858">
        <v>0</v>
      </c>
      <c r="BW858">
        <v>0</v>
      </c>
      <c r="CX858">
        <f>ROUND(Y858*Source!I1043,9)</f>
        <v>1.7000000000000001E-4</v>
      </c>
      <c r="CY858">
        <f t="shared" si="396"/>
        <v>222435.83</v>
      </c>
      <c r="CZ858">
        <f t="shared" si="397"/>
        <v>20166.439999999999</v>
      </c>
      <c r="DA858">
        <f t="shared" si="398"/>
        <v>11.03</v>
      </c>
      <c r="DB858">
        <f t="shared" si="399"/>
        <v>17.14</v>
      </c>
      <c r="DC858">
        <f t="shared" si="400"/>
        <v>0</v>
      </c>
      <c r="DD858" t="s">
        <v>3</v>
      </c>
      <c r="DE858" t="s">
        <v>3</v>
      </c>
      <c r="DF858">
        <f t="shared" si="401"/>
        <v>37.83</v>
      </c>
      <c r="DG858">
        <f t="shared" si="402"/>
        <v>0</v>
      </c>
      <c r="DH858">
        <f t="shared" si="403"/>
        <v>0</v>
      </c>
      <c r="DI858">
        <f t="shared" si="387"/>
        <v>0</v>
      </c>
      <c r="DJ858">
        <f t="shared" si="404"/>
        <v>37.83</v>
      </c>
      <c r="DK858">
        <v>0</v>
      </c>
    </row>
    <row r="859" spans="1:115" x14ac:dyDescent="0.2">
      <c r="A859">
        <f>ROW(Source!A1043)</f>
        <v>1043</v>
      </c>
      <c r="B859">
        <v>129761633</v>
      </c>
      <c r="C859">
        <v>129764186</v>
      </c>
      <c r="D859">
        <v>37395753</v>
      </c>
      <c r="E859">
        <v>1</v>
      </c>
      <c r="F859">
        <v>1</v>
      </c>
      <c r="G859">
        <v>37345137</v>
      </c>
      <c r="H859">
        <v>3</v>
      </c>
      <c r="I859" t="s">
        <v>1356</v>
      </c>
      <c r="J859" t="s">
        <v>1357</v>
      </c>
      <c r="K859" t="s">
        <v>1358</v>
      </c>
      <c r="L859">
        <v>1346</v>
      </c>
      <c r="N859">
        <v>1009</v>
      </c>
      <c r="O859" t="s">
        <v>369</v>
      </c>
      <c r="P859" t="s">
        <v>369</v>
      </c>
      <c r="Q859">
        <v>1</v>
      </c>
      <c r="W859">
        <v>0</v>
      </c>
      <c r="X859">
        <v>-675737513</v>
      </c>
      <c r="Y859">
        <f t="shared" si="395"/>
        <v>0.25</v>
      </c>
      <c r="AA859">
        <v>212.48</v>
      </c>
      <c r="AB859">
        <v>0</v>
      </c>
      <c r="AC859">
        <v>0</v>
      </c>
      <c r="AD859">
        <v>0</v>
      </c>
      <c r="AE859">
        <v>16.22</v>
      </c>
      <c r="AF859">
        <v>0</v>
      </c>
      <c r="AG859">
        <v>0</v>
      </c>
      <c r="AH859">
        <v>0</v>
      </c>
      <c r="AI859">
        <v>13.1</v>
      </c>
      <c r="AJ859">
        <v>1</v>
      </c>
      <c r="AK859">
        <v>1</v>
      </c>
      <c r="AL859">
        <v>1</v>
      </c>
      <c r="AN859">
        <v>0</v>
      </c>
      <c r="AO859">
        <v>1</v>
      </c>
      <c r="AP859">
        <v>0</v>
      </c>
      <c r="AQ859">
        <v>0</v>
      </c>
      <c r="AR859">
        <v>0</v>
      </c>
      <c r="AS859" t="s">
        <v>3</v>
      </c>
      <c r="AT859">
        <v>0.25</v>
      </c>
      <c r="AU859" t="s">
        <v>3</v>
      </c>
      <c r="AV859">
        <v>0</v>
      </c>
      <c r="AW859">
        <v>2</v>
      </c>
      <c r="AX859">
        <v>129764215</v>
      </c>
      <c r="AY859">
        <v>1</v>
      </c>
      <c r="AZ859">
        <v>0</v>
      </c>
      <c r="BA859">
        <v>832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0</v>
      </c>
      <c r="BP859">
        <v>0</v>
      </c>
      <c r="BQ859">
        <v>0</v>
      </c>
      <c r="BR859">
        <v>0</v>
      </c>
      <c r="BS859">
        <v>0</v>
      </c>
      <c r="BT859">
        <v>0</v>
      </c>
      <c r="BU859">
        <v>0</v>
      </c>
      <c r="BV859">
        <v>0</v>
      </c>
      <c r="BW859">
        <v>0</v>
      </c>
      <c r="CX859">
        <f>ROUND(Y859*Source!I1043,9)</f>
        <v>0.05</v>
      </c>
      <c r="CY859">
        <f t="shared" si="396"/>
        <v>212.48</v>
      </c>
      <c r="CZ859">
        <f t="shared" si="397"/>
        <v>16.22</v>
      </c>
      <c r="DA859">
        <f t="shared" si="398"/>
        <v>13.1</v>
      </c>
      <c r="DB859">
        <f t="shared" si="399"/>
        <v>4.0599999999999996</v>
      </c>
      <c r="DC859">
        <f t="shared" si="400"/>
        <v>0</v>
      </c>
      <c r="DD859" t="s">
        <v>3</v>
      </c>
      <c r="DE859" t="s">
        <v>3</v>
      </c>
      <c r="DF859">
        <f t="shared" si="401"/>
        <v>10.61</v>
      </c>
      <c r="DG859">
        <f t="shared" si="402"/>
        <v>0</v>
      </c>
      <c r="DH859">
        <f t="shared" si="403"/>
        <v>0</v>
      </c>
      <c r="DI859">
        <f t="shared" si="387"/>
        <v>0</v>
      </c>
      <c r="DJ859">
        <f t="shared" si="404"/>
        <v>10.61</v>
      </c>
      <c r="DK859">
        <v>0</v>
      </c>
    </row>
    <row r="860" spans="1:115" x14ac:dyDescent="0.2">
      <c r="A860">
        <f>ROW(Source!A1043)</f>
        <v>1043</v>
      </c>
      <c r="B860">
        <v>129761633</v>
      </c>
      <c r="C860">
        <v>129764186</v>
      </c>
      <c r="D860">
        <v>37393685</v>
      </c>
      <c r="E860">
        <v>1</v>
      </c>
      <c r="F860">
        <v>1</v>
      </c>
      <c r="G860">
        <v>37345137</v>
      </c>
      <c r="H860">
        <v>3</v>
      </c>
      <c r="I860" t="s">
        <v>1359</v>
      </c>
      <c r="J860" t="s">
        <v>1360</v>
      </c>
      <c r="K860" t="s">
        <v>1361</v>
      </c>
      <c r="L860">
        <v>1348</v>
      </c>
      <c r="N860">
        <v>1009</v>
      </c>
      <c r="O860" t="s">
        <v>114</v>
      </c>
      <c r="P860" t="s">
        <v>114</v>
      </c>
      <c r="Q860">
        <v>1000</v>
      </c>
      <c r="W860">
        <v>0</v>
      </c>
      <c r="X860">
        <v>-1837888431</v>
      </c>
      <c r="Y860">
        <f t="shared" si="395"/>
        <v>1.5999999999999999E-6</v>
      </c>
      <c r="AA860">
        <v>68238.28</v>
      </c>
      <c r="AB860">
        <v>0</v>
      </c>
      <c r="AC860">
        <v>0</v>
      </c>
      <c r="AD860">
        <v>0</v>
      </c>
      <c r="AE860">
        <v>3246.35</v>
      </c>
      <c r="AF860">
        <v>0</v>
      </c>
      <c r="AG860">
        <v>0</v>
      </c>
      <c r="AH860">
        <v>0</v>
      </c>
      <c r="AI860">
        <v>21.02</v>
      </c>
      <c r="AJ860">
        <v>1</v>
      </c>
      <c r="AK860">
        <v>1</v>
      </c>
      <c r="AL860">
        <v>1</v>
      </c>
      <c r="AN860">
        <v>0</v>
      </c>
      <c r="AO860">
        <v>1</v>
      </c>
      <c r="AP860">
        <v>0</v>
      </c>
      <c r="AQ860">
        <v>0</v>
      </c>
      <c r="AR860">
        <v>0</v>
      </c>
      <c r="AS860" t="s">
        <v>3</v>
      </c>
      <c r="AT860">
        <v>1.5999999999999999E-6</v>
      </c>
      <c r="AU860" t="s">
        <v>3</v>
      </c>
      <c r="AV860">
        <v>0</v>
      </c>
      <c r="AW860">
        <v>2</v>
      </c>
      <c r="AX860">
        <v>129764216</v>
      </c>
      <c r="AY860">
        <v>1</v>
      </c>
      <c r="AZ860">
        <v>0</v>
      </c>
      <c r="BA860">
        <v>833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0</v>
      </c>
      <c r="BR860">
        <v>0</v>
      </c>
      <c r="BS860">
        <v>0</v>
      </c>
      <c r="BT860">
        <v>0</v>
      </c>
      <c r="BU860">
        <v>0</v>
      </c>
      <c r="BV860">
        <v>0</v>
      </c>
      <c r="BW860">
        <v>0</v>
      </c>
      <c r="CX860">
        <f>ROUND(Y860*Source!I1043,9)</f>
        <v>3.2000000000000001E-7</v>
      </c>
      <c r="CY860">
        <f t="shared" si="396"/>
        <v>68238.28</v>
      </c>
      <c r="CZ860">
        <f t="shared" si="397"/>
        <v>3246.35</v>
      </c>
      <c r="DA860">
        <f t="shared" si="398"/>
        <v>21.02</v>
      </c>
      <c r="DB860">
        <f t="shared" si="399"/>
        <v>0.01</v>
      </c>
      <c r="DC860">
        <f t="shared" si="400"/>
        <v>0</v>
      </c>
      <c r="DD860" t="s">
        <v>3</v>
      </c>
      <c r="DE860" t="s">
        <v>3</v>
      </c>
      <c r="DF860">
        <f t="shared" si="401"/>
        <v>0</v>
      </c>
      <c r="DG860">
        <f t="shared" si="402"/>
        <v>0</v>
      </c>
      <c r="DH860">
        <f t="shared" si="403"/>
        <v>0</v>
      </c>
      <c r="DI860">
        <f t="shared" si="387"/>
        <v>0</v>
      </c>
      <c r="DJ860">
        <f t="shared" si="404"/>
        <v>0</v>
      </c>
      <c r="DK860">
        <v>0</v>
      </c>
    </row>
    <row r="861" spans="1:115" x14ac:dyDescent="0.2">
      <c r="A861">
        <f>ROW(Source!A1043)</f>
        <v>1043</v>
      </c>
      <c r="B861">
        <v>129761633</v>
      </c>
      <c r="C861">
        <v>129764186</v>
      </c>
      <c r="D861">
        <v>37395903</v>
      </c>
      <c r="E861">
        <v>1</v>
      </c>
      <c r="F861">
        <v>1</v>
      </c>
      <c r="G861">
        <v>37345137</v>
      </c>
      <c r="H861">
        <v>3</v>
      </c>
      <c r="I861" t="s">
        <v>1362</v>
      </c>
      <c r="J861" t="s">
        <v>1363</v>
      </c>
      <c r="K861" t="s">
        <v>1364</v>
      </c>
      <c r="L861">
        <v>1346</v>
      </c>
      <c r="N861">
        <v>1009</v>
      </c>
      <c r="O861" t="s">
        <v>369</v>
      </c>
      <c r="P861" t="s">
        <v>369</v>
      </c>
      <c r="Q861">
        <v>1</v>
      </c>
      <c r="W861">
        <v>0</v>
      </c>
      <c r="X861">
        <v>1061104562</v>
      </c>
      <c r="Y861">
        <f t="shared" si="395"/>
        <v>0.55000000000000004</v>
      </c>
      <c r="AA861">
        <v>99.35</v>
      </c>
      <c r="AB861">
        <v>0</v>
      </c>
      <c r="AC861">
        <v>0</v>
      </c>
      <c r="AD861">
        <v>0</v>
      </c>
      <c r="AE861">
        <v>45.16</v>
      </c>
      <c r="AF861">
        <v>0</v>
      </c>
      <c r="AG861">
        <v>0</v>
      </c>
      <c r="AH861">
        <v>0</v>
      </c>
      <c r="AI861">
        <v>2.2000000000000002</v>
      </c>
      <c r="AJ861">
        <v>1</v>
      </c>
      <c r="AK861">
        <v>1</v>
      </c>
      <c r="AL861">
        <v>1</v>
      </c>
      <c r="AN861">
        <v>0</v>
      </c>
      <c r="AO861">
        <v>1</v>
      </c>
      <c r="AP861">
        <v>0</v>
      </c>
      <c r="AQ861">
        <v>0</v>
      </c>
      <c r="AR861">
        <v>0</v>
      </c>
      <c r="AS861" t="s">
        <v>3</v>
      </c>
      <c r="AT861">
        <v>0.55000000000000004</v>
      </c>
      <c r="AU861" t="s">
        <v>3</v>
      </c>
      <c r="AV861">
        <v>0</v>
      </c>
      <c r="AW861">
        <v>2</v>
      </c>
      <c r="AX861">
        <v>129764217</v>
      </c>
      <c r="AY861">
        <v>1</v>
      </c>
      <c r="AZ861">
        <v>0</v>
      </c>
      <c r="BA861">
        <v>834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0</v>
      </c>
      <c r="BQ861">
        <v>0</v>
      </c>
      <c r="BR861">
        <v>0</v>
      </c>
      <c r="BS861">
        <v>0</v>
      </c>
      <c r="BT861">
        <v>0</v>
      </c>
      <c r="BU861">
        <v>0</v>
      </c>
      <c r="BV861">
        <v>0</v>
      </c>
      <c r="BW861">
        <v>0</v>
      </c>
      <c r="CX861">
        <f>ROUND(Y861*Source!I1043,9)</f>
        <v>0.11</v>
      </c>
      <c r="CY861">
        <f t="shared" si="396"/>
        <v>99.35</v>
      </c>
      <c r="CZ861">
        <f t="shared" si="397"/>
        <v>45.16</v>
      </c>
      <c r="DA861">
        <f t="shared" si="398"/>
        <v>2.2000000000000002</v>
      </c>
      <c r="DB861">
        <f t="shared" si="399"/>
        <v>24.84</v>
      </c>
      <c r="DC861">
        <f t="shared" si="400"/>
        <v>0</v>
      </c>
      <c r="DD861" t="s">
        <v>3</v>
      </c>
      <c r="DE861" t="s">
        <v>3</v>
      </c>
      <c r="DF861">
        <f t="shared" si="401"/>
        <v>10.93</v>
      </c>
      <c r="DG861">
        <f t="shared" si="402"/>
        <v>0</v>
      </c>
      <c r="DH861">
        <f t="shared" si="403"/>
        <v>0</v>
      </c>
      <c r="DI861">
        <f t="shared" si="387"/>
        <v>0</v>
      </c>
      <c r="DJ861">
        <f t="shared" si="404"/>
        <v>10.93</v>
      </c>
      <c r="DK861">
        <v>0</v>
      </c>
    </row>
    <row r="862" spans="1:115" x14ac:dyDescent="0.2">
      <c r="A862">
        <f>ROW(Source!A1043)</f>
        <v>1043</v>
      </c>
      <c r="B862">
        <v>129761633</v>
      </c>
      <c r="C862">
        <v>129764186</v>
      </c>
      <c r="D862">
        <v>37393818</v>
      </c>
      <c r="E862">
        <v>1</v>
      </c>
      <c r="F862">
        <v>1</v>
      </c>
      <c r="G862">
        <v>37345137</v>
      </c>
      <c r="H862">
        <v>3</v>
      </c>
      <c r="I862" t="s">
        <v>1365</v>
      </c>
      <c r="J862" t="s">
        <v>1366</v>
      </c>
      <c r="K862" t="s">
        <v>1367</v>
      </c>
      <c r="L862">
        <v>1346</v>
      </c>
      <c r="N862">
        <v>1009</v>
      </c>
      <c r="O862" t="s">
        <v>369</v>
      </c>
      <c r="P862" t="s">
        <v>369</v>
      </c>
      <c r="Q862">
        <v>1</v>
      </c>
      <c r="W862">
        <v>0</v>
      </c>
      <c r="X862">
        <v>-291619796</v>
      </c>
      <c r="Y862">
        <f t="shared" si="395"/>
        <v>0.25</v>
      </c>
      <c r="AA862">
        <v>241.88</v>
      </c>
      <c r="AB862">
        <v>0</v>
      </c>
      <c r="AC862">
        <v>0</v>
      </c>
      <c r="AD862">
        <v>0</v>
      </c>
      <c r="AE862">
        <v>43.74</v>
      </c>
      <c r="AF862">
        <v>0</v>
      </c>
      <c r="AG862">
        <v>0</v>
      </c>
      <c r="AH862">
        <v>0</v>
      </c>
      <c r="AI862">
        <v>5.53</v>
      </c>
      <c r="AJ862">
        <v>1</v>
      </c>
      <c r="AK862">
        <v>1</v>
      </c>
      <c r="AL862">
        <v>1</v>
      </c>
      <c r="AN862">
        <v>0</v>
      </c>
      <c r="AO862">
        <v>1</v>
      </c>
      <c r="AP862">
        <v>0</v>
      </c>
      <c r="AQ862">
        <v>0</v>
      </c>
      <c r="AR862">
        <v>0</v>
      </c>
      <c r="AS862" t="s">
        <v>3</v>
      </c>
      <c r="AT862">
        <v>0.25</v>
      </c>
      <c r="AU862" t="s">
        <v>3</v>
      </c>
      <c r="AV862">
        <v>0</v>
      </c>
      <c r="AW862">
        <v>2</v>
      </c>
      <c r="AX862">
        <v>129764218</v>
      </c>
      <c r="AY862">
        <v>1</v>
      </c>
      <c r="AZ862">
        <v>0</v>
      </c>
      <c r="BA862">
        <v>835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0</v>
      </c>
      <c r="BP862">
        <v>0</v>
      </c>
      <c r="BQ862">
        <v>0</v>
      </c>
      <c r="BR862">
        <v>0</v>
      </c>
      <c r="BS862">
        <v>0</v>
      </c>
      <c r="BT862">
        <v>0</v>
      </c>
      <c r="BU862">
        <v>0</v>
      </c>
      <c r="BV862">
        <v>0</v>
      </c>
      <c r="BW862">
        <v>0</v>
      </c>
      <c r="CX862">
        <f>ROUND(Y862*Source!I1043,9)</f>
        <v>0.05</v>
      </c>
      <c r="CY862">
        <f t="shared" si="396"/>
        <v>241.88</v>
      </c>
      <c r="CZ862">
        <f t="shared" si="397"/>
        <v>43.74</v>
      </c>
      <c r="DA862">
        <f t="shared" si="398"/>
        <v>5.53</v>
      </c>
      <c r="DB862">
        <f t="shared" si="399"/>
        <v>10.94</v>
      </c>
      <c r="DC862">
        <f t="shared" si="400"/>
        <v>0</v>
      </c>
      <c r="DD862" t="s">
        <v>3</v>
      </c>
      <c r="DE862" t="s">
        <v>3</v>
      </c>
      <c r="DF862">
        <f t="shared" si="401"/>
        <v>12.11</v>
      </c>
      <c r="DG862">
        <f t="shared" si="402"/>
        <v>0</v>
      </c>
      <c r="DH862">
        <f t="shared" si="403"/>
        <v>0</v>
      </c>
      <c r="DI862">
        <f t="shared" si="387"/>
        <v>0</v>
      </c>
      <c r="DJ862">
        <f t="shared" si="404"/>
        <v>12.11</v>
      </c>
      <c r="DK862">
        <v>0</v>
      </c>
    </row>
    <row r="863" spans="1:115" x14ac:dyDescent="0.2">
      <c r="A863">
        <f>ROW(Source!A1043)</f>
        <v>1043</v>
      </c>
      <c r="B863">
        <v>129761633</v>
      </c>
      <c r="C863">
        <v>129764186</v>
      </c>
      <c r="D863">
        <v>0</v>
      </c>
      <c r="E863">
        <v>1</v>
      </c>
      <c r="F863">
        <v>1</v>
      </c>
      <c r="G863">
        <v>37345137</v>
      </c>
      <c r="H863">
        <v>3</v>
      </c>
      <c r="I863" t="s">
        <v>831</v>
      </c>
      <c r="J863" t="s">
        <v>3</v>
      </c>
      <c r="K863" t="s">
        <v>832</v>
      </c>
      <c r="L863">
        <v>1301</v>
      </c>
      <c r="N863">
        <v>1003</v>
      </c>
      <c r="O863" t="s">
        <v>270</v>
      </c>
      <c r="P863" t="s">
        <v>270</v>
      </c>
      <c r="Q863">
        <v>1</v>
      </c>
      <c r="W863">
        <v>0</v>
      </c>
      <c r="X863">
        <v>1418106712</v>
      </c>
      <c r="Y863">
        <f t="shared" si="395"/>
        <v>89.9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3.61</v>
      </c>
      <c r="AJ863">
        <v>1</v>
      </c>
      <c r="AK863">
        <v>1</v>
      </c>
      <c r="AL863">
        <v>1</v>
      </c>
      <c r="AN863">
        <v>0</v>
      </c>
      <c r="AO863">
        <v>0</v>
      </c>
      <c r="AP863">
        <v>0</v>
      </c>
      <c r="AQ863">
        <v>0</v>
      </c>
      <c r="AR863">
        <v>0</v>
      </c>
      <c r="AS863" t="s">
        <v>3</v>
      </c>
      <c r="AT863">
        <v>89.9</v>
      </c>
      <c r="AU863" t="s">
        <v>3</v>
      </c>
      <c r="AV863">
        <v>0</v>
      </c>
      <c r="AW863">
        <v>1</v>
      </c>
      <c r="AX863">
        <v>-1</v>
      </c>
      <c r="AY863">
        <v>0</v>
      </c>
      <c r="AZ863">
        <v>0</v>
      </c>
      <c r="BA863" t="s">
        <v>3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0</v>
      </c>
      <c r="BN863">
        <v>0</v>
      </c>
      <c r="BO863">
        <v>0</v>
      </c>
      <c r="BP863">
        <v>0</v>
      </c>
      <c r="BQ863">
        <v>0</v>
      </c>
      <c r="BR863">
        <v>0</v>
      </c>
      <c r="BS863">
        <v>0</v>
      </c>
      <c r="BT863">
        <v>0</v>
      </c>
      <c r="BU863">
        <v>0</v>
      </c>
      <c r="BV863">
        <v>0</v>
      </c>
      <c r="BW863">
        <v>0</v>
      </c>
      <c r="CX863">
        <f>ROUND(Y863*Source!I1043,9)</f>
        <v>17.98</v>
      </c>
      <c r="CY863">
        <f t="shared" si="396"/>
        <v>0</v>
      </c>
      <c r="CZ863">
        <f t="shared" si="397"/>
        <v>0</v>
      </c>
      <c r="DA863">
        <f t="shared" si="398"/>
        <v>3.61</v>
      </c>
      <c r="DB863">
        <f t="shared" si="399"/>
        <v>0</v>
      </c>
      <c r="DC863">
        <f t="shared" si="400"/>
        <v>0</v>
      </c>
      <c r="DD863" t="s">
        <v>3</v>
      </c>
      <c r="DE863" t="s">
        <v>3</v>
      </c>
      <c r="DF863">
        <f t="shared" si="401"/>
        <v>0</v>
      </c>
      <c r="DG863">
        <f t="shared" si="402"/>
        <v>0</v>
      </c>
      <c r="DH863">
        <f t="shared" si="403"/>
        <v>0</v>
      </c>
      <c r="DI863">
        <f t="shared" si="387"/>
        <v>0</v>
      </c>
      <c r="DJ863">
        <f t="shared" si="404"/>
        <v>0</v>
      </c>
      <c r="DK863">
        <v>2</v>
      </c>
    </row>
    <row r="864" spans="1:115" x14ac:dyDescent="0.2">
      <c r="A864">
        <f>ROW(Source!A1043)</f>
        <v>1043</v>
      </c>
      <c r="B864">
        <v>129761633</v>
      </c>
      <c r="C864">
        <v>129764186</v>
      </c>
      <c r="D864">
        <v>0</v>
      </c>
      <c r="E864">
        <v>1</v>
      </c>
      <c r="F864">
        <v>1</v>
      </c>
      <c r="G864">
        <v>37345137</v>
      </c>
      <c r="H864">
        <v>3</v>
      </c>
      <c r="I864" t="s">
        <v>838</v>
      </c>
      <c r="J864" t="s">
        <v>3</v>
      </c>
      <c r="K864" t="s">
        <v>839</v>
      </c>
      <c r="L864">
        <v>1354</v>
      </c>
      <c r="N864">
        <v>1010</v>
      </c>
      <c r="O864" t="s">
        <v>250</v>
      </c>
      <c r="P864" t="s">
        <v>250</v>
      </c>
      <c r="Q864">
        <v>1</v>
      </c>
      <c r="W864">
        <v>0</v>
      </c>
      <c r="X864">
        <v>-1495509255</v>
      </c>
      <c r="Y864">
        <f t="shared" si="395"/>
        <v>20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1.59</v>
      </c>
      <c r="AJ864">
        <v>1</v>
      </c>
      <c r="AK864">
        <v>1</v>
      </c>
      <c r="AL864">
        <v>1</v>
      </c>
      <c r="AN864">
        <v>0</v>
      </c>
      <c r="AO864">
        <v>0</v>
      </c>
      <c r="AP864">
        <v>0</v>
      </c>
      <c r="AQ864">
        <v>0</v>
      </c>
      <c r="AR864">
        <v>0</v>
      </c>
      <c r="AS864" t="s">
        <v>3</v>
      </c>
      <c r="AT864">
        <v>20</v>
      </c>
      <c r="AU864" t="s">
        <v>3</v>
      </c>
      <c r="AV864">
        <v>0</v>
      </c>
      <c r="AW864">
        <v>1</v>
      </c>
      <c r="AX864">
        <v>-1</v>
      </c>
      <c r="AY864">
        <v>0</v>
      </c>
      <c r="AZ864">
        <v>0</v>
      </c>
      <c r="BA864" t="s">
        <v>3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0</v>
      </c>
      <c r="BW864">
        <v>0</v>
      </c>
      <c r="CX864">
        <f>ROUND(Y864*Source!I1043,9)</f>
        <v>4</v>
      </c>
      <c r="CY864">
        <f t="shared" si="396"/>
        <v>0</v>
      </c>
      <c r="CZ864">
        <f t="shared" si="397"/>
        <v>0</v>
      </c>
      <c r="DA864">
        <f t="shared" si="398"/>
        <v>1.59</v>
      </c>
      <c r="DB864">
        <f t="shared" si="399"/>
        <v>0</v>
      </c>
      <c r="DC864">
        <f t="shared" si="400"/>
        <v>0</v>
      </c>
      <c r="DD864" t="s">
        <v>3</v>
      </c>
      <c r="DE864" t="s">
        <v>3</v>
      </c>
      <c r="DF864">
        <f t="shared" si="401"/>
        <v>0</v>
      </c>
      <c r="DG864">
        <f t="shared" si="402"/>
        <v>0</v>
      </c>
      <c r="DH864">
        <f t="shared" si="403"/>
        <v>0</v>
      </c>
      <c r="DI864">
        <f t="shared" si="387"/>
        <v>0</v>
      </c>
      <c r="DJ864">
        <f t="shared" si="404"/>
        <v>0</v>
      </c>
      <c r="DK864">
        <v>2</v>
      </c>
    </row>
    <row r="865" spans="1:115" x14ac:dyDescent="0.2">
      <c r="A865">
        <f>ROW(Source!A1043)</f>
        <v>1043</v>
      </c>
      <c r="B865">
        <v>129761633</v>
      </c>
      <c r="C865">
        <v>129764186</v>
      </c>
      <c r="D865">
        <v>0</v>
      </c>
      <c r="E865">
        <v>1</v>
      </c>
      <c r="F865">
        <v>1</v>
      </c>
      <c r="G865">
        <v>37345137</v>
      </c>
      <c r="H865">
        <v>3</v>
      </c>
      <c r="I865" t="s">
        <v>835</v>
      </c>
      <c r="J865" t="s">
        <v>3</v>
      </c>
      <c r="K865" t="s">
        <v>836</v>
      </c>
      <c r="L865">
        <v>1354</v>
      </c>
      <c r="N865">
        <v>1010</v>
      </c>
      <c r="O865" t="s">
        <v>250</v>
      </c>
      <c r="P865" t="s">
        <v>250</v>
      </c>
      <c r="Q865">
        <v>1</v>
      </c>
      <c r="W865">
        <v>0</v>
      </c>
      <c r="X865">
        <v>197807928</v>
      </c>
      <c r="Y865">
        <f t="shared" si="395"/>
        <v>60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2.6</v>
      </c>
      <c r="AJ865">
        <v>1</v>
      </c>
      <c r="AK865">
        <v>1</v>
      </c>
      <c r="AL865">
        <v>1</v>
      </c>
      <c r="AN865">
        <v>0</v>
      </c>
      <c r="AO865">
        <v>0</v>
      </c>
      <c r="AP865">
        <v>0</v>
      </c>
      <c r="AQ865">
        <v>0</v>
      </c>
      <c r="AR865">
        <v>0</v>
      </c>
      <c r="AS865" t="s">
        <v>3</v>
      </c>
      <c r="AT865">
        <v>60</v>
      </c>
      <c r="AU865" t="s">
        <v>3</v>
      </c>
      <c r="AV865">
        <v>0</v>
      </c>
      <c r="AW865">
        <v>1</v>
      </c>
      <c r="AX865">
        <v>-1</v>
      </c>
      <c r="AY865">
        <v>0</v>
      </c>
      <c r="AZ865">
        <v>0</v>
      </c>
      <c r="BA865" t="s">
        <v>3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0</v>
      </c>
      <c r="BR865">
        <v>0</v>
      </c>
      <c r="BS865">
        <v>0</v>
      </c>
      <c r="BT865">
        <v>0</v>
      </c>
      <c r="BU865">
        <v>0</v>
      </c>
      <c r="BV865">
        <v>0</v>
      </c>
      <c r="BW865">
        <v>0</v>
      </c>
      <c r="CX865">
        <f>ROUND(Y865*Source!I1043,9)</f>
        <v>12</v>
      </c>
      <c r="CY865">
        <f t="shared" si="396"/>
        <v>0</v>
      </c>
      <c r="CZ865">
        <f t="shared" si="397"/>
        <v>0</v>
      </c>
      <c r="DA865">
        <f t="shared" si="398"/>
        <v>2.6</v>
      </c>
      <c r="DB865">
        <f t="shared" si="399"/>
        <v>0</v>
      </c>
      <c r="DC865">
        <f t="shared" si="400"/>
        <v>0</v>
      </c>
      <c r="DD865" t="s">
        <v>3</v>
      </c>
      <c r="DE865" t="s">
        <v>3</v>
      </c>
      <c r="DF865">
        <f t="shared" si="401"/>
        <v>0</v>
      </c>
      <c r="DG865">
        <f t="shared" si="402"/>
        <v>0</v>
      </c>
      <c r="DH865">
        <f t="shared" si="403"/>
        <v>0</v>
      </c>
      <c r="DI865">
        <f t="shared" si="387"/>
        <v>0</v>
      </c>
      <c r="DJ865">
        <f t="shared" si="404"/>
        <v>0</v>
      </c>
      <c r="DK865">
        <v>2</v>
      </c>
    </row>
    <row r="866" spans="1:115" x14ac:dyDescent="0.2">
      <c r="A866">
        <f>ROW(Source!A1043)</f>
        <v>1043</v>
      </c>
      <c r="B866">
        <v>129761633</v>
      </c>
      <c r="C866">
        <v>129764186</v>
      </c>
      <c r="D866">
        <v>0</v>
      </c>
      <c r="E866">
        <v>1</v>
      </c>
      <c r="F866">
        <v>1</v>
      </c>
      <c r="G866">
        <v>37345137</v>
      </c>
      <c r="H866">
        <v>3</v>
      </c>
      <c r="I866" t="s">
        <v>841</v>
      </c>
      <c r="J866" t="s">
        <v>3</v>
      </c>
      <c r="K866" t="s">
        <v>842</v>
      </c>
      <c r="L866">
        <v>1354</v>
      </c>
      <c r="N866">
        <v>1010</v>
      </c>
      <c r="O866" t="s">
        <v>250</v>
      </c>
      <c r="P866" t="s">
        <v>250</v>
      </c>
      <c r="Q866">
        <v>1</v>
      </c>
      <c r="W866">
        <v>0</v>
      </c>
      <c r="X866">
        <v>1942050970</v>
      </c>
      <c r="Y866">
        <f t="shared" si="395"/>
        <v>35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5.64</v>
      </c>
      <c r="AJ866">
        <v>1</v>
      </c>
      <c r="AK866">
        <v>1</v>
      </c>
      <c r="AL866">
        <v>1</v>
      </c>
      <c r="AN866">
        <v>0</v>
      </c>
      <c r="AO866">
        <v>0</v>
      </c>
      <c r="AP866">
        <v>0</v>
      </c>
      <c r="AQ866">
        <v>0</v>
      </c>
      <c r="AR866">
        <v>0</v>
      </c>
      <c r="AS866" t="s">
        <v>3</v>
      </c>
      <c r="AT866">
        <v>35</v>
      </c>
      <c r="AU866" t="s">
        <v>3</v>
      </c>
      <c r="AV866">
        <v>0</v>
      </c>
      <c r="AW866">
        <v>1</v>
      </c>
      <c r="AX866">
        <v>-1</v>
      </c>
      <c r="AY866">
        <v>0</v>
      </c>
      <c r="AZ866">
        <v>0</v>
      </c>
      <c r="BA866" t="s">
        <v>3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0</v>
      </c>
      <c r="BS866">
        <v>0</v>
      </c>
      <c r="BT866">
        <v>0</v>
      </c>
      <c r="BU866">
        <v>0</v>
      </c>
      <c r="BV866">
        <v>0</v>
      </c>
      <c r="BW866">
        <v>0</v>
      </c>
      <c r="CX866">
        <f>ROUND(Y866*Source!I1043,9)</f>
        <v>7</v>
      </c>
      <c r="CY866">
        <f t="shared" si="396"/>
        <v>0</v>
      </c>
      <c r="CZ866">
        <f t="shared" si="397"/>
        <v>0</v>
      </c>
      <c r="DA866">
        <f t="shared" si="398"/>
        <v>5.64</v>
      </c>
      <c r="DB866">
        <f t="shared" si="399"/>
        <v>0</v>
      </c>
      <c r="DC866">
        <f t="shared" si="400"/>
        <v>0</v>
      </c>
      <c r="DD866" t="s">
        <v>3</v>
      </c>
      <c r="DE866" t="s">
        <v>3</v>
      </c>
      <c r="DF866">
        <f t="shared" si="401"/>
        <v>0</v>
      </c>
      <c r="DG866">
        <f t="shared" si="402"/>
        <v>0</v>
      </c>
      <c r="DH866">
        <f t="shared" si="403"/>
        <v>0</v>
      </c>
      <c r="DI866">
        <f t="shared" si="387"/>
        <v>0</v>
      </c>
      <c r="DJ866">
        <f t="shared" si="404"/>
        <v>0</v>
      </c>
      <c r="DK866">
        <v>2</v>
      </c>
    </row>
    <row r="867" spans="1:115" x14ac:dyDescent="0.2">
      <c r="A867">
        <f>ROW(Source!A1043)</f>
        <v>1043</v>
      </c>
      <c r="B867">
        <v>129761633</v>
      </c>
      <c r="C867">
        <v>129764186</v>
      </c>
      <c r="D867">
        <v>0</v>
      </c>
      <c r="E867">
        <v>1</v>
      </c>
      <c r="F867">
        <v>1</v>
      </c>
      <c r="G867">
        <v>37345137</v>
      </c>
      <c r="H867">
        <v>3</v>
      </c>
      <c r="I867" t="s">
        <v>844</v>
      </c>
      <c r="J867" t="s">
        <v>3</v>
      </c>
      <c r="K867" t="s">
        <v>845</v>
      </c>
      <c r="L867">
        <v>1354</v>
      </c>
      <c r="N867">
        <v>1010</v>
      </c>
      <c r="O867" t="s">
        <v>250</v>
      </c>
      <c r="P867" t="s">
        <v>250</v>
      </c>
      <c r="Q867">
        <v>1</v>
      </c>
      <c r="W867">
        <v>0</v>
      </c>
      <c r="X867">
        <v>-729385371</v>
      </c>
      <c r="Y867">
        <f t="shared" si="395"/>
        <v>10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2.0099999999999998</v>
      </c>
      <c r="AJ867">
        <v>1</v>
      </c>
      <c r="AK867">
        <v>1</v>
      </c>
      <c r="AL867">
        <v>1</v>
      </c>
      <c r="AN867">
        <v>0</v>
      </c>
      <c r="AO867">
        <v>0</v>
      </c>
      <c r="AP867">
        <v>0</v>
      </c>
      <c r="AQ867">
        <v>0</v>
      </c>
      <c r="AR867">
        <v>0</v>
      </c>
      <c r="AS867" t="s">
        <v>3</v>
      </c>
      <c r="AT867">
        <v>10</v>
      </c>
      <c r="AU867" t="s">
        <v>3</v>
      </c>
      <c r="AV867">
        <v>0</v>
      </c>
      <c r="AW867">
        <v>1</v>
      </c>
      <c r="AX867">
        <v>-1</v>
      </c>
      <c r="AY867">
        <v>0</v>
      </c>
      <c r="AZ867">
        <v>0</v>
      </c>
      <c r="BA867" t="s">
        <v>3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0</v>
      </c>
      <c r="BS867">
        <v>0</v>
      </c>
      <c r="BT867">
        <v>0</v>
      </c>
      <c r="BU867">
        <v>0</v>
      </c>
      <c r="BV867">
        <v>0</v>
      </c>
      <c r="BW867">
        <v>0</v>
      </c>
      <c r="CX867">
        <f>ROUND(Y867*Source!I1043,9)</f>
        <v>2</v>
      </c>
      <c r="CY867">
        <f t="shared" si="396"/>
        <v>0</v>
      </c>
      <c r="CZ867">
        <f t="shared" si="397"/>
        <v>0</v>
      </c>
      <c r="DA867">
        <f t="shared" si="398"/>
        <v>2.0099999999999998</v>
      </c>
      <c r="DB867">
        <f t="shared" si="399"/>
        <v>0</v>
      </c>
      <c r="DC867">
        <f t="shared" si="400"/>
        <v>0</v>
      </c>
      <c r="DD867" t="s">
        <v>3</v>
      </c>
      <c r="DE867" t="s">
        <v>3</v>
      </c>
      <c r="DF867">
        <f t="shared" si="401"/>
        <v>0</v>
      </c>
      <c r="DG867">
        <f t="shared" si="402"/>
        <v>0</v>
      </c>
      <c r="DH867">
        <f t="shared" si="403"/>
        <v>0</v>
      </c>
      <c r="DI867">
        <f t="shared" si="387"/>
        <v>0</v>
      </c>
      <c r="DJ867">
        <f t="shared" si="404"/>
        <v>0</v>
      </c>
      <c r="DK867">
        <v>2</v>
      </c>
    </row>
    <row r="868" spans="1:115" x14ac:dyDescent="0.2">
      <c r="A868">
        <f>ROW(Source!A1043)</f>
        <v>1043</v>
      </c>
      <c r="B868">
        <v>129761633</v>
      </c>
      <c r="C868">
        <v>129764186</v>
      </c>
      <c r="D868">
        <v>0</v>
      </c>
      <c r="E868">
        <v>1</v>
      </c>
      <c r="F868">
        <v>1</v>
      </c>
      <c r="G868">
        <v>37345137</v>
      </c>
      <c r="H868">
        <v>3</v>
      </c>
      <c r="I868" t="s">
        <v>833</v>
      </c>
      <c r="J868" t="s">
        <v>3</v>
      </c>
      <c r="K868" t="s">
        <v>834</v>
      </c>
      <c r="L868">
        <v>1354</v>
      </c>
      <c r="N868">
        <v>1010</v>
      </c>
      <c r="O868" t="s">
        <v>250</v>
      </c>
      <c r="P868" t="s">
        <v>250</v>
      </c>
      <c r="Q868">
        <v>1</v>
      </c>
      <c r="W868">
        <v>0</v>
      </c>
      <c r="X868">
        <v>-1782072134</v>
      </c>
      <c r="Y868">
        <f t="shared" si="395"/>
        <v>25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6.23</v>
      </c>
      <c r="AJ868">
        <v>1</v>
      </c>
      <c r="AK868">
        <v>1</v>
      </c>
      <c r="AL868">
        <v>1</v>
      </c>
      <c r="AN868">
        <v>0</v>
      </c>
      <c r="AO868">
        <v>0</v>
      </c>
      <c r="AP868">
        <v>0</v>
      </c>
      <c r="AQ868">
        <v>0</v>
      </c>
      <c r="AR868">
        <v>0</v>
      </c>
      <c r="AS868" t="s">
        <v>3</v>
      </c>
      <c r="AT868">
        <v>25</v>
      </c>
      <c r="AU868" t="s">
        <v>3</v>
      </c>
      <c r="AV868">
        <v>0</v>
      </c>
      <c r="AW868">
        <v>1</v>
      </c>
      <c r="AX868">
        <v>-1</v>
      </c>
      <c r="AY868">
        <v>0</v>
      </c>
      <c r="AZ868">
        <v>0</v>
      </c>
      <c r="BA868" t="s">
        <v>3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0</v>
      </c>
      <c r="BR868">
        <v>0</v>
      </c>
      <c r="BS868">
        <v>0</v>
      </c>
      <c r="BT868">
        <v>0</v>
      </c>
      <c r="BU868">
        <v>0</v>
      </c>
      <c r="BV868">
        <v>0</v>
      </c>
      <c r="BW868">
        <v>0</v>
      </c>
      <c r="CX868">
        <f>ROUND(Y868*Source!I1043,9)</f>
        <v>5</v>
      </c>
      <c r="CY868">
        <f t="shared" si="396"/>
        <v>0</v>
      </c>
      <c r="CZ868">
        <f t="shared" si="397"/>
        <v>0</v>
      </c>
      <c r="DA868">
        <f t="shared" si="398"/>
        <v>6.23</v>
      </c>
      <c r="DB868">
        <f t="shared" si="399"/>
        <v>0</v>
      </c>
      <c r="DC868">
        <f t="shared" si="400"/>
        <v>0</v>
      </c>
      <c r="DD868" t="s">
        <v>3</v>
      </c>
      <c r="DE868" t="s">
        <v>3</v>
      </c>
      <c r="DF868">
        <f t="shared" si="401"/>
        <v>0</v>
      </c>
      <c r="DG868">
        <f t="shared" si="402"/>
        <v>0</v>
      </c>
      <c r="DH868">
        <f t="shared" si="403"/>
        <v>0</v>
      </c>
      <c r="DI868">
        <f t="shared" si="387"/>
        <v>0</v>
      </c>
      <c r="DJ868">
        <f t="shared" si="404"/>
        <v>0</v>
      </c>
      <c r="DK868">
        <v>2</v>
      </c>
    </row>
    <row r="869" spans="1:115" x14ac:dyDescent="0.2">
      <c r="A869">
        <f>ROW(Source!A1043)</f>
        <v>1043</v>
      </c>
      <c r="B869">
        <v>129761633</v>
      </c>
      <c r="C869">
        <v>129764186</v>
      </c>
      <c r="D869">
        <v>0</v>
      </c>
      <c r="E869">
        <v>1</v>
      </c>
      <c r="F869">
        <v>1</v>
      </c>
      <c r="G869">
        <v>37345137</v>
      </c>
      <c r="H869">
        <v>3</v>
      </c>
      <c r="I869" t="s">
        <v>850</v>
      </c>
      <c r="J869" t="s">
        <v>3</v>
      </c>
      <c r="K869" t="s">
        <v>851</v>
      </c>
      <c r="L869">
        <v>1354</v>
      </c>
      <c r="N869">
        <v>1010</v>
      </c>
      <c r="O869" t="s">
        <v>250</v>
      </c>
      <c r="P869" t="s">
        <v>250</v>
      </c>
      <c r="Q869">
        <v>1</v>
      </c>
      <c r="W869">
        <v>0</v>
      </c>
      <c r="X869">
        <v>1698173573</v>
      </c>
      <c r="Y869">
        <f t="shared" si="395"/>
        <v>20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8.94</v>
      </c>
      <c r="AJ869">
        <v>1</v>
      </c>
      <c r="AK869">
        <v>1</v>
      </c>
      <c r="AL869">
        <v>1</v>
      </c>
      <c r="AN869">
        <v>0</v>
      </c>
      <c r="AO869">
        <v>0</v>
      </c>
      <c r="AP869">
        <v>0</v>
      </c>
      <c r="AQ869">
        <v>0</v>
      </c>
      <c r="AR869">
        <v>0</v>
      </c>
      <c r="AS869" t="s">
        <v>3</v>
      </c>
      <c r="AT869">
        <v>20</v>
      </c>
      <c r="AU869" t="s">
        <v>3</v>
      </c>
      <c r="AV869">
        <v>0</v>
      </c>
      <c r="AW869">
        <v>1</v>
      </c>
      <c r="AX869">
        <v>-1</v>
      </c>
      <c r="AY869">
        <v>0</v>
      </c>
      <c r="AZ869">
        <v>0</v>
      </c>
      <c r="BA869" t="s">
        <v>3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0</v>
      </c>
      <c r="BP869">
        <v>0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0</v>
      </c>
      <c r="BW869">
        <v>0</v>
      </c>
      <c r="CX869">
        <f>ROUND(Y869*Source!I1043,9)</f>
        <v>4</v>
      </c>
      <c r="CY869">
        <f t="shared" si="396"/>
        <v>0</v>
      </c>
      <c r="CZ869">
        <f t="shared" si="397"/>
        <v>0</v>
      </c>
      <c r="DA869">
        <f t="shared" si="398"/>
        <v>8.94</v>
      </c>
      <c r="DB869">
        <f t="shared" si="399"/>
        <v>0</v>
      </c>
      <c r="DC869">
        <f t="shared" si="400"/>
        <v>0</v>
      </c>
      <c r="DD869" t="s">
        <v>3</v>
      </c>
      <c r="DE869" t="s">
        <v>3</v>
      </c>
      <c r="DF869">
        <f t="shared" si="401"/>
        <v>0</v>
      </c>
      <c r="DG869">
        <f t="shared" si="402"/>
        <v>0</v>
      </c>
      <c r="DH869">
        <f t="shared" si="403"/>
        <v>0</v>
      </c>
      <c r="DI869">
        <f t="shared" si="387"/>
        <v>0</v>
      </c>
      <c r="DJ869">
        <f t="shared" si="404"/>
        <v>0</v>
      </c>
      <c r="DK869">
        <v>2</v>
      </c>
    </row>
    <row r="870" spans="1:115" x14ac:dyDescent="0.2">
      <c r="A870">
        <f>ROW(Source!A1043)</f>
        <v>1043</v>
      </c>
      <c r="B870">
        <v>129761633</v>
      </c>
      <c r="C870">
        <v>129764186</v>
      </c>
      <c r="D870">
        <v>0</v>
      </c>
      <c r="E870">
        <v>1</v>
      </c>
      <c r="F870">
        <v>1</v>
      </c>
      <c r="G870">
        <v>37345137</v>
      </c>
      <c r="H870">
        <v>3</v>
      </c>
      <c r="I870" t="s">
        <v>847</v>
      </c>
      <c r="J870" t="s">
        <v>3</v>
      </c>
      <c r="K870" t="s">
        <v>848</v>
      </c>
      <c r="L870">
        <v>1354</v>
      </c>
      <c r="N870">
        <v>1010</v>
      </c>
      <c r="O870" t="s">
        <v>250</v>
      </c>
      <c r="P870" t="s">
        <v>250</v>
      </c>
      <c r="Q870">
        <v>1</v>
      </c>
      <c r="W870">
        <v>0</v>
      </c>
      <c r="X870">
        <v>1773581639</v>
      </c>
      <c r="Y870">
        <f t="shared" si="395"/>
        <v>10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8.89</v>
      </c>
      <c r="AJ870">
        <v>1</v>
      </c>
      <c r="AK870">
        <v>1</v>
      </c>
      <c r="AL870">
        <v>1</v>
      </c>
      <c r="AN870">
        <v>0</v>
      </c>
      <c r="AO870">
        <v>0</v>
      </c>
      <c r="AP870">
        <v>0</v>
      </c>
      <c r="AQ870">
        <v>0</v>
      </c>
      <c r="AR870">
        <v>0</v>
      </c>
      <c r="AS870" t="s">
        <v>3</v>
      </c>
      <c r="AT870">
        <v>10</v>
      </c>
      <c r="AU870" t="s">
        <v>3</v>
      </c>
      <c r="AV870">
        <v>0</v>
      </c>
      <c r="AW870">
        <v>1</v>
      </c>
      <c r="AX870">
        <v>-1</v>
      </c>
      <c r="AY870">
        <v>0</v>
      </c>
      <c r="AZ870">
        <v>0</v>
      </c>
      <c r="BA870" t="s">
        <v>3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0</v>
      </c>
      <c r="BR870">
        <v>0</v>
      </c>
      <c r="BS870">
        <v>0</v>
      </c>
      <c r="BT870">
        <v>0</v>
      </c>
      <c r="BU870">
        <v>0</v>
      </c>
      <c r="BV870">
        <v>0</v>
      </c>
      <c r="BW870">
        <v>0</v>
      </c>
      <c r="CX870">
        <f>ROUND(Y870*Source!I1043,9)</f>
        <v>2</v>
      </c>
      <c r="CY870">
        <f t="shared" si="396"/>
        <v>0</v>
      </c>
      <c r="CZ870">
        <f t="shared" si="397"/>
        <v>0</v>
      </c>
      <c r="DA870">
        <f t="shared" si="398"/>
        <v>8.89</v>
      </c>
      <c r="DB870">
        <f t="shared" si="399"/>
        <v>0</v>
      </c>
      <c r="DC870">
        <f t="shared" si="400"/>
        <v>0</v>
      </c>
      <c r="DD870" t="s">
        <v>3</v>
      </c>
      <c r="DE870" t="s">
        <v>3</v>
      </c>
      <c r="DF870">
        <f t="shared" si="401"/>
        <v>0</v>
      </c>
      <c r="DG870">
        <f t="shared" si="402"/>
        <v>0</v>
      </c>
      <c r="DH870">
        <f t="shared" si="403"/>
        <v>0</v>
      </c>
      <c r="DI870">
        <f t="shared" si="387"/>
        <v>0</v>
      </c>
      <c r="DJ870">
        <f t="shared" si="404"/>
        <v>0</v>
      </c>
      <c r="DK870">
        <v>2</v>
      </c>
    </row>
    <row r="871" spans="1:115" x14ac:dyDescent="0.2">
      <c r="A871">
        <f>ROW(Source!A1043)</f>
        <v>1043</v>
      </c>
      <c r="B871">
        <v>129761633</v>
      </c>
      <c r="C871">
        <v>129764186</v>
      </c>
      <c r="D871">
        <v>0</v>
      </c>
      <c r="E871">
        <v>1</v>
      </c>
      <c r="F871">
        <v>1</v>
      </c>
      <c r="G871">
        <v>37345137</v>
      </c>
      <c r="H871">
        <v>3</v>
      </c>
      <c r="I871" t="s">
        <v>853</v>
      </c>
      <c r="J871" t="s">
        <v>3</v>
      </c>
      <c r="K871" t="s">
        <v>854</v>
      </c>
      <c r="L871">
        <v>1354</v>
      </c>
      <c r="N871">
        <v>1010</v>
      </c>
      <c r="O871" t="s">
        <v>250</v>
      </c>
      <c r="P871" t="s">
        <v>250</v>
      </c>
      <c r="Q871">
        <v>1</v>
      </c>
      <c r="W871">
        <v>0</v>
      </c>
      <c r="X871">
        <v>71534593</v>
      </c>
      <c r="Y871">
        <f t="shared" si="395"/>
        <v>100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4.5599999999999996</v>
      </c>
      <c r="AJ871">
        <v>1</v>
      </c>
      <c r="AK871">
        <v>1</v>
      </c>
      <c r="AL871">
        <v>1</v>
      </c>
      <c r="AN871">
        <v>0</v>
      </c>
      <c r="AO871">
        <v>0</v>
      </c>
      <c r="AP871">
        <v>0</v>
      </c>
      <c r="AQ871">
        <v>0</v>
      </c>
      <c r="AR871">
        <v>0</v>
      </c>
      <c r="AS871" t="s">
        <v>3</v>
      </c>
      <c r="AT871">
        <v>100</v>
      </c>
      <c r="AU871" t="s">
        <v>3</v>
      </c>
      <c r="AV871">
        <v>0</v>
      </c>
      <c r="AW871">
        <v>1</v>
      </c>
      <c r="AX871">
        <v>-1</v>
      </c>
      <c r="AY871">
        <v>0</v>
      </c>
      <c r="AZ871">
        <v>0</v>
      </c>
      <c r="BA871" t="s">
        <v>3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0</v>
      </c>
      <c r="BW871">
        <v>0</v>
      </c>
      <c r="CX871">
        <f>ROUND(Y871*Source!I1043,9)</f>
        <v>20</v>
      </c>
      <c r="CY871">
        <f t="shared" si="396"/>
        <v>0</v>
      </c>
      <c r="CZ871">
        <f t="shared" si="397"/>
        <v>0</v>
      </c>
      <c r="DA871">
        <f t="shared" si="398"/>
        <v>4.5599999999999996</v>
      </c>
      <c r="DB871">
        <f t="shared" si="399"/>
        <v>0</v>
      </c>
      <c r="DC871">
        <f t="shared" si="400"/>
        <v>0</v>
      </c>
      <c r="DD871" t="s">
        <v>3</v>
      </c>
      <c r="DE871" t="s">
        <v>3</v>
      </c>
      <c r="DF871">
        <f t="shared" si="401"/>
        <v>0</v>
      </c>
      <c r="DG871">
        <f t="shared" si="402"/>
        <v>0</v>
      </c>
      <c r="DH871">
        <f t="shared" si="403"/>
        <v>0</v>
      </c>
      <c r="DI871">
        <f t="shared" si="387"/>
        <v>0</v>
      </c>
      <c r="DJ871">
        <f t="shared" si="404"/>
        <v>0</v>
      </c>
      <c r="DK871">
        <v>2</v>
      </c>
    </row>
    <row r="872" spans="1:115" x14ac:dyDescent="0.2">
      <c r="A872">
        <f>ROW(Source!A1043)</f>
        <v>1043</v>
      </c>
      <c r="B872">
        <v>129761633</v>
      </c>
      <c r="C872">
        <v>129764186</v>
      </c>
      <c r="D872">
        <v>37367082</v>
      </c>
      <c r="E872">
        <v>37345137</v>
      </c>
      <c r="F872">
        <v>1</v>
      </c>
      <c r="G872">
        <v>37345137</v>
      </c>
      <c r="H872">
        <v>3</v>
      </c>
      <c r="I872" t="s">
        <v>1136</v>
      </c>
      <c r="J872" t="s">
        <v>3</v>
      </c>
      <c r="K872" t="s">
        <v>1137</v>
      </c>
      <c r="L872">
        <v>1344</v>
      </c>
      <c r="N872">
        <v>1008</v>
      </c>
      <c r="O872" t="s">
        <v>1138</v>
      </c>
      <c r="P872" t="s">
        <v>1138</v>
      </c>
      <c r="Q872">
        <v>1</v>
      </c>
      <c r="W872">
        <v>0</v>
      </c>
      <c r="X872">
        <v>-94250534</v>
      </c>
      <c r="Y872">
        <f t="shared" si="395"/>
        <v>0.04</v>
      </c>
      <c r="AA872">
        <v>8.65</v>
      </c>
      <c r="AB872">
        <v>0</v>
      </c>
      <c r="AC872">
        <v>0</v>
      </c>
      <c r="AD872">
        <v>0</v>
      </c>
      <c r="AE872">
        <v>1</v>
      </c>
      <c r="AF872">
        <v>0</v>
      </c>
      <c r="AG872">
        <v>0</v>
      </c>
      <c r="AH872">
        <v>0</v>
      </c>
      <c r="AI872">
        <v>8.65</v>
      </c>
      <c r="AJ872">
        <v>1</v>
      </c>
      <c r="AK872">
        <v>1</v>
      </c>
      <c r="AL872">
        <v>1</v>
      </c>
      <c r="AN872">
        <v>0</v>
      </c>
      <c r="AO872">
        <v>1</v>
      </c>
      <c r="AP872">
        <v>0</v>
      </c>
      <c r="AQ872">
        <v>0</v>
      </c>
      <c r="AR872">
        <v>0</v>
      </c>
      <c r="AS872" t="s">
        <v>3</v>
      </c>
      <c r="AT872">
        <v>0.04</v>
      </c>
      <c r="AU872" t="s">
        <v>3</v>
      </c>
      <c r="AV872">
        <v>0</v>
      </c>
      <c r="AW872">
        <v>2</v>
      </c>
      <c r="AX872">
        <v>129764223</v>
      </c>
      <c r="AY872">
        <v>1</v>
      </c>
      <c r="AZ872">
        <v>0</v>
      </c>
      <c r="BA872">
        <v>840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0</v>
      </c>
      <c r="BR872">
        <v>0</v>
      </c>
      <c r="BS872">
        <v>0</v>
      </c>
      <c r="BT872">
        <v>0</v>
      </c>
      <c r="BU872">
        <v>0</v>
      </c>
      <c r="BV872">
        <v>0</v>
      </c>
      <c r="BW872">
        <v>0</v>
      </c>
      <c r="CX872">
        <f>ROUND(Y872*Source!I1043,9)</f>
        <v>8.0000000000000002E-3</v>
      </c>
      <c r="CY872">
        <f t="shared" si="396"/>
        <v>8.65</v>
      </c>
      <c r="CZ872">
        <f t="shared" si="397"/>
        <v>1</v>
      </c>
      <c r="DA872">
        <f t="shared" si="398"/>
        <v>8.65</v>
      </c>
      <c r="DB872">
        <f t="shared" si="399"/>
        <v>0.04</v>
      </c>
      <c r="DC872">
        <f t="shared" si="400"/>
        <v>0</v>
      </c>
      <c r="DD872" t="s">
        <v>3</v>
      </c>
      <c r="DE872" t="s">
        <v>3</v>
      </c>
      <c r="DF872">
        <f t="shared" si="401"/>
        <v>0.09</v>
      </c>
      <c r="DG872">
        <f t="shared" si="402"/>
        <v>0</v>
      </c>
      <c r="DH872">
        <f t="shared" si="403"/>
        <v>0</v>
      </c>
      <c r="DI872">
        <f t="shared" si="387"/>
        <v>0</v>
      </c>
      <c r="DJ872">
        <f t="shared" si="404"/>
        <v>0.09</v>
      </c>
      <c r="DK872">
        <v>0</v>
      </c>
    </row>
    <row r="873" spans="1:115" x14ac:dyDescent="0.2">
      <c r="A873">
        <f>ROW(Source!A1062)</f>
        <v>1062</v>
      </c>
      <c r="B873">
        <v>129761636</v>
      </c>
      <c r="C873">
        <v>129764233</v>
      </c>
      <c r="D873">
        <v>37345142</v>
      </c>
      <c r="E873">
        <v>37345137</v>
      </c>
      <c r="F873">
        <v>1</v>
      </c>
      <c r="G873">
        <v>37345137</v>
      </c>
      <c r="H873">
        <v>1</v>
      </c>
      <c r="I873" t="s">
        <v>1096</v>
      </c>
      <c r="J873" t="s">
        <v>3</v>
      </c>
      <c r="K873" t="s">
        <v>1097</v>
      </c>
      <c r="L873">
        <v>1191</v>
      </c>
      <c r="N873">
        <v>1013</v>
      </c>
      <c r="O873" t="s">
        <v>1098</v>
      </c>
      <c r="P873" t="s">
        <v>1098</v>
      </c>
      <c r="Q873">
        <v>1</v>
      </c>
      <c r="W873">
        <v>0</v>
      </c>
      <c r="X873">
        <v>476480486</v>
      </c>
      <c r="Y873">
        <f>(AT873*1.15)</f>
        <v>2.5299999999999998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1</v>
      </c>
      <c r="AJ873">
        <v>1</v>
      </c>
      <c r="AK873">
        <v>1</v>
      </c>
      <c r="AL873">
        <v>1</v>
      </c>
      <c r="AN873">
        <v>0</v>
      </c>
      <c r="AO873">
        <v>1</v>
      </c>
      <c r="AP873">
        <v>1</v>
      </c>
      <c r="AQ873">
        <v>0</v>
      </c>
      <c r="AR873">
        <v>0</v>
      </c>
      <c r="AS873" t="s">
        <v>3</v>
      </c>
      <c r="AT873">
        <v>2.2000000000000002</v>
      </c>
      <c r="AU873" t="s">
        <v>87</v>
      </c>
      <c r="AV873">
        <v>1</v>
      </c>
      <c r="AW873">
        <v>2</v>
      </c>
      <c r="AX873">
        <v>129764242</v>
      </c>
      <c r="AY873">
        <v>1</v>
      </c>
      <c r="AZ873">
        <v>0</v>
      </c>
      <c r="BA873">
        <v>841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  <c r="BP873">
        <v>0</v>
      </c>
      <c r="BQ873">
        <v>0</v>
      </c>
      <c r="BR873">
        <v>0</v>
      </c>
      <c r="BS873">
        <v>0</v>
      </c>
      <c r="BT873">
        <v>0</v>
      </c>
      <c r="BU873">
        <v>0</v>
      </c>
      <c r="BV873">
        <v>0</v>
      </c>
      <c r="BW873">
        <v>0</v>
      </c>
      <c r="CX873">
        <f>ROUND(Y873*Source!I1062,9)</f>
        <v>4.048</v>
      </c>
      <c r="CY873">
        <f>AD873</f>
        <v>0</v>
      </c>
      <c r="CZ873">
        <f>AH873</f>
        <v>0</v>
      </c>
      <c r="DA873">
        <f>AL873</f>
        <v>1</v>
      </c>
      <c r="DB873">
        <f>ROUND((ROUND(AT873*CZ873,2)*1.15),6)</f>
        <v>0</v>
      </c>
      <c r="DC873">
        <f>ROUND((ROUND(AT873*AG873,2)*1.15),6)</f>
        <v>0</v>
      </c>
      <c r="DD873" t="s">
        <v>3</v>
      </c>
      <c r="DE873" t="s">
        <v>3</v>
      </c>
      <c r="DF873">
        <f t="shared" ref="DF873:DF882" si="405">ROUND(AE873*CX873,2)</f>
        <v>0</v>
      </c>
      <c r="DG873">
        <f t="shared" si="402"/>
        <v>0</v>
      </c>
      <c r="DH873">
        <f t="shared" si="403"/>
        <v>0</v>
      </c>
      <c r="DI873">
        <f t="shared" si="387"/>
        <v>0</v>
      </c>
      <c r="DJ873">
        <f>DI873</f>
        <v>0</v>
      </c>
      <c r="DK873">
        <v>0</v>
      </c>
    </row>
    <row r="874" spans="1:115" x14ac:dyDescent="0.2">
      <c r="A874">
        <f>ROW(Source!A1062)</f>
        <v>1062</v>
      </c>
      <c r="B874">
        <v>129761636</v>
      </c>
      <c r="C874">
        <v>129764233</v>
      </c>
      <c r="D874">
        <v>37345890</v>
      </c>
      <c r="E874">
        <v>37345137</v>
      </c>
      <c r="F874">
        <v>1</v>
      </c>
      <c r="G874">
        <v>37345137</v>
      </c>
      <c r="H874">
        <v>2</v>
      </c>
      <c r="I874" t="s">
        <v>1145</v>
      </c>
      <c r="J874" t="s">
        <v>3</v>
      </c>
      <c r="K874" t="s">
        <v>1146</v>
      </c>
      <c r="L874">
        <v>1344</v>
      </c>
      <c r="N874">
        <v>1008</v>
      </c>
      <c r="O874" t="s">
        <v>1138</v>
      </c>
      <c r="P874" t="s">
        <v>1138</v>
      </c>
      <c r="Q874">
        <v>1</v>
      </c>
      <c r="W874">
        <v>0</v>
      </c>
      <c r="X874">
        <v>-1180195794</v>
      </c>
      <c r="Y874">
        <f>(AT874*1.25)</f>
        <v>16.5</v>
      </c>
      <c r="AA874">
        <v>0</v>
      </c>
      <c r="AB874">
        <v>1</v>
      </c>
      <c r="AC874">
        <v>0</v>
      </c>
      <c r="AD874">
        <v>0</v>
      </c>
      <c r="AE874">
        <v>0</v>
      </c>
      <c r="AF874">
        <v>1</v>
      </c>
      <c r="AG874">
        <v>0</v>
      </c>
      <c r="AH874">
        <v>0</v>
      </c>
      <c r="AI874">
        <v>1</v>
      </c>
      <c r="AJ874">
        <v>1</v>
      </c>
      <c r="AK874">
        <v>1</v>
      </c>
      <c r="AL874">
        <v>1</v>
      </c>
      <c r="AN874">
        <v>0</v>
      </c>
      <c r="AO874">
        <v>1</v>
      </c>
      <c r="AP874">
        <v>1</v>
      </c>
      <c r="AQ874">
        <v>0</v>
      </c>
      <c r="AR874">
        <v>0</v>
      </c>
      <c r="AS874" t="s">
        <v>3</v>
      </c>
      <c r="AT874">
        <v>13.2</v>
      </c>
      <c r="AU874" t="s">
        <v>86</v>
      </c>
      <c r="AV874">
        <v>0</v>
      </c>
      <c r="AW874">
        <v>2</v>
      </c>
      <c r="AX874">
        <v>129764243</v>
      </c>
      <c r="AY874">
        <v>1</v>
      </c>
      <c r="AZ874">
        <v>0</v>
      </c>
      <c r="BA874">
        <v>842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0</v>
      </c>
      <c r="BR874">
        <v>0</v>
      </c>
      <c r="BS874">
        <v>0</v>
      </c>
      <c r="BT874">
        <v>0</v>
      </c>
      <c r="BU874">
        <v>0</v>
      </c>
      <c r="BV874">
        <v>0</v>
      </c>
      <c r="BW874">
        <v>0</v>
      </c>
      <c r="CX874">
        <f>ROUND(Y874*Source!I1062,9)</f>
        <v>26.4</v>
      </c>
      <c r="CY874">
        <f>AB874</f>
        <v>1</v>
      </c>
      <c r="CZ874">
        <f>AF874</f>
        <v>1</v>
      </c>
      <c r="DA874">
        <f>AJ874</f>
        <v>1</v>
      </c>
      <c r="DB874">
        <f>ROUND((ROUND(AT874*CZ874,2)*1.25),6)</f>
        <v>16.5</v>
      </c>
      <c r="DC874">
        <f>ROUND((ROUND(AT874*AG874,2)*1.25),6)</f>
        <v>0</v>
      </c>
      <c r="DD874" t="s">
        <v>3</v>
      </c>
      <c r="DE874" t="s">
        <v>3</v>
      </c>
      <c r="DF874">
        <f t="shared" si="405"/>
        <v>0</v>
      </c>
      <c r="DG874">
        <f t="shared" si="402"/>
        <v>26.4</v>
      </c>
      <c r="DH874">
        <f t="shared" si="403"/>
        <v>0</v>
      </c>
      <c r="DI874">
        <f t="shared" si="387"/>
        <v>0</v>
      </c>
      <c r="DJ874">
        <f>DG874</f>
        <v>26.4</v>
      </c>
      <c r="DK874">
        <v>0</v>
      </c>
    </row>
    <row r="875" spans="1:115" x14ac:dyDescent="0.2">
      <c r="A875">
        <f>ROW(Source!A1062)</f>
        <v>1062</v>
      </c>
      <c r="B875">
        <v>129761636</v>
      </c>
      <c r="C875">
        <v>129764233</v>
      </c>
      <c r="D875">
        <v>37396185</v>
      </c>
      <c r="E875">
        <v>1</v>
      </c>
      <c r="F875">
        <v>1</v>
      </c>
      <c r="G875">
        <v>37345137</v>
      </c>
      <c r="H875">
        <v>3</v>
      </c>
      <c r="I875" t="s">
        <v>865</v>
      </c>
      <c r="J875" t="s">
        <v>866</v>
      </c>
      <c r="K875" t="s">
        <v>1569</v>
      </c>
      <c r="L875">
        <v>1301</v>
      </c>
      <c r="N875">
        <v>1003</v>
      </c>
      <c r="O875" t="s">
        <v>270</v>
      </c>
      <c r="P875" t="s">
        <v>270</v>
      </c>
      <c r="Q875">
        <v>1</v>
      </c>
      <c r="W875">
        <v>0</v>
      </c>
      <c r="X875">
        <v>-1102853522</v>
      </c>
      <c r="Y875">
        <f t="shared" ref="Y875:Y880" si="406">AT875</f>
        <v>10.5</v>
      </c>
      <c r="AA875">
        <v>4.9000000000000004</v>
      </c>
      <c r="AB875">
        <v>0</v>
      </c>
      <c r="AC875">
        <v>0</v>
      </c>
      <c r="AD875">
        <v>0</v>
      </c>
      <c r="AE875">
        <v>4.9000000000000004</v>
      </c>
      <c r="AF875">
        <v>0</v>
      </c>
      <c r="AG875">
        <v>0</v>
      </c>
      <c r="AH875">
        <v>0</v>
      </c>
      <c r="AI875">
        <v>1</v>
      </c>
      <c r="AJ875">
        <v>1</v>
      </c>
      <c r="AK875">
        <v>1</v>
      </c>
      <c r="AL875">
        <v>1</v>
      </c>
      <c r="AN875">
        <v>0</v>
      </c>
      <c r="AO875">
        <v>0</v>
      </c>
      <c r="AP875">
        <v>0</v>
      </c>
      <c r="AQ875">
        <v>0</v>
      </c>
      <c r="AR875">
        <v>0</v>
      </c>
      <c r="AS875" t="s">
        <v>3</v>
      </c>
      <c r="AT875">
        <v>10.5</v>
      </c>
      <c r="AU875" t="s">
        <v>3</v>
      </c>
      <c r="AV875">
        <v>0</v>
      </c>
      <c r="AW875">
        <v>1</v>
      </c>
      <c r="AX875">
        <v>-1</v>
      </c>
      <c r="AY875">
        <v>0</v>
      </c>
      <c r="AZ875">
        <v>0</v>
      </c>
      <c r="BA875" t="s">
        <v>3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0</v>
      </c>
      <c r="BP875">
        <v>0</v>
      </c>
      <c r="BQ875">
        <v>0</v>
      </c>
      <c r="BR875">
        <v>0</v>
      </c>
      <c r="BS875">
        <v>0</v>
      </c>
      <c r="BT875">
        <v>0</v>
      </c>
      <c r="BU875">
        <v>0</v>
      </c>
      <c r="BV875">
        <v>0</v>
      </c>
      <c r="BW875">
        <v>0</v>
      </c>
      <c r="CX875">
        <f>ROUND(Y875*Source!I1062,9)</f>
        <v>16.8</v>
      </c>
      <c r="CY875">
        <f t="shared" ref="CY875:CY880" si="407">AA875</f>
        <v>4.9000000000000004</v>
      </c>
      <c r="CZ875">
        <f t="shared" ref="CZ875:CZ880" si="408">AE875</f>
        <v>4.9000000000000004</v>
      </c>
      <c r="DA875">
        <f t="shared" ref="DA875:DA880" si="409">AI875</f>
        <v>1</v>
      </c>
      <c r="DB875">
        <f t="shared" ref="DB875:DB880" si="410">ROUND(ROUND(AT875*CZ875,2),6)</f>
        <v>51.45</v>
      </c>
      <c r="DC875">
        <f t="shared" ref="DC875:DC880" si="411">ROUND(ROUND(AT875*AG875,2),6)</f>
        <v>0</v>
      </c>
      <c r="DD875" t="s">
        <v>3</v>
      </c>
      <c r="DE875" t="s">
        <v>3</v>
      </c>
      <c r="DF875">
        <f t="shared" si="405"/>
        <v>82.32</v>
      </c>
      <c r="DG875">
        <f t="shared" si="402"/>
        <v>0</v>
      </c>
      <c r="DH875">
        <f t="shared" si="403"/>
        <v>0</v>
      </c>
      <c r="DI875">
        <f t="shared" si="387"/>
        <v>0</v>
      </c>
      <c r="DJ875">
        <f t="shared" ref="DJ875:DJ880" si="412">DF875</f>
        <v>82.32</v>
      </c>
      <c r="DK875">
        <v>0</v>
      </c>
    </row>
    <row r="876" spans="1:115" x14ac:dyDescent="0.2">
      <c r="A876">
        <f>ROW(Source!A1062)</f>
        <v>1062</v>
      </c>
      <c r="B876">
        <v>129761636</v>
      </c>
      <c r="C876">
        <v>129764233</v>
      </c>
      <c r="D876">
        <v>37393806</v>
      </c>
      <c r="E876">
        <v>1</v>
      </c>
      <c r="F876">
        <v>1</v>
      </c>
      <c r="G876">
        <v>37345137</v>
      </c>
      <c r="H876">
        <v>3</v>
      </c>
      <c r="I876" t="s">
        <v>868</v>
      </c>
      <c r="J876" t="s">
        <v>871</v>
      </c>
      <c r="K876" t="s">
        <v>869</v>
      </c>
      <c r="L876">
        <v>1296</v>
      </c>
      <c r="N876">
        <v>1002</v>
      </c>
      <c r="O876" t="s">
        <v>870</v>
      </c>
      <c r="P876" t="s">
        <v>870</v>
      </c>
      <c r="Q876">
        <v>1</v>
      </c>
      <c r="W876">
        <v>0</v>
      </c>
      <c r="X876">
        <v>1055545440</v>
      </c>
      <c r="Y876">
        <f t="shared" si="406"/>
        <v>0.125</v>
      </c>
      <c r="AA876">
        <v>144.94</v>
      </c>
      <c r="AB876">
        <v>0</v>
      </c>
      <c r="AC876">
        <v>0</v>
      </c>
      <c r="AD876">
        <v>0</v>
      </c>
      <c r="AE876">
        <v>144.94</v>
      </c>
      <c r="AF876">
        <v>0</v>
      </c>
      <c r="AG876">
        <v>0</v>
      </c>
      <c r="AH876">
        <v>0</v>
      </c>
      <c r="AI876">
        <v>1</v>
      </c>
      <c r="AJ876">
        <v>1</v>
      </c>
      <c r="AK876">
        <v>1</v>
      </c>
      <c r="AL876">
        <v>1</v>
      </c>
      <c r="AN876">
        <v>0</v>
      </c>
      <c r="AO876">
        <v>0</v>
      </c>
      <c r="AP876">
        <v>0</v>
      </c>
      <c r="AQ876">
        <v>0</v>
      </c>
      <c r="AR876">
        <v>0</v>
      </c>
      <c r="AS876" t="s">
        <v>3</v>
      </c>
      <c r="AT876">
        <v>0.125</v>
      </c>
      <c r="AU876" t="s">
        <v>3</v>
      </c>
      <c r="AV876">
        <v>0</v>
      </c>
      <c r="AW876">
        <v>1</v>
      </c>
      <c r="AX876">
        <v>-1</v>
      </c>
      <c r="AY876">
        <v>0</v>
      </c>
      <c r="AZ876">
        <v>0</v>
      </c>
      <c r="BA876" t="s">
        <v>3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0</v>
      </c>
      <c r="BR876">
        <v>0</v>
      </c>
      <c r="BS876">
        <v>0</v>
      </c>
      <c r="BT876">
        <v>0</v>
      </c>
      <c r="BU876">
        <v>0</v>
      </c>
      <c r="BV876">
        <v>0</v>
      </c>
      <c r="BW876">
        <v>0</v>
      </c>
      <c r="CX876">
        <f>ROUND(Y876*Source!I1062,9)</f>
        <v>0.2</v>
      </c>
      <c r="CY876">
        <f t="shared" si="407"/>
        <v>144.94</v>
      </c>
      <c r="CZ876">
        <f t="shared" si="408"/>
        <v>144.94</v>
      </c>
      <c r="DA876">
        <f t="shared" si="409"/>
        <v>1</v>
      </c>
      <c r="DB876">
        <f t="shared" si="410"/>
        <v>18.12</v>
      </c>
      <c r="DC876">
        <f t="shared" si="411"/>
        <v>0</v>
      </c>
      <c r="DD876" t="s">
        <v>3</v>
      </c>
      <c r="DE876" t="s">
        <v>3</v>
      </c>
      <c r="DF876">
        <f t="shared" si="405"/>
        <v>28.99</v>
      </c>
      <c r="DG876">
        <f t="shared" si="402"/>
        <v>0</v>
      </c>
      <c r="DH876">
        <f t="shared" si="403"/>
        <v>0</v>
      </c>
      <c r="DI876">
        <f t="shared" si="387"/>
        <v>0</v>
      </c>
      <c r="DJ876">
        <f t="shared" si="412"/>
        <v>28.99</v>
      </c>
      <c r="DK876">
        <v>0</v>
      </c>
    </row>
    <row r="877" spans="1:115" x14ac:dyDescent="0.2">
      <c r="A877">
        <f>ROW(Source!A1062)</f>
        <v>1062</v>
      </c>
      <c r="B877">
        <v>129761636</v>
      </c>
      <c r="C877">
        <v>129764233</v>
      </c>
      <c r="D877">
        <v>37393825</v>
      </c>
      <c r="E877">
        <v>1</v>
      </c>
      <c r="F877">
        <v>1</v>
      </c>
      <c r="G877">
        <v>37345137</v>
      </c>
      <c r="H877">
        <v>3</v>
      </c>
      <c r="I877" t="s">
        <v>1368</v>
      </c>
      <c r="J877" t="s">
        <v>1369</v>
      </c>
      <c r="K877" t="s">
        <v>1370</v>
      </c>
      <c r="L877">
        <v>1354</v>
      </c>
      <c r="N877">
        <v>1010</v>
      </c>
      <c r="O877" t="s">
        <v>250</v>
      </c>
      <c r="P877" t="s">
        <v>250</v>
      </c>
      <c r="Q877">
        <v>1</v>
      </c>
      <c r="W877">
        <v>0</v>
      </c>
      <c r="X877">
        <v>-799916466</v>
      </c>
      <c r="Y877">
        <f t="shared" si="406"/>
        <v>30</v>
      </c>
      <c r="AA877">
        <v>0.75</v>
      </c>
      <c r="AB877">
        <v>0</v>
      </c>
      <c r="AC877">
        <v>0</v>
      </c>
      <c r="AD877">
        <v>0</v>
      </c>
      <c r="AE877">
        <v>0.75</v>
      </c>
      <c r="AF877">
        <v>0</v>
      </c>
      <c r="AG877">
        <v>0</v>
      </c>
      <c r="AH877">
        <v>0</v>
      </c>
      <c r="AI877">
        <v>1</v>
      </c>
      <c r="AJ877">
        <v>1</v>
      </c>
      <c r="AK877">
        <v>1</v>
      </c>
      <c r="AL877">
        <v>1</v>
      </c>
      <c r="AN877">
        <v>0</v>
      </c>
      <c r="AO877">
        <v>1</v>
      </c>
      <c r="AP877">
        <v>0</v>
      </c>
      <c r="AQ877">
        <v>0</v>
      </c>
      <c r="AR877">
        <v>0</v>
      </c>
      <c r="AS877" t="s">
        <v>3</v>
      </c>
      <c r="AT877">
        <v>30</v>
      </c>
      <c r="AU877" t="s">
        <v>3</v>
      </c>
      <c r="AV877">
        <v>0</v>
      </c>
      <c r="AW877">
        <v>2</v>
      </c>
      <c r="AX877">
        <v>129764244</v>
      </c>
      <c r="AY877">
        <v>1</v>
      </c>
      <c r="AZ877">
        <v>0</v>
      </c>
      <c r="BA877">
        <v>843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0</v>
      </c>
      <c r="BK877">
        <v>0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0</v>
      </c>
      <c r="BR877">
        <v>0</v>
      </c>
      <c r="BS877">
        <v>0</v>
      </c>
      <c r="BT877">
        <v>0</v>
      </c>
      <c r="BU877">
        <v>0</v>
      </c>
      <c r="BV877">
        <v>0</v>
      </c>
      <c r="BW877">
        <v>0</v>
      </c>
      <c r="CX877">
        <f>ROUND(Y877*Source!I1062,9)</f>
        <v>48</v>
      </c>
      <c r="CY877">
        <f t="shared" si="407"/>
        <v>0.75</v>
      </c>
      <c r="CZ877">
        <f t="shared" si="408"/>
        <v>0.75</v>
      </c>
      <c r="DA877">
        <f t="shared" si="409"/>
        <v>1</v>
      </c>
      <c r="DB877">
        <f t="shared" si="410"/>
        <v>22.5</v>
      </c>
      <c r="DC877">
        <f t="shared" si="411"/>
        <v>0</v>
      </c>
      <c r="DD877" t="s">
        <v>3</v>
      </c>
      <c r="DE877" t="s">
        <v>3</v>
      </c>
      <c r="DF877">
        <f t="shared" si="405"/>
        <v>36</v>
      </c>
      <c r="DG877">
        <f t="shared" si="402"/>
        <v>0</v>
      </c>
      <c r="DH877">
        <f t="shared" si="403"/>
        <v>0</v>
      </c>
      <c r="DI877">
        <f t="shared" si="387"/>
        <v>0</v>
      </c>
      <c r="DJ877">
        <f t="shared" si="412"/>
        <v>36</v>
      </c>
      <c r="DK877">
        <v>0</v>
      </c>
    </row>
    <row r="878" spans="1:115" x14ac:dyDescent="0.2">
      <c r="A878">
        <f>ROW(Source!A1062)</f>
        <v>1062</v>
      </c>
      <c r="B878">
        <v>129761636</v>
      </c>
      <c r="C878">
        <v>129764233</v>
      </c>
      <c r="D878">
        <v>37393880</v>
      </c>
      <c r="E878">
        <v>1</v>
      </c>
      <c r="F878">
        <v>1</v>
      </c>
      <c r="G878">
        <v>37345137</v>
      </c>
      <c r="H878">
        <v>3</v>
      </c>
      <c r="I878" t="s">
        <v>1371</v>
      </c>
      <c r="J878" t="s">
        <v>1372</v>
      </c>
      <c r="K878" t="s">
        <v>1373</v>
      </c>
      <c r="L878">
        <v>1296</v>
      </c>
      <c r="N878">
        <v>1002</v>
      </c>
      <c r="O878" t="s">
        <v>870</v>
      </c>
      <c r="P878" t="s">
        <v>870</v>
      </c>
      <c r="Q878">
        <v>1</v>
      </c>
      <c r="W878">
        <v>0</v>
      </c>
      <c r="X878">
        <v>-61452450</v>
      </c>
      <c r="Y878">
        <f t="shared" si="406"/>
        <v>0.93</v>
      </c>
      <c r="AA878">
        <v>34.75</v>
      </c>
      <c r="AB878">
        <v>0</v>
      </c>
      <c r="AC878">
        <v>0</v>
      </c>
      <c r="AD878">
        <v>0</v>
      </c>
      <c r="AE878">
        <v>34.75</v>
      </c>
      <c r="AF878">
        <v>0</v>
      </c>
      <c r="AG878">
        <v>0</v>
      </c>
      <c r="AH878">
        <v>0</v>
      </c>
      <c r="AI878">
        <v>1</v>
      </c>
      <c r="AJ878">
        <v>1</v>
      </c>
      <c r="AK878">
        <v>1</v>
      </c>
      <c r="AL878">
        <v>1</v>
      </c>
      <c r="AN878">
        <v>0</v>
      </c>
      <c r="AO878">
        <v>1</v>
      </c>
      <c r="AP878">
        <v>0</v>
      </c>
      <c r="AQ878">
        <v>0</v>
      </c>
      <c r="AR878">
        <v>0</v>
      </c>
      <c r="AS878" t="s">
        <v>3</v>
      </c>
      <c r="AT878">
        <v>0.93</v>
      </c>
      <c r="AU878" t="s">
        <v>3</v>
      </c>
      <c r="AV878">
        <v>0</v>
      </c>
      <c r="AW878">
        <v>2</v>
      </c>
      <c r="AX878">
        <v>129764245</v>
      </c>
      <c r="AY878">
        <v>1</v>
      </c>
      <c r="AZ878">
        <v>0</v>
      </c>
      <c r="BA878">
        <v>844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0</v>
      </c>
      <c r="BW878">
        <v>0</v>
      </c>
      <c r="CX878">
        <f>ROUND(Y878*Source!I1062,9)</f>
        <v>1.488</v>
      </c>
      <c r="CY878">
        <f t="shared" si="407"/>
        <v>34.75</v>
      </c>
      <c r="CZ878">
        <f t="shared" si="408"/>
        <v>34.75</v>
      </c>
      <c r="DA878">
        <f t="shared" si="409"/>
        <v>1</v>
      </c>
      <c r="DB878">
        <f t="shared" si="410"/>
        <v>32.32</v>
      </c>
      <c r="DC878">
        <f t="shared" si="411"/>
        <v>0</v>
      </c>
      <c r="DD878" t="s">
        <v>3</v>
      </c>
      <c r="DE878" t="s">
        <v>3</v>
      </c>
      <c r="DF878">
        <f t="shared" si="405"/>
        <v>51.71</v>
      </c>
      <c r="DG878">
        <f t="shared" si="402"/>
        <v>0</v>
      </c>
      <c r="DH878">
        <f t="shared" si="403"/>
        <v>0</v>
      </c>
      <c r="DI878">
        <f t="shared" si="387"/>
        <v>0</v>
      </c>
      <c r="DJ878">
        <f t="shared" si="412"/>
        <v>51.71</v>
      </c>
      <c r="DK878">
        <v>0</v>
      </c>
    </row>
    <row r="879" spans="1:115" x14ac:dyDescent="0.2">
      <c r="A879">
        <f>ROW(Source!A1062)</f>
        <v>1062</v>
      </c>
      <c r="B879">
        <v>129761636</v>
      </c>
      <c r="C879">
        <v>129764233</v>
      </c>
      <c r="D879">
        <v>37393917</v>
      </c>
      <c r="E879">
        <v>1</v>
      </c>
      <c r="F879">
        <v>1</v>
      </c>
      <c r="G879">
        <v>37345137</v>
      </c>
      <c r="H879">
        <v>3</v>
      </c>
      <c r="I879" t="s">
        <v>861</v>
      </c>
      <c r="J879" t="s">
        <v>863</v>
      </c>
      <c r="K879" t="s">
        <v>862</v>
      </c>
      <c r="L879">
        <v>1301</v>
      </c>
      <c r="N879">
        <v>1003</v>
      </c>
      <c r="O879" t="s">
        <v>270</v>
      </c>
      <c r="P879" t="s">
        <v>270</v>
      </c>
      <c r="Q879">
        <v>1</v>
      </c>
      <c r="W879">
        <v>0</v>
      </c>
      <c r="X879">
        <v>846456849</v>
      </c>
      <c r="Y879">
        <f t="shared" si="406"/>
        <v>15</v>
      </c>
      <c r="AA879">
        <v>6.29</v>
      </c>
      <c r="AB879">
        <v>0</v>
      </c>
      <c r="AC879">
        <v>0</v>
      </c>
      <c r="AD879">
        <v>0</v>
      </c>
      <c r="AE879">
        <v>6.29</v>
      </c>
      <c r="AF879">
        <v>0</v>
      </c>
      <c r="AG879">
        <v>0</v>
      </c>
      <c r="AH879">
        <v>0</v>
      </c>
      <c r="AI879">
        <v>1</v>
      </c>
      <c r="AJ879">
        <v>1</v>
      </c>
      <c r="AK879">
        <v>1</v>
      </c>
      <c r="AL879">
        <v>1</v>
      </c>
      <c r="AN879">
        <v>0</v>
      </c>
      <c r="AO879">
        <v>0</v>
      </c>
      <c r="AP879">
        <v>0</v>
      </c>
      <c r="AQ879">
        <v>0</v>
      </c>
      <c r="AR879">
        <v>0</v>
      </c>
      <c r="AS879" t="s">
        <v>3</v>
      </c>
      <c r="AT879">
        <v>15</v>
      </c>
      <c r="AU879" t="s">
        <v>3</v>
      </c>
      <c r="AV879">
        <v>0</v>
      </c>
      <c r="AW879">
        <v>1</v>
      </c>
      <c r="AX879">
        <v>-1</v>
      </c>
      <c r="AY879">
        <v>0</v>
      </c>
      <c r="AZ879">
        <v>0</v>
      </c>
      <c r="BA879" t="s">
        <v>3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0</v>
      </c>
      <c r="BR879">
        <v>0</v>
      </c>
      <c r="BS879">
        <v>0</v>
      </c>
      <c r="BT879">
        <v>0</v>
      </c>
      <c r="BU879">
        <v>0</v>
      </c>
      <c r="BV879">
        <v>0</v>
      </c>
      <c r="BW879">
        <v>0</v>
      </c>
      <c r="CX879">
        <f>ROUND(Y879*Source!I1062,9)</f>
        <v>24</v>
      </c>
      <c r="CY879">
        <f t="shared" si="407"/>
        <v>6.29</v>
      </c>
      <c r="CZ879">
        <f t="shared" si="408"/>
        <v>6.29</v>
      </c>
      <c r="DA879">
        <f t="shared" si="409"/>
        <v>1</v>
      </c>
      <c r="DB879">
        <f t="shared" si="410"/>
        <v>94.35</v>
      </c>
      <c r="DC879">
        <f t="shared" si="411"/>
        <v>0</v>
      </c>
      <c r="DD879" t="s">
        <v>3</v>
      </c>
      <c r="DE879" t="s">
        <v>3</v>
      </c>
      <c r="DF879">
        <f t="shared" si="405"/>
        <v>150.96</v>
      </c>
      <c r="DG879">
        <f t="shared" si="402"/>
        <v>0</v>
      </c>
      <c r="DH879">
        <f t="shared" si="403"/>
        <v>0</v>
      </c>
      <c r="DI879">
        <f t="shared" si="387"/>
        <v>0</v>
      </c>
      <c r="DJ879">
        <f t="shared" si="412"/>
        <v>150.96</v>
      </c>
      <c r="DK879">
        <v>0</v>
      </c>
    </row>
    <row r="880" spans="1:115" x14ac:dyDescent="0.2">
      <c r="A880">
        <f>ROW(Source!A1062)</f>
        <v>1062</v>
      </c>
      <c r="B880">
        <v>129761636</v>
      </c>
      <c r="C880">
        <v>129764233</v>
      </c>
      <c r="D880">
        <v>37367082</v>
      </c>
      <c r="E880">
        <v>37345137</v>
      </c>
      <c r="F880">
        <v>1</v>
      </c>
      <c r="G880">
        <v>37345137</v>
      </c>
      <c r="H880">
        <v>3</v>
      </c>
      <c r="I880" t="s">
        <v>1136</v>
      </c>
      <c r="J880" t="s">
        <v>3</v>
      </c>
      <c r="K880" t="s">
        <v>1137</v>
      </c>
      <c r="L880">
        <v>1344</v>
      </c>
      <c r="N880">
        <v>1008</v>
      </c>
      <c r="O880" t="s">
        <v>1138</v>
      </c>
      <c r="P880" t="s">
        <v>1138</v>
      </c>
      <c r="Q880">
        <v>1</v>
      </c>
      <c r="W880">
        <v>0</v>
      </c>
      <c r="X880">
        <v>-94250534</v>
      </c>
      <c r="Y880">
        <f t="shared" si="406"/>
        <v>5</v>
      </c>
      <c r="AA880">
        <v>1</v>
      </c>
      <c r="AB880">
        <v>0</v>
      </c>
      <c r="AC880">
        <v>0</v>
      </c>
      <c r="AD880">
        <v>0</v>
      </c>
      <c r="AE880">
        <v>1</v>
      </c>
      <c r="AF880">
        <v>0</v>
      </c>
      <c r="AG880">
        <v>0</v>
      </c>
      <c r="AH880">
        <v>0</v>
      </c>
      <c r="AI880">
        <v>1</v>
      </c>
      <c r="AJ880">
        <v>1</v>
      </c>
      <c r="AK880">
        <v>1</v>
      </c>
      <c r="AL880">
        <v>1</v>
      </c>
      <c r="AN880">
        <v>0</v>
      </c>
      <c r="AO880">
        <v>1</v>
      </c>
      <c r="AP880">
        <v>0</v>
      </c>
      <c r="AQ880">
        <v>0</v>
      </c>
      <c r="AR880">
        <v>0</v>
      </c>
      <c r="AS880" t="s">
        <v>3</v>
      </c>
      <c r="AT880">
        <v>5</v>
      </c>
      <c r="AU880" t="s">
        <v>3</v>
      </c>
      <c r="AV880">
        <v>0</v>
      </c>
      <c r="AW880">
        <v>2</v>
      </c>
      <c r="AX880">
        <v>129764250</v>
      </c>
      <c r="AY880">
        <v>1</v>
      </c>
      <c r="AZ880">
        <v>0</v>
      </c>
      <c r="BA880">
        <v>849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0</v>
      </c>
      <c r="BR880">
        <v>0</v>
      </c>
      <c r="BS880">
        <v>0</v>
      </c>
      <c r="BT880">
        <v>0</v>
      </c>
      <c r="BU880">
        <v>0</v>
      </c>
      <c r="BV880">
        <v>0</v>
      </c>
      <c r="BW880">
        <v>0</v>
      </c>
      <c r="CX880">
        <f>ROUND(Y880*Source!I1062,9)</f>
        <v>8</v>
      </c>
      <c r="CY880">
        <f t="shared" si="407"/>
        <v>1</v>
      </c>
      <c r="CZ880">
        <f t="shared" si="408"/>
        <v>1</v>
      </c>
      <c r="DA880">
        <f t="shared" si="409"/>
        <v>1</v>
      </c>
      <c r="DB880">
        <f t="shared" si="410"/>
        <v>5</v>
      </c>
      <c r="DC880">
        <f t="shared" si="411"/>
        <v>0</v>
      </c>
      <c r="DD880" t="s">
        <v>3</v>
      </c>
      <c r="DE880" t="s">
        <v>3</v>
      </c>
      <c r="DF880">
        <f t="shared" si="405"/>
        <v>8</v>
      </c>
      <c r="DG880">
        <f t="shared" si="402"/>
        <v>0</v>
      </c>
      <c r="DH880">
        <f t="shared" si="403"/>
        <v>0</v>
      </c>
      <c r="DI880">
        <f t="shared" si="387"/>
        <v>0</v>
      </c>
      <c r="DJ880">
        <f t="shared" si="412"/>
        <v>8</v>
      </c>
      <c r="DK880">
        <v>0</v>
      </c>
    </row>
    <row r="881" spans="1:115" x14ac:dyDescent="0.2">
      <c r="A881">
        <f>ROW(Source!A1063)</f>
        <v>1063</v>
      </c>
      <c r="B881">
        <v>129761633</v>
      </c>
      <c r="C881">
        <v>129764233</v>
      </c>
      <c r="D881">
        <v>37345142</v>
      </c>
      <c r="E881">
        <v>37345137</v>
      </c>
      <c r="F881">
        <v>1</v>
      </c>
      <c r="G881">
        <v>37345137</v>
      </c>
      <c r="H881">
        <v>1</v>
      </c>
      <c r="I881" t="s">
        <v>1096</v>
      </c>
      <c r="J881" t="s">
        <v>3</v>
      </c>
      <c r="K881" t="s">
        <v>1097</v>
      </c>
      <c r="L881">
        <v>1191</v>
      </c>
      <c r="N881">
        <v>1013</v>
      </c>
      <c r="O881" t="s">
        <v>1098</v>
      </c>
      <c r="P881" t="s">
        <v>1098</v>
      </c>
      <c r="Q881">
        <v>1</v>
      </c>
      <c r="W881">
        <v>0</v>
      </c>
      <c r="X881">
        <v>476480486</v>
      </c>
      <c r="Y881">
        <f>(AT881*1.15)</f>
        <v>2.5299999999999998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1</v>
      </c>
      <c r="AJ881">
        <v>1</v>
      </c>
      <c r="AK881">
        <v>1</v>
      </c>
      <c r="AL881">
        <v>1</v>
      </c>
      <c r="AN881">
        <v>0</v>
      </c>
      <c r="AO881">
        <v>1</v>
      </c>
      <c r="AP881">
        <v>1</v>
      </c>
      <c r="AQ881">
        <v>0</v>
      </c>
      <c r="AR881">
        <v>0</v>
      </c>
      <c r="AS881" t="s">
        <v>3</v>
      </c>
      <c r="AT881">
        <v>2.2000000000000002</v>
      </c>
      <c r="AU881" t="s">
        <v>87</v>
      </c>
      <c r="AV881">
        <v>1</v>
      </c>
      <c r="AW881">
        <v>2</v>
      </c>
      <c r="AX881">
        <v>129764242</v>
      </c>
      <c r="AY881">
        <v>1</v>
      </c>
      <c r="AZ881">
        <v>0</v>
      </c>
      <c r="BA881">
        <v>850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0</v>
      </c>
      <c r="BP881">
        <v>0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0</v>
      </c>
      <c r="BW881">
        <v>0</v>
      </c>
      <c r="CX881">
        <f>ROUND(Y881*Source!I1063,9)</f>
        <v>4.048</v>
      </c>
      <c r="CY881">
        <f>AD881</f>
        <v>0</v>
      </c>
      <c r="CZ881">
        <f>AH881</f>
        <v>0</v>
      </c>
      <c r="DA881">
        <f>AL881</f>
        <v>1</v>
      </c>
      <c r="DB881">
        <f>ROUND((ROUND(AT881*CZ881,2)*1.15),6)</f>
        <v>0</v>
      </c>
      <c r="DC881">
        <f>ROUND((ROUND(AT881*AG881,2)*1.15),6)</f>
        <v>0</v>
      </c>
      <c r="DD881" t="s">
        <v>3</v>
      </c>
      <c r="DE881" t="s">
        <v>3</v>
      </c>
      <c r="DF881">
        <f t="shared" si="405"/>
        <v>0</v>
      </c>
      <c r="DG881">
        <f t="shared" si="402"/>
        <v>0</v>
      </c>
      <c r="DH881">
        <f t="shared" si="403"/>
        <v>0</v>
      </c>
      <c r="DI881">
        <f t="shared" si="387"/>
        <v>0</v>
      </c>
      <c r="DJ881">
        <f>DI881</f>
        <v>0</v>
      </c>
      <c r="DK881">
        <v>0</v>
      </c>
    </row>
    <row r="882" spans="1:115" x14ac:dyDescent="0.2">
      <c r="A882">
        <f>ROW(Source!A1063)</f>
        <v>1063</v>
      </c>
      <c r="B882">
        <v>129761633</v>
      </c>
      <c r="C882">
        <v>129764233</v>
      </c>
      <c r="D882">
        <v>37345890</v>
      </c>
      <c r="E882">
        <v>37345137</v>
      </c>
      <c r="F882">
        <v>1</v>
      </c>
      <c r="G882">
        <v>37345137</v>
      </c>
      <c r="H882">
        <v>2</v>
      </c>
      <c r="I882" t="s">
        <v>1145</v>
      </c>
      <c r="J882" t="s">
        <v>3</v>
      </c>
      <c r="K882" t="s">
        <v>1146</v>
      </c>
      <c r="L882">
        <v>1344</v>
      </c>
      <c r="N882">
        <v>1008</v>
      </c>
      <c r="O882" t="s">
        <v>1138</v>
      </c>
      <c r="P882" t="s">
        <v>1138</v>
      </c>
      <c r="Q882">
        <v>1</v>
      </c>
      <c r="W882">
        <v>0</v>
      </c>
      <c r="X882">
        <v>-1180195794</v>
      </c>
      <c r="Y882">
        <f>(AT882*1.25)</f>
        <v>16.5</v>
      </c>
      <c r="AA882">
        <v>0</v>
      </c>
      <c r="AB882">
        <v>1.05</v>
      </c>
      <c r="AC882">
        <v>0</v>
      </c>
      <c r="AD882">
        <v>0</v>
      </c>
      <c r="AE882">
        <v>0</v>
      </c>
      <c r="AF882">
        <v>1</v>
      </c>
      <c r="AG882">
        <v>0</v>
      </c>
      <c r="AH882">
        <v>0</v>
      </c>
      <c r="AI882">
        <v>1</v>
      </c>
      <c r="AJ882">
        <v>1</v>
      </c>
      <c r="AK882">
        <v>1</v>
      </c>
      <c r="AL882">
        <v>1</v>
      </c>
      <c r="AN882">
        <v>0</v>
      </c>
      <c r="AO882">
        <v>1</v>
      </c>
      <c r="AP882">
        <v>1</v>
      </c>
      <c r="AQ882">
        <v>0</v>
      </c>
      <c r="AR882">
        <v>0</v>
      </c>
      <c r="AS882" t="s">
        <v>3</v>
      </c>
      <c r="AT882">
        <v>13.2</v>
      </c>
      <c r="AU882" t="s">
        <v>86</v>
      </c>
      <c r="AV882">
        <v>0</v>
      </c>
      <c r="AW882">
        <v>2</v>
      </c>
      <c r="AX882">
        <v>129764243</v>
      </c>
      <c r="AY882">
        <v>1</v>
      </c>
      <c r="AZ882">
        <v>0</v>
      </c>
      <c r="BA882">
        <v>851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0</v>
      </c>
      <c r="BW882">
        <v>0</v>
      </c>
      <c r="CX882">
        <f>ROUND(Y882*Source!I1063,9)</f>
        <v>26.4</v>
      </c>
      <c r="CY882">
        <f>AB882</f>
        <v>1.05</v>
      </c>
      <c r="CZ882">
        <f>AF882</f>
        <v>1</v>
      </c>
      <c r="DA882">
        <f>AJ882</f>
        <v>1</v>
      </c>
      <c r="DB882">
        <f>ROUND((ROUND(AT882*CZ882,2)*1.25),6)</f>
        <v>16.5</v>
      </c>
      <c r="DC882">
        <f>ROUND((ROUND(AT882*AG882,2)*1.25),6)</f>
        <v>0</v>
      </c>
      <c r="DD882" t="s">
        <v>3</v>
      </c>
      <c r="DE882" t="s">
        <v>3</v>
      </c>
      <c r="DF882">
        <f t="shared" si="405"/>
        <v>0</v>
      </c>
      <c r="DG882">
        <f t="shared" si="402"/>
        <v>26.4</v>
      </c>
      <c r="DH882">
        <f t="shared" si="403"/>
        <v>0</v>
      </c>
      <c r="DI882">
        <f t="shared" si="387"/>
        <v>0</v>
      </c>
      <c r="DJ882">
        <f>DG882</f>
        <v>26.4</v>
      </c>
      <c r="DK882">
        <v>0</v>
      </c>
    </row>
    <row r="883" spans="1:115" x14ac:dyDescent="0.2">
      <c r="A883">
        <f>ROW(Source!A1063)</f>
        <v>1063</v>
      </c>
      <c r="B883">
        <v>129761633</v>
      </c>
      <c r="C883">
        <v>129764233</v>
      </c>
      <c r="D883">
        <v>37396185</v>
      </c>
      <c r="E883">
        <v>1</v>
      </c>
      <c r="F883">
        <v>1</v>
      </c>
      <c r="G883">
        <v>37345137</v>
      </c>
      <c r="H883">
        <v>3</v>
      </c>
      <c r="I883" t="s">
        <v>865</v>
      </c>
      <c r="J883" t="s">
        <v>866</v>
      </c>
      <c r="K883" t="s">
        <v>1569</v>
      </c>
      <c r="L883">
        <v>1301</v>
      </c>
      <c r="N883">
        <v>1003</v>
      </c>
      <c r="O883" t="s">
        <v>270</v>
      </c>
      <c r="P883" t="s">
        <v>270</v>
      </c>
      <c r="Q883">
        <v>1</v>
      </c>
      <c r="W883">
        <v>0</v>
      </c>
      <c r="X883">
        <v>-1102853522</v>
      </c>
      <c r="Y883">
        <f t="shared" ref="Y883:Y888" si="413">AT883</f>
        <v>10.5</v>
      </c>
      <c r="AA883">
        <v>24.87</v>
      </c>
      <c r="AB883">
        <v>0</v>
      </c>
      <c r="AC883">
        <v>0</v>
      </c>
      <c r="AD883">
        <v>0</v>
      </c>
      <c r="AE883">
        <v>4.9000000000000004</v>
      </c>
      <c r="AF883">
        <v>0</v>
      </c>
      <c r="AG883">
        <v>0</v>
      </c>
      <c r="AH883">
        <v>0</v>
      </c>
      <c r="AI883">
        <v>4.9800000000000004</v>
      </c>
      <c r="AJ883">
        <v>1</v>
      </c>
      <c r="AK883">
        <v>1</v>
      </c>
      <c r="AL883">
        <v>1</v>
      </c>
      <c r="AN883">
        <v>0</v>
      </c>
      <c r="AO883">
        <v>0</v>
      </c>
      <c r="AP883">
        <v>0</v>
      </c>
      <c r="AQ883">
        <v>0</v>
      </c>
      <c r="AR883">
        <v>0</v>
      </c>
      <c r="AS883" t="s">
        <v>3</v>
      </c>
      <c r="AT883">
        <v>10.5</v>
      </c>
      <c r="AU883" t="s">
        <v>3</v>
      </c>
      <c r="AV883">
        <v>0</v>
      </c>
      <c r="AW883">
        <v>1</v>
      </c>
      <c r="AX883">
        <v>-1</v>
      </c>
      <c r="AY883">
        <v>0</v>
      </c>
      <c r="AZ883">
        <v>0</v>
      </c>
      <c r="BA883" t="s">
        <v>3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0</v>
      </c>
      <c r="BW883">
        <v>0</v>
      </c>
      <c r="CX883">
        <f>ROUND(Y883*Source!I1063,9)</f>
        <v>16.8</v>
      </c>
      <c r="CY883">
        <f t="shared" ref="CY883:CY888" si="414">AA883</f>
        <v>24.87</v>
      </c>
      <c r="CZ883">
        <f t="shared" ref="CZ883:CZ888" si="415">AE883</f>
        <v>4.9000000000000004</v>
      </c>
      <c r="DA883">
        <f t="shared" ref="DA883:DA888" si="416">AI883</f>
        <v>4.9800000000000004</v>
      </c>
      <c r="DB883">
        <f t="shared" ref="DB883:DB888" si="417">ROUND(ROUND(AT883*CZ883,2),6)</f>
        <v>51.45</v>
      </c>
      <c r="DC883">
        <f t="shared" ref="DC883:DC888" si="418">ROUND(ROUND(AT883*AG883,2),6)</f>
        <v>0</v>
      </c>
      <c r="DD883" t="s">
        <v>3</v>
      </c>
      <c r="DE883" t="s">
        <v>3</v>
      </c>
      <c r="DF883">
        <f t="shared" ref="DF883:DF888" si="419">ROUND(ROUND(AE883*CX883,2)*AI883,2)</f>
        <v>409.95</v>
      </c>
      <c r="DG883">
        <f t="shared" si="402"/>
        <v>0</v>
      </c>
      <c r="DH883">
        <f t="shared" si="403"/>
        <v>0</v>
      </c>
      <c r="DI883">
        <f t="shared" si="387"/>
        <v>0</v>
      </c>
      <c r="DJ883">
        <f t="shared" ref="DJ883:DJ888" si="420">DF883</f>
        <v>409.95</v>
      </c>
      <c r="DK883">
        <v>0</v>
      </c>
    </row>
    <row r="884" spans="1:115" x14ac:dyDescent="0.2">
      <c r="A884">
        <f>ROW(Source!A1063)</f>
        <v>1063</v>
      </c>
      <c r="B884">
        <v>129761633</v>
      </c>
      <c r="C884">
        <v>129764233</v>
      </c>
      <c r="D884">
        <v>37393806</v>
      </c>
      <c r="E884">
        <v>1</v>
      </c>
      <c r="F884">
        <v>1</v>
      </c>
      <c r="G884">
        <v>37345137</v>
      </c>
      <c r="H884">
        <v>3</v>
      </c>
      <c r="I884" t="s">
        <v>868</v>
      </c>
      <c r="J884" t="s">
        <v>871</v>
      </c>
      <c r="K884" t="s">
        <v>869</v>
      </c>
      <c r="L884">
        <v>1296</v>
      </c>
      <c r="N884">
        <v>1002</v>
      </c>
      <c r="O884" t="s">
        <v>870</v>
      </c>
      <c r="P884" t="s">
        <v>870</v>
      </c>
      <c r="Q884">
        <v>1</v>
      </c>
      <c r="W884">
        <v>0</v>
      </c>
      <c r="X884">
        <v>1055545440</v>
      </c>
      <c r="Y884">
        <f t="shared" si="413"/>
        <v>0.125</v>
      </c>
      <c r="AA884">
        <v>968.87</v>
      </c>
      <c r="AB884">
        <v>0</v>
      </c>
      <c r="AC884">
        <v>0</v>
      </c>
      <c r="AD884">
        <v>0</v>
      </c>
      <c r="AE884">
        <v>144.94</v>
      </c>
      <c r="AF884">
        <v>0</v>
      </c>
      <c r="AG884">
        <v>0</v>
      </c>
      <c r="AH884">
        <v>0</v>
      </c>
      <c r="AI884">
        <v>6.56</v>
      </c>
      <c r="AJ884">
        <v>1</v>
      </c>
      <c r="AK884">
        <v>1</v>
      </c>
      <c r="AL884">
        <v>1</v>
      </c>
      <c r="AN884">
        <v>0</v>
      </c>
      <c r="AO884">
        <v>0</v>
      </c>
      <c r="AP884">
        <v>0</v>
      </c>
      <c r="AQ884">
        <v>0</v>
      </c>
      <c r="AR884">
        <v>0</v>
      </c>
      <c r="AS884" t="s">
        <v>3</v>
      </c>
      <c r="AT884">
        <v>0.125</v>
      </c>
      <c r="AU884" t="s">
        <v>3</v>
      </c>
      <c r="AV884">
        <v>0</v>
      </c>
      <c r="AW884">
        <v>1</v>
      </c>
      <c r="AX884">
        <v>-1</v>
      </c>
      <c r="AY884">
        <v>0</v>
      </c>
      <c r="AZ884">
        <v>0</v>
      </c>
      <c r="BA884" t="s">
        <v>3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  <c r="BR884">
        <v>0</v>
      </c>
      <c r="BS884">
        <v>0</v>
      </c>
      <c r="BT884">
        <v>0</v>
      </c>
      <c r="BU884">
        <v>0</v>
      </c>
      <c r="BV884">
        <v>0</v>
      </c>
      <c r="BW884">
        <v>0</v>
      </c>
      <c r="CX884">
        <f>ROUND(Y884*Source!I1063,9)</f>
        <v>0.2</v>
      </c>
      <c r="CY884">
        <f t="shared" si="414"/>
        <v>968.87</v>
      </c>
      <c r="CZ884">
        <f t="shared" si="415"/>
        <v>144.94</v>
      </c>
      <c r="DA884">
        <f t="shared" si="416"/>
        <v>6.56</v>
      </c>
      <c r="DB884">
        <f t="shared" si="417"/>
        <v>18.12</v>
      </c>
      <c r="DC884">
        <f t="shared" si="418"/>
        <v>0</v>
      </c>
      <c r="DD884" t="s">
        <v>3</v>
      </c>
      <c r="DE884" t="s">
        <v>3</v>
      </c>
      <c r="DF884">
        <f t="shared" si="419"/>
        <v>190.17</v>
      </c>
      <c r="DG884">
        <f t="shared" si="402"/>
        <v>0</v>
      </c>
      <c r="DH884">
        <f t="shared" si="403"/>
        <v>0</v>
      </c>
      <c r="DI884">
        <f t="shared" si="387"/>
        <v>0</v>
      </c>
      <c r="DJ884">
        <f t="shared" si="420"/>
        <v>190.17</v>
      </c>
      <c r="DK884">
        <v>0</v>
      </c>
    </row>
    <row r="885" spans="1:115" x14ac:dyDescent="0.2">
      <c r="A885">
        <f>ROW(Source!A1063)</f>
        <v>1063</v>
      </c>
      <c r="B885">
        <v>129761633</v>
      </c>
      <c r="C885">
        <v>129764233</v>
      </c>
      <c r="D885">
        <v>37393825</v>
      </c>
      <c r="E885">
        <v>1</v>
      </c>
      <c r="F885">
        <v>1</v>
      </c>
      <c r="G885">
        <v>37345137</v>
      </c>
      <c r="H885">
        <v>3</v>
      </c>
      <c r="I885" t="s">
        <v>1368</v>
      </c>
      <c r="J885" t="s">
        <v>1369</v>
      </c>
      <c r="K885" t="s">
        <v>1370</v>
      </c>
      <c r="L885">
        <v>1354</v>
      </c>
      <c r="N885">
        <v>1010</v>
      </c>
      <c r="O885" t="s">
        <v>250</v>
      </c>
      <c r="P885" t="s">
        <v>250</v>
      </c>
      <c r="Q885">
        <v>1</v>
      </c>
      <c r="W885">
        <v>0</v>
      </c>
      <c r="X885">
        <v>-799916466</v>
      </c>
      <c r="Y885">
        <f t="shared" si="413"/>
        <v>30</v>
      </c>
      <c r="AA885">
        <v>2.3199999999999998</v>
      </c>
      <c r="AB885">
        <v>0</v>
      </c>
      <c r="AC885">
        <v>0</v>
      </c>
      <c r="AD885">
        <v>0</v>
      </c>
      <c r="AE885">
        <v>0.75</v>
      </c>
      <c r="AF885">
        <v>0</v>
      </c>
      <c r="AG885">
        <v>0</v>
      </c>
      <c r="AH885">
        <v>0</v>
      </c>
      <c r="AI885">
        <v>3.04</v>
      </c>
      <c r="AJ885">
        <v>1</v>
      </c>
      <c r="AK885">
        <v>1</v>
      </c>
      <c r="AL885">
        <v>1</v>
      </c>
      <c r="AN885">
        <v>0</v>
      </c>
      <c r="AO885">
        <v>1</v>
      </c>
      <c r="AP885">
        <v>0</v>
      </c>
      <c r="AQ885">
        <v>0</v>
      </c>
      <c r="AR885">
        <v>0</v>
      </c>
      <c r="AS885" t="s">
        <v>3</v>
      </c>
      <c r="AT885">
        <v>30</v>
      </c>
      <c r="AU885" t="s">
        <v>3</v>
      </c>
      <c r="AV885">
        <v>0</v>
      </c>
      <c r="AW885">
        <v>2</v>
      </c>
      <c r="AX885">
        <v>129764244</v>
      </c>
      <c r="AY885">
        <v>1</v>
      </c>
      <c r="AZ885">
        <v>0</v>
      </c>
      <c r="BA885">
        <v>852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0</v>
      </c>
      <c r="BR885">
        <v>0</v>
      </c>
      <c r="BS885">
        <v>0</v>
      </c>
      <c r="BT885">
        <v>0</v>
      </c>
      <c r="BU885">
        <v>0</v>
      </c>
      <c r="BV885">
        <v>0</v>
      </c>
      <c r="BW885">
        <v>0</v>
      </c>
      <c r="CX885">
        <f>ROUND(Y885*Source!I1063,9)</f>
        <v>48</v>
      </c>
      <c r="CY885">
        <f t="shared" si="414"/>
        <v>2.3199999999999998</v>
      </c>
      <c r="CZ885">
        <f t="shared" si="415"/>
        <v>0.75</v>
      </c>
      <c r="DA885">
        <f t="shared" si="416"/>
        <v>3.04</v>
      </c>
      <c r="DB885">
        <f t="shared" si="417"/>
        <v>22.5</v>
      </c>
      <c r="DC885">
        <f t="shared" si="418"/>
        <v>0</v>
      </c>
      <c r="DD885" t="s">
        <v>3</v>
      </c>
      <c r="DE885" t="s">
        <v>3</v>
      </c>
      <c r="DF885">
        <f t="shared" si="419"/>
        <v>109.44</v>
      </c>
      <c r="DG885">
        <f t="shared" si="402"/>
        <v>0</v>
      </c>
      <c r="DH885">
        <f t="shared" si="403"/>
        <v>0</v>
      </c>
      <c r="DI885">
        <f t="shared" si="387"/>
        <v>0</v>
      </c>
      <c r="DJ885">
        <f t="shared" si="420"/>
        <v>109.44</v>
      </c>
      <c r="DK885">
        <v>0</v>
      </c>
    </row>
    <row r="886" spans="1:115" x14ac:dyDescent="0.2">
      <c r="A886">
        <f>ROW(Source!A1063)</f>
        <v>1063</v>
      </c>
      <c r="B886">
        <v>129761633</v>
      </c>
      <c r="C886">
        <v>129764233</v>
      </c>
      <c r="D886">
        <v>37393880</v>
      </c>
      <c r="E886">
        <v>1</v>
      </c>
      <c r="F886">
        <v>1</v>
      </c>
      <c r="G886">
        <v>37345137</v>
      </c>
      <c r="H886">
        <v>3</v>
      </c>
      <c r="I886" t="s">
        <v>1371</v>
      </c>
      <c r="J886" t="s">
        <v>1372</v>
      </c>
      <c r="K886" t="s">
        <v>1373</v>
      </c>
      <c r="L886">
        <v>1296</v>
      </c>
      <c r="N886">
        <v>1002</v>
      </c>
      <c r="O886" t="s">
        <v>870</v>
      </c>
      <c r="P886" t="s">
        <v>870</v>
      </c>
      <c r="Q886">
        <v>1</v>
      </c>
      <c r="W886">
        <v>0</v>
      </c>
      <c r="X886">
        <v>-61452450</v>
      </c>
      <c r="Y886">
        <f t="shared" si="413"/>
        <v>0.93</v>
      </c>
      <c r="AA886">
        <v>1077.8900000000001</v>
      </c>
      <c r="AB886">
        <v>0</v>
      </c>
      <c r="AC886">
        <v>0</v>
      </c>
      <c r="AD886">
        <v>0</v>
      </c>
      <c r="AE886">
        <v>34.75</v>
      </c>
      <c r="AF886">
        <v>0</v>
      </c>
      <c r="AG886">
        <v>0</v>
      </c>
      <c r="AH886">
        <v>0</v>
      </c>
      <c r="AI886">
        <v>30.44</v>
      </c>
      <c r="AJ886">
        <v>1</v>
      </c>
      <c r="AK886">
        <v>1</v>
      </c>
      <c r="AL886">
        <v>1</v>
      </c>
      <c r="AN886">
        <v>0</v>
      </c>
      <c r="AO886">
        <v>1</v>
      </c>
      <c r="AP886">
        <v>0</v>
      </c>
      <c r="AQ886">
        <v>0</v>
      </c>
      <c r="AR886">
        <v>0</v>
      </c>
      <c r="AS886" t="s">
        <v>3</v>
      </c>
      <c r="AT886">
        <v>0.93</v>
      </c>
      <c r="AU886" t="s">
        <v>3</v>
      </c>
      <c r="AV886">
        <v>0</v>
      </c>
      <c r="AW886">
        <v>2</v>
      </c>
      <c r="AX886">
        <v>129764245</v>
      </c>
      <c r="AY886">
        <v>1</v>
      </c>
      <c r="AZ886">
        <v>0</v>
      </c>
      <c r="BA886">
        <v>853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0</v>
      </c>
      <c r="BR886">
        <v>0</v>
      </c>
      <c r="BS886">
        <v>0</v>
      </c>
      <c r="BT886">
        <v>0</v>
      </c>
      <c r="BU886">
        <v>0</v>
      </c>
      <c r="BV886">
        <v>0</v>
      </c>
      <c r="BW886">
        <v>0</v>
      </c>
      <c r="CX886">
        <f>ROUND(Y886*Source!I1063,9)</f>
        <v>1.488</v>
      </c>
      <c r="CY886">
        <f t="shared" si="414"/>
        <v>1077.8900000000001</v>
      </c>
      <c r="CZ886">
        <f t="shared" si="415"/>
        <v>34.75</v>
      </c>
      <c r="DA886">
        <f t="shared" si="416"/>
        <v>30.44</v>
      </c>
      <c r="DB886">
        <f t="shared" si="417"/>
        <v>32.32</v>
      </c>
      <c r="DC886">
        <f t="shared" si="418"/>
        <v>0</v>
      </c>
      <c r="DD886" t="s">
        <v>3</v>
      </c>
      <c r="DE886" t="s">
        <v>3</v>
      </c>
      <c r="DF886">
        <f t="shared" si="419"/>
        <v>1574.05</v>
      </c>
      <c r="DG886">
        <f t="shared" si="402"/>
        <v>0</v>
      </c>
      <c r="DH886">
        <f t="shared" si="403"/>
        <v>0</v>
      </c>
      <c r="DI886">
        <f t="shared" si="387"/>
        <v>0</v>
      </c>
      <c r="DJ886">
        <f t="shared" si="420"/>
        <v>1574.05</v>
      </c>
      <c r="DK886">
        <v>0</v>
      </c>
    </row>
    <row r="887" spans="1:115" x14ac:dyDescent="0.2">
      <c r="A887">
        <f>ROW(Source!A1063)</f>
        <v>1063</v>
      </c>
      <c r="B887">
        <v>129761633</v>
      </c>
      <c r="C887">
        <v>129764233</v>
      </c>
      <c r="D887">
        <v>37393917</v>
      </c>
      <c r="E887">
        <v>1</v>
      </c>
      <c r="F887">
        <v>1</v>
      </c>
      <c r="G887">
        <v>37345137</v>
      </c>
      <c r="H887">
        <v>3</v>
      </c>
      <c r="I887" t="s">
        <v>861</v>
      </c>
      <c r="J887" t="s">
        <v>863</v>
      </c>
      <c r="K887" t="s">
        <v>862</v>
      </c>
      <c r="L887">
        <v>1301</v>
      </c>
      <c r="N887">
        <v>1003</v>
      </c>
      <c r="O887" t="s">
        <v>270</v>
      </c>
      <c r="P887" t="s">
        <v>270</v>
      </c>
      <c r="Q887">
        <v>1</v>
      </c>
      <c r="W887">
        <v>0</v>
      </c>
      <c r="X887">
        <v>846456849</v>
      </c>
      <c r="Y887">
        <f t="shared" si="413"/>
        <v>15</v>
      </c>
      <c r="AA887">
        <v>53.71</v>
      </c>
      <c r="AB887">
        <v>0</v>
      </c>
      <c r="AC887">
        <v>0</v>
      </c>
      <c r="AD887">
        <v>0</v>
      </c>
      <c r="AE887">
        <v>6.29</v>
      </c>
      <c r="AF887">
        <v>0</v>
      </c>
      <c r="AG887">
        <v>0</v>
      </c>
      <c r="AH887">
        <v>0</v>
      </c>
      <c r="AI887">
        <v>8.3800000000000008</v>
      </c>
      <c r="AJ887">
        <v>1</v>
      </c>
      <c r="AK887">
        <v>1</v>
      </c>
      <c r="AL887">
        <v>1</v>
      </c>
      <c r="AN887">
        <v>0</v>
      </c>
      <c r="AO887">
        <v>0</v>
      </c>
      <c r="AP887">
        <v>0</v>
      </c>
      <c r="AQ887">
        <v>0</v>
      </c>
      <c r="AR887">
        <v>0</v>
      </c>
      <c r="AS887" t="s">
        <v>3</v>
      </c>
      <c r="AT887">
        <v>15</v>
      </c>
      <c r="AU887" t="s">
        <v>3</v>
      </c>
      <c r="AV887">
        <v>0</v>
      </c>
      <c r="AW887">
        <v>1</v>
      </c>
      <c r="AX887">
        <v>-1</v>
      </c>
      <c r="AY887">
        <v>0</v>
      </c>
      <c r="AZ887">
        <v>0</v>
      </c>
      <c r="BA887" t="s">
        <v>3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0</v>
      </c>
      <c r="BR887">
        <v>0</v>
      </c>
      <c r="BS887">
        <v>0</v>
      </c>
      <c r="BT887">
        <v>0</v>
      </c>
      <c r="BU887">
        <v>0</v>
      </c>
      <c r="BV887">
        <v>0</v>
      </c>
      <c r="BW887">
        <v>0</v>
      </c>
      <c r="CX887">
        <f>ROUND(Y887*Source!I1063,9)</f>
        <v>24</v>
      </c>
      <c r="CY887">
        <f t="shared" si="414"/>
        <v>53.71</v>
      </c>
      <c r="CZ887">
        <f t="shared" si="415"/>
        <v>6.29</v>
      </c>
      <c r="DA887">
        <f t="shared" si="416"/>
        <v>8.3800000000000008</v>
      </c>
      <c r="DB887">
        <f t="shared" si="417"/>
        <v>94.35</v>
      </c>
      <c r="DC887">
        <f t="shared" si="418"/>
        <v>0</v>
      </c>
      <c r="DD887" t="s">
        <v>3</v>
      </c>
      <c r="DE887" t="s">
        <v>3</v>
      </c>
      <c r="DF887">
        <f t="shared" si="419"/>
        <v>1265.04</v>
      </c>
      <c r="DG887">
        <f t="shared" si="402"/>
        <v>0</v>
      </c>
      <c r="DH887">
        <f t="shared" si="403"/>
        <v>0</v>
      </c>
      <c r="DI887">
        <f t="shared" si="387"/>
        <v>0</v>
      </c>
      <c r="DJ887">
        <f t="shared" si="420"/>
        <v>1265.04</v>
      </c>
      <c r="DK887">
        <v>0</v>
      </c>
    </row>
    <row r="888" spans="1:115" x14ac:dyDescent="0.2">
      <c r="A888">
        <f>ROW(Source!A1063)</f>
        <v>1063</v>
      </c>
      <c r="B888">
        <v>129761633</v>
      </c>
      <c r="C888">
        <v>129764233</v>
      </c>
      <c r="D888">
        <v>37367082</v>
      </c>
      <c r="E888">
        <v>37345137</v>
      </c>
      <c r="F888">
        <v>1</v>
      </c>
      <c r="G888">
        <v>37345137</v>
      </c>
      <c r="H888">
        <v>3</v>
      </c>
      <c r="I888" t="s">
        <v>1136</v>
      </c>
      <c r="J888" t="s">
        <v>3</v>
      </c>
      <c r="K888" t="s">
        <v>1137</v>
      </c>
      <c r="L888">
        <v>1344</v>
      </c>
      <c r="N888">
        <v>1008</v>
      </c>
      <c r="O888" t="s">
        <v>1138</v>
      </c>
      <c r="P888" t="s">
        <v>1138</v>
      </c>
      <c r="Q888">
        <v>1</v>
      </c>
      <c r="W888">
        <v>0</v>
      </c>
      <c r="X888">
        <v>-94250534</v>
      </c>
      <c r="Y888">
        <f t="shared" si="413"/>
        <v>5</v>
      </c>
      <c r="AA888">
        <v>8.81</v>
      </c>
      <c r="AB888">
        <v>0</v>
      </c>
      <c r="AC888">
        <v>0</v>
      </c>
      <c r="AD888">
        <v>0</v>
      </c>
      <c r="AE888">
        <v>1</v>
      </c>
      <c r="AF888">
        <v>0</v>
      </c>
      <c r="AG888">
        <v>0</v>
      </c>
      <c r="AH888">
        <v>0</v>
      </c>
      <c r="AI888">
        <v>8.65</v>
      </c>
      <c r="AJ888">
        <v>1</v>
      </c>
      <c r="AK888">
        <v>1</v>
      </c>
      <c r="AL888">
        <v>1</v>
      </c>
      <c r="AN888">
        <v>0</v>
      </c>
      <c r="AO888">
        <v>1</v>
      </c>
      <c r="AP888">
        <v>0</v>
      </c>
      <c r="AQ888">
        <v>0</v>
      </c>
      <c r="AR888">
        <v>0</v>
      </c>
      <c r="AS888" t="s">
        <v>3</v>
      </c>
      <c r="AT888">
        <v>5</v>
      </c>
      <c r="AU888" t="s">
        <v>3</v>
      </c>
      <c r="AV888">
        <v>0</v>
      </c>
      <c r="AW888">
        <v>2</v>
      </c>
      <c r="AX888">
        <v>129764250</v>
      </c>
      <c r="AY888">
        <v>1</v>
      </c>
      <c r="AZ888">
        <v>0</v>
      </c>
      <c r="BA888">
        <v>858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0</v>
      </c>
      <c r="BR888">
        <v>0</v>
      </c>
      <c r="BS888">
        <v>0</v>
      </c>
      <c r="BT888">
        <v>0</v>
      </c>
      <c r="BU888">
        <v>0</v>
      </c>
      <c r="BV888">
        <v>0</v>
      </c>
      <c r="BW888">
        <v>0</v>
      </c>
      <c r="CX888">
        <f>ROUND(Y888*Source!I1063,9)</f>
        <v>8</v>
      </c>
      <c r="CY888">
        <f t="shared" si="414"/>
        <v>8.81</v>
      </c>
      <c r="CZ888">
        <f t="shared" si="415"/>
        <v>1</v>
      </c>
      <c r="DA888">
        <f t="shared" si="416"/>
        <v>8.65</v>
      </c>
      <c r="DB888">
        <f t="shared" si="417"/>
        <v>5</v>
      </c>
      <c r="DC888">
        <f t="shared" si="418"/>
        <v>0</v>
      </c>
      <c r="DD888" t="s">
        <v>3</v>
      </c>
      <c r="DE888" t="s">
        <v>3</v>
      </c>
      <c r="DF888">
        <f t="shared" si="419"/>
        <v>69.2</v>
      </c>
      <c r="DG888">
        <f t="shared" ref="DG888:DG908" si="421">ROUND(AF888*CX888,2)</f>
        <v>0</v>
      </c>
      <c r="DH888">
        <f t="shared" ref="DH888:DH908" si="422">ROUND(AG888*CX888,2)</f>
        <v>0</v>
      </c>
      <c r="DI888">
        <f t="shared" si="387"/>
        <v>0</v>
      </c>
      <c r="DJ888">
        <f t="shared" si="420"/>
        <v>69.2</v>
      </c>
      <c r="DK888">
        <v>0</v>
      </c>
    </row>
    <row r="889" spans="1:115" x14ac:dyDescent="0.2">
      <c r="A889">
        <f>ROW(Source!A1070)</f>
        <v>1070</v>
      </c>
      <c r="B889">
        <v>129761636</v>
      </c>
      <c r="C889">
        <v>129764254</v>
      </c>
      <c r="D889">
        <v>37345142</v>
      </c>
      <c r="E889">
        <v>37345137</v>
      </c>
      <c r="F889">
        <v>1</v>
      </c>
      <c r="G889">
        <v>37345137</v>
      </c>
      <c r="H889">
        <v>1</v>
      </c>
      <c r="I889" t="s">
        <v>1096</v>
      </c>
      <c r="J889" t="s">
        <v>3</v>
      </c>
      <c r="K889" t="s">
        <v>1097</v>
      </c>
      <c r="L889">
        <v>1191</v>
      </c>
      <c r="N889">
        <v>1013</v>
      </c>
      <c r="O889" t="s">
        <v>1098</v>
      </c>
      <c r="P889" t="s">
        <v>1098</v>
      </c>
      <c r="Q889">
        <v>1</v>
      </c>
      <c r="W889">
        <v>0</v>
      </c>
      <c r="X889">
        <v>476480486</v>
      </c>
      <c r="Y889">
        <f>(AT889*1.15)</f>
        <v>38.755000000000003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1</v>
      </c>
      <c r="AJ889">
        <v>1</v>
      </c>
      <c r="AK889">
        <v>1</v>
      </c>
      <c r="AL889">
        <v>1</v>
      </c>
      <c r="AN889">
        <v>0</v>
      </c>
      <c r="AO889">
        <v>1</v>
      </c>
      <c r="AP889">
        <v>1</v>
      </c>
      <c r="AQ889">
        <v>0</v>
      </c>
      <c r="AR889">
        <v>0</v>
      </c>
      <c r="AS889" t="s">
        <v>3</v>
      </c>
      <c r="AT889">
        <v>33.700000000000003</v>
      </c>
      <c r="AU889" t="s">
        <v>87</v>
      </c>
      <c r="AV889">
        <v>1</v>
      </c>
      <c r="AW889">
        <v>2</v>
      </c>
      <c r="AX889">
        <v>129764258</v>
      </c>
      <c r="AY889">
        <v>1</v>
      </c>
      <c r="AZ889">
        <v>0</v>
      </c>
      <c r="BA889">
        <v>859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0</v>
      </c>
      <c r="BR889">
        <v>0</v>
      </c>
      <c r="BS889">
        <v>0</v>
      </c>
      <c r="BT889">
        <v>0</v>
      </c>
      <c r="BU889">
        <v>0</v>
      </c>
      <c r="BV889">
        <v>0</v>
      </c>
      <c r="BW889">
        <v>0</v>
      </c>
      <c r="CX889">
        <f>ROUND(Y889*Source!I1070,9)</f>
        <v>0.193775</v>
      </c>
      <c r="CY889">
        <f>AD889</f>
        <v>0</v>
      </c>
      <c r="CZ889">
        <f>AH889</f>
        <v>0</v>
      </c>
      <c r="DA889">
        <f>AL889</f>
        <v>1</v>
      </c>
      <c r="DB889">
        <f>ROUND((ROUND(AT889*CZ889,2)*1.15),6)</f>
        <v>0</v>
      </c>
      <c r="DC889">
        <f>ROUND((ROUND(AT889*AG889,2)*1.15),6)</f>
        <v>0</v>
      </c>
      <c r="DD889" t="s">
        <v>3</v>
      </c>
      <c r="DE889" t="s">
        <v>3</v>
      </c>
      <c r="DF889">
        <f>ROUND(AE889*CX889,2)</f>
        <v>0</v>
      </c>
      <c r="DG889">
        <f t="shared" si="421"/>
        <v>0</v>
      </c>
      <c r="DH889">
        <f t="shared" si="422"/>
        <v>0</v>
      </c>
      <c r="DI889">
        <f t="shared" si="387"/>
        <v>0</v>
      </c>
      <c r="DJ889">
        <f>DI889</f>
        <v>0</v>
      </c>
      <c r="DK889">
        <v>0</v>
      </c>
    </row>
    <row r="890" spans="1:115" x14ac:dyDescent="0.2">
      <c r="A890">
        <f>ROW(Source!A1070)</f>
        <v>1070</v>
      </c>
      <c r="B890">
        <v>129761636</v>
      </c>
      <c r="C890">
        <v>129764254</v>
      </c>
      <c r="D890">
        <v>37398726</v>
      </c>
      <c r="E890">
        <v>1</v>
      </c>
      <c r="F890">
        <v>1</v>
      </c>
      <c r="G890">
        <v>37345137</v>
      </c>
      <c r="H890">
        <v>3</v>
      </c>
      <c r="I890" t="s">
        <v>876</v>
      </c>
      <c r="J890" t="s">
        <v>878</v>
      </c>
      <c r="K890" t="s">
        <v>877</v>
      </c>
      <c r="L890">
        <v>1391</v>
      </c>
      <c r="N890">
        <v>1013</v>
      </c>
      <c r="O890" t="s">
        <v>238</v>
      </c>
      <c r="P890" t="s">
        <v>238</v>
      </c>
      <c r="Q890">
        <v>1</v>
      </c>
      <c r="W890">
        <v>0</v>
      </c>
      <c r="X890">
        <v>-711005652</v>
      </c>
      <c r="Y890">
        <f>AT890</f>
        <v>200</v>
      </c>
      <c r="AA890">
        <v>15.74</v>
      </c>
      <c r="AB890">
        <v>0</v>
      </c>
      <c r="AC890">
        <v>0</v>
      </c>
      <c r="AD890">
        <v>0</v>
      </c>
      <c r="AE890">
        <v>15.74</v>
      </c>
      <c r="AF890">
        <v>0</v>
      </c>
      <c r="AG890">
        <v>0</v>
      </c>
      <c r="AH890">
        <v>0</v>
      </c>
      <c r="AI890">
        <v>1</v>
      </c>
      <c r="AJ890">
        <v>1</v>
      </c>
      <c r="AK890">
        <v>1</v>
      </c>
      <c r="AL890">
        <v>1</v>
      </c>
      <c r="AN890">
        <v>0</v>
      </c>
      <c r="AO890">
        <v>0</v>
      </c>
      <c r="AP890">
        <v>0</v>
      </c>
      <c r="AQ890">
        <v>0</v>
      </c>
      <c r="AR890">
        <v>0</v>
      </c>
      <c r="AS890" t="s">
        <v>3</v>
      </c>
      <c r="AT890">
        <v>200</v>
      </c>
      <c r="AU890" t="s">
        <v>3</v>
      </c>
      <c r="AV890">
        <v>0</v>
      </c>
      <c r="AW890">
        <v>1</v>
      </c>
      <c r="AX890">
        <v>-1</v>
      </c>
      <c r="AY890">
        <v>0</v>
      </c>
      <c r="AZ890">
        <v>0</v>
      </c>
      <c r="BA890" t="s">
        <v>3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0</v>
      </c>
      <c r="BR890">
        <v>0</v>
      </c>
      <c r="BS890">
        <v>0</v>
      </c>
      <c r="BT890">
        <v>0</v>
      </c>
      <c r="BU890">
        <v>0</v>
      </c>
      <c r="BV890">
        <v>0</v>
      </c>
      <c r="BW890">
        <v>0</v>
      </c>
      <c r="CX890">
        <f>ROUND(Y890*Source!I1070,9)</f>
        <v>1</v>
      </c>
      <c r="CY890">
        <f>AA890</f>
        <v>15.74</v>
      </c>
      <c r="CZ890">
        <f>AE890</f>
        <v>15.74</v>
      </c>
      <c r="DA890">
        <f>AI890</f>
        <v>1</v>
      </c>
      <c r="DB890">
        <f>ROUND(ROUND(AT890*CZ890,2),6)</f>
        <v>3148</v>
      </c>
      <c r="DC890">
        <f>ROUND(ROUND(AT890*AG890,2),6)</f>
        <v>0</v>
      </c>
      <c r="DD890" t="s">
        <v>3</v>
      </c>
      <c r="DE890" t="s">
        <v>3</v>
      </c>
      <c r="DF890">
        <f>ROUND(AE890*CX890,2)</f>
        <v>15.74</v>
      </c>
      <c r="DG890">
        <f t="shared" si="421"/>
        <v>0</v>
      </c>
      <c r="DH890">
        <f t="shared" si="422"/>
        <v>0</v>
      </c>
      <c r="DI890">
        <f t="shared" si="387"/>
        <v>0</v>
      </c>
      <c r="DJ890">
        <f>DF890</f>
        <v>15.74</v>
      </c>
      <c r="DK890">
        <v>0</v>
      </c>
    </row>
    <row r="891" spans="1:115" x14ac:dyDescent="0.2">
      <c r="A891">
        <f>ROW(Source!A1070)</f>
        <v>1070</v>
      </c>
      <c r="B891">
        <v>129761636</v>
      </c>
      <c r="C891">
        <v>129764254</v>
      </c>
      <c r="D891">
        <v>37401955</v>
      </c>
      <c r="E891">
        <v>1</v>
      </c>
      <c r="F891">
        <v>1</v>
      </c>
      <c r="G891">
        <v>37345137</v>
      </c>
      <c r="H891">
        <v>3</v>
      </c>
      <c r="I891" t="s">
        <v>879</v>
      </c>
      <c r="J891" t="s">
        <v>881</v>
      </c>
      <c r="K891" t="s">
        <v>880</v>
      </c>
      <c r="L891">
        <v>1354</v>
      </c>
      <c r="N891">
        <v>1010</v>
      </c>
      <c r="O891" t="s">
        <v>250</v>
      </c>
      <c r="P891" t="s">
        <v>250</v>
      </c>
      <c r="Q891">
        <v>1</v>
      </c>
      <c r="W891">
        <v>0</v>
      </c>
      <c r="X891">
        <v>1306956936</v>
      </c>
      <c r="Y891">
        <f>AT891</f>
        <v>600</v>
      </c>
      <c r="AA891">
        <v>17.59</v>
      </c>
      <c r="AB891">
        <v>0</v>
      </c>
      <c r="AC891">
        <v>0</v>
      </c>
      <c r="AD891">
        <v>0</v>
      </c>
      <c r="AE891">
        <v>17.59</v>
      </c>
      <c r="AF891">
        <v>0</v>
      </c>
      <c r="AG891">
        <v>0</v>
      </c>
      <c r="AH891">
        <v>0</v>
      </c>
      <c r="AI891">
        <v>1</v>
      </c>
      <c r="AJ891">
        <v>1</v>
      </c>
      <c r="AK891">
        <v>1</v>
      </c>
      <c r="AL891">
        <v>1</v>
      </c>
      <c r="AN891">
        <v>0</v>
      </c>
      <c r="AO891">
        <v>0</v>
      </c>
      <c r="AP891">
        <v>0</v>
      </c>
      <c r="AQ891">
        <v>0</v>
      </c>
      <c r="AR891">
        <v>0</v>
      </c>
      <c r="AS891" t="s">
        <v>3</v>
      </c>
      <c r="AT891">
        <v>600</v>
      </c>
      <c r="AU891" t="s">
        <v>3</v>
      </c>
      <c r="AV891">
        <v>0</v>
      </c>
      <c r="AW891">
        <v>1</v>
      </c>
      <c r="AX891">
        <v>-1</v>
      </c>
      <c r="AY891">
        <v>0</v>
      </c>
      <c r="AZ891">
        <v>0</v>
      </c>
      <c r="BA891" t="s">
        <v>3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0</v>
      </c>
      <c r="BR891">
        <v>0</v>
      </c>
      <c r="BS891">
        <v>0</v>
      </c>
      <c r="BT891">
        <v>0</v>
      </c>
      <c r="BU891">
        <v>0</v>
      </c>
      <c r="BV891">
        <v>0</v>
      </c>
      <c r="BW891">
        <v>0</v>
      </c>
      <c r="CX891">
        <f>ROUND(Y891*Source!I1070,9)</f>
        <v>3</v>
      </c>
      <c r="CY891">
        <f>AA891</f>
        <v>17.59</v>
      </c>
      <c r="CZ891">
        <f>AE891</f>
        <v>17.59</v>
      </c>
      <c r="DA891">
        <f>AI891</f>
        <v>1</v>
      </c>
      <c r="DB891">
        <f>ROUND(ROUND(AT891*CZ891,2),6)</f>
        <v>10554</v>
      </c>
      <c r="DC891">
        <f>ROUND(ROUND(AT891*AG891,2),6)</f>
        <v>0</v>
      </c>
      <c r="DD891" t="s">
        <v>3</v>
      </c>
      <c r="DE891" t="s">
        <v>3</v>
      </c>
      <c r="DF891">
        <f>ROUND(AE891*CX891,2)</f>
        <v>52.77</v>
      </c>
      <c r="DG891">
        <f t="shared" si="421"/>
        <v>0</v>
      </c>
      <c r="DH891">
        <f t="shared" si="422"/>
        <v>0</v>
      </c>
      <c r="DI891">
        <f t="shared" si="387"/>
        <v>0</v>
      </c>
      <c r="DJ891">
        <f>DF891</f>
        <v>52.77</v>
      </c>
      <c r="DK891">
        <v>0</v>
      </c>
    </row>
    <row r="892" spans="1:115" x14ac:dyDescent="0.2">
      <c r="A892">
        <f>ROW(Source!A1071)</f>
        <v>1071</v>
      </c>
      <c r="B892">
        <v>129761633</v>
      </c>
      <c r="C892">
        <v>129764254</v>
      </c>
      <c r="D892">
        <v>37345142</v>
      </c>
      <c r="E892">
        <v>37345137</v>
      </c>
      <c r="F892">
        <v>1</v>
      </c>
      <c r="G892">
        <v>37345137</v>
      </c>
      <c r="H892">
        <v>1</v>
      </c>
      <c r="I892" t="s">
        <v>1096</v>
      </c>
      <c r="J892" t="s">
        <v>3</v>
      </c>
      <c r="K892" t="s">
        <v>1097</v>
      </c>
      <c r="L892">
        <v>1191</v>
      </c>
      <c r="N892">
        <v>1013</v>
      </c>
      <c r="O892" t="s">
        <v>1098</v>
      </c>
      <c r="P892" t="s">
        <v>1098</v>
      </c>
      <c r="Q892">
        <v>1</v>
      </c>
      <c r="W892">
        <v>0</v>
      </c>
      <c r="X892">
        <v>476480486</v>
      </c>
      <c r="Y892">
        <f>(AT892*1.15)</f>
        <v>38.755000000000003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1</v>
      </c>
      <c r="AJ892">
        <v>1</v>
      </c>
      <c r="AK892">
        <v>1</v>
      </c>
      <c r="AL892">
        <v>1</v>
      </c>
      <c r="AN892">
        <v>0</v>
      </c>
      <c r="AO892">
        <v>1</v>
      </c>
      <c r="AP892">
        <v>1</v>
      </c>
      <c r="AQ892">
        <v>0</v>
      </c>
      <c r="AR892">
        <v>0</v>
      </c>
      <c r="AS892" t="s">
        <v>3</v>
      </c>
      <c r="AT892">
        <v>33.700000000000003</v>
      </c>
      <c r="AU892" t="s">
        <v>87</v>
      </c>
      <c r="AV892">
        <v>1</v>
      </c>
      <c r="AW892">
        <v>2</v>
      </c>
      <c r="AX892">
        <v>129764258</v>
      </c>
      <c r="AY892">
        <v>1</v>
      </c>
      <c r="AZ892">
        <v>0</v>
      </c>
      <c r="BA892">
        <v>861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0</v>
      </c>
      <c r="BR892">
        <v>0</v>
      </c>
      <c r="BS892">
        <v>0</v>
      </c>
      <c r="BT892">
        <v>0</v>
      </c>
      <c r="BU892">
        <v>0</v>
      </c>
      <c r="BV892">
        <v>0</v>
      </c>
      <c r="BW892">
        <v>0</v>
      </c>
      <c r="CX892">
        <f>ROUND(Y892*Source!I1071,9)</f>
        <v>0.193775</v>
      </c>
      <c r="CY892">
        <f>AD892</f>
        <v>0</v>
      </c>
      <c r="CZ892">
        <f>AH892</f>
        <v>0</v>
      </c>
      <c r="DA892">
        <f>AL892</f>
        <v>1</v>
      </c>
      <c r="DB892">
        <f>ROUND((ROUND(AT892*CZ892,2)*1.15),6)</f>
        <v>0</v>
      </c>
      <c r="DC892">
        <f>ROUND((ROUND(AT892*AG892,2)*1.15),6)</f>
        <v>0</v>
      </c>
      <c r="DD892" t="s">
        <v>3</v>
      </c>
      <c r="DE892" t="s">
        <v>3</v>
      </c>
      <c r="DF892">
        <f>ROUND(AE892*CX892,2)</f>
        <v>0</v>
      </c>
      <c r="DG892">
        <f t="shared" si="421"/>
        <v>0</v>
      </c>
      <c r="DH892">
        <f t="shared" si="422"/>
        <v>0</v>
      </c>
      <c r="DI892">
        <f t="shared" si="387"/>
        <v>0</v>
      </c>
      <c r="DJ892">
        <f>DI892</f>
        <v>0</v>
      </c>
      <c r="DK892">
        <v>0</v>
      </c>
    </row>
    <row r="893" spans="1:115" x14ac:dyDescent="0.2">
      <c r="A893">
        <f>ROW(Source!A1071)</f>
        <v>1071</v>
      </c>
      <c r="B893">
        <v>129761633</v>
      </c>
      <c r="C893">
        <v>129764254</v>
      </c>
      <c r="D893">
        <v>37398726</v>
      </c>
      <c r="E893">
        <v>1</v>
      </c>
      <c r="F893">
        <v>1</v>
      </c>
      <c r="G893">
        <v>37345137</v>
      </c>
      <c r="H893">
        <v>3</v>
      </c>
      <c r="I893" t="s">
        <v>876</v>
      </c>
      <c r="J893" t="s">
        <v>878</v>
      </c>
      <c r="K893" t="s">
        <v>877</v>
      </c>
      <c r="L893">
        <v>1391</v>
      </c>
      <c r="N893">
        <v>1013</v>
      </c>
      <c r="O893" t="s">
        <v>238</v>
      </c>
      <c r="P893" t="s">
        <v>238</v>
      </c>
      <c r="Q893">
        <v>1</v>
      </c>
      <c r="W893">
        <v>0</v>
      </c>
      <c r="X893">
        <v>-711005652</v>
      </c>
      <c r="Y893">
        <f>AT893</f>
        <v>200</v>
      </c>
      <c r="AA893">
        <v>81.22</v>
      </c>
      <c r="AB893">
        <v>0</v>
      </c>
      <c r="AC893">
        <v>0</v>
      </c>
      <c r="AD893">
        <v>0</v>
      </c>
      <c r="AE893">
        <v>15.74</v>
      </c>
      <c r="AF893">
        <v>0</v>
      </c>
      <c r="AG893">
        <v>0</v>
      </c>
      <c r="AH893">
        <v>0</v>
      </c>
      <c r="AI893">
        <v>5.16</v>
      </c>
      <c r="AJ893">
        <v>1</v>
      </c>
      <c r="AK893">
        <v>1</v>
      </c>
      <c r="AL893">
        <v>1</v>
      </c>
      <c r="AN893">
        <v>0</v>
      </c>
      <c r="AO893">
        <v>0</v>
      </c>
      <c r="AP893">
        <v>0</v>
      </c>
      <c r="AQ893">
        <v>0</v>
      </c>
      <c r="AR893">
        <v>0</v>
      </c>
      <c r="AS893" t="s">
        <v>3</v>
      </c>
      <c r="AT893">
        <v>200</v>
      </c>
      <c r="AU893" t="s">
        <v>3</v>
      </c>
      <c r="AV893">
        <v>0</v>
      </c>
      <c r="AW893">
        <v>1</v>
      </c>
      <c r="AX893">
        <v>-1</v>
      </c>
      <c r="AY893">
        <v>0</v>
      </c>
      <c r="AZ893">
        <v>0</v>
      </c>
      <c r="BA893" t="s">
        <v>3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0</v>
      </c>
      <c r="BR893">
        <v>0</v>
      </c>
      <c r="BS893">
        <v>0</v>
      </c>
      <c r="BT893">
        <v>0</v>
      </c>
      <c r="BU893">
        <v>0</v>
      </c>
      <c r="BV893">
        <v>0</v>
      </c>
      <c r="BW893">
        <v>0</v>
      </c>
      <c r="CX893">
        <f>ROUND(Y893*Source!I1071,9)</f>
        <v>1</v>
      </c>
      <c r="CY893">
        <f>AA893</f>
        <v>81.22</v>
      </c>
      <c r="CZ893">
        <f>AE893</f>
        <v>15.74</v>
      </c>
      <c r="DA893">
        <f>AI893</f>
        <v>5.16</v>
      </c>
      <c r="DB893">
        <f>ROUND(ROUND(AT893*CZ893,2),6)</f>
        <v>3148</v>
      </c>
      <c r="DC893">
        <f>ROUND(ROUND(AT893*AG893,2),6)</f>
        <v>0</v>
      </c>
      <c r="DD893" t="s">
        <v>3</v>
      </c>
      <c r="DE893" t="s">
        <v>3</v>
      </c>
      <c r="DF893">
        <f>ROUND(ROUND(AE893*CX893,2)*AI893,2)</f>
        <v>81.22</v>
      </c>
      <c r="DG893">
        <f t="shared" si="421"/>
        <v>0</v>
      </c>
      <c r="DH893">
        <f t="shared" si="422"/>
        <v>0</v>
      </c>
      <c r="DI893">
        <f t="shared" si="387"/>
        <v>0</v>
      </c>
      <c r="DJ893">
        <f>DF893</f>
        <v>81.22</v>
      </c>
      <c r="DK893">
        <v>0</v>
      </c>
    </row>
    <row r="894" spans="1:115" x14ac:dyDescent="0.2">
      <c r="A894">
        <f>ROW(Source!A1071)</f>
        <v>1071</v>
      </c>
      <c r="B894">
        <v>129761633</v>
      </c>
      <c r="C894">
        <v>129764254</v>
      </c>
      <c r="D894">
        <v>37401955</v>
      </c>
      <c r="E894">
        <v>1</v>
      </c>
      <c r="F894">
        <v>1</v>
      </c>
      <c r="G894">
        <v>37345137</v>
      </c>
      <c r="H894">
        <v>3</v>
      </c>
      <c r="I894" t="s">
        <v>879</v>
      </c>
      <c r="J894" t="s">
        <v>881</v>
      </c>
      <c r="K894" t="s">
        <v>880</v>
      </c>
      <c r="L894">
        <v>1354</v>
      </c>
      <c r="N894">
        <v>1010</v>
      </c>
      <c r="O894" t="s">
        <v>250</v>
      </c>
      <c r="P894" t="s">
        <v>250</v>
      </c>
      <c r="Q894">
        <v>1</v>
      </c>
      <c r="W894">
        <v>0</v>
      </c>
      <c r="X894">
        <v>1306956936</v>
      </c>
      <c r="Y894">
        <f>AT894</f>
        <v>600</v>
      </c>
      <c r="AA894">
        <v>80.56</v>
      </c>
      <c r="AB894">
        <v>0</v>
      </c>
      <c r="AC894">
        <v>0</v>
      </c>
      <c r="AD894">
        <v>0</v>
      </c>
      <c r="AE894">
        <v>17.59</v>
      </c>
      <c r="AF894">
        <v>0</v>
      </c>
      <c r="AG894">
        <v>0</v>
      </c>
      <c r="AH894">
        <v>0</v>
      </c>
      <c r="AI894">
        <v>4.58</v>
      </c>
      <c r="AJ894">
        <v>1</v>
      </c>
      <c r="AK894">
        <v>1</v>
      </c>
      <c r="AL894">
        <v>1</v>
      </c>
      <c r="AN894">
        <v>0</v>
      </c>
      <c r="AO894">
        <v>0</v>
      </c>
      <c r="AP894">
        <v>0</v>
      </c>
      <c r="AQ894">
        <v>0</v>
      </c>
      <c r="AR894">
        <v>0</v>
      </c>
      <c r="AS894" t="s">
        <v>3</v>
      </c>
      <c r="AT894">
        <v>600</v>
      </c>
      <c r="AU894" t="s">
        <v>3</v>
      </c>
      <c r="AV894">
        <v>0</v>
      </c>
      <c r="AW894">
        <v>1</v>
      </c>
      <c r="AX894">
        <v>-1</v>
      </c>
      <c r="AY894">
        <v>0</v>
      </c>
      <c r="AZ894">
        <v>0</v>
      </c>
      <c r="BA894" t="s">
        <v>3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0</v>
      </c>
      <c r="BR894">
        <v>0</v>
      </c>
      <c r="BS894">
        <v>0</v>
      </c>
      <c r="BT894">
        <v>0</v>
      </c>
      <c r="BU894">
        <v>0</v>
      </c>
      <c r="BV894">
        <v>0</v>
      </c>
      <c r="BW894">
        <v>0</v>
      </c>
      <c r="CX894">
        <f>ROUND(Y894*Source!I1071,9)</f>
        <v>3</v>
      </c>
      <c r="CY894">
        <f>AA894</f>
        <v>80.56</v>
      </c>
      <c r="CZ894">
        <f>AE894</f>
        <v>17.59</v>
      </c>
      <c r="DA894">
        <f>AI894</f>
        <v>4.58</v>
      </c>
      <c r="DB894">
        <f>ROUND(ROUND(AT894*CZ894,2),6)</f>
        <v>10554</v>
      </c>
      <c r="DC894">
        <f>ROUND(ROUND(AT894*AG894,2),6)</f>
        <v>0</v>
      </c>
      <c r="DD894" t="s">
        <v>3</v>
      </c>
      <c r="DE894" t="s">
        <v>3</v>
      </c>
      <c r="DF894">
        <f>ROUND(ROUND(AE894*CX894,2)*AI894,2)</f>
        <v>241.69</v>
      </c>
      <c r="DG894">
        <f t="shared" si="421"/>
        <v>0</v>
      </c>
      <c r="DH894">
        <f t="shared" si="422"/>
        <v>0</v>
      </c>
      <c r="DI894">
        <f t="shared" si="387"/>
        <v>0</v>
      </c>
      <c r="DJ894">
        <f>DF894</f>
        <v>241.69</v>
      </c>
      <c r="DK894">
        <v>0</v>
      </c>
    </row>
    <row r="895" spans="1:115" x14ac:dyDescent="0.2">
      <c r="A895">
        <f>ROW(Source!A1076)</f>
        <v>1076</v>
      </c>
      <c r="B895">
        <v>129761636</v>
      </c>
      <c r="C895">
        <v>129764262</v>
      </c>
      <c r="D895">
        <v>37345142</v>
      </c>
      <c r="E895">
        <v>37345137</v>
      </c>
      <c r="F895">
        <v>1</v>
      </c>
      <c r="G895">
        <v>37345137</v>
      </c>
      <c r="H895">
        <v>1</v>
      </c>
      <c r="I895" t="s">
        <v>1096</v>
      </c>
      <c r="J895" t="s">
        <v>3</v>
      </c>
      <c r="K895" t="s">
        <v>1097</v>
      </c>
      <c r="L895">
        <v>1191</v>
      </c>
      <c r="N895">
        <v>1013</v>
      </c>
      <c r="O895" t="s">
        <v>1098</v>
      </c>
      <c r="P895" t="s">
        <v>1098</v>
      </c>
      <c r="Q895">
        <v>1</v>
      </c>
      <c r="W895">
        <v>0</v>
      </c>
      <c r="X895">
        <v>476480486</v>
      </c>
      <c r="Y895">
        <f>(AT895*1.15)</f>
        <v>49.794999999999995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1</v>
      </c>
      <c r="AJ895">
        <v>1</v>
      </c>
      <c r="AK895">
        <v>1</v>
      </c>
      <c r="AL895">
        <v>1</v>
      </c>
      <c r="AN895">
        <v>0</v>
      </c>
      <c r="AO895">
        <v>1</v>
      </c>
      <c r="AP895">
        <v>1</v>
      </c>
      <c r="AQ895">
        <v>0</v>
      </c>
      <c r="AR895">
        <v>0</v>
      </c>
      <c r="AS895" t="s">
        <v>3</v>
      </c>
      <c r="AT895">
        <v>43.3</v>
      </c>
      <c r="AU895" t="s">
        <v>87</v>
      </c>
      <c r="AV895">
        <v>1</v>
      </c>
      <c r="AW895">
        <v>2</v>
      </c>
      <c r="AX895">
        <v>129764276</v>
      </c>
      <c r="AY895">
        <v>1</v>
      </c>
      <c r="AZ895">
        <v>0</v>
      </c>
      <c r="BA895">
        <v>863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0</v>
      </c>
      <c r="BR895">
        <v>0</v>
      </c>
      <c r="BS895">
        <v>0</v>
      </c>
      <c r="BT895">
        <v>0</v>
      </c>
      <c r="BU895">
        <v>0</v>
      </c>
      <c r="BV895">
        <v>0</v>
      </c>
      <c r="BW895">
        <v>0</v>
      </c>
      <c r="CX895">
        <f>ROUND(Y895*Source!I1076,9)</f>
        <v>0.49795</v>
      </c>
      <c r="CY895">
        <f>AD895</f>
        <v>0</v>
      </c>
      <c r="CZ895">
        <f>AH895</f>
        <v>0</v>
      </c>
      <c r="DA895">
        <f>AL895</f>
        <v>1</v>
      </c>
      <c r="DB895">
        <f>ROUND((ROUND(AT895*CZ895,2)*1.15),6)</f>
        <v>0</v>
      </c>
      <c r="DC895">
        <f>ROUND((ROUND(AT895*AG895,2)*1.15),6)</f>
        <v>0</v>
      </c>
      <c r="DD895" t="s">
        <v>3</v>
      </c>
      <c r="DE895" t="s">
        <v>3</v>
      </c>
      <c r="DF895">
        <f t="shared" ref="DF895:DF911" si="423">ROUND(AE895*CX895,2)</f>
        <v>0</v>
      </c>
      <c r="DG895">
        <f t="shared" si="421"/>
        <v>0</v>
      </c>
      <c r="DH895">
        <f t="shared" si="422"/>
        <v>0</v>
      </c>
      <c r="DI895">
        <f t="shared" si="387"/>
        <v>0</v>
      </c>
      <c r="DJ895">
        <f>DI895</f>
        <v>0</v>
      </c>
      <c r="DK895">
        <v>0</v>
      </c>
    </row>
    <row r="896" spans="1:115" x14ac:dyDescent="0.2">
      <c r="A896">
        <f>ROW(Source!A1076)</f>
        <v>1076</v>
      </c>
      <c r="B896">
        <v>129761636</v>
      </c>
      <c r="C896">
        <v>129764262</v>
      </c>
      <c r="D896">
        <v>37418158</v>
      </c>
      <c r="E896">
        <v>1</v>
      </c>
      <c r="F896">
        <v>1</v>
      </c>
      <c r="G896">
        <v>37345137</v>
      </c>
      <c r="H896">
        <v>2</v>
      </c>
      <c r="I896" t="s">
        <v>1374</v>
      </c>
      <c r="J896" t="s">
        <v>1375</v>
      </c>
      <c r="K896" t="s">
        <v>1376</v>
      </c>
      <c r="L896">
        <v>1367</v>
      </c>
      <c r="N896">
        <v>1011</v>
      </c>
      <c r="O896" t="s">
        <v>1102</v>
      </c>
      <c r="P896" t="s">
        <v>1102</v>
      </c>
      <c r="Q896">
        <v>1</v>
      </c>
      <c r="W896">
        <v>0</v>
      </c>
      <c r="X896">
        <v>1295654915</v>
      </c>
      <c r="Y896">
        <f>(AT896*1.25)</f>
        <v>2.1124999999999998</v>
      </c>
      <c r="AA896">
        <v>0</v>
      </c>
      <c r="AB896">
        <v>4.8600000000000003</v>
      </c>
      <c r="AC896">
        <v>0</v>
      </c>
      <c r="AD896">
        <v>0</v>
      </c>
      <c r="AE896">
        <v>0</v>
      </c>
      <c r="AF896">
        <v>4.8600000000000003</v>
      </c>
      <c r="AG896">
        <v>0</v>
      </c>
      <c r="AH896">
        <v>0</v>
      </c>
      <c r="AI896">
        <v>1</v>
      </c>
      <c r="AJ896">
        <v>1</v>
      </c>
      <c r="AK896">
        <v>1</v>
      </c>
      <c r="AL896">
        <v>1</v>
      </c>
      <c r="AN896">
        <v>0</v>
      </c>
      <c r="AO896">
        <v>1</v>
      </c>
      <c r="AP896">
        <v>1</v>
      </c>
      <c r="AQ896">
        <v>0</v>
      </c>
      <c r="AR896">
        <v>0</v>
      </c>
      <c r="AS896" t="s">
        <v>3</v>
      </c>
      <c r="AT896">
        <v>1.69</v>
      </c>
      <c r="AU896" t="s">
        <v>86</v>
      </c>
      <c r="AV896">
        <v>0</v>
      </c>
      <c r="AW896">
        <v>2</v>
      </c>
      <c r="AX896">
        <v>129764277</v>
      </c>
      <c r="AY896">
        <v>1</v>
      </c>
      <c r="AZ896">
        <v>0</v>
      </c>
      <c r="BA896">
        <v>864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0</v>
      </c>
      <c r="BQ896">
        <v>0</v>
      </c>
      <c r="BR896">
        <v>0</v>
      </c>
      <c r="BS896">
        <v>0</v>
      </c>
      <c r="BT896">
        <v>0</v>
      </c>
      <c r="BU896">
        <v>0</v>
      </c>
      <c r="BV896">
        <v>0</v>
      </c>
      <c r="BW896">
        <v>0</v>
      </c>
      <c r="CX896">
        <f>ROUND(Y896*Source!I1076,9)</f>
        <v>2.1125000000000001E-2</v>
      </c>
      <c r="CY896">
        <f>AB896</f>
        <v>4.8600000000000003</v>
      </c>
      <c r="CZ896">
        <f>AF896</f>
        <v>4.8600000000000003</v>
      </c>
      <c r="DA896">
        <f>AJ896</f>
        <v>1</v>
      </c>
      <c r="DB896">
        <f>ROUND((ROUND(AT896*CZ896,2)*1.25),6)</f>
        <v>10.262499999999999</v>
      </c>
      <c r="DC896">
        <f>ROUND((ROUND(AT896*AG896,2)*1.25),6)</f>
        <v>0</v>
      </c>
      <c r="DD896" t="s">
        <v>3</v>
      </c>
      <c r="DE896" t="s">
        <v>3</v>
      </c>
      <c r="DF896">
        <f t="shared" si="423"/>
        <v>0</v>
      </c>
      <c r="DG896">
        <f t="shared" si="421"/>
        <v>0.1</v>
      </c>
      <c r="DH896">
        <f t="shared" si="422"/>
        <v>0</v>
      </c>
      <c r="DI896">
        <f t="shared" si="387"/>
        <v>0</v>
      </c>
      <c r="DJ896">
        <f>DG896</f>
        <v>0.1</v>
      </c>
      <c r="DK896">
        <v>0</v>
      </c>
    </row>
    <row r="897" spans="1:115" x14ac:dyDescent="0.2">
      <c r="A897">
        <f>ROW(Source!A1076)</f>
        <v>1076</v>
      </c>
      <c r="B897">
        <v>129761636</v>
      </c>
      <c r="C897">
        <v>129764262</v>
      </c>
      <c r="D897">
        <v>37418445</v>
      </c>
      <c r="E897">
        <v>1</v>
      </c>
      <c r="F897">
        <v>1</v>
      </c>
      <c r="G897">
        <v>37345137</v>
      </c>
      <c r="H897">
        <v>2</v>
      </c>
      <c r="I897" t="s">
        <v>1189</v>
      </c>
      <c r="J897" t="s">
        <v>1190</v>
      </c>
      <c r="K897" t="s">
        <v>1191</v>
      </c>
      <c r="L897">
        <v>1367</v>
      </c>
      <c r="N897">
        <v>1011</v>
      </c>
      <c r="O897" t="s">
        <v>1102</v>
      </c>
      <c r="P897" t="s">
        <v>1102</v>
      </c>
      <c r="Q897">
        <v>1</v>
      </c>
      <c r="W897">
        <v>0</v>
      </c>
      <c r="X897">
        <v>-628430174</v>
      </c>
      <c r="Y897">
        <f>(AT897*1.25)</f>
        <v>0.98750000000000004</v>
      </c>
      <c r="AA897">
        <v>0</v>
      </c>
      <c r="AB897">
        <v>76.81</v>
      </c>
      <c r="AC897">
        <v>14.36</v>
      </c>
      <c r="AD897">
        <v>0</v>
      </c>
      <c r="AE897">
        <v>0</v>
      </c>
      <c r="AF897">
        <v>76.81</v>
      </c>
      <c r="AG897">
        <v>14.36</v>
      </c>
      <c r="AH897">
        <v>0</v>
      </c>
      <c r="AI897">
        <v>1</v>
      </c>
      <c r="AJ897">
        <v>1</v>
      </c>
      <c r="AK897">
        <v>1</v>
      </c>
      <c r="AL897">
        <v>1</v>
      </c>
      <c r="AN897">
        <v>0</v>
      </c>
      <c r="AO897">
        <v>1</v>
      </c>
      <c r="AP897">
        <v>1</v>
      </c>
      <c r="AQ897">
        <v>0</v>
      </c>
      <c r="AR897">
        <v>0</v>
      </c>
      <c r="AS897" t="s">
        <v>3</v>
      </c>
      <c r="AT897">
        <v>0.79</v>
      </c>
      <c r="AU897" t="s">
        <v>86</v>
      </c>
      <c r="AV897">
        <v>0</v>
      </c>
      <c r="AW897">
        <v>2</v>
      </c>
      <c r="AX897">
        <v>129764278</v>
      </c>
      <c r="AY897">
        <v>1</v>
      </c>
      <c r="AZ897">
        <v>0</v>
      </c>
      <c r="BA897">
        <v>865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  <c r="BR897">
        <v>0</v>
      </c>
      <c r="BS897">
        <v>0</v>
      </c>
      <c r="BT897">
        <v>0</v>
      </c>
      <c r="BU897">
        <v>0</v>
      </c>
      <c r="BV897">
        <v>0</v>
      </c>
      <c r="BW897">
        <v>0</v>
      </c>
      <c r="CX897">
        <f>ROUND(Y897*Source!I1076,9)</f>
        <v>9.8750000000000001E-3</v>
      </c>
      <c r="CY897">
        <f>AB897</f>
        <v>76.81</v>
      </c>
      <c r="CZ897">
        <f>AF897</f>
        <v>76.81</v>
      </c>
      <c r="DA897">
        <f>AJ897</f>
        <v>1</v>
      </c>
      <c r="DB897">
        <f>ROUND((ROUND(AT897*CZ897,2)*1.25),6)</f>
        <v>75.849999999999994</v>
      </c>
      <c r="DC897">
        <f>ROUND((ROUND(AT897*AG897,2)*1.25),6)</f>
        <v>14.175000000000001</v>
      </c>
      <c r="DD897" t="s">
        <v>3</v>
      </c>
      <c r="DE897" t="s">
        <v>3</v>
      </c>
      <c r="DF897">
        <f t="shared" si="423"/>
        <v>0</v>
      </c>
      <c r="DG897">
        <f t="shared" si="421"/>
        <v>0.76</v>
      </c>
      <c r="DH897">
        <f t="shared" si="422"/>
        <v>0.14000000000000001</v>
      </c>
      <c r="DI897">
        <f t="shared" ref="DI897:DI960" si="424">ROUND(AH897*CX897,2)</f>
        <v>0</v>
      </c>
      <c r="DJ897">
        <f>DG897</f>
        <v>0.76</v>
      </c>
      <c r="DK897">
        <v>0</v>
      </c>
    </row>
    <row r="898" spans="1:115" x14ac:dyDescent="0.2">
      <c r="A898">
        <f>ROW(Source!A1076)</f>
        <v>1076</v>
      </c>
      <c r="B898">
        <v>129761636</v>
      </c>
      <c r="C898">
        <v>129764262</v>
      </c>
      <c r="D898">
        <v>37417692</v>
      </c>
      <c r="E898">
        <v>1</v>
      </c>
      <c r="F898">
        <v>1</v>
      </c>
      <c r="G898">
        <v>37345137</v>
      </c>
      <c r="H898">
        <v>2</v>
      </c>
      <c r="I898" t="s">
        <v>1127</v>
      </c>
      <c r="J898" t="s">
        <v>1128</v>
      </c>
      <c r="K898" t="s">
        <v>1129</v>
      </c>
      <c r="L898">
        <v>1367</v>
      </c>
      <c r="N898">
        <v>1011</v>
      </c>
      <c r="O898" t="s">
        <v>1102</v>
      </c>
      <c r="P898" t="s">
        <v>1102</v>
      </c>
      <c r="Q898">
        <v>1</v>
      </c>
      <c r="W898">
        <v>0</v>
      </c>
      <c r="X898">
        <v>-266174272</v>
      </c>
      <c r="Y898">
        <f>(AT898*1.25)</f>
        <v>7.4999999999999997E-2</v>
      </c>
      <c r="AA898">
        <v>0</v>
      </c>
      <c r="AB898">
        <v>190.93</v>
      </c>
      <c r="AC898">
        <v>18.149999999999999</v>
      </c>
      <c r="AD898">
        <v>0</v>
      </c>
      <c r="AE898">
        <v>0</v>
      </c>
      <c r="AF898">
        <v>190.93</v>
      </c>
      <c r="AG898">
        <v>18.149999999999999</v>
      </c>
      <c r="AH898">
        <v>0</v>
      </c>
      <c r="AI898">
        <v>1</v>
      </c>
      <c r="AJ898">
        <v>1</v>
      </c>
      <c r="AK898">
        <v>1</v>
      </c>
      <c r="AL898">
        <v>1</v>
      </c>
      <c r="AN898">
        <v>0</v>
      </c>
      <c r="AO898">
        <v>1</v>
      </c>
      <c r="AP898">
        <v>1</v>
      </c>
      <c r="AQ898">
        <v>0</v>
      </c>
      <c r="AR898">
        <v>0</v>
      </c>
      <c r="AS898" t="s">
        <v>3</v>
      </c>
      <c r="AT898">
        <v>0.06</v>
      </c>
      <c r="AU898" t="s">
        <v>86</v>
      </c>
      <c r="AV898">
        <v>0</v>
      </c>
      <c r="AW898">
        <v>2</v>
      </c>
      <c r="AX898">
        <v>129764279</v>
      </c>
      <c r="AY898">
        <v>1</v>
      </c>
      <c r="AZ898">
        <v>0</v>
      </c>
      <c r="BA898">
        <v>866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0</v>
      </c>
      <c r="BR898">
        <v>0</v>
      </c>
      <c r="BS898">
        <v>0</v>
      </c>
      <c r="BT898">
        <v>0</v>
      </c>
      <c r="BU898">
        <v>0</v>
      </c>
      <c r="BV898">
        <v>0</v>
      </c>
      <c r="BW898">
        <v>0</v>
      </c>
      <c r="CX898">
        <f>ROUND(Y898*Source!I1076,9)</f>
        <v>7.5000000000000002E-4</v>
      </c>
      <c r="CY898">
        <f>AB898</f>
        <v>190.93</v>
      </c>
      <c r="CZ898">
        <f>AF898</f>
        <v>190.93</v>
      </c>
      <c r="DA898">
        <f>AJ898</f>
        <v>1</v>
      </c>
      <c r="DB898">
        <f>ROUND((ROUND(AT898*CZ898,2)*1.25),6)</f>
        <v>14.324999999999999</v>
      </c>
      <c r="DC898">
        <f>ROUND((ROUND(AT898*AG898,2)*1.25),6)</f>
        <v>1.3625</v>
      </c>
      <c r="DD898" t="s">
        <v>3</v>
      </c>
      <c r="DE898" t="s">
        <v>3</v>
      </c>
      <c r="DF898">
        <f t="shared" si="423"/>
        <v>0</v>
      </c>
      <c r="DG898">
        <f t="shared" si="421"/>
        <v>0.14000000000000001</v>
      </c>
      <c r="DH898">
        <f t="shared" si="422"/>
        <v>0.01</v>
      </c>
      <c r="DI898">
        <f t="shared" si="424"/>
        <v>0</v>
      </c>
      <c r="DJ898">
        <f>DG898</f>
        <v>0.14000000000000001</v>
      </c>
      <c r="DK898">
        <v>0</v>
      </c>
    </row>
    <row r="899" spans="1:115" x14ac:dyDescent="0.2">
      <c r="A899">
        <f>ROW(Source!A1076)</f>
        <v>1076</v>
      </c>
      <c r="B899">
        <v>129761636</v>
      </c>
      <c r="C899">
        <v>129764262</v>
      </c>
      <c r="D899">
        <v>37393552</v>
      </c>
      <c r="E899">
        <v>1</v>
      </c>
      <c r="F899">
        <v>1</v>
      </c>
      <c r="G899">
        <v>37345137</v>
      </c>
      <c r="H899">
        <v>3</v>
      </c>
      <c r="I899" t="s">
        <v>348</v>
      </c>
      <c r="J899" t="s">
        <v>350</v>
      </c>
      <c r="K899" t="s">
        <v>349</v>
      </c>
      <c r="L899">
        <v>1339</v>
      </c>
      <c r="N899">
        <v>1007</v>
      </c>
      <c r="O899" t="s">
        <v>94</v>
      </c>
      <c r="P899" t="s">
        <v>94</v>
      </c>
      <c r="Q899">
        <v>1</v>
      </c>
      <c r="W899">
        <v>0</v>
      </c>
      <c r="X899">
        <v>-862991314</v>
      </c>
      <c r="Y899">
        <f t="shared" ref="Y899:Y907" si="425">AT899</f>
        <v>0.36667</v>
      </c>
      <c r="AA899">
        <v>7.07</v>
      </c>
      <c r="AB899">
        <v>0</v>
      </c>
      <c r="AC899">
        <v>0</v>
      </c>
      <c r="AD899">
        <v>0</v>
      </c>
      <c r="AE899">
        <v>7.07</v>
      </c>
      <c r="AF899">
        <v>0</v>
      </c>
      <c r="AG899">
        <v>0</v>
      </c>
      <c r="AH899">
        <v>0</v>
      </c>
      <c r="AI899">
        <v>1</v>
      </c>
      <c r="AJ899">
        <v>1</v>
      </c>
      <c r="AK899">
        <v>1</v>
      </c>
      <c r="AL899">
        <v>1</v>
      </c>
      <c r="AN899">
        <v>0</v>
      </c>
      <c r="AO899">
        <v>1</v>
      </c>
      <c r="AP899">
        <v>0</v>
      </c>
      <c r="AQ899">
        <v>0</v>
      </c>
      <c r="AR899">
        <v>0</v>
      </c>
      <c r="AS899" t="s">
        <v>3</v>
      </c>
      <c r="AT899">
        <v>0.36667</v>
      </c>
      <c r="AU899" t="s">
        <v>3</v>
      </c>
      <c r="AV899">
        <v>0</v>
      </c>
      <c r="AW899">
        <v>2</v>
      </c>
      <c r="AX899">
        <v>129764280</v>
      </c>
      <c r="AY899">
        <v>1</v>
      </c>
      <c r="AZ899">
        <v>0</v>
      </c>
      <c r="BA899">
        <v>867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0</v>
      </c>
      <c r="BW899">
        <v>0</v>
      </c>
      <c r="CX899">
        <f>ROUND(Y899*Source!I1076,9)</f>
        <v>3.6667000000000002E-3</v>
      </c>
      <c r="CY899">
        <f t="shared" ref="CY899:CY907" si="426">AA899</f>
        <v>7.07</v>
      </c>
      <c r="CZ899">
        <f t="shared" ref="CZ899:CZ907" si="427">AE899</f>
        <v>7.07</v>
      </c>
      <c r="DA899">
        <f t="shared" ref="DA899:DA907" si="428">AI899</f>
        <v>1</v>
      </c>
      <c r="DB899">
        <f t="shared" ref="DB899:DB907" si="429">ROUND(ROUND(AT899*CZ899,2),6)</f>
        <v>2.59</v>
      </c>
      <c r="DC899">
        <f t="shared" ref="DC899:DC907" si="430">ROUND(ROUND(AT899*AG899,2),6)</f>
        <v>0</v>
      </c>
      <c r="DD899" t="s">
        <v>3</v>
      </c>
      <c r="DE899" t="s">
        <v>3</v>
      </c>
      <c r="DF899">
        <f t="shared" si="423"/>
        <v>0.03</v>
      </c>
      <c r="DG899">
        <f t="shared" si="421"/>
        <v>0</v>
      </c>
      <c r="DH899">
        <f t="shared" si="422"/>
        <v>0</v>
      </c>
      <c r="DI899">
        <f t="shared" si="424"/>
        <v>0</v>
      </c>
      <c r="DJ899">
        <f t="shared" ref="DJ899:DJ907" si="431">DF899</f>
        <v>0.03</v>
      </c>
      <c r="DK899">
        <v>0</v>
      </c>
    </row>
    <row r="900" spans="1:115" x14ac:dyDescent="0.2">
      <c r="A900">
        <f>ROW(Source!A1076)</f>
        <v>1076</v>
      </c>
      <c r="B900">
        <v>129761636</v>
      </c>
      <c r="C900">
        <v>129764262</v>
      </c>
      <c r="D900">
        <v>37395666</v>
      </c>
      <c r="E900">
        <v>1</v>
      </c>
      <c r="F900">
        <v>1</v>
      </c>
      <c r="G900">
        <v>37345137</v>
      </c>
      <c r="H900">
        <v>3</v>
      </c>
      <c r="I900" t="s">
        <v>1377</v>
      </c>
      <c r="J900" t="s">
        <v>1378</v>
      </c>
      <c r="K900" t="s">
        <v>1379</v>
      </c>
      <c r="L900">
        <v>1346</v>
      </c>
      <c r="N900">
        <v>1009</v>
      </c>
      <c r="O900" t="s">
        <v>369</v>
      </c>
      <c r="P900" t="s">
        <v>369</v>
      </c>
      <c r="Q900">
        <v>1</v>
      </c>
      <c r="W900">
        <v>0</v>
      </c>
      <c r="X900">
        <v>1037702096</v>
      </c>
      <c r="Y900">
        <f t="shared" si="425"/>
        <v>0.02</v>
      </c>
      <c r="AA900">
        <v>38</v>
      </c>
      <c r="AB900">
        <v>0</v>
      </c>
      <c r="AC900">
        <v>0</v>
      </c>
      <c r="AD900">
        <v>0</v>
      </c>
      <c r="AE900">
        <v>38</v>
      </c>
      <c r="AF900">
        <v>0</v>
      </c>
      <c r="AG900">
        <v>0</v>
      </c>
      <c r="AH900">
        <v>0</v>
      </c>
      <c r="AI900">
        <v>1</v>
      </c>
      <c r="AJ900">
        <v>1</v>
      </c>
      <c r="AK900">
        <v>1</v>
      </c>
      <c r="AL900">
        <v>1</v>
      </c>
      <c r="AN900">
        <v>0</v>
      </c>
      <c r="AO900">
        <v>1</v>
      </c>
      <c r="AP900">
        <v>0</v>
      </c>
      <c r="AQ900">
        <v>0</v>
      </c>
      <c r="AR900">
        <v>0</v>
      </c>
      <c r="AS900" t="s">
        <v>3</v>
      </c>
      <c r="AT900">
        <v>0.02</v>
      </c>
      <c r="AU900" t="s">
        <v>3</v>
      </c>
      <c r="AV900">
        <v>0</v>
      </c>
      <c r="AW900">
        <v>2</v>
      </c>
      <c r="AX900">
        <v>129764281</v>
      </c>
      <c r="AY900">
        <v>1</v>
      </c>
      <c r="AZ900">
        <v>0</v>
      </c>
      <c r="BA900">
        <v>868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0</v>
      </c>
      <c r="BR900">
        <v>0</v>
      </c>
      <c r="BS900">
        <v>0</v>
      </c>
      <c r="BT900">
        <v>0</v>
      </c>
      <c r="BU900">
        <v>0</v>
      </c>
      <c r="BV900">
        <v>0</v>
      </c>
      <c r="BW900">
        <v>0</v>
      </c>
      <c r="CX900">
        <f>ROUND(Y900*Source!I1076,9)</f>
        <v>2.0000000000000001E-4</v>
      </c>
      <c r="CY900">
        <f t="shared" si="426"/>
        <v>38</v>
      </c>
      <c r="CZ900">
        <f t="shared" si="427"/>
        <v>38</v>
      </c>
      <c r="DA900">
        <f t="shared" si="428"/>
        <v>1</v>
      </c>
      <c r="DB900">
        <f t="shared" si="429"/>
        <v>0.76</v>
      </c>
      <c r="DC900">
        <f t="shared" si="430"/>
        <v>0</v>
      </c>
      <c r="DD900" t="s">
        <v>3</v>
      </c>
      <c r="DE900" t="s">
        <v>3</v>
      </c>
      <c r="DF900">
        <f t="shared" si="423"/>
        <v>0.01</v>
      </c>
      <c r="DG900">
        <f t="shared" si="421"/>
        <v>0</v>
      </c>
      <c r="DH900">
        <f t="shared" si="422"/>
        <v>0</v>
      </c>
      <c r="DI900">
        <f t="shared" si="424"/>
        <v>0</v>
      </c>
      <c r="DJ900">
        <f t="shared" si="431"/>
        <v>0.01</v>
      </c>
      <c r="DK900">
        <v>0</v>
      </c>
    </row>
    <row r="901" spans="1:115" x14ac:dyDescent="0.2">
      <c r="A901">
        <f>ROW(Source!A1076)</f>
        <v>1076</v>
      </c>
      <c r="B901">
        <v>129761636</v>
      </c>
      <c r="C901">
        <v>129764262</v>
      </c>
      <c r="D901">
        <v>37393685</v>
      </c>
      <c r="E901">
        <v>1</v>
      </c>
      <c r="F901">
        <v>1</v>
      </c>
      <c r="G901">
        <v>37345137</v>
      </c>
      <c r="H901">
        <v>3</v>
      </c>
      <c r="I901" t="s">
        <v>1359</v>
      </c>
      <c r="J901" t="s">
        <v>1360</v>
      </c>
      <c r="K901" t="s">
        <v>1361</v>
      </c>
      <c r="L901">
        <v>1348</v>
      </c>
      <c r="N901">
        <v>1009</v>
      </c>
      <c r="O901" t="s">
        <v>114</v>
      </c>
      <c r="P901" t="s">
        <v>114</v>
      </c>
      <c r="Q901">
        <v>1000</v>
      </c>
      <c r="W901">
        <v>0</v>
      </c>
      <c r="X901">
        <v>-1837888431</v>
      </c>
      <c r="Y901">
        <f t="shared" si="425"/>
        <v>9.9000000000000001E-6</v>
      </c>
      <c r="AA901">
        <v>3246.35</v>
      </c>
      <c r="AB901">
        <v>0</v>
      </c>
      <c r="AC901">
        <v>0</v>
      </c>
      <c r="AD901">
        <v>0</v>
      </c>
      <c r="AE901">
        <v>3246.35</v>
      </c>
      <c r="AF901">
        <v>0</v>
      </c>
      <c r="AG901">
        <v>0</v>
      </c>
      <c r="AH901">
        <v>0</v>
      </c>
      <c r="AI901">
        <v>1</v>
      </c>
      <c r="AJ901">
        <v>1</v>
      </c>
      <c r="AK901">
        <v>1</v>
      </c>
      <c r="AL901">
        <v>1</v>
      </c>
      <c r="AN901">
        <v>0</v>
      </c>
      <c r="AO901">
        <v>1</v>
      </c>
      <c r="AP901">
        <v>0</v>
      </c>
      <c r="AQ901">
        <v>0</v>
      </c>
      <c r="AR901">
        <v>0</v>
      </c>
      <c r="AS901" t="s">
        <v>3</v>
      </c>
      <c r="AT901">
        <v>9.9000000000000001E-6</v>
      </c>
      <c r="AU901" t="s">
        <v>3</v>
      </c>
      <c r="AV901">
        <v>0</v>
      </c>
      <c r="AW901">
        <v>2</v>
      </c>
      <c r="AX901">
        <v>129764282</v>
      </c>
      <c r="AY901">
        <v>1</v>
      </c>
      <c r="AZ901">
        <v>0</v>
      </c>
      <c r="BA901">
        <v>869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0</v>
      </c>
      <c r="BR901">
        <v>0</v>
      </c>
      <c r="BS901">
        <v>0</v>
      </c>
      <c r="BT901">
        <v>0</v>
      </c>
      <c r="BU901">
        <v>0</v>
      </c>
      <c r="BV901">
        <v>0</v>
      </c>
      <c r="BW901">
        <v>0</v>
      </c>
      <c r="CX901">
        <f>ROUND(Y901*Source!I1076,9)</f>
        <v>9.9E-8</v>
      </c>
      <c r="CY901">
        <f t="shared" si="426"/>
        <v>3246.35</v>
      </c>
      <c r="CZ901">
        <f t="shared" si="427"/>
        <v>3246.35</v>
      </c>
      <c r="DA901">
        <f t="shared" si="428"/>
        <v>1</v>
      </c>
      <c r="DB901">
        <f t="shared" si="429"/>
        <v>0.03</v>
      </c>
      <c r="DC901">
        <f t="shared" si="430"/>
        <v>0</v>
      </c>
      <c r="DD901" t="s">
        <v>3</v>
      </c>
      <c r="DE901" t="s">
        <v>3</v>
      </c>
      <c r="DF901">
        <f t="shared" si="423"/>
        <v>0</v>
      </c>
      <c r="DG901">
        <f t="shared" si="421"/>
        <v>0</v>
      </c>
      <c r="DH901">
        <f t="shared" si="422"/>
        <v>0</v>
      </c>
      <c r="DI901">
        <f t="shared" si="424"/>
        <v>0</v>
      </c>
      <c r="DJ901">
        <f t="shared" si="431"/>
        <v>0</v>
      </c>
      <c r="DK901">
        <v>0</v>
      </c>
    </row>
    <row r="902" spans="1:115" x14ac:dyDescent="0.2">
      <c r="A902">
        <f>ROW(Source!A1076)</f>
        <v>1076</v>
      </c>
      <c r="B902">
        <v>129761636</v>
      </c>
      <c r="C902">
        <v>129764262</v>
      </c>
      <c r="D902">
        <v>37393471</v>
      </c>
      <c r="E902">
        <v>1</v>
      </c>
      <c r="F902">
        <v>1</v>
      </c>
      <c r="G902">
        <v>37345137</v>
      </c>
      <c r="H902">
        <v>3</v>
      </c>
      <c r="I902" t="s">
        <v>1380</v>
      </c>
      <c r="J902" t="s">
        <v>1381</v>
      </c>
      <c r="K902" t="s">
        <v>1382</v>
      </c>
      <c r="L902">
        <v>1339</v>
      </c>
      <c r="N902">
        <v>1007</v>
      </c>
      <c r="O902" t="s">
        <v>94</v>
      </c>
      <c r="P902" t="s">
        <v>94</v>
      </c>
      <c r="Q902">
        <v>1</v>
      </c>
      <c r="W902">
        <v>0</v>
      </c>
      <c r="X902">
        <v>-1326519054</v>
      </c>
      <c r="Y902">
        <f t="shared" si="425"/>
        <v>0.38</v>
      </c>
      <c r="AA902">
        <v>53.57</v>
      </c>
      <c r="AB902">
        <v>0</v>
      </c>
      <c r="AC902">
        <v>0</v>
      </c>
      <c r="AD902">
        <v>0</v>
      </c>
      <c r="AE902">
        <v>53.57</v>
      </c>
      <c r="AF902">
        <v>0</v>
      </c>
      <c r="AG902">
        <v>0</v>
      </c>
      <c r="AH902">
        <v>0</v>
      </c>
      <c r="AI902">
        <v>1</v>
      </c>
      <c r="AJ902">
        <v>1</v>
      </c>
      <c r="AK902">
        <v>1</v>
      </c>
      <c r="AL902">
        <v>1</v>
      </c>
      <c r="AN902">
        <v>0</v>
      </c>
      <c r="AO902">
        <v>1</v>
      </c>
      <c r="AP902">
        <v>0</v>
      </c>
      <c r="AQ902">
        <v>0</v>
      </c>
      <c r="AR902">
        <v>0</v>
      </c>
      <c r="AS902" t="s">
        <v>3</v>
      </c>
      <c r="AT902">
        <v>0.38</v>
      </c>
      <c r="AU902" t="s">
        <v>3</v>
      </c>
      <c r="AV902">
        <v>0</v>
      </c>
      <c r="AW902">
        <v>2</v>
      </c>
      <c r="AX902">
        <v>129764283</v>
      </c>
      <c r="AY902">
        <v>1</v>
      </c>
      <c r="AZ902">
        <v>0</v>
      </c>
      <c r="BA902">
        <v>870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0</v>
      </c>
      <c r="BR902">
        <v>0</v>
      </c>
      <c r="BS902">
        <v>0</v>
      </c>
      <c r="BT902">
        <v>0</v>
      </c>
      <c r="BU902">
        <v>0</v>
      </c>
      <c r="BV902">
        <v>0</v>
      </c>
      <c r="BW902">
        <v>0</v>
      </c>
      <c r="CX902">
        <f>ROUND(Y902*Source!I1076,9)</f>
        <v>3.8E-3</v>
      </c>
      <c r="CY902">
        <f t="shared" si="426"/>
        <v>53.57</v>
      </c>
      <c r="CZ902">
        <f t="shared" si="427"/>
        <v>53.57</v>
      </c>
      <c r="DA902">
        <f t="shared" si="428"/>
        <v>1</v>
      </c>
      <c r="DB902">
        <f t="shared" si="429"/>
        <v>20.36</v>
      </c>
      <c r="DC902">
        <f t="shared" si="430"/>
        <v>0</v>
      </c>
      <c r="DD902" t="s">
        <v>3</v>
      </c>
      <c r="DE902" t="s">
        <v>3</v>
      </c>
      <c r="DF902">
        <f t="shared" si="423"/>
        <v>0.2</v>
      </c>
      <c r="DG902">
        <f t="shared" si="421"/>
        <v>0</v>
      </c>
      <c r="DH902">
        <f t="shared" si="422"/>
        <v>0</v>
      </c>
      <c r="DI902">
        <f t="shared" si="424"/>
        <v>0</v>
      </c>
      <c r="DJ902">
        <f t="shared" si="431"/>
        <v>0.2</v>
      </c>
      <c r="DK902">
        <v>0</v>
      </c>
    </row>
    <row r="903" spans="1:115" x14ac:dyDescent="0.2">
      <c r="A903">
        <f>ROW(Source!A1076)</f>
        <v>1076</v>
      </c>
      <c r="B903">
        <v>129761636</v>
      </c>
      <c r="C903">
        <v>129764262</v>
      </c>
      <c r="D903">
        <v>37393799</v>
      </c>
      <c r="E903">
        <v>1</v>
      </c>
      <c r="F903">
        <v>1</v>
      </c>
      <c r="G903">
        <v>37345137</v>
      </c>
      <c r="H903">
        <v>3</v>
      </c>
      <c r="I903" t="s">
        <v>590</v>
      </c>
      <c r="J903" t="s">
        <v>592</v>
      </c>
      <c r="K903" t="s">
        <v>591</v>
      </c>
      <c r="L903">
        <v>1339</v>
      </c>
      <c r="N903">
        <v>1007</v>
      </c>
      <c r="O903" t="s">
        <v>94</v>
      </c>
      <c r="P903" t="s">
        <v>94</v>
      </c>
      <c r="Q903">
        <v>1</v>
      </c>
      <c r="W903">
        <v>0</v>
      </c>
      <c r="X903">
        <v>-1236741395</v>
      </c>
      <c r="Y903">
        <f t="shared" si="425"/>
        <v>0.64600000000000002</v>
      </c>
      <c r="AA903">
        <v>5.91</v>
      </c>
      <c r="AB903">
        <v>0</v>
      </c>
      <c r="AC903">
        <v>0</v>
      </c>
      <c r="AD903">
        <v>0</v>
      </c>
      <c r="AE903">
        <v>5.91</v>
      </c>
      <c r="AF903">
        <v>0</v>
      </c>
      <c r="AG903">
        <v>0</v>
      </c>
      <c r="AH903">
        <v>0</v>
      </c>
      <c r="AI903">
        <v>1</v>
      </c>
      <c r="AJ903">
        <v>1</v>
      </c>
      <c r="AK903">
        <v>1</v>
      </c>
      <c r="AL903">
        <v>1</v>
      </c>
      <c r="AN903">
        <v>0</v>
      </c>
      <c r="AO903">
        <v>1</v>
      </c>
      <c r="AP903">
        <v>0</v>
      </c>
      <c r="AQ903">
        <v>0</v>
      </c>
      <c r="AR903">
        <v>0</v>
      </c>
      <c r="AS903" t="s">
        <v>3</v>
      </c>
      <c r="AT903">
        <v>0.64600000000000002</v>
      </c>
      <c r="AU903" t="s">
        <v>3</v>
      </c>
      <c r="AV903">
        <v>0</v>
      </c>
      <c r="AW903">
        <v>2</v>
      </c>
      <c r="AX903">
        <v>129764284</v>
      </c>
      <c r="AY903">
        <v>1</v>
      </c>
      <c r="AZ903">
        <v>0</v>
      </c>
      <c r="BA903">
        <v>871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0</v>
      </c>
      <c r="BR903">
        <v>0</v>
      </c>
      <c r="BS903">
        <v>0</v>
      </c>
      <c r="BT903">
        <v>0</v>
      </c>
      <c r="BU903">
        <v>0</v>
      </c>
      <c r="BV903">
        <v>0</v>
      </c>
      <c r="BW903">
        <v>0</v>
      </c>
      <c r="CX903">
        <f>ROUND(Y903*Source!I1076,9)</f>
        <v>6.4599999999999996E-3</v>
      </c>
      <c r="CY903">
        <f t="shared" si="426"/>
        <v>5.91</v>
      </c>
      <c r="CZ903">
        <f t="shared" si="427"/>
        <v>5.91</v>
      </c>
      <c r="DA903">
        <f t="shared" si="428"/>
        <v>1</v>
      </c>
      <c r="DB903">
        <f t="shared" si="429"/>
        <v>3.82</v>
      </c>
      <c r="DC903">
        <f t="shared" si="430"/>
        <v>0</v>
      </c>
      <c r="DD903" t="s">
        <v>3</v>
      </c>
      <c r="DE903" t="s">
        <v>3</v>
      </c>
      <c r="DF903">
        <f t="shared" si="423"/>
        <v>0.04</v>
      </c>
      <c r="DG903">
        <f t="shared" si="421"/>
        <v>0</v>
      </c>
      <c r="DH903">
        <f t="shared" si="422"/>
        <v>0</v>
      </c>
      <c r="DI903">
        <f t="shared" si="424"/>
        <v>0</v>
      </c>
      <c r="DJ903">
        <f t="shared" si="431"/>
        <v>0.04</v>
      </c>
      <c r="DK903">
        <v>0</v>
      </c>
    </row>
    <row r="904" spans="1:115" x14ac:dyDescent="0.2">
      <c r="A904">
        <f>ROW(Source!A1076)</f>
        <v>1076</v>
      </c>
      <c r="B904">
        <v>129761636</v>
      </c>
      <c r="C904">
        <v>129764262</v>
      </c>
      <c r="D904">
        <v>37393883</v>
      </c>
      <c r="E904">
        <v>1</v>
      </c>
      <c r="F904">
        <v>1</v>
      </c>
      <c r="G904">
        <v>37345137</v>
      </c>
      <c r="H904">
        <v>3</v>
      </c>
      <c r="I904" t="s">
        <v>1383</v>
      </c>
      <c r="J904" t="s">
        <v>1384</v>
      </c>
      <c r="K904" t="s">
        <v>1385</v>
      </c>
      <c r="L904">
        <v>1348</v>
      </c>
      <c r="N904">
        <v>1009</v>
      </c>
      <c r="O904" t="s">
        <v>114</v>
      </c>
      <c r="P904" t="s">
        <v>114</v>
      </c>
      <c r="Q904">
        <v>1000</v>
      </c>
      <c r="W904">
        <v>0</v>
      </c>
      <c r="X904">
        <v>-434568416</v>
      </c>
      <c r="Y904">
        <f t="shared" si="425"/>
        <v>1.0399999999999999E-3</v>
      </c>
      <c r="AA904">
        <v>16222.39</v>
      </c>
      <c r="AB904">
        <v>0</v>
      </c>
      <c r="AC904">
        <v>0</v>
      </c>
      <c r="AD904">
        <v>0</v>
      </c>
      <c r="AE904">
        <v>16222.39</v>
      </c>
      <c r="AF904">
        <v>0</v>
      </c>
      <c r="AG904">
        <v>0</v>
      </c>
      <c r="AH904">
        <v>0</v>
      </c>
      <c r="AI904">
        <v>1</v>
      </c>
      <c r="AJ904">
        <v>1</v>
      </c>
      <c r="AK904">
        <v>1</v>
      </c>
      <c r="AL904">
        <v>1</v>
      </c>
      <c r="AN904">
        <v>0</v>
      </c>
      <c r="AO904">
        <v>1</v>
      </c>
      <c r="AP904">
        <v>0</v>
      </c>
      <c r="AQ904">
        <v>0</v>
      </c>
      <c r="AR904">
        <v>0</v>
      </c>
      <c r="AS904" t="s">
        <v>3</v>
      </c>
      <c r="AT904">
        <v>1.0399999999999999E-3</v>
      </c>
      <c r="AU904" t="s">
        <v>3</v>
      </c>
      <c r="AV904">
        <v>0</v>
      </c>
      <c r="AW904">
        <v>2</v>
      </c>
      <c r="AX904">
        <v>129764285</v>
      </c>
      <c r="AY904">
        <v>1</v>
      </c>
      <c r="AZ904">
        <v>0</v>
      </c>
      <c r="BA904">
        <v>872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0</v>
      </c>
      <c r="BR904">
        <v>0</v>
      </c>
      <c r="BS904">
        <v>0</v>
      </c>
      <c r="BT904">
        <v>0</v>
      </c>
      <c r="BU904">
        <v>0</v>
      </c>
      <c r="BV904">
        <v>0</v>
      </c>
      <c r="BW904">
        <v>0</v>
      </c>
      <c r="CX904">
        <f>ROUND(Y904*Source!I1076,9)</f>
        <v>1.04E-5</v>
      </c>
      <c r="CY904">
        <f t="shared" si="426"/>
        <v>16222.39</v>
      </c>
      <c r="CZ904">
        <f t="shared" si="427"/>
        <v>16222.39</v>
      </c>
      <c r="DA904">
        <f t="shared" si="428"/>
        <v>1</v>
      </c>
      <c r="DB904">
        <f t="shared" si="429"/>
        <v>16.87</v>
      </c>
      <c r="DC904">
        <f t="shared" si="430"/>
        <v>0</v>
      </c>
      <c r="DD904" t="s">
        <v>3</v>
      </c>
      <c r="DE904" t="s">
        <v>3</v>
      </c>
      <c r="DF904">
        <f t="shared" si="423"/>
        <v>0.17</v>
      </c>
      <c r="DG904">
        <f t="shared" si="421"/>
        <v>0</v>
      </c>
      <c r="DH904">
        <f t="shared" si="422"/>
        <v>0</v>
      </c>
      <c r="DI904">
        <f t="shared" si="424"/>
        <v>0</v>
      </c>
      <c r="DJ904">
        <f t="shared" si="431"/>
        <v>0.17</v>
      </c>
      <c r="DK904">
        <v>0</v>
      </c>
    </row>
    <row r="905" spans="1:115" x14ac:dyDescent="0.2">
      <c r="A905">
        <f>ROW(Source!A1076)</f>
        <v>1076</v>
      </c>
      <c r="B905">
        <v>129761636</v>
      </c>
      <c r="C905">
        <v>129764262</v>
      </c>
      <c r="D905">
        <v>37394085</v>
      </c>
      <c r="E905">
        <v>1</v>
      </c>
      <c r="F905">
        <v>1</v>
      </c>
      <c r="G905">
        <v>37345137</v>
      </c>
      <c r="H905">
        <v>3</v>
      </c>
      <c r="I905" t="s">
        <v>1386</v>
      </c>
      <c r="J905" t="s">
        <v>1387</v>
      </c>
      <c r="K905" t="s">
        <v>1388</v>
      </c>
      <c r="L905">
        <v>1346</v>
      </c>
      <c r="N905">
        <v>1009</v>
      </c>
      <c r="O905" t="s">
        <v>369</v>
      </c>
      <c r="P905" t="s">
        <v>369</v>
      </c>
      <c r="Q905">
        <v>1</v>
      </c>
      <c r="W905">
        <v>0</v>
      </c>
      <c r="X905">
        <v>-1082935818</v>
      </c>
      <c r="Y905">
        <f t="shared" si="425"/>
        <v>0.12</v>
      </c>
      <c r="AA905">
        <v>20.190000000000001</v>
      </c>
      <c r="AB905">
        <v>0</v>
      </c>
      <c r="AC905">
        <v>0</v>
      </c>
      <c r="AD905">
        <v>0</v>
      </c>
      <c r="AE905">
        <v>20.190000000000001</v>
      </c>
      <c r="AF905">
        <v>0</v>
      </c>
      <c r="AG905">
        <v>0</v>
      </c>
      <c r="AH905">
        <v>0</v>
      </c>
      <c r="AI905">
        <v>1</v>
      </c>
      <c r="AJ905">
        <v>1</v>
      </c>
      <c r="AK905">
        <v>1</v>
      </c>
      <c r="AL905">
        <v>1</v>
      </c>
      <c r="AN905">
        <v>0</v>
      </c>
      <c r="AO905">
        <v>1</v>
      </c>
      <c r="AP905">
        <v>0</v>
      </c>
      <c r="AQ905">
        <v>0</v>
      </c>
      <c r="AR905">
        <v>0</v>
      </c>
      <c r="AS905" t="s">
        <v>3</v>
      </c>
      <c r="AT905">
        <v>0.12</v>
      </c>
      <c r="AU905" t="s">
        <v>3</v>
      </c>
      <c r="AV905">
        <v>0</v>
      </c>
      <c r="AW905">
        <v>2</v>
      </c>
      <c r="AX905">
        <v>129764286</v>
      </c>
      <c r="AY905">
        <v>1</v>
      </c>
      <c r="AZ905">
        <v>0</v>
      </c>
      <c r="BA905">
        <v>873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0</v>
      </c>
      <c r="BQ905">
        <v>0</v>
      </c>
      <c r="BR905">
        <v>0</v>
      </c>
      <c r="BS905">
        <v>0</v>
      </c>
      <c r="BT905">
        <v>0</v>
      </c>
      <c r="BU905">
        <v>0</v>
      </c>
      <c r="BV905">
        <v>0</v>
      </c>
      <c r="BW905">
        <v>0</v>
      </c>
      <c r="CX905">
        <f>ROUND(Y905*Source!I1076,9)</f>
        <v>1.1999999999999999E-3</v>
      </c>
      <c r="CY905">
        <f t="shared" si="426"/>
        <v>20.190000000000001</v>
      </c>
      <c r="CZ905">
        <f t="shared" si="427"/>
        <v>20.190000000000001</v>
      </c>
      <c r="DA905">
        <f t="shared" si="428"/>
        <v>1</v>
      </c>
      <c r="DB905">
        <f t="shared" si="429"/>
        <v>2.42</v>
      </c>
      <c r="DC905">
        <f t="shared" si="430"/>
        <v>0</v>
      </c>
      <c r="DD905" t="s">
        <v>3</v>
      </c>
      <c r="DE905" t="s">
        <v>3</v>
      </c>
      <c r="DF905">
        <f t="shared" si="423"/>
        <v>0.02</v>
      </c>
      <c r="DG905">
        <f t="shared" si="421"/>
        <v>0</v>
      </c>
      <c r="DH905">
        <f t="shared" si="422"/>
        <v>0</v>
      </c>
      <c r="DI905">
        <f t="shared" si="424"/>
        <v>0</v>
      </c>
      <c r="DJ905">
        <f t="shared" si="431"/>
        <v>0.02</v>
      </c>
      <c r="DK905">
        <v>0</v>
      </c>
    </row>
    <row r="906" spans="1:115" x14ac:dyDescent="0.2">
      <c r="A906">
        <f>ROW(Source!A1076)</f>
        <v>1076</v>
      </c>
      <c r="B906">
        <v>129761636</v>
      </c>
      <c r="C906">
        <v>129764262</v>
      </c>
      <c r="D906">
        <v>37394293</v>
      </c>
      <c r="E906">
        <v>1</v>
      </c>
      <c r="F906">
        <v>1</v>
      </c>
      <c r="G906">
        <v>37345137</v>
      </c>
      <c r="H906">
        <v>3</v>
      </c>
      <c r="I906" t="s">
        <v>1389</v>
      </c>
      <c r="J906" t="s">
        <v>1390</v>
      </c>
      <c r="K906" t="s">
        <v>1391</v>
      </c>
      <c r="L906">
        <v>1348</v>
      </c>
      <c r="N906">
        <v>1009</v>
      </c>
      <c r="O906" t="s">
        <v>114</v>
      </c>
      <c r="P906" t="s">
        <v>114</v>
      </c>
      <c r="Q906">
        <v>1000</v>
      </c>
      <c r="W906">
        <v>0</v>
      </c>
      <c r="X906">
        <v>1703733581</v>
      </c>
      <c r="Y906">
        <f t="shared" si="425"/>
        <v>4.0000000000000002E-4</v>
      </c>
      <c r="AA906">
        <v>35451.18</v>
      </c>
      <c r="AB906">
        <v>0</v>
      </c>
      <c r="AC906">
        <v>0</v>
      </c>
      <c r="AD906">
        <v>0</v>
      </c>
      <c r="AE906">
        <v>35451.18</v>
      </c>
      <c r="AF906">
        <v>0</v>
      </c>
      <c r="AG906">
        <v>0</v>
      </c>
      <c r="AH906">
        <v>0</v>
      </c>
      <c r="AI906">
        <v>1</v>
      </c>
      <c r="AJ906">
        <v>1</v>
      </c>
      <c r="AK906">
        <v>1</v>
      </c>
      <c r="AL906">
        <v>1</v>
      </c>
      <c r="AN906">
        <v>0</v>
      </c>
      <c r="AO906">
        <v>1</v>
      </c>
      <c r="AP906">
        <v>0</v>
      </c>
      <c r="AQ906">
        <v>0</v>
      </c>
      <c r="AR906">
        <v>0</v>
      </c>
      <c r="AS906" t="s">
        <v>3</v>
      </c>
      <c r="AT906">
        <v>4.0000000000000002E-4</v>
      </c>
      <c r="AU906" t="s">
        <v>3</v>
      </c>
      <c r="AV906">
        <v>0</v>
      </c>
      <c r="AW906">
        <v>2</v>
      </c>
      <c r="AX906">
        <v>129764287</v>
      </c>
      <c r="AY906">
        <v>1</v>
      </c>
      <c r="AZ906">
        <v>0</v>
      </c>
      <c r="BA906">
        <v>874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0</v>
      </c>
      <c r="BS906">
        <v>0</v>
      </c>
      <c r="BT906">
        <v>0</v>
      </c>
      <c r="BU906">
        <v>0</v>
      </c>
      <c r="BV906">
        <v>0</v>
      </c>
      <c r="BW906">
        <v>0</v>
      </c>
      <c r="CX906">
        <f>ROUND(Y906*Source!I1076,9)</f>
        <v>3.9999999999999998E-6</v>
      </c>
      <c r="CY906">
        <f t="shared" si="426"/>
        <v>35451.18</v>
      </c>
      <c r="CZ906">
        <f t="shared" si="427"/>
        <v>35451.18</v>
      </c>
      <c r="DA906">
        <f t="shared" si="428"/>
        <v>1</v>
      </c>
      <c r="DB906">
        <f t="shared" si="429"/>
        <v>14.18</v>
      </c>
      <c r="DC906">
        <f t="shared" si="430"/>
        <v>0</v>
      </c>
      <c r="DD906" t="s">
        <v>3</v>
      </c>
      <c r="DE906" t="s">
        <v>3</v>
      </c>
      <c r="DF906">
        <f t="shared" si="423"/>
        <v>0.14000000000000001</v>
      </c>
      <c r="DG906">
        <f t="shared" si="421"/>
        <v>0</v>
      </c>
      <c r="DH906">
        <f t="shared" si="422"/>
        <v>0</v>
      </c>
      <c r="DI906">
        <f t="shared" si="424"/>
        <v>0</v>
      </c>
      <c r="DJ906">
        <f t="shared" si="431"/>
        <v>0.14000000000000001</v>
      </c>
      <c r="DK906">
        <v>0</v>
      </c>
    </row>
    <row r="907" spans="1:115" x14ac:dyDescent="0.2">
      <c r="A907">
        <f>ROW(Source!A1076)</f>
        <v>1076</v>
      </c>
      <c r="B907">
        <v>129761636</v>
      </c>
      <c r="C907">
        <v>129764262</v>
      </c>
      <c r="D907">
        <v>37397852</v>
      </c>
      <c r="E907">
        <v>1</v>
      </c>
      <c r="F907">
        <v>1</v>
      </c>
      <c r="G907">
        <v>37345137</v>
      </c>
      <c r="H907">
        <v>3</v>
      </c>
      <c r="I907" t="s">
        <v>886</v>
      </c>
      <c r="J907" t="s">
        <v>888</v>
      </c>
      <c r="K907" t="s">
        <v>887</v>
      </c>
      <c r="L907">
        <v>1301</v>
      </c>
      <c r="N907">
        <v>1003</v>
      </c>
      <c r="O907" t="s">
        <v>270</v>
      </c>
      <c r="P907" t="s">
        <v>270</v>
      </c>
      <c r="Q907">
        <v>1</v>
      </c>
      <c r="W907">
        <v>0</v>
      </c>
      <c r="X907">
        <v>1721147367</v>
      </c>
      <c r="Y907">
        <f t="shared" si="425"/>
        <v>100</v>
      </c>
      <c r="AA907">
        <v>31.42</v>
      </c>
      <c r="AB907">
        <v>0</v>
      </c>
      <c r="AC907">
        <v>0</v>
      </c>
      <c r="AD907">
        <v>0</v>
      </c>
      <c r="AE907">
        <v>31.42</v>
      </c>
      <c r="AF907">
        <v>0</v>
      </c>
      <c r="AG907">
        <v>0</v>
      </c>
      <c r="AH907">
        <v>0</v>
      </c>
      <c r="AI907">
        <v>1</v>
      </c>
      <c r="AJ907">
        <v>1</v>
      </c>
      <c r="AK907">
        <v>1</v>
      </c>
      <c r="AL907">
        <v>1</v>
      </c>
      <c r="AN907">
        <v>0</v>
      </c>
      <c r="AO907">
        <v>0</v>
      </c>
      <c r="AP907">
        <v>0</v>
      </c>
      <c r="AQ907">
        <v>0</v>
      </c>
      <c r="AR907">
        <v>0</v>
      </c>
      <c r="AS907" t="s">
        <v>3</v>
      </c>
      <c r="AT907">
        <v>100</v>
      </c>
      <c r="AU907" t="s">
        <v>3</v>
      </c>
      <c r="AV907">
        <v>0</v>
      </c>
      <c r="AW907">
        <v>1</v>
      </c>
      <c r="AX907">
        <v>-1</v>
      </c>
      <c r="AY907">
        <v>0</v>
      </c>
      <c r="AZ907">
        <v>0</v>
      </c>
      <c r="BA907" t="s">
        <v>3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0</v>
      </c>
      <c r="BW907">
        <v>0</v>
      </c>
      <c r="CX907">
        <f>ROUND(Y907*Source!I1076,9)</f>
        <v>1</v>
      </c>
      <c r="CY907">
        <f t="shared" si="426"/>
        <v>31.42</v>
      </c>
      <c r="CZ907">
        <f t="shared" si="427"/>
        <v>31.42</v>
      </c>
      <c r="DA907">
        <f t="shared" si="428"/>
        <v>1</v>
      </c>
      <c r="DB907">
        <f t="shared" si="429"/>
        <v>3142</v>
      </c>
      <c r="DC907">
        <f t="shared" si="430"/>
        <v>0</v>
      </c>
      <c r="DD907" t="s">
        <v>3</v>
      </c>
      <c r="DE907" t="s">
        <v>3</v>
      </c>
      <c r="DF907">
        <f t="shared" si="423"/>
        <v>31.42</v>
      </c>
      <c r="DG907">
        <f t="shared" si="421"/>
        <v>0</v>
      </c>
      <c r="DH907">
        <f t="shared" si="422"/>
        <v>0</v>
      </c>
      <c r="DI907">
        <f t="shared" si="424"/>
        <v>0</v>
      </c>
      <c r="DJ907">
        <f t="shared" si="431"/>
        <v>31.42</v>
      </c>
      <c r="DK907">
        <v>0</v>
      </c>
    </row>
    <row r="908" spans="1:115" x14ac:dyDescent="0.2">
      <c r="A908">
        <f>ROW(Source!A1077)</f>
        <v>1077</v>
      </c>
      <c r="B908">
        <v>129761633</v>
      </c>
      <c r="C908">
        <v>129764262</v>
      </c>
      <c r="D908">
        <v>37345142</v>
      </c>
      <c r="E908">
        <v>37345137</v>
      </c>
      <c r="F908">
        <v>1</v>
      </c>
      <c r="G908">
        <v>37345137</v>
      </c>
      <c r="H908">
        <v>1</v>
      </c>
      <c r="I908" t="s">
        <v>1096</v>
      </c>
      <c r="J908" t="s">
        <v>3</v>
      </c>
      <c r="K908" t="s">
        <v>1097</v>
      </c>
      <c r="L908">
        <v>1191</v>
      </c>
      <c r="N908">
        <v>1013</v>
      </c>
      <c r="O908" t="s">
        <v>1098</v>
      </c>
      <c r="P908" t="s">
        <v>1098</v>
      </c>
      <c r="Q908">
        <v>1</v>
      </c>
      <c r="W908">
        <v>0</v>
      </c>
      <c r="X908">
        <v>476480486</v>
      </c>
      <c r="Y908">
        <f>(AT908*1.15)</f>
        <v>49.794999999999995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1</v>
      </c>
      <c r="AJ908">
        <v>1</v>
      </c>
      <c r="AK908">
        <v>1</v>
      </c>
      <c r="AL908">
        <v>1</v>
      </c>
      <c r="AN908">
        <v>0</v>
      </c>
      <c r="AO908">
        <v>1</v>
      </c>
      <c r="AP908">
        <v>1</v>
      </c>
      <c r="AQ908">
        <v>0</v>
      </c>
      <c r="AR908">
        <v>0</v>
      </c>
      <c r="AS908" t="s">
        <v>3</v>
      </c>
      <c r="AT908">
        <v>43.3</v>
      </c>
      <c r="AU908" t="s">
        <v>87</v>
      </c>
      <c r="AV908">
        <v>1</v>
      </c>
      <c r="AW908">
        <v>2</v>
      </c>
      <c r="AX908">
        <v>129764276</v>
      </c>
      <c r="AY908">
        <v>1</v>
      </c>
      <c r="AZ908">
        <v>0</v>
      </c>
      <c r="BA908">
        <v>878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0</v>
      </c>
      <c r="BR908">
        <v>0</v>
      </c>
      <c r="BS908">
        <v>0</v>
      </c>
      <c r="BT908">
        <v>0</v>
      </c>
      <c r="BU908">
        <v>0</v>
      </c>
      <c r="BV908">
        <v>0</v>
      </c>
      <c r="BW908">
        <v>0</v>
      </c>
      <c r="CX908">
        <f>ROUND(Y908*Source!I1077,9)</f>
        <v>0.49795</v>
      </c>
      <c r="CY908">
        <f>AD908</f>
        <v>0</v>
      </c>
      <c r="CZ908">
        <f>AH908</f>
        <v>0</v>
      </c>
      <c r="DA908">
        <f>AL908</f>
        <v>1</v>
      </c>
      <c r="DB908">
        <f>ROUND((ROUND(AT908*CZ908,2)*1.15),6)</f>
        <v>0</v>
      </c>
      <c r="DC908">
        <f>ROUND((ROUND(AT908*AG908,2)*1.15),6)</f>
        <v>0</v>
      </c>
      <c r="DD908" t="s">
        <v>3</v>
      </c>
      <c r="DE908" t="s">
        <v>3</v>
      </c>
      <c r="DF908">
        <f t="shared" si="423"/>
        <v>0</v>
      </c>
      <c r="DG908">
        <f t="shared" si="421"/>
        <v>0</v>
      </c>
      <c r="DH908">
        <f t="shared" si="422"/>
        <v>0</v>
      </c>
      <c r="DI908">
        <f t="shared" si="424"/>
        <v>0</v>
      </c>
      <c r="DJ908">
        <f>DI908</f>
        <v>0</v>
      </c>
      <c r="DK908">
        <v>0</v>
      </c>
    </row>
    <row r="909" spans="1:115" x14ac:dyDescent="0.2">
      <c r="A909">
        <f>ROW(Source!A1077)</f>
        <v>1077</v>
      </c>
      <c r="B909">
        <v>129761633</v>
      </c>
      <c r="C909">
        <v>129764262</v>
      </c>
      <c r="D909">
        <v>37418158</v>
      </c>
      <c r="E909">
        <v>1</v>
      </c>
      <c r="F909">
        <v>1</v>
      </c>
      <c r="G909">
        <v>37345137</v>
      </c>
      <c r="H909">
        <v>2</v>
      </c>
      <c r="I909" t="s">
        <v>1374</v>
      </c>
      <c r="J909" t="s">
        <v>1375</v>
      </c>
      <c r="K909" t="s">
        <v>1376</v>
      </c>
      <c r="L909">
        <v>1367</v>
      </c>
      <c r="N909">
        <v>1011</v>
      </c>
      <c r="O909" t="s">
        <v>1102</v>
      </c>
      <c r="P909" t="s">
        <v>1102</v>
      </c>
      <c r="Q909">
        <v>1</v>
      </c>
      <c r="W909">
        <v>0</v>
      </c>
      <c r="X909">
        <v>1295654915</v>
      </c>
      <c r="Y909">
        <f>(AT909*1.25)</f>
        <v>2.1124999999999998</v>
      </c>
      <c r="AA909">
        <v>0</v>
      </c>
      <c r="AB909">
        <v>53.88</v>
      </c>
      <c r="AC909">
        <v>0</v>
      </c>
      <c r="AD909">
        <v>0</v>
      </c>
      <c r="AE909">
        <v>0</v>
      </c>
      <c r="AF909">
        <v>4.8600000000000003</v>
      </c>
      <c r="AG909">
        <v>0</v>
      </c>
      <c r="AH909">
        <v>0</v>
      </c>
      <c r="AI909">
        <v>1</v>
      </c>
      <c r="AJ909">
        <v>10.39</v>
      </c>
      <c r="AK909">
        <v>29.03</v>
      </c>
      <c r="AL909">
        <v>1</v>
      </c>
      <c r="AN909">
        <v>0</v>
      </c>
      <c r="AO909">
        <v>1</v>
      </c>
      <c r="AP909">
        <v>1</v>
      </c>
      <c r="AQ909">
        <v>0</v>
      </c>
      <c r="AR909">
        <v>0</v>
      </c>
      <c r="AS909" t="s">
        <v>3</v>
      </c>
      <c r="AT909">
        <v>1.69</v>
      </c>
      <c r="AU909" t="s">
        <v>86</v>
      </c>
      <c r="AV909">
        <v>0</v>
      </c>
      <c r="AW909">
        <v>2</v>
      </c>
      <c r="AX909">
        <v>129764277</v>
      </c>
      <c r="AY909">
        <v>1</v>
      </c>
      <c r="AZ909">
        <v>0</v>
      </c>
      <c r="BA909">
        <v>879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0</v>
      </c>
      <c r="BR909">
        <v>0</v>
      </c>
      <c r="BS909">
        <v>0</v>
      </c>
      <c r="BT909">
        <v>0</v>
      </c>
      <c r="BU909">
        <v>0</v>
      </c>
      <c r="BV909">
        <v>0</v>
      </c>
      <c r="BW909">
        <v>0</v>
      </c>
      <c r="CX909">
        <f>ROUND(Y909*Source!I1077,9)</f>
        <v>2.1125000000000001E-2</v>
      </c>
      <c r="CY909">
        <f>AB909</f>
        <v>53.88</v>
      </c>
      <c r="CZ909">
        <f>AF909</f>
        <v>4.8600000000000003</v>
      </c>
      <c r="DA909">
        <f>AJ909</f>
        <v>10.39</v>
      </c>
      <c r="DB909">
        <f>ROUND((ROUND(AT909*CZ909,2)*1.25),6)</f>
        <v>10.262499999999999</v>
      </c>
      <c r="DC909">
        <f>ROUND((ROUND(AT909*AG909,2)*1.25),6)</f>
        <v>0</v>
      </c>
      <c r="DD909" t="s">
        <v>3</v>
      </c>
      <c r="DE909" t="s">
        <v>3</v>
      </c>
      <c r="DF909">
        <f t="shared" si="423"/>
        <v>0</v>
      </c>
      <c r="DG909">
        <f>ROUND(ROUND(AF909*CX909,2)*AJ909,2)</f>
        <v>1.04</v>
      </c>
      <c r="DH909">
        <f>ROUND(ROUND(AG909*CX909,2)*AK909,2)</f>
        <v>0</v>
      </c>
      <c r="DI909">
        <f t="shared" si="424"/>
        <v>0</v>
      </c>
      <c r="DJ909">
        <f>DG909</f>
        <v>1.04</v>
      </c>
      <c r="DK909">
        <v>0</v>
      </c>
    </row>
    <row r="910" spans="1:115" x14ac:dyDescent="0.2">
      <c r="A910">
        <f>ROW(Source!A1077)</f>
        <v>1077</v>
      </c>
      <c r="B910">
        <v>129761633</v>
      </c>
      <c r="C910">
        <v>129764262</v>
      </c>
      <c r="D910">
        <v>37418445</v>
      </c>
      <c r="E910">
        <v>1</v>
      </c>
      <c r="F910">
        <v>1</v>
      </c>
      <c r="G910">
        <v>37345137</v>
      </c>
      <c r="H910">
        <v>2</v>
      </c>
      <c r="I910" t="s">
        <v>1189</v>
      </c>
      <c r="J910" t="s">
        <v>1190</v>
      </c>
      <c r="K910" t="s">
        <v>1191</v>
      </c>
      <c r="L910">
        <v>1367</v>
      </c>
      <c r="N910">
        <v>1011</v>
      </c>
      <c r="O910" t="s">
        <v>1102</v>
      </c>
      <c r="P910" t="s">
        <v>1102</v>
      </c>
      <c r="Q910">
        <v>1</v>
      </c>
      <c r="W910">
        <v>0</v>
      </c>
      <c r="X910">
        <v>-628430174</v>
      </c>
      <c r="Y910">
        <f>(AT910*1.25)</f>
        <v>0.98750000000000004</v>
      </c>
      <c r="AA910">
        <v>0</v>
      </c>
      <c r="AB910">
        <v>935.94</v>
      </c>
      <c r="AC910">
        <v>444.8</v>
      </c>
      <c r="AD910">
        <v>0</v>
      </c>
      <c r="AE910">
        <v>0</v>
      </c>
      <c r="AF910">
        <v>76.81</v>
      </c>
      <c r="AG910">
        <v>14.36</v>
      </c>
      <c r="AH910">
        <v>0</v>
      </c>
      <c r="AI910">
        <v>1</v>
      </c>
      <c r="AJ910">
        <v>11.42</v>
      </c>
      <c r="AK910">
        <v>29.03</v>
      </c>
      <c r="AL910">
        <v>1</v>
      </c>
      <c r="AN910">
        <v>0</v>
      </c>
      <c r="AO910">
        <v>1</v>
      </c>
      <c r="AP910">
        <v>1</v>
      </c>
      <c r="AQ910">
        <v>0</v>
      </c>
      <c r="AR910">
        <v>0</v>
      </c>
      <c r="AS910" t="s">
        <v>3</v>
      </c>
      <c r="AT910">
        <v>0.79</v>
      </c>
      <c r="AU910" t="s">
        <v>86</v>
      </c>
      <c r="AV910">
        <v>0</v>
      </c>
      <c r="AW910">
        <v>2</v>
      </c>
      <c r="AX910">
        <v>129764278</v>
      </c>
      <c r="AY910">
        <v>1</v>
      </c>
      <c r="AZ910">
        <v>0</v>
      </c>
      <c r="BA910">
        <v>880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0</v>
      </c>
      <c r="BU910">
        <v>0</v>
      </c>
      <c r="BV910">
        <v>0</v>
      </c>
      <c r="BW910">
        <v>0</v>
      </c>
      <c r="CX910">
        <f>ROUND(Y910*Source!I1077,9)</f>
        <v>9.8750000000000001E-3</v>
      </c>
      <c r="CY910">
        <f>AB910</f>
        <v>935.94</v>
      </c>
      <c r="CZ910">
        <f>AF910</f>
        <v>76.81</v>
      </c>
      <c r="DA910">
        <f>AJ910</f>
        <v>11.42</v>
      </c>
      <c r="DB910">
        <f>ROUND((ROUND(AT910*CZ910,2)*1.25),6)</f>
        <v>75.849999999999994</v>
      </c>
      <c r="DC910">
        <f>ROUND((ROUND(AT910*AG910,2)*1.25),6)</f>
        <v>14.175000000000001</v>
      </c>
      <c r="DD910" t="s">
        <v>3</v>
      </c>
      <c r="DE910" t="s">
        <v>3</v>
      </c>
      <c r="DF910">
        <f t="shared" si="423"/>
        <v>0</v>
      </c>
      <c r="DG910">
        <f>ROUND(ROUND(AF910*CX910,2)*AJ910,2)</f>
        <v>8.68</v>
      </c>
      <c r="DH910">
        <f>ROUND(ROUND(AG910*CX910,2)*AK910,2)</f>
        <v>4.0599999999999996</v>
      </c>
      <c r="DI910">
        <f t="shared" si="424"/>
        <v>0</v>
      </c>
      <c r="DJ910">
        <f>DG910</f>
        <v>8.68</v>
      </c>
      <c r="DK910">
        <v>0</v>
      </c>
    </row>
    <row r="911" spans="1:115" x14ac:dyDescent="0.2">
      <c r="A911">
        <f>ROW(Source!A1077)</f>
        <v>1077</v>
      </c>
      <c r="B911">
        <v>129761633</v>
      </c>
      <c r="C911">
        <v>129764262</v>
      </c>
      <c r="D911">
        <v>37417692</v>
      </c>
      <c r="E911">
        <v>1</v>
      </c>
      <c r="F911">
        <v>1</v>
      </c>
      <c r="G911">
        <v>37345137</v>
      </c>
      <c r="H911">
        <v>2</v>
      </c>
      <c r="I911" t="s">
        <v>1127</v>
      </c>
      <c r="J911" t="s">
        <v>1128</v>
      </c>
      <c r="K911" t="s">
        <v>1129</v>
      </c>
      <c r="L911">
        <v>1367</v>
      </c>
      <c r="N911">
        <v>1011</v>
      </c>
      <c r="O911" t="s">
        <v>1102</v>
      </c>
      <c r="P911" t="s">
        <v>1102</v>
      </c>
      <c r="Q911">
        <v>1</v>
      </c>
      <c r="W911">
        <v>0</v>
      </c>
      <c r="X911">
        <v>-266174272</v>
      </c>
      <c r="Y911">
        <f>(AT911*1.25)</f>
        <v>7.4999999999999997E-2</v>
      </c>
      <c r="AA911">
        <v>0</v>
      </c>
      <c r="AB911">
        <v>2098.34</v>
      </c>
      <c r="AC911">
        <v>562.20000000000005</v>
      </c>
      <c r="AD911">
        <v>0</v>
      </c>
      <c r="AE911">
        <v>0</v>
      </c>
      <c r="AF911">
        <v>190.93</v>
      </c>
      <c r="AG911">
        <v>18.149999999999999</v>
      </c>
      <c r="AH911">
        <v>0</v>
      </c>
      <c r="AI911">
        <v>1</v>
      </c>
      <c r="AJ911">
        <v>10.3</v>
      </c>
      <c r="AK911">
        <v>29.03</v>
      </c>
      <c r="AL911">
        <v>1</v>
      </c>
      <c r="AN911">
        <v>0</v>
      </c>
      <c r="AO911">
        <v>1</v>
      </c>
      <c r="AP911">
        <v>1</v>
      </c>
      <c r="AQ911">
        <v>0</v>
      </c>
      <c r="AR911">
        <v>0</v>
      </c>
      <c r="AS911" t="s">
        <v>3</v>
      </c>
      <c r="AT911">
        <v>0.06</v>
      </c>
      <c r="AU911" t="s">
        <v>86</v>
      </c>
      <c r="AV911">
        <v>0</v>
      </c>
      <c r="AW911">
        <v>2</v>
      </c>
      <c r="AX911">
        <v>129764279</v>
      </c>
      <c r="AY911">
        <v>1</v>
      </c>
      <c r="AZ911">
        <v>0</v>
      </c>
      <c r="BA911">
        <v>881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0</v>
      </c>
      <c r="BR911">
        <v>0</v>
      </c>
      <c r="BS911">
        <v>0</v>
      </c>
      <c r="BT911">
        <v>0</v>
      </c>
      <c r="BU911">
        <v>0</v>
      </c>
      <c r="BV911">
        <v>0</v>
      </c>
      <c r="BW911">
        <v>0</v>
      </c>
      <c r="CX911">
        <f>ROUND(Y911*Source!I1077,9)</f>
        <v>7.5000000000000002E-4</v>
      </c>
      <c r="CY911">
        <f>AB911</f>
        <v>2098.34</v>
      </c>
      <c r="CZ911">
        <f>AF911</f>
        <v>190.93</v>
      </c>
      <c r="DA911">
        <f>AJ911</f>
        <v>10.3</v>
      </c>
      <c r="DB911">
        <f>ROUND((ROUND(AT911*CZ911,2)*1.25),6)</f>
        <v>14.324999999999999</v>
      </c>
      <c r="DC911">
        <f>ROUND((ROUND(AT911*AG911,2)*1.25),6)</f>
        <v>1.3625</v>
      </c>
      <c r="DD911" t="s">
        <v>3</v>
      </c>
      <c r="DE911" t="s">
        <v>3</v>
      </c>
      <c r="DF911">
        <f t="shared" si="423"/>
        <v>0</v>
      </c>
      <c r="DG911">
        <f>ROUND(ROUND(AF911*CX911,2)*AJ911,2)</f>
        <v>1.44</v>
      </c>
      <c r="DH911">
        <f>ROUND(ROUND(AG911*CX911,2)*AK911,2)</f>
        <v>0.28999999999999998</v>
      </c>
      <c r="DI911">
        <f t="shared" si="424"/>
        <v>0</v>
      </c>
      <c r="DJ911">
        <f>DG911</f>
        <v>1.44</v>
      </c>
      <c r="DK911">
        <v>0</v>
      </c>
    </row>
    <row r="912" spans="1:115" x14ac:dyDescent="0.2">
      <c r="A912">
        <f>ROW(Source!A1077)</f>
        <v>1077</v>
      </c>
      <c r="B912">
        <v>129761633</v>
      </c>
      <c r="C912">
        <v>129764262</v>
      </c>
      <c r="D912">
        <v>37393552</v>
      </c>
      <c r="E912">
        <v>1</v>
      </c>
      <c r="F912">
        <v>1</v>
      </c>
      <c r="G912">
        <v>37345137</v>
      </c>
      <c r="H912">
        <v>3</v>
      </c>
      <c r="I912" t="s">
        <v>348</v>
      </c>
      <c r="J912" t="s">
        <v>350</v>
      </c>
      <c r="K912" t="s">
        <v>349</v>
      </c>
      <c r="L912">
        <v>1339</v>
      </c>
      <c r="N912">
        <v>1007</v>
      </c>
      <c r="O912" t="s">
        <v>94</v>
      </c>
      <c r="P912" t="s">
        <v>94</v>
      </c>
      <c r="Q912">
        <v>1</v>
      </c>
      <c r="W912">
        <v>0</v>
      </c>
      <c r="X912">
        <v>-862991314</v>
      </c>
      <c r="Y912">
        <f t="shared" ref="Y912:Y920" si="432">AT912</f>
        <v>0.36667</v>
      </c>
      <c r="AA912">
        <v>42.42</v>
      </c>
      <c r="AB912">
        <v>0</v>
      </c>
      <c r="AC912">
        <v>0</v>
      </c>
      <c r="AD912">
        <v>0</v>
      </c>
      <c r="AE912">
        <v>7.07</v>
      </c>
      <c r="AF912">
        <v>0</v>
      </c>
      <c r="AG912">
        <v>0</v>
      </c>
      <c r="AH912">
        <v>0</v>
      </c>
      <c r="AI912">
        <v>6</v>
      </c>
      <c r="AJ912">
        <v>1</v>
      </c>
      <c r="AK912">
        <v>1</v>
      </c>
      <c r="AL912">
        <v>1</v>
      </c>
      <c r="AN912">
        <v>0</v>
      </c>
      <c r="AO912">
        <v>1</v>
      </c>
      <c r="AP912">
        <v>0</v>
      </c>
      <c r="AQ912">
        <v>0</v>
      </c>
      <c r="AR912">
        <v>0</v>
      </c>
      <c r="AS912" t="s">
        <v>3</v>
      </c>
      <c r="AT912">
        <v>0.36667</v>
      </c>
      <c r="AU912" t="s">
        <v>3</v>
      </c>
      <c r="AV912">
        <v>0</v>
      </c>
      <c r="AW912">
        <v>2</v>
      </c>
      <c r="AX912">
        <v>129764280</v>
      </c>
      <c r="AY912">
        <v>1</v>
      </c>
      <c r="AZ912">
        <v>0</v>
      </c>
      <c r="BA912">
        <v>882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0</v>
      </c>
      <c r="BS912">
        <v>0</v>
      </c>
      <c r="BT912">
        <v>0</v>
      </c>
      <c r="BU912">
        <v>0</v>
      </c>
      <c r="BV912">
        <v>0</v>
      </c>
      <c r="BW912">
        <v>0</v>
      </c>
      <c r="CX912">
        <f>ROUND(Y912*Source!I1077,9)</f>
        <v>3.6667000000000002E-3</v>
      </c>
      <c r="CY912">
        <f t="shared" ref="CY912:CY920" si="433">AA912</f>
        <v>42.42</v>
      </c>
      <c r="CZ912">
        <f t="shared" ref="CZ912:CZ920" si="434">AE912</f>
        <v>7.07</v>
      </c>
      <c r="DA912">
        <f t="shared" ref="DA912:DA920" si="435">AI912</f>
        <v>6</v>
      </c>
      <c r="DB912">
        <f t="shared" ref="DB912:DB920" si="436">ROUND(ROUND(AT912*CZ912,2),6)</f>
        <v>2.59</v>
      </c>
      <c r="DC912">
        <f t="shared" ref="DC912:DC920" si="437">ROUND(ROUND(AT912*AG912,2),6)</f>
        <v>0</v>
      </c>
      <c r="DD912" t="s">
        <v>3</v>
      </c>
      <c r="DE912" t="s">
        <v>3</v>
      </c>
      <c r="DF912">
        <f t="shared" ref="DF912:DF920" si="438">ROUND(ROUND(AE912*CX912,2)*AI912,2)</f>
        <v>0.18</v>
      </c>
      <c r="DG912">
        <f t="shared" ref="DG912:DG932" si="439">ROUND(AF912*CX912,2)</f>
        <v>0</v>
      </c>
      <c r="DH912">
        <f t="shared" ref="DH912:DH932" si="440">ROUND(AG912*CX912,2)</f>
        <v>0</v>
      </c>
      <c r="DI912">
        <f t="shared" si="424"/>
        <v>0</v>
      </c>
      <c r="DJ912">
        <f t="shared" ref="DJ912:DJ920" si="441">DF912</f>
        <v>0.18</v>
      </c>
      <c r="DK912">
        <v>0</v>
      </c>
    </row>
    <row r="913" spans="1:115" x14ac:dyDescent="0.2">
      <c r="A913">
        <f>ROW(Source!A1077)</f>
        <v>1077</v>
      </c>
      <c r="B913">
        <v>129761633</v>
      </c>
      <c r="C913">
        <v>129764262</v>
      </c>
      <c r="D913">
        <v>37395666</v>
      </c>
      <c r="E913">
        <v>1</v>
      </c>
      <c r="F913">
        <v>1</v>
      </c>
      <c r="G913">
        <v>37345137</v>
      </c>
      <c r="H913">
        <v>3</v>
      </c>
      <c r="I913" t="s">
        <v>1377</v>
      </c>
      <c r="J913" t="s">
        <v>1378</v>
      </c>
      <c r="K913" t="s">
        <v>1379</v>
      </c>
      <c r="L913">
        <v>1346</v>
      </c>
      <c r="N913">
        <v>1009</v>
      </c>
      <c r="O913" t="s">
        <v>369</v>
      </c>
      <c r="P913" t="s">
        <v>369</v>
      </c>
      <c r="Q913">
        <v>1</v>
      </c>
      <c r="W913">
        <v>0</v>
      </c>
      <c r="X913">
        <v>1037702096</v>
      </c>
      <c r="Y913">
        <f t="shared" si="432"/>
        <v>0.02</v>
      </c>
      <c r="AA913">
        <v>214.7</v>
      </c>
      <c r="AB913">
        <v>0</v>
      </c>
      <c r="AC913">
        <v>0</v>
      </c>
      <c r="AD913">
        <v>0</v>
      </c>
      <c r="AE913">
        <v>38</v>
      </c>
      <c r="AF913">
        <v>0</v>
      </c>
      <c r="AG913">
        <v>0</v>
      </c>
      <c r="AH913">
        <v>0</v>
      </c>
      <c r="AI913">
        <v>5.65</v>
      </c>
      <c r="AJ913">
        <v>1</v>
      </c>
      <c r="AK913">
        <v>1</v>
      </c>
      <c r="AL913">
        <v>1</v>
      </c>
      <c r="AN913">
        <v>0</v>
      </c>
      <c r="AO913">
        <v>1</v>
      </c>
      <c r="AP913">
        <v>0</v>
      </c>
      <c r="AQ913">
        <v>0</v>
      </c>
      <c r="AR913">
        <v>0</v>
      </c>
      <c r="AS913" t="s">
        <v>3</v>
      </c>
      <c r="AT913">
        <v>0.02</v>
      </c>
      <c r="AU913" t="s">
        <v>3</v>
      </c>
      <c r="AV913">
        <v>0</v>
      </c>
      <c r="AW913">
        <v>2</v>
      </c>
      <c r="AX913">
        <v>129764281</v>
      </c>
      <c r="AY913">
        <v>1</v>
      </c>
      <c r="AZ913">
        <v>0</v>
      </c>
      <c r="BA913">
        <v>883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0</v>
      </c>
      <c r="BW913">
        <v>0</v>
      </c>
      <c r="CX913">
        <f>ROUND(Y913*Source!I1077,9)</f>
        <v>2.0000000000000001E-4</v>
      </c>
      <c r="CY913">
        <f t="shared" si="433"/>
        <v>214.7</v>
      </c>
      <c r="CZ913">
        <f t="shared" si="434"/>
        <v>38</v>
      </c>
      <c r="DA913">
        <f t="shared" si="435"/>
        <v>5.65</v>
      </c>
      <c r="DB913">
        <f t="shared" si="436"/>
        <v>0.76</v>
      </c>
      <c r="DC913">
        <f t="shared" si="437"/>
        <v>0</v>
      </c>
      <c r="DD913" t="s">
        <v>3</v>
      </c>
      <c r="DE913" t="s">
        <v>3</v>
      </c>
      <c r="DF913">
        <f t="shared" si="438"/>
        <v>0.06</v>
      </c>
      <c r="DG913">
        <f t="shared" si="439"/>
        <v>0</v>
      </c>
      <c r="DH913">
        <f t="shared" si="440"/>
        <v>0</v>
      </c>
      <c r="DI913">
        <f t="shared" si="424"/>
        <v>0</v>
      </c>
      <c r="DJ913">
        <f t="shared" si="441"/>
        <v>0.06</v>
      </c>
      <c r="DK913">
        <v>0</v>
      </c>
    </row>
    <row r="914" spans="1:115" x14ac:dyDescent="0.2">
      <c r="A914">
        <f>ROW(Source!A1077)</f>
        <v>1077</v>
      </c>
      <c r="B914">
        <v>129761633</v>
      </c>
      <c r="C914">
        <v>129764262</v>
      </c>
      <c r="D914">
        <v>37393685</v>
      </c>
      <c r="E914">
        <v>1</v>
      </c>
      <c r="F914">
        <v>1</v>
      </c>
      <c r="G914">
        <v>37345137</v>
      </c>
      <c r="H914">
        <v>3</v>
      </c>
      <c r="I914" t="s">
        <v>1359</v>
      </c>
      <c r="J914" t="s">
        <v>1360</v>
      </c>
      <c r="K914" t="s">
        <v>1361</v>
      </c>
      <c r="L914">
        <v>1348</v>
      </c>
      <c r="N914">
        <v>1009</v>
      </c>
      <c r="O914" t="s">
        <v>114</v>
      </c>
      <c r="P914" t="s">
        <v>114</v>
      </c>
      <c r="Q914">
        <v>1000</v>
      </c>
      <c r="W914">
        <v>0</v>
      </c>
      <c r="X914">
        <v>-1837888431</v>
      </c>
      <c r="Y914">
        <f t="shared" si="432"/>
        <v>9.9000000000000001E-6</v>
      </c>
      <c r="AA914">
        <v>68238.28</v>
      </c>
      <c r="AB914">
        <v>0</v>
      </c>
      <c r="AC914">
        <v>0</v>
      </c>
      <c r="AD914">
        <v>0</v>
      </c>
      <c r="AE914">
        <v>3246.35</v>
      </c>
      <c r="AF914">
        <v>0</v>
      </c>
      <c r="AG914">
        <v>0</v>
      </c>
      <c r="AH914">
        <v>0</v>
      </c>
      <c r="AI914">
        <v>21.02</v>
      </c>
      <c r="AJ914">
        <v>1</v>
      </c>
      <c r="AK914">
        <v>1</v>
      </c>
      <c r="AL914">
        <v>1</v>
      </c>
      <c r="AN914">
        <v>0</v>
      </c>
      <c r="AO914">
        <v>1</v>
      </c>
      <c r="AP914">
        <v>0</v>
      </c>
      <c r="AQ914">
        <v>0</v>
      </c>
      <c r="AR914">
        <v>0</v>
      </c>
      <c r="AS914" t="s">
        <v>3</v>
      </c>
      <c r="AT914">
        <v>9.9000000000000001E-6</v>
      </c>
      <c r="AU914" t="s">
        <v>3</v>
      </c>
      <c r="AV914">
        <v>0</v>
      </c>
      <c r="AW914">
        <v>2</v>
      </c>
      <c r="AX914">
        <v>129764282</v>
      </c>
      <c r="AY914">
        <v>1</v>
      </c>
      <c r="AZ914">
        <v>0</v>
      </c>
      <c r="BA914">
        <v>884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0</v>
      </c>
      <c r="BW914">
        <v>0</v>
      </c>
      <c r="CX914">
        <f>ROUND(Y914*Source!I1077,9)</f>
        <v>9.9E-8</v>
      </c>
      <c r="CY914">
        <f t="shared" si="433"/>
        <v>68238.28</v>
      </c>
      <c r="CZ914">
        <f t="shared" si="434"/>
        <v>3246.35</v>
      </c>
      <c r="DA914">
        <f t="shared" si="435"/>
        <v>21.02</v>
      </c>
      <c r="DB914">
        <f t="shared" si="436"/>
        <v>0.03</v>
      </c>
      <c r="DC914">
        <f t="shared" si="437"/>
        <v>0</v>
      </c>
      <c r="DD914" t="s">
        <v>3</v>
      </c>
      <c r="DE914" t="s">
        <v>3</v>
      </c>
      <c r="DF914">
        <f t="shared" si="438"/>
        <v>0</v>
      </c>
      <c r="DG914">
        <f t="shared" si="439"/>
        <v>0</v>
      </c>
      <c r="DH914">
        <f t="shared" si="440"/>
        <v>0</v>
      </c>
      <c r="DI914">
        <f t="shared" si="424"/>
        <v>0</v>
      </c>
      <c r="DJ914">
        <f t="shared" si="441"/>
        <v>0</v>
      </c>
      <c r="DK914">
        <v>0</v>
      </c>
    </row>
    <row r="915" spans="1:115" x14ac:dyDescent="0.2">
      <c r="A915">
        <f>ROW(Source!A1077)</f>
        <v>1077</v>
      </c>
      <c r="B915">
        <v>129761633</v>
      </c>
      <c r="C915">
        <v>129764262</v>
      </c>
      <c r="D915">
        <v>37393471</v>
      </c>
      <c r="E915">
        <v>1</v>
      </c>
      <c r="F915">
        <v>1</v>
      </c>
      <c r="G915">
        <v>37345137</v>
      </c>
      <c r="H915">
        <v>3</v>
      </c>
      <c r="I915" t="s">
        <v>1380</v>
      </c>
      <c r="J915" t="s">
        <v>1381</v>
      </c>
      <c r="K915" t="s">
        <v>1382</v>
      </c>
      <c r="L915">
        <v>1339</v>
      </c>
      <c r="N915">
        <v>1007</v>
      </c>
      <c r="O915" t="s">
        <v>94</v>
      </c>
      <c r="P915" t="s">
        <v>94</v>
      </c>
      <c r="Q915">
        <v>1</v>
      </c>
      <c r="W915">
        <v>0</v>
      </c>
      <c r="X915">
        <v>-1326519054</v>
      </c>
      <c r="Y915">
        <f t="shared" si="432"/>
        <v>0.38</v>
      </c>
      <c r="AA915">
        <v>474.09</v>
      </c>
      <c r="AB915">
        <v>0</v>
      </c>
      <c r="AC915">
        <v>0</v>
      </c>
      <c r="AD915">
        <v>0</v>
      </c>
      <c r="AE915">
        <v>53.57</v>
      </c>
      <c r="AF915">
        <v>0</v>
      </c>
      <c r="AG915">
        <v>0</v>
      </c>
      <c r="AH915">
        <v>0</v>
      </c>
      <c r="AI915">
        <v>8.85</v>
      </c>
      <c r="AJ915">
        <v>1</v>
      </c>
      <c r="AK915">
        <v>1</v>
      </c>
      <c r="AL915">
        <v>1</v>
      </c>
      <c r="AN915">
        <v>0</v>
      </c>
      <c r="AO915">
        <v>1</v>
      </c>
      <c r="AP915">
        <v>0</v>
      </c>
      <c r="AQ915">
        <v>0</v>
      </c>
      <c r="AR915">
        <v>0</v>
      </c>
      <c r="AS915" t="s">
        <v>3</v>
      </c>
      <c r="AT915">
        <v>0.38</v>
      </c>
      <c r="AU915" t="s">
        <v>3</v>
      </c>
      <c r="AV915">
        <v>0</v>
      </c>
      <c r="AW915">
        <v>2</v>
      </c>
      <c r="AX915">
        <v>129764283</v>
      </c>
      <c r="AY915">
        <v>1</v>
      </c>
      <c r="AZ915">
        <v>0</v>
      </c>
      <c r="BA915">
        <v>885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0</v>
      </c>
      <c r="BW915">
        <v>0</v>
      </c>
      <c r="CX915">
        <f>ROUND(Y915*Source!I1077,9)</f>
        <v>3.8E-3</v>
      </c>
      <c r="CY915">
        <f t="shared" si="433"/>
        <v>474.09</v>
      </c>
      <c r="CZ915">
        <f t="shared" si="434"/>
        <v>53.57</v>
      </c>
      <c r="DA915">
        <f t="shared" si="435"/>
        <v>8.85</v>
      </c>
      <c r="DB915">
        <f t="shared" si="436"/>
        <v>20.36</v>
      </c>
      <c r="DC915">
        <f t="shared" si="437"/>
        <v>0</v>
      </c>
      <c r="DD915" t="s">
        <v>3</v>
      </c>
      <c r="DE915" t="s">
        <v>3</v>
      </c>
      <c r="DF915">
        <f t="shared" si="438"/>
        <v>1.77</v>
      </c>
      <c r="DG915">
        <f t="shared" si="439"/>
        <v>0</v>
      </c>
      <c r="DH915">
        <f t="shared" si="440"/>
        <v>0</v>
      </c>
      <c r="DI915">
        <f t="shared" si="424"/>
        <v>0</v>
      </c>
      <c r="DJ915">
        <f t="shared" si="441"/>
        <v>1.77</v>
      </c>
      <c r="DK915">
        <v>0</v>
      </c>
    </row>
    <row r="916" spans="1:115" x14ac:dyDescent="0.2">
      <c r="A916">
        <f>ROW(Source!A1077)</f>
        <v>1077</v>
      </c>
      <c r="B916">
        <v>129761633</v>
      </c>
      <c r="C916">
        <v>129764262</v>
      </c>
      <c r="D916">
        <v>37393799</v>
      </c>
      <c r="E916">
        <v>1</v>
      </c>
      <c r="F916">
        <v>1</v>
      </c>
      <c r="G916">
        <v>37345137</v>
      </c>
      <c r="H916">
        <v>3</v>
      </c>
      <c r="I916" t="s">
        <v>590</v>
      </c>
      <c r="J916" t="s">
        <v>592</v>
      </c>
      <c r="K916" t="s">
        <v>591</v>
      </c>
      <c r="L916">
        <v>1339</v>
      </c>
      <c r="N916">
        <v>1007</v>
      </c>
      <c r="O916" t="s">
        <v>94</v>
      </c>
      <c r="P916" t="s">
        <v>94</v>
      </c>
      <c r="Q916">
        <v>1</v>
      </c>
      <c r="W916">
        <v>0</v>
      </c>
      <c r="X916">
        <v>-1236741395</v>
      </c>
      <c r="Y916">
        <f t="shared" si="432"/>
        <v>0.64600000000000002</v>
      </c>
      <c r="AA916">
        <v>76.95</v>
      </c>
      <c r="AB916">
        <v>0</v>
      </c>
      <c r="AC916">
        <v>0</v>
      </c>
      <c r="AD916">
        <v>0</v>
      </c>
      <c r="AE916">
        <v>5.91</v>
      </c>
      <c r="AF916">
        <v>0</v>
      </c>
      <c r="AG916">
        <v>0</v>
      </c>
      <c r="AH916">
        <v>0</v>
      </c>
      <c r="AI916">
        <v>13.02</v>
      </c>
      <c r="AJ916">
        <v>1</v>
      </c>
      <c r="AK916">
        <v>1</v>
      </c>
      <c r="AL916">
        <v>1</v>
      </c>
      <c r="AN916">
        <v>0</v>
      </c>
      <c r="AO916">
        <v>1</v>
      </c>
      <c r="AP916">
        <v>0</v>
      </c>
      <c r="AQ916">
        <v>0</v>
      </c>
      <c r="AR916">
        <v>0</v>
      </c>
      <c r="AS916" t="s">
        <v>3</v>
      </c>
      <c r="AT916">
        <v>0.64600000000000002</v>
      </c>
      <c r="AU916" t="s">
        <v>3</v>
      </c>
      <c r="AV916">
        <v>0</v>
      </c>
      <c r="AW916">
        <v>2</v>
      </c>
      <c r="AX916">
        <v>129764284</v>
      </c>
      <c r="AY916">
        <v>1</v>
      </c>
      <c r="AZ916">
        <v>0</v>
      </c>
      <c r="BA916">
        <v>886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0</v>
      </c>
      <c r="BR916">
        <v>0</v>
      </c>
      <c r="BS916">
        <v>0</v>
      </c>
      <c r="BT916">
        <v>0</v>
      </c>
      <c r="BU916">
        <v>0</v>
      </c>
      <c r="BV916">
        <v>0</v>
      </c>
      <c r="BW916">
        <v>0</v>
      </c>
      <c r="CX916">
        <f>ROUND(Y916*Source!I1077,9)</f>
        <v>6.4599999999999996E-3</v>
      </c>
      <c r="CY916">
        <f t="shared" si="433"/>
        <v>76.95</v>
      </c>
      <c r="CZ916">
        <f t="shared" si="434"/>
        <v>5.91</v>
      </c>
      <c r="DA916">
        <f t="shared" si="435"/>
        <v>13.02</v>
      </c>
      <c r="DB916">
        <f t="shared" si="436"/>
        <v>3.82</v>
      </c>
      <c r="DC916">
        <f t="shared" si="437"/>
        <v>0</v>
      </c>
      <c r="DD916" t="s">
        <v>3</v>
      </c>
      <c r="DE916" t="s">
        <v>3</v>
      </c>
      <c r="DF916">
        <f t="shared" si="438"/>
        <v>0.52</v>
      </c>
      <c r="DG916">
        <f t="shared" si="439"/>
        <v>0</v>
      </c>
      <c r="DH916">
        <f t="shared" si="440"/>
        <v>0</v>
      </c>
      <c r="DI916">
        <f t="shared" si="424"/>
        <v>0</v>
      </c>
      <c r="DJ916">
        <f t="shared" si="441"/>
        <v>0.52</v>
      </c>
      <c r="DK916">
        <v>0</v>
      </c>
    </row>
    <row r="917" spans="1:115" x14ac:dyDescent="0.2">
      <c r="A917">
        <f>ROW(Source!A1077)</f>
        <v>1077</v>
      </c>
      <c r="B917">
        <v>129761633</v>
      </c>
      <c r="C917">
        <v>129764262</v>
      </c>
      <c r="D917">
        <v>37393883</v>
      </c>
      <c r="E917">
        <v>1</v>
      </c>
      <c r="F917">
        <v>1</v>
      </c>
      <c r="G917">
        <v>37345137</v>
      </c>
      <c r="H917">
        <v>3</v>
      </c>
      <c r="I917" t="s">
        <v>1383</v>
      </c>
      <c r="J917" t="s">
        <v>1384</v>
      </c>
      <c r="K917" t="s">
        <v>1385</v>
      </c>
      <c r="L917">
        <v>1348</v>
      </c>
      <c r="N917">
        <v>1009</v>
      </c>
      <c r="O917" t="s">
        <v>114</v>
      </c>
      <c r="P917" t="s">
        <v>114</v>
      </c>
      <c r="Q917">
        <v>1000</v>
      </c>
      <c r="W917">
        <v>0</v>
      </c>
      <c r="X917">
        <v>-434568416</v>
      </c>
      <c r="Y917">
        <f t="shared" si="432"/>
        <v>1.0399999999999999E-3</v>
      </c>
      <c r="AA917">
        <v>48667.17</v>
      </c>
      <c r="AB917">
        <v>0</v>
      </c>
      <c r="AC917">
        <v>0</v>
      </c>
      <c r="AD917">
        <v>0</v>
      </c>
      <c r="AE917">
        <v>16222.39</v>
      </c>
      <c r="AF917">
        <v>0</v>
      </c>
      <c r="AG917">
        <v>0</v>
      </c>
      <c r="AH917">
        <v>0</v>
      </c>
      <c r="AI917">
        <v>3</v>
      </c>
      <c r="AJ917">
        <v>1</v>
      </c>
      <c r="AK917">
        <v>1</v>
      </c>
      <c r="AL917">
        <v>1</v>
      </c>
      <c r="AN917">
        <v>0</v>
      </c>
      <c r="AO917">
        <v>1</v>
      </c>
      <c r="AP917">
        <v>0</v>
      </c>
      <c r="AQ917">
        <v>0</v>
      </c>
      <c r="AR917">
        <v>0</v>
      </c>
      <c r="AS917" t="s">
        <v>3</v>
      </c>
      <c r="AT917">
        <v>1.0399999999999999E-3</v>
      </c>
      <c r="AU917" t="s">
        <v>3</v>
      </c>
      <c r="AV917">
        <v>0</v>
      </c>
      <c r="AW917">
        <v>2</v>
      </c>
      <c r="AX917">
        <v>129764285</v>
      </c>
      <c r="AY917">
        <v>1</v>
      </c>
      <c r="AZ917">
        <v>0</v>
      </c>
      <c r="BA917">
        <v>887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  <c r="BS917">
        <v>0</v>
      </c>
      <c r="BT917">
        <v>0</v>
      </c>
      <c r="BU917">
        <v>0</v>
      </c>
      <c r="BV917">
        <v>0</v>
      </c>
      <c r="BW917">
        <v>0</v>
      </c>
      <c r="CX917">
        <f>ROUND(Y917*Source!I1077,9)</f>
        <v>1.04E-5</v>
      </c>
      <c r="CY917">
        <f t="shared" si="433"/>
        <v>48667.17</v>
      </c>
      <c r="CZ917">
        <f t="shared" si="434"/>
        <v>16222.39</v>
      </c>
      <c r="DA917">
        <f t="shared" si="435"/>
        <v>3</v>
      </c>
      <c r="DB917">
        <f t="shared" si="436"/>
        <v>16.87</v>
      </c>
      <c r="DC917">
        <f t="shared" si="437"/>
        <v>0</v>
      </c>
      <c r="DD917" t="s">
        <v>3</v>
      </c>
      <c r="DE917" t="s">
        <v>3</v>
      </c>
      <c r="DF917">
        <f t="shared" si="438"/>
        <v>0.51</v>
      </c>
      <c r="DG917">
        <f t="shared" si="439"/>
        <v>0</v>
      </c>
      <c r="DH917">
        <f t="shared" si="440"/>
        <v>0</v>
      </c>
      <c r="DI917">
        <f t="shared" si="424"/>
        <v>0</v>
      </c>
      <c r="DJ917">
        <f t="shared" si="441"/>
        <v>0.51</v>
      </c>
      <c r="DK917">
        <v>0</v>
      </c>
    </row>
    <row r="918" spans="1:115" x14ac:dyDescent="0.2">
      <c r="A918">
        <f>ROW(Source!A1077)</f>
        <v>1077</v>
      </c>
      <c r="B918">
        <v>129761633</v>
      </c>
      <c r="C918">
        <v>129764262</v>
      </c>
      <c r="D918">
        <v>37394085</v>
      </c>
      <c r="E918">
        <v>1</v>
      </c>
      <c r="F918">
        <v>1</v>
      </c>
      <c r="G918">
        <v>37345137</v>
      </c>
      <c r="H918">
        <v>3</v>
      </c>
      <c r="I918" t="s">
        <v>1386</v>
      </c>
      <c r="J918" t="s">
        <v>1387</v>
      </c>
      <c r="K918" t="s">
        <v>1388</v>
      </c>
      <c r="L918">
        <v>1346</v>
      </c>
      <c r="N918">
        <v>1009</v>
      </c>
      <c r="O918" t="s">
        <v>369</v>
      </c>
      <c r="P918" t="s">
        <v>369</v>
      </c>
      <c r="Q918">
        <v>1</v>
      </c>
      <c r="W918">
        <v>0</v>
      </c>
      <c r="X918">
        <v>-1082935818</v>
      </c>
      <c r="Y918">
        <f t="shared" si="432"/>
        <v>0.12</v>
      </c>
      <c r="AA918">
        <v>73.69</v>
      </c>
      <c r="AB918">
        <v>0</v>
      </c>
      <c r="AC918">
        <v>0</v>
      </c>
      <c r="AD918">
        <v>0</v>
      </c>
      <c r="AE918">
        <v>20.190000000000001</v>
      </c>
      <c r="AF918">
        <v>0</v>
      </c>
      <c r="AG918">
        <v>0</v>
      </c>
      <c r="AH918">
        <v>0</v>
      </c>
      <c r="AI918">
        <v>3.65</v>
      </c>
      <c r="AJ918">
        <v>1</v>
      </c>
      <c r="AK918">
        <v>1</v>
      </c>
      <c r="AL918">
        <v>1</v>
      </c>
      <c r="AN918">
        <v>0</v>
      </c>
      <c r="AO918">
        <v>1</v>
      </c>
      <c r="AP918">
        <v>0</v>
      </c>
      <c r="AQ918">
        <v>0</v>
      </c>
      <c r="AR918">
        <v>0</v>
      </c>
      <c r="AS918" t="s">
        <v>3</v>
      </c>
      <c r="AT918">
        <v>0.12</v>
      </c>
      <c r="AU918" t="s">
        <v>3</v>
      </c>
      <c r="AV918">
        <v>0</v>
      </c>
      <c r="AW918">
        <v>2</v>
      </c>
      <c r="AX918">
        <v>129764286</v>
      </c>
      <c r="AY918">
        <v>1</v>
      </c>
      <c r="AZ918">
        <v>0</v>
      </c>
      <c r="BA918">
        <v>888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0</v>
      </c>
      <c r="BR918">
        <v>0</v>
      </c>
      <c r="BS918">
        <v>0</v>
      </c>
      <c r="BT918">
        <v>0</v>
      </c>
      <c r="BU918">
        <v>0</v>
      </c>
      <c r="BV918">
        <v>0</v>
      </c>
      <c r="BW918">
        <v>0</v>
      </c>
      <c r="CX918">
        <f>ROUND(Y918*Source!I1077,9)</f>
        <v>1.1999999999999999E-3</v>
      </c>
      <c r="CY918">
        <f t="shared" si="433"/>
        <v>73.69</v>
      </c>
      <c r="CZ918">
        <f t="shared" si="434"/>
        <v>20.190000000000001</v>
      </c>
      <c r="DA918">
        <f t="shared" si="435"/>
        <v>3.65</v>
      </c>
      <c r="DB918">
        <f t="shared" si="436"/>
        <v>2.42</v>
      </c>
      <c r="DC918">
        <f t="shared" si="437"/>
        <v>0</v>
      </c>
      <c r="DD918" t="s">
        <v>3</v>
      </c>
      <c r="DE918" t="s">
        <v>3</v>
      </c>
      <c r="DF918">
        <f t="shared" si="438"/>
        <v>7.0000000000000007E-2</v>
      </c>
      <c r="DG918">
        <f t="shared" si="439"/>
        <v>0</v>
      </c>
      <c r="DH918">
        <f t="shared" si="440"/>
        <v>0</v>
      </c>
      <c r="DI918">
        <f t="shared" si="424"/>
        <v>0</v>
      </c>
      <c r="DJ918">
        <f t="shared" si="441"/>
        <v>7.0000000000000007E-2</v>
      </c>
      <c r="DK918">
        <v>0</v>
      </c>
    </row>
    <row r="919" spans="1:115" x14ac:dyDescent="0.2">
      <c r="A919">
        <f>ROW(Source!A1077)</f>
        <v>1077</v>
      </c>
      <c r="B919">
        <v>129761633</v>
      </c>
      <c r="C919">
        <v>129764262</v>
      </c>
      <c r="D919">
        <v>37394293</v>
      </c>
      <c r="E919">
        <v>1</v>
      </c>
      <c r="F919">
        <v>1</v>
      </c>
      <c r="G919">
        <v>37345137</v>
      </c>
      <c r="H919">
        <v>3</v>
      </c>
      <c r="I919" t="s">
        <v>1389</v>
      </c>
      <c r="J919" t="s">
        <v>1390</v>
      </c>
      <c r="K919" t="s">
        <v>1391</v>
      </c>
      <c r="L919">
        <v>1348</v>
      </c>
      <c r="N919">
        <v>1009</v>
      </c>
      <c r="O919" t="s">
        <v>114</v>
      </c>
      <c r="P919" t="s">
        <v>114</v>
      </c>
      <c r="Q919">
        <v>1000</v>
      </c>
      <c r="W919">
        <v>0</v>
      </c>
      <c r="X919">
        <v>1703733581</v>
      </c>
      <c r="Y919">
        <f t="shared" si="432"/>
        <v>4.0000000000000002E-4</v>
      </c>
      <c r="AA919">
        <v>56367.38</v>
      </c>
      <c r="AB919">
        <v>0</v>
      </c>
      <c r="AC919">
        <v>0</v>
      </c>
      <c r="AD919">
        <v>0</v>
      </c>
      <c r="AE919">
        <v>35451.18</v>
      </c>
      <c r="AF919">
        <v>0</v>
      </c>
      <c r="AG919">
        <v>0</v>
      </c>
      <c r="AH919">
        <v>0</v>
      </c>
      <c r="AI919">
        <v>1.59</v>
      </c>
      <c r="AJ919">
        <v>1</v>
      </c>
      <c r="AK919">
        <v>1</v>
      </c>
      <c r="AL919">
        <v>1</v>
      </c>
      <c r="AN919">
        <v>0</v>
      </c>
      <c r="AO919">
        <v>1</v>
      </c>
      <c r="AP919">
        <v>0</v>
      </c>
      <c r="AQ919">
        <v>0</v>
      </c>
      <c r="AR919">
        <v>0</v>
      </c>
      <c r="AS919" t="s">
        <v>3</v>
      </c>
      <c r="AT919">
        <v>4.0000000000000002E-4</v>
      </c>
      <c r="AU919" t="s">
        <v>3</v>
      </c>
      <c r="AV919">
        <v>0</v>
      </c>
      <c r="AW919">
        <v>2</v>
      </c>
      <c r="AX919">
        <v>129764287</v>
      </c>
      <c r="AY919">
        <v>1</v>
      </c>
      <c r="AZ919">
        <v>0</v>
      </c>
      <c r="BA919">
        <v>889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0</v>
      </c>
      <c r="BW919">
        <v>0</v>
      </c>
      <c r="CX919">
        <f>ROUND(Y919*Source!I1077,9)</f>
        <v>3.9999999999999998E-6</v>
      </c>
      <c r="CY919">
        <f t="shared" si="433"/>
        <v>56367.38</v>
      </c>
      <c r="CZ919">
        <f t="shared" si="434"/>
        <v>35451.18</v>
      </c>
      <c r="DA919">
        <f t="shared" si="435"/>
        <v>1.59</v>
      </c>
      <c r="DB919">
        <f t="shared" si="436"/>
        <v>14.18</v>
      </c>
      <c r="DC919">
        <f t="shared" si="437"/>
        <v>0</v>
      </c>
      <c r="DD919" t="s">
        <v>3</v>
      </c>
      <c r="DE919" t="s">
        <v>3</v>
      </c>
      <c r="DF919">
        <f t="shared" si="438"/>
        <v>0.22</v>
      </c>
      <c r="DG919">
        <f t="shared" si="439"/>
        <v>0</v>
      </c>
      <c r="DH919">
        <f t="shared" si="440"/>
        <v>0</v>
      </c>
      <c r="DI919">
        <f t="shared" si="424"/>
        <v>0</v>
      </c>
      <c r="DJ919">
        <f t="shared" si="441"/>
        <v>0.22</v>
      </c>
      <c r="DK919">
        <v>0</v>
      </c>
    </row>
    <row r="920" spans="1:115" x14ac:dyDescent="0.2">
      <c r="A920">
        <f>ROW(Source!A1077)</f>
        <v>1077</v>
      </c>
      <c r="B920">
        <v>129761633</v>
      </c>
      <c r="C920">
        <v>129764262</v>
      </c>
      <c r="D920">
        <v>37397852</v>
      </c>
      <c r="E920">
        <v>1</v>
      </c>
      <c r="F920">
        <v>1</v>
      </c>
      <c r="G920">
        <v>37345137</v>
      </c>
      <c r="H920">
        <v>3</v>
      </c>
      <c r="I920" t="s">
        <v>886</v>
      </c>
      <c r="J920" t="s">
        <v>888</v>
      </c>
      <c r="K920" t="s">
        <v>887</v>
      </c>
      <c r="L920">
        <v>1301</v>
      </c>
      <c r="N920">
        <v>1003</v>
      </c>
      <c r="O920" t="s">
        <v>270</v>
      </c>
      <c r="P920" t="s">
        <v>270</v>
      </c>
      <c r="Q920">
        <v>1</v>
      </c>
      <c r="W920">
        <v>0</v>
      </c>
      <c r="X920">
        <v>1721147367</v>
      </c>
      <c r="Y920">
        <f t="shared" si="432"/>
        <v>100</v>
      </c>
      <c r="AA920">
        <v>580.96</v>
      </c>
      <c r="AB920">
        <v>0</v>
      </c>
      <c r="AC920">
        <v>0</v>
      </c>
      <c r="AD920">
        <v>0</v>
      </c>
      <c r="AE920">
        <v>31.42</v>
      </c>
      <c r="AF920">
        <v>0</v>
      </c>
      <c r="AG920">
        <v>0</v>
      </c>
      <c r="AH920">
        <v>0</v>
      </c>
      <c r="AI920">
        <v>18.489999999999998</v>
      </c>
      <c r="AJ920">
        <v>1</v>
      </c>
      <c r="AK920">
        <v>1</v>
      </c>
      <c r="AL920">
        <v>1</v>
      </c>
      <c r="AN920">
        <v>0</v>
      </c>
      <c r="AO920">
        <v>0</v>
      </c>
      <c r="AP920">
        <v>0</v>
      </c>
      <c r="AQ920">
        <v>0</v>
      </c>
      <c r="AR920">
        <v>0</v>
      </c>
      <c r="AS920" t="s">
        <v>3</v>
      </c>
      <c r="AT920">
        <v>100</v>
      </c>
      <c r="AU920" t="s">
        <v>3</v>
      </c>
      <c r="AV920">
        <v>0</v>
      </c>
      <c r="AW920">
        <v>1</v>
      </c>
      <c r="AX920">
        <v>-1</v>
      </c>
      <c r="AY920">
        <v>0</v>
      </c>
      <c r="AZ920">
        <v>0</v>
      </c>
      <c r="BA920" t="s">
        <v>3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0</v>
      </c>
      <c r="BR920">
        <v>0</v>
      </c>
      <c r="BS920">
        <v>0</v>
      </c>
      <c r="BT920">
        <v>0</v>
      </c>
      <c r="BU920">
        <v>0</v>
      </c>
      <c r="BV920">
        <v>0</v>
      </c>
      <c r="BW920">
        <v>0</v>
      </c>
      <c r="CX920">
        <f>ROUND(Y920*Source!I1077,9)</f>
        <v>1</v>
      </c>
      <c r="CY920">
        <f t="shared" si="433"/>
        <v>580.96</v>
      </c>
      <c r="CZ920">
        <f t="shared" si="434"/>
        <v>31.42</v>
      </c>
      <c r="DA920">
        <f t="shared" si="435"/>
        <v>18.489999999999998</v>
      </c>
      <c r="DB920">
        <f t="shared" si="436"/>
        <v>3142</v>
      </c>
      <c r="DC920">
        <f t="shared" si="437"/>
        <v>0</v>
      </c>
      <c r="DD920" t="s">
        <v>3</v>
      </c>
      <c r="DE920" t="s">
        <v>3</v>
      </c>
      <c r="DF920">
        <f t="shared" si="438"/>
        <v>580.96</v>
      </c>
      <c r="DG920">
        <f t="shared" si="439"/>
        <v>0</v>
      </c>
      <c r="DH920">
        <f t="shared" si="440"/>
        <v>0</v>
      </c>
      <c r="DI920">
        <f t="shared" si="424"/>
        <v>0</v>
      </c>
      <c r="DJ920">
        <f t="shared" si="441"/>
        <v>580.96</v>
      </c>
      <c r="DK920">
        <v>0</v>
      </c>
    </row>
    <row r="921" spans="1:115" x14ac:dyDescent="0.2">
      <c r="A921">
        <f>ROW(Source!A1080)</f>
        <v>1080</v>
      </c>
      <c r="B921">
        <v>129761636</v>
      </c>
      <c r="C921">
        <v>129764292</v>
      </c>
      <c r="D921">
        <v>37345142</v>
      </c>
      <c r="E921">
        <v>37345137</v>
      </c>
      <c r="F921">
        <v>1</v>
      </c>
      <c r="G921">
        <v>37345137</v>
      </c>
      <c r="H921">
        <v>1</v>
      </c>
      <c r="I921" t="s">
        <v>1096</v>
      </c>
      <c r="J921" t="s">
        <v>3</v>
      </c>
      <c r="K921" t="s">
        <v>1097</v>
      </c>
      <c r="L921">
        <v>1191</v>
      </c>
      <c r="N921">
        <v>1013</v>
      </c>
      <c r="O921" t="s">
        <v>1098</v>
      </c>
      <c r="P921" t="s">
        <v>1098</v>
      </c>
      <c r="Q921">
        <v>1</v>
      </c>
      <c r="W921">
        <v>0</v>
      </c>
      <c r="X921">
        <v>476480486</v>
      </c>
      <c r="Y921">
        <f>(AT921*1.15)</f>
        <v>63.824999999999996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1</v>
      </c>
      <c r="AJ921">
        <v>1</v>
      </c>
      <c r="AK921">
        <v>1</v>
      </c>
      <c r="AL921">
        <v>1</v>
      </c>
      <c r="AN921">
        <v>0</v>
      </c>
      <c r="AO921">
        <v>1</v>
      </c>
      <c r="AP921">
        <v>1</v>
      </c>
      <c r="AQ921">
        <v>0</v>
      </c>
      <c r="AR921">
        <v>0</v>
      </c>
      <c r="AS921" t="s">
        <v>3</v>
      </c>
      <c r="AT921">
        <v>55.5</v>
      </c>
      <c r="AU921" t="s">
        <v>87</v>
      </c>
      <c r="AV921">
        <v>1</v>
      </c>
      <c r="AW921">
        <v>2</v>
      </c>
      <c r="AX921">
        <v>129764304</v>
      </c>
      <c r="AY921">
        <v>1</v>
      </c>
      <c r="AZ921">
        <v>0</v>
      </c>
      <c r="BA921">
        <v>893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0</v>
      </c>
      <c r="BS921">
        <v>0</v>
      </c>
      <c r="BT921">
        <v>0</v>
      </c>
      <c r="BU921">
        <v>0</v>
      </c>
      <c r="BV921">
        <v>0</v>
      </c>
      <c r="BW921">
        <v>0</v>
      </c>
      <c r="CX921">
        <f>ROUND(Y921*Source!I1080,9)</f>
        <v>5.1059999999999999</v>
      </c>
      <c r="CY921">
        <f>AD921</f>
        <v>0</v>
      </c>
      <c r="CZ921">
        <f>AH921</f>
        <v>0</v>
      </c>
      <c r="DA921">
        <f>AL921</f>
        <v>1</v>
      </c>
      <c r="DB921">
        <f>ROUND((ROUND(AT921*CZ921,2)*1.15),6)</f>
        <v>0</v>
      </c>
      <c r="DC921">
        <f>ROUND((ROUND(AT921*AG921,2)*1.15),6)</f>
        <v>0</v>
      </c>
      <c r="DD921" t="s">
        <v>3</v>
      </c>
      <c r="DE921" t="s">
        <v>3</v>
      </c>
      <c r="DF921">
        <f t="shared" ref="DF921:DF935" si="442">ROUND(AE921*CX921,2)</f>
        <v>0</v>
      </c>
      <c r="DG921">
        <f t="shared" si="439"/>
        <v>0</v>
      </c>
      <c r="DH921">
        <f t="shared" si="440"/>
        <v>0</v>
      </c>
      <c r="DI921">
        <f t="shared" si="424"/>
        <v>0</v>
      </c>
      <c r="DJ921">
        <f>DI921</f>
        <v>0</v>
      </c>
      <c r="DK921">
        <v>0</v>
      </c>
    </row>
    <row r="922" spans="1:115" x14ac:dyDescent="0.2">
      <c r="A922">
        <f>ROW(Source!A1080)</f>
        <v>1080</v>
      </c>
      <c r="B922">
        <v>129761636</v>
      </c>
      <c r="C922">
        <v>129764292</v>
      </c>
      <c r="D922">
        <v>37418158</v>
      </c>
      <c r="E922">
        <v>1</v>
      </c>
      <c r="F922">
        <v>1</v>
      </c>
      <c r="G922">
        <v>37345137</v>
      </c>
      <c r="H922">
        <v>2</v>
      </c>
      <c r="I922" t="s">
        <v>1374</v>
      </c>
      <c r="J922" t="s">
        <v>1375</v>
      </c>
      <c r="K922" t="s">
        <v>1376</v>
      </c>
      <c r="L922">
        <v>1367</v>
      </c>
      <c r="N922">
        <v>1011</v>
      </c>
      <c r="O922" t="s">
        <v>1102</v>
      </c>
      <c r="P922" t="s">
        <v>1102</v>
      </c>
      <c r="Q922">
        <v>1</v>
      </c>
      <c r="W922">
        <v>0</v>
      </c>
      <c r="X922">
        <v>1295654915</v>
      </c>
      <c r="Y922">
        <f>(AT922*1.25)</f>
        <v>4.375</v>
      </c>
      <c r="AA922">
        <v>0</v>
      </c>
      <c r="AB922">
        <v>4.8600000000000003</v>
      </c>
      <c r="AC922">
        <v>0</v>
      </c>
      <c r="AD922">
        <v>0</v>
      </c>
      <c r="AE922">
        <v>0</v>
      </c>
      <c r="AF922">
        <v>4.8600000000000003</v>
      </c>
      <c r="AG922">
        <v>0</v>
      </c>
      <c r="AH922">
        <v>0</v>
      </c>
      <c r="AI922">
        <v>1</v>
      </c>
      <c r="AJ922">
        <v>1</v>
      </c>
      <c r="AK922">
        <v>1</v>
      </c>
      <c r="AL922">
        <v>1</v>
      </c>
      <c r="AN922">
        <v>0</v>
      </c>
      <c r="AO922">
        <v>1</v>
      </c>
      <c r="AP922">
        <v>1</v>
      </c>
      <c r="AQ922">
        <v>0</v>
      </c>
      <c r="AR922">
        <v>0</v>
      </c>
      <c r="AS922" t="s">
        <v>3</v>
      </c>
      <c r="AT922">
        <v>3.5</v>
      </c>
      <c r="AU922" t="s">
        <v>86</v>
      </c>
      <c r="AV922">
        <v>0</v>
      </c>
      <c r="AW922">
        <v>2</v>
      </c>
      <c r="AX922">
        <v>129764305</v>
      </c>
      <c r="AY922">
        <v>1</v>
      </c>
      <c r="AZ922">
        <v>0</v>
      </c>
      <c r="BA922">
        <v>894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0</v>
      </c>
      <c r="BR922">
        <v>0</v>
      </c>
      <c r="BS922">
        <v>0</v>
      </c>
      <c r="BT922">
        <v>0</v>
      </c>
      <c r="BU922">
        <v>0</v>
      </c>
      <c r="BV922">
        <v>0</v>
      </c>
      <c r="BW922">
        <v>0</v>
      </c>
      <c r="CX922">
        <f>ROUND(Y922*Source!I1080,9)</f>
        <v>0.35</v>
      </c>
      <c r="CY922">
        <f>AB922</f>
        <v>4.8600000000000003</v>
      </c>
      <c r="CZ922">
        <f>AF922</f>
        <v>4.8600000000000003</v>
      </c>
      <c r="DA922">
        <f>AJ922</f>
        <v>1</v>
      </c>
      <c r="DB922">
        <f>ROUND((ROUND(AT922*CZ922,2)*1.25),6)</f>
        <v>21.262499999999999</v>
      </c>
      <c r="DC922">
        <f>ROUND((ROUND(AT922*AG922,2)*1.25),6)</f>
        <v>0</v>
      </c>
      <c r="DD922" t="s">
        <v>3</v>
      </c>
      <c r="DE922" t="s">
        <v>3</v>
      </c>
      <c r="DF922">
        <f t="shared" si="442"/>
        <v>0</v>
      </c>
      <c r="DG922">
        <f t="shared" si="439"/>
        <v>1.7</v>
      </c>
      <c r="DH922">
        <f t="shared" si="440"/>
        <v>0</v>
      </c>
      <c r="DI922">
        <f t="shared" si="424"/>
        <v>0</v>
      </c>
      <c r="DJ922">
        <f>DG922</f>
        <v>1.7</v>
      </c>
      <c r="DK922">
        <v>0</v>
      </c>
    </row>
    <row r="923" spans="1:115" x14ac:dyDescent="0.2">
      <c r="A923">
        <f>ROW(Source!A1080)</f>
        <v>1080</v>
      </c>
      <c r="B923">
        <v>129761636</v>
      </c>
      <c r="C923">
        <v>129764292</v>
      </c>
      <c r="D923">
        <v>37418445</v>
      </c>
      <c r="E923">
        <v>1</v>
      </c>
      <c r="F923">
        <v>1</v>
      </c>
      <c r="G923">
        <v>37345137</v>
      </c>
      <c r="H923">
        <v>2</v>
      </c>
      <c r="I923" t="s">
        <v>1189</v>
      </c>
      <c r="J923" t="s">
        <v>1190</v>
      </c>
      <c r="K923" t="s">
        <v>1191</v>
      </c>
      <c r="L923">
        <v>1367</v>
      </c>
      <c r="N923">
        <v>1011</v>
      </c>
      <c r="O923" t="s">
        <v>1102</v>
      </c>
      <c r="P923" t="s">
        <v>1102</v>
      </c>
      <c r="Q923">
        <v>1</v>
      </c>
      <c r="W923">
        <v>0</v>
      </c>
      <c r="X923">
        <v>-628430174</v>
      </c>
      <c r="Y923">
        <f>(AT923*1.25)</f>
        <v>1.3</v>
      </c>
      <c r="AA923">
        <v>0</v>
      </c>
      <c r="AB923">
        <v>76.81</v>
      </c>
      <c r="AC923">
        <v>14.36</v>
      </c>
      <c r="AD923">
        <v>0</v>
      </c>
      <c r="AE923">
        <v>0</v>
      </c>
      <c r="AF923">
        <v>76.81</v>
      </c>
      <c r="AG923">
        <v>14.36</v>
      </c>
      <c r="AH923">
        <v>0</v>
      </c>
      <c r="AI923">
        <v>1</v>
      </c>
      <c r="AJ923">
        <v>1</v>
      </c>
      <c r="AK923">
        <v>1</v>
      </c>
      <c r="AL923">
        <v>1</v>
      </c>
      <c r="AN923">
        <v>0</v>
      </c>
      <c r="AO923">
        <v>1</v>
      </c>
      <c r="AP923">
        <v>1</v>
      </c>
      <c r="AQ923">
        <v>0</v>
      </c>
      <c r="AR923">
        <v>0</v>
      </c>
      <c r="AS923" t="s">
        <v>3</v>
      </c>
      <c r="AT923">
        <v>1.04</v>
      </c>
      <c r="AU923" t="s">
        <v>86</v>
      </c>
      <c r="AV923">
        <v>0</v>
      </c>
      <c r="AW923">
        <v>2</v>
      </c>
      <c r="AX923">
        <v>129764306</v>
      </c>
      <c r="AY923">
        <v>1</v>
      </c>
      <c r="AZ923">
        <v>0</v>
      </c>
      <c r="BA923">
        <v>895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0</v>
      </c>
      <c r="BP923">
        <v>0</v>
      </c>
      <c r="BQ923">
        <v>0</v>
      </c>
      <c r="BR923">
        <v>0</v>
      </c>
      <c r="BS923">
        <v>0</v>
      </c>
      <c r="BT923">
        <v>0</v>
      </c>
      <c r="BU923">
        <v>0</v>
      </c>
      <c r="BV923">
        <v>0</v>
      </c>
      <c r="BW923">
        <v>0</v>
      </c>
      <c r="CX923">
        <f>ROUND(Y923*Source!I1080,9)</f>
        <v>0.104</v>
      </c>
      <c r="CY923">
        <f>AB923</f>
        <v>76.81</v>
      </c>
      <c r="CZ923">
        <f>AF923</f>
        <v>76.81</v>
      </c>
      <c r="DA923">
        <f>AJ923</f>
        <v>1</v>
      </c>
      <c r="DB923">
        <f>ROUND((ROUND(AT923*CZ923,2)*1.25),6)</f>
        <v>99.85</v>
      </c>
      <c r="DC923">
        <f>ROUND((ROUND(AT923*AG923,2)*1.25),6)</f>
        <v>18.662500000000001</v>
      </c>
      <c r="DD923" t="s">
        <v>3</v>
      </c>
      <c r="DE923" t="s">
        <v>3</v>
      </c>
      <c r="DF923">
        <f t="shared" si="442"/>
        <v>0</v>
      </c>
      <c r="DG923">
        <f t="shared" si="439"/>
        <v>7.99</v>
      </c>
      <c r="DH923">
        <f t="shared" si="440"/>
        <v>1.49</v>
      </c>
      <c r="DI923">
        <f t="shared" si="424"/>
        <v>0</v>
      </c>
      <c r="DJ923">
        <f>DG923</f>
        <v>7.99</v>
      </c>
      <c r="DK923">
        <v>0</v>
      </c>
    </row>
    <row r="924" spans="1:115" x14ac:dyDescent="0.2">
      <c r="A924">
        <f>ROW(Source!A1080)</f>
        <v>1080</v>
      </c>
      <c r="B924">
        <v>129761636</v>
      </c>
      <c r="C924">
        <v>129764292</v>
      </c>
      <c r="D924">
        <v>37417692</v>
      </c>
      <c r="E924">
        <v>1</v>
      </c>
      <c r="F924">
        <v>1</v>
      </c>
      <c r="G924">
        <v>37345137</v>
      </c>
      <c r="H924">
        <v>2</v>
      </c>
      <c r="I924" t="s">
        <v>1127</v>
      </c>
      <c r="J924" t="s">
        <v>1128</v>
      </c>
      <c r="K924" t="s">
        <v>1129</v>
      </c>
      <c r="L924">
        <v>1367</v>
      </c>
      <c r="N924">
        <v>1011</v>
      </c>
      <c r="O924" t="s">
        <v>1102</v>
      </c>
      <c r="P924" t="s">
        <v>1102</v>
      </c>
      <c r="Q924">
        <v>1</v>
      </c>
      <c r="W924">
        <v>0</v>
      </c>
      <c r="X924">
        <v>-266174272</v>
      </c>
      <c r="Y924">
        <f>(AT924*1.25)</f>
        <v>0.11249999999999999</v>
      </c>
      <c r="AA924">
        <v>0</v>
      </c>
      <c r="AB924">
        <v>190.93</v>
      </c>
      <c r="AC924">
        <v>18.149999999999999</v>
      </c>
      <c r="AD924">
        <v>0</v>
      </c>
      <c r="AE924">
        <v>0</v>
      </c>
      <c r="AF924">
        <v>190.93</v>
      </c>
      <c r="AG924">
        <v>18.149999999999999</v>
      </c>
      <c r="AH924">
        <v>0</v>
      </c>
      <c r="AI924">
        <v>1</v>
      </c>
      <c r="AJ924">
        <v>1</v>
      </c>
      <c r="AK924">
        <v>1</v>
      </c>
      <c r="AL924">
        <v>1</v>
      </c>
      <c r="AN924">
        <v>0</v>
      </c>
      <c r="AO924">
        <v>1</v>
      </c>
      <c r="AP924">
        <v>1</v>
      </c>
      <c r="AQ924">
        <v>0</v>
      </c>
      <c r="AR924">
        <v>0</v>
      </c>
      <c r="AS924" t="s">
        <v>3</v>
      </c>
      <c r="AT924">
        <v>0.09</v>
      </c>
      <c r="AU924" t="s">
        <v>86</v>
      </c>
      <c r="AV924">
        <v>0</v>
      </c>
      <c r="AW924">
        <v>2</v>
      </c>
      <c r="AX924">
        <v>129764307</v>
      </c>
      <c r="AY924">
        <v>1</v>
      </c>
      <c r="AZ924">
        <v>0</v>
      </c>
      <c r="BA924">
        <v>896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0</v>
      </c>
      <c r="BR924">
        <v>0</v>
      </c>
      <c r="BS924">
        <v>0</v>
      </c>
      <c r="BT924">
        <v>0</v>
      </c>
      <c r="BU924">
        <v>0</v>
      </c>
      <c r="BV924">
        <v>0</v>
      </c>
      <c r="BW924">
        <v>0</v>
      </c>
      <c r="CX924">
        <f>ROUND(Y924*Source!I1080,9)</f>
        <v>8.9999999999999993E-3</v>
      </c>
      <c r="CY924">
        <f>AB924</f>
        <v>190.93</v>
      </c>
      <c r="CZ924">
        <f>AF924</f>
        <v>190.93</v>
      </c>
      <c r="DA924">
        <f>AJ924</f>
        <v>1</v>
      </c>
      <c r="DB924">
        <f>ROUND((ROUND(AT924*CZ924,2)*1.25),6)</f>
        <v>21.475000000000001</v>
      </c>
      <c r="DC924">
        <f>ROUND((ROUND(AT924*AG924,2)*1.25),6)</f>
        <v>2.0375000000000001</v>
      </c>
      <c r="DD924" t="s">
        <v>3</v>
      </c>
      <c r="DE924" t="s">
        <v>3</v>
      </c>
      <c r="DF924">
        <f t="shared" si="442"/>
        <v>0</v>
      </c>
      <c r="DG924">
        <f t="shared" si="439"/>
        <v>1.72</v>
      </c>
      <c r="DH924">
        <f t="shared" si="440"/>
        <v>0.16</v>
      </c>
      <c r="DI924">
        <f t="shared" si="424"/>
        <v>0</v>
      </c>
      <c r="DJ924">
        <f>DG924</f>
        <v>1.72</v>
      </c>
      <c r="DK924">
        <v>0</v>
      </c>
    </row>
    <row r="925" spans="1:115" x14ac:dyDescent="0.2">
      <c r="A925">
        <f>ROW(Source!A1080)</f>
        <v>1080</v>
      </c>
      <c r="B925">
        <v>129761636</v>
      </c>
      <c r="C925">
        <v>129764292</v>
      </c>
      <c r="D925">
        <v>37393552</v>
      </c>
      <c r="E925">
        <v>1</v>
      </c>
      <c r="F925">
        <v>1</v>
      </c>
      <c r="G925">
        <v>37345137</v>
      </c>
      <c r="H925">
        <v>3</v>
      </c>
      <c r="I925" t="s">
        <v>348</v>
      </c>
      <c r="J925" t="s">
        <v>350</v>
      </c>
      <c r="K925" t="s">
        <v>349</v>
      </c>
      <c r="L925">
        <v>1339</v>
      </c>
      <c r="N925">
        <v>1007</v>
      </c>
      <c r="O925" t="s">
        <v>94</v>
      </c>
      <c r="P925" t="s">
        <v>94</v>
      </c>
      <c r="Q925">
        <v>1</v>
      </c>
      <c r="W925">
        <v>0</v>
      </c>
      <c r="X925">
        <v>-862991314</v>
      </c>
      <c r="Y925">
        <f t="shared" ref="Y925:Y931" si="443">AT925</f>
        <v>0.93733</v>
      </c>
      <c r="AA925">
        <v>7.07</v>
      </c>
      <c r="AB925">
        <v>0</v>
      </c>
      <c r="AC925">
        <v>0</v>
      </c>
      <c r="AD925">
        <v>0</v>
      </c>
      <c r="AE925">
        <v>7.07</v>
      </c>
      <c r="AF925">
        <v>0</v>
      </c>
      <c r="AG925">
        <v>0</v>
      </c>
      <c r="AH925">
        <v>0</v>
      </c>
      <c r="AI925">
        <v>1</v>
      </c>
      <c r="AJ925">
        <v>1</v>
      </c>
      <c r="AK925">
        <v>1</v>
      </c>
      <c r="AL925">
        <v>1</v>
      </c>
      <c r="AN925">
        <v>0</v>
      </c>
      <c r="AO925">
        <v>1</v>
      </c>
      <c r="AP925">
        <v>0</v>
      </c>
      <c r="AQ925">
        <v>0</v>
      </c>
      <c r="AR925">
        <v>0</v>
      </c>
      <c r="AS925" t="s">
        <v>3</v>
      </c>
      <c r="AT925">
        <v>0.93733</v>
      </c>
      <c r="AU925" t="s">
        <v>3</v>
      </c>
      <c r="AV925">
        <v>0</v>
      </c>
      <c r="AW925">
        <v>2</v>
      </c>
      <c r="AX925">
        <v>129764308</v>
      </c>
      <c r="AY925">
        <v>1</v>
      </c>
      <c r="AZ925">
        <v>0</v>
      </c>
      <c r="BA925">
        <v>897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0</v>
      </c>
      <c r="BR925">
        <v>0</v>
      </c>
      <c r="BS925">
        <v>0</v>
      </c>
      <c r="BT925">
        <v>0</v>
      </c>
      <c r="BU925">
        <v>0</v>
      </c>
      <c r="BV925">
        <v>0</v>
      </c>
      <c r="BW925">
        <v>0</v>
      </c>
      <c r="CX925">
        <f>ROUND(Y925*Source!I1080,9)</f>
        <v>7.4986399999999995E-2</v>
      </c>
      <c r="CY925">
        <f t="shared" ref="CY925:CY931" si="444">AA925</f>
        <v>7.07</v>
      </c>
      <c r="CZ925">
        <f t="shared" ref="CZ925:CZ931" si="445">AE925</f>
        <v>7.07</v>
      </c>
      <c r="DA925">
        <f t="shared" ref="DA925:DA931" si="446">AI925</f>
        <v>1</v>
      </c>
      <c r="DB925">
        <f t="shared" ref="DB925:DB931" si="447">ROUND(ROUND(AT925*CZ925,2),6)</f>
        <v>6.63</v>
      </c>
      <c r="DC925">
        <f t="shared" ref="DC925:DC931" si="448">ROUND(ROUND(AT925*AG925,2),6)</f>
        <v>0</v>
      </c>
      <c r="DD925" t="s">
        <v>3</v>
      </c>
      <c r="DE925" t="s">
        <v>3</v>
      </c>
      <c r="DF925">
        <f t="shared" si="442"/>
        <v>0.53</v>
      </c>
      <c r="DG925">
        <f t="shared" si="439"/>
        <v>0</v>
      </c>
      <c r="DH925">
        <f t="shared" si="440"/>
        <v>0</v>
      </c>
      <c r="DI925">
        <f t="shared" si="424"/>
        <v>0</v>
      </c>
      <c r="DJ925">
        <f t="shared" ref="DJ925:DJ931" si="449">DF925</f>
        <v>0.53</v>
      </c>
      <c r="DK925">
        <v>0</v>
      </c>
    </row>
    <row r="926" spans="1:115" x14ac:dyDescent="0.2">
      <c r="A926">
        <f>ROW(Source!A1080)</f>
        <v>1080</v>
      </c>
      <c r="B926">
        <v>129761636</v>
      </c>
      <c r="C926">
        <v>129764292</v>
      </c>
      <c r="D926">
        <v>37393685</v>
      </c>
      <c r="E926">
        <v>1</v>
      </c>
      <c r="F926">
        <v>1</v>
      </c>
      <c r="G926">
        <v>37345137</v>
      </c>
      <c r="H926">
        <v>3</v>
      </c>
      <c r="I926" t="s">
        <v>1359</v>
      </c>
      <c r="J926" t="s">
        <v>1360</v>
      </c>
      <c r="K926" t="s">
        <v>1361</v>
      </c>
      <c r="L926">
        <v>1348</v>
      </c>
      <c r="N926">
        <v>1009</v>
      </c>
      <c r="O926" t="s">
        <v>114</v>
      </c>
      <c r="P926" t="s">
        <v>114</v>
      </c>
      <c r="Q926">
        <v>1000</v>
      </c>
      <c r="W926">
        <v>0</v>
      </c>
      <c r="X926">
        <v>-1837888431</v>
      </c>
      <c r="Y926">
        <f t="shared" si="443"/>
        <v>2.51E-5</v>
      </c>
      <c r="AA926">
        <v>3246.35</v>
      </c>
      <c r="AB926">
        <v>0</v>
      </c>
      <c r="AC926">
        <v>0</v>
      </c>
      <c r="AD926">
        <v>0</v>
      </c>
      <c r="AE926">
        <v>3246.35</v>
      </c>
      <c r="AF926">
        <v>0</v>
      </c>
      <c r="AG926">
        <v>0</v>
      </c>
      <c r="AH926">
        <v>0</v>
      </c>
      <c r="AI926">
        <v>1</v>
      </c>
      <c r="AJ926">
        <v>1</v>
      </c>
      <c r="AK926">
        <v>1</v>
      </c>
      <c r="AL926">
        <v>1</v>
      </c>
      <c r="AN926">
        <v>0</v>
      </c>
      <c r="AO926">
        <v>1</v>
      </c>
      <c r="AP926">
        <v>0</v>
      </c>
      <c r="AQ926">
        <v>0</v>
      </c>
      <c r="AR926">
        <v>0</v>
      </c>
      <c r="AS926" t="s">
        <v>3</v>
      </c>
      <c r="AT926">
        <v>2.51E-5</v>
      </c>
      <c r="AU926" t="s">
        <v>3</v>
      </c>
      <c r="AV926">
        <v>0</v>
      </c>
      <c r="AW926">
        <v>2</v>
      </c>
      <c r="AX926">
        <v>129764309</v>
      </c>
      <c r="AY926">
        <v>1</v>
      </c>
      <c r="AZ926">
        <v>0</v>
      </c>
      <c r="BA926">
        <v>898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0</v>
      </c>
      <c r="BR926">
        <v>0</v>
      </c>
      <c r="BS926">
        <v>0</v>
      </c>
      <c r="BT926">
        <v>0</v>
      </c>
      <c r="BU926">
        <v>0</v>
      </c>
      <c r="BV926">
        <v>0</v>
      </c>
      <c r="BW926">
        <v>0</v>
      </c>
      <c r="CX926">
        <f>ROUND(Y926*Source!I1080,9)</f>
        <v>2.0080000000000001E-6</v>
      </c>
      <c r="CY926">
        <f t="shared" si="444"/>
        <v>3246.35</v>
      </c>
      <c r="CZ926">
        <f t="shared" si="445"/>
        <v>3246.35</v>
      </c>
      <c r="DA926">
        <f t="shared" si="446"/>
        <v>1</v>
      </c>
      <c r="DB926">
        <f t="shared" si="447"/>
        <v>0.08</v>
      </c>
      <c r="DC926">
        <f t="shared" si="448"/>
        <v>0</v>
      </c>
      <c r="DD926" t="s">
        <v>3</v>
      </c>
      <c r="DE926" t="s">
        <v>3</v>
      </c>
      <c r="DF926">
        <f t="shared" si="442"/>
        <v>0.01</v>
      </c>
      <c r="DG926">
        <f t="shared" si="439"/>
        <v>0</v>
      </c>
      <c r="DH926">
        <f t="shared" si="440"/>
        <v>0</v>
      </c>
      <c r="DI926">
        <f t="shared" si="424"/>
        <v>0</v>
      </c>
      <c r="DJ926">
        <f t="shared" si="449"/>
        <v>0.01</v>
      </c>
      <c r="DK926">
        <v>0</v>
      </c>
    </row>
    <row r="927" spans="1:115" x14ac:dyDescent="0.2">
      <c r="A927">
        <f>ROW(Source!A1080)</f>
        <v>1080</v>
      </c>
      <c r="B927">
        <v>129761636</v>
      </c>
      <c r="C927">
        <v>129764292</v>
      </c>
      <c r="D927">
        <v>37393471</v>
      </c>
      <c r="E927">
        <v>1</v>
      </c>
      <c r="F927">
        <v>1</v>
      </c>
      <c r="G927">
        <v>37345137</v>
      </c>
      <c r="H927">
        <v>3</v>
      </c>
      <c r="I927" t="s">
        <v>1380</v>
      </c>
      <c r="J927" t="s">
        <v>1381</v>
      </c>
      <c r="K927" t="s">
        <v>1382</v>
      </c>
      <c r="L927">
        <v>1339</v>
      </c>
      <c r="N927">
        <v>1007</v>
      </c>
      <c r="O927" t="s">
        <v>94</v>
      </c>
      <c r="P927" t="s">
        <v>94</v>
      </c>
      <c r="Q927">
        <v>1</v>
      </c>
      <c r="W927">
        <v>0</v>
      </c>
      <c r="X927">
        <v>-1326519054</v>
      </c>
      <c r="Y927">
        <f t="shared" si="443"/>
        <v>1.7</v>
      </c>
      <c r="AA927">
        <v>53.57</v>
      </c>
      <c r="AB927">
        <v>0</v>
      </c>
      <c r="AC927">
        <v>0</v>
      </c>
      <c r="AD927">
        <v>0</v>
      </c>
      <c r="AE927">
        <v>53.57</v>
      </c>
      <c r="AF927">
        <v>0</v>
      </c>
      <c r="AG927">
        <v>0</v>
      </c>
      <c r="AH927">
        <v>0</v>
      </c>
      <c r="AI927">
        <v>1</v>
      </c>
      <c r="AJ927">
        <v>1</v>
      </c>
      <c r="AK927">
        <v>1</v>
      </c>
      <c r="AL927">
        <v>1</v>
      </c>
      <c r="AN927">
        <v>0</v>
      </c>
      <c r="AO927">
        <v>1</v>
      </c>
      <c r="AP927">
        <v>0</v>
      </c>
      <c r="AQ927">
        <v>0</v>
      </c>
      <c r="AR927">
        <v>0</v>
      </c>
      <c r="AS927" t="s">
        <v>3</v>
      </c>
      <c r="AT927">
        <v>1.7</v>
      </c>
      <c r="AU927" t="s">
        <v>3</v>
      </c>
      <c r="AV927">
        <v>0</v>
      </c>
      <c r="AW927">
        <v>2</v>
      </c>
      <c r="AX927">
        <v>129764310</v>
      </c>
      <c r="AY927">
        <v>1</v>
      </c>
      <c r="AZ927">
        <v>0</v>
      </c>
      <c r="BA927">
        <v>899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0</v>
      </c>
      <c r="BR927">
        <v>0</v>
      </c>
      <c r="BS927">
        <v>0</v>
      </c>
      <c r="BT927">
        <v>0</v>
      </c>
      <c r="BU927">
        <v>0</v>
      </c>
      <c r="BV927">
        <v>0</v>
      </c>
      <c r="BW927">
        <v>0</v>
      </c>
      <c r="CX927">
        <f>ROUND(Y927*Source!I1080,9)</f>
        <v>0.13600000000000001</v>
      </c>
      <c r="CY927">
        <f t="shared" si="444"/>
        <v>53.57</v>
      </c>
      <c r="CZ927">
        <f t="shared" si="445"/>
        <v>53.57</v>
      </c>
      <c r="DA927">
        <f t="shared" si="446"/>
        <v>1</v>
      </c>
      <c r="DB927">
        <f t="shared" si="447"/>
        <v>91.07</v>
      </c>
      <c r="DC927">
        <f t="shared" si="448"/>
        <v>0</v>
      </c>
      <c r="DD927" t="s">
        <v>3</v>
      </c>
      <c r="DE927" t="s">
        <v>3</v>
      </c>
      <c r="DF927">
        <f t="shared" si="442"/>
        <v>7.29</v>
      </c>
      <c r="DG927">
        <f t="shared" si="439"/>
        <v>0</v>
      </c>
      <c r="DH927">
        <f t="shared" si="440"/>
        <v>0</v>
      </c>
      <c r="DI927">
        <f t="shared" si="424"/>
        <v>0</v>
      </c>
      <c r="DJ927">
        <f t="shared" si="449"/>
        <v>7.29</v>
      </c>
      <c r="DK927">
        <v>0</v>
      </c>
    </row>
    <row r="928" spans="1:115" x14ac:dyDescent="0.2">
      <c r="A928">
        <f>ROW(Source!A1080)</f>
        <v>1080</v>
      </c>
      <c r="B928">
        <v>129761636</v>
      </c>
      <c r="C928">
        <v>129764292</v>
      </c>
      <c r="D928">
        <v>37393799</v>
      </c>
      <c r="E928">
        <v>1</v>
      </c>
      <c r="F928">
        <v>1</v>
      </c>
      <c r="G928">
        <v>37345137</v>
      </c>
      <c r="H928">
        <v>3</v>
      </c>
      <c r="I928" t="s">
        <v>590</v>
      </c>
      <c r="J928" t="s">
        <v>592</v>
      </c>
      <c r="K928" t="s">
        <v>591</v>
      </c>
      <c r="L928">
        <v>1339</v>
      </c>
      <c r="N928">
        <v>1007</v>
      </c>
      <c r="O928" t="s">
        <v>94</v>
      </c>
      <c r="P928" t="s">
        <v>94</v>
      </c>
      <c r="Q928">
        <v>1</v>
      </c>
      <c r="W928">
        <v>0</v>
      </c>
      <c r="X928">
        <v>-1236741395</v>
      </c>
      <c r="Y928">
        <f t="shared" si="443"/>
        <v>1.68</v>
      </c>
      <c r="AA928">
        <v>5.91</v>
      </c>
      <c r="AB928">
        <v>0</v>
      </c>
      <c r="AC928">
        <v>0</v>
      </c>
      <c r="AD928">
        <v>0</v>
      </c>
      <c r="AE928">
        <v>5.91</v>
      </c>
      <c r="AF928">
        <v>0</v>
      </c>
      <c r="AG928">
        <v>0</v>
      </c>
      <c r="AH928">
        <v>0</v>
      </c>
      <c r="AI928">
        <v>1</v>
      </c>
      <c r="AJ928">
        <v>1</v>
      </c>
      <c r="AK928">
        <v>1</v>
      </c>
      <c r="AL928">
        <v>1</v>
      </c>
      <c r="AN928">
        <v>0</v>
      </c>
      <c r="AO928">
        <v>1</v>
      </c>
      <c r="AP928">
        <v>0</v>
      </c>
      <c r="AQ928">
        <v>0</v>
      </c>
      <c r="AR928">
        <v>0</v>
      </c>
      <c r="AS928" t="s">
        <v>3</v>
      </c>
      <c r="AT928">
        <v>1.68</v>
      </c>
      <c r="AU928" t="s">
        <v>3</v>
      </c>
      <c r="AV928">
        <v>0</v>
      </c>
      <c r="AW928">
        <v>2</v>
      </c>
      <c r="AX928">
        <v>129764311</v>
      </c>
      <c r="AY928">
        <v>1</v>
      </c>
      <c r="AZ928">
        <v>0</v>
      </c>
      <c r="BA928">
        <v>900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0</v>
      </c>
      <c r="BR928">
        <v>0</v>
      </c>
      <c r="BS928">
        <v>0</v>
      </c>
      <c r="BT928">
        <v>0</v>
      </c>
      <c r="BU928">
        <v>0</v>
      </c>
      <c r="BV928">
        <v>0</v>
      </c>
      <c r="BW928">
        <v>0</v>
      </c>
      <c r="CX928">
        <f>ROUND(Y928*Source!I1080,9)</f>
        <v>0.13439999999999999</v>
      </c>
      <c r="CY928">
        <f t="shared" si="444"/>
        <v>5.91</v>
      </c>
      <c r="CZ928">
        <f t="shared" si="445"/>
        <v>5.91</v>
      </c>
      <c r="DA928">
        <f t="shared" si="446"/>
        <v>1</v>
      </c>
      <c r="DB928">
        <f t="shared" si="447"/>
        <v>9.93</v>
      </c>
      <c r="DC928">
        <f t="shared" si="448"/>
        <v>0</v>
      </c>
      <c r="DD928" t="s">
        <v>3</v>
      </c>
      <c r="DE928" t="s">
        <v>3</v>
      </c>
      <c r="DF928">
        <f t="shared" si="442"/>
        <v>0.79</v>
      </c>
      <c r="DG928">
        <f t="shared" si="439"/>
        <v>0</v>
      </c>
      <c r="DH928">
        <f t="shared" si="440"/>
        <v>0</v>
      </c>
      <c r="DI928">
        <f t="shared" si="424"/>
        <v>0</v>
      </c>
      <c r="DJ928">
        <f t="shared" si="449"/>
        <v>0.79</v>
      </c>
      <c r="DK928">
        <v>0</v>
      </c>
    </row>
    <row r="929" spans="1:115" x14ac:dyDescent="0.2">
      <c r="A929">
        <f>ROW(Source!A1080)</f>
        <v>1080</v>
      </c>
      <c r="B929">
        <v>129761636</v>
      </c>
      <c r="C929">
        <v>129764292</v>
      </c>
      <c r="D929">
        <v>37394293</v>
      </c>
      <c r="E929">
        <v>1</v>
      </c>
      <c r="F929">
        <v>1</v>
      </c>
      <c r="G929">
        <v>37345137</v>
      </c>
      <c r="H929">
        <v>3</v>
      </c>
      <c r="I929" t="s">
        <v>1389</v>
      </c>
      <c r="J929" t="s">
        <v>1390</v>
      </c>
      <c r="K929" t="s">
        <v>1391</v>
      </c>
      <c r="L929">
        <v>1348</v>
      </c>
      <c r="N929">
        <v>1009</v>
      </c>
      <c r="O929" t="s">
        <v>114</v>
      </c>
      <c r="P929" t="s">
        <v>114</v>
      </c>
      <c r="Q929">
        <v>1000</v>
      </c>
      <c r="W929">
        <v>0</v>
      </c>
      <c r="X929">
        <v>1703733581</v>
      </c>
      <c r="Y929">
        <f t="shared" si="443"/>
        <v>1E-3</v>
      </c>
      <c r="AA929">
        <v>35451.18</v>
      </c>
      <c r="AB929">
        <v>0</v>
      </c>
      <c r="AC929">
        <v>0</v>
      </c>
      <c r="AD929">
        <v>0</v>
      </c>
      <c r="AE929">
        <v>35451.18</v>
      </c>
      <c r="AF929">
        <v>0</v>
      </c>
      <c r="AG929">
        <v>0</v>
      </c>
      <c r="AH929">
        <v>0</v>
      </c>
      <c r="AI929">
        <v>1</v>
      </c>
      <c r="AJ929">
        <v>1</v>
      </c>
      <c r="AK929">
        <v>1</v>
      </c>
      <c r="AL929">
        <v>1</v>
      </c>
      <c r="AN929">
        <v>0</v>
      </c>
      <c r="AO929">
        <v>1</v>
      </c>
      <c r="AP929">
        <v>0</v>
      </c>
      <c r="AQ929">
        <v>0</v>
      </c>
      <c r="AR929">
        <v>0</v>
      </c>
      <c r="AS929" t="s">
        <v>3</v>
      </c>
      <c r="AT929">
        <v>1E-3</v>
      </c>
      <c r="AU929" t="s">
        <v>3</v>
      </c>
      <c r="AV929">
        <v>0</v>
      </c>
      <c r="AW929">
        <v>2</v>
      </c>
      <c r="AX929">
        <v>129764312</v>
      </c>
      <c r="AY929">
        <v>1</v>
      </c>
      <c r="AZ929">
        <v>0</v>
      </c>
      <c r="BA929">
        <v>901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0</v>
      </c>
      <c r="BR929">
        <v>0</v>
      </c>
      <c r="BS929">
        <v>0</v>
      </c>
      <c r="BT929">
        <v>0</v>
      </c>
      <c r="BU929">
        <v>0</v>
      </c>
      <c r="BV929">
        <v>0</v>
      </c>
      <c r="BW929">
        <v>0</v>
      </c>
      <c r="CX929">
        <f>ROUND(Y929*Source!I1080,9)</f>
        <v>8.0000000000000007E-5</v>
      </c>
      <c r="CY929">
        <f t="shared" si="444"/>
        <v>35451.18</v>
      </c>
      <c r="CZ929">
        <f t="shared" si="445"/>
        <v>35451.18</v>
      </c>
      <c r="DA929">
        <f t="shared" si="446"/>
        <v>1</v>
      </c>
      <c r="DB929">
        <f t="shared" si="447"/>
        <v>35.450000000000003</v>
      </c>
      <c r="DC929">
        <f t="shared" si="448"/>
        <v>0</v>
      </c>
      <c r="DD929" t="s">
        <v>3</v>
      </c>
      <c r="DE929" t="s">
        <v>3</v>
      </c>
      <c r="DF929">
        <f t="shared" si="442"/>
        <v>2.84</v>
      </c>
      <c r="DG929">
        <f t="shared" si="439"/>
        <v>0</v>
      </c>
      <c r="DH929">
        <f t="shared" si="440"/>
        <v>0</v>
      </c>
      <c r="DI929">
        <f t="shared" si="424"/>
        <v>0</v>
      </c>
      <c r="DJ929">
        <f t="shared" si="449"/>
        <v>2.84</v>
      </c>
      <c r="DK929">
        <v>0</v>
      </c>
    </row>
    <row r="930" spans="1:115" x14ac:dyDescent="0.2">
      <c r="A930">
        <f>ROW(Source!A1080)</f>
        <v>1080</v>
      </c>
      <c r="B930">
        <v>129761636</v>
      </c>
      <c r="C930">
        <v>129764292</v>
      </c>
      <c r="D930">
        <v>37397858</v>
      </c>
      <c r="E930">
        <v>1</v>
      </c>
      <c r="F930">
        <v>1</v>
      </c>
      <c r="G930">
        <v>37345137</v>
      </c>
      <c r="H930">
        <v>3</v>
      </c>
      <c r="I930" t="s">
        <v>892</v>
      </c>
      <c r="J930" t="s">
        <v>894</v>
      </c>
      <c r="K930" t="s">
        <v>893</v>
      </c>
      <c r="L930">
        <v>1301</v>
      </c>
      <c r="N930">
        <v>1003</v>
      </c>
      <c r="O930" t="s">
        <v>270</v>
      </c>
      <c r="P930" t="s">
        <v>270</v>
      </c>
      <c r="Q930">
        <v>1</v>
      </c>
      <c r="W930">
        <v>0</v>
      </c>
      <c r="X930">
        <v>-675544823</v>
      </c>
      <c r="Y930">
        <f t="shared" si="443"/>
        <v>100</v>
      </c>
      <c r="AA930">
        <v>111.92</v>
      </c>
      <c r="AB930">
        <v>0</v>
      </c>
      <c r="AC930">
        <v>0</v>
      </c>
      <c r="AD930">
        <v>0</v>
      </c>
      <c r="AE930">
        <v>111.92</v>
      </c>
      <c r="AF930">
        <v>0</v>
      </c>
      <c r="AG930">
        <v>0</v>
      </c>
      <c r="AH930">
        <v>0</v>
      </c>
      <c r="AI930">
        <v>1</v>
      </c>
      <c r="AJ930">
        <v>1</v>
      </c>
      <c r="AK930">
        <v>1</v>
      </c>
      <c r="AL930">
        <v>1</v>
      </c>
      <c r="AN930">
        <v>0</v>
      </c>
      <c r="AO930">
        <v>0</v>
      </c>
      <c r="AP930">
        <v>0</v>
      </c>
      <c r="AQ930">
        <v>0</v>
      </c>
      <c r="AR930">
        <v>0</v>
      </c>
      <c r="AS930" t="s">
        <v>3</v>
      </c>
      <c r="AT930">
        <v>100</v>
      </c>
      <c r="AU930" t="s">
        <v>3</v>
      </c>
      <c r="AV930">
        <v>0</v>
      </c>
      <c r="AW930">
        <v>1</v>
      </c>
      <c r="AX930">
        <v>-1</v>
      </c>
      <c r="AY930">
        <v>0</v>
      </c>
      <c r="AZ930">
        <v>0</v>
      </c>
      <c r="BA930" t="s">
        <v>3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0</v>
      </c>
      <c r="BR930">
        <v>0</v>
      </c>
      <c r="BS930">
        <v>0</v>
      </c>
      <c r="BT930">
        <v>0</v>
      </c>
      <c r="BU930">
        <v>0</v>
      </c>
      <c r="BV930">
        <v>0</v>
      </c>
      <c r="BW930">
        <v>0</v>
      </c>
      <c r="CX930">
        <f>ROUND(Y930*Source!I1080,9)</f>
        <v>8</v>
      </c>
      <c r="CY930">
        <f t="shared" si="444"/>
        <v>111.92</v>
      </c>
      <c r="CZ930">
        <f t="shared" si="445"/>
        <v>111.92</v>
      </c>
      <c r="DA930">
        <f t="shared" si="446"/>
        <v>1</v>
      </c>
      <c r="DB930">
        <f t="shared" si="447"/>
        <v>11192</v>
      </c>
      <c r="DC930">
        <f t="shared" si="448"/>
        <v>0</v>
      </c>
      <c r="DD930" t="s">
        <v>3</v>
      </c>
      <c r="DE930" t="s">
        <v>3</v>
      </c>
      <c r="DF930">
        <f t="shared" si="442"/>
        <v>895.36</v>
      </c>
      <c r="DG930">
        <f t="shared" si="439"/>
        <v>0</v>
      </c>
      <c r="DH930">
        <f t="shared" si="440"/>
        <v>0</v>
      </c>
      <c r="DI930">
        <f t="shared" si="424"/>
        <v>0</v>
      </c>
      <c r="DJ930">
        <f t="shared" si="449"/>
        <v>895.36</v>
      </c>
      <c r="DK930">
        <v>0</v>
      </c>
    </row>
    <row r="931" spans="1:115" x14ac:dyDescent="0.2">
      <c r="A931">
        <f>ROW(Source!A1080)</f>
        <v>1080</v>
      </c>
      <c r="B931">
        <v>129761636</v>
      </c>
      <c r="C931">
        <v>129764292</v>
      </c>
      <c r="D931">
        <v>37412062</v>
      </c>
      <c r="E931">
        <v>1</v>
      </c>
      <c r="F931">
        <v>1</v>
      </c>
      <c r="G931">
        <v>37345137</v>
      </c>
      <c r="H931">
        <v>3</v>
      </c>
      <c r="I931" t="s">
        <v>1133</v>
      </c>
      <c r="J931" t="s">
        <v>1134</v>
      </c>
      <c r="K931" t="s">
        <v>1135</v>
      </c>
      <c r="L931">
        <v>1339</v>
      </c>
      <c r="N931">
        <v>1007</v>
      </c>
      <c r="O931" t="s">
        <v>94</v>
      </c>
      <c r="P931" t="s">
        <v>94</v>
      </c>
      <c r="Q931">
        <v>1</v>
      </c>
      <c r="W931">
        <v>0</v>
      </c>
      <c r="X931">
        <v>-718781615</v>
      </c>
      <c r="Y931">
        <f t="shared" si="443"/>
        <v>7.0000000000000001E-3</v>
      </c>
      <c r="AA931">
        <v>451.14</v>
      </c>
      <c r="AB931">
        <v>0</v>
      </c>
      <c r="AC931">
        <v>0</v>
      </c>
      <c r="AD931">
        <v>0</v>
      </c>
      <c r="AE931">
        <v>451.14</v>
      </c>
      <c r="AF931">
        <v>0</v>
      </c>
      <c r="AG931">
        <v>0</v>
      </c>
      <c r="AH931">
        <v>0</v>
      </c>
      <c r="AI931">
        <v>1</v>
      </c>
      <c r="AJ931">
        <v>1</v>
      </c>
      <c r="AK931">
        <v>1</v>
      </c>
      <c r="AL931">
        <v>1</v>
      </c>
      <c r="AN931">
        <v>0</v>
      </c>
      <c r="AO931">
        <v>1</v>
      </c>
      <c r="AP931">
        <v>0</v>
      </c>
      <c r="AQ931">
        <v>0</v>
      </c>
      <c r="AR931">
        <v>0</v>
      </c>
      <c r="AS931" t="s">
        <v>3</v>
      </c>
      <c r="AT931">
        <v>7.0000000000000001E-3</v>
      </c>
      <c r="AU931" t="s">
        <v>3</v>
      </c>
      <c r="AV931">
        <v>0</v>
      </c>
      <c r="AW931">
        <v>2</v>
      </c>
      <c r="AX931">
        <v>129764313</v>
      </c>
      <c r="AY931">
        <v>1</v>
      </c>
      <c r="AZ931">
        <v>0</v>
      </c>
      <c r="BA931">
        <v>902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0</v>
      </c>
      <c r="BR931">
        <v>0</v>
      </c>
      <c r="BS931">
        <v>0</v>
      </c>
      <c r="BT931">
        <v>0</v>
      </c>
      <c r="BU931">
        <v>0</v>
      </c>
      <c r="BV931">
        <v>0</v>
      </c>
      <c r="BW931">
        <v>0</v>
      </c>
      <c r="CX931">
        <f>ROUND(Y931*Source!I1080,9)</f>
        <v>5.5999999999999995E-4</v>
      </c>
      <c r="CY931">
        <f t="shared" si="444"/>
        <v>451.14</v>
      </c>
      <c r="CZ931">
        <f t="shared" si="445"/>
        <v>451.14</v>
      </c>
      <c r="DA931">
        <f t="shared" si="446"/>
        <v>1</v>
      </c>
      <c r="DB931">
        <f t="shared" si="447"/>
        <v>3.16</v>
      </c>
      <c r="DC931">
        <f t="shared" si="448"/>
        <v>0</v>
      </c>
      <c r="DD931" t="s">
        <v>3</v>
      </c>
      <c r="DE931" t="s">
        <v>3</v>
      </c>
      <c r="DF931">
        <f t="shared" si="442"/>
        <v>0.25</v>
      </c>
      <c r="DG931">
        <f t="shared" si="439"/>
        <v>0</v>
      </c>
      <c r="DH931">
        <f t="shared" si="440"/>
        <v>0</v>
      </c>
      <c r="DI931">
        <f t="shared" si="424"/>
        <v>0</v>
      </c>
      <c r="DJ931">
        <f t="shared" si="449"/>
        <v>0.25</v>
      </c>
      <c r="DK931">
        <v>0</v>
      </c>
    </row>
    <row r="932" spans="1:115" x14ac:dyDescent="0.2">
      <c r="A932">
        <f>ROW(Source!A1081)</f>
        <v>1081</v>
      </c>
      <c r="B932">
        <v>129761633</v>
      </c>
      <c r="C932">
        <v>129764292</v>
      </c>
      <c r="D932">
        <v>37345142</v>
      </c>
      <c r="E932">
        <v>37345137</v>
      </c>
      <c r="F932">
        <v>1</v>
      </c>
      <c r="G932">
        <v>37345137</v>
      </c>
      <c r="H932">
        <v>1</v>
      </c>
      <c r="I932" t="s">
        <v>1096</v>
      </c>
      <c r="J932" t="s">
        <v>3</v>
      </c>
      <c r="K932" t="s">
        <v>1097</v>
      </c>
      <c r="L932">
        <v>1191</v>
      </c>
      <c r="N932">
        <v>1013</v>
      </c>
      <c r="O932" t="s">
        <v>1098</v>
      </c>
      <c r="P932" t="s">
        <v>1098</v>
      </c>
      <c r="Q932">
        <v>1</v>
      </c>
      <c r="W932">
        <v>0</v>
      </c>
      <c r="X932">
        <v>476480486</v>
      </c>
      <c r="Y932">
        <f>(AT932*1.15)</f>
        <v>63.824999999999996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1</v>
      </c>
      <c r="AJ932">
        <v>1</v>
      </c>
      <c r="AK932">
        <v>1</v>
      </c>
      <c r="AL932">
        <v>1</v>
      </c>
      <c r="AN932">
        <v>0</v>
      </c>
      <c r="AO932">
        <v>1</v>
      </c>
      <c r="AP932">
        <v>1</v>
      </c>
      <c r="AQ932">
        <v>0</v>
      </c>
      <c r="AR932">
        <v>0</v>
      </c>
      <c r="AS932" t="s">
        <v>3</v>
      </c>
      <c r="AT932">
        <v>55.5</v>
      </c>
      <c r="AU932" t="s">
        <v>87</v>
      </c>
      <c r="AV932">
        <v>1</v>
      </c>
      <c r="AW932">
        <v>2</v>
      </c>
      <c r="AX932">
        <v>129764304</v>
      </c>
      <c r="AY932">
        <v>1</v>
      </c>
      <c r="AZ932">
        <v>0</v>
      </c>
      <c r="BA932">
        <v>906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0</v>
      </c>
      <c r="BR932">
        <v>0</v>
      </c>
      <c r="BS932">
        <v>0</v>
      </c>
      <c r="BT932">
        <v>0</v>
      </c>
      <c r="BU932">
        <v>0</v>
      </c>
      <c r="BV932">
        <v>0</v>
      </c>
      <c r="BW932">
        <v>0</v>
      </c>
      <c r="CX932">
        <f>ROUND(Y932*Source!I1081,9)</f>
        <v>5.1059999999999999</v>
      </c>
      <c r="CY932">
        <f>AD932</f>
        <v>0</v>
      </c>
      <c r="CZ932">
        <f>AH932</f>
        <v>0</v>
      </c>
      <c r="DA932">
        <f>AL932</f>
        <v>1</v>
      </c>
      <c r="DB932">
        <f>ROUND((ROUND(AT932*CZ932,2)*1.15),6)</f>
        <v>0</v>
      </c>
      <c r="DC932">
        <f>ROUND((ROUND(AT932*AG932,2)*1.15),6)</f>
        <v>0</v>
      </c>
      <c r="DD932" t="s">
        <v>3</v>
      </c>
      <c r="DE932" t="s">
        <v>3</v>
      </c>
      <c r="DF932">
        <f t="shared" si="442"/>
        <v>0</v>
      </c>
      <c r="DG932">
        <f t="shared" si="439"/>
        <v>0</v>
      </c>
      <c r="DH932">
        <f t="shared" si="440"/>
        <v>0</v>
      </c>
      <c r="DI932">
        <f t="shared" si="424"/>
        <v>0</v>
      </c>
      <c r="DJ932">
        <f>DI932</f>
        <v>0</v>
      </c>
      <c r="DK932">
        <v>0</v>
      </c>
    </row>
    <row r="933" spans="1:115" x14ac:dyDescent="0.2">
      <c r="A933">
        <f>ROW(Source!A1081)</f>
        <v>1081</v>
      </c>
      <c r="B933">
        <v>129761633</v>
      </c>
      <c r="C933">
        <v>129764292</v>
      </c>
      <c r="D933">
        <v>37418158</v>
      </c>
      <c r="E933">
        <v>1</v>
      </c>
      <c r="F933">
        <v>1</v>
      </c>
      <c r="G933">
        <v>37345137</v>
      </c>
      <c r="H933">
        <v>2</v>
      </c>
      <c r="I933" t="s">
        <v>1374</v>
      </c>
      <c r="J933" t="s">
        <v>1375</v>
      </c>
      <c r="K933" t="s">
        <v>1376</v>
      </c>
      <c r="L933">
        <v>1367</v>
      </c>
      <c r="N933">
        <v>1011</v>
      </c>
      <c r="O933" t="s">
        <v>1102</v>
      </c>
      <c r="P933" t="s">
        <v>1102</v>
      </c>
      <c r="Q933">
        <v>1</v>
      </c>
      <c r="W933">
        <v>0</v>
      </c>
      <c r="X933">
        <v>1295654915</v>
      </c>
      <c r="Y933">
        <f>(AT933*1.25)</f>
        <v>4.375</v>
      </c>
      <c r="AA933">
        <v>0</v>
      </c>
      <c r="AB933">
        <v>53.88</v>
      </c>
      <c r="AC933">
        <v>0</v>
      </c>
      <c r="AD933">
        <v>0</v>
      </c>
      <c r="AE933">
        <v>0</v>
      </c>
      <c r="AF933">
        <v>4.8600000000000003</v>
      </c>
      <c r="AG933">
        <v>0</v>
      </c>
      <c r="AH933">
        <v>0</v>
      </c>
      <c r="AI933">
        <v>1</v>
      </c>
      <c r="AJ933">
        <v>10.39</v>
      </c>
      <c r="AK933">
        <v>29.03</v>
      </c>
      <c r="AL933">
        <v>1</v>
      </c>
      <c r="AN933">
        <v>0</v>
      </c>
      <c r="AO933">
        <v>1</v>
      </c>
      <c r="AP933">
        <v>1</v>
      </c>
      <c r="AQ933">
        <v>0</v>
      </c>
      <c r="AR933">
        <v>0</v>
      </c>
      <c r="AS933" t="s">
        <v>3</v>
      </c>
      <c r="AT933">
        <v>3.5</v>
      </c>
      <c r="AU933" t="s">
        <v>86</v>
      </c>
      <c r="AV933">
        <v>0</v>
      </c>
      <c r="AW933">
        <v>2</v>
      </c>
      <c r="AX933">
        <v>129764305</v>
      </c>
      <c r="AY933">
        <v>1</v>
      </c>
      <c r="AZ933">
        <v>0</v>
      </c>
      <c r="BA933">
        <v>907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0</v>
      </c>
      <c r="BR933">
        <v>0</v>
      </c>
      <c r="BS933">
        <v>0</v>
      </c>
      <c r="BT933">
        <v>0</v>
      </c>
      <c r="BU933">
        <v>0</v>
      </c>
      <c r="BV933">
        <v>0</v>
      </c>
      <c r="BW933">
        <v>0</v>
      </c>
      <c r="CX933">
        <f>ROUND(Y933*Source!I1081,9)</f>
        <v>0.35</v>
      </c>
      <c r="CY933">
        <f>AB933</f>
        <v>53.88</v>
      </c>
      <c r="CZ933">
        <f>AF933</f>
        <v>4.8600000000000003</v>
      </c>
      <c r="DA933">
        <f>AJ933</f>
        <v>10.39</v>
      </c>
      <c r="DB933">
        <f>ROUND((ROUND(AT933*CZ933,2)*1.25),6)</f>
        <v>21.262499999999999</v>
      </c>
      <c r="DC933">
        <f>ROUND((ROUND(AT933*AG933,2)*1.25),6)</f>
        <v>0</v>
      </c>
      <c r="DD933" t="s">
        <v>3</v>
      </c>
      <c r="DE933" t="s">
        <v>3</v>
      </c>
      <c r="DF933">
        <f t="shared" si="442"/>
        <v>0</v>
      </c>
      <c r="DG933">
        <f>ROUND(ROUND(AF933*CX933,2)*AJ933,2)</f>
        <v>17.66</v>
      </c>
      <c r="DH933">
        <f>ROUND(ROUND(AG933*CX933,2)*AK933,2)</f>
        <v>0</v>
      </c>
      <c r="DI933">
        <f t="shared" si="424"/>
        <v>0</v>
      </c>
      <c r="DJ933">
        <f>DG933</f>
        <v>17.66</v>
      </c>
      <c r="DK933">
        <v>0</v>
      </c>
    </row>
    <row r="934" spans="1:115" x14ac:dyDescent="0.2">
      <c r="A934">
        <f>ROW(Source!A1081)</f>
        <v>1081</v>
      </c>
      <c r="B934">
        <v>129761633</v>
      </c>
      <c r="C934">
        <v>129764292</v>
      </c>
      <c r="D934">
        <v>37418445</v>
      </c>
      <c r="E934">
        <v>1</v>
      </c>
      <c r="F934">
        <v>1</v>
      </c>
      <c r="G934">
        <v>37345137</v>
      </c>
      <c r="H934">
        <v>2</v>
      </c>
      <c r="I934" t="s">
        <v>1189</v>
      </c>
      <c r="J934" t="s">
        <v>1190</v>
      </c>
      <c r="K934" t="s">
        <v>1191</v>
      </c>
      <c r="L934">
        <v>1367</v>
      </c>
      <c r="N934">
        <v>1011</v>
      </c>
      <c r="O934" t="s">
        <v>1102</v>
      </c>
      <c r="P934" t="s">
        <v>1102</v>
      </c>
      <c r="Q934">
        <v>1</v>
      </c>
      <c r="W934">
        <v>0</v>
      </c>
      <c r="X934">
        <v>-628430174</v>
      </c>
      <c r="Y934">
        <f>(AT934*1.25)</f>
        <v>1.3</v>
      </c>
      <c r="AA934">
        <v>0</v>
      </c>
      <c r="AB934">
        <v>935.94</v>
      </c>
      <c r="AC934">
        <v>444.8</v>
      </c>
      <c r="AD934">
        <v>0</v>
      </c>
      <c r="AE934">
        <v>0</v>
      </c>
      <c r="AF934">
        <v>76.81</v>
      </c>
      <c r="AG934">
        <v>14.36</v>
      </c>
      <c r="AH934">
        <v>0</v>
      </c>
      <c r="AI934">
        <v>1</v>
      </c>
      <c r="AJ934">
        <v>11.42</v>
      </c>
      <c r="AK934">
        <v>29.03</v>
      </c>
      <c r="AL934">
        <v>1</v>
      </c>
      <c r="AN934">
        <v>0</v>
      </c>
      <c r="AO934">
        <v>1</v>
      </c>
      <c r="AP934">
        <v>1</v>
      </c>
      <c r="AQ934">
        <v>0</v>
      </c>
      <c r="AR934">
        <v>0</v>
      </c>
      <c r="AS934" t="s">
        <v>3</v>
      </c>
      <c r="AT934">
        <v>1.04</v>
      </c>
      <c r="AU934" t="s">
        <v>86</v>
      </c>
      <c r="AV934">
        <v>0</v>
      </c>
      <c r="AW934">
        <v>2</v>
      </c>
      <c r="AX934">
        <v>129764306</v>
      </c>
      <c r="AY934">
        <v>1</v>
      </c>
      <c r="AZ934">
        <v>0</v>
      </c>
      <c r="BA934">
        <v>908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0</v>
      </c>
      <c r="BR934">
        <v>0</v>
      </c>
      <c r="BS934">
        <v>0</v>
      </c>
      <c r="BT934">
        <v>0</v>
      </c>
      <c r="BU934">
        <v>0</v>
      </c>
      <c r="BV934">
        <v>0</v>
      </c>
      <c r="BW934">
        <v>0</v>
      </c>
      <c r="CX934">
        <f>ROUND(Y934*Source!I1081,9)</f>
        <v>0.104</v>
      </c>
      <c r="CY934">
        <f>AB934</f>
        <v>935.94</v>
      </c>
      <c r="CZ934">
        <f>AF934</f>
        <v>76.81</v>
      </c>
      <c r="DA934">
        <f>AJ934</f>
        <v>11.42</v>
      </c>
      <c r="DB934">
        <f>ROUND((ROUND(AT934*CZ934,2)*1.25),6)</f>
        <v>99.85</v>
      </c>
      <c r="DC934">
        <f>ROUND((ROUND(AT934*AG934,2)*1.25),6)</f>
        <v>18.662500000000001</v>
      </c>
      <c r="DD934" t="s">
        <v>3</v>
      </c>
      <c r="DE934" t="s">
        <v>3</v>
      </c>
      <c r="DF934">
        <f t="shared" si="442"/>
        <v>0</v>
      </c>
      <c r="DG934">
        <f>ROUND(ROUND(AF934*CX934,2)*AJ934,2)</f>
        <v>91.25</v>
      </c>
      <c r="DH934">
        <f>ROUND(ROUND(AG934*CX934,2)*AK934,2)</f>
        <v>43.25</v>
      </c>
      <c r="DI934">
        <f t="shared" si="424"/>
        <v>0</v>
      </c>
      <c r="DJ934">
        <f>DG934</f>
        <v>91.25</v>
      </c>
      <c r="DK934">
        <v>0</v>
      </c>
    </row>
    <row r="935" spans="1:115" x14ac:dyDescent="0.2">
      <c r="A935">
        <f>ROW(Source!A1081)</f>
        <v>1081</v>
      </c>
      <c r="B935">
        <v>129761633</v>
      </c>
      <c r="C935">
        <v>129764292</v>
      </c>
      <c r="D935">
        <v>37417692</v>
      </c>
      <c r="E935">
        <v>1</v>
      </c>
      <c r="F935">
        <v>1</v>
      </c>
      <c r="G935">
        <v>37345137</v>
      </c>
      <c r="H935">
        <v>2</v>
      </c>
      <c r="I935" t="s">
        <v>1127</v>
      </c>
      <c r="J935" t="s">
        <v>1128</v>
      </c>
      <c r="K935" t="s">
        <v>1129</v>
      </c>
      <c r="L935">
        <v>1367</v>
      </c>
      <c r="N935">
        <v>1011</v>
      </c>
      <c r="O935" t="s">
        <v>1102</v>
      </c>
      <c r="P935" t="s">
        <v>1102</v>
      </c>
      <c r="Q935">
        <v>1</v>
      </c>
      <c r="W935">
        <v>0</v>
      </c>
      <c r="X935">
        <v>-266174272</v>
      </c>
      <c r="Y935">
        <f>(AT935*1.25)</f>
        <v>0.11249999999999999</v>
      </c>
      <c r="AA935">
        <v>0</v>
      </c>
      <c r="AB935">
        <v>2098.34</v>
      </c>
      <c r="AC935">
        <v>562.20000000000005</v>
      </c>
      <c r="AD935">
        <v>0</v>
      </c>
      <c r="AE935">
        <v>0</v>
      </c>
      <c r="AF935">
        <v>190.93</v>
      </c>
      <c r="AG935">
        <v>18.149999999999999</v>
      </c>
      <c r="AH935">
        <v>0</v>
      </c>
      <c r="AI935">
        <v>1</v>
      </c>
      <c r="AJ935">
        <v>10.3</v>
      </c>
      <c r="AK935">
        <v>29.03</v>
      </c>
      <c r="AL935">
        <v>1</v>
      </c>
      <c r="AN935">
        <v>0</v>
      </c>
      <c r="AO935">
        <v>1</v>
      </c>
      <c r="AP935">
        <v>1</v>
      </c>
      <c r="AQ935">
        <v>0</v>
      </c>
      <c r="AR935">
        <v>0</v>
      </c>
      <c r="AS935" t="s">
        <v>3</v>
      </c>
      <c r="AT935">
        <v>0.09</v>
      </c>
      <c r="AU935" t="s">
        <v>86</v>
      </c>
      <c r="AV935">
        <v>0</v>
      </c>
      <c r="AW935">
        <v>2</v>
      </c>
      <c r="AX935">
        <v>129764307</v>
      </c>
      <c r="AY935">
        <v>1</v>
      </c>
      <c r="AZ935">
        <v>0</v>
      </c>
      <c r="BA935">
        <v>909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0</v>
      </c>
      <c r="BR935">
        <v>0</v>
      </c>
      <c r="BS935">
        <v>0</v>
      </c>
      <c r="BT935">
        <v>0</v>
      </c>
      <c r="BU935">
        <v>0</v>
      </c>
      <c r="BV935">
        <v>0</v>
      </c>
      <c r="BW935">
        <v>0</v>
      </c>
      <c r="CX935">
        <f>ROUND(Y935*Source!I1081,9)</f>
        <v>8.9999999999999993E-3</v>
      </c>
      <c r="CY935">
        <f>AB935</f>
        <v>2098.34</v>
      </c>
      <c r="CZ935">
        <f>AF935</f>
        <v>190.93</v>
      </c>
      <c r="DA935">
        <f>AJ935</f>
        <v>10.3</v>
      </c>
      <c r="DB935">
        <f>ROUND((ROUND(AT935*CZ935,2)*1.25),6)</f>
        <v>21.475000000000001</v>
      </c>
      <c r="DC935">
        <f>ROUND((ROUND(AT935*AG935,2)*1.25),6)</f>
        <v>2.0375000000000001</v>
      </c>
      <c r="DD935" t="s">
        <v>3</v>
      </c>
      <c r="DE935" t="s">
        <v>3</v>
      </c>
      <c r="DF935">
        <f t="shared" si="442"/>
        <v>0</v>
      </c>
      <c r="DG935">
        <f>ROUND(ROUND(AF935*CX935,2)*AJ935,2)</f>
        <v>17.72</v>
      </c>
      <c r="DH935">
        <f>ROUND(ROUND(AG935*CX935,2)*AK935,2)</f>
        <v>4.6399999999999997</v>
      </c>
      <c r="DI935">
        <f t="shared" si="424"/>
        <v>0</v>
      </c>
      <c r="DJ935">
        <f>DG935</f>
        <v>17.72</v>
      </c>
      <c r="DK935">
        <v>0</v>
      </c>
    </row>
    <row r="936" spans="1:115" x14ac:dyDescent="0.2">
      <c r="A936">
        <f>ROW(Source!A1081)</f>
        <v>1081</v>
      </c>
      <c r="B936">
        <v>129761633</v>
      </c>
      <c r="C936">
        <v>129764292</v>
      </c>
      <c r="D936">
        <v>37393552</v>
      </c>
      <c r="E936">
        <v>1</v>
      </c>
      <c r="F936">
        <v>1</v>
      </c>
      <c r="G936">
        <v>37345137</v>
      </c>
      <c r="H936">
        <v>3</v>
      </c>
      <c r="I936" t="s">
        <v>348</v>
      </c>
      <c r="J936" t="s">
        <v>350</v>
      </c>
      <c r="K936" t="s">
        <v>349</v>
      </c>
      <c r="L936">
        <v>1339</v>
      </c>
      <c r="N936">
        <v>1007</v>
      </c>
      <c r="O936" t="s">
        <v>94</v>
      </c>
      <c r="P936" t="s">
        <v>94</v>
      </c>
      <c r="Q936">
        <v>1</v>
      </c>
      <c r="W936">
        <v>0</v>
      </c>
      <c r="X936">
        <v>-862991314</v>
      </c>
      <c r="Y936">
        <f t="shared" ref="Y936:Y942" si="450">AT936</f>
        <v>0.93733</v>
      </c>
      <c r="AA936">
        <v>42.42</v>
      </c>
      <c r="AB936">
        <v>0</v>
      </c>
      <c r="AC936">
        <v>0</v>
      </c>
      <c r="AD936">
        <v>0</v>
      </c>
      <c r="AE936">
        <v>7.07</v>
      </c>
      <c r="AF936">
        <v>0</v>
      </c>
      <c r="AG936">
        <v>0</v>
      </c>
      <c r="AH936">
        <v>0</v>
      </c>
      <c r="AI936">
        <v>6</v>
      </c>
      <c r="AJ936">
        <v>1</v>
      </c>
      <c r="AK936">
        <v>1</v>
      </c>
      <c r="AL936">
        <v>1</v>
      </c>
      <c r="AN936">
        <v>0</v>
      </c>
      <c r="AO936">
        <v>1</v>
      </c>
      <c r="AP936">
        <v>0</v>
      </c>
      <c r="AQ936">
        <v>0</v>
      </c>
      <c r="AR936">
        <v>0</v>
      </c>
      <c r="AS936" t="s">
        <v>3</v>
      </c>
      <c r="AT936">
        <v>0.93733</v>
      </c>
      <c r="AU936" t="s">
        <v>3</v>
      </c>
      <c r="AV936">
        <v>0</v>
      </c>
      <c r="AW936">
        <v>2</v>
      </c>
      <c r="AX936">
        <v>129764308</v>
      </c>
      <c r="AY936">
        <v>1</v>
      </c>
      <c r="AZ936">
        <v>0</v>
      </c>
      <c r="BA936">
        <v>910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0</v>
      </c>
      <c r="BR936">
        <v>0</v>
      </c>
      <c r="BS936">
        <v>0</v>
      </c>
      <c r="BT936">
        <v>0</v>
      </c>
      <c r="BU936">
        <v>0</v>
      </c>
      <c r="BV936">
        <v>0</v>
      </c>
      <c r="BW936">
        <v>0</v>
      </c>
      <c r="CX936">
        <f>ROUND(Y936*Source!I1081,9)</f>
        <v>7.4986399999999995E-2</v>
      </c>
      <c r="CY936">
        <f t="shared" ref="CY936:CY942" si="451">AA936</f>
        <v>42.42</v>
      </c>
      <c r="CZ936">
        <f t="shared" ref="CZ936:CZ942" si="452">AE936</f>
        <v>7.07</v>
      </c>
      <c r="DA936">
        <f t="shared" ref="DA936:DA942" si="453">AI936</f>
        <v>6</v>
      </c>
      <c r="DB936">
        <f t="shared" ref="DB936:DB942" si="454">ROUND(ROUND(AT936*CZ936,2),6)</f>
        <v>6.63</v>
      </c>
      <c r="DC936">
        <f t="shared" ref="DC936:DC942" si="455">ROUND(ROUND(AT936*AG936,2),6)</f>
        <v>0</v>
      </c>
      <c r="DD936" t="s">
        <v>3</v>
      </c>
      <c r="DE936" t="s">
        <v>3</v>
      </c>
      <c r="DF936">
        <f t="shared" ref="DF936:DF942" si="456">ROUND(ROUND(AE936*CX936,2)*AI936,2)</f>
        <v>3.18</v>
      </c>
      <c r="DG936">
        <f t="shared" ref="DG936:DG967" si="457">ROUND(AF936*CX936,2)</f>
        <v>0</v>
      </c>
      <c r="DH936">
        <f t="shared" ref="DH936:DH967" si="458">ROUND(AG936*CX936,2)</f>
        <v>0</v>
      </c>
      <c r="DI936">
        <f t="shared" si="424"/>
        <v>0</v>
      </c>
      <c r="DJ936">
        <f t="shared" ref="DJ936:DJ942" si="459">DF936</f>
        <v>3.18</v>
      </c>
      <c r="DK936">
        <v>0</v>
      </c>
    </row>
    <row r="937" spans="1:115" x14ac:dyDescent="0.2">
      <c r="A937">
        <f>ROW(Source!A1081)</f>
        <v>1081</v>
      </c>
      <c r="B937">
        <v>129761633</v>
      </c>
      <c r="C937">
        <v>129764292</v>
      </c>
      <c r="D937">
        <v>37393685</v>
      </c>
      <c r="E937">
        <v>1</v>
      </c>
      <c r="F937">
        <v>1</v>
      </c>
      <c r="G937">
        <v>37345137</v>
      </c>
      <c r="H937">
        <v>3</v>
      </c>
      <c r="I937" t="s">
        <v>1359</v>
      </c>
      <c r="J937" t="s">
        <v>1360</v>
      </c>
      <c r="K937" t="s">
        <v>1361</v>
      </c>
      <c r="L937">
        <v>1348</v>
      </c>
      <c r="N937">
        <v>1009</v>
      </c>
      <c r="O937" t="s">
        <v>114</v>
      </c>
      <c r="P937" t="s">
        <v>114</v>
      </c>
      <c r="Q937">
        <v>1000</v>
      </c>
      <c r="W937">
        <v>0</v>
      </c>
      <c r="X937">
        <v>-1837888431</v>
      </c>
      <c r="Y937">
        <f t="shared" si="450"/>
        <v>2.51E-5</v>
      </c>
      <c r="AA937">
        <v>68238.28</v>
      </c>
      <c r="AB937">
        <v>0</v>
      </c>
      <c r="AC937">
        <v>0</v>
      </c>
      <c r="AD937">
        <v>0</v>
      </c>
      <c r="AE937">
        <v>3246.35</v>
      </c>
      <c r="AF937">
        <v>0</v>
      </c>
      <c r="AG937">
        <v>0</v>
      </c>
      <c r="AH937">
        <v>0</v>
      </c>
      <c r="AI937">
        <v>21.02</v>
      </c>
      <c r="AJ937">
        <v>1</v>
      </c>
      <c r="AK937">
        <v>1</v>
      </c>
      <c r="AL937">
        <v>1</v>
      </c>
      <c r="AN937">
        <v>0</v>
      </c>
      <c r="AO937">
        <v>1</v>
      </c>
      <c r="AP937">
        <v>0</v>
      </c>
      <c r="AQ937">
        <v>0</v>
      </c>
      <c r="AR937">
        <v>0</v>
      </c>
      <c r="AS937" t="s">
        <v>3</v>
      </c>
      <c r="AT937">
        <v>2.51E-5</v>
      </c>
      <c r="AU937" t="s">
        <v>3</v>
      </c>
      <c r="AV937">
        <v>0</v>
      </c>
      <c r="AW937">
        <v>2</v>
      </c>
      <c r="AX937">
        <v>129764309</v>
      </c>
      <c r="AY937">
        <v>1</v>
      </c>
      <c r="AZ937">
        <v>0</v>
      </c>
      <c r="BA937">
        <v>911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0</v>
      </c>
      <c r="BR937">
        <v>0</v>
      </c>
      <c r="BS937">
        <v>0</v>
      </c>
      <c r="BT937">
        <v>0</v>
      </c>
      <c r="BU937">
        <v>0</v>
      </c>
      <c r="BV937">
        <v>0</v>
      </c>
      <c r="BW937">
        <v>0</v>
      </c>
      <c r="CX937">
        <f>ROUND(Y937*Source!I1081,9)</f>
        <v>2.0080000000000001E-6</v>
      </c>
      <c r="CY937">
        <f t="shared" si="451"/>
        <v>68238.28</v>
      </c>
      <c r="CZ937">
        <f t="shared" si="452"/>
        <v>3246.35</v>
      </c>
      <c r="DA937">
        <f t="shared" si="453"/>
        <v>21.02</v>
      </c>
      <c r="DB937">
        <f t="shared" si="454"/>
        <v>0.08</v>
      </c>
      <c r="DC937">
        <f t="shared" si="455"/>
        <v>0</v>
      </c>
      <c r="DD937" t="s">
        <v>3</v>
      </c>
      <c r="DE937" t="s">
        <v>3</v>
      </c>
      <c r="DF937">
        <f t="shared" si="456"/>
        <v>0.21</v>
      </c>
      <c r="DG937">
        <f t="shared" si="457"/>
        <v>0</v>
      </c>
      <c r="DH937">
        <f t="shared" si="458"/>
        <v>0</v>
      </c>
      <c r="DI937">
        <f t="shared" si="424"/>
        <v>0</v>
      </c>
      <c r="DJ937">
        <f t="shared" si="459"/>
        <v>0.21</v>
      </c>
      <c r="DK937">
        <v>0</v>
      </c>
    </row>
    <row r="938" spans="1:115" x14ac:dyDescent="0.2">
      <c r="A938">
        <f>ROW(Source!A1081)</f>
        <v>1081</v>
      </c>
      <c r="B938">
        <v>129761633</v>
      </c>
      <c r="C938">
        <v>129764292</v>
      </c>
      <c r="D938">
        <v>37393471</v>
      </c>
      <c r="E938">
        <v>1</v>
      </c>
      <c r="F938">
        <v>1</v>
      </c>
      <c r="G938">
        <v>37345137</v>
      </c>
      <c r="H938">
        <v>3</v>
      </c>
      <c r="I938" t="s">
        <v>1380</v>
      </c>
      <c r="J938" t="s">
        <v>1381</v>
      </c>
      <c r="K938" t="s">
        <v>1382</v>
      </c>
      <c r="L938">
        <v>1339</v>
      </c>
      <c r="N938">
        <v>1007</v>
      </c>
      <c r="O938" t="s">
        <v>94</v>
      </c>
      <c r="P938" t="s">
        <v>94</v>
      </c>
      <c r="Q938">
        <v>1</v>
      </c>
      <c r="W938">
        <v>0</v>
      </c>
      <c r="X938">
        <v>-1326519054</v>
      </c>
      <c r="Y938">
        <f t="shared" si="450"/>
        <v>1.7</v>
      </c>
      <c r="AA938">
        <v>474.09</v>
      </c>
      <c r="AB938">
        <v>0</v>
      </c>
      <c r="AC938">
        <v>0</v>
      </c>
      <c r="AD938">
        <v>0</v>
      </c>
      <c r="AE938">
        <v>53.57</v>
      </c>
      <c r="AF938">
        <v>0</v>
      </c>
      <c r="AG938">
        <v>0</v>
      </c>
      <c r="AH938">
        <v>0</v>
      </c>
      <c r="AI938">
        <v>8.85</v>
      </c>
      <c r="AJ938">
        <v>1</v>
      </c>
      <c r="AK938">
        <v>1</v>
      </c>
      <c r="AL938">
        <v>1</v>
      </c>
      <c r="AN938">
        <v>0</v>
      </c>
      <c r="AO938">
        <v>1</v>
      </c>
      <c r="AP938">
        <v>0</v>
      </c>
      <c r="AQ938">
        <v>0</v>
      </c>
      <c r="AR938">
        <v>0</v>
      </c>
      <c r="AS938" t="s">
        <v>3</v>
      </c>
      <c r="AT938">
        <v>1.7</v>
      </c>
      <c r="AU938" t="s">
        <v>3</v>
      </c>
      <c r="AV938">
        <v>0</v>
      </c>
      <c r="AW938">
        <v>2</v>
      </c>
      <c r="AX938">
        <v>129764310</v>
      </c>
      <c r="AY938">
        <v>1</v>
      </c>
      <c r="AZ938">
        <v>0</v>
      </c>
      <c r="BA938">
        <v>912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0</v>
      </c>
      <c r="BQ938">
        <v>0</v>
      </c>
      <c r="BR938">
        <v>0</v>
      </c>
      <c r="BS938">
        <v>0</v>
      </c>
      <c r="BT938">
        <v>0</v>
      </c>
      <c r="BU938">
        <v>0</v>
      </c>
      <c r="BV938">
        <v>0</v>
      </c>
      <c r="BW938">
        <v>0</v>
      </c>
      <c r="CX938">
        <f>ROUND(Y938*Source!I1081,9)</f>
        <v>0.13600000000000001</v>
      </c>
      <c r="CY938">
        <f t="shared" si="451"/>
        <v>474.09</v>
      </c>
      <c r="CZ938">
        <f t="shared" si="452"/>
        <v>53.57</v>
      </c>
      <c r="DA938">
        <f t="shared" si="453"/>
        <v>8.85</v>
      </c>
      <c r="DB938">
        <f t="shared" si="454"/>
        <v>91.07</v>
      </c>
      <c r="DC938">
        <f t="shared" si="455"/>
        <v>0</v>
      </c>
      <c r="DD938" t="s">
        <v>3</v>
      </c>
      <c r="DE938" t="s">
        <v>3</v>
      </c>
      <c r="DF938">
        <f t="shared" si="456"/>
        <v>64.52</v>
      </c>
      <c r="DG938">
        <f t="shared" si="457"/>
        <v>0</v>
      </c>
      <c r="DH938">
        <f t="shared" si="458"/>
        <v>0</v>
      </c>
      <c r="DI938">
        <f t="shared" si="424"/>
        <v>0</v>
      </c>
      <c r="DJ938">
        <f t="shared" si="459"/>
        <v>64.52</v>
      </c>
      <c r="DK938">
        <v>0</v>
      </c>
    </row>
    <row r="939" spans="1:115" x14ac:dyDescent="0.2">
      <c r="A939">
        <f>ROW(Source!A1081)</f>
        <v>1081</v>
      </c>
      <c r="B939">
        <v>129761633</v>
      </c>
      <c r="C939">
        <v>129764292</v>
      </c>
      <c r="D939">
        <v>37393799</v>
      </c>
      <c r="E939">
        <v>1</v>
      </c>
      <c r="F939">
        <v>1</v>
      </c>
      <c r="G939">
        <v>37345137</v>
      </c>
      <c r="H939">
        <v>3</v>
      </c>
      <c r="I939" t="s">
        <v>590</v>
      </c>
      <c r="J939" t="s">
        <v>592</v>
      </c>
      <c r="K939" t="s">
        <v>591</v>
      </c>
      <c r="L939">
        <v>1339</v>
      </c>
      <c r="N939">
        <v>1007</v>
      </c>
      <c r="O939" t="s">
        <v>94</v>
      </c>
      <c r="P939" t="s">
        <v>94</v>
      </c>
      <c r="Q939">
        <v>1</v>
      </c>
      <c r="W939">
        <v>0</v>
      </c>
      <c r="X939">
        <v>-1236741395</v>
      </c>
      <c r="Y939">
        <f t="shared" si="450"/>
        <v>1.68</v>
      </c>
      <c r="AA939">
        <v>76.95</v>
      </c>
      <c r="AB939">
        <v>0</v>
      </c>
      <c r="AC939">
        <v>0</v>
      </c>
      <c r="AD939">
        <v>0</v>
      </c>
      <c r="AE939">
        <v>5.91</v>
      </c>
      <c r="AF939">
        <v>0</v>
      </c>
      <c r="AG939">
        <v>0</v>
      </c>
      <c r="AH939">
        <v>0</v>
      </c>
      <c r="AI939">
        <v>13.02</v>
      </c>
      <c r="AJ939">
        <v>1</v>
      </c>
      <c r="AK939">
        <v>1</v>
      </c>
      <c r="AL939">
        <v>1</v>
      </c>
      <c r="AN939">
        <v>0</v>
      </c>
      <c r="AO939">
        <v>1</v>
      </c>
      <c r="AP939">
        <v>0</v>
      </c>
      <c r="AQ939">
        <v>0</v>
      </c>
      <c r="AR939">
        <v>0</v>
      </c>
      <c r="AS939" t="s">
        <v>3</v>
      </c>
      <c r="AT939">
        <v>1.68</v>
      </c>
      <c r="AU939" t="s">
        <v>3</v>
      </c>
      <c r="AV939">
        <v>0</v>
      </c>
      <c r="AW939">
        <v>2</v>
      </c>
      <c r="AX939">
        <v>129764311</v>
      </c>
      <c r="AY939">
        <v>1</v>
      </c>
      <c r="AZ939">
        <v>0</v>
      </c>
      <c r="BA939">
        <v>913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0</v>
      </c>
      <c r="BR939">
        <v>0</v>
      </c>
      <c r="BS939">
        <v>0</v>
      </c>
      <c r="BT939">
        <v>0</v>
      </c>
      <c r="BU939">
        <v>0</v>
      </c>
      <c r="BV939">
        <v>0</v>
      </c>
      <c r="BW939">
        <v>0</v>
      </c>
      <c r="CX939">
        <f>ROUND(Y939*Source!I1081,9)</f>
        <v>0.13439999999999999</v>
      </c>
      <c r="CY939">
        <f t="shared" si="451"/>
        <v>76.95</v>
      </c>
      <c r="CZ939">
        <f t="shared" si="452"/>
        <v>5.91</v>
      </c>
      <c r="DA939">
        <f t="shared" si="453"/>
        <v>13.02</v>
      </c>
      <c r="DB939">
        <f t="shared" si="454"/>
        <v>9.93</v>
      </c>
      <c r="DC939">
        <f t="shared" si="455"/>
        <v>0</v>
      </c>
      <c r="DD939" t="s">
        <v>3</v>
      </c>
      <c r="DE939" t="s">
        <v>3</v>
      </c>
      <c r="DF939">
        <f t="shared" si="456"/>
        <v>10.29</v>
      </c>
      <c r="DG939">
        <f t="shared" si="457"/>
        <v>0</v>
      </c>
      <c r="DH939">
        <f t="shared" si="458"/>
        <v>0</v>
      </c>
      <c r="DI939">
        <f t="shared" si="424"/>
        <v>0</v>
      </c>
      <c r="DJ939">
        <f t="shared" si="459"/>
        <v>10.29</v>
      </c>
      <c r="DK939">
        <v>0</v>
      </c>
    </row>
    <row r="940" spans="1:115" x14ac:dyDescent="0.2">
      <c r="A940">
        <f>ROW(Source!A1081)</f>
        <v>1081</v>
      </c>
      <c r="B940">
        <v>129761633</v>
      </c>
      <c r="C940">
        <v>129764292</v>
      </c>
      <c r="D940">
        <v>37394293</v>
      </c>
      <c r="E940">
        <v>1</v>
      </c>
      <c r="F940">
        <v>1</v>
      </c>
      <c r="G940">
        <v>37345137</v>
      </c>
      <c r="H940">
        <v>3</v>
      </c>
      <c r="I940" t="s">
        <v>1389</v>
      </c>
      <c r="J940" t="s">
        <v>1390</v>
      </c>
      <c r="K940" t="s">
        <v>1391</v>
      </c>
      <c r="L940">
        <v>1348</v>
      </c>
      <c r="N940">
        <v>1009</v>
      </c>
      <c r="O940" t="s">
        <v>114</v>
      </c>
      <c r="P940" t="s">
        <v>114</v>
      </c>
      <c r="Q940">
        <v>1000</v>
      </c>
      <c r="W940">
        <v>0</v>
      </c>
      <c r="X940">
        <v>1703733581</v>
      </c>
      <c r="Y940">
        <f t="shared" si="450"/>
        <v>1E-3</v>
      </c>
      <c r="AA940">
        <v>56367.38</v>
      </c>
      <c r="AB940">
        <v>0</v>
      </c>
      <c r="AC940">
        <v>0</v>
      </c>
      <c r="AD940">
        <v>0</v>
      </c>
      <c r="AE940">
        <v>35451.18</v>
      </c>
      <c r="AF940">
        <v>0</v>
      </c>
      <c r="AG940">
        <v>0</v>
      </c>
      <c r="AH940">
        <v>0</v>
      </c>
      <c r="AI940">
        <v>1.59</v>
      </c>
      <c r="AJ940">
        <v>1</v>
      </c>
      <c r="AK940">
        <v>1</v>
      </c>
      <c r="AL940">
        <v>1</v>
      </c>
      <c r="AN940">
        <v>0</v>
      </c>
      <c r="AO940">
        <v>1</v>
      </c>
      <c r="AP940">
        <v>0</v>
      </c>
      <c r="AQ940">
        <v>0</v>
      </c>
      <c r="AR940">
        <v>0</v>
      </c>
      <c r="AS940" t="s">
        <v>3</v>
      </c>
      <c r="AT940">
        <v>1E-3</v>
      </c>
      <c r="AU940" t="s">
        <v>3</v>
      </c>
      <c r="AV940">
        <v>0</v>
      </c>
      <c r="AW940">
        <v>2</v>
      </c>
      <c r="AX940">
        <v>129764312</v>
      </c>
      <c r="AY940">
        <v>1</v>
      </c>
      <c r="AZ940">
        <v>0</v>
      </c>
      <c r="BA940">
        <v>914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0</v>
      </c>
      <c r="BR940">
        <v>0</v>
      </c>
      <c r="BS940">
        <v>0</v>
      </c>
      <c r="BT940">
        <v>0</v>
      </c>
      <c r="BU940">
        <v>0</v>
      </c>
      <c r="BV940">
        <v>0</v>
      </c>
      <c r="BW940">
        <v>0</v>
      </c>
      <c r="CX940">
        <f>ROUND(Y940*Source!I1081,9)</f>
        <v>8.0000000000000007E-5</v>
      </c>
      <c r="CY940">
        <f t="shared" si="451"/>
        <v>56367.38</v>
      </c>
      <c r="CZ940">
        <f t="shared" si="452"/>
        <v>35451.18</v>
      </c>
      <c r="DA940">
        <f t="shared" si="453"/>
        <v>1.59</v>
      </c>
      <c r="DB940">
        <f t="shared" si="454"/>
        <v>35.450000000000003</v>
      </c>
      <c r="DC940">
        <f t="shared" si="455"/>
        <v>0</v>
      </c>
      <c r="DD940" t="s">
        <v>3</v>
      </c>
      <c r="DE940" t="s">
        <v>3</v>
      </c>
      <c r="DF940">
        <f t="shared" si="456"/>
        <v>4.5199999999999996</v>
      </c>
      <c r="DG940">
        <f t="shared" si="457"/>
        <v>0</v>
      </c>
      <c r="DH940">
        <f t="shared" si="458"/>
        <v>0</v>
      </c>
      <c r="DI940">
        <f t="shared" si="424"/>
        <v>0</v>
      </c>
      <c r="DJ940">
        <f t="shared" si="459"/>
        <v>4.5199999999999996</v>
      </c>
      <c r="DK940">
        <v>0</v>
      </c>
    </row>
    <row r="941" spans="1:115" x14ac:dyDescent="0.2">
      <c r="A941">
        <f>ROW(Source!A1081)</f>
        <v>1081</v>
      </c>
      <c r="B941">
        <v>129761633</v>
      </c>
      <c r="C941">
        <v>129764292</v>
      </c>
      <c r="D941">
        <v>37397858</v>
      </c>
      <c r="E941">
        <v>1</v>
      </c>
      <c r="F941">
        <v>1</v>
      </c>
      <c r="G941">
        <v>37345137</v>
      </c>
      <c r="H941">
        <v>3</v>
      </c>
      <c r="I941" t="s">
        <v>892</v>
      </c>
      <c r="J941" t="s">
        <v>894</v>
      </c>
      <c r="K941" t="s">
        <v>893</v>
      </c>
      <c r="L941">
        <v>1301</v>
      </c>
      <c r="N941">
        <v>1003</v>
      </c>
      <c r="O941" t="s">
        <v>270</v>
      </c>
      <c r="P941" t="s">
        <v>270</v>
      </c>
      <c r="Q941">
        <v>1</v>
      </c>
      <c r="W941">
        <v>0</v>
      </c>
      <c r="X941">
        <v>-675544823</v>
      </c>
      <c r="Y941">
        <f t="shared" si="450"/>
        <v>100</v>
      </c>
      <c r="AA941">
        <v>1508.68</v>
      </c>
      <c r="AB941">
        <v>0</v>
      </c>
      <c r="AC941">
        <v>0</v>
      </c>
      <c r="AD941">
        <v>0</v>
      </c>
      <c r="AE941">
        <v>111.92</v>
      </c>
      <c r="AF941">
        <v>0</v>
      </c>
      <c r="AG941">
        <v>0</v>
      </c>
      <c r="AH941">
        <v>0</v>
      </c>
      <c r="AI941">
        <v>13.48</v>
      </c>
      <c r="AJ941">
        <v>1</v>
      </c>
      <c r="AK941">
        <v>1</v>
      </c>
      <c r="AL941">
        <v>1</v>
      </c>
      <c r="AN941">
        <v>0</v>
      </c>
      <c r="AO941">
        <v>0</v>
      </c>
      <c r="AP941">
        <v>0</v>
      </c>
      <c r="AQ941">
        <v>0</v>
      </c>
      <c r="AR941">
        <v>0</v>
      </c>
      <c r="AS941" t="s">
        <v>3</v>
      </c>
      <c r="AT941">
        <v>100</v>
      </c>
      <c r="AU941" t="s">
        <v>3</v>
      </c>
      <c r="AV941">
        <v>0</v>
      </c>
      <c r="AW941">
        <v>1</v>
      </c>
      <c r="AX941">
        <v>-1</v>
      </c>
      <c r="AY941">
        <v>0</v>
      </c>
      <c r="AZ941">
        <v>0</v>
      </c>
      <c r="BA941" t="s">
        <v>3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0</v>
      </c>
      <c r="BR941">
        <v>0</v>
      </c>
      <c r="BS941">
        <v>0</v>
      </c>
      <c r="BT941">
        <v>0</v>
      </c>
      <c r="BU941">
        <v>0</v>
      </c>
      <c r="BV941">
        <v>0</v>
      </c>
      <c r="BW941">
        <v>0</v>
      </c>
      <c r="CX941">
        <f>ROUND(Y941*Source!I1081,9)</f>
        <v>8</v>
      </c>
      <c r="CY941">
        <f t="shared" si="451"/>
        <v>1508.68</v>
      </c>
      <c r="CZ941">
        <f t="shared" si="452"/>
        <v>111.92</v>
      </c>
      <c r="DA941">
        <f t="shared" si="453"/>
        <v>13.48</v>
      </c>
      <c r="DB941">
        <f t="shared" si="454"/>
        <v>11192</v>
      </c>
      <c r="DC941">
        <f t="shared" si="455"/>
        <v>0</v>
      </c>
      <c r="DD941" t="s">
        <v>3</v>
      </c>
      <c r="DE941" t="s">
        <v>3</v>
      </c>
      <c r="DF941">
        <f t="shared" si="456"/>
        <v>12069.45</v>
      </c>
      <c r="DG941">
        <f t="shared" si="457"/>
        <v>0</v>
      </c>
      <c r="DH941">
        <f t="shared" si="458"/>
        <v>0</v>
      </c>
      <c r="DI941">
        <f t="shared" si="424"/>
        <v>0</v>
      </c>
      <c r="DJ941">
        <f t="shared" si="459"/>
        <v>12069.45</v>
      </c>
      <c r="DK941">
        <v>0</v>
      </c>
    </row>
    <row r="942" spans="1:115" x14ac:dyDescent="0.2">
      <c r="A942">
        <f>ROW(Source!A1081)</f>
        <v>1081</v>
      </c>
      <c r="B942">
        <v>129761633</v>
      </c>
      <c r="C942">
        <v>129764292</v>
      </c>
      <c r="D942">
        <v>37412062</v>
      </c>
      <c r="E942">
        <v>1</v>
      </c>
      <c r="F942">
        <v>1</v>
      </c>
      <c r="G942">
        <v>37345137</v>
      </c>
      <c r="H942">
        <v>3</v>
      </c>
      <c r="I942" t="s">
        <v>1133</v>
      </c>
      <c r="J942" t="s">
        <v>1134</v>
      </c>
      <c r="K942" t="s">
        <v>1135</v>
      </c>
      <c r="L942">
        <v>1339</v>
      </c>
      <c r="N942">
        <v>1007</v>
      </c>
      <c r="O942" t="s">
        <v>94</v>
      </c>
      <c r="P942" t="s">
        <v>94</v>
      </c>
      <c r="Q942">
        <v>1</v>
      </c>
      <c r="W942">
        <v>0</v>
      </c>
      <c r="X942">
        <v>-718781615</v>
      </c>
      <c r="Y942">
        <f t="shared" si="450"/>
        <v>7.0000000000000001E-3</v>
      </c>
      <c r="AA942">
        <v>3929.43</v>
      </c>
      <c r="AB942">
        <v>0</v>
      </c>
      <c r="AC942">
        <v>0</v>
      </c>
      <c r="AD942">
        <v>0</v>
      </c>
      <c r="AE942">
        <v>451.14</v>
      </c>
      <c r="AF942">
        <v>0</v>
      </c>
      <c r="AG942">
        <v>0</v>
      </c>
      <c r="AH942">
        <v>0</v>
      </c>
      <c r="AI942">
        <v>8.7100000000000009</v>
      </c>
      <c r="AJ942">
        <v>1</v>
      </c>
      <c r="AK942">
        <v>1</v>
      </c>
      <c r="AL942">
        <v>1</v>
      </c>
      <c r="AN942">
        <v>0</v>
      </c>
      <c r="AO942">
        <v>1</v>
      </c>
      <c r="AP942">
        <v>0</v>
      </c>
      <c r="AQ942">
        <v>0</v>
      </c>
      <c r="AR942">
        <v>0</v>
      </c>
      <c r="AS942" t="s">
        <v>3</v>
      </c>
      <c r="AT942">
        <v>7.0000000000000001E-3</v>
      </c>
      <c r="AU942" t="s">
        <v>3</v>
      </c>
      <c r="AV942">
        <v>0</v>
      </c>
      <c r="AW942">
        <v>2</v>
      </c>
      <c r="AX942">
        <v>129764313</v>
      </c>
      <c r="AY942">
        <v>1</v>
      </c>
      <c r="AZ942">
        <v>0</v>
      </c>
      <c r="BA942">
        <v>915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  <c r="BR942">
        <v>0</v>
      </c>
      <c r="BS942">
        <v>0</v>
      </c>
      <c r="BT942">
        <v>0</v>
      </c>
      <c r="BU942">
        <v>0</v>
      </c>
      <c r="BV942">
        <v>0</v>
      </c>
      <c r="BW942">
        <v>0</v>
      </c>
      <c r="CX942">
        <f>ROUND(Y942*Source!I1081,9)</f>
        <v>5.5999999999999995E-4</v>
      </c>
      <c r="CY942">
        <f t="shared" si="451"/>
        <v>3929.43</v>
      </c>
      <c r="CZ942">
        <f t="shared" si="452"/>
        <v>451.14</v>
      </c>
      <c r="DA942">
        <f t="shared" si="453"/>
        <v>8.7100000000000009</v>
      </c>
      <c r="DB942">
        <f t="shared" si="454"/>
        <v>3.16</v>
      </c>
      <c r="DC942">
        <f t="shared" si="455"/>
        <v>0</v>
      </c>
      <c r="DD942" t="s">
        <v>3</v>
      </c>
      <c r="DE942" t="s">
        <v>3</v>
      </c>
      <c r="DF942">
        <f t="shared" si="456"/>
        <v>2.1800000000000002</v>
      </c>
      <c r="DG942">
        <f t="shared" si="457"/>
        <v>0</v>
      </c>
      <c r="DH942">
        <f t="shared" si="458"/>
        <v>0</v>
      </c>
      <c r="DI942">
        <f t="shared" si="424"/>
        <v>0</v>
      </c>
      <c r="DJ942">
        <f t="shared" si="459"/>
        <v>2.1800000000000002</v>
      </c>
      <c r="DK942">
        <v>0</v>
      </c>
    </row>
    <row r="943" spans="1:115" x14ac:dyDescent="0.2">
      <c r="A943">
        <f>ROW(Source!A1084)</f>
        <v>1084</v>
      </c>
      <c r="B943">
        <v>129761636</v>
      </c>
      <c r="C943">
        <v>129764318</v>
      </c>
      <c r="D943">
        <v>37345142</v>
      </c>
      <c r="E943">
        <v>37345137</v>
      </c>
      <c r="F943">
        <v>1</v>
      </c>
      <c r="G943">
        <v>37345137</v>
      </c>
      <c r="H943">
        <v>1</v>
      </c>
      <c r="I943" t="s">
        <v>1096</v>
      </c>
      <c r="J943" t="s">
        <v>3</v>
      </c>
      <c r="K943" t="s">
        <v>1097</v>
      </c>
      <c r="L943">
        <v>1191</v>
      </c>
      <c r="N943">
        <v>1013</v>
      </c>
      <c r="O943" t="s">
        <v>1098</v>
      </c>
      <c r="P943" t="s">
        <v>1098</v>
      </c>
      <c r="Q943">
        <v>1</v>
      </c>
      <c r="W943">
        <v>0</v>
      </c>
      <c r="X943">
        <v>476480486</v>
      </c>
      <c r="Y943">
        <f>(AT943*1.15)</f>
        <v>1.0349999999999999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1</v>
      </c>
      <c r="AJ943">
        <v>1</v>
      </c>
      <c r="AK943">
        <v>1</v>
      </c>
      <c r="AL943">
        <v>1</v>
      </c>
      <c r="AN943">
        <v>0</v>
      </c>
      <c r="AO943">
        <v>1</v>
      </c>
      <c r="AP943">
        <v>1</v>
      </c>
      <c r="AQ943">
        <v>0</v>
      </c>
      <c r="AR943">
        <v>0</v>
      </c>
      <c r="AS943" t="s">
        <v>3</v>
      </c>
      <c r="AT943">
        <v>0.9</v>
      </c>
      <c r="AU943" t="s">
        <v>87</v>
      </c>
      <c r="AV943">
        <v>1</v>
      </c>
      <c r="AW943">
        <v>2</v>
      </c>
      <c r="AX943">
        <v>129764327</v>
      </c>
      <c r="AY943">
        <v>1</v>
      </c>
      <c r="AZ943">
        <v>0</v>
      </c>
      <c r="BA943">
        <v>919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  <c r="BS943">
        <v>0</v>
      </c>
      <c r="BT943">
        <v>0</v>
      </c>
      <c r="BU943">
        <v>0</v>
      </c>
      <c r="BV943">
        <v>0</v>
      </c>
      <c r="BW943">
        <v>0</v>
      </c>
      <c r="CX943">
        <f>ROUND(Y943*Source!I1084,9)</f>
        <v>2.0699999999999998</v>
      </c>
      <c r="CY943">
        <f>AD943</f>
        <v>0</v>
      </c>
      <c r="CZ943">
        <f>AH943</f>
        <v>0</v>
      </c>
      <c r="DA943">
        <f>AL943</f>
        <v>1</v>
      </c>
      <c r="DB943">
        <f>ROUND((ROUND(AT943*CZ943,2)*1.15),6)</f>
        <v>0</v>
      </c>
      <c r="DC943">
        <f>ROUND((ROUND(AT943*AG943,2)*1.15),6)</f>
        <v>0</v>
      </c>
      <c r="DD943" t="s">
        <v>3</v>
      </c>
      <c r="DE943" t="s">
        <v>3</v>
      </c>
      <c r="DF943">
        <f t="shared" ref="DF943:DF952" si="460">ROUND(AE943*CX943,2)</f>
        <v>0</v>
      </c>
      <c r="DG943">
        <f t="shared" si="457"/>
        <v>0</v>
      </c>
      <c r="DH943">
        <f t="shared" si="458"/>
        <v>0</v>
      </c>
      <c r="DI943">
        <f t="shared" si="424"/>
        <v>0</v>
      </c>
      <c r="DJ943">
        <f>DI943</f>
        <v>0</v>
      </c>
      <c r="DK943">
        <v>0</v>
      </c>
    </row>
    <row r="944" spans="1:115" x14ac:dyDescent="0.2">
      <c r="A944">
        <f>ROW(Source!A1084)</f>
        <v>1084</v>
      </c>
      <c r="B944">
        <v>129761636</v>
      </c>
      <c r="C944">
        <v>129764318</v>
      </c>
      <c r="D944">
        <v>37345890</v>
      </c>
      <c r="E944">
        <v>37345137</v>
      </c>
      <c r="F944">
        <v>1</v>
      </c>
      <c r="G944">
        <v>37345137</v>
      </c>
      <c r="H944">
        <v>2</v>
      </c>
      <c r="I944" t="s">
        <v>1145</v>
      </c>
      <c r="J944" t="s">
        <v>3</v>
      </c>
      <c r="K944" t="s">
        <v>1146</v>
      </c>
      <c r="L944">
        <v>1344</v>
      </c>
      <c r="N944">
        <v>1008</v>
      </c>
      <c r="O944" t="s">
        <v>1138</v>
      </c>
      <c r="P944" t="s">
        <v>1138</v>
      </c>
      <c r="Q944">
        <v>1</v>
      </c>
      <c r="W944">
        <v>0</v>
      </c>
      <c r="X944">
        <v>-1180195794</v>
      </c>
      <c r="Y944">
        <f>(AT944*1.25)</f>
        <v>2.7875000000000001</v>
      </c>
      <c r="AA944">
        <v>0</v>
      </c>
      <c r="AB944">
        <v>1</v>
      </c>
      <c r="AC944">
        <v>0</v>
      </c>
      <c r="AD944">
        <v>0</v>
      </c>
      <c r="AE944">
        <v>0</v>
      </c>
      <c r="AF944">
        <v>1</v>
      </c>
      <c r="AG944">
        <v>0</v>
      </c>
      <c r="AH944">
        <v>0</v>
      </c>
      <c r="AI944">
        <v>1</v>
      </c>
      <c r="AJ944">
        <v>1</v>
      </c>
      <c r="AK944">
        <v>1</v>
      </c>
      <c r="AL944">
        <v>1</v>
      </c>
      <c r="AN944">
        <v>0</v>
      </c>
      <c r="AO944">
        <v>1</v>
      </c>
      <c r="AP944">
        <v>1</v>
      </c>
      <c r="AQ944">
        <v>0</v>
      </c>
      <c r="AR944">
        <v>0</v>
      </c>
      <c r="AS944" t="s">
        <v>3</v>
      </c>
      <c r="AT944">
        <v>2.23</v>
      </c>
      <c r="AU944" t="s">
        <v>86</v>
      </c>
      <c r="AV944">
        <v>0</v>
      </c>
      <c r="AW944">
        <v>2</v>
      </c>
      <c r="AX944">
        <v>129764328</v>
      </c>
      <c r="AY944">
        <v>1</v>
      </c>
      <c r="AZ944">
        <v>0</v>
      </c>
      <c r="BA944">
        <v>920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0</v>
      </c>
      <c r="BW944">
        <v>0</v>
      </c>
      <c r="CX944">
        <f>ROUND(Y944*Source!I1084,9)</f>
        <v>5.5750000000000002</v>
      </c>
      <c r="CY944">
        <f>AB944</f>
        <v>1</v>
      </c>
      <c r="CZ944">
        <f>AF944</f>
        <v>1</v>
      </c>
      <c r="DA944">
        <f>AJ944</f>
        <v>1</v>
      </c>
      <c r="DB944">
        <f>ROUND((ROUND(AT944*CZ944,2)*1.25),6)</f>
        <v>2.7875000000000001</v>
      </c>
      <c r="DC944">
        <f>ROUND((ROUND(AT944*AG944,2)*1.25),6)</f>
        <v>0</v>
      </c>
      <c r="DD944" t="s">
        <v>3</v>
      </c>
      <c r="DE944" t="s">
        <v>3</v>
      </c>
      <c r="DF944">
        <f t="shared" si="460"/>
        <v>0</v>
      </c>
      <c r="DG944">
        <f t="shared" si="457"/>
        <v>5.58</v>
      </c>
      <c r="DH944">
        <f t="shared" si="458"/>
        <v>0</v>
      </c>
      <c r="DI944">
        <f t="shared" si="424"/>
        <v>0</v>
      </c>
      <c r="DJ944">
        <f>DG944</f>
        <v>5.58</v>
      </c>
      <c r="DK944">
        <v>0</v>
      </c>
    </row>
    <row r="945" spans="1:115" x14ac:dyDescent="0.2">
      <c r="A945">
        <f>ROW(Source!A1084)</f>
        <v>1084</v>
      </c>
      <c r="B945">
        <v>129761636</v>
      </c>
      <c r="C945">
        <v>129764318</v>
      </c>
      <c r="D945">
        <v>0</v>
      </c>
      <c r="E945">
        <v>1</v>
      </c>
      <c r="F945">
        <v>1</v>
      </c>
      <c r="G945">
        <v>37345137</v>
      </c>
      <c r="H945">
        <v>3</v>
      </c>
      <c r="I945" t="s">
        <v>901</v>
      </c>
      <c r="J945" t="s">
        <v>3</v>
      </c>
      <c r="K945" t="s">
        <v>902</v>
      </c>
      <c r="L945">
        <v>1354</v>
      </c>
      <c r="N945">
        <v>1010</v>
      </c>
      <c r="O945" t="s">
        <v>250</v>
      </c>
      <c r="P945" t="s">
        <v>250</v>
      </c>
      <c r="Q945">
        <v>1</v>
      </c>
      <c r="W945">
        <v>0</v>
      </c>
      <c r="X945">
        <v>-1188360614</v>
      </c>
      <c r="Y945">
        <f t="shared" ref="Y945:Y950" si="461">AT945</f>
        <v>1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1</v>
      </c>
      <c r="AJ945">
        <v>1</v>
      </c>
      <c r="AK945">
        <v>1</v>
      </c>
      <c r="AL945">
        <v>1</v>
      </c>
      <c r="AN945">
        <v>0</v>
      </c>
      <c r="AO945">
        <v>0</v>
      </c>
      <c r="AP945">
        <v>0</v>
      </c>
      <c r="AQ945">
        <v>0</v>
      </c>
      <c r="AR945">
        <v>0</v>
      </c>
      <c r="AS945" t="s">
        <v>3</v>
      </c>
      <c r="AT945">
        <v>1</v>
      </c>
      <c r="AU945" t="s">
        <v>3</v>
      </c>
      <c r="AV945">
        <v>0</v>
      </c>
      <c r="AW945">
        <v>1</v>
      </c>
      <c r="AX945">
        <v>-1</v>
      </c>
      <c r="AY945">
        <v>0</v>
      </c>
      <c r="AZ945">
        <v>0</v>
      </c>
      <c r="BA945" t="s">
        <v>3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  <c r="BR945">
        <v>0</v>
      </c>
      <c r="BS945">
        <v>0</v>
      </c>
      <c r="BT945">
        <v>0</v>
      </c>
      <c r="BU945">
        <v>0</v>
      </c>
      <c r="BV945">
        <v>0</v>
      </c>
      <c r="BW945">
        <v>0</v>
      </c>
      <c r="CX945">
        <f>ROUND(Y945*Source!I1084,9)</f>
        <v>2</v>
      </c>
      <c r="CY945">
        <f t="shared" ref="CY945:CY950" si="462">AA945</f>
        <v>0</v>
      </c>
      <c r="CZ945">
        <f t="shared" ref="CZ945:CZ950" si="463">AE945</f>
        <v>0</v>
      </c>
      <c r="DA945">
        <f t="shared" ref="DA945:DA950" si="464">AI945</f>
        <v>1</v>
      </c>
      <c r="DB945">
        <f t="shared" ref="DB945:DB950" si="465">ROUND(ROUND(AT945*CZ945,2),6)</f>
        <v>0</v>
      </c>
      <c r="DC945">
        <f t="shared" ref="DC945:DC950" si="466">ROUND(ROUND(AT945*AG945,2),6)</f>
        <v>0</v>
      </c>
      <c r="DD945" t="s">
        <v>3</v>
      </c>
      <c r="DE945" t="s">
        <v>3</v>
      </c>
      <c r="DF945">
        <f t="shared" si="460"/>
        <v>0</v>
      </c>
      <c r="DG945">
        <f t="shared" si="457"/>
        <v>0</v>
      </c>
      <c r="DH945">
        <f t="shared" si="458"/>
        <v>0</v>
      </c>
      <c r="DI945">
        <f t="shared" si="424"/>
        <v>0</v>
      </c>
      <c r="DJ945">
        <f t="shared" ref="DJ945:DJ950" si="467">DF945</f>
        <v>0</v>
      </c>
      <c r="DK945">
        <v>0</v>
      </c>
    </row>
    <row r="946" spans="1:115" x14ac:dyDescent="0.2">
      <c r="A946">
        <f>ROW(Source!A1084)</f>
        <v>1084</v>
      </c>
      <c r="B946">
        <v>129761636</v>
      </c>
      <c r="C946">
        <v>129764318</v>
      </c>
      <c r="D946">
        <v>0</v>
      </c>
      <c r="E946">
        <v>1</v>
      </c>
      <c r="F946">
        <v>1</v>
      </c>
      <c r="G946">
        <v>37345137</v>
      </c>
      <c r="H946">
        <v>3</v>
      </c>
      <c r="I946" t="s">
        <v>904</v>
      </c>
      <c r="J946" t="s">
        <v>3</v>
      </c>
      <c r="K946" t="s">
        <v>905</v>
      </c>
      <c r="L946">
        <v>1301</v>
      </c>
      <c r="N946">
        <v>1003</v>
      </c>
      <c r="O946" t="s">
        <v>270</v>
      </c>
      <c r="P946" t="s">
        <v>270</v>
      </c>
      <c r="Q946">
        <v>1</v>
      </c>
      <c r="W946">
        <v>0</v>
      </c>
      <c r="X946">
        <v>-566754181</v>
      </c>
      <c r="Y946">
        <f t="shared" si="461"/>
        <v>20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1</v>
      </c>
      <c r="AJ946">
        <v>1</v>
      </c>
      <c r="AK946">
        <v>1</v>
      </c>
      <c r="AL946">
        <v>1</v>
      </c>
      <c r="AN946">
        <v>0</v>
      </c>
      <c r="AO946">
        <v>0</v>
      </c>
      <c r="AP946">
        <v>0</v>
      </c>
      <c r="AQ946">
        <v>0</v>
      </c>
      <c r="AR946">
        <v>0</v>
      </c>
      <c r="AS946" t="s">
        <v>3</v>
      </c>
      <c r="AT946">
        <v>20</v>
      </c>
      <c r="AU946" t="s">
        <v>3</v>
      </c>
      <c r="AV946">
        <v>0</v>
      </c>
      <c r="AW946">
        <v>1</v>
      </c>
      <c r="AX946">
        <v>-1</v>
      </c>
      <c r="AY946">
        <v>0</v>
      </c>
      <c r="AZ946">
        <v>0</v>
      </c>
      <c r="BA946" t="s">
        <v>3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0</v>
      </c>
      <c r="BR946">
        <v>0</v>
      </c>
      <c r="BS946">
        <v>0</v>
      </c>
      <c r="BT946">
        <v>0</v>
      </c>
      <c r="BU946">
        <v>0</v>
      </c>
      <c r="BV946">
        <v>0</v>
      </c>
      <c r="BW946">
        <v>0</v>
      </c>
      <c r="CX946">
        <f>ROUND(Y946*Source!I1084,9)</f>
        <v>40</v>
      </c>
      <c r="CY946">
        <f t="shared" si="462"/>
        <v>0</v>
      </c>
      <c r="CZ946">
        <f t="shared" si="463"/>
        <v>0</v>
      </c>
      <c r="DA946">
        <f t="shared" si="464"/>
        <v>1</v>
      </c>
      <c r="DB946">
        <f t="shared" si="465"/>
        <v>0</v>
      </c>
      <c r="DC946">
        <f t="shared" si="466"/>
        <v>0</v>
      </c>
      <c r="DD946" t="s">
        <v>3</v>
      </c>
      <c r="DE946" t="s">
        <v>3</v>
      </c>
      <c r="DF946">
        <f t="shared" si="460"/>
        <v>0</v>
      </c>
      <c r="DG946">
        <f t="shared" si="457"/>
        <v>0</v>
      </c>
      <c r="DH946">
        <f t="shared" si="458"/>
        <v>0</v>
      </c>
      <c r="DI946">
        <f t="shared" si="424"/>
        <v>0</v>
      </c>
      <c r="DJ946">
        <f t="shared" si="467"/>
        <v>0</v>
      </c>
      <c r="DK946">
        <v>0</v>
      </c>
    </row>
    <row r="947" spans="1:115" x14ac:dyDescent="0.2">
      <c r="A947">
        <f>ROW(Source!A1084)</f>
        <v>1084</v>
      </c>
      <c r="B947">
        <v>129761636</v>
      </c>
      <c r="C947">
        <v>129764318</v>
      </c>
      <c r="D947">
        <v>37403090</v>
      </c>
      <c r="E947">
        <v>1</v>
      </c>
      <c r="F947">
        <v>1</v>
      </c>
      <c r="G947">
        <v>37345137</v>
      </c>
      <c r="H947">
        <v>3</v>
      </c>
      <c r="I947" t="s">
        <v>1392</v>
      </c>
      <c r="J947" t="s">
        <v>1393</v>
      </c>
      <c r="K947" t="s">
        <v>1394</v>
      </c>
      <c r="L947">
        <v>1354</v>
      </c>
      <c r="N947">
        <v>1010</v>
      </c>
      <c r="O947" t="s">
        <v>250</v>
      </c>
      <c r="P947" t="s">
        <v>250</v>
      </c>
      <c r="Q947">
        <v>1</v>
      </c>
      <c r="W947">
        <v>0</v>
      </c>
      <c r="X947">
        <v>1423054617</v>
      </c>
      <c r="Y947">
        <f t="shared" si="461"/>
        <v>1</v>
      </c>
      <c r="AA947">
        <v>62.05</v>
      </c>
      <c r="AB947">
        <v>0</v>
      </c>
      <c r="AC947">
        <v>0</v>
      </c>
      <c r="AD947">
        <v>0</v>
      </c>
      <c r="AE947">
        <v>62.05</v>
      </c>
      <c r="AF947">
        <v>0</v>
      </c>
      <c r="AG947">
        <v>0</v>
      </c>
      <c r="AH947">
        <v>0</v>
      </c>
      <c r="AI947">
        <v>1</v>
      </c>
      <c r="AJ947">
        <v>1</v>
      </c>
      <c r="AK947">
        <v>1</v>
      </c>
      <c r="AL947">
        <v>1</v>
      </c>
      <c r="AN947">
        <v>0</v>
      </c>
      <c r="AO947">
        <v>1</v>
      </c>
      <c r="AP947">
        <v>0</v>
      </c>
      <c r="AQ947">
        <v>0</v>
      </c>
      <c r="AR947">
        <v>0</v>
      </c>
      <c r="AS947" t="s">
        <v>3</v>
      </c>
      <c r="AT947">
        <v>1</v>
      </c>
      <c r="AU947" t="s">
        <v>3</v>
      </c>
      <c r="AV947">
        <v>0</v>
      </c>
      <c r="AW947">
        <v>2</v>
      </c>
      <c r="AX947">
        <v>129764329</v>
      </c>
      <c r="AY947">
        <v>1</v>
      </c>
      <c r="AZ947">
        <v>0</v>
      </c>
      <c r="BA947">
        <v>921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0</v>
      </c>
      <c r="BR947">
        <v>0</v>
      </c>
      <c r="BS947">
        <v>0</v>
      </c>
      <c r="BT947">
        <v>0</v>
      </c>
      <c r="BU947">
        <v>0</v>
      </c>
      <c r="BV947">
        <v>0</v>
      </c>
      <c r="BW947">
        <v>0</v>
      </c>
      <c r="CX947">
        <f>ROUND(Y947*Source!I1084,9)</f>
        <v>2</v>
      </c>
      <c r="CY947">
        <f t="shared" si="462"/>
        <v>62.05</v>
      </c>
      <c r="CZ947">
        <f t="shared" si="463"/>
        <v>62.05</v>
      </c>
      <c r="DA947">
        <f t="shared" si="464"/>
        <v>1</v>
      </c>
      <c r="DB947">
        <f t="shared" si="465"/>
        <v>62.05</v>
      </c>
      <c r="DC947">
        <f t="shared" si="466"/>
        <v>0</v>
      </c>
      <c r="DD947" t="s">
        <v>3</v>
      </c>
      <c r="DE947" t="s">
        <v>3</v>
      </c>
      <c r="DF947">
        <f t="shared" si="460"/>
        <v>124.1</v>
      </c>
      <c r="DG947">
        <f t="shared" si="457"/>
        <v>0</v>
      </c>
      <c r="DH947">
        <f t="shared" si="458"/>
        <v>0</v>
      </c>
      <c r="DI947">
        <f t="shared" si="424"/>
        <v>0</v>
      </c>
      <c r="DJ947">
        <f t="shared" si="467"/>
        <v>124.1</v>
      </c>
      <c r="DK947">
        <v>0</v>
      </c>
    </row>
    <row r="948" spans="1:115" x14ac:dyDescent="0.2">
      <c r="A948">
        <f>ROW(Source!A1084)</f>
        <v>1084</v>
      </c>
      <c r="B948">
        <v>129761636</v>
      </c>
      <c r="C948">
        <v>129764318</v>
      </c>
      <c r="D948">
        <v>37403065</v>
      </c>
      <c r="E948">
        <v>1</v>
      </c>
      <c r="F948">
        <v>1</v>
      </c>
      <c r="G948">
        <v>37345137</v>
      </c>
      <c r="H948">
        <v>3</v>
      </c>
      <c r="I948" t="s">
        <v>1395</v>
      </c>
      <c r="J948" t="s">
        <v>1396</v>
      </c>
      <c r="K948" t="s">
        <v>1397</v>
      </c>
      <c r="L948">
        <v>1354</v>
      </c>
      <c r="N948">
        <v>1010</v>
      </c>
      <c r="O948" t="s">
        <v>250</v>
      </c>
      <c r="P948" t="s">
        <v>250</v>
      </c>
      <c r="Q948">
        <v>1</v>
      </c>
      <c r="W948">
        <v>0</v>
      </c>
      <c r="X948">
        <v>-929995469</v>
      </c>
      <c r="Y948">
        <f t="shared" si="461"/>
        <v>3</v>
      </c>
      <c r="AA948">
        <v>46.87</v>
      </c>
      <c r="AB948">
        <v>0</v>
      </c>
      <c r="AC948">
        <v>0</v>
      </c>
      <c r="AD948">
        <v>0</v>
      </c>
      <c r="AE948">
        <v>46.87</v>
      </c>
      <c r="AF948">
        <v>0</v>
      </c>
      <c r="AG948">
        <v>0</v>
      </c>
      <c r="AH948">
        <v>0</v>
      </c>
      <c r="AI948">
        <v>1</v>
      </c>
      <c r="AJ948">
        <v>1</v>
      </c>
      <c r="AK948">
        <v>1</v>
      </c>
      <c r="AL948">
        <v>1</v>
      </c>
      <c r="AN948">
        <v>0</v>
      </c>
      <c r="AO948">
        <v>1</v>
      </c>
      <c r="AP948">
        <v>0</v>
      </c>
      <c r="AQ948">
        <v>0</v>
      </c>
      <c r="AR948">
        <v>0</v>
      </c>
      <c r="AS948" t="s">
        <v>3</v>
      </c>
      <c r="AT948">
        <v>3</v>
      </c>
      <c r="AU948" t="s">
        <v>3</v>
      </c>
      <c r="AV948">
        <v>0</v>
      </c>
      <c r="AW948">
        <v>2</v>
      </c>
      <c r="AX948">
        <v>129764330</v>
      </c>
      <c r="AY948">
        <v>1</v>
      </c>
      <c r="AZ948">
        <v>0</v>
      </c>
      <c r="BA948">
        <v>922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0</v>
      </c>
      <c r="BR948">
        <v>0</v>
      </c>
      <c r="BS948">
        <v>0</v>
      </c>
      <c r="BT948">
        <v>0</v>
      </c>
      <c r="BU948">
        <v>0</v>
      </c>
      <c r="BV948">
        <v>0</v>
      </c>
      <c r="BW948">
        <v>0</v>
      </c>
      <c r="CX948">
        <f>ROUND(Y948*Source!I1084,9)</f>
        <v>6</v>
      </c>
      <c r="CY948">
        <f t="shared" si="462"/>
        <v>46.87</v>
      </c>
      <c r="CZ948">
        <f t="shared" si="463"/>
        <v>46.87</v>
      </c>
      <c r="DA948">
        <f t="shared" si="464"/>
        <v>1</v>
      </c>
      <c r="DB948">
        <f t="shared" si="465"/>
        <v>140.61000000000001</v>
      </c>
      <c r="DC948">
        <f t="shared" si="466"/>
        <v>0</v>
      </c>
      <c r="DD948" t="s">
        <v>3</v>
      </c>
      <c r="DE948" t="s">
        <v>3</v>
      </c>
      <c r="DF948">
        <f t="shared" si="460"/>
        <v>281.22000000000003</v>
      </c>
      <c r="DG948">
        <f t="shared" si="457"/>
        <v>0</v>
      </c>
      <c r="DH948">
        <f t="shared" si="458"/>
        <v>0</v>
      </c>
      <c r="DI948">
        <f t="shared" si="424"/>
        <v>0</v>
      </c>
      <c r="DJ948">
        <f t="shared" si="467"/>
        <v>281.22000000000003</v>
      </c>
      <c r="DK948">
        <v>0</v>
      </c>
    </row>
    <row r="949" spans="1:115" x14ac:dyDescent="0.2">
      <c r="A949">
        <f>ROW(Source!A1084)</f>
        <v>1084</v>
      </c>
      <c r="B949">
        <v>129761636</v>
      </c>
      <c r="C949">
        <v>129764318</v>
      </c>
      <c r="D949">
        <v>0</v>
      </c>
      <c r="E949">
        <v>1</v>
      </c>
      <c r="F949">
        <v>1</v>
      </c>
      <c r="G949">
        <v>37345137</v>
      </c>
      <c r="H949">
        <v>3</v>
      </c>
      <c r="I949" t="s">
        <v>907</v>
      </c>
      <c r="J949" t="s">
        <v>3</v>
      </c>
      <c r="K949" t="s">
        <v>908</v>
      </c>
      <c r="L949">
        <v>1354</v>
      </c>
      <c r="N949">
        <v>1010</v>
      </c>
      <c r="O949" t="s">
        <v>250</v>
      </c>
      <c r="P949" t="s">
        <v>250</v>
      </c>
      <c r="Q949">
        <v>1</v>
      </c>
      <c r="W949">
        <v>0</v>
      </c>
      <c r="X949">
        <v>-846618015</v>
      </c>
      <c r="Y949">
        <f t="shared" si="461"/>
        <v>1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1</v>
      </c>
      <c r="AJ949">
        <v>1</v>
      </c>
      <c r="AK949">
        <v>1</v>
      </c>
      <c r="AL949">
        <v>1</v>
      </c>
      <c r="AN949">
        <v>0</v>
      </c>
      <c r="AO949">
        <v>0</v>
      </c>
      <c r="AP949">
        <v>0</v>
      </c>
      <c r="AQ949">
        <v>0</v>
      </c>
      <c r="AR949">
        <v>0</v>
      </c>
      <c r="AS949" t="s">
        <v>3</v>
      </c>
      <c r="AT949">
        <v>1</v>
      </c>
      <c r="AU949" t="s">
        <v>3</v>
      </c>
      <c r="AV949">
        <v>0</v>
      </c>
      <c r="AW949">
        <v>1</v>
      </c>
      <c r="AX949">
        <v>-1</v>
      </c>
      <c r="AY949">
        <v>0</v>
      </c>
      <c r="AZ949">
        <v>0</v>
      </c>
      <c r="BA949" t="s">
        <v>3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0</v>
      </c>
      <c r="BR949">
        <v>0</v>
      </c>
      <c r="BS949">
        <v>0</v>
      </c>
      <c r="BT949">
        <v>0</v>
      </c>
      <c r="BU949">
        <v>0</v>
      </c>
      <c r="BV949">
        <v>0</v>
      </c>
      <c r="BW949">
        <v>0</v>
      </c>
      <c r="CX949">
        <f>ROUND(Y949*Source!I1084,9)</f>
        <v>2</v>
      </c>
      <c r="CY949">
        <f t="shared" si="462"/>
        <v>0</v>
      </c>
      <c r="CZ949">
        <f t="shared" si="463"/>
        <v>0</v>
      </c>
      <c r="DA949">
        <f t="shared" si="464"/>
        <v>1</v>
      </c>
      <c r="DB949">
        <f t="shared" si="465"/>
        <v>0</v>
      </c>
      <c r="DC949">
        <f t="shared" si="466"/>
        <v>0</v>
      </c>
      <c r="DD949" t="s">
        <v>3</v>
      </c>
      <c r="DE949" t="s">
        <v>3</v>
      </c>
      <c r="DF949">
        <f t="shared" si="460"/>
        <v>0</v>
      </c>
      <c r="DG949">
        <f t="shared" si="457"/>
        <v>0</v>
      </c>
      <c r="DH949">
        <f t="shared" si="458"/>
        <v>0</v>
      </c>
      <c r="DI949">
        <f t="shared" si="424"/>
        <v>0</v>
      </c>
      <c r="DJ949">
        <f t="shared" si="467"/>
        <v>0</v>
      </c>
      <c r="DK949">
        <v>0</v>
      </c>
    </row>
    <row r="950" spans="1:115" x14ac:dyDescent="0.2">
      <c r="A950">
        <f>ROW(Source!A1084)</f>
        <v>1084</v>
      </c>
      <c r="B950">
        <v>129761636</v>
      </c>
      <c r="C950">
        <v>129764318</v>
      </c>
      <c r="D950">
        <v>37367082</v>
      </c>
      <c r="E950">
        <v>37345137</v>
      </c>
      <c r="F950">
        <v>1</v>
      </c>
      <c r="G950">
        <v>37345137</v>
      </c>
      <c r="H950">
        <v>3</v>
      </c>
      <c r="I950" t="s">
        <v>1136</v>
      </c>
      <c r="J950" t="s">
        <v>3</v>
      </c>
      <c r="K950" t="s">
        <v>1137</v>
      </c>
      <c r="L950">
        <v>1344</v>
      </c>
      <c r="N950">
        <v>1008</v>
      </c>
      <c r="O950" t="s">
        <v>1138</v>
      </c>
      <c r="P950" t="s">
        <v>1138</v>
      </c>
      <c r="Q950">
        <v>1</v>
      </c>
      <c r="W950">
        <v>0</v>
      </c>
      <c r="X950">
        <v>-94250534</v>
      </c>
      <c r="Y950">
        <f t="shared" si="461"/>
        <v>8.75</v>
      </c>
      <c r="AA950">
        <v>1</v>
      </c>
      <c r="AB950">
        <v>0</v>
      </c>
      <c r="AC950">
        <v>0</v>
      </c>
      <c r="AD950">
        <v>0</v>
      </c>
      <c r="AE950">
        <v>1</v>
      </c>
      <c r="AF950">
        <v>0</v>
      </c>
      <c r="AG950">
        <v>0</v>
      </c>
      <c r="AH950">
        <v>0</v>
      </c>
      <c r="AI950">
        <v>1</v>
      </c>
      <c r="AJ950">
        <v>1</v>
      </c>
      <c r="AK950">
        <v>1</v>
      </c>
      <c r="AL950">
        <v>1</v>
      </c>
      <c r="AN950">
        <v>0</v>
      </c>
      <c r="AO950">
        <v>1</v>
      </c>
      <c r="AP950">
        <v>0</v>
      </c>
      <c r="AQ950">
        <v>0</v>
      </c>
      <c r="AR950">
        <v>0</v>
      </c>
      <c r="AS950" t="s">
        <v>3</v>
      </c>
      <c r="AT950">
        <v>8.75</v>
      </c>
      <c r="AU950" t="s">
        <v>3</v>
      </c>
      <c r="AV950">
        <v>0</v>
      </c>
      <c r="AW950">
        <v>2</v>
      </c>
      <c r="AX950">
        <v>129764333</v>
      </c>
      <c r="AY950">
        <v>1</v>
      </c>
      <c r="AZ950">
        <v>0</v>
      </c>
      <c r="BA950">
        <v>925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0</v>
      </c>
      <c r="BR950">
        <v>0</v>
      </c>
      <c r="BS950">
        <v>0</v>
      </c>
      <c r="BT950">
        <v>0</v>
      </c>
      <c r="BU950">
        <v>0</v>
      </c>
      <c r="BV950">
        <v>0</v>
      </c>
      <c r="BW950">
        <v>0</v>
      </c>
      <c r="CX950">
        <f>ROUND(Y950*Source!I1084,9)</f>
        <v>17.5</v>
      </c>
      <c r="CY950">
        <f t="shared" si="462"/>
        <v>1</v>
      </c>
      <c r="CZ950">
        <f t="shared" si="463"/>
        <v>1</v>
      </c>
      <c r="DA950">
        <f t="shared" si="464"/>
        <v>1</v>
      </c>
      <c r="DB950">
        <f t="shared" si="465"/>
        <v>8.75</v>
      </c>
      <c r="DC950">
        <f t="shared" si="466"/>
        <v>0</v>
      </c>
      <c r="DD950" t="s">
        <v>3</v>
      </c>
      <c r="DE950" t="s">
        <v>3</v>
      </c>
      <c r="DF950">
        <f t="shared" si="460"/>
        <v>17.5</v>
      </c>
      <c r="DG950">
        <f t="shared" si="457"/>
        <v>0</v>
      </c>
      <c r="DH950">
        <f t="shared" si="458"/>
        <v>0</v>
      </c>
      <c r="DI950">
        <f t="shared" si="424"/>
        <v>0</v>
      </c>
      <c r="DJ950">
        <f t="shared" si="467"/>
        <v>17.5</v>
      </c>
      <c r="DK950">
        <v>0</v>
      </c>
    </row>
    <row r="951" spans="1:115" x14ac:dyDescent="0.2">
      <c r="A951">
        <f>ROW(Source!A1085)</f>
        <v>1085</v>
      </c>
      <c r="B951">
        <v>129761633</v>
      </c>
      <c r="C951">
        <v>129764318</v>
      </c>
      <c r="D951">
        <v>37345142</v>
      </c>
      <c r="E951">
        <v>37345137</v>
      </c>
      <c r="F951">
        <v>1</v>
      </c>
      <c r="G951">
        <v>37345137</v>
      </c>
      <c r="H951">
        <v>1</v>
      </c>
      <c r="I951" t="s">
        <v>1096</v>
      </c>
      <c r="J951" t="s">
        <v>3</v>
      </c>
      <c r="K951" t="s">
        <v>1097</v>
      </c>
      <c r="L951">
        <v>1191</v>
      </c>
      <c r="N951">
        <v>1013</v>
      </c>
      <c r="O951" t="s">
        <v>1098</v>
      </c>
      <c r="P951" t="s">
        <v>1098</v>
      </c>
      <c r="Q951">
        <v>1</v>
      </c>
      <c r="W951">
        <v>0</v>
      </c>
      <c r="X951">
        <v>476480486</v>
      </c>
      <c r="Y951">
        <f>(AT951*1.15)</f>
        <v>1.0349999999999999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1</v>
      </c>
      <c r="AJ951">
        <v>1</v>
      </c>
      <c r="AK951">
        <v>1</v>
      </c>
      <c r="AL951">
        <v>1</v>
      </c>
      <c r="AN951">
        <v>0</v>
      </c>
      <c r="AO951">
        <v>1</v>
      </c>
      <c r="AP951">
        <v>1</v>
      </c>
      <c r="AQ951">
        <v>0</v>
      </c>
      <c r="AR951">
        <v>0</v>
      </c>
      <c r="AS951" t="s">
        <v>3</v>
      </c>
      <c r="AT951">
        <v>0.9</v>
      </c>
      <c r="AU951" t="s">
        <v>87</v>
      </c>
      <c r="AV951">
        <v>1</v>
      </c>
      <c r="AW951">
        <v>2</v>
      </c>
      <c r="AX951">
        <v>129764327</v>
      </c>
      <c r="AY951">
        <v>1</v>
      </c>
      <c r="AZ951">
        <v>0</v>
      </c>
      <c r="BA951">
        <v>926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0</v>
      </c>
      <c r="BR951">
        <v>0</v>
      </c>
      <c r="BS951">
        <v>0</v>
      </c>
      <c r="BT951">
        <v>0</v>
      </c>
      <c r="BU951">
        <v>0</v>
      </c>
      <c r="BV951">
        <v>0</v>
      </c>
      <c r="BW951">
        <v>0</v>
      </c>
      <c r="CX951">
        <f>ROUND(Y951*Source!I1085,9)</f>
        <v>2.0699999999999998</v>
      </c>
      <c r="CY951">
        <f>AD951</f>
        <v>0</v>
      </c>
      <c r="CZ951">
        <f>AH951</f>
        <v>0</v>
      </c>
      <c r="DA951">
        <f>AL951</f>
        <v>1</v>
      </c>
      <c r="DB951">
        <f>ROUND((ROUND(AT951*CZ951,2)*1.15),6)</f>
        <v>0</v>
      </c>
      <c r="DC951">
        <f>ROUND((ROUND(AT951*AG951,2)*1.15),6)</f>
        <v>0</v>
      </c>
      <c r="DD951" t="s">
        <v>3</v>
      </c>
      <c r="DE951" t="s">
        <v>3</v>
      </c>
      <c r="DF951">
        <f t="shared" si="460"/>
        <v>0</v>
      </c>
      <c r="DG951">
        <f t="shared" si="457"/>
        <v>0</v>
      </c>
      <c r="DH951">
        <f t="shared" si="458"/>
        <v>0</v>
      </c>
      <c r="DI951">
        <f t="shared" si="424"/>
        <v>0</v>
      </c>
      <c r="DJ951">
        <f>DI951</f>
        <v>0</v>
      </c>
      <c r="DK951">
        <v>0</v>
      </c>
    </row>
    <row r="952" spans="1:115" x14ac:dyDescent="0.2">
      <c r="A952">
        <f>ROW(Source!A1085)</f>
        <v>1085</v>
      </c>
      <c r="B952">
        <v>129761633</v>
      </c>
      <c r="C952">
        <v>129764318</v>
      </c>
      <c r="D952">
        <v>37345890</v>
      </c>
      <c r="E952">
        <v>37345137</v>
      </c>
      <c r="F952">
        <v>1</v>
      </c>
      <c r="G952">
        <v>37345137</v>
      </c>
      <c r="H952">
        <v>2</v>
      </c>
      <c r="I952" t="s">
        <v>1145</v>
      </c>
      <c r="J952" t="s">
        <v>3</v>
      </c>
      <c r="K952" t="s">
        <v>1146</v>
      </c>
      <c r="L952">
        <v>1344</v>
      </c>
      <c r="N952">
        <v>1008</v>
      </c>
      <c r="O952" t="s">
        <v>1138</v>
      </c>
      <c r="P952" t="s">
        <v>1138</v>
      </c>
      <c r="Q952">
        <v>1</v>
      </c>
      <c r="W952">
        <v>0</v>
      </c>
      <c r="X952">
        <v>-1180195794</v>
      </c>
      <c r="Y952">
        <f>(AT952*1.25)</f>
        <v>2.7875000000000001</v>
      </c>
      <c r="AA952">
        <v>0</v>
      </c>
      <c r="AB952">
        <v>1.07</v>
      </c>
      <c r="AC952">
        <v>0</v>
      </c>
      <c r="AD952">
        <v>0</v>
      </c>
      <c r="AE952">
        <v>0</v>
      </c>
      <c r="AF952">
        <v>1</v>
      </c>
      <c r="AG952">
        <v>0</v>
      </c>
      <c r="AH952">
        <v>0</v>
      </c>
      <c r="AI952">
        <v>1</v>
      </c>
      <c r="AJ952">
        <v>1</v>
      </c>
      <c r="AK952">
        <v>1</v>
      </c>
      <c r="AL952">
        <v>1</v>
      </c>
      <c r="AN952">
        <v>0</v>
      </c>
      <c r="AO952">
        <v>1</v>
      </c>
      <c r="AP952">
        <v>1</v>
      </c>
      <c r="AQ952">
        <v>0</v>
      </c>
      <c r="AR952">
        <v>0</v>
      </c>
      <c r="AS952" t="s">
        <v>3</v>
      </c>
      <c r="AT952">
        <v>2.23</v>
      </c>
      <c r="AU952" t="s">
        <v>86</v>
      </c>
      <c r="AV952">
        <v>0</v>
      </c>
      <c r="AW952">
        <v>2</v>
      </c>
      <c r="AX952">
        <v>129764328</v>
      </c>
      <c r="AY952">
        <v>1</v>
      </c>
      <c r="AZ952">
        <v>0</v>
      </c>
      <c r="BA952">
        <v>927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0</v>
      </c>
      <c r="BQ952">
        <v>0</v>
      </c>
      <c r="BR952">
        <v>0</v>
      </c>
      <c r="BS952">
        <v>0</v>
      </c>
      <c r="BT952">
        <v>0</v>
      </c>
      <c r="BU952">
        <v>0</v>
      </c>
      <c r="BV952">
        <v>0</v>
      </c>
      <c r="BW952">
        <v>0</v>
      </c>
      <c r="CX952">
        <f>ROUND(Y952*Source!I1085,9)</f>
        <v>5.5750000000000002</v>
      </c>
      <c r="CY952">
        <f>AB952</f>
        <v>1.07</v>
      </c>
      <c r="CZ952">
        <f>AF952</f>
        <v>1</v>
      </c>
      <c r="DA952">
        <f>AJ952</f>
        <v>1</v>
      </c>
      <c r="DB952">
        <f>ROUND((ROUND(AT952*CZ952,2)*1.25),6)</f>
        <v>2.7875000000000001</v>
      </c>
      <c r="DC952">
        <f>ROUND((ROUND(AT952*AG952,2)*1.25),6)</f>
        <v>0</v>
      </c>
      <c r="DD952" t="s">
        <v>3</v>
      </c>
      <c r="DE952" t="s">
        <v>3</v>
      </c>
      <c r="DF952">
        <f t="shared" si="460"/>
        <v>0</v>
      </c>
      <c r="DG952">
        <f t="shared" si="457"/>
        <v>5.58</v>
      </c>
      <c r="DH952">
        <f t="shared" si="458"/>
        <v>0</v>
      </c>
      <c r="DI952">
        <f t="shared" si="424"/>
        <v>0</v>
      </c>
      <c r="DJ952">
        <f>DG952</f>
        <v>5.58</v>
      </c>
      <c r="DK952">
        <v>0</v>
      </c>
    </row>
    <row r="953" spans="1:115" x14ac:dyDescent="0.2">
      <c r="A953">
        <f>ROW(Source!A1085)</f>
        <v>1085</v>
      </c>
      <c r="B953">
        <v>129761633</v>
      </c>
      <c r="C953">
        <v>129764318</v>
      </c>
      <c r="D953">
        <v>0</v>
      </c>
      <c r="E953">
        <v>1</v>
      </c>
      <c r="F953">
        <v>1</v>
      </c>
      <c r="G953">
        <v>37345137</v>
      </c>
      <c r="H953">
        <v>3</v>
      </c>
      <c r="I953" t="s">
        <v>901</v>
      </c>
      <c r="J953" t="s">
        <v>3</v>
      </c>
      <c r="K953" t="s">
        <v>902</v>
      </c>
      <c r="L953">
        <v>1354</v>
      </c>
      <c r="N953">
        <v>1010</v>
      </c>
      <c r="O953" t="s">
        <v>250</v>
      </c>
      <c r="P953" t="s">
        <v>250</v>
      </c>
      <c r="Q953">
        <v>1</v>
      </c>
      <c r="W953">
        <v>0</v>
      </c>
      <c r="X953">
        <v>-1188360614</v>
      </c>
      <c r="Y953">
        <f t="shared" ref="Y953:Y958" si="468">AT953</f>
        <v>1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4.82</v>
      </c>
      <c r="AJ953">
        <v>1</v>
      </c>
      <c r="AK953">
        <v>1</v>
      </c>
      <c r="AL953">
        <v>1</v>
      </c>
      <c r="AN953">
        <v>0</v>
      </c>
      <c r="AO953">
        <v>0</v>
      </c>
      <c r="AP953">
        <v>0</v>
      </c>
      <c r="AQ953">
        <v>0</v>
      </c>
      <c r="AR953">
        <v>0</v>
      </c>
      <c r="AS953" t="s">
        <v>3</v>
      </c>
      <c r="AT953">
        <v>1</v>
      </c>
      <c r="AU953" t="s">
        <v>3</v>
      </c>
      <c r="AV953">
        <v>0</v>
      </c>
      <c r="AW953">
        <v>1</v>
      </c>
      <c r="AX953">
        <v>-1</v>
      </c>
      <c r="AY953">
        <v>0</v>
      </c>
      <c r="AZ953">
        <v>0</v>
      </c>
      <c r="BA953" t="s">
        <v>3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0</v>
      </c>
      <c r="BR953">
        <v>0</v>
      </c>
      <c r="BS953">
        <v>0</v>
      </c>
      <c r="BT953">
        <v>0</v>
      </c>
      <c r="BU953">
        <v>0</v>
      </c>
      <c r="BV953">
        <v>0</v>
      </c>
      <c r="BW953">
        <v>0</v>
      </c>
      <c r="CX953">
        <f>ROUND(Y953*Source!I1085,9)</f>
        <v>2</v>
      </c>
      <c r="CY953">
        <f t="shared" ref="CY953:CY958" si="469">AA953</f>
        <v>0</v>
      </c>
      <c r="CZ953">
        <f t="shared" ref="CZ953:CZ958" si="470">AE953</f>
        <v>0</v>
      </c>
      <c r="DA953">
        <f t="shared" ref="DA953:DA958" si="471">AI953</f>
        <v>4.82</v>
      </c>
      <c r="DB953">
        <f t="shared" ref="DB953:DB958" si="472">ROUND(ROUND(AT953*CZ953,2),6)</f>
        <v>0</v>
      </c>
      <c r="DC953">
        <f t="shared" ref="DC953:DC958" si="473">ROUND(ROUND(AT953*AG953,2),6)</f>
        <v>0</v>
      </c>
      <c r="DD953" t="s">
        <v>3</v>
      </c>
      <c r="DE953" t="s">
        <v>3</v>
      </c>
      <c r="DF953">
        <f t="shared" ref="DF953:DF958" si="474">ROUND(ROUND(AE953*CX953,2)*AI953,2)</f>
        <v>0</v>
      </c>
      <c r="DG953">
        <f t="shared" si="457"/>
        <v>0</v>
      </c>
      <c r="DH953">
        <f t="shared" si="458"/>
        <v>0</v>
      </c>
      <c r="DI953">
        <f t="shared" si="424"/>
        <v>0</v>
      </c>
      <c r="DJ953">
        <f t="shared" ref="DJ953:DJ958" si="475">DF953</f>
        <v>0</v>
      </c>
      <c r="DK953">
        <v>2</v>
      </c>
    </row>
    <row r="954" spans="1:115" x14ac:dyDescent="0.2">
      <c r="A954">
        <f>ROW(Source!A1085)</f>
        <v>1085</v>
      </c>
      <c r="B954">
        <v>129761633</v>
      </c>
      <c r="C954">
        <v>129764318</v>
      </c>
      <c r="D954">
        <v>0</v>
      </c>
      <c r="E954">
        <v>1</v>
      </c>
      <c r="F954">
        <v>1</v>
      </c>
      <c r="G954">
        <v>37345137</v>
      </c>
      <c r="H954">
        <v>3</v>
      </c>
      <c r="I954" t="s">
        <v>904</v>
      </c>
      <c r="J954" t="s">
        <v>3</v>
      </c>
      <c r="K954" t="s">
        <v>905</v>
      </c>
      <c r="L954">
        <v>1301</v>
      </c>
      <c r="N954">
        <v>1003</v>
      </c>
      <c r="O954" t="s">
        <v>270</v>
      </c>
      <c r="P954" t="s">
        <v>270</v>
      </c>
      <c r="Q954">
        <v>1</v>
      </c>
      <c r="W954">
        <v>0</v>
      </c>
      <c r="X954">
        <v>-566754181</v>
      </c>
      <c r="Y954">
        <f t="shared" si="468"/>
        <v>20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8.65</v>
      </c>
      <c r="AJ954">
        <v>1</v>
      </c>
      <c r="AK954">
        <v>1</v>
      </c>
      <c r="AL954">
        <v>1</v>
      </c>
      <c r="AN954">
        <v>0</v>
      </c>
      <c r="AO954">
        <v>0</v>
      </c>
      <c r="AP954">
        <v>0</v>
      </c>
      <c r="AQ954">
        <v>0</v>
      </c>
      <c r="AR954">
        <v>0</v>
      </c>
      <c r="AS954" t="s">
        <v>3</v>
      </c>
      <c r="AT954">
        <v>20</v>
      </c>
      <c r="AU954" t="s">
        <v>3</v>
      </c>
      <c r="AV954">
        <v>0</v>
      </c>
      <c r="AW954">
        <v>1</v>
      </c>
      <c r="AX954">
        <v>-1</v>
      </c>
      <c r="AY954">
        <v>0</v>
      </c>
      <c r="AZ954">
        <v>0</v>
      </c>
      <c r="BA954" t="s">
        <v>3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0</v>
      </c>
      <c r="BR954">
        <v>0</v>
      </c>
      <c r="BS954">
        <v>0</v>
      </c>
      <c r="BT954">
        <v>0</v>
      </c>
      <c r="BU954">
        <v>0</v>
      </c>
      <c r="BV954">
        <v>0</v>
      </c>
      <c r="BW954">
        <v>0</v>
      </c>
      <c r="CX954">
        <f>ROUND(Y954*Source!I1085,9)</f>
        <v>40</v>
      </c>
      <c r="CY954">
        <f t="shared" si="469"/>
        <v>0</v>
      </c>
      <c r="CZ954">
        <f t="shared" si="470"/>
        <v>0</v>
      </c>
      <c r="DA954">
        <f t="shared" si="471"/>
        <v>8.65</v>
      </c>
      <c r="DB954">
        <f t="shared" si="472"/>
        <v>0</v>
      </c>
      <c r="DC954">
        <f t="shared" si="473"/>
        <v>0</v>
      </c>
      <c r="DD954" t="s">
        <v>3</v>
      </c>
      <c r="DE954" t="s">
        <v>3</v>
      </c>
      <c r="DF954">
        <f t="shared" si="474"/>
        <v>0</v>
      </c>
      <c r="DG954">
        <f t="shared" si="457"/>
        <v>0</v>
      </c>
      <c r="DH954">
        <f t="shared" si="458"/>
        <v>0</v>
      </c>
      <c r="DI954">
        <f t="shared" si="424"/>
        <v>0</v>
      </c>
      <c r="DJ954">
        <f t="shared" si="475"/>
        <v>0</v>
      </c>
      <c r="DK954">
        <v>2</v>
      </c>
    </row>
    <row r="955" spans="1:115" x14ac:dyDescent="0.2">
      <c r="A955">
        <f>ROW(Source!A1085)</f>
        <v>1085</v>
      </c>
      <c r="B955">
        <v>129761633</v>
      </c>
      <c r="C955">
        <v>129764318</v>
      </c>
      <c r="D955">
        <v>37403090</v>
      </c>
      <c r="E955">
        <v>1</v>
      </c>
      <c r="F955">
        <v>1</v>
      </c>
      <c r="G955">
        <v>37345137</v>
      </c>
      <c r="H955">
        <v>3</v>
      </c>
      <c r="I955" t="s">
        <v>1392</v>
      </c>
      <c r="J955" t="s">
        <v>1393</v>
      </c>
      <c r="K955" t="s">
        <v>1394</v>
      </c>
      <c r="L955">
        <v>1354</v>
      </c>
      <c r="N955">
        <v>1010</v>
      </c>
      <c r="O955" t="s">
        <v>250</v>
      </c>
      <c r="P955" t="s">
        <v>250</v>
      </c>
      <c r="Q955">
        <v>1</v>
      </c>
      <c r="W955">
        <v>0</v>
      </c>
      <c r="X955">
        <v>1423054617</v>
      </c>
      <c r="Y955">
        <f t="shared" si="468"/>
        <v>1</v>
      </c>
      <c r="AA955">
        <v>140.85</v>
      </c>
      <c r="AB955">
        <v>0</v>
      </c>
      <c r="AC955">
        <v>0</v>
      </c>
      <c r="AD955">
        <v>0</v>
      </c>
      <c r="AE955">
        <v>62.05</v>
      </c>
      <c r="AF955">
        <v>0</v>
      </c>
      <c r="AG955">
        <v>0</v>
      </c>
      <c r="AH955">
        <v>0</v>
      </c>
      <c r="AI955">
        <v>2.27</v>
      </c>
      <c r="AJ955">
        <v>1</v>
      </c>
      <c r="AK955">
        <v>1</v>
      </c>
      <c r="AL955">
        <v>1</v>
      </c>
      <c r="AN955">
        <v>0</v>
      </c>
      <c r="AO955">
        <v>1</v>
      </c>
      <c r="AP955">
        <v>0</v>
      </c>
      <c r="AQ955">
        <v>0</v>
      </c>
      <c r="AR955">
        <v>0</v>
      </c>
      <c r="AS955" t="s">
        <v>3</v>
      </c>
      <c r="AT955">
        <v>1</v>
      </c>
      <c r="AU955" t="s">
        <v>3</v>
      </c>
      <c r="AV955">
        <v>0</v>
      </c>
      <c r="AW955">
        <v>2</v>
      </c>
      <c r="AX955">
        <v>129764329</v>
      </c>
      <c r="AY955">
        <v>1</v>
      </c>
      <c r="AZ955">
        <v>0</v>
      </c>
      <c r="BA955">
        <v>928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0</v>
      </c>
      <c r="BR955">
        <v>0</v>
      </c>
      <c r="BS955">
        <v>0</v>
      </c>
      <c r="BT955">
        <v>0</v>
      </c>
      <c r="BU955">
        <v>0</v>
      </c>
      <c r="BV955">
        <v>0</v>
      </c>
      <c r="BW955">
        <v>0</v>
      </c>
      <c r="CX955">
        <f>ROUND(Y955*Source!I1085,9)</f>
        <v>2</v>
      </c>
      <c r="CY955">
        <f t="shared" si="469"/>
        <v>140.85</v>
      </c>
      <c r="CZ955">
        <f t="shared" si="470"/>
        <v>62.05</v>
      </c>
      <c r="DA955">
        <f t="shared" si="471"/>
        <v>2.27</v>
      </c>
      <c r="DB955">
        <f t="shared" si="472"/>
        <v>62.05</v>
      </c>
      <c r="DC955">
        <f t="shared" si="473"/>
        <v>0</v>
      </c>
      <c r="DD955" t="s">
        <v>3</v>
      </c>
      <c r="DE955" t="s">
        <v>3</v>
      </c>
      <c r="DF955">
        <f t="shared" si="474"/>
        <v>281.70999999999998</v>
      </c>
      <c r="DG955">
        <f t="shared" si="457"/>
        <v>0</v>
      </c>
      <c r="DH955">
        <f t="shared" si="458"/>
        <v>0</v>
      </c>
      <c r="DI955">
        <f t="shared" si="424"/>
        <v>0</v>
      </c>
      <c r="DJ955">
        <f t="shared" si="475"/>
        <v>281.70999999999998</v>
      </c>
      <c r="DK955">
        <v>0</v>
      </c>
    </row>
    <row r="956" spans="1:115" x14ac:dyDescent="0.2">
      <c r="A956">
        <f>ROW(Source!A1085)</f>
        <v>1085</v>
      </c>
      <c r="B956">
        <v>129761633</v>
      </c>
      <c r="C956">
        <v>129764318</v>
      </c>
      <c r="D956">
        <v>37403065</v>
      </c>
      <c r="E956">
        <v>1</v>
      </c>
      <c r="F956">
        <v>1</v>
      </c>
      <c r="G956">
        <v>37345137</v>
      </c>
      <c r="H956">
        <v>3</v>
      </c>
      <c r="I956" t="s">
        <v>1395</v>
      </c>
      <c r="J956" t="s">
        <v>1396</v>
      </c>
      <c r="K956" t="s">
        <v>1397</v>
      </c>
      <c r="L956">
        <v>1354</v>
      </c>
      <c r="N956">
        <v>1010</v>
      </c>
      <c r="O956" t="s">
        <v>250</v>
      </c>
      <c r="P956" t="s">
        <v>250</v>
      </c>
      <c r="Q956">
        <v>1</v>
      </c>
      <c r="W956">
        <v>0</v>
      </c>
      <c r="X956">
        <v>-929995469</v>
      </c>
      <c r="Y956">
        <f t="shared" si="468"/>
        <v>3</v>
      </c>
      <c r="AA956">
        <v>82.96</v>
      </c>
      <c r="AB956">
        <v>0</v>
      </c>
      <c r="AC956">
        <v>0</v>
      </c>
      <c r="AD956">
        <v>0</v>
      </c>
      <c r="AE956">
        <v>46.87</v>
      </c>
      <c r="AF956">
        <v>0</v>
      </c>
      <c r="AG956">
        <v>0</v>
      </c>
      <c r="AH956">
        <v>0</v>
      </c>
      <c r="AI956">
        <v>1.77</v>
      </c>
      <c r="AJ956">
        <v>1</v>
      </c>
      <c r="AK956">
        <v>1</v>
      </c>
      <c r="AL956">
        <v>1</v>
      </c>
      <c r="AN956">
        <v>0</v>
      </c>
      <c r="AO956">
        <v>1</v>
      </c>
      <c r="AP956">
        <v>0</v>
      </c>
      <c r="AQ956">
        <v>0</v>
      </c>
      <c r="AR956">
        <v>0</v>
      </c>
      <c r="AS956" t="s">
        <v>3</v>
      </c>
      <c r="AT956">
        <v>3</v>
      </c>
      <c r="AU956" t="s">
        <v>3</v>
      </c>
      <c r="AV956">
        <v>0</v>
      </c>
      <c r="AW956">
        <v>2</v>
      </c>
      <c r="AX956">
        <v>129764330</v>
      </c>
      <c r="AY956">
        <v>1</v>
      </c>
      <c r="AZ956">
        <v>0</v>
      </c>
      <c r="BA956">
        <v>929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0</v>
      </c>
      <c r="BR956">
        <v>0</v>
      </c>
      <c r="BS956">
        <v>0</v>
      </c>
      <c r="BT956">
        <v>0</v>
      </c>
      <c r="BU956">
        <v>0</v>
      </c>
      <c r="BV956">
        <v>0</v>
      </c>
      <c r="BW956">
        <v>0</v>
      </c>
      <c r="CX956">
        <f>ROUND(Y956*Source!I1085,9)</f>
        <v>6</v>
      </c>
      <c r="CY956">
        <f t="shared" si="469"/>
        <v>82.96</v>
      </c>
      <c r="CZ956">
        <f t="shared" si="470"/>
        <v>46.87</v>
      </c>
      <c r="DA956">
        <f t="shared" si="471"/>
        <v>1.77</v>
      </c>
      <c r="DB956">
        <f t="shared" si="472"/>
        <v>140.61000000000001</v>
      </c>
      <c r="DC956">
        <f t="shared" si="473"/>
        <v>0</v>
      </c>
      <c r="DD956" t="s">
        <v>3</v>
      </c>
      <c r="DE956" t="s">
        <v>3</v>
      </c>
      <c r="DF956">
        <f t="shared" si="474"/>
        <v>497.76</v>
      </c>
      <c r="DG956">
        <f t="shared" si="457"/>
        <v>0</v>
      </c>
      <c r="DH956">
        <f t="shared" si="458"/>
        <v>0</v>
      </c>
      <c r="DI956">
        <f t="shared" si="424"/>
        <v>0</v>
      </c>
      <c r="DJ956">
        <f t="shared" si="475"/>
        <v>497.76</v>
      </c>
      <c r="DK956">
        <v>0</v>
      </c>
    </row>
    <row r="957" spans="1:115" x14ac:dyDescent="0.2">
      <c r="A957">
        <f>ROW(Source!A1085)</f>
        <v>1085</v>
      </c>
      <c r="B957">
        <v>129761633</v>
      </c>
      <c r="C957">
        <v>129764318</v>
      </c>
      <c r="D957">
        <v>0</v>
      </c>
      <c r="E957">
        <v>1</v>
      </c>
      <c r="F957">
        <v>1</v>
      </c>
      <c r="G957">
        <v>37345137</v>
      </c>
      <c r="H957">
        <v>3</v>
      </c>
      <c r="I957" t="s">
        <v>907</v>
      </c>
      <c r="J957" t="s">
        <v>3</v>
      </c>
      <c r="K957" t="s">
        <v>908</v>
      </c>
      <c r="L957">
        <v>1354</v>
      </c>
      <c r="N957">
        <v>1010</v>
      </c>
      <c r="O957" t="s">
        <v>250</v>
      </c>
      <c r="P957" t="s">
        <v>250</v>
      </c>
      <c r="Q957">
        <v>1</v>
      </c>
      <c r="W957">
        <v>0</v>
      </c>
      <c r="X957">
        <v>-846618015</v>
      </c>
      <c r="Y957">
        <f t="shared" si="468"/>
        <v>1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2.5499999999999998</v>
      </c>
      <c r="AJ957">
        <v>1</v>
      </c>
      <c r="AK957">
        <v>1</v>
      </c>
      <c r="AL957">
        <v>1</v>
      </c>
      <c r="AN957">
        <v>0</v>
      </c>
      <c r="AO957">
        <v>0</v>
      </c>
      <c r="AP957">
        <v>0</v>
      </c>
      <c r="AQ957">
        <v>0</v>
      </c>
      <c r="AR957">
        <v>0</v>
      </c>
      <c r="AS957" t="s">
        <v>3</v>
      </c>
      <c r="AT957">
        <v>1</v>
      </c>
      <c r="AU957" t="s">
        <v>3</v>
      </c>
      <c r="AV957">
        <v>0</v>
      </c>
      <c r="AW957">
        <v>1</v>
      </c>
      <c r="AX957">
        <v>-1</v>
      </c>
      <c r="AY957">
        <v>0</v>
      </c>
      <c r="AZ957">
        <v>0</v>
      </c>
      <c r="BA957" t="s">
        <v>3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0</v>
      </c>
      <c r="BR957">
        <v>0</v>
      </c>
      <c r="BS957">
        <v>0</v>
      </c>
      <c r="BT957">
        <v>0</v>
      </c>
      <c r="BU957">
        <v>0</v>
      </c>
      <c r="BV957">
        <v>0</v>
      </c>
      <c r="BW957">
        <v>0</v>
      </c>
      <c r="CX957">
        <f>ROUND(Y957*Source!I1085,9)</f>
        <v>2</v>
      </c>
      <c r="CY957">
        <f t="shared" si="469"/>
        <v>0</v>
      </c>
      <c r="CZ957">
        <f t="shared" si="470"/>
        <v>0</v>
      </c>
      <c r="DA957">
        <f t="shared" si="471"/>
        <v>2.5499999999999998</v>
      </c>
      <c r="DB957">
        <f t="shared" si="472"/>
        <v>0</v>
      </c>
      <c r="DC957">
        <f t="shared" si="473"/>
        <v>0</v>
      </c>
      <c r="DD957" t="s">
        <v>3</v>
      </c>
      <c r="DE957" t="s">
        <v>3</v>
      </c>
      <c r="DF957">
        <f t="shared" si="474"/>
        <v>0</v>
      </c>
      <c r="DG957">
        <f t="shared" si="457"/>
        <v>0</v>
      </c>
      <c r="DH957">
        <f t="shared" si="458"/>
        <v>0</v>
      </c>
      <c r="DI957">
        <f t="shared" si="424"/>
        <v>0</v>
      </c>
      <c r="DJ957">
        <f t="shared" si="475"/>
        <v>0</v>
      </c>
      <c r="DK957">
        <v>2</v>
      </c>
    </row>
    <row r="958" spans="1:115" x14ac:dyDescent="0.2">
      <c r="A958">
        <f>ROW(Source!A1085)</f>
        <v>1085</v>
      </c>
      <c r="B958">
        <v>129761633</v>
      </c>
      <c r="C958">
        <v>129764318</v>
      </c>
      <c r="D958">
        <v>37367082</v>
      </c>
      <c r="E958">
        <v>37345137</v>
      </c>
      <c r="F958">
        <v>1</v>
      </c>
      <c r="G958">
        <v>37345137</v>
      </c>
      <c r="H958">
        <v>3</v>
      </c>
      <c r="I958" t="s">
        <v>1136</v>
      </c>
      <c r="J958" t="s">
        <v>3</v>
      </c>
      <c r="K958" t="s">
        <v>1137</v>
      </c>
      <c r="L958">
        <v>1344</v>
      </c>
      <c r="N958">
        <v>1008</v>
      </c>
      <c r="O958" t="s">
        <v>1138</v>
      </c>
      <c r="P958" t="s">
        <v>1138</v>
      </c>
      <c r="Q958">
        <v>1</v>
      </c>
      <c r="W958">
        <v>0</v>
      </c>
      <c r="X958">
        <v>-94250534</v>
      </c>
      <c r="Y958">
        <f t="shared" si="468"/>
        <v>8.75</v>
      </c>
      <c r="AA958">
        <v>8.65</v>
      </c>
      <c r="AB958">
        <v>0</v>
      </c>
      <c r="AC958">
        <v>0</v>
      </c>
      <c r="AD958">
        <v>0</v>
      </c>
      <c r="AE958">
        <v>1</v>
      </c>
      <c r="AF958">
        <v>0</v>
      </c>
      <c r="AG958">
        <v>0</v>
      </c>
      <c r="AH958">
        <v>0</v>
      </c>
      <c r="AI958">
        <v>8.65</v>
      </c>
      <c r="AJ958">
        <v>1</v>
      </c>
      <c r="AK958">
        <v>1</v>
      </c>
      <c r="AL958">
        <v>1</v>
      </c>
      <c r="AN958">
        <v>0</v>
      </c>
      <c r="AO958">
        <v>1</v>
      </c>
      <c r="AP958">
        <v>0</v>
      </c>
      <c r="AQ958">
        <v>0</v>
      </c>
      <c r="AR958">
        <v>0</v>
      </c>
      <c r="AS958" t="s">
        <v>3</v>
      </c>
      <c r="AT958">
        <v>8.75</v>
      </c>
      <c r="AU958" t="s">
        <v>3</v>
      </c>
      <c r="AV958">
        <v>0</v>
      </c>
      <c r="AW958">
        <v>2</v>
      </c>
      <c r="AX958">
        <v>129764333</v>
      </c>
      <c r="AY958">
        <v>1</v>
      </c>
      <c r="AZ958">
        <v>0</v>
      </c>
      <c r="BA958">
        <v>932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0</v>
      </c>
      <c r="BR958">
        <v>0</v>
      </c>
      <c r="BS958">
        <v>0</v>
      </c>
      <c r="BT958">
        <v>0</v>
      </c>
      <c r="BU958">
        <v>0</v>
      </c>
      <c r="BV958">
        <v>0</v>
      </c>
      <c r="BW958">
        <v>0</v>
      </c>
      <c r="CX958">
        <f>ROUND(Y958*Source!I1085,9)</f>
        <v>17.5</v>
      </c>
      <c r="CY958">
        <f t="shared" si="469"/>
        <v>8.65</v>
      </c>
      <c r="CZ958">
        <f t="shared" si="470"/>
        <v>1</v>
      </c>
      <c r="DA958">
        <f t="shared" si="471"/>
        <v>8.65</v>
      </c>
      <c r="DB958">
        <f t="shared" si="472"/>
        <v>8.75</v>
      </c>
      <c r="DC958">
        <f t="shared" si="473"/>
        <v>0</v>
      </c>
      <c r="DD958" t="s">
        <v>3</v>
      </c>
      <c r="DE958" t="s">
        <v>3</v>
      </c>
      <c r="DF958">
        <f t="shared" si="474"/>
        <v>151.38</v>
      </c>
      <c r="DG958">
        <f t="shared" si="457"/>
        <v>0</v>
      </c>
      <c r="DH958">
        <f t="shared" si="458"/>
        <v>0</v>
      </c>
      <c r="DI958">
        <f t="shared" si="424"/>
        <v>0</v>
      </c>
      <c r="DJ958">
        <f t="shared" si="475"/>
        <v>151.38</v>
      </c>
      <c r="DK958">
        <v>0</v>
      </c>
    </row>
    <row r="959" spans="1:115" x14ac:dyDescent="0.2">
      <c r="A959">
        <f>ROW(Source!A1127)</f>
        <v>1127</v>
      </c>
      <c r="B959">
        <v>129761636</v>
      </c>
      <c r="C959">
        <v>129764337</v>
      </c>
      <c r="D959">
        <v>37345142</v>
      </c>
      <c r="E959">
        <v>37345137</v>
      </c>
      <c r="F959">
        <v>1</v>
      </c>
      <c r="G959">
        <v>37345137</v>
      </c>
      <c r="H959">
        <v>1</v>
      </c>
      <c r="I959" t="s">
        <v>1096</v>
      </c>
      <c r="J959" t="s">
        <v>3</v>
      </c>
      <c r="K959" t="s">
        <v>1097</v>
      </c>
      <c r="L959">
        <v>1191</v>
      </c>
      <c r="N959">
        <v>1013</v>
      </c>
      <c r="O959" t="s">
        <v>1098</v>
      </c>
      <c r="P959" t="s">
        <v>1098</v>
      </c>
      <c r="Q959">
        <v>1</v>
      </c>
      <c r="W959">
        <v>0</v>
      </c>
      <c r="X959">
        <v>476480486</v>
      </c>
      <c r="Y959">
        <f>(AT959*1.15)</f>
        <v>67.16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1</v>
      </c>
      <c r="AJ959">
        <v>1</v>
      </c>
      <c r="AK959">
        <v>1</v>
      </c>
      <c r="AL959">
        <v>1</v>
      </c>
      <c r="AN959">
        <v>0</v>
      </c>
      <c r="AO959">
        <v>1</v>
      </c>
      <c r="AP959">
        <v>1</v>
      </c>
      <c r="AQ959">
        <v>0</v>
      </c>
      <c r="AR959">
        <v>0</v>
      </c>
      <c r="AS959" t="s">
        <v>3</v>
      </c>
      <c r="AT959">
        <v>58.4</v>
      </c>
      <c r="AU959" t="s">
        <v>87</v>
      </c>
      <c r="AV959">
        <v>1</v>
      </c>
      <c r="AW959">
        <v>2</v>
      </c>
      <c r="AX959">
        <v>129764345</v>
      </c>
      <c r="AY959">
        <v>1</v>
      </c>
      <c r="AZ959">
        <v>0</v>
      </c>
      <c r="BA959">
        <v>933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0</v>
      </c>
      <c r="BR959">
        <v>0</v>
      </c>
      <c r="BS959">
        <v>0</v>
      </c>
      <c r="BT959">
        <v>0</v>
      </c>
      <c r="BU959">
        <v>0</v>
      </c>
      <c r="BV959">
        <v>0</v>
      </c>
      <c r="BW959">
        <v>0</v>
      </c>
      <c r="CX959">
        <f>ROUND(Y959*Source!I1127,9)</f>
        <v>2.0148000000000001</v>
      </c>
      <c r="CY959">
        <f>AD959</f>
        <v>0</v>
      </c>
      <c r="CZ959">
        <f>AH959</f>
        <v>0</v>
      </c>
      <c r="DA959">
        <f>AL959</f>
        <v>1</v>
      </c>
      <c r="DB959">
        <f>ROUND((ROUND(AT959*CZ959,2)*1.15),6)</f>
        <v>0</v>
      </c>
      <c r="DC959">
        <f>ROUND((ROUND(AT959*AG959,2)*1.15),6)</f>
        <v>0</v>
      </c>
      <c r="DD959" t="s">
        <v>3</v>
      </c>
      <c r="DE959" t="s">
        <v>3</v>
      </c>
      <c r="DF959">
        <f t="shared" ref="DF959:DF967" si="476">ROUND(AE959*CX959,2)</f>
        <v>0</v>
      </c>
      <c r="DG959">
        <f t="shared" si="457"/>
        <v>0</v>
      </c>
      <c r="DH959">
        <f t="shared" si="458"/>
        <v>0</v>
      </c>
      <c r="DI959">
        <f t="shared" si="424"/>
        <v>0</v>
      </c>
      <c r="DJ959">
        <f>DI959</f>
        <v>0</v>
      </c>
      <c r="DK959">
        <v>0</v>
      </c>
    </row>
    <row r="960" spans="1:115" x14ac:dyDescent="0.2">
      <c r="A960">
        <f>ROW(Source!A1127)</f>
        <v>1127</v>
      </c>
      <c r="B960">
        <v>129761636</v>
      </c>
      <c r="C960">
        <v>129764337</v>
      </c>
      <c r="D960">
        <v>37345890</v>
      </c>
      <c r="E960">
        <v>37345137</v>
      </c>
      <c r="F960">
        <v>1</v>
      </c>
      <c r="G960">
        <v>37345137</v>
      </c>
      <c r="H960">
        <v>2</v>
      </c>
      <c r="I960" t="s">
        <v>1145</v>
      </c>
      <c r="J960" t="s">
        <v>3</v>
      </c>
      <c r="K960" t="s">
        <v>1146</v>
      </c>
      <c r="L960">
        <v>1344</v>
      </c>
      <c r="N960">
        <v>1008</v>
      </c>
      <c r="O960" t="s">
        <v>1138</v>
      </c>
      <c r="P960" t="s">
        <v>1138</v>
      </c>
      <c r="Q960">
        <v>1</v>
      </c>
      <c r="W960">
        <v>0</v>
      </c>
      <c r="X960">
        <v>-1180195794</v>
      </c>
      <c r="Y960">
        <f>(AT960*1.25)</f>
        <v>10.5875</v>
      </c>
      <c r="AA960">
        <v>0</v>
      </c>
      <c r="AB960">
        <v>1</v>
      </c>
      <c r="AC960">
        <v>0</v>
      </c>
      <c r="AD960">
        <v>0</v>
      </c>
      <c r="AE960">
        <v>0</v>
      </c>
      <c r="AF960">
        <v>1</v>
      </c>
      <c r="AG960">
        <v>0</v>
      </c>
      <c r="AH960">
        <v>0</v>
      </c>
      <c r="AI960">
        <v>1</v>
      </c>
      <c r="AJ960">
        <v>1</v>
      </c>
      <c r="AK960">
        <v>1</v>
      </c>
      <c r="AL960">
        <v>1</v>
      </c>
      <c r="AN960">
        <v>0</v>
      </c>
      <c r="AO960">
        <v>1</v>
      </c>
      <c r="AP960">
        <v>1</v>
      </c>
      <c r="AQ960">
        <v>0</v>
      </c>
      <c r="AR960">
        <v>0</v>
      </c>
      <c r="AS960" t="s">
        <v>3</v>
      </c>
      <c r="AT960">
        <v>8.4700000000000006</v>
      </c>
      <c r="AU960" t="s">
        <v>86</v>
      </c>
      <c r="AV960">
        <v>0</v>
      </c>
      <c r="AW960">
        <v>2</v>
      </c>
      <c r="AX960">
        <v>129764346</v>
      </c>
      <c r="AY960">
        <v>1</v>
      </c>
      <c r="AZ960">
        <v>0</v>
      </c>
      <c r="BA960">
        <v>934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0</v>
      </c>
      <c r="BS960">
        <v>0</v>
      </c>
      <c r="BT960">
        <v>0</v>
      </c>
      <c r="BU960">
        <v>0</v>
      </c>
      <c r="BV960">
        <v>0</v>
      </c>
      <c r="BW960">
        <v>0</v>
      </c>
      <c r="CX960">
        <f>ROUND(Y960*Source!I1127,9)</f>
        <v>0.31762499999999999</v>
      </c>
      <c r="CY960">
        <f>AB960</f>
        <v>1</v>
      </c>
      <c r="CZ960">
        <f>AF960</f>
        <v>1</v>
      </c>
      <c r="DA960">
        <f>AJ960</f>
        <v>1</v>
      </c>
      <c r="DB960">
        <f>ROUND((ROUND(AT960*CZ960,2)*1.25),6)</f>
        <v>10.5875</v>
      </c>
      <c r="DC960">
        <f>ROUND((ROUND(AT960*AG960,2)*1.25),6)</f>
        <v>0</v>
      </c>
      <c r="DD960" t="s">
        <v>3</v>
      </c>
      <c r="DE960" t="s">
        <v>3</v>
      </c>
      <c r="DF960">
        <f t="shared" si="476"/>
        <v>0</v>
      </c>
      <c r="DG960">
        <f t="shared" si="457"/>
        <v>0.32</v>
      </c>
      <c r="DH960">
        <f t="shared" si="458"/>
        <v>0</v>
      </c>
      <c r="DI960">
        <f t="shared" si="424"/>
        <v>0</v>
      </c>
      <c r="DJ960">
        <f>DG960</f>
        <v>0.32</v>
      </c>
      <c r="DK960">
        <v>0</v>
      </c>
    </row>
    <row r="961" spans="1:115" x14ac:dyDescent="0.2">
      <c r="A961">
        <f>ROW(Source!A1127)</f>
        <v>1127</v>
      </c>
      <c r="B961">
        <v>129761636</v>
      </c>
      <c r="C961">
        <v>129764337</v>
      </c>
      <c r="D961">
        <v>37398757</v>
      </c>
      <c r="E961">
        <v>1</v>
      </c>
      <c r="F961">
        <v>1</v>
      </c>
      <c r="G961">
        <v>37345137</v>
      </c>
      <c r="H961">
        <v>3</v>
      </c>
      <c r="I961" t="s">
        <v>913</v>
      </c>
      <c r="J961" t="s">
        <v>915</v>
      </c>
      <c r="K961" t="s">
        <v>914</v>
      </c>
      <c r="L961">
        <v>1301</v>
      </c>
      <c r="N961">
        <v>1003</v>
      </c>
      <c r="O961" t="s">
        <v>270</v>
      </c>
      <c r="P961" t="s">
        <v>270</v>
      </c>
      <c r="Q961">
        <v>1</v>
      </c>
      <c r="W961">
        <v>0</v>
      </c>
      <c r="X961">
        <v>-2135944692</v>
      </c>
      <c r="Y961">
        <f>AT961</f>
        <v>99.8</v>
      </c>
      <c r="AA961">
        <v>16.45</v>
      </c>
      <c r="AB961">
        <v>0</v>
      </c>
      <c r="AC961">
        <v>0</v>
      </c>
      <c r="AD961">
        <v>0</v>
      </c>
      <c r="AE961">
        <v>16.45</v>
      </c>
      <c r="AF961">
        <v>0</v>
      </c>
      <c r="AG961">
        <v>0</v>
      </c>
      <c r="AH961">
        <v>0</v>
      </c>
      <c r="AI961">
        <v>1</v>
      </c>
      <c r="AJ961">
        <v>1</v>
      </c>
      <c r="AK961">
        <v>1</v>
      </c>
      <c r="AL961">
        <v>1</v>
      </c>
      <c r="AN961">
        <v>0</v>
      </c>
      <c r="AO961">
        <v>0</v>
      </c>
      <c r="AP961">
        <v>0</v>
      </c>
      <c r="AQ961">
        <v>0</v>
      </c>
      <c r="AR961">
        <v>0</v>
      </c>
      <c r="AS961" t="s">
        <v>3</v>
      </c>
      <c r="AT961">
        <v>99.8</v>
      </c>
      <c r="AU961" t="s">
        <v>3</v>
      </c>
      <c r="AV961">
        <v>0</v>
      </c>
      <c r="AW961">
        <v>1</v>
      </c>
      <c r="AX961">
        <v>-1</v>
      </c>
      <c r="AY961">
        <v>0</v>
      </c>
      <c r="AZ961">
        <v>0</v>
      </c>
      <c r="BA961" t="s">
        <v>3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0</v>
      </c>
      <c r="BJ961">
        <v>0</v>
      </c>
      <c r="BK961">
        <v>0</v>
      </c>
      <c r="BL961">
        <v>0</v>
      </c>
      <c r="BM961">
        <v>0</v>
      </c>
      <c r="BN961">
        <v>0</v>
      </c>
      <c r="BO961">
        <v>0</v>
      </c>
      <c r="BP961">
        <v>0</v>
      </c>
      <c r="BQ961">
        <v>0</v>
      </c>
      <c r="BR961">
        <v>0</v>
      </c>
      <c r="BS961">
        <v>0</v>
      </c>
      <c r="BT961">
        <v>0</v>
      </c>
      <c r="BU961">
        <v>0</v>
      </c>
      <c r="BV961">
        <v>0</v>
      </c>
      <c r="BW961">
        <v>0</v>
      </c>
      <c r="CX961">
        <f>ROUND(Y961*Source!I1127,9)</f>
        <v>2.9940000000000002</v>
      </c>
      <c r="CY961">
        <f>AA961</f>
        <v>16.45</v>
      </c>
      <c r="CZ961">
        <f>AE961</f>
        <v>16.45</v>
      </c>
      <c r="DA961">
        <f>AI961</f>
        <v>1</v>
      </c>
      <c r="DB961">
        <f>ROUND(ROUND(AT961*CZ961,2),6)</f>
        <v>1641.71</v>
      </c>
      <c r="DC961">
        <f>ROUND(ROUND(AT961*AG961,2),6)</f>
        <v>0</v>
      </c>
      <c r="DD961" t="s">
        <v>3</v>
      </c>
      <c r="DE961" t="s">
        <v>3</v>
      </c>
      <c r="DF961">
        <f t="shared" si="476"/>
        <v>49.25</v>
      </c>
      <c r="DG961">
        <f t="shared" si="457"/>
        <v>0</v>
      </c>
      <c r="DH961">
        <f t="shared" si="458"/>
        <v>0</v>
      </c>
      <c r="DI961">
        <f t="shared" ref="DI961:DI1024" si="477">ROUND(AH961*CX961,2)</f>
        <v>0</v>
      </c>
      <c r="DJ961">
        <f>DF961</f>
        <v>49.25</v>
      </c>
      <c r="DK961">
        <v>0</v>
      </c>
    </row>
    <row r="962" spans="1:115" x14ac:dyDescent="0.2">
      <c r="A962">
        <f>ROW(Source!A1127)</f>
        <v>1127</v>
      </c>
      <c r="B962">
        <v>129761636</v>
      </c>
      <c r="C962">
        <v>129764337</v>
      </c>
      <c r="D962">
        <v>0</v>
      </c>
      <c r="E962">
        <v>1</v>
      </c>
      <c r="F962">
        <v>1</v>
      </c>
      <c r="G962">
        <v>37345137</v>
      </c>
      <c r="H962">
        <v>3</v>
      </c>
      <c r="I962" t="s">
        <v>916</v>
      </c>
      <c r="J962" t="s">
        <v>3</v>
      </c>
      <c r="K962" t="s">
        <v>917</v>
      </c>
      <c r="L962">
        <v>1354</v>
      </c>
      <c r="N962">
        <v>1010</v>
      </c>
      <c r="O962" t="s">
        <v>250</v>
      </c>
      <c r="P962" t="s">
        <v>250</v>
      </c>
      <c r="Q962">
        <v>1</v>
      </c>
      <c r="W962">
        <v>0</v>
      </c>
      <c r="X962">
        <v>1044711563</v>
      </c>
      <c r="Y962">
        <f>AT962</f>
        <v>100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1</v>
      </c>
      <c r="AJ962">
        <v>1</v>
      </c>
      <c r="AK962">
        <v>1</v>
      </c>
      <c r="AL962">
        <v>1</v>
      </c>
      <c r="AN962">
        <v>0</v>
      </c>
      <c r="AO962">
        <v>0</v>
      </c>
      <c r="AP962">
        <v>0</v>
      </c>
      <c r="AQ962">
        <v>0</v>
      </c>
      <c r="AR962">
        <v>0</v>
      </c>
      <c r="AS962" t="s">
        <v>3</v>
      </c>
      <c r="AT962">
        <v>100</v>
      </c>
      <c r="AU962" t="s">
        <v>3</v>
      </c>
      <c r="AV962">
        <v>0</v>
      </c>
      <c r="AW962">
        <v>1</v>
      </c>
      <c r="AX962">
        <v>-1</v>
      </c>
      <c r="AY962">
        <v>0</v>
      </c>
      <c r="AZ962">
        <v>0</v>
      </c>
      <c r="BA962" t="s">
        <v>3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0</v>
      </c>
      <c r="BJ962">
        <v>0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0</v>
      </c>
      <c r="BQ962">
        <v>0</v>
      </c>
      <c r="BR962">
        <v>0</v>
      </c>
      <c r="BS962">
        <v>0</v>
      </c>
      <c r="BT962">
        <v>0</v>
      </c>
      <c r="BU962">
        <v>0</v>
      </c>
      <c r="BV962">
        <v>0</v>
      </c>
      <c r="BW962">
        <v>0</v>
      </c>
      <c r="CX962">
        <f>ROUND(Y962*Source!I1127,9)</f>
        <v>3</v>
      </c>
      <c r="CY962">
        <f>AA962</f>
        <v>0</v>
      </c>
      <c r="CZ962">
        <f>AE962</f>
        <v>0</v>
      </c>
      <c r="DA962">
        <f>AI962</f>
        <v>1</v>
      </c>
      <c r="DB962">
        <f>ROUND(ROUND(AT962*CZ962,2),6)</f>
        <v>0</v>
      </c>
      <c r="DC962">
        <f>ROUND(ROUND(AT962*AG962,2),6)</f>
        <v>0</v>
      </c>
      <c r="DD962" t="s">
        <v>3</v>
      </c>
      <c r="DE962" t="s">
        <v>3</v>
      </c>
      <c r="DF962">
        <f t="shared" si="476"/>
        <v>0</v>
      </c>
      <c r="DG962">
        <f t="shared" si="457"/>
        <v>0</v>
      </c>
      <c r="DH962">
        <f t="shared" si="458"/>
        <v>0</v>
      </c>
      <c r="DI962">
        <f t="shared" si="477"/>
        <v>0</v>
      </c>
      <c r="DJ962">
        <f>DF962</f>
        <v>0</v>
      </c>
      <c r="DK962">
        <v>0</v>
      </c>
    </row>
    <row r="963" spans="1:115" x14ac:dyDescent="0.2">
      <c r="A963">
        <f>ROW(Source!A1127)</f>
        <v>1127</v>
      </c>
      <c r="B963">
        <v>129761636</v>
      </c>
      <c r="C963">
        <v>129764337</v>
      </c>
      <c r="D963">
        <v>0</v>
      </c>
      <c r="E963">
        <v>1</v>
      </c>
      <c r="F963">
        <v>1</v>
      </c>
      <c r="G963">
        <v>37345137</v>
      </c>
      <c r="H963">
        <v>3</v>
      </c>
      <c r="I963" t="s">
        <v>918</v>
      </c>
      <c r="J963" t="s">
        <v>3</v>
      </c>
      <c r="K963" t="s">
        <v>919</v>
      </c>
      <c r="L963">
        <v>1354</v>
      </c>
      <c r="N963">
        <v>1010</v>
      </c>
      <c r="O963" t="s">
        <v>250</v>
      </c>
      <c r="P963" t="s">
        <v>250</v>
      </c>
      <c r="Q963">
        <v>1</v>
      </c>
      <c r="W963">
        <v>0</v>
      </c>
      <c r="X963">
        <v>1633249833</v>
      </c>
      <c r="Y963">
        <f>AT963</f>
        <v>33.333333000000003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1</v>
      </c>
      <c r="AJ963">
        <v>1</v>
      </c>
      <c r="AK963">
        <v>1</v>
      </c>
      <c r="AL963">
        <v>1</v>
      </c>
      <c r="AN963">
        <v>0</v>
      </c>
      <c r="AO963">
        <v>0</v>
      </c>
      <c r="AP963">
        <v>0</v>
      </c>
      <c r="AQ963">
        <v>0</v>
      </c>
      <c r="AR963">
        <v>0</v>
      </c>
      <c r="AS963" t="s">
        <v>3</v>
      </c>
      <c r="AT963">
        <v>33.333333000000003</v>
      </c>
      <c r="AU963" t="s">
        <v>3</v>
      </c>
      <c r="AV963">
        <v>0</v>
      </c>
      <c r="AW963">
        <v>1</v>
      </c>
      <c r="AX963">
        <v>-1</v>
      </c>
      <c r="AY963">
        <v>0</v>
      </c>
      <c r="AZ963">
        <v>0</v>
      </c>
      <c r="BA963" t="s">
        <v>3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0</v>
      </c>
      <c r="BR963">
        <v>0</v>
      </c>
      <c r="BS963">
        <v>0</v>
      </c>
      <c r="BT963">
        <v>0</v>
      </c>
      <c r="BU963">
        <v>0</v>
      </c>
      <c r="BV963">
        <v>0</v>
      </c>
      <c r="BW963">
        <v>0</v>
      </c>
      <c r="CX963">
        <f>ROUND(Y963*Source!I1127,9)</f>
        <v>0.99999998999999995</v>
      </c>
      <c r="CY963">
        <f>AA963</f>
        <v>0</v>
      </c>
      <c r="CZ963">
        <f>AE963</f>
        <v>0</v>
      </c>
      <c r="DA963">
        <f>AI963</f>
        <v>1</v>
      </c>
      <c r="DB963">
        <f>ROUND(ROUND(AT963*CZ963,2),6)</f>
        <v>0</v>
      </c>
      <c r="DC963">
        <f>ROUND(ROUND(AT963*AG963,2),6)</f>
        <v>0</v>
      </c>
      <c r="DD963" t="s">
        <v>3</v>
      </c>
      <c r="DE963" t="s">
        <v>3</v>
      </c>
      <c r="DF963">
        <f t="shared" si="476"/>
        <v>0</v>
      </c>
      <c r="DG963">
        <f t="shared" si="457"/>
        <v>0</v>
      </c>
      <c r="DH963">
        <f t="shared" si="458"/>
        <v>0</v>
      </c>
      <c r="DI963">
        <f t="shared" si="477"/>
        <v>0</v>
      </c>
      <c r="DJ963">
        <f>DF963</f>
        <v>0</v>
      </c>
      <c r="DK963">
        <v>0</v>
      </c>
    </row>
    <row r="964" spans="1:115" x14ac:dyDescent="0.2">
      <c r="A964">
        <f>ROW(Source!A1127)</f>
        <v>1127</v>
      </c>
      <c r="B964">
        <v>129761636</v>
      </c>
      <c r="C964">
        <v>129764337</v>
      </c>
      <c r="D964">
        <v>37367082</v>
      </c>
      <c r="E964">
        <v>37345137</v>
      </c>
      <c r="F964">
        <v>1</v>
      </c>
      <c r="G964">
        <v>37345137</v>
      </c>
      <c r="H964">
        <v>3</v>
      </c>
      <c r="I964" t="s">
        <v>1136</v>
      </c>
      <c r="J964" t="s">
        <v>3</v>
      </c>
      <c r="K964" t="s">
        <v>1137</v>
      </c>
      <c r="L964">
        <v>1344</v>
      </c>
      <c r="N964">
        <v>1008</v>
      </c>
      <c r="O964" t="s">
        <v>1138</v>
      </c>
      <c r="P964" t="s">
        <v>1138</v>
      </c>
      <c r="Q964">
        <v>1</v>
      </c>
      <c r="W964">
        <v>0</v>
      </c>
      <c r="X964">
        <v>-94250534</v>
      </c>
      <c r="Y964">
        <f>AT964</f>
        <v>189.21</v>
      </c>
      <c r="AA964">
        <v>1</v>
      </c>
      <c r="AB964">
        <v>0</v>
      </c>
      <c r="AC964">
        <v>0</v>
      </c>
      <c r="AD964">
        <v>0</v>
      </c>
      <c r="AE964">
        <v>1</v>
      </c>
      <c r="AF964">
        <v>0</v>
      </c>
      <c r="AG964">
        <v>0</v>
      </c>
      <c r="AH964">
        <v>0</v>
      </c>
      <c r="AI964">
        <v>1</v>
      </c>
      <c r="AJ964">
        <v>1</v>
      </c>
      <c r="AK964">
        <v>1</v>
      </c>
      <c r="AL964">
        <v>1</v>
      </c>
      <c r="AN964">
        <v>0</v>
      </c>
      <c r="AO964">
        <v>1</v>
      </c>
      <c r="AP964">
        <v>0</v>
      </c>
      <c r="AQ964">
        <v>0</v>
      </c>
      <c r="AR964">
        <v>0</v>
      </c>
      <c r="AS964" t="s">
        <v>3</v>
      </c>
      <c r="AT964">
        <v>189.21</v>
      </c>
      <c r="AU964" t="s">
        <v>3</v>
      </c>
      <c r="AV964">
        <v>0</v>
      </c>
      <c r="AW964">
        <v>2</v>
      </c>
      <c r="AX964">
        <v>129764350</v>
      </c>
      <c r="AY964">
        <v>1</v>
      </c>
      <c r="AZ964">
        <v>0</v>
      </c>
      <c r="BA964">
        <v>938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0</v>
      </c>
      <c r="BO964">
        <v>0</v>
      </c>
      <c r="BP964">
        <v>0</v>
      </c>
      <c r="BQ964">
        <v>0</v>
      </c>
      <c r="BR964">
        <v>0</v>
      </c>
      <c r="BS964">
        <v>0</v>
      </c>
      <c r="BT964">
        <v>0</v>
      </c>
      <c r="BU964">
        <v>0</v>
      </c>
      <c r="BV964">
        <v>0</v>
      </c>
      <c r="BW964">
        <v>0</v>
      </c>
      <c r="CX964">
        <f>ROUND(Y964*Source!I1127,9)</f>
        <v>5.6763000000000003</v>
      </c>
      <c r="CY964">
        <f>AA964</f>
        <v>1</v>
      </c>
      <c r="CZ964">
        <f>AE964</f>
        <v>1</v>
      </c>
      <c r="DA964">
        <f>AI964</f>
        <v>1</v>
      </c>
      <c r="DB964">
        <f>ROUND(ROUND(AT964*CZ964,2),6)</f>
        <v>189.21</v>
      </c>
      <c r="DC964">
        <f>ROUND(ROUND(AT964*AG964,2),6)</f>
        <v>0</v>
      </c>
      <c r="DD964" t="s">
        <v>3</v>
      </c>
      <c r="DE964" t="s">
        <v>3</v>
      </c>
      <c r="DF964">
        <f t="shared" si="476"/>
        <v>5.68</v>
      </c>
      <c r="DG964">
        <f t="shared" si="457"/>
        <v>0</v>
      </c>
      <c r="DH964">
        <f t="shared" si="458"/>
        <v>0</v>
      </c>
      <c r="DI964">
        <f t="shared" si="477"/>
        <v>0</v>
      </c>
      <c r="DJ964">
        <f>DF964</f>
        <v>5.68</v>
      </c>
      <c r="DK964">
        <v>0</v>
      </c>
    </row>
    <row r="965" spans="1:115" x14ac:dyDescent="0.2">
      <c r="A965">
        <f>ROW(Source!A1127)</f>
        <v>1127</v>
      </c>
      <c r="B965">
        <v>129761636</v>
      </c>
      <c r="C965">
        <v>129764337</v>
      </c>
      <c r="D965">
        <v>0</v>
      </c>
      <c r="E965">
        <v>1</v>
      </c>
      <c r="F965">
        <v>1</v>
      </c>
      <c r="G965">
        <v>37345137</v>
      </c>
      <c r="H965">
        <v>3</v>
      </c>
      <c r="I965" t="s">
        <v>248</v>
      </c>
      <c r="J965" t="s">
        <v>3</v>
      </c>
      <c r="K965" t="s">
        <v>920</v>
      </c>
      <c r="L965">
        <v>1354</v>
      </c>
      <c r="N965">
        <v>1010</v>
      </c>
      <c r="O965" t="s">
        <v>250</v>
      </c>
      <c r="P965" t="s">
        <v>250</v>
      </c>
      <c r="Q965">
        <v>1</v>
      </c>
      <c r="W965">
        <v>0</v>
      </c>
      <c r="X965">
        <v>-606886621</v>
      </c>
      <c r="Y965">
        <f>AT965</f>
        <v>200</v>
      </c>
      <c r="AA965">
        <v>4.72</v>
      </c>
      <c r="AB965">
        <v>0</v>
      </c>
      <c r="AC965">
        <v>0</v>
      </c>
      <c r="AD965">
        <v>0</v>
      </c>
      <c r="AE965">
        <v>4.72</v>
      </c>
      <c r="AF965">
        <v>0</v>
      </c>
      <c r="AG965">
        <v>0</v>
      </c>
      <c r="AH965">
        <v>0</v>
      </c>
      <c r="AI965">
        <v>1</v>
      </c>
      <c r="AJ965">
        <v>1</v>
      </c>
      <c r="AK965">
        <v>1</v>
      </c>
      <c r="AL965">
        <v>1</v>
      </c>
      <c r="AN965">
        <v>0</v>
      </c>
      <c r="AO965">
        <v>0</v>
      </c>
      <c r="AP965">
        <v>0</v>
      </c>
      <c r="AQ965">
        <v>0</v>
      </c>
      <c r="AR965">
        <v>0</v>
      </c>
      <c r="AS965" t="s">
        <v>3</v>
      </c>
      <c r="AT965">
        <v>200</v>
      </c>
      <c r="AU965" t="s">
        <v>3</v>
      </c>
      <c r="AV965">
        <v>0</v>
      </c>
      <c r="AW965">
        <v>1</v>
      </c>
      <c r="AX965">
        <v>-1</v>
      </c>
      <c r="AY965">
        <v>0</v>
      </c>
      <c r="AZ965">
        <v>0</v>
      </c>
      <c r="BA965" t="s">
        <v>3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0</v>
      </c>
      <c r="BK965">
        <v>0</v>
      </c>
      <c r="BL965">
        <v>0</v>
      </c>
      <c r="BM965">
        <v>0</v>
      </c>
      <c r="BN965">
        <v>0</v>
      </c>
      <c r="BO965">
        <v>0</v>
      </c>
      <c r="BP965">
        <v>0</v>
      </c>
      <c r="BQ965">
        <v>0</v>
      </c>
      <c r="BR965">
        <v>0</v>
      </c>
      <c r="BS965">
        <v>0</v>
      </c>
      <c r="BT965">
        <v>0</v>
      </c>
      <c r="BU965">
        <v>0</v>
      </c>
      <c r="BV965">
        <v>0</v>
      </c>
      <c r="BW965">
        <v>0</v>
      </c>
      <c r="CX965">
        <f>ROUND(Y965*Source!I1127,9)</f>
        <v>6</v>
      </c>
      <c r="CY965">
        <f>AA965</f>
        <v>4.72</v>
      </c>
      <c r="CZ965">
        <f>AE965</f>
        <v>4.72</v>
      </c>
      <c r="DA965">
        <f>AI965</f>
        <v>1</v>
      </c>
      <c r="DB965">
        <f>ROUND(ROUND(AT965*CZ965,2),6)</f>
        <v>944</v>
      </c>
      <c r="DC965">
        <f>ROUND(ROUND(AT965*AG965,2),6)</f>
        <v>0</v>
      </c>
      <c r="DD965" t="s">
        <v>3</v>
      </c>
      <c r="DE965" t="s">
        <v>3</v>
      </c>
      <c r="DF965">
        <f t="shared" si="476"/>
        <v>28.32</v>
      </c>
      <c r="DG965">
        <f t="shared" si="457"/>
        <v>0</v>
      </c>
      <c r="DH965">
        <f t="shared" si="458"/>
        <v>0</v>
      </c>
      <c r="DI965">
        <f t="shared" si="477"/>
        <v>0</v>
      </c>
      <c r="DJ965">
        <f>DF965</f>
        <v>28.32</v>
      </c>
      <c r="DK965">
        <v>0</v>
      </c>
    </row>
    <row r="966" spans="1:115" x14ac:dyDescent="0.2">
      <c r="A966">
        <f>ROW(Source!A1128)</f>
        <v>1128</v>
      </c>
      <c r="B966">
        <v>129761633</v>
      </c>
      <c r="C966">
        <v>129764337</v>
      </c>
      <c r="D966">
        <v>37345142</v>
      </c>
      <c r="E966">
        <v>37345137</v>
      </c>
      <c r="F966">
        <v>1</v>
      </c>
      <c r="G966">
        <v>37345137</v>
      </c>
      <c r="H966">
        <v>1</v>
      </c>
      <c r="I966" t="s">
        <v>1096</v>
      </c>
      <c r="J966" t="s">
        <v>3</v>
      </c>
      <c r="K966" t="s">
        <v>1097</v>
      </c>
      <c r="L966">
        <v>1191</v>
      </c>
      <c r="N966">
        <v>1013</v>
      </c>
      <c r="O966" t="s">
        <v>1098</v>
      </c>
      <c r="P966" t="s">
        <v>1098</v>
      </c>
      <c r="Q966">
        <v>1</v>
      </c>
      <c r="W966">
        <v>0</v>
      </c>
      <c r="X966">
        <v>476480486</v>
      </c>
      <c r="Y966">
        <f>(AT966*1.15)</f>
        <v>67.16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1</v>
      </c>
      <c r="AJ966">
        <v>1</v>
      </c>
      <c r="AK966">
        <v>1</v>
      </c>
      <c r="AL966">
        <v>1</v>
      </c>
      <c r="AN966">
        <v>0</v>
      </c>
      <c r="AO966">
        <v>1</v>
      </c>
      <c r="AP966">
        <v>1</v>
      </c>
      <c r="AQ966">
        <v>0</v>
      </c>
      <c r="AR966">
        <v>0</v>
      </c>
      <c r="AS966" t="s">
        <v>3</v>
      </c>
      <c r="AT966">
        <v>58.4</v>
      </c>
      <c r="AU966" t="s">
        <v>87</v>
      </c>
      <c r="AV966">
        <v>1</v>
      </c>
      <c r="AW966">
        <v>2</v>
      </c>
      <c r="AX966">
        <v>129764345</v>
      </c>
      <c r="AY966">
        <v>1</v>
      </c>
      <c r="AZ966">
        <v>0</v>
      </c>
      <c r="BA966">
        <v>939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0</v>
      </c>
      <c r="BK966">
        <v>0</v>
      </c>
      <c r="BL966">
        <v>0</v>
      </c>
      <c r="BM966">
        <v>0</v>
      </c>
      <c r="BN966">
        <v>0</v>
      </c>
      <c r="BO966">
        <v>0</v>
      </c>
      <c r="BP966">
        <v>0</v>
      </c>
      <c r="BQ966">
        <v>0</v>
      </c>
      <c r="BR966">
        <v>0</v>
      </c>
      <c r="BS966">
        <v>0</v>
      </c>
      <c r="BT966">
        <v>0</v>
      </c>
      <c r="BU966">
        <v>0</v>
      </c>
      <c r="BV966">
        <v>0</v>
      </c>
      <c r="BW966">
        <v>0</v>
      </c>
      <c r="CX966">
        <f>ROUND(Y966*Source!I1128,9)</f>
        <v>2.0148000000000001</v>
      </c>
      <c r="CY966">
        <f>AD966</f>
        <v>0</v>
      </c>
      <c r="CZ966">
        <f>AH966</f>
        <v>0</v>
      </c>
      <c r="DA966">
        <f>AL966</f>
        <v>1</v>
      </c>
      <c r="DB966">
        <f>ROUND((ROUND(AT966*CZ966,2)*1.15),6)</f>
        <v>0</v>
      </c>
      <c r="DC966">
        <f>ROUND((ROUND(AT966*AG966,2)*1.15),6)</f>
        <v>0</v>
      </c>
      <c r="DD966" t="s">
        <v>3</v>
      </c>
      <c r="DE966" t="s">
        <v>3</v>
      </c>
      <c r="DF966">
        <f t="shared" si="476"/>
        <v>0</v>
      </c>
      <c r="DG966">
        <f t="shared" si="457"/>
        <v>0</v>
      </c>
      <c r="DH966">
        <f t="shared" si="458"/>
        <v>0</v>
      </c>
      <c r="DI966">
        <f t="shared" si="477"/>
        <v>0</v>
      </c>
      <c r="DJ966">
        <f>DI966</f>
        <v>0</v>
      </c>
      <c r="DK966">
        <v>0</v>
      </c>
    </row>
    <row r="967" spans="1:115" x14ac:dyDescent="0.2">
      <c r="A967">
        <f>ROW(Source!A1128)</f>
        <v>1128</v>
      </c>
      <c r="B967">
        <v>129761633</v>
      </c>
      <c r="C967">
        <v>129764337</v>
      </c>
      <c r="D967">
        <v>37345890</v>
      </c>
      <c r="E967">
        <v>37345137</v>
      </c>
      <c r="F967">
        <v>1</v>
      </c>
      <c r="G967">
        <v>37345137</v>
      </c>
      <c r="H967">
        <v>2</v>
      </c>
      <c r="I967" t="s">
        <v>1145</v>
      </c>
      <c r="J967" t="s">
        <v>3</v>
      </c>
      <c r="K967" t="s">
        <v>1146</v>
      </c>
      <c r="L967">
        <v>1344</v>
      </c>
      <c r="N967">
        <v>1008</v>
      </c>
      <c r="O967" t="s">
        <v>1138</v>
      </c>
      <c r="P967" t="s">
        <v>1138</v>
      </c>
      <c r="Q967">
        <v>1</v>
      </c>
      <c r="W967">
        <v>0</v>
      </c>
      <c r="X967">
        <v>-1180195794</v>
      </c>
      <c r="Y967">
        <f>(AT967*1.25)</f>
        <v>10.5875</v>
      </c>
      <c r="AA967">
        <v>0</v>
      </c>
      <c r="AB967">
        <v>1.07</v>
      </c>
      <c r="AC967">
        <v>0</v>
      </c>
      <c r="AD967">
        <v>0</v>
      </c>
      <c r="AE967">
        <v>0</v>
      </c>
      <c r="AF967">
        <v>1</v>
      </c>
      <c r="AG967">
        <v>0</v>
      </c>
      <c r="AH967">
        <v>0</v>
      </c>
      <c r="AI967">
        <v>1</v>
      </c>
      <c r="AJ967">
        <v>1</v>
      </c>
      <c r="AK967">
        <v>1</v>
      </c>
      <c r="AL967">
        <v>1</v>
      </c>
      <c r="AN967">
        <v>0</v>
      </c>
      <c r="AO967">
        <v>1</v>
      </c>
      <c r="AP967">
        <v>1</v>
      </c>
      <c r="AQ967">
        <v>0</v>
      </c>
      <c r="AR967">
        <v>0</v>
      </c>
      <c r="AS967" t="s">
        <v>3</v>
      </c>
      <c r="AT967">
        <v>8.4700000000000006</v>
      </c>
      <c r="AU967" t="s">
        <v>86</v>
      </c>
      <c r="AV967">
        <v>0</v>
      </c>
      <c r="AW967">
        <v>2</v>
      </c>
      <c r="AX967">
        <v>129764346</v>
      </c>
      <c r="AY967">
        <v>1</v>
      </c>
      <c r="AZ967">
        <v>0</v>
      </c>
      <c r="BA967">
        <v>940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0</v>
      </c>
      <c r="BR967">
        <v>0</v>
      </c>
      <c r="BS967">
        <v>0</v>
      </c>
      <c r="BT967">
        <v>0</v>
      </c>
      <c r="BU967">
        <v>0</v>
      </c>
      <c r="BV967">
        <v>0</v>
      </c>
      <c r="BW967">
        <v>0</v>
      </c>
      <c r="CX967">
        <f>ROUND(Y967*Source!I1128,9)</f>
        <v>0.31762499999999999</v>
      </c>
      <c r="CY967">
        <f>AB967</f>
        <v>1.07</v>
      </c>
      <c r="CZ967">
        <f>AF967</f>
        <v>1</v>
      </c>
      <c r="DA967">
        <f>AJ967</f>
        <v>1</v>
      </c>
      <c r="DB967">
        <f>ROUND((ROUND(AT967*CZ967,2)*1.25),6)</f>
        <v>10.5875</v>
      </c>
      <c r="DC967">
        <f>ROUND((ROUND(AT967*AG967,2)*1.25),6)</f>
        <v>0</v>
      </c>
      <c r="DD967" t="s">
        <v>3</v>
      </c>
      <c r="DE967" t="s">
        <v>3</v>
      </c>
      <c r="DF967">
        <f t="shared" si="476"/>
        <v>0</v>
      </c>
      <c r="DG967">
        <f t="shared" si="457"/>
        <v>0.32</v>
      </c>
      <c r="DH967">
        <f t="shared" si="458"/>
        <v>0</v>
      </c>
      <c r="DI967">
        <f t="shared" si="477"/>
        <v>0</v>
      </c>
      <c r="DJ967">
        <f>DG967</f>
        <v>0.32</v>
      </c>
      <c r="DK967">
        <v>0</v>
      </c>
    </row>
    <row r="968" spans="1:115" x14ac:dyDescent="0.2">
      <c r="A968">
        <f>ROW(Source!A1128)</f>
        <v>1128</v>
      </c>
      <c r="B968">
        <v>129761633</v>
      </c>
      <c r="C968">
        <v>129764337</v>
      </c>
      <c r="D968">
        <v>37398757</v>
      </c>
      <c r="E968">
        <v>1</v>
      </c>
      <c r="F968">
        <v>1</v>
      </c>
      <c r="G968">
        <v>37345137</v>
      </c>
      <c r="H968">
        <v>3</v>
      </c>
      <c r="I968" t="s">
        <v>913</v>
      </c>
      <c r="J968" t="s">
        <v>915</v>
      </c>
      <c r="K968" t="s">
        <v>914</v>
      </c>
      <c r="L968">
        <v>1301</v>
      </c>
      <c r="N968">
        <v>1003</v>
      </c>
      <c r="O968" t="s">
        <v>270</v>
      </c>
      <c r="P968" t="s">
        <v>270</v>
      </c>
      <c r="Q968">
        <v>1</v>
      </c>
      <c r="W968">
        <v>0</v>
      </c>
      <c r="X968">
        <v>-2135944692</v>
      </c>
      <c r="Y968">
        <f>AT968</f>
        <v>99.8</v>
      </c>
      <c r="AA968">
        <v>130.44999999999999</v>
      </c>
      <c r="AB968">
        <v>0</v>
      </c>
      <c r="AC968">
        <v>0</v>
      </c>
      <c r="AD968">
        <v>0</v>
      </c>
      <c r="AE968">
        <v>16.45</v>
      </c>
      <c r="AF968">
        <v>0</v>
      </c>
      <c r="AG968">
        <v>0</v>
      </c>
      <c r="AH968">
        <v>0</v>
      </c>
      <c r="AI968">
        <v>7.93</v>
      </c>
      <c r="AJ968">
        <v>1</v>
      </c>
      <c r="AK968">
        <v>1</v>
      </c>
      <c r="AL968">
        <v>1</v>
      </c>
      <c r="AN968">
        <v>0</v>
      </c>
      <c r="AO968">
        <v>0</v>
      </c>
      <c r="AP968">
        <v>0</v>
      </c>
      <c r="AQ968">
        <v>0</v>
      </c>
      <c r="AR968">
        <v>0</v>
      </c>
      <c r="AS968" t="s">
        <v>3</v>
      </c>
      <c r="AT968">
        <v>99.8</v>
      </c>
      <c r="AU968" t="s">
        <v>3</v>
      </c>
      <c r="AV968">
        <v>0</v>
      </c>
      <c r="AW968">
        <v>1</v>
      </c>
      <c r="AX968">
        <v>-1</v>
      </c>
      <c r="AY968">
        <v>0</v>
      </c>
      <c r="AZ968">
        <v>0</v>
      </c>
      <c r="BA968" t="s">
        <v>3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0</v>
      </c>
      <c r="BJ968">
        <v>0</v>
      </c>
      <c r="BK968">
        <v>0</v>
      </c>
      <c r="BL968">
        <v>0</v>
      </c>
      <c r="BM968">
        <v>0</v>
      </c>
      <c r="BN968">
        <v>0</v>
      </c>
      <c r="BO968">
        <v>0</v>
      </c>
      <c r="BP968">
        <v>0</v>
      </c>
      <c r="BQ968">
        <v>0</v>
      </c>
      <c r="BR968">
        <v>0</v>
      </c>
      <c r="BS968">
        <v>0</v>
      </c>
      <c r="BT968">
        <v>0</v>
      </c>
      <c r="BU968">
        <v>0</v>
      </c>
      <c r="BV968">
        <v>0</v>
      </c>
      <c r="BW968">
        <v>0</v>
      </c>
      <c r="CX968">
        <f>ROUND(Y968*Source!I1128,9)</f>
        <v>2.9940000000000002</v>
      </c>
      <c r="CY968">
        <f>AA968</f>
        <v>130.44999999999999</v>
      </c>
      <c r="CZ968">
        <f>AE968</f>
        <v>16.45</v>
      </c>
      <c r="DA968">
        <f>AI968</f>
        <v>7.93</v>
      </c>
      <c r="DB968">
        <f>ROUND(ROUND(AT968*CZ968,2),6)</f>
        <v>1641.71</v>
      </c>
      <c r="DC968">
        <f>ROUND(ROUND(AT968*AG968,2),6)</f>
        <v>0</v>
      </c>
      <c r="DD968" t="s">
        <v>3</v>
      </c>
      <c r="DE968" t="s">
        <v>3</v>
      </c>
      <c r="DF968">
        <f>ROUND(ROUND(AE968*CX968,2)*AI968,2)</f>
        <v>390.55</v>
      </c>
      <c r="DG968">
        <f t="shared" ref="DG968:DG999" si="478">ROUND(AF968*CX968,2)</f>
        <v>0</v>
      </c>
      <c r="DH968">
        <f t="shared" ref="DH968:DH999" si="479">ROUND(AG968*CX968,2)</f>
        <v>0</v>
      </c>
      <c r="DI968">
        <f t="shared" si="477"/>
        <v>0</v>
      </c>
      <c r="DJ968">
        <f>DF968</f>
        <v>390.55</v>
      </c>
      <c r="DK968">
        <v>0</v>
      </c>
    </row>
    <row r="969" spans="1:115" x14ac:dyDescent="0.2">
      <c r="A969">
        <f>ROW(Source!A1128)</f>
        <v>1128</v>
      </c>
      <c r="B969">
        <v>129761633</v>
      </c>
      <c r="C969">
        <v>129764337</v>
      </c>
      <c r="D969">
        <v>0</v>
      </c>
      <c r="E969">
        <v>1</v>
      </c>
      <c r="F969">
        <v>1</v>
      </c>
      <c r="G969">
        <v>37345137</v>
      </c>
      <c r="H969">
        <v>3</v>
      </c>
      <c r="I969" t="s">
        <v>916</v>
      </c>
      <c r="J969" t="s">
        <v>3</v>
      </c>
      <c r="K969" t="s">
        <v>917</v>
      </c>
      <c r="L969">
        <v>1354</v>
      </c>
      <c r="N969">
        <v>1010</v>
      </c>
      <c r="O969" t="s">
        <v>250</v>
      </c>
      <c r="P969" t="s">
        <v>250</v>
      </c>
      <c r="Q969">
        <v>1</v>
      </c>
      <c r="W969">
        <v>0</v>
      </c>
      <c r="X969">
        <v>1044711563</v>
      </c>
      <c r="Y969">
        <f>AT969</f>
        <v>100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3.64</v>
      </c>
      <c r="AJ969">
        <v>1</v>
      </c>
      <c r="AK969">
        <v>1</v>
      </c>
      <c r="AL969">
        <v>1</v>
      </c>
      <c r="AN969">
        <v>0</v>
      </c>
      <c r="AO969">
        <v>0</v>
      </c>
      <c r="AP969">
        <v>0</v>
      </c>
      <c r="AQ969">
        <v>0</v>
      </c>
      <c r="AR969">
        <v>0</v>
      </c>
      <c r="AS969" t="s">
        <v>3</v>
      </c>
      <c r="AT969">
        <v>100</v>
      </c>
      <c r="AU969" t="s">
        <v>3</v>
      </c>
      <c r="AV969">
        <v>0</v>
      </c>
      <c r="AW969">
        <v>1</v>
      </c>
      <c r="AX969">
        <v>-1</v>
      </c>
      <c r="AY969">
        <v>0</v>
      </c>
      <c r="AZ969">
        <v>0</v>
      </c>
      <c r="BA969" t="s">
        <v>3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0</v>
      </c>
      <c r="BK969">
        <v>0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0</v>
      </c>
      <c r="BR969">
        <v>0</v>
      </c>
      <c r="BS969">
        <v>0</v>
      </c>
      <c r="BT969">
        <v>0</v>
      </c>
      <c r="BU969">
        <v>0</v>
      </c>
      <c r="BV969">
        <v>0</v>
      </c>
      <c r="BW969">
        <v>0</v>
      </c>
      <c r="CX969">
        <f>ROUND(Y969*Source!I1128,9)</f>
        <v>3</v>
      </c>
      <c r="CY969">
        <f>AA969</f>
        <v>0</v>
      </c>
      <c r="CZ969">
        <f>AE969</f>
        <v>0</v>
      </c>
      <c r="DA969">
        <f>AI969</f>
        <v>3.64</v>
      </c>
      <c r="DB969">
        <f>ROUND(ROUND(AT969*CZ969,2),6)</f>
        <v>0</v>
      </c>
      <c r="DC969">
        <f>ROUND(ROUND(AT969*AG969,2),6)</f>
        <v>0</v>
      </c>
      <c r="DD969" t="s">
        <v>3</v>
      </c>
      <c r="DE969" t="s">
        <v>3</v>
      </c>
      <c r="DF969">
        <f>ROUND(ROUND(AE969*CX969,2)*AI969,2)</f>
        <v>0</v>
      </c>
      <c r="DG969">
        <f t="shared" si="478"/>
        <v>0</v>
      </c>
      <c r="DH969">
        <f t="shared" si="479"/>
        <v>0</v>
      </c>
      <c r="DI969">
        <f t="shared" si="477"/>
        <v>0</v>
      </c>
      <c r="DJ969">
        <f>DF969</f>
        <v>0</v>
      </c>
      <c r="DK969">
        <v>2</v>
      </c>
    </row>
    <row r="970" spans="1:115" x14ac:dyDescent="0.2">
      <c r="A970">
        <f>ROW(Source!A1128)</f>
        <v>1128</v>
      </c>
      <c r="B970">
        <v>129761633</v>
      </c>
      <c r="C970">
        <v>129764337</v>
      </c>
      <c r="D970">
        <v>0</v>
      </c>
      <c r="E970">
        <v>1</v>
      </c>
      <c r="F970">
        <v>1</v>
      </c>
      <c r="G970">
        <v>37345137</v>
      </c>
      <c r="H970">
        <v>3</v>
      </c>
      <c r="I970" t="s">
        <v>918</v>
      </c>
      <c r="J970" t="s">
        <v>3</v>
      </c>
      <c r="K970" t="s">
        <v>919</v>
      </c>
      <c r="L970">
        <v>1354</v>
      </c>
      <c r="N970">
        <v>1010</v>
      </c>
      <c r="O970" t="s">
        <v>250</v>
      </c>
      <c r="P970" t="s">
        <v>250</v>
      </c>
      <c r="Q970">
        <v>1</v>
      </c>
      <c r="W970">
        <v>0</v>
      </c>
      <c r="X970">
        <v>1633249833</v>
      </c>
      <c r="Y970">
        <f>AT970</f>
        <v>33.333333000000003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4.09</v>
      </c>
      <c r="AJ970">
        <v>1</v>
      </c>
      <c r="AK970">
        <v>1</v>
      </c>
      <c r="AL970">
        <v>1</v>
      </c>
      <c r="AN970">
        <v>0</v>
      </c>
      <c r="AO970">
        <v>0</v>
      </c>
      <c r="AP970">
        <v>0</v>
      </c>
      <c r="AQ970">
        <v>0</v>
      </c>
      <c r="AR970">
        <v>0</v>
      </c>
      <c r="AS970" t="s">
        <v>3</v>
      </c>
      <c r="AT970">
        <v>33.333333000000003</v>
      </c>
      <c r="AU970" t="s">
        <v>3</v>
      </c>
      <c r="AV970">
        <v>0</v>
      </c>
      <c r="AW970">
        <v>1</v>
      </c>
      <c r="AX970">
        <v>-1</v>
      </c>
      <c r="AY970">
        <v>0</v>
      </c>
      <c r="AZ970">
        <v>0</v>
      </c>
      <c r="BA970" t="s">
        <v>3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  <c r="BO970">
        <v>0</v>
      </c>
      <c r="BP970">
        <v>0</v>
      </c>
      <c r="BQ970">
        <v>0</v>
      </c>
      <c r="BR970">
        <v>0</v>
      </c>
      <c r="BS970">
        <v>0</v>
      </c>
      <c r="BT970">
        <v>0</v>
      </c>
      <c r="BU970">
        <v>0</v>
      </c>
      <c r="BV970">
        <v>0</v>
      </c>
      <c r="BW970">
        <v>0</v>
      </c>
      <c r="CX970">
        <f>ROUND(Y970*Source!I1128,9)</f>
        <v>0.99999998999999995</v>
      </c>
      <c r="CY970">
        <f>AA970</f>
        <v>0</v>
      </c>
      <c r="CZ970">
        <f>AE970</f>
        <v>0</v>
      </c>
      <c r="DA970">
        <f>AI970</f>
        <v>4.09</v>
      </c>
      <c r="DB970">
        <f>ROUND(ROUND(AT970*CZ970,2),6)</f>
        <v>0</v>
      </c>
      <c r="DC970">
        <f>ROUND(ROUND(AT970*AG970,2),6)</f>
        <v>0</v>
      </c>
      <c r="DD970" t="s">
        <v>3</v>
      </c>
      <c r="DE970" t="s">
        <v>3</v>
      </c>
      <c r="DF970">
        <f>ROUND(ROUND(AE970*CX970,2)*AI970,2)</f>
        <v>0</v>
      </c>
      <c r="DG970">
        <f t="shared" si="478"/>
        <v>0</v>
      </c>
      <c r="DH970">
        <f t="shared" si="479"/>
        <v>0</v>
      </c>
      <c r="DI970">
        <f t="shared" si="477"/>
        <v>0</v>
      </c>
      <c r="DJ970">
        <f>DF970</f>
        <v>0</v>
      </c>
      <c r="DK970">
        <v>2</v>
      </c>
    </row>
    <row r="971" spans="1:115" x14ac:dyDescent="0.2">
      <c r="A971">
        <f>ROW(Source!A1128)</f>
        <v>1128</v>
      </c>
      <c r="B971">
        <v>129761633</v>
      </c>
      <c r="C971">
        <v>129764337</v>
      </c>
      <c r="D971">
        <v>37367082</v>
      </c>
      <c r="E971">
        <v>37345137</v>
      </c>
      <c r="F971">
        <v>1</v>
      </c>
      <c r="G971">
        <v>37345137</v>
      </c>
      <c r="H971">
        <v>3</v>
      </c>
      <c r="I971" t="s">
        <v>1136</v>
      </c>
      <c r="J971" t="s">
        <v>3</v>
      </c>
      <c r="K971" t="s">
        <v>1137</v>
      </c>
      <c r="L971">
        <v>1344</v>
      </c>
      <c r="N971">
        <v>1008</v>
      </c>
      <c r="O971" t="s">
        <v>1138</v>
      </c>
      <c r="P971" t="s">
        <v>1138</v>
      </c>
      <c r="Q971">
        <v>1</v>
      </c>
      <c r="W971">
        <v>0</v>
      </c>
      <c r="X971">
        <v>-94250534</v>
      </c>
      <c r="Y971">
        <f>AT971</f>
        <v>189.21</v>
      </c>
      <c r="AA971">
        <v>8.65</v>
      </c>
      <c r="AB971">
        <v>0</v>
      </c>
      <c r="AC971">
        <v>0</v>
      </c>
      <c r="AD971">
        <v>0</v>
      </c>
      <c r="AE971">
        <v>1</v>
      </c>
      <c r="AF971">
        <v>0</v>
      </c>
      <c r="AG971">
        <v>0</v>
      </c>
      <c r="AH971">
        <v>0</v>
      </c>
      <c r="AI971">
        <v>8.65</v>
      </c>
      <c r="AJ971">
        <v>1</v>
      </c>
      <c r="AK971">
        <v>1</v>
      </c>
      <c r="AL971">
        <v>1</v>
      </c>
      <c r="AN971">
        <v>0</v>
      </c>
      <c r="AO971">
        <v>1</v>
      </c>
      <c r="AP971">
        <v>0</v>
      </c>
      <c r="AQ971">
        <v>0</v>
      </c>
      <c r="AR971">
        <v>0</v>
      </c>
      <c r="AS971" t="s">
        <v>3</v>
      </c>
      <c r="AT971">
        <v>189.21</v>
      </c>
      <c r="AU971" t="s">
        <v>3</v>
      </c>
      <c r="AV971">
        <v>0</v>
      </c>
      <c r="AW971">
        <v>2</v>
      </c>
      <c r="AX971">
        <v>129764350</v>
      </c>
      <c r="AY971">
        <v>1</v>
      </c>
      <c r="AZ971">
        <v>0</v>
      </c>
      <c r="BA971">
        <v>944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0</v>
      </c>
      <c r="BR971">
        <v>0</v>
      </c>
      <c r="BS971">
        <v>0</v>
      </c>
      <c r="BT971">
        <v>0</v>
      </c>
      <c r="BU971">
        <v>0</v>
      </c>
      <c r="BV971">
        <v>0</v>
      </c>
      <c r="BW971">
        <v>0</v>
      </c>
      <c r="CX971">
        <f>ROUND(Y971*Source!I1128,9)</f>
        <v>5.6763000000000003</v>
      </c>
      <c r="CY971">
        <f>AA971</f>
        <v>8.65</v>
      </c>
      <c r="CZ971">
        <f>AE971</f>
        <v>1</v>
      </c>
      <c r="DA971">
        <f>AI971</f>
        <v>8.65</v>
      </c>
      <c r="DB971">
        <f>ROUND(ROUND(AT971*CZ971,2),6)</f>
        <v>189.21</v>
      </c>
      <c r="DC971">
        <f>ROUND(ROUND(AT971*AG971,2),6)</f>
        <v>0</v>
      </c>
      <c r="DD971" t="s">
        <v>3</v>
      </c>
      <c r="DE971" t="s">
        <v>3</v>
      </c>
      <c r="DF971">
        <f>ROUND(ROUND(AE971*CX971,2)*AI971,2)</f>
        <v>49.13</v>
      </c>
      <c r="DG971">
        <f t="shared" si="478"/>
        <v>0</v>
      </c>
      <c r="DH971">
        <f t="shared" si="479"/>
        <v>0</v>
      </c>
      <c r="DI971">
        <f t="shared" si="477"/>
        <v>0</v>
      </c>
      <c r="DJ971">
        <f>DF971</f>
        <v>49.13</v>
      </c>
      <c r="DK971">
        <v>0</v>
      </c>
    </row>
    <row r="972" spans="1:115" x14ac:dyDescent="0.2">
      <c r="A972">
        <f>ROW(Source!A1128)</f>
        <v>1128</v>
      </c>
      <c r="B972">
        <v>129761633</v>
      </c>
      <c r="C972">
        <v>129764337</v>
      </c>
      <c r="D972">
        <v>0</v>
      </c>
      <c r="E972">
        <v>1</v>
      </c>
      <c r="F972">
        <v>1</v>
      </c>
      <c r="G972">
        <v>37345137</v>
      </c>
      <c r="H972">
        <v>3</v>
      </c>
      <c r="I972" t="s">
        <v>248</v>
      </c>
      <c r="J972" t="s">
        <v>3</v>
      </c>
      <c r="K972" t="s">
        <v>920</v>
      </c>
      <c r="L972">
        <v>1354</v>
      </c>
      <c r="N972">
        <v>1010</v>
      </c>
      <c r="O972" t="s">
        <v>250</v>
      </c>
      <c r="P972" t="s">
        <v>250</v>
      </c>
      <c r="Q972">
        <v>1</v>
      </c>
      <c r="W972">
        <v>0</v>
      </c>
      <c r="X972">
        <v>-606886621</v>
      </c>
      <c r="Y972">
        <f>AT972</f>
        <v>200</v>
      </c>
      <c r="AA972">
        <v>31.31</v>
      </c>
      <c r="AB972">
        <v>0</v>
      </c>
      <c r="AC972">
        <v>0</v>
      </c>
      <c r="AD972">
        <v>0</v>
      </c>
      <c r="AE972">
        <v>3.6199999999999997</v>
      </c>
      <c r="AF972">
        <v>0</v>
      </c>
      <c r="AG972">
        <v>0</v>
      </c>
      <c r="AH972">
        <v>0</v>
      </c>
      <c r="AI972">
        <v>8.65</v>
      </c>
      <c r="AJ972">
        <v>1</v>
      </c>
      <c r="AK972">
        <v>1</v>
      </c>
      <c r="AL972">
        <v>1</v>
      </c>
      <c r="AN972">
        <v>0</v>
      </c>
      <c r="AO972">
        <v>0</v>
      </c>
      <c r="AP972">
        <v>0</v>
      </c>
      <c r="AQ972">
        <v>0</v>
      </c>
      <c r="AR972">
        <v>0</v>
      </c>
      <c r="AS972" t="s">
        <v>3</v>
      </c>
      <c r="AT972">
        <v>200</v>
      </c>
      <c r="AU972" t="s">
        <v>3</v>
      </c>
      <c r="AV972">
        <v>0</v>
      </c>
      <c r="AW972">
        <v>1</v>
      </c>
      <c r="AX972">
        <v>-1</v>
      </c>
      <c r="AY972">
        <v>0</v>
      </c>
      <c r="AZ972">
        <v>0</v>
      </c>
      <c r="BA972" t="s">
        <v>3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0</v>
      </c>
      <c r="BR972">
        <v>0</v>
      </c>
      <c r="BS972">
        <v>0</v>
      </c>
      <c r="BT972">
        <v>0</v>
      </c>
      <c r="BU972">
        <v>0</v>
      </c>
      <c r="BV972">
        <v>0</v>
      </c>
      <c r="BW972">
        <v>0</v>
      </c>
      <c r="CX972">
        <f>ROUND(Y972*Source!I1128,9)</f>
        <v>6</v>
      </c>
      <c r="CY972">
        <f>AA972</f>
        <v>31.31</v>
      </c>
      <c r="CZ972">
        <f>AE972</f>
        <v>3.6199999999999997</v>
      </c>
      <c r="DA972">
        <f>AI972</f>
        <v>8.65</v>
      </c>
      <c r="DB972">
        <f>ROUND(ROUND(AT972*CZ972,2),6)</f>
        <v>724</v>
      </c>
      <c r="DC972">
        <f>ROUND(ROUND(AT972*AG972,2),6)</f>
        <v>0</v>
      </c>
      <c r="DD972" t="s">
        <v>3</v>
      </c>
      <c r="DE972" t="s">
        <v>3</v>
      </c>
      <c r="DF972">
        <f>ROUND(ROUND(AE972*CX972,2)*AI972,2)</f>
        <v>187.88</v>
      </c>
      <c r="DG972">
        <f t="shared" si="478"/>
        <v>0</v>
      </c>
      <c r="DH972">
        <f t="shared" si="479"/>
        <v>0</v>
      </c>
      <c r="DI972">
        <f t="shared" si="477"/>
        <v>0</v>
      </c>
      <c r="DJ972">
        <f>DF972</f>
        <v>187.88</v>
      </c>
      <c r="DK972">
        <v>0</v>
      </c>
    </row>
    <row r="973" spans="1:115" x14ac:dyDescent="0.2">
      <c r="A973">
        <f>ROW(Source!A1137)</f>
        <v>1137</v>
      </c>
      <c r="B973">
        <v>129761636</v>
      </c>
      <c r="C973">
        <v>129764355</v>
      </c>
      <c r="D973">
        <v>37345142</v>
      </c>
      <c r="E973">
        <v>37345137</v>
      </c>
      <c r="F973">
        <v>1</v>
      </c>
      <c r="G973">
        <v>37345137</v>
      </c>
      <c r="H973">
        <v>1</v>
      </c>
      <c r="I973" t="s">
        <v>1096</v>
      </c>
      <c r="J973" t="s">
        <v>3</v>
      </c>
      <c r="K973" t="s">
        <v>1097</v>
      </c>
      <c r="L973">
        <v>1191</v>
      </c>
      <c r="N973">
        <v>1013</v>
      </c>
      <c r="O973" t="s">
        <v>1098</v>
      </c>
      <c r="P973" t="s">
        <v>1098</v>
      </c>
      <c r="Q973">
        <v>1</v>
      </c>
      <c r="W973">
        <v>0</v>
      </c>
      <c r="X973">
        <v>476480486</v>
      </c>
      <c r="Y973">
        <f>(AT973*1.15)</f>
        <v>64.399999999999991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1</v>
      </c>
      <c r="AJ973">
        <v>1</v>
      </c>
      <c r="AK973">
        <v>1</v>
      </c>
      <c r="AL973">
        <v>1</v>
      </c>
      <c r="AN973">
        <v>0</v>
      </c>
      <c r="AO973">
        <v>1</v>
      </c>
      <c r="AP973">
        <v>1</v>
      </c>
      <c r="AQ973">
        <v>0</v>
      </c>
      <c r="AR973">
        <v>0</v>
      </c>
      <c r="AS973" t="s">
        <v>3</v>
      </c>
      <c r="AT973">
        <v>56</v>
      </c>
      <c r="AU973" t="s">
        <v>87</v>
      </c>
      <c r="AV973">
        <v>1</v>
      </c>
      <c r="AW973">
        <v>2</v>
      </c>
      <c r="AX973">
        <v>129764367</v>
      </c>
      <c r="AY973">
        <v>1</v>
      </c>
      <c r="AZ973">
        <v>0</v>
      </c>
      <c r="BA973">
        <v>945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0</v>
      </c>
      <c r="BK973">
        <v>0</v>
      </c>
      <c r="BL973">
        <v>0</v>
      </c>
      <c r="BM973">
        <v>0</v>
      </c>
      <c r="BN973">
        <v>0</v>
      </c>
      <c r="BO973">
        <v>0</v>
      </c>
      <c r="BP973">
        <v>0</v>
      </c>
      <c r="BQ973">
        <v>0</v>
      </c>
      <c r="BR973">
        <v>0</v>
      </c>
      <c r="BS973">
        <v>0</v>
      </c>
      <c r="BT973">
        <v>0</v>
      </c>
      <c r="BU973">
        <v>0</v>
      </c>
      <c r="BV973">
        <v>0</v>
      </c>
      <c r="BW973">
        <v>0</v>
      </c>
      <c r="CX973">
        <f>ROUND(Y973*Source!I1137,9)</f>
        <v>1.61</v>
      </c>
      <c r="CY973">
        <f>AD973</f>
        <v>0</v>
      </c>
      <c r="CZ973">
        <f>AH973</f>
        <v>0</v>
      </c>
      <c r="DA973">
        <f>AL973</f>
        <v>1</v>
      </c>
      <c r="DB973">
        <f>ROUND((ROUND(AT973*CZ973,2)*1.15),6)</f>
        <v>0</v>
      </c>
      <c r="DC973">
        <f>ROUND((ROUND(AT973*AG973,2)*1.15),6)</f>
        <v>0</v>
      </c>
      <c r="DD973" t="s">
        <v>3</v>
      </c>
      <c r="DE973" t="s">
        <v>3</v>
      </c>
      <c r="DF973">
        <f t="shared" ref="DF973:DF985" si="480">ROUND(AE973*CX973,2)</f>
        <v>0</v>
      </c>
      <c r="DG973">
        <f t="shared" si="478"/>
        <v>0</v>
      </c>
      <c r="DH973">
        <f t="shared" si="479"/>
        <v>0</v>
      </c>
      <c r="DI973">
        <f t="shared" si="477"/>
        <v>0</v>
      </c>
      <c r="DJ973">
        <f>DI973</f>
        <v>0</v>
      </c>
      <c r="DK973">
        <v>0</v>
      </c>
    </row>
    <row r="974" spans="1:115" x14ac:dyDescent="0.2">
      <c r="A974">
        <f>ROW(Source!A1137)</f>
        <v>1137</v>
      </c>
      <c r="B974">
        <v>129761636</v>
      </c>
      <c r="C974">
        <v>129764355</v>
      </c>
      <c r="D974">
        <v>37345890</v>
      </c>
      <c r="E974">
        <v>37345137</v>
      </c>
      <c r="F974">
        <v>1</v>
      </c>
      <c r="G974">
        <v>37345137</v>
      </c>
      <c r="H974">
        <v>2</v>
      </c>
      <c r="I974" t="s">
        <v>1145</v>
      </c>
      <c r="J974" t="s">
        <v>3</v>
      </c>
      <c r="K974" t="s">
        <v>1146</v>
      </c>
      <c r="L974">
        <v>1344</v>
      </c>
      <c r="N974">
        <v>1008</v>
      </c>
      <c r="O974" t="s">
        <v>1138</v>
      </c>
      <c r="P974" t="s">
        <v>1138</v>
      </c>
      <c r="Q974">
        <v>1</v>
      </c>
      <c r="W974">
        <v>0</v>
      </c>
      <c r="X974">
        <v>-1180195794</v>
      </c>
      <c r="Y974">
        <f>(AT974*1.25)</f>
        <v>21.162500000000001</v>
      </c>
      <c r="AA974">
        <v>0</v>
      </c>
      <c r="AB974">
        <v>1</v>
      </c>
      <c r="AC974">
        <v>0</v>
      </c>
      <c r="AD974">
        <v>0</v>
      </c>
      <c r="AE974">
        <v>0</v>
      </c>
      <c r="AF974">
        <v>1</v>
      </c>
      <c r="AG974">
        <v>0</v>
      </c>
      <c r="AH974">
        <v>0</v>
      </c>
      <c r="AI974">
        <v>1</v>
      </c>
      <c r="AJ974">
        <v>1</v>
      </c>
      <c r="AK974">
        <v>1</v>
      </c>
      <c r="AL974">
        <v>1</v>
      </c>
      <c r="AN974">
        <v>0</v>
      </c>
      <c r="AO974">
        <v>1</v>
      </c>
      <c r="AP974">
        <v>1</v>
      </c>
      <c r="AQ974">
        <v>0</v>
      </c>
      <c r="AR974">
        <v>0</v>
      </c>
      <c r="AS974" t="s">
        <v>3</v>
      </c>
      <c r="AT974">
        <v>16.93</v>
      </c>
      <c r="AU974" t="s">
        <v>86</v>
      </c>
      <c r="AV974">
        <v>0</v>
      </c>
      <c r="AW974">
        <v>2</v>
      </c>
      <c r="AX974">
        <v>129764368</v>
      </c>
      <c r="AY974">
        <v>1</v>
      </c>
      <c r="AZ974">
        <v>0</v>
      </c>
      <c r="BA974">
        <v>946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0</v>
      </c>
      <c r="BR974">
        <v>0</v>
      </c>
      <c r="BS974">
        <v>0</v>
      </c>
      <c r="BT974">
        <v>0</v>
      </c>
      <c r="BU974">
        <v>0</v>
      </c>
      <c r="BV974">
        <v>0</v>
      </c>
      <c r="BW974">
        <v>0</v>
      </c>
      <c r="CX974">
        <f>ROUND(Y974*Source!I1137,9)</f>
        <v>0.52906249999999999</v>
      </c>
      <c r="CY974">
        <f>AB974</f>
        <v>1</v>
      </c>
      <c r="CZ974">
        <f>AF974</f>
        <v>1</v>
      </c>
      <c r="DA974">
        <f>AJ974</f>
        <v>1</v>
      </c>
      <c r="DB974">
        <f>ROUND((ROUND(AT974*CZ974,2)*1.25),6)</f>
        <v>21.162500000000001</v>
      </c>
      <c r="DC974">
        <f>ROUND((ROUND(AT974*AG974,2)*1.25),6)</f>
        <v>0</v>
      </c>
      <c r="DD974" t="s">
        <v>3</v>
      </c>
      <c r="DE974" t="s">
        <v>3</v>
      </c>
      <c r="DF974">
        <f t="shared" si="480"/>
        <v>0</v>
      </c>
      <c r="DG974">
        <f t="shared" si="478"/>
        <v>0.53</v>
      </c>
      <c r="DH974">
        <f t="shared" si="479"/>
        <v>0</v>
      </c>
      <c r="DI974">
        <f t="shared" si="477"/>
        <v>0</v>
      </c>
      <c r="DJ974">
        <f>DG974</f>
        <v>0.53</v>
      </c>
      <c r="DK974">
        <v>0</v>
      </c>
    </row>
    <row r="975" spans="1:115" x14ac:dyDescent="0.2">
      <c r="A975">
        <f>ROW(Source!A1137)</f>
        <v>1137</v>
      </c>
      <c r="B975">
        <v>129761636</v>
      </c>
      <c r="C975">
        <v>129764355</v>
      </c>
      <c r="D975">
        <v>37398845</v>
      </c>
      <c r="E975">
        <v>1</v>
      </c>
      <c r="F975">
        <v>1</v>
      </c>
      <c r="G975">
        <v>37345137</v>
      </c>
      <c r="H975">
        <v>3</v>
      </c>
      <c r="I975" t="s">
        <v>933</v>
      </c>
      <c r="J975" t="s">
        <v>935</v>
      </c>
      <c r="K975" t="s">
        <v>934</v>
      </c>
      <c r="L975">
        <v>1354</v>
      </c>
      <c r="N975">
        <v>1010</v>
      </c>
      <c r="O975" t="s">
        <v>250</v>
      </c>
      <c r="P975" t="s">
        <v>250</v>
      </c>
      <c r="Q975">
        <v>1</v>
      </c>
      <c r="W975">
        <v>0</v>
      </c>
      <c r="X975">
        <v>-223219986</v>
      </c>
      <c r="Y975">
        <f t="shared" ref="Y975:Y983" si="481">AT975</f>
        <v>40</v>
      </c>
      <c r="AA975">
        <v>45.47</v>
      </c>
      <c r="AB975">
        <v>0</v>
      </c>
      <c r="AC975">
        <v>0</v>
      </c>
      <c r="AD975">
        <v>0</v>
      </c>
      <c r="AE975">
        <v>45.47</v>
      </c>
      <c r="AF975">
        <v>0</v>
      </c>
      <c r="AG975">
        <v>0</v>
      </c>
      <c r="AH975">
        <v>0</v>
      </c>
      <c r="AI975">
        <v>1</v>
      </c>
      <c r="AJ975">
        <v>1</v>
      </c>
      <c r="AK975">
        <v>1</v>
      </c>
      <c r="AL975">
        <v>1</v>
      </c>
      <c r="AN975">
        <v>0</v>
      </c>
      <c r="AO975">
        <v>0</v>
      </c>
      <c r="AP975">
        <v>0</v>
      </c>
      <c r="AQ975">
        <v>0</v>
      </c>
      <c r="AR975">
        <v>0</v>
      </c>
      <c r="AS975" t="s">
        <v>3</v>
      </c>
      <c r="AT975">
        <v>40</v>
      </c>
      <c r="AU975" t="s">
        <v>3</v>
      </c>
      <c r="AV975">
        <v>0</v>
      </c>
      <c r="AW975">
        <v>1</v>
      </c>
      <c r="AX975">
        <v>-1</v>
      </c>
      <c r="AY975">
        <v>0</v>
      </c>
      <c r="AZ975">
        <v>0</v>
      </c>
      <c r="BA975" t="s">
        <v>3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0</v>
      </c>
      <c r="BR975">
        <v>0</v>
      </c>
      <c r="BS975">
        <v>0</v>
      </c>
      <c r="BT975">
        <v>0</v>
      </c>
      <c r="BU975">
        <v>0</v>
      </c>
      <c r="BV975">
        <v>0</v>
      </c>
      <c r="BW975">
        <v>0</v>
      </c>
      <c r="CX975">
        <f>ROUND(Y975*Source!I1137,9)</f>
        <v>1</v>
      </c>
      <c r="CY975">
        <f t="shared" ref="CY975:CY983" si="482">AA975</f>
        <v>45.47</v>
      </c>
      <c r="CZ975">
        <f t="shared" ref="CZ975:CZ983" si="483">AE975</f>
        <v>45.47</v>
      </c>
      <c r="DA975">
        <f t="shared" ref="DA975:DA983" si="484">AI975</f>
        <v>1</v>
      </c>
      <c r="DB975">
        <f t="shared" ref="DB975:DB983" si="485">ROUND(ROUND(AT975*CZ975,2),6)</f>
        <v>1818.8</v>
      </c>
      <c r="DC975">
        <f t="shared" ref="DC975:DC983" si="486">ROUND(ROUND(AT975*AG975,2),6)</f>
        <v>0</v>
      </c>
      <c r="DD975" t="s">
        <v>3</v>
      </c>
      <c r="DE975" t="s">
        <v>3</v>
      </c>
      <c r="DF975">
        <f t="shared" si="480"/>
        <v>45.47</v>
      </c>
      <c r="DG975">
        <f t="shared" si="478"/>
        <v>0</v>
      </c>
      <c r="DH975">
        <f t="shared" si="479"/>
        <v>0</v>
      </c>
      <c r="DI975">
        <f t="shared" si="477"/>
        <v>0</v>
      </c>
      <c r="DJ975">
        <f t="shared" ref="DJ975:DJ983" si="487">DF975</f>
        <v>45.47</v>
      </c>
      <c r="DK975">
        <v>0</v>
      </c>
    </row>
    <row r="976" spans="1:115" x14ac:dyDescent="0.2">
      <c r="A976">
        <f>ROW(Source!A1137)</f>
        <v>1137</v>
      </c>
      <c r="B976">
        <v>129761636</v>
      </c>
      <c r="C976">
        <v>129764355</v>
      </c>
      <c r="D976">
        <v>37398856</v>
      </c>
      <c r="E976">
        <v>1</v>
      </c>
      <c r="F976">
        <v>1</v>
      </c>
      <c r="G976">
        <v>37345137</v>
      </c>
      <c r="H976">
        <v>3</v>
      </c>
      <c r="I976" t="s">
        <v>937</v>
      </c>
      <c r="J976" t="s">
        <v>939</v>
      </c>
      <c r="K976" t="s">
        <v>938</v>
      </c>
      <c r="L976">
        <v>1354</v>
      </c>
      <c r="N976">
        <v>1010</v>
      </c>
      <c r="O976" t="s">
        <v>250</v>
      </c>
      <c r="P976" t="s">
        <v>250</v>
      </c>
      <c r="Q976">
        <v>1</v>
      </c>
      <c r="W976">
        <v>0</v>
      </c>
      <c r="X976">
        <v>-1435451611</v>
      </c>
      <c r="Y976">
        <f t="shared" si="481"/>
        <v>40</v>
      </c>
      <c r="AA976">
        <v>26.59</v>
      </c>
      <c r="AB976">
        <v>0</v>
      </c>
      <c r="AC976">
        <v>0</v>
      </c>
      <c r="AD976">
        <v>0</v>
      </c>
      <c r="AE976">
        <v>26.59</v>
      </c>
      <c r="AF976">
        <v>0</v>
      </c>
      <c r="AG976">
        <v>0</v>
      </c>
      <c r="AH976">
        <v>0</v>
      </c>
      <c r="AI976">
        <v>1</v>
      </c>
      <c r="AJ976">
        <v>1</v>
      </c>
      <c r="AK976">
        <v>1</v>
      </c>
      <c r="AL976">
        <v>1</v>
      </c>
      <c r="AN976">
        <v>0</v>
      </c>
      <c r="AO976">
        <v>0</v>
      </c>
      <c r="AP976">
        <v>0</v>
      </c>
      <c r="AQ976">
        <v>0</v>
      </c>
      <c r="AR976">
        <v>0</v>
      </c>
      <c r="AS976" t="s">
        <v>3</v>
      </c>
      <c r="AT976">
        <v>40</v>
      </c>
      <c r="AU976" t="s">
        <v>3</v>
      </c>
      <c r="AV976">
        <v>0</v>
      </c>
      <c r="AW976">
        <v>1</v>
      </c>
      <c r="AX976">
        <v>-1</v>
      </c>
      <c r="AY976">
        <v>0</v>
      </c>
      <c r="AZ976">
        <v>0</v>
      </c>
      <c r="BA976" t="s">
        <v>3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0</v>
      </c>
      <c r="BR976">
        <v>0</v>
      </c>
      <c r="BS976">
        <v>0</v>
      </c>
      <c r="BT976">
        <v>0</v>
      </c>
      <c r="BU976">
        <v>0</v>
      </c>
      <c r="BV976">
        <v>0</v>
      </c>
      <c r="BW976">
        <v>0</v>
      </c>
      <c r="CX976">
        <f>ROUND(Y976*Source!I1137,9)</f>
        <v>1</v>
      </c>
      <c r="CY976">
        <f t="shared" si="482"/>
        <v>26.59</v>
      </c>
      <c r="CZ976">
        <f t="shared" si="483"/>
        <v>26.59</v>
      </c>
      <c r="DA976">
        <f t="shared" si="484"/>
        <v>1</v>
      </c>
      <c r="DB976">
        <f t="shared" si="485"/>
        <v>1063.5999999999999</v>
      </c>
      <c r="DC976">
        <f t="shared" si="486"/>
        <v>0</v>
      </c>
      <c r="DD976" t="s">
        <v>3</v>
      </c>
      <c r="DE976" t="s">
        <v>3</v>
      </c>
      <c r="DF976">
        <f t="shared" si="480"/>
        <v>26.59</v>
      </c>
      <c r="DG976">
        <f t="shared" si="478"/>
        <v>0</v>
      </c>
      <c r="DH976">
        <f t="shared" si="479"/>
        <v>0</v>
      </c>
      <c r="DI976">
        <f t="shared" si="477"/>
        <v>0</v>
      </c>
      <c r="DJ976">
        <f t="shared" si="487"/>
        <v>26.59</v>
      </c>
      <c r="DK976">
        <v>0</v>
      </c>
    </row>
    <row r="977" spans="1:115" x14ac:dyDescent="0.2">
      <c r="A977">
        <f>ROW(Source!A1137)</f>
        <v>1137</v>
      </c>
      <c r="B977">
        <v>129761636</v>
      </c>
      <c r="C977">
        <v>129764355</v>
      </c>
      <c r="D977">
        <v>37398761</v>
      </c>
      <c r="E977">
        <v>1</v>
      </c>
      <c r="F977">
        <v>1</v>
      </c>
      <c r="G977">
        <v>37345137</v>
      </c>
      <c r="H977">
        <v>3</v>
      </c>
      <c r="I977" t="s">
        <v>922</v>
      </c>
      <c r="J977" t="s">
        <v>924</v>
      </c>
      <c r="K977" t="s">
        <v>923</v>
      </c>
      <c r="L977">
        <v>1301</v>
      </c>
      <c r="N977">
        <v>1003</v>
      </c>
      <c r="O977" t="s">
        <v>270</v>
      </c>
      <c r="P977" t="s">
        <v>270</v>
      </c>
      <c r="Q977">
        <v>1</v>
      </c>
      <c r="W977">
        <v>0</v>
      </c>
      <c r="X977">
        <v>1389394290</v>
      </c>
      <c r="Y977">
        <f t="shared" si="481"/>
        <v>99.8</v>
      </c>
      <c r="AA977">
        <v>64.3</v>
      </c>
      <c r="AB977">
        <v>0</v>
      </c>
      <c r="AC977">
        <v>0</v>
      </c>
      <c r="AD977">
        <v>0</v>
      </c>
      <c r="AE977">
        <v>64.3</v>
      </c>
      <c r="AF977">
        <v>0</v>
      </c>
      <c r="AG977">
        <v>0</v>
      </c>
      <c r="AH977">
        <v>0</v>
      </c>
      <c r="AI977">
        <v>1</v>
      </c>
      <c r="AJ977">
        <v>1</v>
      </c>
      <c r="AK977">
        <v>1</v>
      </c>
      <c r="AL977">
        <v>1</v>
      </c>
      <c r="AN977">
        <v>0</v>
      </c>
      <c r="AO977">
        <v>0</v>
      </c>
      <c r="AP977">
        <v>0</v>
      </c>
      <c r="AQ977">
        <v>0</v>
      </c>
      <c r="AR977">
        <v>0</v>
      </c>
      <c r="AS977" t="s">
        <v>3</v>
      </c>
      <c r="AT977">
        <v>99.8</v>
      </c>
      <c r="AU977" t="s">
        <v>3</v>
      </c>
      <c r="AV977">
        <v>0</v>
      </c>
      <c r="AW977">
        <v>1</v>
      </c>
      <c r="AX977">
        <v>-1</v>
      </c>
      <c r="AY977">
        <v>0</v>
      </c>
      <c r="AZ977">
        <v>0</v>
      </c>
      <c r="BA977" t="s">
        <v>3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0</v>
      </c>
      <c r="BJ977">
        <v>0</v>
      </c>
      <c r="BK977">
        <v>0</v>
      </c>
      <c r="BL977">
        <v>0</v>
      </c>
      <c r="BM977">
        <v>0</v>
      </c>
      <c r="BN977">
        <v>0</v>
      </c>
      <c r="BO977">
        <v>0</v>
      </c>
      <c r="BP977">
        <v>0</v>
      </c>
      <c r="BQ977">
        <v>0</v>
      </c>
      <c r="BR977">
        <v>0</v>
      </c>
      <c r="BS977">
        <v>0</v>
      </c>
      <c r="BT977">
        <v>0</v>
      </c>
      <c r="BU977">
        <v>0</v>
      </c>
      <c r="BV977">
        <v>0</v>
      </c>
      <c r="BW977">
        <v>0</v>
      </c>
      <c r="CX977">
        <f>ROUND(Y977*Source!I1137,9)</f>
        <v>2.4950000000000001</v>
      </c>
      <c r="CY977">
        <f t="shared" si="482"/>
        <v>64.3</v>
      </c>
      <c r="CZ977">
        <f t="shared" si="483"/>
        <v>64.3</v>
      </c>
      <c r="DA977">
        <f t="shared" si="484"/>
        <v>1</v>
      </c>
      <c r="DB977">
        <f t="shared" si="485"/>
        <v>6417.14</v>
      </c>
      <c r="DC977">
        <f t="shared" si="486"/>
        <v>0</v>
      </c>
      <c r="DD977" t="s">
        <v>3</v>
      </c>
      <c r="DE977" t="s">
        <v>3</v>
      </c>
      <c r="DF977">
        <f t="shared" si="480"/>
        <v>160.43</v>
      </c>
      <c r="DG977">
        <f t="shared" si="478"/>
        <v>0</v>
      </c>
      <c r="DH977">
        <f t="shared" si="479"/>
        <v>0</v>
      </c>
      <c r="DI977">
        <f t="shared" si="477"/>
        <v>0</v>
      </c>
      <c r="DJ977">
        <f t="shared" si="487"/>
        <v>160.43</v>
      </c>
      <c r="DK977">
        <v>0</v>
      </c>
    </row>
    <row r="978" spans="1:115" x14ac:dyDescent="0.2">
      <c r="A978">
        <f>ROW(Source!A1137)</f>
        <v>1137</v>
      </c>
      <c r="B978">
        <v>129761636</v>
      </c>
      <c r="C978">
        <v>129764355</v>
      </c>
      <c r="D978">
        <v>37398807</v>
      </c>
      <c r="E978">
        <v>1</v>
      </c>
      <c r="F978">
        <v>1</v>
      </c>
      <c r="G978">
        <v>37345137</v>
      </c>
      <c r="H978">
        <v>3</v>
      </c>
      <c r="I978" t="s">
        <v>925</v>
      </c>
      <c r="J978" t="s">
        <v>927</v>
      </c>
      <c r="K978" t="s">
        <v>926</v>
      </c>
      <c r="L978">
        <v>1354</v>
      </c>
      <c r="N978">
        <v>1010</v>
      </c>
      <c r="O978" t="s">
        <v>250</v>
      </c>
      <c r="P978" t="s">
        <v>250</v>
      </c>
      <c r="Q978">
        <v>1</v>
      </c>
      <c r="W978">
        <v>0</v>
      </c>
      <c r="X978">
        <v>143574440</v>
      </c>
      <c r="Y978">
        <f t="shared" si="481"/>
        <v>40</v>
      </c>
      <c r="AA978">
        <v>28.21</v>
      </c>
      <c r="AB978">
        <v>0</v>
      </c>
      <c r="AC978">
        <v>0</v>
      </c>
      <c r="AD978">
        <v>0</v>
      </c>
      <c r="AE978">
        <v>28.21</v>
      </c>
      <c r="AF978">
        <v>0</v>
      </c>
      <c r="AG978">
        <v>0</v>
      </c>
      <c r="AH978">
        <v>0</v>
      </c>
      <c r="AI978">
        <v>1</v>
      </c>
      <c r="AJ978">
        <v>1</v>
      </c>
      <c r="AK978">
        <v>1</v>
      </c>
      <c r="AL978">
        <v>1</v>
      </c>
      <c r="AN978">
        <v>0</v>
      </c>
      <c r="AO978">
        <v>0</v>
      </c>
      <c r="AP978">
        <v>0</v>
      </c>
      <c r="AQ978">
        <v>0</v>
      </c>
      <c r="AR978">
        <v>0</v>
      </c>
      <c r="AS978" t="s">
        <v>3</v>
      </c>
      <c r="AT978">
        <v>40</v>
      </c>
      <c r="AU978" t="s">
        <v>3</v>
      </c>
      <c r="AV978">
        <v>0</v>
      </c>
      <c r="AW978">
        <v>1</v>
      </c>
      <c r="AX978">
        <v>-1</v>
      </c>
      <c r="AY978">
        <v>0</v>
      </c>
      <c r="AZ978">
        <v>0</v>
      </c>
      <c r="BA978" t="s">
        <v>3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0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0</v>
      </c>
      <c r="BR978">
        <v>0</v>
      </c>
      <c r="BS978">
        <v>0</v>
      </c>
      <c r="BT978">
        <v>0</v>
      </c>
      <c r="BU978">
        <v>0</v>
      </c>
      <c r="BV978">
        <v>0</v>
      </c>
      <c r="BW978">
        <v>0</v>
      </c>
      <c r="CX978">
        <f>ROUND(Y978*Source!I1137,9)</f>
        <v>1</v>
      </c>
      <c r="CY978">
        <f t="shared" si="482"/>
        <v>28.21</v>
      </c>
      <c r="CZ978">
        <f t="shared" si="483"/>
        <v>28.21</v>
      </c>
      <c r="DA978">
        <f t="shared" si="484"/>
        <v>1</v>
      </c>
      <c r="DB978">
        <f t="shared" si="485"/>
        <v>1128.4000000000001</v>
      </c>
      <c r="DC978">
        <f t="shared" si="486"/>
        <v>0</v>
      </c>
      <c r="DD978" t="s">
        <v>3</v>
      </c>
      <c r="DE978" t="s">
        <v>3</v>
      </c>
      <c r="DF978">
        <f t="shared" si="480"/>
        <v>28.21</v>
      </c>
      <c r="DG978">
        <f t="shared" si="478"/>
        <v>0</v>
      </c>
      <c r="DH978">
        <f t="shared" si="479"/>
        <v>0</v>
      </c>
      <c r="DI978">
        <f t="shared" si="477"/>
        <v>0</v>
      </c>
      <c r="DJ978">
        <f t="shared" si="487"/>
        <v>28.21</v>
      </c>
      <c r="DK978">
        <v>0</v>
      </c>
    </row>
    <row r="979" spans="1:115" x14ac:dyDescent="0.2">
      <c r="A979">
        <f>ROW(Source!A1137)</f>
        <v>1137</v>
      </c>
      <c r="B979">
        <v>129761636</v>
      </c>
      <c r="C979">
        <v>129764355</v>
      </c>
      <c r="D979">
        <v>37398814</v>
      </c>
      <c r="E979">
        <v>1</v>
      </c>
      <c r="F979">
        <v>1</v>
      </c>
      <c r="G979">
        <v>37345137</v>
      </c>
      <c r="H979">
        <v>3</v>
      </c>
      <c r="I979" t="s">
        <v>929</v>
      </c>
      <c r="J979" t="s">
        <v>931</v>
      </c>
      <c r="K979" t="s">
        <v>930</v>
      </c>
      <c r="L979">
        <v>1354</v>
      </c>
      <c r="N979">
        <v>1010</v>
      </c>
      <c r="O979" t="s">
        <v>250</v>
      </c>
      <c r="P979" t="s">
        <v>250</v>
      </c>
      <c r="Q979">
        <v>1</v>
      </c>
      <c r="W979">
        <v>0</v>
      </c>
      <c r="X979">
        <v>-1706121595</v>
      </c>
      <c r="Y979">
        <f t="shared" si="481"/>
        <v>80</v>
      </c>
      <c r="AA979">
        <v>18.399999999999999</v>
      </c>
      <c r="AB979">
        <v>0</v>
      </c>
      <c r="AC979">
        <v>0</v>
      </c>
      <c r="AD979">
        <v>0</v>
      </c>
      <c r="AE979">
        <v>18.399999999999999</v>
      </c>
      <c r="AF979">
        <v>0</v>
      </c>
      <c r="AG979">
        <v>0</v>
      </c>
      <c r="AH979">
        <v>0</v>
      </c>
      <c r="AI979">
        <v>1</v>
      </c>
      <c r="AJ979">
        <v>1</v>
      </c>
      <c r="AK979">
        <v>1</v>
      </c>
      <c r="AL979">
        <v>1</v>
      </c>
      <c r="AN979">
        <v>0</v>
      </c>
      <c r="AO979">
        <v>0</v>
      </c>
      <c r="AP979">
        <v>0</v>
      </c>
      <c r="AQ979">
        <v>0</v>
      </c>
      <c r="AR979">
        <v>0</v>
      </c>
      <c r="AS979" t="s">
        <v>3</v>
      </c>
      <c r="AT979">
        <v>80</v>
      </c>
      <c r="AU979" t="s">
        <v>3</v>
      </c>
      <c r="AV979">
        <v>0</v>
      </c>
      <c r="AW979">
        <v>1</v>
      </c>
      <c r="AX979">
        <v>-1</v>
      </c>
      <c r="AY979">
        <v>0</v>
      </c>
      <c r="AZ979">
        <v>0</v>
      </c>
      <c r="BA979" t="s">
        <v>3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0</v>
      </c>
      <c r="BR979">
        <v>0</v>
      </c>
      <c r="BS979">
        <v>0</v>
      </c>
      <c r="BT979">
        <v>0</v>
      </c>
      <c r="BU979">
        <v>0</v>
      </c>
      <c r="BV979">
        <v>0</v>
      </c>
      <c r="BW979">
        <v>0</v>
      </c>
      <c r="CX979">
        <f>ROUND(Y979*Source!I1137,9)</f>
        <v>2</v>
      </c>
      <c r="CY979">
        <f t="shared" si="482"/>
        <v>18.399999999999999</v>
      </c>
      <c r="CZ979">
        <f t="shared" si="483"/>
        <v>18.399999999999999</v>
      </c>
      <c r="DA979">
        <f t="shared" si="484"/>
        <v>1</v>
      </c>
      <c r="DB979">
        <f t="shared" si="485"/>
        <v>1472</v>
      </c>
      <c r="DC979">
        <f t="shared" si="486"/>
        <v>0</v>
      </c>
      <c r="DD979" t="s">
        <v>3</v>
      </c>
      <c r="DE979" t="s">
        <v>3</v>
      </c>
      <c r="DF979">
        <f t="shared" si="480"/>
        <v>36.799999999999997</v>
      </c>
      <c r="DG979">
        <f t="shared" si="478"/>
        <v>0</v>
      </c>
      <c r="DH979">
        <f t="shared" si="479"/>
        <v>0</v>
      </c>
      <c r="DI979">
        <f t="shared" si="477"/>
        <v>0</v>
      </c>
      <c r="DJ979">
        <f t="shared" si="487"/>
        <v>36.799999999999997</v>
      </c>
      <c r="DK979">
        <v>0</v>
      </c>
    </row>
    <row r="980" spans="1:115" x14ac:dyDescent="0.2">
      <c r="A980">
        <f>ROW(Source!A1137)</f>
        <v>1137</v>
      </c>
      <c r="B980">
        <v>129761636</v>
      </c>
      <c r="C980">
        <v>129764355</v>
      </c>
      <c r="D980">
        <v>37400658</v>
      </c>
      <c r="E980">
        <v>1</v>
      </c>
      <c r="F980">
        <v>1</v>
      </c>
      <c r="G980">
        <v>37345137</v>
      </c>
      <c r="H980">
        <v>3</v>
      </c>
      <c r="I980" t="s">
        <v>944</v>
      </c>
      <c r="J980" t="s">
        <v>946</v>
      </c>
      <c r="K980" t="s">
        <v>945</v>
      </c>
      <c r="L980">
        <v>1354</v>
      </c>
      <c r="N980">
        <v>1010</v>
      </c>
      <c r="O980" t="s">
        <v>250</v>
      </c>
      <c r="P980" t="s">
        <v>250</v>
      </c>
      <c r="Q980">
        <v>1</v>
      </c>
      <c r="W980">
        <v>0</v>
      </c>
      <c r="X980">
        <v>-155671744</v>
      </c>
      <c r="Y980">
        <f t="shared" si="481"/>
        <v>40</v>
      </c>
      <c r="AA980">
        <v>3.35</v>
      </c>
      <c r="AB980">
        <v>0</v>
      </c>
      <c r="AC980">
        <v>0</v>
      </c>
      <c r="AD980">
        <v>0</v>
      </c>
      <c r="AE980">
        <v>3.35</v>
      </c>
      <c r="AF980">
        <v>0</v>
      </c>
      <c r="AG980">
        <v>0</v>
      </c>
      <c r="AH980">
        <v>0</v>
      </c>
      <c r="AI980">
        <v>1</v>
      </c>
      <c r="AJ980">
        <v>1</v>
      </c>
      <c r="AK980">
        <v>1</v>
      </c>
      <c r="AL980">
        <v>1</v>
      </c>
      <c r="AN980">
        <v>0</v>
      </c>
      <c r="AO980">
        <v>0</v>
      </c>
      <c r="AP980">
        <v>0</v>
      </c>
      <c r="AQ980">
        <v>0</v>
      </c>
      <c r="AR980">
        <v>0</v>
      </c>
      <c r="AS980" t="s">
        <v>3</v>
      </c>
      <c r="AT980">
        <v>40</v>
      </c>
      <c r="AU980" t="s">
        <v>3</v>
      </c>
      <c r="AV980">
        <v>0</v>
      </c>
      <c r="AW980">
        <v>1</v>
      </c>
      <c r="AX980">
        <v>-1</v>
      </c>
      <c r="AY980">
        <v>0</v>
      </c>
      <c r="AZ980">
        <v>0</v>
      </c>
      <c r="BA980" t="s">
        <v>3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0</v>
      </c>
      <c r="BJ980">
        <v>0</v>
      </c>
      <c r="BK980">
        <v>0</v>
      </c>
      <c r="BL980">
        <v>0</v>
      </c>
      <c r="BM980">
        <v>0</v>
      </c>
      <c r="BN980">
        <v>0</v>
      </c>
      <c r="BO980">
        <v>0</v>
      </c>
      <c r="BP980">
        <v>0</v>
      </c>
      <c r="BQ980">
        <v>0</v>
      </c>
      <c r="BR980">
        <v>0</v>
      </c>
      <c r="BS980">
        <v>0</v>
      </c>
      <c r="BT980">
        <v>0</v>
      </c>
      <c r="BU980">
        <v>0</v>
      </c>
      <c r="BV980">
        <v>0</v>
      </c>
      <c r="BW980">
        <v>0</v>
      </c>
      <c r="CX980">
        <f>ROUND(Y980*Source!I1137,9)</f>
        <v>1</v>
      </c>
      <c r="CY980">
        <f t="shared" si="482"/>
        <v>3.35</v>
      </c>
      <c r="CZ980">
        <f t="shared" si="483"/>
        <v>3.35</v>
      </c>
      <c r="DA980">
        <f t="shared" si="484"/>
        <v>1</v>
      </c>
      <c r="DB980">
        <f t="shared" si="485"/>
        <v>134</v>
      </c>
      <c r="DC980">
        <f t="shared" si="486"/>
        <v>0</v>
      </c>
      <c r="DD980" t="s">
        <v>3</v>
      </c>
      <c r="DE980" t="s">
        <v>3</v>
      </c>
      <c r="DF980">
        <f t="shared" si="480"/>
        <v>3.35</v>
      </c>
      <c r="DG980">
        <f t="shared" si="478"/>
        <v>0</v>
      </c>
      <c r="DH980">
        <f t="shared" si="479"/>
        <v>0</v>
      </c>
      <c r="DI980">
        <f t="shared" si="477"/>
        <v>0</v>
      </c>
      <c r="DJ980">
        <f t="shared" si="487"/>
        <v>3.35</v>
      </c>
      <c r="DK980">
        <v>0</v>
      </c>
    </row>
    <row r="981" spans="1:115" x14ac:dyDescent="0.2">
      <c r="A981">
        <f>ROW(Source!A1137)</f>
        <v>1137</v>
      </c>
      <c r="B981">
        <v>129761636</v>
      </c>
      <c r="C981">
        <v>129764355</v>
      </c>
      <c r="D981">
        <v>37367082</v>
      </c>
      <c r="E981">
        <v>37345137</v>
      </c>
      <c r="F981">
        <v>1</v>
      </c>
      <c r="G981">
        <v>37345137</v>
      </c>
      <c r="H981">
        <v>3</v>
      </c>
      <c r="I981" t="s">
        <v>1136</v>
      </c>
      <c r="J981" t="s">
        <v>3</v>
      </c>
      <c r="K981" t="s">
        <v>1137</v>
      </c>
      <c r="L981">
        <v>1344</v>
      </c>
      <c r="N981">
        <v>1008</v>
      </c>
      <c r="O981" t="s">
        <v>1138</v>
      </c>
      <c r="P981" t="s">
        <v>1138</v>
      </c>
      <c r="Q981">
        <v>1</v>
      </c>
      <c r="W981">
        <v>0</v>
      </c>
      <c r="X981">
        <v>-94250534</v>
      </c>
      <c r="Y981">
        <f t="shared" si="481"/>
        <v>252.56</v>
      </c>
      <c r="AA981">
        <v>1</v>
      </c>
      <c r="AB981">
        <v>0</v>
      </c>
      <c r="AC981">
        <v>0</v>
      </c>
      <c r="AD981">
        <v>0</v>
      </c>
      <c r="AE981">
        <v>1</v>
      </c>
      <c r="AF981">
        <v>0</v>
      </c>
      <c r="AG981">
        <v>0</v>
      </c>
      <c r="AH981">
        <v>0</v>
      </c>
      <c r="AI981">
        <v>1</v>
      </c>
      <c r="AJ981">
        <v>1</v>
      </c>
      <c r="AK981">
        <v>1</v>
      </c>
      <c r="AL981">
        <v>1</v>
      </c>
      <c r="AN981">
        <v>0</v>
      </c>
      <c r="AO981">
        <v>1</v>
      </c>
      <c r="AP981">
        <v>0</v>
      </c>
      <c r="AQ981">
        <v>0</v>
      </c>
      <c r="AR981">
        <v>0</v>
      </c>
      <c r="AS981" t="s">
        <v>3</v>
      </c>
      <c r="AT981">
        <v>252.56</v>
      </c>
      <c r="AU981" t="s">
        <v>3</v>
      </c>
      <c r="AV981">
        <v>0</v>
      </c>
      <c r="AW981">
        <v>2</v>
      </c>
      <c r="AX981">
        <v>129764372</v>
      </c>
      <c r="AY981">
        <v>1</v>
      </c>
      <c r="AZ981">
        <v>0</v>
      </c>
      <c r="BA981">
        <v>950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0</v>
      </c>
      <c r="BW981">
        <v>0</v>
      </c>
      <c r="CX981">
        <f>ROUND(Y981*Source!I1137,9)</f>
        <v>6.3140000000000001</v>
      </c>
      <c r="CY981">
        <f t="shared" si="482"/>
        <v>1</v>
      </c>
      <c r="CZ981">
        <f t="shared" si="483"/>
        <v>1</v>
      </c>
      <c r="DA981">
        <f t="shared" si="484"/>
        <v>1</v>
      </c>
      <c r="DB981">
        <f t="shared" si="485"/>
        <v>252.56</v>
      </c>
      <c r="DC981">
        <f t="shared" si="486"/>
        <v>0</v>
      </c>
      <c r="DD981" t="s">
        <v>3</v>
      </c>
      <c r="DE981" t="s">
        <v>3</v>
      </c>
      <c r="DF981">
        <f t="shared" si="480"/>
        <v>6.31</v>
      </c>
      <c r="DG981">
        <f t="shared" si="478"/>
        <v>0</v>
      </c>
      <c r="DH981">
        <f t="shared" si="479"/>
        <v>0</v>
      </c>
      <c r="DI981">
        <f t="shared" si="477"/>
        <v>0</v>
      </c>
      <c r="DJ981">
        <f t="shared" si="487"/>
        <v>6.31</v>
      </c>
      <c r="DK981">
        <v>0</v>
      </c>
    </row>
    <row r="982" spans="1:115" x14ac:dyDescent="0.2">
      <c r="A982">
        <f>ROW(Source!A1137)</f>
        <v>1137</v>
      </c>
      <c r="B982">
        <v>129761636</v>
      </c>
      <c r="C982">
        <v>129764355</v>
      </c>
      <c r="D982">
        <v>0</v>
      </c>
      <c r="E982">
        <v>1</v>
      </c>
      <c r="F982">
        <v>1</v>
      </c>
      <c r="G982">
        <v>37345137</v>
      </c>
      <c r="H982">
        <v>3</v>
      </c>
      <c r="I982" t="s">
        <v>248</v>
      </c>
      <c r="J982" t="s">
        <v>3</v>
      </c>
      <c r="K982" t="s">
        <v>941</v>
      </c>
      <c r="L982">
        <v>1354</v>
      </c>
      <c r="N982">
        <v>1010</v>
      </c>
      <c r="O982" t="s">
        <v>250</v>
      </c>
      <c r="P982" t="s">
        <v>250</v>
      </c>
      <c r="Q982">
        <v>1</v>
      </c>
      <c r="W982">
        <v>0</v>
      </c>
      <c r="X982">
        <v>1471293546</v>
      </c>
      <c r="Y982">
        <f t="shared" si="481"/>
        <v>40</v>
      </c>
      <c r="AA982">
        <v>21.92</v>
      </c>
      <c r="AB982">
        <v>0</v>
      </c>
      <c r="AC982">
        <v>0</v>
      </c>
      <c r="AD982">
        <v>0</v>
      </c>
      <c r="AE982">
        <v>21.919999999999998</v>
      </c>
      <c r="AF982">
        <v>0</v>
      </c>
      <c r="AG982">
        <v>0</v>
      </c>
      <c r="AH982">
        <v>0</v>
      </c>
      <c r="AI982">
        <v>1</v>
      </c>
      <c r="AJ982">
        <v>1</v>
      </c>
      <c r="AK982">
        <v>1</v>
      </c>
      <c r="AL982">
        <v>1</v>
      </c>
      <c r="AN982">
        <v>0</v>
      </c>
      <c r="AO982">
        <v>0</v>
      </c>
      <c r="AP982">
        <v>0</v>
      </c>
      <c r="AQ982">
        <v>0</v>
      </c>
      <c r="AR982">
        <v>0</v>
      </c>
      <c r="AS982" t="s">
        <v>3</v>
      </c>
      <c r="AT982">
        <v>40</v>
      </c>
      <c r="AU982" t="s">
        <v>3</v>
      </c>
      <c r="AV982">
        <v>0</v>
      </c>
      <c r="AW982">
        <v>1</v>
      </c>
      <c r="AX982">
        <v>-1</v>
      </c>
      <c r="AY982">
        <v>0</v>
      </c>
      <c r="AZ982">
        <v>0</v>
      </c>
      <c r="BA982" t="s">
        <v>3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0</v>
      </c>
      <c r="BR982">
        <v>0</v>
      </c>
      <c r="BS982">
        <v>0</v>
      </c>
      <c r="BT982">
        <v>0</v>
      </c>
      <c r="BU982">
        <v>0</v>
      </c>
      <c r="BV982">
        <v>0</v>
      </c>
      <c r="BW982">
        <v>0</v>
      </c>
      <c r="CX982">
        <f>ROUND(Y982*Source!I1137,9)</f>
        <v>1</v>
      </c>
      <c r="CY982">
        <f t="shared" si="482"/>
        <v>21.92</v>
      </c>
      <c r="CZ982">
        <f t="shared" si="483"/>
        <v>21.919999999999998</v>
      </c>
      <c r="DA982">
        <f t="shared" si="484"/>
        <v>1</v>
      </c>
      <c r="DB982">
        <f t="shared" si="485"/>
        <v>876.8</v>
      </c>
      <c r="DC982">
        <f t="shared" si="486"/>
        <v>0</v>
      </c>
      <c r="DD982" t="s">
        <v>3</v>
      </c>
      <c r="DE982" t="s">
        <v>3</v>
      </c>
      <c r="DF982">
        <f t="shared" si="480"/>
        <v>21.92</v>
      </c>
      <c r="DG982">
        <f t="shared" si="478"/>
        <v>0</v>
      </c>
      <c r="DH982">
        <f t="shared" si="479"/>
        <v>0</v>
      </c>
      <c r="DI982">
        <f t="shared" si="477"/>
        <v>0</v>
      </c>
      <c r="DJ982">
        <f t="shared" si="487"/>
        <v>21.92</v>
      </c>
      <c r="DK982">
        <v>0</v>
      </c>
    </row>
    <row r="983" spans="1:115" x14ac:dyDescent="0.2">
      <c r="A983">
        <f>ROW(Source!A1137)</f>
        <v>1137</v>
      </c>
      <c r="B983">
        <v>129761636</v>
      </c>
      <c r="C983">
        <v>129764355</v>
      </c>
      <c r="D983">
        <v>0</v>
      </c>
      <c r="E983">
        <v>1</v>
      </c>
      <c r="F983">
        <v>1</v>
      </c>
      <c r="G983">
        <v>37345137</v>
      </c>
      <c r="H983">
        <v>3</v>
      </c>
      <c r="I983" t="s">
        <v>248</v>
      </c>
      <c r="J983" t="s">
        <v>3</v>
      </c>
      <c r="K983" t="s">
        <v>948</v>
      </c>
      <c r="L983">
        <v>1354</v>
      </c>
      <c r="N983">
        <v>1010</v>
      </c>
      <c r="O983" t="s">
        <v>250</v>
      </c>
      <c r="P983" t="s">
        <v>250</v>
      </c>
      <c r="Q983">
        <v>1</v>
      </c>
      <c r="W983">
        <v>0</v>
      </c>
      <c r="X983">
        <v>-507524884</v>
      </c>
      <c r="Y983">
        <f t="shared" si="481"/>
        <v>320</v>
      </c>
      <c r="AA983">
        <v>14.11</v>
      </c>
      <c r="AB983">
        <v>0</v>
      </c>
      <c r="AC983">
        <v>0</v>
      </c>
      <c r="AD983">
        <v>0</v>
      </c>
      <c r="AE983">
        <v>14.11</v>
      </c>
      <c r="AF983">
        <v>0</v>
      </c>
      <c r="AG983">
        <v>0</v>
      </c>
      <c r="AH983">
        <v>0</v>
      </c>
      <c r="AI983">
        <v>1</v>
      </c>
      <c r="AJ983">
        <v>1</v>
      </c>
      <c r="AK983">
        <v>1</v>
      </c>
      <c r="AL983">
        <v>1</v>
      </c>
      <c r="AN983">
        <v>0</v>
      </c>
      <c r="AO983">
        <v>0</v>
      </c>
      <c r="AP983">
        <v>0</v>
      </c>
      <c r="AQ983">
        <v>0</v>
      </c>
      <c r="AR983">
        <v>0</v>
      </c>
      <c r="AS983" t="s">
        <v>3</v>
      </c>
      <c r="AT983">
        <v>320</v>
      </c>
      <c r="AU983" t="s">
        <v>3</v>
      </c>
      <c r="AV983">
        <v>0</v>
      </c>
      <c r="AW983">
        <v>1</v>
      </c>
      <c r="AX983">
        <v>-1</v>
      </c>
      <c r="AY983">
        <v>0</v>
      </c>
      <c r="AZ983">
        <v>0</v>
      </c>
      <c r="BA983" t="s">
        <v>3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0</v>
      </c>
      <c r="BJ983">
        <v>0</v>
      </c>
      <c r="BK983">
        <v>0</v>
      </c>
      <c r="BL983">
        <v>0</v>
      </c>
      <c r="BM983">
        <v>0</v>
      </c>
      <c r="BN983">
        <v>0</v>
      </c>
      <c r="BO983">
        <v>0</v>
      </c>
      <c r="BP983">
        <v>0</v>
      </c>
      <c r="BQ983">
        <v>0</v>
      </c>
      <c r="BR983">
        <v>0</v>
      </c>
      <c r="BS983">
        <v>0</v>
      </c>
      <c r="BT983">
        <v>0</v>
      </c>
      <c r="BU983">
        <v>0</v>
      </c>
      <c r="BV983">
        <v>0</v>
      </c>
      <c r="BW983">
        <v>0</v>
      </c>
      <c r="CX983">
        <f>ROUND(Y983*Source!I1137,9)</f>
        <v>8</v>
      </c>
      <c r="CY983">
        <f t="shared" si="482"/>
        <v>14.11</v>
      </c>
      <c r="CZ983">
        <f t="shared" si="483"/>
        <v>14.11</v>
      </c>
      <c r="DA983">
        <f t="shared" si="484"/>
        <v>1</v>
      </c>
      <c r="DB983">
        <f t="shared" si="485"/>
        <v>4515.2</v>
      </c>
      <c r="DC983">
        <f t="shared" si="486"/>
        <v>0</v>
      </c>
      <c r="DD983" t="s">
        <v>3</v>
      </c>
      <c r="DE983" t="s">
        <v>3</v>
      </c>
      <c r="DF983">
        <f t="shared" si="480"/>
        <v>112.88</v>
      </c>
      <c r="DG983">
        <f t="shared" si="478"/>
        <v>0</v>
      </c>
      <c r="DH983">
        <f t="shared" si="479"/>
        <v>0</v>
      </c>
      <c r="DI983">
        <f t="shared" si="477"/>
        <v>0</v>
      </c>
      <c r="DJ983">
        <f t="shared" si="487"/>
        <v>112.88</v>
      </c>
      <c r="DK983">
        <v>0</v>
      </c>
    </row>
    <row r="984" spans="1:115" x14ac:dyDescent="0.2">
      <c r="A984">
        <f>ROW(Source!A1138)</f>
        <v>1138</v>
      </c>
      <c r="B984">
        <v>129761633</v>
      </c>
      <c r="C984">
        <v>129764355</v>
      </c>
      <c r="D984">
        <v>37345142</v>
      </c>
      <c r="E984">
        <v>37345137</v>
      </c>
      <c r="F984">
        <v>1</v>
      </c>
      <c r="G984">
        <v>37345137</v>
      </c>
      <c r="H984">
        <v>1</v>
      </c>
      <c r="I984" t="s">
        <v>1096</v>
      </c>
      <c r="J984" t="s">
        <v>3</v>
      </c>
      <c r="K984" t="s">
        <v>1097</v>
      </c>
      <c r="L984">
        <v>1191</v>
      </c>
      <c r="N984">
        <v>1013</v>
      </c>
      <c r="O984" t="s">
        <v>1098</v>
      </c>
      <c r="P984" t="s">
        <v>1098</v>
      </c>
      <c r="Q984">
        <v>1</v>
      </c>
      <c r="W984">
        <v>0</v>
      </c>
      <c r="X984">
        <v>476480486</v>
      </c>
      <c r="Y984">
        <f>(AT984*1.15)</f>
        <v>64.399999999999991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1</v>
      </c>
      <c r="AJ984">
        <v>1</v>
      </c>
      <c r="AK984">
        <v>1</v>
      </c>
      <c r="AL984">
        <v>1</v>
      </c>
      <c r="AN984">
        <v>0</v>
      </c>
      <c r="AO984">
        <v>1</v>
      </c>
      <c r="AP984">
        <v>1</v>
      </c>
      <c r="AQ984">
        <v>0</v>
      </c>
      <c r="AR984">
        <v>0</v>
      </c>
      <c r="AS984" t="s">
        <v>3</v>
      </c>
      <c r="AT984">
        <v>56</v>
      </c>
      <c r="AU984" t="s">
        <v>87</v>
      </c>
      <c r="AV984">
        <v>1</v>
      </c>
      <c r="AW984">
        <v>2</v>
      </c>
      <c r="AX984">
        <v>129764367</v>
      </c>
      <c r="AY984">
        <v>1</v>
      </c>
      <c r="AZ984">
        <v>0</v>
      </c>
      <c r="BA984">
        <v>951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0</v>
      </c>
      <c r="BL984">
        <v>0</v>
      </c>
      <c r="BM984">
        <v>0</v>
      </c>
      <c r="BN984">
        <v>0</v>
      </c>
      <c r="BO984">
        <v>0</v>
      </c>
      <c r="BP984">
        <v>0</v>
      </c>
      <c r="BQ984">
        <v>0</v>
      </c>
      <c r="BR984">
        <v>0</v>
      </c>
      <c r="BS984">
        <v>0</v>
      </c>
      <c r="BT984">
        <v>0</v>
      </c>
      <c r="BU984">
        <v>0</v>
      </c>
      <c r="BV984">
        <v>0</v>
      </c>
      <c r="BW984">
        <v>0</v>
      </c>
      <c r="CX984">
        <f>ROUND(Y984*Source!I1138,9)</f>
        <v>1.61</v>
      </c>
      <c r="CY984">
        <f>AD984</f>
        <v>0</v>
      </c>
      <c r="CZ984">
        <f>AH984</f>
        <v>0</v>
      </c>
      <c r="DA984">
        <f>AL984</f>
        <v>1</v>
      </c>
      <c r="DB984">
        <f>ROUND((ROUND(AT984*CZ984,2)*1.15),6)</f>
        <v>0</v>
      </c>
      <c r="DC984">
        <f>ROUND((ROUND(AT984*AG984,2)*1.15),6)</f>
        <v>0</v>
      </c>
      <c r="DD984" t="s">
        <v>3</v>
      </c>
      <c r="DE984" t="s">
        <v>3</v>
      </c>
      <c r="DF984">
        <f t="shared" si="480"/>
        <v>0</v>
      </c>
      <c r="DG984">
        <f t="shared" si="478"/>
        <v>0</v>
      </c>
      <c r="DH984">
        <f t="shared" si="479"/>
        <v>0</v>
      </c>
      <c r="DI984">
        <f t="shared" si="477"/>
        <v>0</v>
      </c>
      <c r="DJ984">
        <f>DI984</f>
        <v>0</v>
      </c>
      <c r="DK984">
        <v>0</v>
      </c>
    </row>
    <row r="985" spans="1:115" x14ac:dyDescent="0.2">
      <c r="A985">
        <f>ROW(Source!A1138)</f>
        <v>1138</v>
      </c>
      <c r="B985">
        <v>129761633</v>
      </c>
      <c r="C985">
        <v>129764355</v>
      </c>
      <c r="D985">
        <v>37345890</v>
      </c>
      <c r="E985">
        <v>37345137</v>
      </c>
      <c r="F985">
        <v>1</v>
      </c>
      <c r="G985">
        <v>37345137</v>
      </c>
      <c r="H985">
        <v>2</v>
      </c>
      <c r="I985" t="s">
        <v>1145</v>
      </c>
      <c r="J985" t="s">
        <v>3</v>
      </c>
      <c r="K985" t="s">
        <v>1146</v>
      </c>
      <c r="L985">
        <v>1344</v>
      </c>
      <c r="N985">
        <v>1008</v>
      </c>
      <c r="O985" t="s">
        <v>1138</v>
      </c>
      <c r="P985" t="s">
        <v>1138</v>
      </c>
      <c r="Q985">
        <v>1</v>
      </c>
      <c r="W985">
        <v>0</v>
      </c>
      <c r="X985">
        <v>-1180195794</v>
      </c>
      <c r="Y985">
        <f>(AT985*1.25)</f>
        <v>21.162500000000001</v>
      </c>
      <c r="AA985">
        <v>0</v>
      </c>
      <c r="AB985">
        <v>1.07</v>
      </c>
      <c r="AC985">
        <v>0</v>
      </c>
      <c r="AD985">
        <v>0</v>
      </c>
      <c r="AE985">
        <v>0</v>
      </c>
      <c r="AF985">
        <v>1</v>
      </c>
      <c r="AG985">
        <v>0</v>
      </c>
      <c r="AH985">
        <v>0</v>
      </c>
      <c r="AI985">
        <v>1</v>
      </c>
      <c r="AJ985">
        <v>1</v>
      </c>
      <c r="AK985">
        <v>1</v>
      </c>
      <c r="AL985">
        <v>1</v>
      </c>
      <c r="AN985">
        <v>0</v>
      </c>
      <c r="AO985">
        <v>1</v>
      </c>
      <c r="AP985">
        <v>1</v>
      </c>
      <c r="AQ985">
        <v>0</v>
      </c>
      <c r="AR985">
        <v>0</v>
      </c>
      <c r="AS985" t="s">
        <v>3</v>
      </c>
      <c r="AT985">
        <v>16.93</v>
      </c>
      <c r="AU985" t="s">
        <v>86</v>
      </c>
      <c r="AV985">
        <v>0</v>
      </c>
      <c r="AW985">
        <v>2</v>
      </c>
      <c r="AX985">
        <v>129764368</v>
      </c>
      <c r="AY985">
        <v>1</v>
      </c>
      <c r="AZ985">
        <v>0</v>
      </c>
      <c r="BA985">
        <v>952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0</v>
      </c>
      <c r="BK985">
        <v>0</v>
      </c>
      <c r="BL985">
        <v>0</v>
      </c>
      <c r="BM985">
        <v>0</v>
      </c>
      <c r="BN985">
        <v>0</v>
      </c>
      <c r="BO985">
        <v>0</v>
      </c>
      <c r="BP985">
        <v>0</v>
      </c>
      <c r="BQ985">
        <v>0</v>
      </c>
      <c r="BR985">
        <v>0</v>
      </c>
      <c r="BS985">
        <v>0</v>
      </c>
      <c r="BT985">
        <v>0</v>
      </c>
      <c r="BU985">
        <v>0</v>
      </c>
      <c r="BV985">
        <v>0</v>
      </c>
      <c r="BW985">
        <v>0</v>
      </c>
      <c r="CX985">
        <f>ROUND(Y985*Source!I1138,9)</f>
        <v>0.52906249999999999</v>
      </c>
      <c r="CY985">
        <f>AB985</f>
        <v>1.07</v>
      </c>
      <c r="CZ985">
        <f>AF985</f>
        <v>1</v>
      </c>
      <c r="DA985">
        <f>AJ985</f>
        <v>1</v>
      </c>
      <c r="DB985">
        <f>ROUND((ROUND(AT985*CZ985,2)*1.25),6)</f>
        <v>21.162500000000001</v>
      </c>
      <c r="DC985">
        <f>ROUND((ROUND(AT985*AG985,2)*1.25),6)</f>
        <v>0</v>
      </c>
      <c r="DD985" t="s">
        <v>3</v>
      </c>
      <c r="DE985" t="s">
        <v>3</v>
      </c>
      <c r="DF985">
        <f t="shared" si="480"/>
        <v>0</v>
      </c>
      <c r="DG985">
        <f t="shared" si="478"/>
        <v>0.53</v>
      </c>
      <c r="DH985">
        <f t="shared" si="479"/>
        <v>0</v>
      </c>
      <c r="DI985">
        <f t="shared" si="477"/>
        <v>0</v>
      </c>
      <c r="DJ985">
        <f>DG985</f>
        <v>0.53</v>
      </c>
      <c r="DK985">
        <v>0</v>
      </c>
    </row>
    <row r="986" spans="1:115" x14ac:dyDescent="0.2">
      <c r="A986">
        <f>ROW(Source!A1138)</f>
        <v>1138</v>
      </c>
      <c r="B986">
        <v>129761633</v>
      </c>
      <c r="C986">
        <v>129764355</v>
      </c>
      <c r="D986">
        <v>37398845</v>
      </c>
      <c r="E986">
        <v>1</v>
      </c>
      <c r="F986">
        <v>1</v>
      </c>
      <c r="G986">
        <v>37345137</v>
      </c>
      <c r="H986">
        <v>3</v>
      </c>
      <c r="I986" t="s">
        <v>933</v>
      </c>
      <c r="J986" t="s">
        <v>935</v>
      </c>
      <c r="K986" t="s">
        <v>934</v>
      </c>
      <c r="L986">
        <v>1354</v>
      </c>
      <c r="N986">
        <v>1010</v>
      </c>
      <c r="O986" t="s">
        <v>250</v>
      </c>
      <c r="P986" t="s">
        <v>250</v>
      </c>
      <c r="Q986">
        <v>1</v>
      </c>
      <c r="W986">
        <v>0</v>
      </c>
      <c r="X986">
        <v>-223219986</v>
      </c>
      <c r="Y986">
        <f t="shared" ref="Y986:Y994" si="488">AT986</f>
        <v>40</v>
      </c>
      <c r="AA986">
        <v>135.05000000000001</v>
      </c>
      <c r="AB986">
        <v>0</v>
      </c>
      <c r="AC986">
        <v>0</v>
      </c>
      <c r="AD986">
        <v>0</v>
      </c>
      <c r="AE986">
        <v>45.47</v>
      </c>
      <c r="AF986">
        <v>0</v>
      </c>
      <c r="AG986">
        <v>0</v>
      </c>
      <c r="AH986">
        <v>0</v>
      </c>
      <c r="AI986">
        <v>2.97</v>
      </c>
      <c r="AJ986">
        <v>1</v>
      </c>
      <c r="AK986">
        <v>1</v>
      </c>
      <c r="AL986">
        <v>1</v>
      </c>
      <c r="AN986">
        <v>0</v>
      </c>
      <c r="AO986">
        <v>0</v>
      </c>
      <c r="AP986">
        <v>0</v>
      </c>
      <c r="AQ986">
        <v>0</v>
      </c>
      <c r="AR986">
        <v>0</v>
      </c>
      <c r="AS986" t="s">
        <v>3</v>
      </c>
      <c r="AT986">
        <v>40</v>
      </c>
      <c r="AU986" t="s">
        <v>3</v>
      </c>
      <c r="AV986">
        <v>0</v>
      </c>
      <c r="AW986">
        <v>1</v>
      </c>
      <c r="AX986">
        <v>-1</v>
      </c>
      <c r="AY986">
        <v>0</v>
      </c>
      <c r="AZ986">
        <v>0</v>
      </c>
      <c r="BA986" t="s">
        <v>3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0</v>
      </c>
      <c r="BR986">
        <v>0</v>
      </c>
      <c r="BS986">
        <v>0</v>
      </c>
      <c r="BT986">
        <v>0</v>
      </c>
      <c r="BU986">
        <v>0</v>
      </c>
      <c r="BV986">
        <v>0</v>
      </c>
      <c r="BW986">
        <v>0</v>
      </c>
      <c r="CX986">
        <f>ROUND(Y986*Source!I1138,9)</f>
        <v>1</v>
      </c>
      <c r="CY986">
        <f t="shared" ref="CY986:CY994" si="489">AA986</f>
        <v>135.05000000000001</v>
      </c>
      <c r="CZ986">
        <f t="shared" ref="CZ986:CZ994" si="490">AE986</f>
        <v>45.47</v>
      </c>
      <c r="DA986">
        <f t="shared" ref="DA986:DA994" si="491">AI986</f>
        <v>2.97</v>
      </c>
      <c r="DB986">
        <f t="shared" ref="DB986:DB994" si="492">ROUND(ROUND(AT986*CZ986,2),6)</f>
        <v>1818.8</v>
      </c>
      <c r="DC986">
        <f t="shared" ref="DC986:DC994" si="493">ROUND(ROUND(AT986*AG986,2),6)</f>
        <v>0</v>
      </c>
      <c r="DD986" t="s">
        <v>3</v>
      </c>
      <c r="DE986" t="s">
        <v>3</v>
      </c>
      <c r="DF986">
        <f t="shared" ref="DF986:DF994" si="494">ROUND(ROUND(AE986*CX986,2)*AI986,2)</f>
        <v>135.05000000000001</v>
      </c>
      <c r="DG986">
        <f t="shared" si="478"/>
        <v>0</v>
      </c>
      <c r="DH986">
        <f t="shared" si="479"/>
        <v>0</v>
      </c>
      <c r="DI986">
        <f t="shared" si="477"/>
        <v>0</v>
      </c>
      <c r="DJ986">
        <f t="shared" ref="DJ986:DJ994" si="495">DF986</f>
        <v>135.05000000000001</v>
      </c>
      <c r="DK986">
        <v>0</v>
      </c>
    </row>
    <row r="987" spans="1:115" x14ac:dyDescent="0.2">
      <c r="A987">
        <f>ROW(Source!A1138)</f>
        <v>1138</v>
      </c>
      <c r="B987">
        <v>129761633</v>
      </c>
      <c r="C987">
        <v>129764355</v>
      </c>
      <c r="D987">
        <v>37398856</v>
      </c>
      <c r="E987">
        <v>1</v>
      </c>
      <c r="F987">
        <v>1</v>
      </c>
      <c r="G987">
        <v>37345137</v>
      </c>
      <c r="H987">
        <v>3</v>
      </c>
      <c r="I987" t="s">
        <v>937</v>
      </c>
      <c r="J987" t="s">
        <v>939</v>
      </c>
      <c r="K987" t="s">
        <v>938</v>
      </c>
      <c r="L987">
        <v>1354</v>
      </c>
      <c r="N987">
        <v>1010</v>
      </c>
      <c r="O987" t="s">
        <v>250</v>
      </c>
      <c r="P987" t="s">
        <v>250</v>
      </c>
      <c r="Q987">
        <v>1</v>
      </c>
      <c r="W987">
        <v>0</v>
      </c>
      <c r="X987">
        <v>-1435451611</v>
      </c>
      <c r="Y987">
        <f t="shared" si="488"/>
        <v>40</v>
      </c>
      <c r="AA987">
        <v>78.44</v>
      </c>
      <c r="AB987">
        <v>0</v>
      </c>
      <c r="AC987">
        <v>0</v>
      </c>
      <c r="AD987">
        <v>0</v>
      </c>
      <c r="AE987">
        <v>26.59</v>
      </c>
      <c r="AF987">
        <v>0</v>
      </c>
      <c r="AG987">
        <v>0</v>
      </c>
      <c r="AH987">
        <v>0</v>
      </c>
      <c r="AI987">
        <v>2.95</v>
      </c>
      <c r="AJ987">
        <v>1</v>
      </c>
      <c r="AK987">
        <v>1</v>
      </c>
      <c r="AL987">
        <v>1</v>
      </c>
      <c r="AN987">
        <v>0</v>
      </c>
      <c r="AO987">
        <v>0</v>
      </c>
      <c r="AP987">
        <v>0</v>
      </c>
      <c r="AQ987">
        <v>0</v>
      </c>
      <c r="AR987">
        <v>0</v>
      </c>
      <c r="AS987" t="s">
        <v>3</v>
      </c>
      <c r="AT987">
        <v>40</v>
      </c>
      <c r="AU987" t="s">
        <v>3</v>
      </c>
      <c r="AV987">
        <v>0</v>
      </c>
      <c r="AW987">
        <v>1</v>
      </c>
      <c r="AX987">
        <v>-1</v>
      </c>
      <c r="AY987">
        <v>0</v>
      </c>
      <c r="AZ987">
        <v>0</v>
      </c>
      <c r="BA987" t="s">
        <v>3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0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0</v>
      </c>
      <c r="BR987">
        <v>0</v>
      </c>
      <c r="BS987">
        <v>0</v>
      </c>
      <c r="BT987">
        <v>0</v>
      </c>
      <c r="BU987">
        <v>0</v>
      </c>
      <c r="BV987">
        <v>0</v>
      </c>
      <c r="BW987">
        <v>0</v>
      </c>
      <c r="CX987">
        <f>ROUND(Y987*Source!I1138,9)</f>
        <v>1</v>
      </c>
      <c r="CY987">
        <f t="shared" si="489"/>
        <v>78.44</v>
      </c>
      <c r="CZ987">
        <f t="shared" si="490"/>
        <v>26.59</v>
      </c>
      <c r="DA987">
        <f t="shared" si="491"/>
        <v>2.95</v>
      </c>
      <c r="DB987">
        <f t="shared" si="492"/>
        <v>1063.5999999999999</v>
      </c>
      <c r="DC987">
        <f t="shared" si="493"/>
        <v>0</v>
      </c>
      <c r="DD987" t="s">
        <v>3</v>
      </c>
      <c r="DE987" t="s">
        <v>3</v>
      </c>
      <c r="DF987">
        <f t="shared" si="494"/>
        <v>78.44</v>
      </c>
      <c r="DG987">
        <f t="shared" si="478"/>
        <v>0</v>
      </c>
      <c r="DH987">
        <f t="shared" si="479"/>
        <v>0</v>
      </c>
      <c r="DI987">
        <f t="shared" si="477"/>
        <v>0</v>
      </c>
      <c r="DJ987">
        <f t="shared" si="495"/>
        <v>78.44</v>
      </c>
      <c r="DK987">
        <v>0</v>
      </c>
    </row>
    <row r="988" spans="1:115" x14ac:dyDescent="0.2">
      <c r="A988">
        <f>ROW(Source!A1138)</f>
        <v>1138</v>
      </c>
      <c r="B988">
        <v>129761633</v>
      </c>
      <c r="C988">
        <v>129764355</v>
      </c>
      <c r="D988">
        <v>37398761</v>
      </c>
      <c r="E988">
        <v>1</v>
      </c>
      <c r="F988">
        <v>1</v>
      </c>
      <c r="G988">
        <v>37345137</v>
      </c>
      <c r="H988">
        <v>3</v>
      </c>
      <c r="I988" t="s">
        <v>922</v>
      </c>
      <c r="J988" t="s">
        <v>924</v>
      </c>
      <c r="K988" t="s">
        <v>923</v>
      </c>
      <c r="L988">
        <v>1301</v>
      </c>
      <c r="N988">
        <v>1003</v>
      </c>
      <c r="O988" t="s">
        <v>270</v>
      </c>
      <c r="P988" t="s">
        <v>270</v>
      </c>
      <c r="Q988">
        <v>1</v>
      </c>
      <c r="W988">
        <v>0</v>
      </c>
      <c r="X988">
        <v>1389394290</v>
      </c>
      <c r="Y988">
        <f t="shared" si="488"/>
        <v>99.8</v>
      </c>
      <c r="AA988">
        <v>273.27999999999997</v>
      </c>
      <c r="AB988">
        <v>0</v>
      </c>
      <c r="AC988">
        <v>0</v>
      </c>
      <c r="AD988">
        <v>0</v>
      </c>
      <c r="AE988">
        <v>64.3</v>
      </c>
      <c r="AF988">
        <v>0</v>
      </c>
      <c r="AG988">
        <v>0</v>
      </c>
      <c r="AH988">
        <v>0</v>
      </c>
      <c r="AI988">
        <v>4.25</v>
      </c>
      <c r="AJ988">
        <v>1</v>
      </c>
      <c r="AK988">
        <v>1</v>
      </c>
      <c r="AL988">
        <v>1</v>
      </c>
      <c r="AN988">
        <v>0</v>
      </c>
      <c r="AO988">
        <v>0</v>
      </c>
      <c r="AP988">
        <v>0</v>
      </c>
      <c r="AQ988">
        <v>0</v>
      </c>
      <c r="AR988">
        <v>0</v>
      </c>
      <c r="AS988" t="s">
        <v>3</v>
      </c>
      <c r="AT988">
        <v>99.8</v>
      </c>
      <c r="AU988" t="s">
        <v>3</v>
      </c>
      <c r="AV988">
        <v>0</v>
      </c>
      <c r="AW988">
        <v>1</v>
      </c>
      <c r="AX988">
        <v>-1</v>
      </c>
      <c r="AY988">
        <v>0</v>
      </c>
      <c r="AZ988">
        <v>0</v>
      </c>
      <c r="BA988" t="s">
        <v>3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0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0</v>
      </c>
      <c r="BR988">
        <v>0</v>
      </c>
      <c r="BS988">
        <v>0</v>
      </c>
      <c r="BT988">
        <v>0</v>
      </c>
      <c r="BU988">
        <v>0</v>
      </c>
      <c r="BV988">
        <v>0</v>
      </c>
      <c r="BW988">
        <v>0</v>
      </c>
      <c r="CX988">
        <f>ROUND(Y988*Source!I1138,9)</f>
        <v>2.4950000000000001</v>
      </c>
      <c r="CY988">
        <f t="shared" si="489"/>
        <v>273.27999999999997</v>
      </c>
      <c r="CZ988">
        <f t="shared" si="490"/>
        <v>64.3</v>
      </c>
      <c r="DA988">
        <f t="shared" si="491"/>
        <v>4.25</v>
      </c>
      <c r="DB988">
        <f t="shared" si="492"/>
        <v>6417.14</v>
      </c>
      <c r="DC988">
        <f t="shared" si="493"/>
        <v>0</v>
      </c>
      <c r="DD988" t="s">
        <v>3</v>
      </c>
      <c r="DE988" t="s">
        <v>3</v>
      </c>
      <c r="DF988">
        <f t="shared" si="494"/>
        <v>681.83</v>
      </c>
      <c r="DG988">
        <f t="shared" si="478"/>
        <v>0</v>
      </c>
      <c r="DH988">
        <f t="shared" si="479"/>
        <v>0</v>
      </c>
      <c r="DI988">
        <f t="shared" si="477"/>
        <v>0</v>
      </c>
      <c r="DJ988">
        <f t="shared" si="495"/>
        <v>681.83</v>
      </c>
      <c r="DK988">
        <v>0</v>
      </c>
    </row>
    <row r="989" spans="1:115" x14ac:dyDescent="0.2">
      <c r="A989">
        <f>ROW(Source!A1138)</f>
        <v>1138</v>
      </c>
      <c r="B989">
        <v>129761633</v>
      </c>
      <c r="C989">
        <v>129764355</v>
      </c>
      <c r="D989">
        <v>37398807</v>
      </c>
      <c r="E989">
        <v>1</v>
      </c>
      <c r="F989">
        <v>1</v>
      </c>
      <c r="G989">
        <v>37345137</v>
      </c>
      <c r="H989">
        <v>3</v>
      </c>
      <c r="I989" t="s">
        <v>925</v>
      </c>
      <c r="J989" t="s">
        <v>927</v>
      </c>
      <c r="K989" t="s">
        <v>926</v>
      </c>
      <c r="L989">
        <v>1354</v>
      </c>
      <c r="N989">
        <v>1010</v>
      </c>
      <c r="O989" t="s">
        <v>250</v>
      </c>
      <c r="P989" t="s">
        <v>250</v>
      </c>
      <c r="Q989">
        <v>1</v>
      </c>
      <c r="W989">
        <v>0</v>
      </c>
      <c r="X989">
        <v>143574440</v>
      </c>
      <c r="Y989">
        <f t="shared" si="488"/>
        <v>40</v>
      </c>
      <c r="AA989">
        <v>181.39</v>
      </c>
      <c r="AB989">
        <v>0</v>
      </c>
      <c r="AC989">
        <v>0</v>
      </c>
      <c r="AD989">
        <v>0</v>
      </c>
      <c r="AE989">
        <v>28.21</v>
      </c>
      <c r="AF989">
        <v>0</v>
      </c>
      <c r="AG989">
        <v>0</v>
      </c>
      <c r="AH989">
        <v>0</v>
      </c>
      <c r="AI989">
        <v>6.43</v>
      </c>
      <c r="AJ989">
        <v>1</v>
      </c>
      <c r="AK989">
        <v>1</v>
      </c>
      <c r="AL989">
        <v>1</v>
      </c>
      <c r="AN989">
        <v>0</v>
      </c>
      <c r="AO989">
        <v>0</v>
      </c>
      <c r="AP989">
        <v>0</v>
      </c>
      <c r="AQ989">
        <v>0</v>
      </c>
      <c r="AR989">
        <v>0</v>
      </c>
      <c r="AS989" t="s">
        <v>3</v>
      </c>
      <c r="AT989">
        <v>40</v>
      </c>
      <c r="AU989" t="s">
        <v>3</v>
      </c>
      <c r="AV989">
        <v>0</v>
      </c>
      <c r="AW989">
        <v>1</v>
      </c>
      <c r="AX989">
        <v>-1</v>
      </c>
      <c r="AY989">
        <v>0</v>
      </c>
      <c r="AZ989">
        <v>0</v>
      </c>
      <c r="BA989" t="s">
        <v>3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0</v>
      </c>
      <c r="BK989">
        <v>0</v>
      </c>
      <c r="BL989">
        <v>0</v>
      </c>
      <c r="BM989">
        <v>0</v>
      </c>
      <c r="BN989">
        <v>0</v>
      </c>
      <c r="BO989">
        <v>0</v>
      </c>
      <c r="BP989">
        <v>0</v>
      </c>
      <c r="BQ989">
        <v>0</v>
      </c>
      <c r="BR989">
        <v>0</v>
      </c>
      <c r="BS989">
        <v>0</v>
      </c>
      <c r="BT989">
        <v>0</v>
      </c>
      <c r="BU989">
        <v>0</v>
      </c>
      <c r="BV989">
        <v>0</v>
      </c>
      <c r="BW989">
        <v>0</v>
      </c>
      <c r="CX989">
        <f>ROUND(Y989*Source!I1138,9)</f>
        <v>1</v>
      </c>
      <c r="CY989">
        <f t="shared" si="489"/>
        <v>181.39</v>
      </c>
      <c r="CZ989">
        <f t="shared" si="490"/>
        <v>28.21</v>
      </c>
      <c r="DA989">
        <f t="shared" si="491"/>
        <v>6.43</v>
      </c>
      <c r="DB989">
        <f t="shared" si="492"/>
        <v>1128.4000000000001</v>
      </c>
      <c r="DC989">
        <f t="shared" si="493"/>
        <v>0</v>
      </c>
      <c r="DD989" t="s">
        <v>3</v>
      </c>
      <c r="DE989" t="s">
        <v>3</v>
      </c>
      <c r="DF989">
        <f t="shared" si="494"/>
        <v>181.39</v>
      </c>
      <c r="DG989">
        <f t="shared" si="478"/>
        <v>0</v>
      </c>
      <c r="DH989">
        <f t="shared" si="479"/>
        <v>0</v>
      </c>
      <c r="DI989">
        <f t="shared" si="477"/>
        <v>0</v>
      </c>
      <c r="DJ989">
        <f t="shared" si="495"/>
        <v>181.39</v>
      </c>
      <c r="DK989">
        <v>0</v>
      </c>
    </row>
    <row r="990" spans="1:115" x14ac:dyDescent="0.2">
      <c r="A990">
        <f>ROW(Source!A1138)</f>
        <v>1138</v>
      </c>
      <c r="B990">
        <v>129761633</v>
      </c>
      <c r="C990">
        <v>129764355</v>
      </c>
      <c r="D990">
        <v>37398814</v>
      </c>
      <c r="E990">
        <v>1</v>
      </c>
      <c r="F990">
        <v>1</v>
      </c>
      <c r="G990">
        <v>37345137</v>
      </c>
      <c r="H990">
        <v>3</v>
      </c>
      <c r="I990" t="s">
        <v>929</v>
      </c>
      <c r="J990" t="s">
        <v>931</v>
      </c>
      <c r="K990" t="s">
        <v>930</v>
      </c>
      <c r="L990">
        <v>1354</v>
      </c>
      <c r="N990">
        <v>1010</v>
      </c>
      <c r="O990" t="s">
        <v>250</v>
      </c>
      <c r="P990" t="s">
        <v>250</v>
      </c>
      <c r="Q990">
        <v>1</v>
      </c>
      <c r="W990">
        <v>0</v>
      </c>
      <c r="X990">
        <v>-1706121595</v>
      </c>
      <c r="Y990">
        <f t="shared" si="488"/>
        <v>80</v>
      </c>
      <c r="AA990">
        <v>157.32</v>
      </c>
      <c r="AB990">
        <v>0</v>
      </c>
      <c r="AC990">
        <v>0</v>
      </c>
      <c r="AD990">
        <v>0</v>
      </c>
      <c r="AE990">
        <v>18.399999999999999</v>
      </c>
      <c r="AF990">
        <v>0</v>
      </c>
      <c r="AG990">
        <v>0</v>
      </c>
      <c r="AH990">
        <v>0</v>
      </c>
      <c r="AI990">
        <v>8.5500000000000007</v>
      </c>
      <c r="AJ990">
        <v>1</v>
      </c>
      <c r="AK990">
        <v>1</v>
      </c>
      <c r="AL990">
        <v>1</v>
      </c>
      <c r="AN990">
        <v>0</v>
      </c>
      <c r="AO990">
        <v>0</v>
      </c>
      <c r="AP990">
        <v>0</v>
      </c>
      <c r="AQ990">
        <v>0</v>
      </c>
      <c r="AR990">
        <v>0</v>
      </c>
      <c r="AS990" t="s">
        <v>3</v>
      </c>
      <c r="AT990">
        <v>80</v>
      </c>
      <c r="AU990" t="s">
        <v>3</v>
      </c>
      <c r="AV990">
        <v>0</v>
      </c>
      <c r="AW990">
        <v>1</v>
      </c>
      <c r="AX990">
        <v>-1</v>
      </c>
      <c r="AY990">
        <v>0</v>
      </c>
      <c r="AZ990">
        <v>0</v>
      </c>
      <c r="BA990" t="s">
        <v>3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0</v>
      </c>
      <c r="BR990">
        <v>0</v>
      </c>
      <c r="BS990">
        <v>0</v>
      </c>
      <c r="BT990">
        <v>0</v>
      </c>
      <c r="BU990">
        <v>0</v>
      </c>
      <c r="BV990">
        <v>0</v>
      </c>
      <c r="BW990">
        <v>0</v>
      </c>
      <c r="CX990">
        <f>ROUND(Y990*Source!I1138,9)</f>
        <v>2</v>
      </c>
      <c r="CY990">
        <f t="shared" si="489"/>
        <v>157.32</v>
      </c>
      <c r="CZ990">
        <f t="shared" si="490"/>
        <v>18.399999999999999</v>
      </c>
      <c r="DA990">
        <f t="shared" si="491"/>
        <v>8.5500000000000007</v>
      </c>
      <c r="DB990">
        <f t="shared" si="492"/>
        <v>1472</v>
      </c>
      <c r="DC990">
        <f t="shared" si="493"/>
        <v>0</v>
      </c>
      <c r="DD990" t="s">
        <v>3</v>
      </c>
      <c r="DE990" t="s">
        <v>3</v>
      </c>
      <c r="DF990">
        <f t="shared" si="494"/>
        <v>314.64</v>
      </c>
      <c r="DG990">
        <f t="shared" si="478"/>
        <v>0</v>
      </c>
      <c r="DH990">
        <f t="shared" si="479"/>
        <v>0</v>
      </c>
      <c r="DI990">
        <f t="shared" si="477"/>
        <v>0</v>
      </c>
      <c r="DJ990">
        <f t="shared" si="495"/>
        <v>314.64</v>
      </c>
      <c r="DK990">
        <v>0</v>
      </c>
    </row>
    <row r="991" spans="1:115" x14ac:dyDescent="0.2">
      <c r="A991">
        <f>ROW(Source!A1138)</f>
        <v>1138</v>
      </c>
      <c r="B991">
        <v>129761633</v>
      </c>
      <c r="C991">
        <v>129764355</v>
      </c>
      <c r="D991">
        <v>37400658</v>
      </c>
      <c r="E991">
        <v>1</v>
      </c>
      <c r="F991">
        <v>1</v>
      </c>
      <c r="G991">
        <v>37345137</v>
      </c>
      <c r="H991">
        <v>3</v>
      </c>
      <c r="I991" t="s">
        <v>944</v>
      </c>
      <c r="J991" t="s">
        <v>946</v>
      </c>
      <c r="K991" t="s">
        <v>945</v>
      </c>
      <c r="L991">
        <v>1354</v>
      </c>
      <c r="N991">
        <v>1010</v>
      </c>
      <c r="O991" t="s">
        <v>250</v>
      </c>
      <c r="P991" t="s">
        <v>250</v>
      </c>
      <c r="Q991">
        <v>1</v>
      </c>
      <c r="W991">
        <v>0</v>
      </c>
      <c r="X991">
        <v>-155671744</v>
      </c>
      <c r="Y991">
        <f t="shared" si="488"/>
        <v>40</v>
      </c>
      <c r="AA991">
        <v>14.17</v>
      </c>
      <c r="AB991">
        <v>0</v>
      </c>
      <c r="AC991">
        <v>0</v>
      </c>
      <c r="AD991">
        <v>0</v>
      </c>
      <c r="AE991">
        <v>3.35</v>
      </c>
      <c r="AF991">
        <v>0</v>
      </c>
      <c r="AG991">
        <v>0</v>
      </c>
      <c r="AH991">
        <v>0</v>
      </c>
      <c r="AI991">
        <v>4.2300000000000004</v>
      </c>
      <c r="AJ991">
        <v>1</v>
      </c>
      <c r="AK991">
        <v>1</v>
      </c>
      <c r="AL991">
        <v>1</v>
      </c>
      <c r="AN991">
        <v>0</v>
      </c>
      <c r="AO991">
        <v>0</v>
      </c>
      <c r="AP991">
        <v>0</v>
      </c>
      <c r="AQ991">
        <v>0</v>
      </c>
      <c r="AR991">
        <v>0</v>
      </c>
      <c r="AS991" t="s">
        <v>3</v>
      </c>
      <c r="AT991">
        <v>40</v>
      </c>
      <c r="AU991" t="s">
        <v>3</v>
      </c>
      <c r="AV991">
        <v>0</v>
      </c>
      <c r="AW991">
        <v>1</v>
      </c>
      <c r="AX991">
        <v>-1</v>
      </c>
      <c r="AY991">
        <v>0</v>
      </c>
      <c r="AZ991">
        <v>0</v>
      </c>
      <c r="BA991" t="s">
        <v>3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0</v>
      </c>
      <c r="BN991">
        <v>0</v>
      </c>
      <c r="BO991">
        <v>0</v>
      </c>
      <c r="BP991">
        <v>0</v>
      </c>
      <c r="BQ991">
        <v>0</v>
      </c>
      <c r="BR991">
        <v>0</v>
      </c>
      <c r="BS991">
        <v>0</v>
      </c>
      <c r="BT991">
        <v>0</v>
      </c>
      <c r="BU991">
        <v>0</v>
      </c>
      <c r="BV991">
        <v>0</v>
      </c>
      <c r="BW991">
        <v>0</v>
      </c>
      <c r="CX991">
        <f>ROUND(Y991*Source!I1138,9)</f>
        <v>1</v>
      </c>
      <c r="CY991">
        <f t="shared" si="489"/>
        <v>14.17</v>
      </c>
      <c r="CZ991">
        <f t="shared" si="490"/>
        <v>3.35</v>
      </c>
      <c r="DA991">
        <f t="shared" si="491"/>
        <v>4.2300000000000004</v>
      </c>
      <c r="DB991">
        <f t="shared" si="492"/>
        <v>134</v>
      </c>
      <c r="DC991">
        <f t="shared" si="493"/>
        <v>0</v>
      </c>
      <c r="DD991" t="s">
        <v>3</v>
      </c>
      <c r="DE991" t="s">
        <v>3</v>
      </c>
      <c r="DF991">
        <f t="shared" si="494"/>
        <v>14.17</v>
      </c>
      <c r="DG991">
        <f t="shared" si="478"/>
        <v>0</v>
      </c>
      <c r="DH991">
        <f t="shared" si="479"/>
        <v>0</v>
      </c>
      <c r="DI991">
        <f t="shared" si="477"/>
        <v>0</v>
      </c>
      <c r="DJ991">
        <f t="shared" si="495"/>
        <v>14.17</v>
      </c>
      <c r="DK991">
        <v>0</v>
      </c>
    </row>
    <row r="992" spans="1:115" x14ac:dyDescent="0.2">
      <c r="A992">
        <f>ROW(Source!A1138)</f>
        <v>1138</v>
      </c>
      <c r="B992">
        <v>129761633</v>
      </c>
      <c r="C992">
        <v>129764355</v>
      </c>
      <c r="D992">
        <v>37367082</v>
      </c>
      <c r="E992">
        <v>37345137</v>
      </c>
      <c r="F992">
        <v>1</v>
      </c>
      <c r="G992">
        <v>37345137</v>
      </c>
      <c r="H992">
        <v>3</v>
      </c>
      <c r="I992" t="s">
        <v>1136</v>
      </c>
      <c r="J992" t="s">
        <v>3</v>
      </c>
      <c r="K992" t="s">
        <v>1137</v>
      </c>
      <c r="L992">
        <v>1344</v>
      </c>
      <c r="N992">
        <v>1008</v>
      </c>
      <c r="O992" t="s">
        <v>1138</v>
      </c>
      <c r="P992" t="s">
        <v>1138</v>
      </c>
      <c r="Q992">
        <v>1</v>
      </c>
      <c r="W992">
        <v>0</v>
      </c>
      <c r="X992">
        <v>-94250534</v>
      </c>
      <c r="Y992">
        <f t="shared" si="488"/>
        <v>252.56</v>
      </c>
      <c r="AA992">
        <v>8.65</v>
      </c>
      <c r="AB992">
        <v>0</v>
      </c>
      <c r="AC992">
        <v>0</v>
      </c>
      <c r="AD992">
        <v>0</v>
      </c>
      <c r="AE992">
        <v>1</v>
      </c>
      <c r="AF992">
        <v>0</v>
      </c>
      <c r="AG992">
        <v>0</v>
      </c>
      <c r="AH992">
        <v>0</v>
      </c>
      <c r="AI992">
        <v>8.65</v>
      </c>
      <c r="AJ992">
        <v>1</v>
      </c>
      <c r="AK992">
        <v>1</v>
      </c>
      <c r="AL992">
        <v>1</v>
      </c>
      <c r="AN992">
        <v>0</v>
      </c>
      <c r="AO992">
        <v>1</v>
      </c>
      <c r="AP992">
        <v>0</v>
      </c>
      <c r="AQ992">
        <v>0</v>
      </c>
      <c r="AR992">
        <v>0</v>
      </c>
      <c r="AS992" t="s">
        <v>3</v>
      </c>
      <c r="AT992">
        <v>252.56</v>
      </c>
      <c r="AU992" t="s">
        <v>3</v>
      </c>
      <c r="AV992">
        <v>0</v>
      </c>
      <c r="AW992">
        <v>2</v>
      </c>
      <c r="AX992">
        <v>129764372</v>
      </c>
      <c r="AY992">
        <v>1</v>
      </c>
      <c r="AZ992">
        <v>0</v>
      </c>
      <c r="BA992">
        <v>956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0</v>
      </c>
      <c r="BK992">
        <v>0</v>
      </c>
      <c r="BL992">
        <v>0</v>
      </c>
      <c r="BM992">
        <v>0</v>
      </c>
      <c r="BN992">
        <v>0</v>
      </c>
      <c r="BO992">
        <v>0</v>
      </c>
      <c r="BP992">
        <v>0</v>
      </c>
      <c r="BQ992">
        <v>0</v>
      </c>
      <c r="BR992">
        <v>0</v>
      </c>
      <c r="BS992">
        <v>0</v>
      </c>
      <c r="BT992">
        <v>0</v>
      </c>
      <c r="BU992">
        <v>0</v>
      </c>
      <c r="BV992">
        <v>0</v>
      </c>
      <c r="BW992">
        <v>0</v>
      </c>
      <c r="CX992">
        <f>ROUND(Y992*Source!I1138,9)</f>
        <v>6.3140000000000001</v>
      </c>
      <c r="CY992">
        <f t="shared" si="489"/>
        <v>8.65</v>
      </c>
      <c r="CZ992">
        <f t="shared" si="490"/>
        <v>1</v>
      </c>
      <c r="DA992">
        <f t="shared" si="491"/>
        <v>8.65</v>
      </c>
      <c r="DB992">
        <f t="shared" si="492"/>
        <v>252.56</v>
      </c>
      <c r="DC992">
        <f t="shared" si="493"/>
        <v>0</v>
      </c>
      <c r="DD992" t="s">
        <v>3</v>
      </c>
      <c r="DE992" t="s">
        <v>3</v>
      </c>
      <c r="DF992">
        <f t="shared" si="494"/>
        <v>54.58</v>
      </c>
      <c r="DG992">
        <f t="shared" si="478"/>
        <v>0</v>
      </c>
      <c r="DH992">
        <f t="shared" si="479"/>
        <v>0</v>
      </c>
      <c r="DI992">
        <f t="shared" si="477"/>
        <v>0</v>
      </c>
      <c r="DJ992">
        <f t="shared" si="495"/>
        <v>54.58</v>
      </c>
      <c r="DK992">
        <v>0</v>
      </c>
    </row>
    <row r="993" spans="1:115" x14ac:dyDescent="0.2">
      <c r="A993">
        <f>ROW(Source!A1138)</f>
        <v>1138</v>
      </c>
      <c r="B993">
        <v>129761633</v>
      </c>
      <c r="C993">
        <v>129764355</v>
      </c>
      <c r="D993">
        <v>0</v>
      </c>
      <c r="E993">
        <v>1</v>
      </c>
      <c r="F993">
        <v>1</v>
      </c>
      <c r="G993">
        <v>37345137</v>
      </c>
      <c r="H993">
        <v>3</v>
      </c>
      <c r="I993" t="s">
        <v>248</v>
      </c>
      <c r="J993" t="s">
        <v>3</v>
      </c>
      <c r="K993" t="s">
        <v>941</v>
      </c>
      <c r="L993">
        <v>1354</v>
      </c>
      <c r="N993">
        <v>1010</v>
      </c>
      <c r="O993" t="s">
        <v>250</v>
      </c>
      <c r="P993" t="s">
        <v>250</v>
      </c>
      <c r="Q993">
        <v>1</v>
      </c>
      <c r="W993">
        <v>0</v>
      </c>
      <c r="X993">
        <v>1471293546</v>
      </c>
      <c r="Y993">
        <f t="shared" si="488"/>
        <v>40</v>
      </c>
      <c r="AA993">
        <v>145.32</v>
      </c>
      <c r="AB993">
        <v>0</v>
      </c>
      <c r="AC993">
        <v>0</v>
      </c>
      <c r="AD993">
        <v>0</v>
      </c>
      <c r="AE993">
        <v>16.799999999999997</v>
      </c>
      <c r="AF993">
        <v>0</v>
      </c>
      <c r="AG993">
        <v>0</v>
      </c>
      <c r="AH993">
        <v>0</v>
      </c>
      <c r="AI993">
        <v>8.65</v>
      </c>
      <c r="AJ993">
        <v>1</v>
      </c>
      <c r="AK993">
        <v>1</v>
      </c>
      <c r="AL993">
        <v>1</v>
      </c>
      <c r="AN993">
        <v>0</v>
      </c>
      <c r="AO993">
        <v>0</v>
      </c>
      <c r="AP993">
        <v>0</v>
      </c>
      <c r="AQ993">
        <v>0</v>
      </c>
      <c r="AR993">
        <v>0</v>
      </c>
      <c r="AS993" t="s">
        <v>3</v>
      </c>
      <c r="AT993">
        <v>40</v>
      </c>
      <c r="AU993" t="s">
        <v>3</v>
      </c>
      <c r="AV993">
        <v>0</v>
      </c>
      <c r="AW993">
        <v>1</v>
      </c>
      <c r="AX993">
        <v>-1</v>
      </c>
      <c r="AY993">
        <v>0</v>
      </c>
      <c r="AZ993">
        <v>0</v>
      </c>
      <c r="BA993" t="s">
        <v>3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0</v>
      </c>
      <c r="BO993">
        <v>0</v>
      </c>
      <c r="BP993">
        <v>0</v>
      </c>
      <c r="BQ993">
        <v>0</v>
      </c>
      <c r="BR993">
        <v>0</v>
      </c>
      <c r="BS993">
        <v>0</v>
      </c>
      <c r="BT993">
        <v>0</v>
      </c>
      <c r="BU993">
        <v>0</v>
      </c>
      <c r="BV993">
        <v>0</v>
      </c>
      <c r="BW993">
        <v>0</v>
      </c>
      <c r="CX993">
        <f>ROUND(Y993*Source!I1138,9)</f>
        <v>1</v>
      </c>
      <c r="CY993">
        <f t="shared" si="489"/>
        <v>145.32</v>
      </c>
      <c r="CZ993">
        <f t="shared" si="490"/>
        <v>16.799999999999997</v>
      </c>
      <c r="DA993">
        <f t="shared" si="491"/>
        <v>8.65</v>
      </c>
      <c r="DB993">
        <f t="shared" si="492"/>
        <v>672</v>
      </c>
      <c r="DC993">
        <f t="shared" si="493"/>
        <v>0</v>
      </c>
      <c r="DD993" t="s">
        <v>3</v>
      </c>
      <c r="DE993" t="s">
        <v>3</v>
      </c>
      <c r="DF993">
        <f t="shared" si="494"/>
        <v>145.32</v>
      </c>
      <c r="DG993">
        <f t="shared" si="478"/>
        <v>0</v>
      </c>
      <c r="DH993">
        <f t="shared" si="479"/>
        <v>0</v>
      </c>
      <c r="DI993">
        <f t="shared" si="477"/>
        <v>0</v>
      </c>
      <c r="DJ993">
        <f t="shared" si="495"/>
        <v>145.32</v>
      </c>
      <c r="DK993">
        <v>0</v>
      </c>
    </row>
    <row r="994" spans="1:115" x14ac:dyDescent="0.2">
      <c r="A994">
        <f>ROW(Source!A1138)</f>
        <v>1138</v>
      </c>
      <c r="B994">
        <v>129761633</v>
      </c>
      <c r="C994">
        <v>129764355</v>
      </c>
      <c r="D994">
        <v>0</v>
      </c>
      <c r="E994">
        <v>1</v>
      </c>
      <c r="F994">
        <v>1</v>
      </c>
      <c r="G994">
        <v>37345137</v>
      </c>
      <c r="H994">
        <v>3</v>
      </c>
      <c r="I994" t="s">
        <v>248</v>
      </c>
      <c r="J994" t="s">
        <v>3</v>
      </c>
      <c r="K994" t="s">
        <v>948</v>
      </c>
      <c r="L994">
        <v>1354</v>
      </c>
      <c r="N994">
        <v>1010</v>
      </c>
      <c r="O994" t="s">
        <v>250</v>
      </c>
      <c r="P994" t="s">
        <v>250</v>
      </c>
      <c r="Q994">
        <v>1</v>
      </c>
      <c r="W994">
        <v>0</v>
      </c>
      <c r="X994">
        <v>-507524884</v>
      </c>
      <c r="Y994">
        <f t="shared" si="488"/>
        <v>320</v>
      </c>
      <c r="AA994">
        <v>93.51</v>
      </c>
      <c r="AB994">
        <v>0</v>
      </c>
      <c r="AC994">
        <v>0</v>
      </c>
      <c r="AD994">
        <v>0</v>
      </c>
      <c r="AE994">
        <v>10.81</v>
      </c>
      <c r="AF994">
        <v>0</v>
      </c>
      <c r="AG994">
        <v>0</v>
      </c>
      <c r="AH994">
        <v>0</v>
      </c>
      <c r="AI994">
        <v>8.65</v>
      </c>
      <c r="AJ994">
        <v>1</v>
      </c>
      <c r="AK994">
        <v>1</v>
      </c>
      <c r="AL994">
        <v>1</v>
      </c>
      <c r="AN994">
        <v>0</v>
      </c>
      <c r="AO994">
        <v>0</v>
      </c>
      <c r="AP994">
        <v>0</v>
      </c>
      <c r="AQ994">
        <v>0</v>
      </c>
      <c r="AR994">
        <v>0</v>
      </c>
      <c r="AS994" t="s">
        <v>3</v>
      </c>
      <c r="AT994">
        <v>320</v>
      </c>
      <c r="AU994" t="s">
        <v>3</v>
      </c>
      <c r="AV994">
        <v>0</v>
      </c>
      <c r="AW994">
        <v>1</v>
      </c>
      <c r="AX994">
        <v>-1</v>
      </c>
      <c r="AY994">
        <v>0</v>
      </c>
      <c r="AZ994">
        <v>0</v>
      </c>
      <c r="BA994" t="s">
        <v>3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0</v>
      </c>
      <c r="BR994">
        <v>0</v>
      </c>
      <c r="BS994">
        <v>0</v>
      </c>
      <c r="BT994">
        <v>0</v>
      </c>
      <c r="BU994">
        <v>0</v>
      </c>
      <c r="BV994">
        <v>0</v>
      </c>
      <c r="BW994">
        <v>0</v>
      </c>
      <c r="CX994">
        <f>ROUND(Y994*Source!I1138,9)</f>
        <v>8</v>
      </c>
      <c r="CY994">
        <f t="shared" si="489"/>
        <v>93.51</v>
      </c>
      <c r="CZ994">
        <f t="shared" si="490"/>
        <v>10.81</v>
      </c>
      <c r="DA994">
        <f t="shared" si="491"/>
        <v>8.65</v>
      </c>
      <c r="DB994">
        <f t="shared" si="492"/>
        <v>3459.2</v>
      </c>
      <c r="DC994">
        <f t="shared" si="493"/>
        <v>0</v>
      </c>
      <c r="DD994" t="s">
        <v>3</v>
      </c>
      <c r="DE994" t="s">
        <v>3</v>
      </c>
      <c r="DF994">
        <f t="shared" si="494"/>
        <v>748.05</v>
      </c>
      <c r="DG994">
        <f t="shared" si="478"/>
        <v>0</v>
      </c>
      <c r="DH994">
        <f t="shared" si="479"/>
        <v>0</v>
      </c>
      <c r="DI994">
        <f t="shared" si="477"/>
        <v>0</v>
      </c>
      <c r="DJ994">
        <f t="shared" si="495"/>
        <v>748.05</v>
      </c>
      <c r="DK994">
        <v>0</v>
      </c>
    </row>
    <row r="995" spans="1:115" x14ac:dyDescent="0.2">
      <c r="A995">
        <f>ROW(Source!A1190)</f>
        <v>1190</v>
      </c>
      <c r="B995">
        <v>129761636</v>
      </c>
      <c r="C995">
        <v>129764381</v>
      </c>
      <c r="D995">
        <v>37345142</v>
      </c>
      <c r="E995">
        <v>37345137</v>
      </c>
      <c r="F995">
        <v>1</v>
      </c>
      <c r="G995">
        <v>37345137</v>
      </c>
      <c r="H995">
        <v>1</v>
      </c>
      <c r="I995" t="s">
        <v>1096</v>
      </c>
      <c r="J995" t="s">
        <v>3</v>
      </c>
      <c r="K995" t="s">
        <v>1097</v>
      </c>
      <c r="L995">
        <v>1191</v>
      </c>
      <c r="N995">
        <v>1013</v>
      </c>
      <c r="O995" t="s">
        <v>1098</v>
      </c>
      <c r="P995" t="s">
        <v>1098</v>
      </c>
      <c r="Q995">
        <v>1</v>
      </c>
      <c r="W995">
        <v>0</v>
      </c>
      <c r="X995">
        <v>476480486</v>
      </c>
      <c r="Y995">
        <f>(AT995*1.15)</f>
        <v>2.2424999999999997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1</v>
      </c>
      <c r="AJ995">
        <v>1</v>
      </c>
      <c r="AK995">
        <v>1</v>
      </c>
      <c r="AL995">
        <v>1</v>
      </c>
      <c r="AN995">
        <v>0</v>
      </c>
      <c r="AO995">
        <v>1</v>
      </c>
      <c r="AP995">
        <v>1</v>
      </c>
      <c r="AQ995">
        <v>0</v>
      </c>
      <c r="AR995">
        <v>0</v>
      </c>
      <c r="AS995" t="s">
        <v>3</v>
      </c>
      <c r="AT995">
        <v>1.95</v>
      </c>
      <c r="AU995" t="s">
        <v>87</v>
      </c>
      <c r="AV995">
        <v>1</v>
      </c>
      <c r="AW995">
        <v>2</v>
      </c>
      <c r="AX995">
        <v>129764394</v>
      </c>
      <c r="AY995">
        <v>1</v>
      </c>
      <c r="AZ995">
        <v>0</v>
      </c>
      <c r="BA995">
        <v>957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0</v>
      </c>
      <c r="BR995">
        <v>0</v>
      </c>
      <c r="BS995">
        <v>0</v>
      </c>
      <c r="BT995">
        <v>0</v>
      </c>
      <c r="BU995">
        <v>0</v>
      </c>
      <c r="BV995">
        <v>0</v>
      </c>
      <c r="BW995">
        <v>0</v>
      </c>
      <c r="CX995">
        <f>ROUND(Y995*Source!I1190,9)</f>
        <v>4.4850000000000003</v>
      </c>
      <c r="CY995">
        <f>AD995</f>
        <v>0</v>
      </c>
      <c r="CZ995">
        <f>AH995</f>
        <v>0</v>
      </c>
      <c r="DA995">
        <f>AL995</f>
        <v>1</v>
      </c>
      <c r="DB995">
        <f>ROUND((ROUND(AT995*CZ995,2)*1.15),6)</f>
        <v>0</v>
      </c>
      <c r="DC995">
        <f>ROUND((ROUND(AT995*AG995,2)*1.15),6)</f>
        <v>0</v>
      </c>
      <c r="DD995" t="s">
        <v>3</v>
      </c>
      <c r="DE995" t="s">
        <v>3</v>
      </c>
      <c r="DF995">
        <f t="shared" ref="DF995:DF1012" si="496">ROUND(AE995*CX995,2)</f>
        <v>0</v>
      </c>
      <c r="DG995">
        <f t="shared" si="478"/>
        <v>0</v>
      </c>
      <c r="DH995">
        <f t="shared" si="479"/>
        <v>0</v>
      </c>
      <c r="DI995">
        <f t="shared" si="477"/>
        <v>0</v>
      </c>
      <c r="DJ995">
        <f>DI995</f>
        <v>0</v>
      </c>
      <c r="DK995">
        <v>0</v>
      </c>
    </row>
    <row r="996" spans="1:115" x14ac:dyDescent="0.2">
      <c r="A996">
        <f>ROW(Source!A1190)</f>
        <v>1190</v>
      </c>
      <c r="B996">
        <v>129761636</v>
      </c>
      <c r="C996">
        <v>129764381</v>
      </c>
      <c r="D996">
        <v>37418445</v>
      </c>
      <c r="E996">
        <v>1</v>
      </c>
      <c r="F996">
        <v>1</v>
      </c>
      <c r="G996">
        <v>37345137</v>
      </c>
      <c r="H996">
        <v>2</v>
      </c>
      <c r="I996" t="s">
        <v>1189</v>
      </c>
      <c r="J996" t="s">
        <v>1190</v>
      </c>
      <c r="K996" t="s">
        <v>1191</v>
      </c>
      <c r="L996">
        <v>1367</v>
      </c>
      <c r="N996">
        <v>1011</v>
      </c>
      <c r="O996" t="s">
        <v>1102</v>
      </c>
      <c r="P996" t="s">
        <v>1102</v>
      </c>
      <c r="Q996">
        <v>1</v>
      </c>
      <c r="W996">
        <v>0</v>
      </c>
      <c r="X996">
        <v>-628430174</v>
      </c>
      <c r="Y996">
        <f>(AT996*1.25)</f>
        <v>2.5000000000000001E-2</v>
      </c>
      <c r="AA996">
        <v>0</v>
      </c>
      <c r="AB996">
        <v>76.81</v>
      </c>
      <c r="AC996">
        <v>14.36</v>
      </c>
      <c r="AD996">
        <v>0</v>
      </c>
      <c r="AE996">
        <v>0</v>
      </c>
      <c r="AF996">
        <v>76.81</v>
      </c>
      <c r="AG996">
        <v>14.36</v>
      </c>
      <c r="AH996">
        <v>0</v>
      </c>
      <c r="AI996">
        <v>1</v>
      </c>
      <c r="AJ996">
        <v>1</v>
      </c>
      <c r="AK996">
        <v>1</v>
      </c>
      <c r="AL996">
        <v>1</v>
      </c>
      <c r="AN996">
        <v>0</v>
      </c>
      <c r="AO996">
        <v>1</v>
      </c>
      <c r="AP996">
        <v>1</v>
      </c>
      <c r="AQ996">
        <v>0</v>
      </c>
      <c r="AR996">
        <v>0</v>
      </c>
      <c r="AS996" t="s">
        <v>3</v>
      </c>
      <c r="AT996">
        <v>0.02</v>
      </c>
      <c r="AU996" t="s">
        <v>86</v>
      </c>
      <c r="AV996">
        <v>0</v>
      </c>
      <c r="AW996">
        <v>2</v>
      </c>
      <c r="AX996">
        <v>129764395</v>
      </c>
      <c r="AY996">
        <v>1</v>
      </c>
      <c r="AZ996">
        <v>0</v>
      </c>
      <c r="BA996">
        <v>958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0</v>
      </c>
      <c r="BP996">
        <v>0</v>
      </c>
      <c r="BQ996">
        <v>0</v>
      </c>
      <c r="BR996">
        <v>0</v>
      </c>
      <c r="BS996">
        <v>0</v>
      </c>
      <c r="BT996">
        <v>0</v>
      </c>
      <c r="BU996">
        <v>0</v>
      </c>
      <c r="BV996">
        <v>0</v>
      </c>
      <c r="BW996">
        <v>0</v>
      </c>
      <c r="CX996">
        <f>ROUND(Y996*Source!I1190,9)</f>
        <v>0.05</v>
      </c>
      <c r="CY996">
        <f>AB996</f>
        <v>76.81</v>
      </c>
      <c r="CZ996">
        <f>AF996</f>
        <v>76.81</v>
      </c>
      <c r="DA996">
        <f>AJ996</f>
        <v>1</v>
      </c>
      <c r="DB996">
        <f>ROUND((ROUND(AT996*CZ996,2)*1.25),6)</f>
        <v>1.925</v>
      </c>
      <c r="DC996">
        <f>ROUND((ROUND(AT996*AG996,2)*1.25),6)</f>
        <v>0.36249999999999999</v>
      </c>
      <c r="DD996" t="s">
        <v>3</v>
      </c>
      <c r="DE996" t="s">
        <v>3</v>
      </c>
      <c r="DF996">
        <f t="shared" si="496"/>
        <v>0</v>
      </c>
      <c r="DG996">
        <f t="shared" si="478"/>
        <v>3.84</v>
      </c>
      <c r="DH996">
        <f t="shared" si="479"/>
        <v>0.72</v>
      </c>
      <c r="DI996">
        <f t="shared" si="477"/>
        <v>0</v>
      </c>
      <c r="DJ996">
        <f>DG996</f>
        <v>3.84</v>
      </c>
      <c r="DK996">
        <v>0</v>
      </c>
    </row>
    <row r="997" spans="1:115" x14ac:dyDescent="0.2">
      <c r="A997">
        <f>ROW(Source!A1190)</f>
        <v>1190</v>
      </c>
      <c r="B997">
        <v>129761636</v>
      </c>
      <c r="C997">
        <v>129764381</v>
      </c>
      <c r="D997">
        <v>37418479</v>
      </c>
      <c r="E997">
        <v>1</v>
      </c>
      <c r="F997">
        <v>1</v>
      </c>
      <c r="G997">
        <v>37345137</v>
      </c>
      <c r="H997">
        <v>2</v>
      </c>
      <c r="I997" t="s">
        <v>1183</v>
      </c>
      <c r="J997" t="s">
        <v>1184</v>
      </c>
      <c r="K997" t="s">
        <v>1185</v>
      </c>
      <c r="L997">
        <v>1367</v>
      </c>
      <c r="N997">
        <v>1011</v>
      </c>
      <c r="O997" t="s">
        <v>1102</v>
      </c>
      <c r="P997" t="s">
        <v>1102</v>
      </c>
      <c r="Q997">
        <v>1</v>
      </c>
      <c r="W997">
        <v>0</v>
      </c>
      <c r="X997">
        <v>950854334</v>
      </c>
      <c r="Y997">
        <f>(AT997*1.25)</f>
        <v>2.5000000000000001E-2</v>
      </c>
      <c r="AA997">
        <v>0</v>
      </c>
      <c r="AB997">
        <v>2.36</v>
      </c>
      <c r="AC997">
        <v>0.1</v>
      </c>
      <c r="AD997">
        <v>0</v>
      </c>
      <c r="AE997">
        <v>0</v>
      </c>
      <c r="AF997">
        <v>2.36</v>
      </c>
      <c r="AG997">
        <v>0.1</v>
      </c>
      <c r="AH997">
        <v>0</v>
      </c>
      <c r="AI997">
        <v>1</v>
      </c>
      <c r="AJ997">
        <v>1</v>
      </c>
      <c r="AK997">
        <v>1</v>
      </c>
      <c r="AL997">
        <v>1</v>
      </c>
      <c r="AN997">
        <v>0</v>
      </c>
      <c r="AO997">
        <v>1</v>
      </c>
      <c r="AP997">
        <v>1</v>
      </c>
      <c r="AQ997">
        <v>0</v>
      </c>
      <c r="AR997">
        <v>0</v>
      </c>
      <c r="AS997" t="s">
        <v>3</v>
      </c>
      <c r="AT997">
        <v>0.02</v>
      </c>
      <c r="AU997" t="s">
        <v>86</v>
      </c>
      <c r="AV997">
        <v>0</v>
      </c>
      <c r="AW997">
        <v>2</v>
      </c>
      <c r="AX997">
        <v>129764396</v>
      </c>
      <c r="AY997">
        <v>1</v>
      </c>
      <c r="AZ997">
        <v>0</v>
      </c>
      <c r="BA997">
        <v>959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0</v>
      </c>
      <c r="BS997">
        <v>0</v>
      </c>
      <c r="BT997">
        <v>0</v>
      </c>
      <c r="BU997">
        <v>0</v>
      </c>
      <c r="BV997">
        <v>0</v>
      </c>
      <c r="BW997">
        <v>0</v>
      </c>
      <c r="CX997">
        <f>ROUND(Y997*Source!I1190,9)</f>
        <v>0.05</v>
      </c>
      <c r="CY997">
        <f>AB997</f>
        <v>2.36</v>
      </c>
      <c r="CZ997">
        <f>AF997</f>
        <v>2.36</v>
      </c>
      <c r="DA997">
        <f>AJ997</f>
        <v>1</v>
      </c>
      <c r="DB997">
        <f>ROUND((ROUND(AT997*CZ997,2)*1.25),6)</f>
        <v>6.25E-2</v>
      </c>
      <c r="DC997">
        <f>ROUND((ROUND(AT997*AG997,2)*1.25),6)</f>
        <v>0</v>
      </c>
      <c r="DD997" t="s">
        <v>3</v>
      </c>
      <c r="DE997" t="s">
        <v>3</v>
      </c>
      <c r="DF997">
        <f t="shared" si="496"/>
        <v>0</v>
      </c>
      <c r="DG997">
        <f t="shared" si="478"/>
        <v>0.12</v>
      </c>
      <c r="DH997">
        <f t="shared" si="479"/>
        <v>0.01</v>
      </c>
      <c r="DI997">
        <f t="shared" si="477"/>
        <v>0</v>
      </c>
      <c r="DJ997">
        <f>DG997</f>
        <v>0.12</v>
      </c>
      <c r="DK997">
        <v>0</v>
      </c>
    </row>
    <row r="998" spans="1:115" x14ac:dyDescent="0.2">
      <c r="A998">
        <f>ROW(Source!A1190)</f>
        <v>1190</v>
      </c>
      <c r="B998">
        <v>129761636</v>
      </c>
      <c r="C998">
        <v>129764381</v>
      </c>
      <c r="D998">
        <v>37345890</v>
      </c>
      <c r="E998">
        <v>37345137</v>
      </c>
      <c r="F998">
        <v>1</v>
      </c>
      <c r="G998">
        <v>37345137</v>
      </c>
      <c r="H998">
        <v>2</v>
      </c>
      <c r="I998" t="s">
        <v>1145</v>
      </c>
      <c r="J998" t="s">
        <v>3</v>
      </c>
      <c r="K998" t="s">
        <v>1146</v>
      </c>
      <c r="L998">
        <v>1344</v>
      </c>
      <c r="N998">
        <v>1008</v>
      </c>
      <c r="O998" t="s">
        <v>1138</v>
      </c>
      <c r="P998" t="s">
        <v>1138</v>
      </c>
      <c r="Q998">
        <v>1</v>
      </c>
      <c r="W998">
        <v>0</v>
      </c>
      <c r="X998">
        <v>-1180195794</v>
      </c>
      <c r="Y998">
        <f>(AT998*1.25)</f>
        <v>1.2500000000000001E-2</v>
      </c>
      <c r="AA998">
        <v>0</v>
      </c>
      <c r="AB998">
        <v>1</v>
      </c>
      <c r="AC998">
        <v>0</v>
      </c>
      <c r="AD998">
        <v>0</v>
      </c>
      <c r="AE998">
        <v>0</v>
      </c>
      <c r="AF998">
        <v>1</v>
      </c>
      <c r="AG998">
        <v>0</v>
      </c>
      <c r="AH998">
        <v>0</v>
      </c>
      <c r="AI998">
        <v>1</v>
      </c>
      <c r="AJ998">
        <v>1</v>
      </c>
      <c r="AK998">
        <v>1</v>
      </c>
      <c r="AL998">
        <v>1</v>
      </c>
      <c r="AN998">
        <v>0</v>
      </c>
      <c r="AO998">
        <v>1</v>
      </c>
      <c r="AP998">
        <v>1</v>
      </c>
      <c r="AQ998">
        <v>0</v>
      </c>
      <c r="AR998">
        <v>0</v>
      </c>
      <c r="AS998" t="s">
        <v>3</v>
      </c>
      <c r="AT998">
        <v>0.01</v>
      </c>
      <c r="AU998" t="s">
        <v>86</v>
      </c>
      <c r="AV998">
        <v>0</v>
      </c>
      <c r="AW998">
        <v>2</v>
      </c>
      <c r="AX998">
        <v>129764397</v>
      </c>
      <c r="AY998">
        <v>1</v>
      </c>
      <c r="AZ998">
        <v>0</v>
      </c>
      <c r="BA998">
        <v>960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0</v>
      </c>
      <c r="BJ998">
        <v>0</v>
      </c>
      <c r="BK998">
        <v>0</v>
      </c>
      <c r="BL998">
        <v>0</v>
      </c>
      <c r="BM998">
        <v>0</v>
      </c>
      <c r="BN998">
        <v>0</v>
      </c>
      <c r="BO998">
        <v>0</v>
      </c>
      <c r="BP998">
        <v>0</v>
      </c>
      <c r="BQ998">
        <v>0</v>
      </c>
      <c r="BR998">
        <v>0</v>
      </c>
      <c r="BS998">
        <v>0</v>
      </c>
      <c r="BT998">
        <v>0</v>
      </c>
      <c r="BU998">
        <v>0</v>
      </c>
      <c r="BV998">
        <v>0</v>
      </c>
      <c r="BW998">
        <v>0</v>
      </c>
      <c r="CX998">
        <f>ROUND(Y998*Source!I1190,9)</f>
        <v>2.5000000000000001E-2</v>
      </c>
      <c r="CY998">
        <f>AB998</f>
        <v>1</v>
      </c>
      <c r="CZ998">
        <f>AF998</f>
        <v>1</v>
      </c>
      <c r="DA998">
        <f>AJ998</f>
        <v>1</v>
      </c>
      <c r="DB998">
        <f>ROUND((ROUND(AT998*CZ998,2)*1.25),6)</f>
        <v>1.2500000000000001E-2</v>
      </c>
      <c r="DC998">
        <f>ROUND((ROUND(AT998*AG998,2)*1.25),6)</f>
        <v>0</v>
      </c>
      <c r="DD998" t="s">
        <v>3</v>
      </c>
      <c r="DE998" t="s">
        <v>3</v>
      </c>
      <c r="DF998">
        <f t="shared" si="496"/>
        <v>0</v>
      </c>
      <c r="DG998">
        <f t="shared" si="478"/>
        <v>0.03</v>
      </c>
      <c r="DH998">
        <f t="shared" si="479"/>
        <v>0</v>
      </c>
      <c r="DI998">
        <f t="shared" si="477"/>
        <v>0</v>
      </c>
      <c r="DJ998">
        <f>DG998</f>
        <v>0.03</v>
      </c>
      <c r="DK998">
        <v>0</v>
      </c>
    </row>
    <row r="999" spans="1:115" x14ac:dyDescent="0.2">
      <c r="A999">
        <f>ROW(Source!A1190)</f>
        <v>1190</v>
      </c>
      <c r="B999">
        <v>129761636</v>
      </c>
      <c r="C999">
        <v>129764381</v>
      </c>
      <c r="D999">
        <v>37394800</v>
      </c>
      <c r="E999">
        <v>1</v>
      </c>
      <c r="F999">
        <v>1</v>
      </c>
      <c r="G999">
        <v>37345137</v>
      </c>
      <c r="H999">
        <v>3</v>
      </c>
      <c r="I999" t="s">
        <v>1398</v>
      </c>
      <c r="J999" t="s">
        <v>1399</v>
      </c>
      <c r="K999" t="s">
        <v>1400</v>
      </c>
      <c r="L999">
        <v>1348</v>
      </c>
      <c r="N999">
        <v>1009</v>
      </c>
      <c r="O999" t="s">
        <v>114</v>
      </c>
      <c r="P999" t="s">
        <v>114</v>
      </c>
      <c r="Q999">
        <v>1000</v>
      </c>
      <c r="W999">
        <v>0</v>
      </c>
      <c r="X999">
        <v>-2096099888</v>
      </c>
      <c r="Y999">
        <f t="shared" ref="Y999:Y1008" si="497">AT999</f>
        <v>6.9999999999999994E-5</v>
      </c>
      <c r="AA999">
        <v>17750.86</v>
      </c>
      <c r="AB999">
        <v>0</v>
      </c>
      <c r="AC999">
        <v>0</v>
      </c>
      <c r="AD999">
        <v>0</v>
      </c>
      <c r="AE999">
        <v>17750.86</v>
      </c>
      <c r="AF999">
        <v>0</v>
      </c>
      <c r="AG999">
        <v>0</v>
      </c>
      <c r="AH999">
        <v>0</v>
      </c>
      <c r="AI999">
        <v>1</v>
      </c>
      <c r="AJ999">
        <v>1</v>
      </c>
      <c r="AK999">
        <v>1</v>
      </c>
      <c r="AL999">
        <v>1</v>
      </c>
      <c r="AN999">
        <v>0</v>
      </c>
      <c r="AO999">
        <v>1</v>
      </c>
      <c r="AP999">
        <v>0</v>
      </c>
      <c r="AQ999">
        <v>0</v>
      </c>
      <c r="AR999">
        <v>0</v>
      </c>
      <c r="AS999" t="s">
        <v>3</v>
      </c>
      <c r="AT999">
        <v>6.9999999999999994E-5</v>
      </c>
      <c r="AU999" t="s">
        <v>3</v>
      </c>
      <c r="AV999">
        <v>0</v>
      </c>
      <c r="AW999">
        <v>2</v>
      </c>
      <c r="AX999">
        <v>129764398</v>
      </c>
      <c r="AY999">
        <v>1</v>
      </c>
      <c r="AZ999">
        <v>0</v>
      </c>
      <c r="BA999">
        <v>961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0</v>
      </c>
      <c r="BJ999">
        <v>0</v>
      </c>
      <c r="BK999">
        <v>0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0</v>
      </c>
      <c r="BR999">
        <v>0</v>
      </c>
      <c r="BS999">
        <v>0</v>
      </c>
      <c r="BT999">
        <v>0</v>
      </c>
      <c r="BU999">
        <v>0</v>
      </c>
      <c r="BV999">
        <v>0</v>
      </c>
      <c r="BW999">
        <v>0</v>
      </c>
      <c r="CX999">
        <f>ROUND(Y999*Source!I1190,9)</f>
        <v>1.3999999999999999E-4</v>
      </c>
      <c r="CY999">
        <f t="shared" ref="CY999:CY1008" si="498">AA999</f>
        <v>17750.86</v>
      </c>
      <c r="CZ999">
        <f t="shared" ref="CZ999:CZ1008" si="499">AE999</f>
        <v>17750.86</v>
      </c>
      <c r="DA999">
        <f t="shared" ref="DA999:DA1008" si="500">AI999</f>
        <v>1</v>
      </c>
      <c r="DB999">
        <f t="shared" ref="DB999:DB1008" si="501">ROUND(ROUND(AT999*CZ999,2),6)</f>
        <v>1.24</v>
      </c>
      <c r="DC999">
        <f t="shared" ref="DC999:DC1008" si="502">ROUND(ROUND(AT999*AG999,2),6)</f>
        <v>0</v>
      </c>
      <c r="DD999" t="s">
        <v>3</v>
      </c>
      <c r="DE999" t="s">
        <v>3</v>
      </c>
      <c r="DF999">
        <f t="shared" si="496"/>
        <v>2.4900000000000002</v>
      </c>
      <c r="DG999">
        <f t="shared" si="478"/>
        <v>0</v>
      </c>
      <c r="DH999">
        <f t="shared" si="479"/>
        <v>0</v>
      </c>
      <c r="DI999">
        <f t="shared" si="477"/>
        <v>0</v>
      </c>
      <c r="DJ999">
        <f t="shared" ref="DJ999:DJ1008" si="503">DF999</f>
        <v>2.4900000000000002</v>
      </c>
      <c r="DK999">
        <v>0</v>
      </c>
    </row>
    <row r="1000" spans="1:115" x14ac:dyDescent="0.2">
      <c r="A1000">
        <f>ROW(Source!A1190)</f>
        <v>1190</v>
      </c>
      <c r="B1000">
        <v>129761636</v>
      </c>
      <c r="C1000">
        <v>129764381</v>
      </c>
      <c r="D1000">
        <v>37393667</v>
      </c>
      <c r="E1000">
        <v>1</v>
      </c>
      <c r="F1000">
        <v>1</v>
      </c>
      <c r="G1000">
        <v>37345137</v>
      </c>
      <c r="H1000">
        <v>3</v>
      </c>
      <c r="I1000" t="s">
        <v>1401</v>
      </c>
      <c r="J1000" t="s">
        <v>1402</v>
      </c>
      <c r="K1000" t="s">
        <v>1403</v>
      </c>
      <c r="L1000">
        <v>1354</v>
      </c>
      <c r="N1000">
        <v>1010</v>
      </c>
      <c r="O1000" t="s">
        <v>250</v>
      </c>
      <c r="P1000" t="s">
        <v>250</v>
      </c>
      <c r="Q1000">
        <v>1</v>
      </c>
      <c r="W1000">
        <v>0</v>
      </c>
      <c r="X1000">
        <v>-141829900</v>
      </c>
      <c r="Y1000">
        <f t="shared" si="497"/>
        <v>4</v>
      </c>
      <c r="AA1000">
        <v>0.89</v>
      </c>
      <c r="AB1000">
        <v>0</v>
      </c>
      <c r="AC1000">
        <v>0</v>
      </c>
      <c r="AD1000">
        <v>0</v>
      </c>
      <c r="AE1000">
        <v>0.89</v>
      </c>
      <c r="AF1000">
        <v>0</v>
      </c>
      <c r="AG1000">
        <v>0</v>
      </c>
      <c r="AH1000">
        <v>0</v>
      </c>
      <c r="AI1000">
        <v>1</v>
      </c>
      <c r="AJ1000">
        <v>1</v>
      </c>
      <c r="AK1000">
        <v>1</v>
      </c>
      <c r="AL1000">
        <v>1</v>
      </c>
      <c r="AN1000">
        <v>0</v>
      </c>
      <c r="AO1000">
        <v>1</v>
      </c>
      <c r="AP1000">
        <v>0</v>
      </c>
      <c r="AQ1000">
        <v>0</v>
      </c>
      <c r="AR1000">
        <v>0</v>
      </c>
      <c r="AS1000" t="s">
        <v>3</v>
      </c>
      <c r="AT1000">
        <v>4</v>
      </c>
      <c r="AU1000" t="s">
        <v>3</v>
      </c>
      <c r="AV1000">
        <v>0</v>
      </c>
      <c r="AW1000">
        <v>2</v>
      </c>
      <c r="AX1000">
        <v>129764399</v>
      </c>
      <c r="AY1000">
        <v>1</v>
      </c>
      <c r="AZ1000">
        <v>0</v>
      </c>
      <c r="BA1000">
        <v>962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0</v>
      </c>
      <c r="BK1000">
        <v>0</v>
      </c>
      <c r="BL1000">
        <v>0</v>
      </c>
      <c r="BM1000">
        <v>0</v>
      </c>
      <c r="BN1000">
        <v>0</v>
      </c>
      <c r="BO1000">
        <v>0</v>
      </c>
      <c r="BP1000">
        <v>0</v>
      </c>
      <c r="BQ1000">
        <v>0</v>
      </c>
      <c r="BR1000">
        <v>0</v>
      </c>
      <c r="BS1000">
        <v>0</v>
      </c>
      <c r="BT1000">
        <v>0</v>
      </c>
      <c r="BU1000">
        <v>0</v>
      </c>
      <c r="BV1000">
        <v>0</v>
      </c>
      <c r="BW1000">
        <v>0</v>
      </c>
      <c r="CX1000">
        <f>ROUND(Y1000*Source!I1190,9)</f>
        <v>8</v>
      </c>
      <c r="CY1000">
        <f t="shared" si="498"/>
        <v>0.89</v>
      </c>
      <c r="CZ1000">
        <f t="shared" si="499"/>
        <v>0.89</v>
      </c>
      <c r="DA1000">
        <f t="shared" si="500"/>
        <v>1</v>
      </c>
      <c r="DB1000">
        <f t="shared" si="501"/>
        <v>3.56</v>
      </c>
      <c r="DC1000">
        <f t="shared" si="502"/>
        <v>0</v>
      </c>
      <c r="DD1000" t="s">
        <v>3</v>
      </c>
      <c r="DE1000" t="s">
        <v>3</v>
      </c>
      <c r="DF1000">
        <f t="shared" si="496"/>
        <v>7.12</v>
      </c>
      <c r="DG1000">
        <f t="shared" ref="DG1000:DG1009" si="504">ROUND(AF1000*CX1000,2)</f>
        <v>0</v>
      </c>
      <c r="DH1000">
        <f t="shared" ref="DH1000:DH1009" si="505">ROUND(AG1000*CX1000,2)</f>
        <v>0</v>
      </c>
      <c r="DI1000">
        <f t="shared" si="477"/>
        <v>0</v>
      </c>
      <c r="DJ1000">
        <f t="shared" si="503"/>
        <v>7.12</v>
      </c>
      <c r="DK1000">
        <v>0</v>
      </c>
    </row>
    <row r="1001" spans="1:115" x14ac:dyDescent="0.2">
      <c r="A1001">
        <f>ROW(Source!A1190)</f>
        <v>1190</v>
      </c>
      <c r="B1001">
        <v>129761636</v>
      </c>
      <c r="C1001">
        <v>129764381</v>
      </c>
      <c r="D1001">
        <v>37395666</v>
      </c>
      <c r="E1001">
        <v>1</v>
      </c>
      <c r="F1001">
        <v>1</v>
      </c>
      <c r="G1001">
        <v>37345137</v>
      </c>
      <c r="H1001">
        <v>3</v>
      </c>
      <c r="I1001" t="s">
        <v>1377</v>
      </c>
      <c r="J1001" t="s">
        <v>1378</v>
      </c>
      <c r="K1001" t="s">
        <v>1379</v>
      </c>
      <c r="L1001">
        <v>1346</v>
      </c>
      <c r="N1001">
        <v>1009</v>
      </c>
      <c r="O1001" t="s">
        <v>369</v>
      </c>
      <c r="P1001" t="s">
        <v>369</v>
      </c>
      <c r="Q1001">
        <v>1</v>
      </c>
      <c r="W1001">
        <v>0</v>
      </c>
      <c r="X1001">
        <v>1037702096</v>
      </c>
      <c r="Y1001">
        <f t="shared" si="497"/>
        <v>0.03</v>
      </c>
      <c r="AA1001">
        <v>38</v>
      </c>
      <c r="AB1001">
        <v>0</v>
      </c>
      <c r="AC1001">
        <v>0</v>
      </c>
      <c r="AD1001">
        <v>0</v>
      </c>
      <c r="AE1001">
        <v>38</v>
      </c>
      <c r="AF1001">
        <v>0</v>
      </c>
      <c r="AG1001">
        <v>0</v>
      </c>
      <c r="AH1001">
        <v>0</v>
      </c>
      <c r="AI1001">
        <v>1</v>
      </c>
      <c r="AJ1001">
        <v>1</v>
      </c>
      <c r="AK1001">
        <v>1</v>
      </c>
      <c r="AL1001">
        <v>1</v>
      </c>
      <c r="AN1001">
        <v>0</v>
      </c>
      <c r="AO1001">
        <v>1</v>
      </c>
      <c r="AP1001">
        <v>0</v>
      </c>
      <c r="AQ1001">
        <v>0</v>
      </c>
      <c r="AR1001">
        <v>0</v>
      </c>
      <c r="AS1001" t="s">
        <v>3</v>
      </c>
      <c r="AT1001">
        <v>0.03</v>
      </c>
      <c r="AU1001" t="s">
        <v>3</v>
      </c>
      <c r="AV1001">
        <v>0</v>
      </c>
      <c r="AW1001">
        <v>2</v>
      </c>
      <c r="AX1001">
        <v>129764400</v>
      </c>
      <c r="AY1001">
        <v>1</v>
      </c>
      <c r="AZ1001">
        <v>0</v>
      </c>
      <c r="BA1001">
        <v>963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0</v>
      </c>
      <c r="BJ1001">
        <v>0</v>
      </c>
      <c r="BK1001">
        <v>0</v>
      </c>
      <c r="BL1001">
        <v>0</v>
      </c>
      <c r="BM1001">
        <v>0</v>
      </c>
      <c r="BN1001">
        <v>0</v>
      </c>
      <c r="BO1001">
        <v>0</v>
      </c>
      <c r="BP1001">
        <v>0</v>
      </c>
      <c r="BQ1001">
        <v>0</v>
      </c>
      <c r="BR1001">
        <v>0</v>
      </c>
      <c r="BS1001">
        <v>0</v>
      </c>
      <c r="BT1001">
        <v>0</v>
      </c>
      <c r="BU1001">
        <v>0</v>
      </c>
      <c r="BV1001">
        <v>0</v>
      </c>
      <c r="BW1001">
        <v>0</v>
      </c>
      <c r="CX1001">
        <f>ROUND(Y1001*Source!I1190,9)</f>
        <v>0.06</v>
      </c>
      <c r="CY1001">
        <f t="shared" si="498"/>
        <v>38</v>
      </c>
      <c r="CZ1001">
        <f t="shared" si="499"/>
        <v>38</v>
      </c>
      <c r="DA1001">
        <f t="shared" si="500"/>
        <v>1</v>
      </c>
      <c r="DB1001">
        <f t="shared" si="501"/>
        <v>1.1399999999999999</v>
      </c>
      <c r="DC1001">
        <f t="shared" si="502"/>
        <v>0</v>
      </c>
      <c r="DD1001" t="s">
        <v>3</v>
      </c>
      <c r="DE1001" t="s">
        <v>3</v>
      </c>
      <c r="DF1001">
        <f t="shared" si="496"/>
        <v>2.2799999999999998</v>
      </c>
      <c r="DG1001">
        <f t="shared" si="504"/>
        <v>0</v>
      </c>
      <c r="DH1001">
        <f t="shared" si="505"/>
        <v>0</v>
      </c>
      <c r="DI1001">
        <f t="shared" si="477"/>
        <v>0</v>
      </c>
      <c r="DJ1001">
        <f t="shared" si="503"/>
        <v>2.2799999999999998</v>
      </c>
      <c r="DK1001">
        <v>0</v>
      </c>
    </row>
    <row r="1002" spans="1:115" x14ac:dyDescent="0.2">
      <c r="A1002">
        <f>ROW(Source!A1190)</f>
        <v>1190</v>
      </c>
      <c r="B1002">
        <v>129761636</v>
      </c>
      <c r="C1002">
        <v>129764381</v>
      </c>
      <c r="D1002">
        <v>37393681</v>
      </c>
      <c r="E1002">
        <v>1</v>
      </c>
      <c r="F1002">
        <v>1</v>
      </c>
      <c r="G1002">
        <v>37345137</v>
      </c>
      <c r="H1002">
        <v>3</v>
      </c>
      <c r="I1002" t="s">
        <v>1404</v>
      </c>
      <c r="J1002" t="s">
        <v>1405</v>
      </c>
      <c r="K1002" t="s">
        <v>1406</v>
      </c>
      <c r="L1002">
        <v>1348</v>
      </c>
      <c r="N1002">
        <v>1009</v>
      </c>
      <c r="O1002" t="s">
        <v>114</v>
      </c>
      <c r="P1002" t="s">
        <v>114</v>
      </c>
      <c r="Q1002">
        <v>1000</v>
      </c>
      <c r="W1002">
        <v>0</v>
      </c>
      <c r="X1002">
        <v>1202249175</v>
      </c>
      <c r="Y1002">
        <f t="shared" si="497"/>
        <v>2.0000000000000001E-4</v>
      </c>
      <c r="AA1002">
        <v>10865.5</v>
      </c>
      <c r="AB1002">
        <v>0</v>
      </c>
      <c r="AC1002">
        <v>0</v>
      </c>
      <c r="AD1002">
        <v>0</v>
      </c>
      <c r="AE1002">
        <v>10865.5</v>
      </c>
      <c r="AF1002">
        <v>0</v>
      </c>
      <c r="AG1002">
        <v>0</v>
      </c>
      <c r="AH1002">
        <v>0</v>
      </c>
      <c r="AI1002">
        <v>1</v>
      </c>
      <c r="AJ1002">
        <v>1</v>
      </c>
      <c r="AK1002">
        <v>1</v>
      </c>
      <c r="AL1002">
        <v>1</v>
      </c>
      <c r="AN1002">
        <v>0</v>
      </c>
      <c r="AO1002">
        <v>1</v>
      </c>
      <c r="AP1002">
        <v>0</v>
      </c>
      <c r="AQ1002">
        <v>0</v>
      </c>
      <c r="AR1002">
        <v>0</v>
      </c>
      <c r="AS1002" t="s">
        <v>3</v>
      </c>
      <c r="AT1002">
        <v>2.0000000000000001E-4</v>
      </c>
      <c r="AU1002" t="s">
        <v>3</v>
      </c>
      <c r="AV1002">
        <v>0</v>
      </c>
      <c r="AW1002">
        <v>2</v>
      </c>
      <c r="AX1002">
        <v>129764401</v>
      </c>
      <c r="AY1002">
        <v>1</v>
      </c>
      <c r="AZ1002">
        <v>0</v>
      </c>
      <c r="BA1002">
        <v>964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0</v>
      </c>
      <c r="BJ1002">
        <v>0</v>
      </c>
      <c r="BK1002">
        <v>0</v>
      </c>
      <c r="BL1002">
        <v>0</v>
      </c>
      <c r="BM1002">
        <v>0</v>
      </c>
      <c r="BN1002">
        <v>0</v>
      </c>
      <c r="BO1002">
        <v>0</v>
      </c>
      <c r="BP1002">
        <v>0</v>
      </c>
      <c r="BQ1002">
        <v>0</v>
      </c>
      <c r="BR1002">
        <v>0</v>
      </c>
      <c r="BS1002">
        <v>0</v>
      </c>
      <c r="BT1002">
        <v>0</v>
      </c>
      <c r="BU1002">
        <v>0</v>
      </c>
      <c r="BV1002">
        <v>0</v>
      </c>
      <c r="BW1002">
        <v>0</v>
      </c>
      <c r="CX1002">
        <f>ROUND(Y1002*Source!I1190,9)</f>
        <v>4.0000000000000002E-4</v>
      </c>
      <c r="CY1002">
        <f t="shared" si="498"/>
        <v>10865.5</v>
      </c>
      <c r="CZ1002">
        <f t="shared" si="499"/>
        <v>10865.5</v>
      </c>
      <c r="DA1002">
        <f t="shared" si="500"/>
        <v>1</v>
      </c>
      <c r="DB1002">
        <f t="shared" si="501"/>
        <v>2.17</v>
      </c>
      <c r="DC1002">
        <f t="shared" si="502"/>
        <v>0</v>
      </c>
      <c r="DD1002" t="s">
        <v>3</v>
      </c>
      <c r="DE1002" t="s">
        <v>3</v>
      </c>
      <c r="DF1002">
        <f t="shared" si="496"/>
        <v>4.3499999999999996</v>
      </c>
      <c r="DG1002">
        <f t="shared" si="504"/>
        <v>0</v>
      </c>
      <c r="DH1002">
        <f t="shared" si="505"/>
        <v>0</v>
      </c>
      <c r="DI1002">
        <f t="shared" si="477"/>
        <v>0</v>
      </c>
      <c r="DJ1002">
        <f t="shared" si="503"/>
        <v>4.3499999999999996</v>
      </c>
      <c r="DK1002">
        <v>0</v>
      </c>
    </row>
    <row r="1003" spans="1:115" x14ac:dyDescent="0.2">
      <c r="A1003">
        <f>ROW(Source!A1190)</f>
        <v>1190</v>
      </c>
      <c r="B1003">
        <v>129761636</v>
      </c>
      <c r="C1003">
        <v>129764381</v>
      </c>
      <c r="D1003">
        <v>37393883</v>
      </c>
      <c r="E1003">
        <v>1</v>
      </c>
      <c r="F1003">
        <v>1</v>
      </c>
      <c r="G1003">
        <v>37345137</v>
      </c>
      <c r="H1003">
        <v>3</v>
      </c>
      <c r="I1003" t="s">
        <v>1383</v>
      </c>
      <c r="J1003" t="s">
        <v>1384</v>
      </c>
      <c r="K1003" t="s">
        <v>1385</v>
      </c>
      <c r="L1003">
        <v>1348</v>
      </c>
      <c r="N1003">
        <v>1009</v>
      </c>
      <c r="O1003" t="s">
        <v>114</v>
      </c>
      <c r="P1003" t="s">
        <v>114</v>
      </c>
      <c r="Q1003">
        <v>1000</v>
      </c>
      <c r="W1003">
        <v>0</v>
      </c>
      <c r="X1003">
        <v>-434568416</v>
      </c>
      <c r="Y1003">
        <f t="shared" si="497"/>
        <v>3.8000000000000002E-4</v>
      </c>
      <c r="AA1003">
        <v>16222.39</v>
      </c>
      <c r="AB1003">
        <v>0</v>
      </c>
      <c r="AC1003">
        <v>0</v>
      </c>
      <c r="AD1003">
        <v>0</v>
      </c>
      <c r="AE1003">
        <v>16222.39</v>
      </c>
      <c r="AF1003">
        <v>0</v>
      </c>
      <c r="AG1003">
        <v>0</v>
      </c>
      <c r="AH1003">
        <v>0</v>
      </c>
      <c r="AI1003">
        <v>1</v>
      </c>
      <c r="AJ1003">
        <v>1</v>
      </c>
      <c r="AK1003">
        <v>1</v>
      </c>
      <c r="AL1003">
        <v>1</v>
      </c>
      <c r="AN1003">
        <v>0</v>
      </c>
      <c r="AO1003">
        <v>1</v>
      </c>
      <c r="AP1003">
        <v>0</v>
      </c>
      <c r="AQ1003">
        <v>0</v>
      </c>
      <c r="AR1003">
        <v>0</v>
      </c>
      <c r="AS1003" t="s">
        <v>3</v>
      </c>
      <c r="AT1003">
        <v>3.8000000000000002E-4</v>
      </c>
      <c r="AU1003" t="s">
        <v>3</v>
      </c>
      <c r="AV1003">
        <v>0</v>
      </c>
      <c r="AW1003">
        <v>2</v>
      </c>
      <c r="AX1003">
        <v>129764402</v>
      </c>
      <c r="AY1003">
        <v>1</v>
      </c>
      <c r="AZ1003">
        <v>0</v>
      </c>
      <c r="BA1003">
        <v>965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0</v>
      </c>
      <c r="BR1003">
        <v>0</v>
      </c>
      <c r="BS1003">
        <v>0</v>
      </c>
      <c r="BT1003">
        <v>0</v>
      </c>
      <c r="BU1003">
        <v>0</v>
      </c>
      <c r="BV1003">
        <v>0</v>
      </c>
      <c r="BW1003">
        <v>0</v>
      </c>
      <c r="CX1003">
        <f>ROUND(Y1003*Source!I1190,9)</f>
        <v>7.6000000000000004E-4</v>
      </c>
      <c r="CY1003">
        <f t="shared" si="498"/>
        <v>16222.39</v>
      </c>
      <c r="CZ1003">
        <f t="shared" si="499"/>
        <v>16222.39</v>
      </c>
      <c r="DA1003">
        <f t="shared" si="500"/>
        <v>1</v>
      </c>
      <c r="DB1003">
        <f t="shared" si="501"/>
        <v>6.16</v>
      </c>
      <c r="DC1003">
        <f t="shared" si="502"/>
        <v>0</v>
      </c>
      <c r="DD1003" t="s">
        <v>3</v>
      </c>
      <c r="DE1003" t="s">
        <v>3</v>
      </c>
      <c r="DF1003">
        <f t="shared" si="496"/>
        <v>12.33</v>
      </c>
      <c r="DG1003">
        <f t="shared" si="504"/>
        <v>0</v>
      </c>
      <c r="DH1003">
        <f t="shared" si="505"/>
        <v>0</v>
      </c>
      <c r="DI1003">
        <f t="shared" si="477"/>
        <v>0</v>
      </c>
      <c r="DJ1003">
        <f t="shared" si="503"/>
        <v>12.33</v>
      </c>
      <c r="DK1003">
        <v>0</v>
      </c>
    </row>
    <row r="1004" spans="1:115" x14ac:dyDescent="0.2">
      <c r="A1004">
        <f>ROW(Source!A1190)</f>
        <v>1190</v>
      </c>
      <c r="B1004">
        <v>129761636</v>
      </c>
      <c r="C1004">
        <v>129764381</v>
      </c>
      <c r="D1004">
        <v>37394085</v>
      </c>
      <c r="E1004">
        <v>1</v>
      </c>
      <c r="F1004">
        <v>1</v>
      </c>
      <c r="G1004">
        <v>37345137</v>
      </c>
      <c r="H1004">
        <v>3</v>
      </c>
      <c r="I1004" t="s">
        <v>1386</v>
      </c>
      <c r="J1004" t="s">
        <v>1387</v>
      </c>
      <c r="K1004" t="s">
        <v>1388</v>
      </c>
      <c r="L1004">
        <v>1346</v>
      </c>
      <c r="N1004">
        <v>1009</v>
      </c>
      <c r="O1004" t="s">
        <v>369</v>
      </c>
      <c r="P1004" t="s">
        <v>369</v>
      </c>
      <c r="Q1004">
        <v>1</v>
      </c>
      <c r="W1004">
        <v>0</v>
      </c>
      <c r="X1004">
        <v>-1082935818</v>
      </c>
      <c r="Y1004">
        <f t="shared" si="497"/>
        <v>0.04</v>
      </c>
      <c r="AA1004">
        <v>20.190000000000001</v>
      </c>
      <c r="AB1004">
        <v>0</v>
      </c>
      <c r="AC1004">
        <v>0</v>
      </c>
      <c r="AD1004">
        <v>0</v>
      </c>
      <c r="AE1004">
        <v>20.190000000000001</v>
      </c>
      <c r="AF1004">
        <v>0</v>
      </c>
      <c r="AG1004">
        <v>0</v>
      </c>
      <c r="AH1004">
        <v>0</v>
      </c>
      <c r="AI1004">
        <v>1</v>
      </c>
      <c r="AJ1004">
        <v>1</v>
      </c>
      <c r="AK1004">
        <v>1</v>
      </c>
      <c r="AL1004">
        <v>1</v>
      </c>
      <c r="AN1004">
        <v>0</v>
      </c>
      <c r="AO1004">
        <v>1</v>
      </c>
      <c r="AP1004">
        <v>0</v>
      </c>
      <c r="AQ1004">
        <v>0</v>
      </c>
      <c r="AR1004">
        <v>0</v>
      </c>
      <c r="AS1004" t="s">
        <v>3</v>
      </c>
      <c r="AT1004">
        <v>0.04</v>
      </c>
      <c r="AU1004" t="s">
        <v>3</v>
      </c>
      <c r="AV1004">
        <v>0</v>
      </c>
      <c r="AW1004">
        <v>2</v>
      </c>
      <c r="AX1004">
        <v>129764403</v>
      </c>
      <c r="AY1004">
        <v>1</v>
      </c>
      <c r="AZ1004">
        <v>0</v>
      </c>
      <c r="BA1004">
        <v>966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0</v>
      </c>
      <c r="BK1004">
        <v>0</v>
      </c>
      <c r="BL1004">
        <v>0</v>
      </c>
      <c r="BM1004">
        <v>0</v>
      </c>
      <c r="BN1004">
        <v>0</v>
      </c>
      <c r="BO1004">
        <v>0</v>
      </c>
      <c r="BP1004">
        <v>0</v>
      </c>
      <c r="BQ1004">
        <v>0</v>
      </c>
      <c r="BR1004">
        <v>0</v>
      </c>
      <c r="BS1004">
        <v>0</v>
      </c>
      <c r="BT1004">
        <v>0</v>
      </c>
      <c r="BU1004">
        <v>0</v>
      </c>
      <c r="BV1004">
        <v>0</v>
      </c>
      <c r="BW1004">
        <v>0</v>
      </c>
      <c r="CX1004">
        <f>ROUND(Y1004*Source!I1190,9)</f>
        <v>0.08</v>
      </c>
      <c r="CY1004">
        <f t="shared" si="498"/>
        <v>20.190000000000001</v>
      </c>
      <c r="CZ1004">
        <f t="shared" si="499"/>
        <v>20.190000000000001</v>
      </c>
      <c r="DA1004">
        <f t="shared" si="500"/>
        <v>1</v>
      </c>
      <c r="DB1004">
        <f t="shared" si="501"/>
        <v>0.81</v>
      </c>
      <c r="DC1004">
        <f t="shared" si="502"/>
        <v>0</v>
      </c>
      <c r="DD1004" t="s">
        <v>3</v>
      </c>
      <c r="DE1004" t="s">
        <v>3</v>
      </c>
      <c r="DF1004">
        <f t="shared" si="496"/>
        <v>1.62</v>
      </c>
      <c r="DG1004">
        <f t="shared" si="504"/>
        <v>0</v>
      </c>
      <c r="DH1004">
        <f t="shared" si="505"/>
        <v>0</v>
      </c>
      <c r="DI1004">
        <f t="shared" si="477"/>
        <v>0</v>
      </c>
      <c r="DJ1004">
        <f t="shared" si="503"/>
        <v>1.62</v>
      </c>
      <c r="DK1004">
        <v>0</v>
      </c>
    </row>
    <row r="1005" spans="1:115" x14ac:dyDescent="0.2">
      <c r="A1005">
        <f>ROW(Source!A1190)</f>
        <v>1190</v>
      </c>
      <c r="B1005">
        <v>129761636</v>
      </c>
      <c r="C1005">
        <v>129764381</v>
      </c>
      <c r="D1005">
        <v>37394252</v>
      </c>
      <c r="E1005">
        <v>1</v>
      </c>
      <c r="F1005">
        <v>1</v>
      </c>
      <c r="G1005">
        <v>37345137</v>
      </c>
      <c r="H1005">
        <v>3</v>
      </c>
      <c r="I1005" t="s">
        <v>1237</v>
      </c>
      <c r="J1005" t="s">
        <v>1238</v>
      </c>
      <c r="K1005" t="s">
        <v>1239</v>
      </c>
      <c r="L1005">
        <v>1348</v>
      </c>
      <c r="N1005">
        <v>1009</v>
      </c>
      <c r="O1005" t="s">
        <v>114</v>
      </c>
      <c r="P1005" t="s">
        <v>114</v>
      </c>
      <c r="Q1005">
        <v>1000</v>
      </c>
      <c r="W1005">
        <v>0</v>
      </c>
      <c r="X1005">
        <v>-1557622869</v>
      </c>
      <c r="Y1005">
        <f t="shared" si="497"/>
        <v>3.6000000000000002E-4</v>
      </c>
      <c r="AA1005">
        <v>6870.66</v>
      </c>
      <c r="AB1005">
        <v>0</v>
      </c>
      <c r="AC1005">
        <v>0</v>
      </c>
      <c r="AD1005">
        <v>0</v>
      </c>
      <c r="AE1005">
        <v>6870.66</v>
      </c>
      <c r="AF1005">
        <v>0</v>
      </c>
      <c r="AG1005">
        <v>0</v>
      </c>
      <c r="AH1005">
        <v>0</v>
      </c>
      <c r="AI1005">
        <v>1</v>
      </c>
      <c r="AJ1005">
        <v>1</v>
      </c>
      <c r="AK1005">
        <v>1</v>
      </c>
      <c r="AL1005">
        <v>1</v>
      </c>
      <c r="AN1005">
        <v>0</v>
      </c>
      <c r="AO1005">
        <v>1</v>
      </c>
      <c r="AP1005">
        <v>0</v>
      </c>
      <c r="AQ1005">
        <v>0</v>
      </c>
      <c r="AR1005">
        <v>0</v>
      </c>
      <c r="AS1005" t="s">
        <v>3</v>
      </c>
      <c r="AT1005">
        <v>3.6000000000000002E-4</v>
      </c>
      <c r="AU1005" t="s">
        <v>3</v>
      </c>
      <c r="AV1005">
        <v>0</v>
      </c>
      <c r="AW1005">
        <v>2</v>
      </c>
      <c r="AX1005">
        <v>129764404</v>
      </c>
      <c r="AY1005">
        <v>1</v>
      </c>
      <c r="AZ1005">
        <v>0</v>
      </c>
      <c r="BA1005">
        <v>967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0</v>
      </c>
      <c r="BR1005">
        <v>0</v>
      </c>
      <c r="BS1005">
        <v>0</v>
      </c>
      <c r="BT1005">
        <v>0</v>
      </c>
      <c r="BU1005">
        <v>0</v>
      </c>
      <c r="BV1005">
        <v>0</v>
      </c>
      <c r="BW1005">
        <v>0</v>
      </c>
      <c r="CX1005">
        <f>ROUND(Y1005*Source!I1190,9)</f>
        <v>7.2000000000000005E-4</v>
      </c>
      <c r="CY1005">
        <f t="shared" si="498"/>
        <v>6870.66</v>
      </c>
      <c r="CZ1005">
        <f t="shared" si="499"/>
        <v>6870.66</v>
      </c>
      <c r="DA1005">
        <f t="shared" si="500"/>
        <v>1</v>
      </c>
      <c r="DB1005">
        <f t="shared" si="501"/>
        <v>2.4700000000000002</v>
      </c>
      <c r="DC1005">
        <f t="shared" si="502"/>
        <v>0</v>
      </c>
      <c r="DD1005" t="s">
        <v>3</v>
      </c>
      <c r="DE1005" t="s">
        <v>3</v>
      </c>
      <c r="DF1005">
        <f t="shared" si="496"/>
        <v>4.95</v>
      </c>
      <c r="DG1005">
        <f t="shared" si="504"/>
        <v>0</v>
      </c>
      <c r="DH1005">
        <f t="shared" si="505"/>
        <v>0</v>
      </c>
      <c r="DI1005">
        <f t="shared" si="477"/>
        <v>0</v>
      </c>
      <c r="DJ1005">
        <f t="shared" si="503"/>
        <v>4.95</v>
      </c>
      <c r="DK1005">
        <v>0</v>
      </c>
    </row>
    <row r="1006" spans="1:115" x14ac:dyDescent="0.2">
      <c r="A1006">
        <f>ROW(Source!A1190)</f>
        <v>1190</v>
      </c>
      <c r="B1006">
        <v>129761636</v>
      </c>
      <c r="C1006">
        <v>129764381</v>
      </c>
      <c r="D1006">
        <v>37402906</v>
      </c>
      <c r="E1006">
        <v>1</v>
      </c>
      <c r="F1006">
        <v>1</v>
      </c>
      <c r="G1006">
        <v>37345137</v>
      </c>
      <c r="H1006">
        <v>3</v>
      </c>
      <c r="I1006" t="s">
        <v>963</v>
      </c>
      <c r="J1006" t="s">
        <v>965</v>
      </c>
      <c r="K1006" t="s">
        <v>964</v>
      </c>
      <c r="L1006">
        <v>1354</v>
      </c>
      <c r="N1006">
        <v>1010</v>
      </c>
      <c r="O1006" t="s">
        <v>250</v>
      </c>
      <c r="P1006" t="s">
        <v>250</v>
      </c>
      <c r="Q1006">
        <v>1</v>
      </c>
      <c r="W1006">
        <v>0</v>
      </c>
      <c r="X1006">
        <v>-1353685850</v>
      </c>
      <c r="Y1006">
        <f t="shared" si="497"/>
        <v>0</v>
      </c>
      <c r="AA1006">
        <v>465.12</v>
      </c>
      <c r="AB1006">
        <v>0</v>
      </c>
      <c r="AC1006">
        <v>0</v>
      </c>
      <c r="AD1006">
        <v>0</v>
      </c>
      <c r="AE1006">
        <v>465.12</v>
      </c>
      <c r="AF1006">
        <v>0</v>
      </c>
      <c r="AG1006">
        <v>0</v>
      </c>
      <c r="AH1006">
        <v>0</v>
      </c>
      <c r="AI1006">
        <v>1</v>
      </c>
      <c r="AJ1006">
        <v>1</v>
      </c>
      <c r="AK1006">
        <v>1</v>
      </c>
      <c r="AL1006">
        <v>1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 t="s">
        <v>3</v>
      </c>
      <c r="AT1006">
        <v>0</v>
      </c>
      <c r="AU1006" t="s">
        <v>3</v>
      </c>
      <c r="AV1006">
        <v>0</v>
      </c>
      <c r="AW1006">
        <v>1</v>
      </c>
      <c r="AX1006">
        <v>-1</v>
      </c>
      <c r="AY1006">
        <v>0</v>
      </c>
      <c r="AZ1006">
        <v>0</v>
      </c>
      <c r="BA1006" t="s">
        <v>3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0</v>
      </c>
      <c r="BR1006">
        <v>0</v>
      </c>
      <c r="BS1006">
        <v>0</v>
      </c>
      <c r="BT1006">
        <v>0</v>
      </c>
      <c r="BU1006">
        <v>0</v>
      </c>
      <c r="BV1006">
        <v>0</v>
      </c>
      <c r="BW1006">
        <v>0</v>
      </c>
      <c r="CX1006">
        <f>ROUND(Y1006*Source!I1190,9)</f>
        <v>0</v>
      </c>
      <c r="CY1006">
        <f t="shared" si="498"/>
        <v>465.12</v>
      </c>
      <c r="CZ1006">
        <f t="shared" si="499"/>
        <v>465.12</v>
      </c>
      <c r="DA1006">
        <f t="shared" si="500"/>
        <v>1</v>
      </c>
      <c r="DB1006">
        <f t="shared" si="501"/>
        <v>0</v>
      </c>
      <c r="DC1006">
        <f t="shared" si="502"/>
        <v>0</v>
      </c>
      <c r="DD1006" t="s">
        <v>3</v>
      </c>
      <c r="DE1006" t="s">
        <v>3</v>
      </c>
      <c r="DF1006">
        <f t="shared" si="496"/>
        <v>0</v>
      </c>
      <c r="DG1006">
        <f t="shared" si="504"/>
        <v>0</v>
      </c>
      <c r="DH1006">
        <f t="shared" si="505"/>
        <v>0</v>
      </c>
      <c r="DI1006">
        <f t="shared" si="477"/>
        <v>0</v>
      </c>
      <c r="DJ1006">
        <f t="shared" si="503"/>
        <v>0</v>
      </c>
      <c r="DK1006">
        <v>0</v>
      </c>
    </row>
    <row r="1007" spans="1:115" x14ac:dyDescent="0.2">
      <c r="A1007">
        <f>ROW(Source!A1190)</f>
        <v>1190</v>
      </c>
      <c r="B1007">
        <v>129761636</v>
      </c>
      <c r="C1007">
        <v>129764381</v>
      </c>
      <c r="D1007">
        <v>0</v>
      </c>
      <c r="E1007">
        <v>0</v>
      </c>
      <c r="F1007">
        <v>1</v>
      </c>
      <c r="G1007">
        <v>37345137</v>
      </c>
      <c r="H1007">
        <v>3</v>
      </c>
      <c r="I1007" t="s">
        <v>248</v>
      </c>
      <c r="J1007" t="s">
        <v>3</v>
      </c>
      <c r="K1007" t="s">
        <v>957</v>
      </c>
      <c r="L1007">
        <v>1354</v>
      </c>
      <c r="N1007">
        <v>1010</v>
      </c>
      <c r="O1007" t="s">
        <v>250</v>
      </c>
      <c r="P1007" t="s">
        <v>250</v>
      </c>
      <c r="Q1007">
        <v>1</v>
      </c>
      <c r="W1007">
        <v>0</v>
      </c>
      <c r="X1007">
        <v>333791719</v>
      </c>
      <c r="Y1007">
        <f t="shared" si="497"/>
        <v>1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1</v>
      </c>
      <c r="AJ1007">
        <v>1</v>
      </c>
      <c r="AK1007">
        <v>1</v>
      </c>
      <c r="AL1007">
        <v>1</v>
      </c>
      <c r="AN1007">
        <v>0</v>
      </c>
      <c r="AO1007">
        <v>0</v>
      </c>
      <c r="AP1007">
        <v>1</v>
      </c>
      <c r="AQ1007">
        <v>0</v>
      </c>
      <c r="AR1007">
        <v>0</v>
      </c>
      <c r="AS1007" t="s">
        <v>3</v>
      </c>
      <c r="AT1007">
        <v>1</v>
      </c>
      <c r="AU1007" t="s">
        <v>3</v>
      </c>
      <c r="AV1007">
        <v>0</v>
      </c>
      <c r="AW1007">
        <v>1</v>
      </c>
      <c r="AX1007">
        <v>-1</v>
      </c>
      <c r="AY1007">
        <v>0</v>
      </c>
      <c r="AZ1007">
        <v>0</v>
      </c>
      <c r="BA1007" t="s">
        <v>3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0</v>
      </c>
      <c r="BQ1007">
        <v>0</v>
      </c>
      <c r="BR1007">
        <v>0</v>
      </c>
      <c r="BS1007">
        <v>0</v>
      </c>
      <c r="BT1007">
        <v>0</v>
      </c>
      <c r="BU1007">
        <v>0</v>
      </c>
      <c r="BV1007">
        <v>0</v>
      </c>
      <c r="BW1007">
        <v>0</v>
      </c>
      <c r="CX1007">
        <f>ROUND(Y1007*Source!I1190,9)</f>
        <v>2</v>
      </c>
      <c r="CY1007">
        <f t="shared" si="498"/>
        <v>0</v>
      </c>
      <c r="CZ1007">
        <f t="shared" si="499"/>
        <v>0</v>
      </c>
      <c r="DA1007">
        <f t="shared" si="500"/>
        <v>1</v>
      </c>
      <c r="DB1007">
        <f t="shared" si="501"/>
        <v>0</v>
      </c>
      <c r="DC1007">
        <f t="shared" si="502"/>
        <v>0</v>
      </c>
      <c r="DD1007" t="s">
        <v>3</v>
      </c>
      <c r="DE1007" t="s">
        <v>3</v>
      </c>
      <c r="DF1007">
        <f t="shared" si="496"/>
        <v>0</v>
      </c>
      <c r="DG1007">
        <f t="shared" si="504"/>
        <v>0</v>
      </c>
      <c r="DH1007">
        <f t="shared" si="505"/>
        <v>0</v>
      </c>
      <c r="DI1007">
        <f t="shared" si="477"/>
        <v>0</v>
      </c>
      <c r="DJ1007">
        <f t="shared" si="503"/>
        <v>0</v>
      </c>
      <c r="DK1007">
        <v>0</v>
      </c>
    </row>
    <row r="1008" spans="1:115" x14ac:dyDescent="0.2">
      <c r="A1008">
        <f>ROW(Source!A1190)</f>
        <v>1190</v>
      </c>
      <c r="B1008">
        <v>129761636</v>
      </c>
      <c r="C1008">
        <v>129764381</v>
      </c>
      <c r="D1008">
        <v>0</v>
      </c>
      <c r="E1008">
        <v>0</v>
      </c>
      <c r="F1008">
        <v>1</v>
      </c>
      <c r="G1008">
        <v>37345137</v>
      </c>
      <c r="H1008">
        <v>3</v>
      </c>
      <c r="I1008" t="s">
        <v>248</v>
      </c>
      <c r="J1008" t="s">
        <v>3</v>
      </c>
      <c r="K1008" t="s">
        <v>960</v>
      </c>
      <c r="L1008">
        <v>1354</v>
      </c>
      <c r="N1008">
        <v>1010</v>
      </c>
      <c r="O1008" t="s">
        <v>250</v>
      </c>
      <c r="P1008" t="s">
        <v>250</v>
      </c>
      <c r="Q1008">
        <v>1</v>
      </c>
      <c r="W1008">
        <v>0</v>
      </c>
      <c r="X1008">
        <v>-178680846</v>
      </c>
      <c r="Y1008">
        <f t="shared" si="497"/>
        <v>1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1</v>
      </c>
      <c r="AJ1008">
        <v>1</v>
      </c>
      <c r="AK1008">
        <v>1</v>
      </c>
      <c r="AL1008">
        <v>1</v>
      </c>
      <c r="AN1008">
        <v>0</v>
      </c>
      <c r="AO1008">
        <v>0</v>
      </c>
      <c r="AP1008">
        <v>1</v>
      </c>
      <c r="AQ1008">
        <v>0</v>
      </c>
      <c r="AR1008">
        <v>0</v>
      </c>
      <c r="AS1008" t="s">
        <v>3</v>
      </c>
      <c r="AT1008">
        <v>1</v>
      </c>
      <c r="AU1008" t="s">
        <v>3</v>
      </c>
      <c r="AV1008">
        <v>0</v>
      </c>
      <c r="AW1008">
        <v>1</v>
      </c>
      <c r="AX1008">
        <v>-1</v>
      </c>
      <c r="AY1008">
        <v>0</v>
      </c>
      <c r="AZ1008">
        <v>0</v>
      </c>
      <c r="BA1008" t="s">
        <v>3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0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  <c r="BQ1008">
        <v>0</v>
      </c>
      <c r="BR1008">
        <v>0</v>
      </c>
      <c r="BS1008">
        <v>0</v>
      </c>
      <c r="BT1008">
        <v>0</v>
      </c>
      <c r="BU1008">
        <v>0</v>
      </c>
      <c r="BV1008">
        <v>0</v>
      </c>
      <c r="BW1008">
        <v>0</v>
      </c>
      <c r="CX1008">
        <f>ROUND(Y1008*Source!I1190,9)</f>
        <v>2</v>
      </c>
      <c r="CY1008">
        <f t="shared" si="498"/>
        <v>0</v>
      </c>
      <c r="CZ1008">
        <f t="shared" si="499"/>
        <v>0</v>
      </c>
      <c r="DA1008">
        <f t="shared" si="500"/>
        <v>1</v>
      </c>
      <c r="DB1008">
        <f t="shared" si="501"/>
        <v>0</v>
      </c>
      <c r="DC1008">
        <f t="shared" si="502"/>
        <v>0</v>
      </c>
      <c r="DD1008" t="s">
        <v>3</v>
      </c>
      <c r="DE1008" t="s">
        <v>3</v>
      </c>
      <c r="DF1008">
        <f t="shared" si="496"/>
        <v>0</v>
      </c>
      <c r="DG1008">
        <f t="shared" si="504"/>
        <v>0</v>
      </c>
      <c r="DH1008">
        <f t="shared" si="505"/>
        <v>0</v>
      </c>
      <c r="DI1008">
        <f t="shared" si="477"/>
        <v>0</v>
      </c>
      <c r="DJ1008">
        <f t="shared" si="503"/>
        <v>0</v>
      </c>
      <c r="DK1008">
        <v>0</v>
      </c>
    </row>
    <row r="1009" spans="1:115" x14ac:dyDescent="0.2">
      <c r="A1009">
        <f>ROW(Source!A1191)</f>
        <v>1191</v>
      </c>
      <c r="B1009">
        <v>129761633</v>
      </c>
      <c r="C1009">
        <v>129764381</v>
      </c>
      <c r="D1009">
        <v>37345142</v>
      </c>
      <c r="E1009">
        <v>37345137</v>
      </c>
      <c r="F1009">
        <v>1</v>
      </c>
      <c r="G1009">
        <v>37345137</v>
      </c>
      <c r="H1009">
        <v>1</v>
      </c>
      <c r="I1009" t="s">
        <v>1096</v>
      </c>
      <c r="J1009" t="s">
        <v>3</v>
      </c>
      <c r="K1009" t="s">
        <v>1097</v>
      </c>
      <c r="L1009">
        <v>1191</v>
      </c>
      <c r="N1009">
        <v>1013</v>
      </c>
      <c r="O1009" t="s">
        <v>1098</v>
      </c>
      <c r="P1009" t="s">
        <v>1098</v>
      </c>
      <c r="Q1009">
        <v>1</v>
      </c>
      <c r="W1009">
        <v>0</v>
      </c>
      <c r="X1009">
        <v>476480486</v>
      </c>
      <c r="Y1009">
        <f>(AT1009*1.15)</f>
        <v>2.2424999999999997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1</v>
      </c>
      <c r="AJ1009">
        <v>1</v>
      </c>
      <c r="AK1009">
        <v>1</v>
      </c>
      <c r="AL1009">
        <v>1</v>
      </c>
      <c r="AN1009">
        <v>0</v>
      </c>
      <c r="AO1009">
        <v>1</v>
      </c>
      <c r="AP1009">
        <v>1</v>
      </c>
      <c r="AQ1009">
        <v>0</v>
      </c>
      <c r="AR1009">
        <v>0</v>
      </c>
      <c r="AS1009" t="s">
        <v>3</v>
      </c>
      <c r="AT1009">
        <v>1.95</v>
      </c>
      <c r="AU1009" t="s">
        <v>87</v>
      </c>
      <c r="AV1009">
        <v>1</v>
      </c>
      <c r="AW1009">
        <v>2</v>
      </c>
      <c r="AX1009">
        <v>129764394</v>
      </c>
      <c r="AY1009">
        <v>1</v>
      </c>
      <c r="AZ1009">
        <v>0</v>
      </c>
      <c r="BA1009">
        <v>972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0</v>
      </c>
      <c r="BR1009">
        <v>0</v>
      </c>
      <c r="BS1009">
        <v>0</v>
      </c>
      <c r="BT1009">
        <v>0</v>
      </c>
      <c r="BU1009">
        <v>0</v>
      </c>
      <c r="BV1009">
        <v>0</v>
      </c>
      <c r="BW1009">
        <v>0</v>
      </c>
      <c r="CX1009">
        <f>ROUND(Y1009*Source!I1191,9)</f>
        <v>4.4850000000000003</v>
      </c>
      <c r="CY1009">
        <f>AD1009</f>
        <v>0</v>
      </c>
      <c r="CZ1009">
        <f>AH1009</f>
        <v>0</v>
      </c>
      <c r="DA1009">
        <f>AL1009</f>
        <v>1</v>
      </c>
      <c r="DB1009">
        <f>ROUND((ROUND(AT1009*CZ1009,2)*1.15),6)</f>
        <v>0</v>
      </c>
      <c r="DC1009">
        <f>ROUND((ROUND(AT1009*AG1009,2)*1.15),6)</f>
        <v>0</v>
      </c>
      <c r="DD1009" t="s">
        <v>3</v>
      </c>
      <c r="DE1009" t="s">
        <v>3</v>
      </c>
      <c r="DF1009">
        <f t="shared" si="496"/>
        <v>0</v>
      </c>
      <c r="DG1009">
        <f t="shared" si="504"/>
        <v>0</v>
      </c>
      <c r="DH1009">
        <f t="shared" si="505"/>
        <v>0</v>
      </c>
      <c r="DI1009">
        <f t="shared" si="477"/>
        <v>0</v>
      </c>
      <c r="DJ1009">
        <f>DI1009</f>
        <v>0</v>
      </c>
      <c r="DK1009">
        <v>0</v>
      </c>
    </row>
    <row r="1010" spans="1:115" x14ac:dyDescent="0.2">
      <c r="A1010">
        <f>ROW(Source!A1191)</f>
        <v>1191</v>
      </c>
      <c r="B1010">
        <v>129761633</v>
      </c>
      <c r="C1010">
        <v>129764381</v>
      </c>
      <c r="D1010">
        <v>37418445</v>
      </c>
      <c r="E1010">
        <v>1</v>
      </c>
      <c r="F1010">
        <v>1</v>
      </c>
      <c r="G1010">
        <v>37345137</v>
      </c>
      <c r="H1010">
        <v>2</v>
      </c>
      <c r="I1010" t="s">
        <v>1189</v>
      </c>
      <c r="J1010" t="s">
        <v>1190</v>
      </c>
      <c r="K1010" t="s">
        <v>1191</v>
      </c>
      <c r="L1010">
        <v>1367</v>
      </c>
      <c r="N1010">
        <v>1011</v>
      </c>
      <c r="O1010" t="s">
        <v>1102</v>
      </c>
      <c r="P1010" t="s">
        <v>1102</v>
      </c>
      <c r="Q1010">
        <v>1</v>
      </c>
      <c r="W1010">
        <v>0</v>
      </c>
      <c r="X1010">
        <v>-628430174</v>
      </c>
      <c r="Y1010">
        <f>(AT1010*1.25)</f>
        <v>2.5000000000000001E-2</v>
      </c>
      <c r="AA1010">
        <v>0</v>
      </c>
      <c r="AB1010">
        <v>935.94</v>
      </c>
      <c r="AC1010">
        <v>444.8</v>
      </c>
      <c r="AD1010">
        <v>0</v>
      </c>
      <c r="AE1010">
        <v>0</v>
      </c>
      <c r="AF1010">
        <v>76.81</v>
      </c>
      <c r="AG1010">
        <v>14.36</v>
      </c>
      <c r="AH1010">
        <v>0</v>
      </c>
      <c r="AI1010">
        <v>1</v>
      </c>
      <c r="AJ1010">
        <v>11.42</v>
      </c>
      <c r="AK1010">
        <v>29.03</v>
      </c>
      <c r="AL1010">
        <v>1</v>
      </c>
      <c r="AN1010">
        <v>0</v>
      </c>
      <c r="AO1010">
        <v>1</v>
      </c>
      <c r="AP1010">
        <v>1</v>
      </c>
      <c r="AQ1010">
        <v>0</v>
      </c>
      <c r="AR1010">
        <v>0</v>
      </c>
      <c r="AS1010" t="s">
        <v>3</v>
      </c>
      <c r="AT1010">
        <v>0.02</v>
      </c>
      <c r="AU1010" t="s">
        <v>86</v>
      </c>
      <c r="AV1010">
        <v>0</v>
      </c>
      <c r="AW1010">
        <v>2</v>
      </c>
      <c r="AX1010">
        <v>129764395</v>
      </c>
      <c r="AY1010">
        <v>1</v>
      </c>
      <c r="AZ1010">
        <v>0</v>
      </c>
      <c r="BA1010">
        <v>973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0</v>
      </c>
      <c r="BJ1010">
        <v>0</v>
      </c>
      <c r="BK1010">
        <v>0</v>
      </c>
      <c r="BL1010">
        <v>0</v>
      </c>
      <c r="BM1010">
        <v>0</v>
      </c>
      <c r="BN1010">
        <v>0</v>
      </c>
      <c r="BO1010">
        <v>0</v>
      </c>
      <c r="BP1010">
        <v>0</v>
      </c>
      <c r="BQ1010">
        <v>0</v>
      </c>
      <c r="BR1010">
        <v>0</v>
      </c>
      <c r="BS1010">
        <v>0</v>
      </c>
      <c r="BT1010">
        <v>0</v>
      </c>
      <c r="BU1010">
        <v>0</v>
      </c>
      <c r="BV1010">
        <v>0</v>
      </c>
      <c r="BW1010">
        <v>0</v>
      </c>
      <c r="CX1010">
        <f>ROUND(Y1010*Source!I1191,9)</f>
        <v>0.05</v>
      </c>
      <c r="CY1010">
        <f>AB1010</f>
        <v>935.94</v>
      </c>
      <c r="CZ1010">
        <f>AF1010</f>
        <v>76.81</v>
      </c>
      <c r="DA1010">
        <f>AJ1010</f>
        <v>11.42</v>
      </c>
      <c r="DB1010">
        <f>ROUND((ROUND(AT1010*CZ1010,2)*1.25),6)</f>
        <v>1.925</v>
      </c>
      <c r="DC1010">
        <f>ROUND((ROUND(AT1010*AG1010,2)*1.25),6)</f>
        <v>0.36249999999999999</v>
      </c>
      <c r="DD1010" t="s">
        <v>3</v>
      </c>
      <c r="DE1010" t="s">
        <v>3</v>
      </c>
      <c r="DF1010">
        <f t="shared" si="496"/>
        <v>0</v>
      </c>
      <c r="DG1010">
        <f>ROUND(ROUND(AF1010*CX1010,2)*AJ1010,2)</f>
        <v>43.85</v>
      </c>
      <c r="DH1010">
        <f>ROUND(ROUND(AG1010*CX1010,2)*AK1010,2)</f>
        <v>20.9</v>
      </c>
      <c r="DI1010">
        <f t="shared" si="477"/>
        <v>0</v>
      </c>
      <c r="DJ1010">
        <f>DG1010</f>
        <v>43.85</v>
      </c>
      <c r="DK1010">
        <v>0</v>
      </c>
    </row>
    <row r="1011" spans="1:115" x14ac:dyDescent="0.2">
      <c r="A1011">
        <f>ROW(Source!A1191)</f>
        <v>1191</v>
      </c>
      <c r="B1011">
        <v>129761633</v>
      </c>
      <c r="C1011">
        <v>129764381</v>
      </c>
      <c r="D1011">
        <v>37418479</v>
      </c>
      <c r="E1011">
        <v>1</v>
      </c>
      <c r="F1011">
        <v>1</v>
      </c>
      <c r="G1011">
        <v>37345137</v>
      </c>
      <c r="H1011">
        <v>2</v>
      </c>
      <c r="I1011" t="s">
        <v>1183</v>
      </c>
      <c r="J1011" t="s">
        <v>1184</v>
      </c>
      <c r="K1011" t="s">
        <v>1185</v>
      </c>
      <c r="L1011">
        <v>1367</v>
      </c>
      <c r="N1011">
        <v>1011</v>
      </c>
      <c r="O1011" t="s">
        <v>1102</v>
      </c>
      <c r="P1011" t="s">
        <v>1102</v>
      </c>
      <c r="Q1011">
        <v>1</v>
      </c>
      <c r="W1011">
        <v>0</v>
      </c>
      <c r="X1011">
        <v>950854334</v>
      </c>
      <c r="Y1011">
        <f>(AT1011*1.25)</f>
        <v>2.5000000000000001E-2</v>
      </c>
      <c r="AA1011">
        <v>0</v>
      </c>
      <c r="AB1011">
        <v>2.52</v>
      </c>
      <c r="AC1011">
        <v>0.11</v>
      </c>
      <c r="AD1011">
        <v>0</v>
      </c>
      <c r="AE1011">
        <v>0</v>
      </c>
      <c r="AF1011">
        <v>2.36</v>
      </c>
      <c r="AG1011">
        <v>0.1</v>
      </c>
      <c r="AH1011">
        <v>0</v>
      </c>
      <c r="AI1011">
        <v>1</v>
      </c>
      <c r="AJ1011">
        <v>1</v>
      </c>
      <c r="AK1011">
        <v>1</v>
      </c>
      <c r="AL1011">
        <v>1</v>
      </c>
      <c r="AN1011">
        <v>0</v>
      </c>
      <c r="AO1011">
        <v>1</v>
      </c>
      <c r="AP1011">
        <v>1</v>
      </c>
      <c r="AQ1011">
        <v>0</v>
      </c>
      <c r="AR1011">
        <v>0</v>
      </c>
      <c r="AS1011" t="s">
        <v>3</v>
      </c>
      <c r="AT1011">
        <v>0.02</v>
      </c>
      <c r="AU1011" t="s">
        <v>86</v>
      </c>
      <c r="AV1011">
        <v>0</v>
      </c>
      <c r="AW1011">
        <v>2</v>
      </c>
      <c r="AX1011">
        <v>129764396</v>
      </c>
      <c r="AY1011">
        <v>1</v>
      </c>
      <c r="AZ1011">
        <v>0</v>
      </c>
      <c r="BA1011">
        <v>974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0</v>
      </c>
      <c r="BR1011">
        <v>0</v>
      </c>
      <c r="BS1011">
        <v>0</v>
      </c>
      <c r="BT1011">
        <v>0</v>
      </c>
      <c r="BU1011">
        <v>0</v>
      </c>
      <c r="BV1011">
        <v>0</v>
      </c>
      <c r="BW1011">
        <v>0</v>
      </c>
      <c r="CX1011">
        <f>ROUND(Y1011*Source!I1191,9)</f>
        <v>0.05</v>
      </c>
      <c r="CY1011">
        <f>AB1011</f>
        <v>2.52</v>
      </c>
      <c r="CZ1011">
        <f>AF1011</f>
        <v>2.36</v>
      </c>
      <c r="DA1011">
        <f>AJ1011</f>
        <v>1</v>
      </c>
      <c r="DB1011">
        <f>ROUND((ROUND(AT1011*CZ1011,2)*1.25),6)</f>
        <v>6.25E-2</v>
      </c>
      <c r="DC1011">
        <f>ROUND((ROUND(AT1011*AG1011,2)*1.25),6)</f>
        <v>0</v>
      </c>
      <c r="DD1011" t="s">
        <v>3</v>
      </c>
      <c r="DE1011" t="s">
        <v>3</v>
      </c>
      <c r="DF1011">
        <f t="shared" si="496"/>
        <v>0</v>
      </c>
      <c r="DG1011">
        <f t="shared" ref="DG1011:DG1050" si="506">ROUND(AF1011*CX1011,2)</f>
        <v>0.12</v>
      </c>
      <c r="DH1011">
        <f t="shared" ref="DH1011:DH1050" si="507">ROUND(AG1011*CX1011,2)</f>
        <v>0.01</v>
      </c>
      <c r="DI1011">
        <f t="shared" si="477"/>
        <v>0</v>
      </c>
      <c r="DJ1011">
        <f>DG1011</f>
        <v>0.12</v>
      </c>
      <c r="DK1011">
        <v>0</v>
      </c>
    </row>
    <row r="1012" spans="1:115" x14ac:dyDescent="0.2">
      <c r="A1012">
        <f>ROW(Source!A1191)</f>
        <v>1191</v>
      </c>
      <c r="B1012">
        <v>129761633</v>
      </c>
      <c r="C1012">
        <v>129764381</v>
      </c>
      <c r="D1012">
        <v>37345890</v>
      </c>
      <c r="E1012">
        <v>37345137</v>
      </c>
      <c r="F1012">
        <v>1</v>
      </c>
      <c r="G1012">
        <v>37345137</v>
      </c>
      <c r="H1012">
        <v>2</v>
      </c>
      <c r="I1012" t="s">
        <v>1145</v>
      </c>
      <c r="J1012" t="s">
        <v>3</v>
      </c>
      <c r="K1012" t="s">
        <v>1146</v>
      </c>
      <c r="L1012">
        <v>1344</v>
      </c>
      <c r="N1012">
        <v>1008</v>
      </c>
      <c r="O1012" t="s">
        <v>1138</v>
      </c>
      <c r="P1012" t="s">
        <v>1138</v>
      </c>
      <c r="Q1012">
        <v>1</v>
      </c>
      <c r="W1012">
        <v>0</v>
      </c>
      <c r="X1012">
        <v>-1180195794</v>
      </c>
      <c r="Y1012">
        <f>(AT1012*1.25)</f>
        <v>1.2500000000000001E-2</v>
      </c>
      <c r="AA1012">
        <v>0</v>
      </c>
      <c r="AB1012">
        <v>1.07</v>
      </c>
      <c r="AC1012">
        <v>0</v>
      </c>
      <c r="AD1012">
        <v>0</v>
      </c>
      <c r="AE1012">
        <v>0</v>
      </c>
      <c r="AF1012">
        <v>1</v>
      </c>
      <c r="AG1012">
        <v>0</v>
      </c>
      <c r="AH1012">
        <v>0</v>
      </c>
      <c r="AI1012">
        <v>1</v>
      </c>
      <c r="AJ1012">
        <v>1</v>
      </c>
      <c r="AK1012">
        <v>1</v>
      </c>
      <c r="AL1012">
        <v>1</v>
      </c>
      <c r="AN1012">
        <v>0</v>
      </c>
      <c r="AO1012">
        <v>1</v>
      </c>
      <c r="AP1012">
        <v>1</v>
      </c>
      <c r="AQ1012">
        <v>0</v>
      </c>
      <c r="AR1012">
        <v>0</v>
      </c>
      <c r="AS1012" t="s">
        <v>3</v>
      </c>
      <c r="AT1012">
        <v>0.01</v>
      </c>
      <c r="AU1012" t="s">
        <v>86</v>
      </c>
      <c r="AV1012">
        <v>0</v>
      </c>
      <c r="AW1012">
        <v>2</v>
      </c>
      <c r="AX1012">
        <v>129764397</v>
      </c>
      <c r="AY1012">
        <v>1</v>
      </c>
      <c r="AZ1012">
        <v>0</v>
      </c>
      <c r="BA1012">
        <v>975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0</v>
      </c>
      <c r="BR1012">
        <v>0</v>
      </c>
      <c r="BS1012">
        <v>0</v>
      </c>
      <c r="BT1012">
        <v>0</v>
      </c>
      <c r="BU1012">
        <v>0</v>
      </c>
      <c r="BV1012">
        <v>0</v>
      </c>
      <c r="BW1012">
        <v>0</v>
      </c>
      <c r="CX1012">
        <f>ROUND(Y1012*Source!I1191,9)</f>
        <v>2.5000000000000001E-2</v>
      </c>
      <c r="CY1012">
        <f>AB1012</f>
        <v>1.07</v>
      </c>
      <c r="CZ1012">
        <f>AF1012</f>
        <v>1</v>
      </c>
      <c r="DA1012">
        <f>AJ1012</f>
        <v>1</v>
      </c>
      <c r="DB1012">
        <f>ROUND((ROUND(AT1012*CZ1012,2)*1.25),6)</f>
        <v>1.2500000000000001E-2</v>
      </c>
      <c r="DC1012">
        <f>ROUND((ROUND(AT1012*AG1012,2)*1.25),6)</f>
        <v>0</v>
      </c>
      <c r="DD1012" t="s">
        <v>3</v>
      </c>
      <c r="DE1012" t="s">
        <v>3</v>
      </c>
      <c r="DF1012">
        <f t="shared" si="496"/>
        <v>0</v>
      </c>
      <c r="DG1012">
        <f t="shared" si="506"/>
        <v>0.03</v>
      </c>
      <c r="DH1012">
        <f t="shared" si="507"/>
        <v>0</v>
      </c>
      <c r="DI1012">
        <f t="shared" si="477"/>
        <v>0</v>
      </c>
      <c r="DJ1012">
        <f>DG1012</f>
        <v>0.03</v>
      </c>
      <c r="DK1012">
        <v>0</v>
      </c>
    </row>
    <row r="1013" spans="1:115" x14ac:dyDescent="0.2">
      <c r="A1013">
        <f>ROW(Source!A1191)</f>
        <v>1191</v>
      </c>
      <c r="B1013">
        <v>129761633</v>
      </c>
      <c r="C1013">
        <v>129764381</v>
      </c>
      <c r="D1013">
        <v>37394800</v>
      </c>
      <c r="E1013">
        <v>1</v>
      </c>
      <c r="F1013">
        <v>1</v>
      </c>
      <c r="G1013">
        <v>37345137</v>
      </c>
      <c r="H1013">
        <v>3</v>
      </c>
      <c r="I1013" t="s">
        <v>1398</v>
      </c>
      <c r="J1013" t="s">
        <v>1399</v>
      </c>
      <c r="K1013" t="s">
        <v>1400</v>
      </c>
      <c r="L1013">
        <v>1348</v>
      </c>
      <c r="N1013">
        <v>1009</v>
      </c>
      <c r="O1013" t="s">
        <v>114</v>
      </c>
      <c r="P1013" t="s">
        <v>114</v>
      </c>
      <c r="Q1013">
        <v>1000</v>
      </c>
      <c r="W1013">
        <v>0</v>
      </c>
      <c r="X1013">
        <v>-2096099888</v>
      </c>
      <c r="Y1013">
        <f t="shared" ref="Y1013:Y1022" si="508">AT1013</f>
        <v>6.9999999999999994E-5</v>
      </c>
      <c r="AA1013">
        <v>104730.07</v>
      </c>
      <c r="AB1013">
        <v>0</v>
      </c>
      <c r="AC1013">
        <v>0</v>
      </c>
      <c r="AD1013">
        <v>0</v>
      </c>
      <c r="AE1013">
        <v>17750.86</v>
      </c>
      <c r="AF1013">
        <v>0</v>
      </c>
      <c r="AG1013">
        <v>0</v>
      </c>
      <c r="AH1013">
        <v>0</v>
      </c>
      <c r="AI1013">
        <v>5.9</v>
      </c>
      <c r="AJ1013">
        <v>1</v>
      </c>
      <c r="AK1013">
        <v>1</v>
      </c>
      <c r="AL1013">
        <v>1</v>
      </c>
      <c r="AN1013">
        <v>0</v>
      </c>
      <c r="AO1013">
        <v>1</v>
      </c>
      <c r="AP1013">
        <v>0</v>
      </c>
      <c r="AQ1013">
        <v>0</v>
      </c>
      <c r="AR1013">
        <v>0</v>
      </c>
      <c r="AS1013" t="s">
        <v>3</v>
      </c>
      <c r="AT1013">
        <v>6.9999999999999994E-5</v>
      </c>
      <c r="AU1013" t="s">
        <v>3</v>
      </c>
      <c r="AV1013">
        <v>0</v>
      </c>
      <c r="AW1013">
        <v>2</v>
      </c>
      <c r="AX1013">
        <v>129764398</v>
      </c>
      <c r="AY1013">
        <v>1</v>
      </c>
      <c r="AZ1013">
        <v>0</v>
      </c>
      <c r="BA1013">
        <v>976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0</v>
      </c>
      <c r="BR1013">
        <v>0</v>
      </c>
      <c r="BS1013">
        <v>0</v>
      </c>
      <c r="BT1013">
        <v>0</v>
      </c>
      <c r="BU1013">
        <v>0</v>
      </c>
      <c r="BV1013">
        <v>0</v>
      </c>
      <c r="BW1013">
        <v>0</v>
      </c>
      <c r="CX1013">
        <f>ROUND(Y1013*Source!I1191,9)</f>
        <v>1.3999999999999999E-4</v>
      </c>
      <c r="CY1013">
        <f t="shared" ref="CY1013:CY1022" si="509">AA1013</f>
        <v>104730.07</v>
      </c>
      <c r="CZ1013">
        <f t="shared" ref="CZ1013:CZ1022" si="510">AE1013</f>
        <v>17750.86</v>
      </c>
      <c r="DA1013">
        <f t="shared" ref="DA1013:DA1022" si="511">AI1013</f>
        <v>5.9</v>
      </c>
      <c r="DB1013">
        <f t="shared" ref="DB1013:DB1022" si="512">ROUND(ROUND(AT1013*CZ1013,2),6)</f>
        <v>1.24</v>
      </c>
      <c r="DC1013">
        <f t="shared" ref="DC1013:DC1022" si="513">ROUND(ROUND(AT1013*AG1013,2),6)</f>
        <v>0</v>
      </c>
      <c r="DD1013" t="s">
        <v>3</v>
      </c>
      <c r="DE1013" t="s">
        <v>3</v>
      </c>
      <c r="DF1013">
        <f t="shared" ref="DF1013:DF1022" si="514">ROUND(ROUND(AE1013*CX1013,2)*AI1013,2)</f>
        <v>14.69</v>
      </c>
      <c r="DG1013">
        <f t="shared" si="506"/>
        <v>0</v>
      </c>
      <c r="DH1013">
        <f t="shared" si="507"/>
        <v>0</v>
      </c>
      <c r="DI1013">
        <f t="shared" si="477"/>
        <v>0</v>
      </c>
      <c r="DJ1013">
        <f t="shared" ref="DJ1013:DJ1022" si="515">DF1013</f>
        <v>14.69</v>
      </c>
      <c r="DK1013">
        <v>0</v>
      </c>
    </row>
    <row r="1014" spans="1:115" x14ac:dyDescent="0.2">
      <c r="A1014">
        <f>ROW(Source!A1191)</f>
        <v>1191</v>
      </c>
      <c r="B1014">
        <v>129761633</v>
      </c>
      <c r="C1014">
        <v>129764381</v>
      </c>
      <c r="D1014">
        <v>37393667</v>
      </c>
      <c r="E1014">
        <v>1</v>
      </c>
      <c r="F1014">
        <v>1</v>
      </c>
      <c r="G1014">
        <v>37345137</v>
      </c>
      <c r="H1014">
        <v>3</v>
      </c>
      <c r="I1014" t="s">
        <v>1401</v>
      </c>
      <c r="J1014" t="s">
        <v>1402</v>
      </c>
      <c r="K1014" t="s">
        <v>1403</v>
      </c>
      <c r="L1014">
        <v>1354</v>
      </c>
      <c r="N1014">
        <v>1010</v>
      </c>
      <c r="O1014" t="s">
        <v>250</v>
      </c>
      <c r="P1014" t="s">
        <v>250</v>
      </c>
      <c r="Q1014">
        <v>1</v>
      </c>
      <c r="W1014">
        <v>0</v>
      </c>
      <c r="X1014">
        <v>-141829900</v>
      </c>
      <c r="Y1014">
        <f t="shared" si="508"/>
        <v>4</v>
      </c>
      <c r="AA1014">
        <v>0.95</v>
      </c>
      <c r="AB1014">
        <v>0</v>
      </c>
      <c r="AC1014">
        <v>0</v>
      </c>
      <c r="AD1014">
        <v>0</v>
      </c>
      <c r="AE1014">
        <v>0.89</v>
      </c>
      <c r="AF1014">
        <v>0</v>
      </c>
      <c r="AG1014">
        <v>0</v>
      </c>
      <c r="AH1014">
        <v>0</v>
      </c>
      <c r="AI1014">
        <v>1.07</v>
      </c>
      <c r="AJ1014">
        <v>1</v>
      </c>
      <c r="AK1014">
        <v>1</v>
      </c>
      <c r="AL1014">
        <v>1</v>
      </c>
      <c r="AN1014">
        <v>0</v>
      </c>
      <c r="AO1014">
        <v>1</v>
      </c>
      <c r="AP1014">
        <v>0</v>
      </c>
      <c r="AQ1014">
        <v>0</v>
      </c>
      <c r="AR1014">
        <v>0</v>
      </c>
      <c r="AS1014" t="s">
        <v>3</v>
      </c>
      <c r="AT1014">
        <v>4</v>
      </c>
      <c r="AU1014" t="s">
        <v>3</v>
      </c>
      <c r="AV1014">
        <v>0</v>
      </c>
      <c r="AW1014">
        <v>2</v>
      </c>
      <c r="AX1014">
        <v>129764399</v>
      </c>
      <c r="AY1014">
        <v>1</v>
      </c>
      <c r="AZ1014">
        <v>0</v>
      </c>
      <c r="BA1014">
        <v>977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0</v>
      </c>
      <c r="BQ1014">
        <v>0</v>
      </c>
      <c r="BR1014">
        <v>0</v>
      </c>
      <c r="BS1014">
        <v>0</v>
      </c>
      <c r="BT1014">
        <v>0</v>
      </c>
      <c r="BU1014">
        <v>0</v>
      </c>
      <c r="BV1014">
        <v>0</v>
      </c>
      <c r="BW1014">
        <v>0</v>
      </c>
      <c r="CX1014">
        <f>ROUND(Y1014*Source!I1191,9)</f>
        <v>8</v>
      </c>
      <c r="CY1014">
        <f t="shared" si="509"/>
        <v>0.95</v>
      </c>
      <c r="CZ1014">
        <f t="shared" si="510"/>
        <v>0.89</v>
      </c>
      <c r="DA1014">
        <f t="shared" si="511"/>
        <v>1.07</v>
      </c>
      <c r="DB1014">
        <f t="shared" si="512"/>
        <v>3.56</v>
      </c>
      <c r="DC1014">
        <f t="shared" si="513"/>
        <v>0</v>
      </c>
      <c r="DD1014" t="s">
        <v>3</v>
      </c>
      <c r="DE1014" t="s">
        <v>3</v>
      </c>
      <c r="DF1014">
        <f t="shared" si="514"/>
        <v>7.62</v>
      </c>
      <c r="DG1014">
        <f t="shared" si="506"/>
        <v>0</v>
      </c>
      <c r="DH1014">
        <f t="shared" si="507"/>
        <v>0</v>
      </c>
      <c r="DI1014">
        <f t="shared" si="477"/>
        <v>0</v>
      </c>
      <c r="DJ1014">
        <f t="shared" si="515"/>
        <v>7.62</v>
      </c>
      <c r="DK1014">
        <v>0</v>
      </c>
    </row>
    <row r="1015" spans="1:115" x14ac:dyDescent="0.2">
      <c r="A1015">
        <f>ROW(Source!A1191)</f>
        <v>1191</v>
      </c>
      <c r="B1015">
        <v>129761633</v>
      </c>
      <c r="C1015">
        <v>129764381</v>
      </c>
      <c r="D1015">
        <v>37395666</v>
      </c>
      <c r="E1015">
        <v>1</v>
      </c>
      <c r="F1015">
        <v>1</v>
      </c>
      <c r="G1015">
        <v>37345137</v>
      </c>
      <c r="H1015">
        <v>3</v>
      </c>
      <c r="I1015" t="s">
        <v>1377</v>
      </c>
      <c r="J1015" t="s">
        <v>1378</v>
      </c>
      <c r="K1015" t="s">
        <v>1379</v>
      </c>
      <c r="L1015">
        <v>1346</v>
      </c>
      <c r="N1015">
        <v>1009</v>
      </c>
      <c r="O1015" t="s">
        <v>369</v>
      </c>
      <c r="P1015" t="s">
        <v>369</v>
      </c>
      <c r="Q1015">
        <v>1</v>
      </c>
      <c r="W1015">
        <v>0</v>
      </c>
      <c r="X1015">
        <v>1037702096</v>
      </c>
      <c r="Y1015">
        <f t="shared" si="508"/>
        <v>0.03</v>
      </c>
      <c r="AA1015">
        <v>214.7</v>
      </c>
      <c r="AB1015">
        <v>0</v>
      </c>
      <c r="AC1015">
        <v>0</v>
      </c>
      <c r="AD1015">
        <v>0</v>
      </c>
      <c r="AE1015">
        <v>38</v>
      </c>
      <c r="AF1015">
        <v>0</v>
      </c>
      <c r="AG1015">
        <v>0</v>
      </c>
      <c r="AH1015">
        <v>0</v>
      </c>
      <c r="AI1015">
        <v>5.65</v>
      </c>
      <c r="AJ1015">
        <v>1</v>
      </c>
      <c r="AK1015">
        <v>1</v>
      </c>
      <c r="AL1015">
        <v>1</v>
      </c>
      <c r="AN1015">
        <v>0</v>
      </c>
      <c r="AO1015">
        <v>1</v>
      </c>
      <c r="AP1015">
        <v>0</v>
      </c>
      <c r="AQ1015">
        <v>0</v>
      </c>
      <c r="AR1015">
        <v>0</v>
      </c>
      <c r="AS1015" t="s">
        <v>3</v>
      </c>
      <c r="AT1015">
        <v>0.03</v>
      </c>
      <c r="AU1015" t="s">
        <v>3</v>
      </c>
      <c r="AV1015">
        <v>0</v>
      </c>
      <c r="AW1015">
        <v>2</v>
      </c>
      <c r="AX1015">
        <v>129764400</v>
      </c>
      <c r="AY1015">
        <v>1</v>
      </c>
      <c r="AZ1015">
        <v>0</v>
      </c>
      <c r="BA1015">
        <v>978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0</v>
      </c>
      <c r="BR1015">
        <v>0</v>
      </c>
      <c r="BS1015">
        <v>0</v>
      </c>
      <c r="BT1015">
        <v>0</v>
      </c>
      <c r="BU1015">
        <v>0</v>
      </c>
      <c r="BV1015">
        <v>0</v>
      </c>
      <c r="BW1015">
        <v>0</v>
      </c>
      <c r="CX1015">
        <f>ROUND(Y1015*Source!I1191,9)</f>
        <v>0.06</v>
      </c>
      <c r="CY1015">
        <f t="shared" si="509"/>
        <v>214.7</v>
      </c>
      <c r="CZ1015">
        <f t="shared" si="510"/>
        <v>38</v>
      </c>
      <c r="DA1015">
        <f t="shared" si="511"/>
        <v>5.65</v>
      </c>
      <c r="DB1015">
        <f t="shared" si="512"/>
        <v>1.1399999999999999</v>
      </c>
      <c r="DC1015">
        <f t="shared" si="513"/>
        <v>0</v>
      </c>
      <c r="DD1015" t="s">
        <v>3</v>
      </c>
      <c r="DE1015" t="s">
        <v>3</v>
      </c>
      <c r="DF1015">
        <f t="shared" si="514"/>
        <v>12.88</v>
      </c>
      <c r="DG1015">
        <f t="shared" si="506"/>
        <v>0</v>
      </c>
      <c r="DH1015">
        <f t="shared" si="507"/>
        <v>0</v>
      </c>
      <c r="DI1015">
        <f t="shared" si="477"/>
        <v>0</v>
      </c>
      <c r="DJ1015">
        <f t="shared" si="515"/>
        <v>12.88</v>
      </c>
      <c r="DK1015">
        <v>0</v>
      </c>
    </row>
    <row r="1016" spans="1:115" x14ac:dyDescent="0.2">
      <c r="A1016">
        <f>ROW(Source!A1191)</f>
        <v>1191</v>
      </c>
      <c r="B1016">
        <v>129761633</v>
      </c>
      <c r="C1016">
        <v>129764381</v>
      </c>
      <c r="D1016">
        <v>37393681</v>
      </c>
      <c r="E1016">
        <v>1</v>
      </c>
      <c r="F1016">
        <v>1</v>
      </c>
      <c r="G1016">
        <v>37345137</v>
      </c>
      <c r="H1016">
        <v>3</v>
      </c>
      <c r="I1016" t="s">
        <v>1404</v>
      </c>
      <c r="J1016" t="s">
        <v>1405</v>
      </c>
      <c r="K1016" t="s">
        <v>1406</v>
      </c>
      <c r="L1016">
        <v>1348</v>
      </c>
      <c r="N1016">
        <v>1009</v>
      </c>
      <c r="O1016" t="s">
        <v>114</v>
      </c>
      <c r="P1016" t="s">
        <v>114</v>
      </c>
      <c r="Q1016">
        <v>1000</v>
      </c>
      <c r="W1016">
        <v>0</v>
      </c>
      <c r="X1016">
        <v>1202249175</v>
      </c>
      <c r="Y1016">
        <f t="shared" si="508"/>
        <v>2.0000000000000001E-4</v>
      </c>
      <c r="AA1016">
        <v>93986.58</v>
      </c>
      <c r="AB1016">
        <v>0</v>
      </c>
      <c r="AC1016">
        <v>0</v>
      </c>
      <c r="AD1016">
        <v>0</v>
      </c>
      <c r="AE1016">
        <v>10865.5</v>
      </c>
      <c r="AF1016">
        <v>0</v>
      </c>
      <c r="AG1016">
        <v>0</v>
      </c>
      <c r="AH1016">
        <v>0</v>
      </c>
      <c r="AI1016">
        <v>8.65</v>
      </c>
      <c r="AJ1016">
        <v>1</v>
      </c>
      <c r="AK1016">
        <v>1</v>
      </c>
      <c r="AL1016">
        <v>1</v>
      </c>
      <c r="AN1016">
        <v>0</v>
      </c>
      <c r="AO1016">
        <v>1</v>
      </c>
      <c r="AP1016">
        <v>0</v>
      </c>
      <c r="AQ1016">
        <v>0</v>
      </c>
      <c r="AR1016">
        <v>0</v>
      </c>
      <c r="AS1016" t="s">
        <v>3</v>
      </c>
      <c r="AT1016">
        <v>2.0000000000000001E-4</v>
      </c>
      <c r="AU1016" t="s">
        <v>3</v>
      </c>
      <c r="AV1016">
        <v>0</v>
      </c>
      <c r="AW1016">
        <v>2</v>
      </c>
      <c r="AX1016">
        <v>129764401</v>
      </c>
      <c r="AY1016">
        <v>1</v>
      </c>
      <c r="AZ1016">
        <v>0</v>
      </c>
      <c r="BA1016">
        <v>979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0</v>
      </c>
      <c r="BR1016">
        <v>0</v>
      </c>
      <c r="BS1016">
        <v>0</v>
      </c>
      <c r="BT1016">
        <v>0</v>
      </c>
      <c r="BU1016">
        <v>0</v>
      </c>
      <c r="BV1016">
        <v>0</v>
      </c>
      <c r="BW1016">
        <v>0</v>
      </c>
      <c r="CX1016">
        <f>ROUND(Y1016*Source!I1191,9)</f>
        <v>4.0000000000000002E-4</v>
      </c>
      <c r="CY1016">
        <f t="shared" si="509"/>
        <v>93986.58</v>
      </c>
      <c r="CZ1016">
        <f t="shared" si="510"/>
        <v>10865.5</v>
      </c>
      <c r="DA1016">
        <f t="shared" si="511"/>
        <v>8.65</v>
      </c>
      <c r="DB1016">
        <f t="shared" si="512"/>
        <v>2.17</v>
      </c>
      <c r="DC1016">
        <f t="shared" si="513"/>
        <v>0</v>
      </c>
      <c r="DD1016" t="s">
        <v>3</v>
      </c>
      <c r="DE1016" t="s">
        <v>3</v>
      </c>
      <c r="DF1016">
        <f t="shared" si="514"/>
        <v>37.630000000000003</v>
      </c>
      <c r="DG1016">
        <f t="shared" si="506"/>
        <v>0</v>
      </c>
      <c r="DH1016">
        <f t="shared" si="507"/>
        <v>0</v>
      </c>
      <c r="DI1016">
        <f t="shared" si="477"/>
        <v>0</v>
      </c>
      <c r="DJ1016">
        <f t="shared" si="515"/>
        <v>37.630000000000003</v>
      </c>
      <c r="DK1016">
        <v>0</v>
      </c>
    </row>
    <row r="1017" spans="1:115" x14ac:dyDescent="0.2">
      <c r="A1017">
        <f>ROW(Source!A1191)</f>
        <v>1191</v>
      </c>
      <c r="B1017">
        <v>129761633</v>
      </c>
      <c r="C1017">
        <v>129764381</v>
      </c>
      <c r="D1017">
        <v>37393883</v>
      </c>
      <c r="E1017">
        <v>1</v>
      </c>
      <c r="F1017">
        <v>1</v>
      </c>
      <c r="G1017">
        <v>37345137</v>
      </c>
      <c r="H1017">
        <v>3</v>
      </c>
      <c r="I1017" t="s">
        <v>1383</v>
      </c>
      <c r="J1017" t="s">
        <v>1384</v>
      </c>
      <c r="K1017" t="s">
        <v>1385</v>
      </c>
      <c r="L1017">
        <v>1348</v>
      </c>
      <c r="N1017">
        <v>1009</v>
      </c>
      <c r="O1017" t="s">
        <v>114</v>
      </c>
      <c r="P1017" t="s">
        <v>114</v>
      </c>
      <c r="Q1017">
        <v>1000</v>
      </c>
      <c r="W1017">
        <v>0</v>
      </c>
      <c r="X1017">
        <v>-434568416</v>
      </c>
      <c r="Y1017">
        <f t="shared" si="508"/>
        <v>3.8000000000000002E-4</v>
      </c>
      <c r="AA1017">
        <v>48667.17</v>
      </c>
      <c r="AB1017">
        <v>0</v>
      </c>
      <c r="AC1017">
        <v>0</v>
      </c>
      <c r="AD1017">
        <v>0</v>
      </c>
      <c r="AE1017">
        <v>16222.39</v>
      </c>
      <c r="AF1017">
        <v>0</v>
      </c>
      <c r="AG1017">
        <v>0</v>
      </c>
      <c r="AH1017">
        <v>0</v>
      </c>
      <c r="AI1017">
        <v>3</v>
      </c>
      <c r="AJ1017">
        <v>1</v>
      </c>
      <c r="AK1017">
        <v>1</v>
      </c>
      <c r="AL1017">
        <v>1</v>
      </c>
      <c r="AN1017">
        <v>0</v>
      </c>
      <c r="AO1017">
        <v>1</v>
      </c>
      <c r="AP1017">
        <v>0</v>
      </c>
      <c r="AQ1017">
        <v>0</v>
      </c>
      <c r="AR1017">
        <v>0</v>
      </c>
      <c r="AS1017" t="s">
        <v>3</v>
      </c>
      <c r="AT1017">
        <v>3.8000000000000002E-4</v>
      </c>
      <c r="AU1017" t="s">
        <v>3</v>
      </c>
      <c r="AV1017">
        <v>0</v>
      </c>
      <c r="AW1017">
        <v>2</v>
      </c>
      <c r="AX1017">
        <v>129764402</v>
      </c>
      <c r="AY1017">
        <v>1</v>
      </c>
      <c r="AZ1017">
        <v>0</v>
      </c>
      <c r="BA1017">
        <v>980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0</v>
      </c>
      <c r="BR1017">
        <v>0</v>
      </c>
      <c r="BS1017">
        <v>0</v>
      </c>
      <c r="BT1017">
        <v>0</v>
      </c>
      <c r="BU1017">
        <v>0</v>
      </c>
      <c r="BV1017">
        <v>0</v>
      </c>
      <c r="BW1017">
        <v>0</v>
      </c>
      <c r="CX1017">
        <f>ROUND(Y1017*Source!I1191,9)</f>
        <v>7.6000000000000004E-4</v>
      </c>
      <c r="CY1017">
        <f t="shared" si="509"/>
        <v>48667.17</v>
      </c>
      <c r="CZ1017">
        <f t="shared" si="510"/>
        <v>16222.39</v>
      </c>
      <c r="DA1017">
        <f t="shared" si="511"/>
        <v>3</v>
      </c>
      <c r="DB1017">
        <f t="shared" si="512"/>
        <v>6.16</v>
      </c>
      <c r="DC1017">
        <f t="shared" si="513"/>
        <v>0</v>
      </c>
      <c r="DD1017" t="s">
        <v>3</v>
      </c>
      <c r="DE1017" t="s">
        <v>3</v>
      </c>
      <c r="DF1017">
        <f t="shared" si="514"/>
        <v>36.99</v>
      </c>
      <c r="DG1017">
        <f t="shared" si="506"/>
        <v>0</v>
      </c>
      <c r="DH1017">
        <f t="shared" si="507"/>
        <v>0</v>
      </c>
      <c r="DI1017">
        <f t="shared" si="477"/>
        <v>0</v>
      </c>
      <c r="DJ1017">
        <f t="shared" si="515"/>
        <v>36.99</v>
      </c>
      <c r="DK1017">
        <v>0</v>
      </c>
    </row>
    <row r="1018" spans="1:115" x14ac:dyDescent="0.2">
      <c r="A1018">
        <f>ROW(Source!A1191)</f>
        <v>1191</v>
      </c>
      <c r="B1018">
        <v>129761633</v>
      </c>
      <c r="C1018">
        <v>129764381</v>
      </c>
      <c r="D1018">
        <v>37394085</v>
      </c>
      <c r="E1018">
        <v>1</v>
      </c>
      <c r="F1018">
        <v>1</v>
      </c>
      <c r="G1018">
        <v>37345137</v>
      </c>
      <c r="H1018">
        <v>3</v>
      </c>
      <c r="I1018" t="s">
        <v>1386</v>
      </c>
      <c r="J1018" t="s">
        <v>1387</v>
      </c>
      <c r="K1018" t="s">
        <v>1388</v>
      </c>
      <c r="L1018">
        <v>1346</v>
      </c>
      <c r="N1018">
        <v>1009</v>
      </c>
      <c r="O1018" t="s">
        <v>369</v>
      </c>
      <c r="P1018" t="s">
        <v>369</v>
      </c>
      <c r="Q1018">
        <v>1</v>
      </c>
      <c r="W1018">
        <v>0</v>
      </c>
      <c r="X1018">
        <v>-1082935818</v>
      </c>
      <c r="Y1018">
        <f t="shared" si="508"/>
        <v>0.04</v>
      </c>
      <c r="AA1018">
        <v>73.69</v>
      </c>
      <c r="AB1018">
        <v>0</v>
      </c>
      <c r="AC1018">
        <v>0</v>
      </c>
      <c r="AD1018">
        <v>0</v>
      </c>
      <c r="AE1018">
        <v>20.190000000000001</v>
      </c>
      <c r="AF1018">
        <v>0</v>
      </c>
      <c r="AG1018">
        <v>0</v>
      </c>
      <c r="AH1018">
        <v>0</v>
      </c>
      <c r="AI1018">
        <v>3.65</v>
      </c>
      <c r="AJ1018">
        <v>1</v>
      </c>
      <c r="AK1018">
        <v>1</v>
      </c>
      <c r="AL1018">
        <v>1</v>
      </c>
      <c r="AN1018">
        <v>0</v>
      </c>
      <c r="AO1018">
        <v>1</v>
      </c>
      <c r="AP1018">
        <v>0</v>
      </c>
      <c r="AQ1018">
        <v>0</v>
      </c>
      <c r="AR1018">
        <v>0</v>
      </c>
      <c r="AS1018" t="s">
        <v>3</v>
      </c>
      <c r="AT1018">
        <v>0.04</v>
      </c>
      <c r="AU1018" t="s">
        <v>3</v>
      </c>
      <c r="AV1018">
        <v>0</v>
      </c>
      <c r="AW1018">
        <v>2</v>
      </c>
      <c r="AX1018">
        <v>129764403</v>
      </c>
      <c r="AY1018">
        <v>1</v>
      </c>
      <c r="AZ1018">
        <v>0</v>
      </c>
      <c r="BA1018">
        <v>981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0</v>
      </c>
      <c r="BR1018">
        <v>0</v>
      </c>
      <c r="BS1018">
        <v>0</v>
      </c>
      <c r="BT1018">
        <v>0</v>
      </c>
      <c r="BU1018">
        <v>0</v>
      </c>
      <c r="BV1018">
        <v>0</v>
      </c>
      <c r="BW1018">
        <v>0</v>
      </c>
      <c r="CX1018">
        <f>ROUND(Y1018*Source!I1191,9)</f>
        <v>0.08</v>
      </c>
      <c r="CY1018">
        <f t="shared" si="509"/>
        <v>73.69</v>
      </c>
      <c r="CZ1018">
        <f t="shared" si="510"/>
        <v>20.190000000000001</v>
      </c>
      <c r="DA1018">
        <f t="shared" si="511"/>
        <v>3.65</v>
      </c>
      <c r="DB1018">
        <f t="shared" si="512"/>
        <v>0.81</v>
      </c>
      <c r="DC1018">
        <f t="shared" si="513"/>
        <v>0</v>
      </c>
      <c r="DD1018" t="s">
        <v>3</v>
      </c>
      <c r="DE1018" t="s">
        <v>3</v>
      </c>
      <c r="DF1018">
        <f t="shared" si="514"/>
        <v>5.91</v>
      </c>
      <c r="DG1018">
        <f t="shared" si="506"/>
        <v>0</v>
      </c>
      <c r="DH1018">
        <f t="shared" si="507"/>
        <v>0</v>
      </c>
      <c r="DI1018">
        <f t="shared" si="477"/>
        <v>0</v>
      </c>
      <c r="DJ1018">
        <f t="shared" si="515"/>
        <v>5.91</v>
      </c>
      <c r="DK1018">
        <v>0</v>
      </c>
    </row>
    <row r="1019" spans="1:115" x14ac:dyDescent="0.2">
      <c r="A1019">
        <f>ROW(Source!A1191)</f>
        <v>1191</v>
      </c>
      <c r="B1019">
        <v>129761633</v>
      </c>
      <c r="C1019">
        <v>129764381</v>
      </c>
      <c r="D1019">
        <v>37394252</v>
      </c>
      <c r="E1019">
        <v>1</v>
      </c>
      <c r="F1019">
        <v>1</v>
      </c>
      <c r="G1019">
        <v>37345137</v>
      </c>
      <c r="H1019">
        <v>3</v>
      </c>
      <c r="I1019" t="s">
        <v>1237</v>
      </c>
      <c r="J1019" t="s">
        <v>1238</v>
      </c>
      <c r="K1019" t="s">
        <v>1239</v>
      </c>
      <c r="L1019">
        <v>1348</v>
      </c>
      <c r="N1019">
        <v>1009</v>
      </c>
      <c r="O1019" t="s">
        <v>114</v>
      </c>
      <c r="P1019" t="s">
        <v>114</v>
      </c>
      <c r="Q1019">
        <v>1000</v>
      </c>
      <c r="W1019">
        <v>0</v>
      </c>
      <c r="X1019">
        <v>-1557622869</v>
      </c>
      <c r="Y1019">
        <f t="shared" si="508"/>
        <v>3.6000000000000002E-4</v>
      </c>
      <c r="AA1019">
        <v>54553.04</v>
      </c>
      <c r="AB1019">
        <v>0</v>
      </c>
      <c r="AC1019">
        <v>0</v>
      </c>
      <c r="AD1019">
        <v>0</v>
      </c>
      <c r="AE1019">
        <v>6870.66</v>
      </c>
      <c r="AF1019">
        <v>0</v>
      </c>
      <c r="AG1019">
        <v>0</v>
      </c>
      <c r="AH1019">
        <v>0</v>
      </c>
      <c r="AI1019">
        <v>7.94</v>
      </c>
      <c r="AJ1019">
        <v>1</v>
      </c>
      <c r="AK1019">
        <v>1</v>
      </c>
      <c r="AL1019">
        <v>1</v>
      </c>
      <c r="AN1019">
        <v>0</v>
      </c>
      <c r="AO1019">
        <v>1</v>
      </c>
      <c r="AP1019">
        <v>0</v>
      </c>
      <c r="AQ1019">
        <v>0</v>
      </c>
      <c r="AR1019">
        <v>0</v>
      </c>
      <c r="AS1019" t="s">
        <v>3</v>
      </c>
      <c r="AT1019">
        <v>3.6000000000000002E-4</v>
      </c>
      <c r="AU1019" t="s">
        <v>3</v>
      </c>
      <c r="AV1019">
        <v>0</v>
      </c>
      <c r="AW1019">
        <v>2</v>
      </c>
      <c r="AX1019">
        <v>129764404</v>
      </c>
      <c r="AY1019">
        <v>1</v>
      </c>
      <c r="AZ1019">
        <v>0</v>
      </c>
      <c r="BA1019">
        <v>982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0</v>
      </c>
      <c r="BR1019">
        <v>0</v>
      </c>
      <c r="BS1019">
        <v>0</v>
      </c>
      <c r="BT1019">
        <v>0</v>
      </c>
      <c r="BU1019">
        <v>0</v>
      </c>
      <c r="BV1019">
        <v>0</v>
      </c>
      <c r="BW1019">
        <v>0</v>
      </c>
      <c r="CX1019">
        <f>ROUND(Y1019*Source!I1191,9)</f>
        <v>7.2000000000000005E-4</v>
      </c>
      <c r="CY1019">
        <f t="shared" si="509"/>
        <v>54553.04</v>
      </c>
      <c r="CZ1019">
        <f t="shared" si="510"/>
        <v>6870.66</v>
      </c>
      <c r="DA1019">
        <f t="shared" si="511"/>
        <v>7.94</v>
      </c>
      <c r="DB1019">
        <f t="shared" si="512"/>
        <v>2.4700000000000002</v>
      </c>
      <c r="DC1019">
        <f t="shared" si="513"/>
        <v>0</v>
      </c>
      <c r="DD1019" t="s">
        <v>3</v>
      </c>
      <c r="DE1019" t="s">
        <v>3</v>
      </c>
      <c r="DF1019">
        <f t="shared" si="514"/>
        <v>39.299999999999997</v>
      </c>
      <c r="DG1019">
        <f t="shared" si="506"/>
        <v>0</v>
      </c>
      <c r="DH1019">
        <f t="shared" si="507"/>
        <v>0</v>
      </c>
      <c r="DI1019">
        <f t="shared" si="477"/>
        <v>0</v>
      </c>
      <c r="DJ1019">
        <f t="shared" si="515"/>
        <v>39.299999999999997</v>
      </c>
      <c r="DK1019">
        <v>0</v>
      </c>
    </row>
    <row r="1020" spans="1:115" x14ac:dyDescent="0.2">
      <c r="A1020">
        <f>ROW(Source!A1191)</f>
        <v>1191</v>
      </c>
      <c r="B1020">
        <v>129761633</v>
      </c>
      <c r="C1020">
        <v>129764381</v>
      </c>
      <c r="D1020">
        <v>37402906</v>
      </c>
      <c r="E1020">
        <v>1</v>
      </c>
      <c r="F1020">
        <v>1</v>
      </c>
      <c r="G1020">
        <v>37345137</v>
      </c>
      <c r="H1020">
        <v>3</v>
      </c>
      <c r="I1020" t="s">
        <v>963</v>
      </c>
      <c r="J1020" t="s">
        <v>965</v>
      </c>
      <c r="K1020" t="s">
        <v>964</v>
      </c>
      <c r="L1020">
        <v>1354</v>
      </c>
      <c r="N1020">
        <v>1010</v>
      </c>
      <c r="O1020" t="s">
        <v>250</v>
      </c>
      <c r="P1020" t="s">
        <v>250</v>
      </c>
      <c r="Q1020">
        <v>1</v>
      </c>
      <c r="W1020">
        <v>0</v>
      </c>
      <c r="X1020">
        <v>-1353685850</v>
      </c>
      <c r="Y1020">
        <f t="shared" si="508"/>
        <v>0</v>
      </c>
      <c r="AA1020">
        <v>4939.57</v>
      </c>
      <c r="AB1020">
        <v>0</v>
      </c>
      <c r="AC1020">
        <v>0</v>
      </c>
      <c r="AD1020">
        <v>0</v>
      </c>
      <c r="AE1020">
        <v>465.12</v>
      </c>
      <c r="AF1020">
        <v>0</v>
      </c>
      <c r="AG1020">
        <v>0</v>
      </c>
      <c r="AH1020">
        <v>0</v>
      </c>
      <c r="AI1020">
        <v>10.62</v>
      </c>
      <c r="AJ1020">
        <v>1</v>
      </c>
      <c r="AK1020">
        <v>1</v>
      </c>
      <c r="AL1020">
        <v>1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 t="s">
        <v>3</v>
      </c>
      <c r="AT1020">
        <v>0</v>
      </c>
      <c r="AU1020" t="s">
        <v>3</v>
      </c>
      <c r="AV1020">
        <v>0</v>
      </c>
      <c r="AW1020">
        <v>1</v>
      </c>
      <c r="AX1020">
        <v>-1</v>
      </c>
      <c r="AY1020">
        <v>0</v>
      </c>
      <c r="AZ1020">
        <v>0</v>
      </c>
      <c r="BA1020" t="s">
        <v>3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0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  <c r="BQ1020">
        <v>0</v>
      </c>
      <c r="BR1020">
        <v>0</v>
      </c>
      <c r="BS1020">
        <v>0</v>
      </c>
      <c r="BT1020">
        <v>0</v>
      </c>
      <c r="BU1020">
        <v>0</v>
      </c>
      <c r="BV1020">
        <v>0</v>
      </c>
      <c r="BW1020">
        <v>0</v>
      </c>
      <c r="CX1020">
        <f>ROUND(Y1020*Source!I1191,9)</f>
        <v>0</v>
      </c>
      <c r="CY1020">
        <f t="shared" si="509"/>
        <v>4939.57</v>
      </c>
      <c r="CZ1020">
        <f t="shared" si="510"/>
        <v>465.12</v>
      </c>
      <c r="DA1020">
        <f t="shared" si="511"/>
        <v>10.62</v>
      </c>
      <c r="DB1020">
        <f t="shared" si="512"/>
        <v>0</v>
      </c>
      <c r="DC1020">
        <f t="shared" si="513"/>
        <v>0</v>
      </c>
      <c r="DD1020" t="s">
        <v>3</v>
      </c>
      <c r="DE1020" t="s">
        <v>3</v>
      </c>
      <c r="DF1020">
        <f t="shared" si="514"/>
        <v>0</v>
      </c>
      <c r="DG1020">
        <f t="shared" si="506"/>
        <v>0</v>
      </c>
      <c r="DH1020">
        <f t="shared" si="507"/>
        <v>0</v>
      </c>
      <c r="DI1020">
        <f t="shared" si="477"/>
        <v>0</v>
      </c>
      <c r="DJ1020">
        <f t="shared" si="515"/>
        <v>0</v>
      </c>
      <c r="DK1020">
        <v>0</v>
      </c>
    </row>
    <row r="1021" spans="1:115" x14ac:dyDescent="0.2">
      <c r="A1021">
        <f>ROW(Source!A1191)</f>
        <v>1191</v>
      </c>
      <c r="B1021">
        <v>129761633</v>
      </c>
      <c r="C1021">
        <v>129764381</v>
      </c>
      <c r="D1021">
        <v>0</v>
      </c>
      <c r="E1021">
        <v>0</v>
      </c>
      <c r="F1021">
        <v>1</v>
      </c>
      <c r="G1021">
        <v>37345137</v>
      </c>
      <c r="H1021">
        <v>3</v>
      </c>
      <c r="I1021" t="s">
        <v>248</v>
      </c>
      <c r="J1021" t="s">
        <v>3</v>
      </c>
      <c r="K1021" t="s">
        <v>957</v>
      </c>
      <c r="L1021">
        <v>1354</v>
      </c>
      <c r="N1021">
        <v>1010</v>
      </c>
      <c r="O1021" t="s">
        <v>250</v>
      </c>
      <c r="P1021" t="s">
        <v>250</v>
      </c>
      <c r="Q1021">
        <v>1</v>
      </c>
      <c r="W1021">
        <v>0</v>
      </c>
      <c r="X1021">
        <v>333791719</v>
      </c>
      <c r="Y1021">
        <f t="shared" si="508"/>
        <v>1</v>
      </c>
      <c r="AA1021">
        <v>7406.04</v>
      </c>
      <c r="AB1021">
        <v>0</v>
      </c>
      <c r="AC1021">
        <v>0</v>
      </c>
      <c r="AD1021">
        <v>0</v>
      </c>
      <c r="AE1021">
        <v>856.18999999999994</v>
      </c>
      <c r="AF1021">
        <v>0</v>
      </c>
      <c r="AG1021">
        <v>0</v>
      </c>
      <c r="AH1021">
        <v>0</v>
      </c>
      <c r="AI1021">
        <v>8.65</v>
      </c>
      <c r="AJ1021">
        <v>1</v>
      </c>
      <c r="AK1021">
        <v>1</v>
      </c>
      <c r="AL1021">
        <v>1</v>
      </c>
      <c r="AN1021">
        <v>0</v>
      </c>
      <c r="AO1021">
        <v>0</v>
      </c>
      <c r="AP1021">
        <v>1</v>
      </c>
      <c r="AQ1021">
        <v>0</v>
      </c>
      <c r="AR1021">
        <v>0</v>
      </c>
      <c r="AS1021" t="s">
        <v>3</v>
      </c>
      <c r="AT1021">
        <v>1</v>
      </c>
      <c r="AU1021" t="s">
        <v>3</v>
      </c>
      <c r="AV1021">
        <v>0</v>
      </c>
      <c r="AW1021">
        <v>1</v>
      </c>
      <c r="AX1021">
        <v>-1</v>
      </c>
      <c r="AY1021">
        <v>0</v>
      </c>
      <c r="AZ1021">
        <v>0</v>
      </c>
      <c r="BA1021" t="s">
        <v>3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0</v>
      </c>
      <c r="BR1021">
        <v>0</v>
      </c>
      <c r="BS1021">
        <v>0</v>
      </c>
      <c r="BT1021">
        <v>0</v>
      </c>
      <c r="BU1021">
        <v>0</v>
      </c>
      <c r="BV1021">
        <v>0</v>
      </c>
      <c r="BW1021">
        <v>0</v>
      </c>
      <c r="CX1021">
        <f>ROUND(Y1021*Source!I1191,9)</f>
        <v>2</v>
      </c>
      <c r="CY1021">
        <f t="shared" si="509"/>
        <v>7406.04</v>
      </c>
      <c r="CZ1021">
        <f t="shared" si="510"/>
        <v>856.18999999999994</v>
      </c>
      <c r="DA1021">
        <f t="shared" si="511"/>
        <v>8.65</v>
      </c>
      <c r="DB1021">
        <f t="shared" si="512"/>
        <v>856.19</v>
      </c>
      <c r="DC1021">
        <f t="shared" si="513"/>
        <v>0</v>
      </c>
      <c r="DD1021" t="s">
        <v>3</v>
      </c>
      <c r="DE1021" t="s">
        <v>3</v>
      </c>
      <c r="DF1021">
        <f t="shared" si="514"/>
        <v>14812.09</v>
      </c>
      <c r="DG1021">
        <f t="shared" si="506"/>
        <v>0</v>
      </c>
      <c r="DH1021">
        <f t="shared" si="507"/>
        <v>0</v>
      </c>
      <c r="DI1021">
        <f t="shared" si="477"/>
        <v>0</v>
      </c>
      <c r="DJ1021">
        <f t="shared" si="515"/>
        <v>14812.09</v>
      </c>
      <c r="DK1021">
        <v>0</v>
      </c>
    </row>
    <row r="1022" spans="1:115" x14ac:dyDescent="0.2">
      <c r="A1022">
        <f>ROW(Source!A1191)</f>
        <v>1191</v>
      </c>
      <c r="B1022">
        <v>129761633</v>
      </c>
      <c r="C1022">
        <v>129764381</v>
      </c>
      <c r="D1022">
        <v>0</v>
      </c>
      <c r="E1022">
        <v>0</v>
      </c>
      <c r="F1022">
        <v>1</v>
      </c>
      <c r="G1022">
        <v>37345137</v>
      </c>
      <c r="H1022">
        <v>3</v>
      </c>
      <c r="I1022" t="s">
        <v>248</v>
      </c>
      <c r="J1022" t="s">
        <v>3</v>
      </c>
      <c r="K1022" t="s">
        <v>960</v>
      </c>
      <c r="L1022">
        <v>1354</v>
      </c>
      <c r="N1022">
        <v>1010</v>
      </c>
      <c r="O1022" t="s">
        <v>250</v>
      </c>
      <c r="P1022" t="s">
        <v>250</v>
      </c>
      <c r="Q1022">
        <v>1</v>
      </c>
      <c r="W1022">
        <v>0</v>
      </c>
      <c r="X1022">
        <v>-178680846</v>
      </c>
      <c r="Y1022">
        <f t="shared" si="508"/>
        <v>1</v>
      </c>
      <c r="AA1022">
        <v>4679.3</v>
      </c>
      <c r="AB1022">
        <v>0</v>
      </c>
      <c r="AC1022">
        <v>0</v>
      </c>
      <c r="AD1022">
        <v>0</v>
      </c>
      <c r="AE1022">
        <v>540.96</v>
      </c>
      <c r="AF1022">
        <v>0</v>
      </c>
      <c r="AG1022">
        <v>0</v>
      </c>
      <c r="AH1022">
        <v>0</v>
      </c>
      <c r="AI1022">
        <v>8.65</v>
      </c>
      <c r="AJ1022">
        <v>1</v>
      </c>
      <c r="AK1022">
        <v>1</v>
      </c>
      <c r="AL1022">
        <v>1</v>
      </c>
      <c r="AN1022">
        <v>0</v>
      </c>
      <c r="AO1022">
        <v>0</v>
      </c>
      <c r="AP1022">
        <v>1</v>
      </c>
      <c r="AQ1022">
        <v>0</v>
      </c>
      <c r="AR1022">
        <v>0</v>
      </c>
      <c r="AS1022" t="s">
        <v>3</v>
      </c>
      <c r="AT1022">
        <v>1</v>
      </c>
      <c r="AU1022" t="s">
        <v>3</v>
      </c>
      <c r="AV1022">
        <v>0</v>
      </c>
      <c r="AW1022">
        <v>1</v>
      </c>
      <c r="AX1022">
        <v>-1</v>
      </c>
      <c r="AY1022">
        <v>0</v>
      </c>
      <c r="AZ1022">
        <v>0</v>
      </c>
      <c r="BA1022" t="s">
        <v>3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0</v>
      </c>
      <c r="BR1022">
        <v>0</v>
      </c>
      <c r="BS1022">
        <v>0</v>
      </c>
      <c r="BT1022">
        <v>0</v>
      </c>
      <c r="BU1022">
        <v>0</v>
      </c>
      <c r="BV1022">
        <v>0</v>
      </c>
      <c r="BW1022">
        <v>0</v>
      </c>
      <c r="CX1022">
        <f>ROUND(Y1022*Source!I1191,9)</f>
        <v>2</v>
      </c>
      <c r="CY1022">
        <f t="shared" si="509"/>
        <v>4679.3</v>
      </c>
      <c r="CZ1022">
        <f t="shared" si="510"/>
        <v>540.96</v>
      </c>
      <c r="DA1022">
        <f t="shared" si="511"/>
        <v>8.65</v>
      </c>
      <c r="DB1022">
        <f t="shared" si="512"/>
        <v>540.96</v>
      </c>
      <c r="DC1022">
        <f t="shared" si="513"/>
        <v>0</v>
      </c>
      <c r="DD1022" t="s">
        <v>3</v>
      </c>
      <c r="DE1022" t="s">
        <v>3</v>
      </c>
      <c r="DF1022">
        <f t="shared" si="514"/>
        <v>9358.61</v>
      </c>
      <c r="DG1022">
        <f t="shared" si="506"/>
        <v>0</v>
      </c>
      <c r="DH1022">
        <f t="shared" si="507"/>
        <v>0</v>
      </c>
      <c r="DI1022">
        <f t="shared" si="477"/>
        <v>0</v>
      </c>
      <c r="DJ1022">
        <f t="shared" si="515"/>
        <v>9358.61</v>
      </c>
      <c r="DK1022">
        <v>0</v>
      </c>
    </row>
    <row r="1023" spans="1:115" x14ac:dyDescent="0.2">
      <c r="A1023">
        <f>ROW(Source!A1198)</f>
        <v>1198</v>
      </c>
      <c r="B1023">
        <v>129761636</v>
      </c>
      <c r="C1023">
        <v>129764410</v>
      </c>
      <c r="D1023">
        <v>37345142</v>
      </c>
      <c r="E1023">
        <v>37345137</v>
      </c>
      <c r="F1023">
        <v>1</v>
      </c>
      <c r="G1023">
        <v>37345137</v>
      </c>
      <c r="H1023">
        <v>1</v>
      </c>
      <c r="I1023" t="s">
        <v>1096</v>
      </c>
      <c r="J1023" t="s">
        <v>3</v>
      </c>
      <c r="K1023" t="s">
        <v>1097</v>
      </c>
      <c r="L1023">
        <v>1191</v>
      </c>
      <c r="N1023">
        <v>1013</v>
      </c>
      <c r="O1023" t="s">
        <v>1098</v>
      </c>
      <c r="P1023" t="s">
        <v>1098</v>
      </c>
      <c r="Q1023">
        <v>1</v>
      </c>
      <c r="W1023">
        <v>0</v>
      </c>
      <c r="X1023">
        <v>476480486</v>
      </c>
      <c r="Y1023">
        <f>(AT1023*1.15)</f>
        <v>2.5529999999999999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1</v>
      </c>
      <c r="AJ1023">
        <v>1</v>
      </c>
      <c r="AK1023">
        <v>1</v>
      </c>
      <c r="AL1023">
        <v>1</v>
      </c>
      <c r="AN1023">
        <v>0</v>
      </c>
      <c r="AO1023">
        <v>1</v>
      </c>
      <c r="AP1023">
        <v>1</v>
      </c>
      <c r="AQ1023">
        <v>0</v>
      </c>
      <c r="AR1023">
        <v>0</v>
      </c>
      <c r="AS1023" t="s">
        <v>3</v>
      </c>
      <c r="AT1023">
        <v>2.2200000000000002</v>
      </c>
      <c r="AU1023" t="s">
        <v>87</v>
      </c>
      <c r="AV1023">
        <v>1</v>
      </c>
      <c r="AW1023">
        <v>2</v>
      </c>
      <c r="AX1023">
        <v>129764418</v>
      </c>
      <c r="AY1023">
        <v>1</v>
      </c>
      <c r="AZ1023">
        <v>0</v>
      </c>
      <c r="BA1023">
        <v>987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0</v>
      </c>
      <c r="BJ1023">
        <v>0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0</v>
      </c>
      <c r="BR1023">
        <v>0</v>
      </c>
      <c r="BS1023">
        <v>0</v>
      </c>
      <c r="BT1023">
        <v>0</v>
      </c>
      <c r="BU1023">
        <v>0</v>
      </c>
      <c r="BV1023">
        <v>0</v>
      </c>
      <c r="BW1023">
        <v>0</v>
      </c>
      <c r="CX1023">
        <f>ROUND(Y1023*Source!I1198,9)</f>
        <v>2.5529999999999999</v>
      </c>
      <c r="CY1023">
        <f>AD1023</f>
        <v>0</v>
      </c>
      <c r="CZ1023">
        <f>AH1023</f>
        <v>0</v>
      </c>
      <c r="DA1023">
        <f>AL1023</f>
        <v>1</v>
      </c>
      <c r="DB1023">
        <f>ROUND((ROUND(AT1023*CZ1023,2)*1.15),6)</f>
        <v>0</v>
      </c>
      <c r="DC1023">
        <f>ROUND((ROUND(AT1023*AG1023,2)*1.15),6)</f>
        <v>0</v>
      </c>
      <c r="DD1023" t="s">
        <v>3</v>
      </c>
      <c r="DE1023" t="s">
        <v>3</v>
      </c>
      <c r="DF1023">
        <f t="shared" ref="DF1023:DF1032" si="516">ROUND(AE1023*CX1023,2)</f>
        <v>0</v>
      </c>
      <c r="DG1023">
        <f t="shared" si="506"/>
        <v>0</v>
      </c>
      <c r="DH1023">
        <f t="shared" si="507"/>
        <v>0</v>
      </c>
      <c r="DI1023">
        <f t="shared" si="477"/>
        <v>0</v>
      </c>
      <c r="DJ1023">
        <f>DI1023</f>
        <v>0</v>
      </c>
      <c r="DK1023">
        <v>0</v>
      </c>
    </row>
    <row r="1024" spans="1:115" x14ac:dyDescent="0.2">
      <c r="A1024">
        <f>ROW(Source!A1198)</f>
        <v>1198</v>
      </c>
      <c r="B1024">
        <v>129761636</v>
      </c>
      <c r="C1024">
        <v>129764410</v>
      </c>
      <c r="D1024">
        <v>37345890</v>
      </c>
      <c r="E1024">
        <v>37345137</v>
      </c>
      <c r="F1024">
        <v>1</v>
      </c>
      <c r="G1024">
        <v>37345137</v>
      </c>
      <c r="H1024">
        <v>2</v>
      </c>
      <c r="I1024" t="s">
        <v>1145</v>
      </c>
      <c r="J1024" t="s">
        <v>3</v>
      </c>
      <c r="K1024" t="s">
        <v>1146</v>
      </c>
      <c r="L1024">
        <v>1344</v>
      </c>
      <c r="N1024">
        <v>1008</v>
      </c>
      <c r="O1024" t="s">
        <v>1138</v>
      </c>
      <c r="P1024" t="s">
        <v>1138</v>
      </c>
      <c r="Q1024">
        <v>1</v>
      </c>
      <c r="W1024">
        <v>0</v>
      </c>
      <c r="X1024">
        <v>-1180195794</v>
      </c>
      <c r="Y1024">
        <f>(AT1024*1.25)</f>
        <v>4.6500000000000004</v>
      </c>
      <c r="AA1024">
        <v>0</v>
      </c>
      <c r="AB1024">
        <v>1</v>
      </c>
      <c r="AC1024">
        <v>0</v>
      </c>
      <c r="AD1024">
        <v>0</v>
      </c>
      <c r="AE1024">
        <v>0</v>
      </c>
      <c r="AF1024">
        <v>1</v>
      </c>
      <c r="AG1024">
        <v>0</v>
      </c>
      <c r="AH1024">
        <v>0</v>
      </c>
      <c r="AI1024">
        <v>1</v>
      </c>
      <c r="AJ1024">
        <v>1</v>
      </c>
      <c r="AK1024">
        <v>1</v>
      </c>
      <c r="AL1024">
        <v>1</v>
      </c>
      <c r="AN1024">
        <v>0</v>
      </c>
      <c r="AO1024">
        <v>1</v>
      </c>
      <c r="AP1024">
        <v>1</v>
      </c>
      <c r="AQ1024">
        <v>0</v>
      </c>
      <c r="AR1024">
        <v>0</v>
      </c>
      <c r="AS1024" t="s">
        <v>3</v>
      </c>
      <c r="AT1024">
        <v>3.72</v>
      </c>
      <c r="AU1024" t="s">
        <v>86</v>
      </c>
      <c r="AV1024">
        <v>0</v>
      </c>
      <c r="AW1024">
        <v>2</v>
      </c>
      <c r="AX1024">
        <v>129764419</v>
      </c>
      <c r="AY1024">
        <v>1</v>
      </c>
      <c r="AZ1024">
        <v>0</v>
      </c>
      <c r="BA1024">
        <v>988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0</v>
      </c>
      <c r="BR1024">
        <v>0</v>
      </c>
      <c r="BS1024">
        <v>0</v>
      </c>
      <c r="BT1024">
        <v>0</v>
      </c>
      <c r="BU1024">
        <v>0</v>
      </c>
      <c r="BV1024">
        <v>0</v>
      </c>
      <c r="BW1024">
        <v>0</v>
      </c>
      <c r="CX1024">
        <f>ROUND(Y1024*Source!I1198,9)</f>
        <v>4.6500000000000004</v>
      </c>
      <c r="CY1024">
        <f>AB1024</f>
        <v>1</v>
      </c>
      <c r="CZ1024">
        <f>AF1024</f>
        <v>1</v>
      </c>
      <c r="DA1024">
        <f>AJ1024</f>
        <v>1</v>
      </c>
      <c r="DB1024">
        <f>ROUND((ROUND(AT1024*CZ1024,2)*1.25),6)</f>
        <v>4.6500000000000004</v>
      </c>
      <c r="DC1024">
        <f>ROUND((ROUND(AT1024*AG1024,2)*1.25),6)</f>
        <v>0</v>
      </c>
      <c r="DD1024" t="s">
        <v>3</v>
      </c>
      <c r="DE1024" t="s">
        <v>3</v>
      </c>
      <c r="DF1024">
        <f t="shared" si="516"/>
        <v>0</v>
      </c>
      <c r="DG1024">
        <f t="shared" si="506"/>
        <v>4.6500000000000004</v>
      </c>
      <c r="DH1024">
        <f t="shared" si="507"/>
        <v>0</v>
      </c>
      <c r="DI1024">
        <f t="shared" si="477"/>
        <v>0</v>
      </c>
      <c r="DJ1024">
        <f>DG1024</f>
        <v>4.6500000000000004</v>
      </c>
      <c r="DK1024">
        <v>0</v>
      </c>
    </row>
    <row r="1025" spans="1:115" x14ac:dyDescent="0.2">
      <c r="A1025">
        <f>ROW(Source!A1198)</f>
        <v>1198</v>
      </c>
      <c r="B1025">
        <v>129761636</v>
      </c>
      <c r="C1025">
        <v>129764410</v>
      </c>
      <c r="D1025">
        <v>37402942</v>
      </c>
      <c r="E1025">
        <v>1</v>
      </c>
      <c r="F1025">
        <v>1</v>
      </c>
      <c r="G1025">
        <v>37345137</v>
      </c>
      <c r="H1025">
        <v>3</v>
      </c>
      <c r="I1025" t="s">
        <v>973</v>
      </c>
      <c r="J1025" t="s">
        <v>975</v>
      </c>
      <c r="K1025" t="s">
        <v>974</v>
      </c>
      <c r="L1025">
        <v>1391</v>
      </c>
      <c r="N1025">
        <v>1013</v>
      </c>
      <c r="O1025" t="s">
        <v>238</v>
      </c>
      <c r="P1025" t="s">
        <v>238</v>
      </c>
      <c r="Q1025">
        <v>1</v>
      </c>
      <c r="W1025">
        <v>0</v>
      </c>
      <c r="X1025">
        <v>-917542971</v>
      </c>
      <c r="Y1025">
        <f t="shared" ref="Y1025:Y1030" si="517">AT1025</f>
        <v>0</v>
      </c>
      <c r="AA1025">
        <v>2019.68</v>
      </c>
      <c r="AB1025">
        <v>0</v>
      </c>
      <c r="AC1025">
        <v>0</v>
      </c>
      <c r="AD1025">
        <v>0</v>
      </c>
      <c r="AE1025">
        <v>2019.68</v>
      </c>
      <c r="AF1025">
        <v>0</v>
      </c>
      <c r="AG1025">
        <v>0</v>
      </c>
      <c r="AH1025">
        <v>0</v>
      </c>
      <c r="AI1025">
        <v>1</v>
      </c>
      <c r="AJ1025">
        <v>1</v>
      </c>
      <c r="AK1025">
        <v>1</v>
      </c>
      <c r="AL1025">
        <v>1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 t="s">
        <v>3</v>
      </c>
      <c r="AT1025">
        <v>0</v>
      </c>
      <c r="AU1025" t="s">
        <v>3</v>
      </c>
      <c r="AV1025">
        <v>0</v>
      </c>
      <c r="AW1025">
        <v>1</v>
      </c>
      <c r="AX1025">
        <v>-1</v>
      </c>
      <c r="AY1025">
        <v>0</v>
      </c>
      <c r="AZ1025">
        <v>0</v>
      </c>
      <c r="BA1025" t="s">
        <v>3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0</v>
      </c>
      <c r="BK1025">
        <v>0</v>
      </c>
      <c r="BL1025">
        <v>0</v>
      </c>
      <c r="BM1025">
        <v>0</v>
      </c>
      <c r="BN1025">
        <v>0</v>
      </c>
      <c r="BO1025">
        <v>0</v>
      </c>
      <c r="BP1025">
        <v>0</v>
      </c>
      <c r="BQ1025">
        <v>0</v>
      </c>
      <c r="BR1025">
        <v>0</v>
      </c>
      <c r="BS1025">
        <v>0</v>
      </c>
      <c r="BT1025">
        <v>0</v>
      </c>
      <c r="BU1025">
        <v>0</v>
      </c>
      <c r="BV1025">
        <v>0</v>
      </c>
      <c r="BW1025">
        <v>0</v>
      </c>
      <c r="CX1025">
        <f>ROUND(Y1025*Source!I1198,9)</f>
        <v>0</v>
      </c>
      <c r="CY1025">
        <f t="shared" ref="CY1025:CY1030" si="518">AA1025</f>
        <v>2019.68</v>
      </c>
      <c r="CZ1025">
        <f t="shared" ref="CZ1025:CZ1030" si="519">AE1025</f>
        <v>2019.68</v>
      </c>
      <c r="DA1025">
        <f t="shared" ref="DA1025:DA1030" si="520">AI1025</f>
        <v>1</v>
      </c>
      <c r="DB1025">
        <f t="shared" ref="DB1025:DB1030" si="521">ROUND(ROUND(AT1025*CZ1025,2),6)</f>
        <v>0</v>
      </c>
      <c r="DC1025">
        <f t="shared" ref="DC1025:DC1030" si="522">ROUND(ROUND(AT1025*AG1025,2),6)</f>
        <v>0</v>
      </c>
      <c r="DD1025" t="s">
        <v>3</v>
      </c>
      <c r="DE1025" t="s">
        <v>3</v>
      </c>
      <c r="DF1025">
        <f t="shared" si="516"/>
        <v>0</v>
      </c>
      <c r="DG1025">
        <f t="shared" si="506"/>
        <v>0</v>
      </c>
      <c r="DH1025">
        <f t="shared" si="507"/>
        <v>0</v>
      </c>
      <c r="DI1025">
        <f t="shared" ref="DI1025:DI1088" si="523">ROUND(AH1025*CX1025,2)</f>
        <v>0</v>
      </c>
      <c r="DJ1025">
        <f t="shared" ref="DJ1025:DJ1030" si="524">DF1025</f>
        <v>0</v>
      </c>
      <c r="DK1025">
        <v>0</v>
      </c>
    </row>
    <row r="1026" spans="1:115" x14ac:dyDescent="0.2">
      <c r="A1026">
        <f>ROW(Source!A1198)</f>
        <v>1198</v>
      </c>
      <c r="B1026">
        <v>129761636</v>
      </c>
      <c r="C1026">
        <v>129764410</v>
      </c>
      <c r="D1026">
        <v>37402944</v>
      </c>
      <c r="E1026">
        <v>1</v>
      </c>
      <c r="F1026">
        <v>1</v>
      </c>
      <c r="G1026">
        <v>37345137</v>
      </c>
      <c r="H1026">
        <v>3</v>
      </c>
      <c r="I1026" t="s">
        <v>977</v>
      </c>
      <c r="J1026" t="s">
        <v>979</v>
      </c>
      <c r="K1026" t="s">
        <v>978</v>
      </c>
      <c r="L1026">
        <v>1354</v>
      </c>
      <c r="N1026">
        <v>1010</v>
      </c>
      <c r="O1026" t="s">
        <v>250</v>
      </c>
      <c r="P1026" t="s">
        <v>250</v>
      </c>
      <c r="Q1026">
        <v>1</v>
      </c>
      <c r="W1026">
        <v>0</v>
      </c>
      <c r="X1026">
        <v>-1457686447</v>
      </c>
      <c r="Y1026">
        <f t="shared" si="517"/>
        <v>0</v>
      </c>
      <c r="AA1026">
        <v>209.67</v>
      </c>
      <c r="AB1026">
        <v>0</v>
      </c>
      <c r="AC1026">
        <v>0</v>
      </c>
      <c r="AD1026">
        <v>0</v>
      </c>
      <c r="AE1026">
        <v>209.67</v>
      </c>
      <c r="AF1026">
        <v>0</v>
      </c>
      <c r="AG1026">
        <v>0</v>
      </c>
      <c r="AH1026">
        <v>0</v>
      </c>
      <c r="AI1026">
        <v>1</v>
      </c>
      <c r="AJ1026">
        <v>1</v>
      </c>
      <c r="AK1026">
        <v>1</v>
      </c>
      <c r="AL1026">
        <v>1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 t="s">
        <v>3</v>
      </c>
      <c r="AT1026">
        <v>0</v>
      </c>
      <c r="AU1026" t="s">
        <v>3</v>
      </c>
      <c r="AV1026">
        <v>0</v>
      </c>
      <c r="AW1026">
        <v>1</v>
      </c>
      <c r="AX1026">
        <v>-1</v>
      </c>
      <c r="AY1026">
        <v>0</v>
      </c>
      <c r="AZ1026">
        <v>0</v>
      </c>
      <c r="BA1026" t="s">
        <v>3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0</v>
      </c>
      <c r="BJ1026">
        <v>0</v>
      </c>
      <c r="BK1026">
        <v>0</v>
      </c>
      <c r="BL1026">
        <v>0</v>
      </c>
      <c r="BM1026">
        <v>0</v>
      </c>
      <c r="BN1026">
        <v>0</v>
      </c>
      <c r="BO1026">
        <v>0</v>
      </c>
      <c r="BP1026">
        <v>0</v>
      </c>
      <c r="BQ1026">
        <v>0</v>
      </c>
      <c r="BR1026">
        <v>0</v>
      </c>
      <c r="BS1026">
        <v>0</v>
      </c>
      <c r="BT1026">
        <v>0</v>
      </c>
      <c r="BU1026">
        <v>0</v>
      </c>
      <c r="BV1026">
        <v>0</v>
      </c>
      <c r="BW1026">
        <v>0</v>
      </c>
      <c r="CX1026">
        <f>ROUND(Y1026*Source!I1198,9)</f>
        <v>0</v>
      </c>
      <c r="CY1026">
        <f t="shared" si="518"/>
        <v>209.67</v>
      </c>
      <c r="CZ1026">
        <f t="shared" si="519"/>
        <v>209.67</v>
      </c>
      <c r="DA1026">
        <f t="shared" si="520"/>
        <v>1</v>
      </c>
      <c r="DB1026">
        <f t="shared" si="521"/>
        <v>0</v>
      </c>
      <c r="DC1026">
        <f t="shared" si="522"/>
        <v>0</v>
      </c>
      <c r="DD1026" t="s">
        <v>3</v>
      </c>
      <c r="DE1026" t="s">
        <v>3</v>
      </c>
      <c r="DF1026">
        <f t="shared" si="516"/>
        <v>0</v>
      </c>
      <c r="DG1026">
        <f t="shared" si="506"/>
        <v>0</v>
      </c>
      <c r="DH1026">
        <f t="shared" si="507"/>
        <v>0</v>
      </c>
      <c r="DI1026">
        <f t="shared" si="523"/>
        <v>0</v>
      </c>
      <c r="DJ1026">
        <f t="shared" si="524"/>
        <v>0</v>
      </c>
      <c r="DK1026">
        <v>0</v>
      </c>
    </row>
    <row r="1027" spans="1:115" x14ac:dyDescent="0.2">
      <c r="A1027">
        <f>ROW(Source!A1198)</f>
        <v>1198</v>
      </c>
      <c r="B1027">
        <v>129761636</v>
      </c>
      <c r="C1027">
        <v>129764410</v>
      </c>
      <c r="D1027">
        <v>37402984</v>
      </c>
      <c r="E1027">
        <v>1</v>
      </c>
      <c r="F1027">
        <v>1</v>
      </c>
      <c r="G1027">
        <v>37345137</v>
      </c>
      <c r="H1027">
        <v>3</v>
      </c>
      <c r="I1027" t="s">
        <v>985</v>
      </c>
      <c r="J1027" t="s">
        <v>987</v>
      </c>
      <c r="K1027" t="s">
        <v>986</v>
      </c>
      <c r="L1027">
        <v>1354</v>
      </c>
      <c r="N1027">
        <v>1010</v>
      </c>
      <c r="O1027" t="s">
        <v>250</v>
      </c>
      <c r="P1027" t="s">
        <v>250</v>
      </c>
      <c r="Q1027">
        <v>1</v>
      </c>
      <c r="W1027">
        <v>0</v>
      </c>
      <c r="X1027">
        <v>-383638002</v>
      </c>
      <c r="Y1027">
        <f t="shared" si="517"/>
        <v>1</v>
      </c>
      <c r="AA1027">
        <v>218.12</v>
      </c>
      <c r="AB1027">
        <v>0</v>
      </c>
      <c r="AC1027">
        <v>0</v>
      </c>
      <c r="AD1027">
        <v>0</v>
      </c>
      <c r="AE1027">
        <v>218.12</v>
      </c>
      <c r="AF1027">
        <v>0</v>
      </c>
      <c r="AG1027">
        <v>0</v>
      </c>
      <c r="AH1027">
        <v>0</v>
      </c>
      <c r="AI1027">
        <v>1</v>
      </c>
      <c r="AJ1027">
        <v>1</v>
      </c>
      <c r="AK1027">
        <v>1</v>
      </c>
      <c r="AL1027">
        <v>1</v>
      </c>
      <c r="AN1027">
        <v>0</v>
      </c>
      <c r="AO1027">
        <v>0</v>
      </c>
      <c r="AP1027">
        <v>1</v>
      </c>
      <c r="AQ1027">
        <v>0</v>
      </c>
      <c r="AR1027">
        <v>0</v>
      </c>
      <c r="AS1027" t="s">
        <v>3</v>
      </c>
      <c r="AT1027">
        <v>1</v>
      </c>
      <c r="AU1027" t="s">
        <v>3</v>
      </c>
      <c r="AV1027">
        <v>0</v>
      </c>
      <c r="AW1027">
        <v>1</v>
      </c>
      <c r="AX1027">
        <v>-1</v>
      </c>
      <c r="AY1027">
        <v>0</v>
      </c>
      <c r="AZ1027">
        <v>0</v>
      </c>
      <c r="BA1027" t="s">
        <v>3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0</v>
      </c>
      <c r="BJ1027">
        <v>0</v>
      </c>
      <c r="BK1027">
        <v>0</v>
      </c>
      <c r="BL1027">
        <v>0</v>
      </c>
      <c r="BM1027">
        <v>0</v>
      </c>
      <c r="BN1027">
        <v>0</v>
      </c>
      <c r="BO1027">
        <v>0</v>
      </c>
      <c r="BP1027">
        <v>0</v>
      </c>
      <c r="BQ1027">
        <v>0</v>
      </c>
      <c r="BR1027">
        <v>0</v>
      </c>
      <c r="BS1027">
        <v>0</v>
      </c>
      <c r="BT1027">
        <v>0</v>
      </c>
      <c r="BU1027">
        <v>0</v>
      </c>
      <c r="BV1027">
        <v>0</v>
      </c>
      <c r="BW1027">
        <v>0</v>
      </c>
      <c r="CX1027">
        <f>ROUND(Y1027*Source!I1198,9)</f>
        <v>1</v>
      </c>
      <c r="CY1027">
        <f t="shared" si="518"/>
        <v>218.12</v>
      </c>
      <c r="CZ1027">
        <f t="shared" si="519"/>
        <v>218.12</v>
      </c>
      <c r="DA1027">
        <f t="shared" si="520"/>
        <v>1</v>
      </c>
      <c r="DB1027">
        <f t="shared" si="521"/>
        <v>218.12</v>
      </c>
      <c r="DC1027">
        <f t="shared" si="522"/>
        <v>0</v>
      </c>
      <c r="DD1027" t="s">
        <v>3</v>
      </c>
      <c r="DE1027" t="s">
        <v>3</v>
      </c>
      <c r="DF1027">
        <f t="shared" si="516"/>
        <v>218.12</v>
      </c>
      <c r="DG1027">
        <f t="shared" si="506"/>
        <v>0</v>
      </c>
      <c r="DH1027">
        <f t="shared" si="507"/>
        <v>0</v>
      </c>
      <c r="DI1027">
        <f t="shared" si="523"/>
        <v>0</v>
      </c>
      <c r="DJ1027">
        <f t="shared" si="524"/>
        <v>218.12</v>
      </c>
      <c r="DK1027">
        <v>0</v>
      </c>
    </row>
    <row r="1028" spans="1:115" x14ac:dyDescent="0.2">
      <c r="A1028">
        <f>ROW(Source!A1198)</f>
        <v>1198</v>
      </c>
      <c r="B1028">
        <v>129761636</v>
      </c>
      <c r="C1028">
        <v>129764410</v>
      </c>
      <c r="D1028">
        <v>37402996</v>
      </c>
      <c r="E1028">
        <v>1</v>
      </c>
      <c r="F1028">
        <v>1</v>
      </c>
      <c r="G1028">
        <v>37345137</v>
      </c>
      <c r="H1028">
        <v>3</v>
      </c>
      <c r="I1028" t="s">
        <v>981</v>
      </c>
      <c r="J1028" t="s">
        <v>983</v>
      </c>
      <c r="K1028" t="s">
        <v>982</v>
      </c>
      <c r="L1028">
        <v>1354</v>
      </c>
      <c r="N1028">
        <v>1010</v>
      </c>
      <c r="O1028" t="s">
        <v>250</v>
      </c>
      <c r="P1028" t="s">
        <v>250</v>
      </c>
      <c r="Q1028">
        <v>1</v>
      </c>
      <c r="W1028">
        <v>0</v>
      </c>
      <c r="X1028">
        <v>-681315971</v>
      </c>
      <c r="Y1028">
        <f t="shared" si="517"/>
        <v>0</v>
      </c>
      <c r="AA1028">
        <v>32.979999999999997</v>
      </c>
      <c r="AB1028">
        <v>0</v>
      </c>
      <c r="AC1028">
        <v>0</v>
      </c>
      <c r="AD1028">
        <v>0</v>
      </c>
      <c r="AE1028">
        <v>32.979999999999997</v>
      </c>
      <c r="AF1028">
        <v>0</v>
      </c>
      <c r="AG1028">
        <v>0</v>
      </c>
      <c r="AH1028">
        <v>0</v>
      </c>
      <c r="AI1028">
        <v>1</v>
      </c>
      <c r="AJ1028">
        <v>1</v>
      </c>
      <c r="AK1028">
        <v>1</v>
      </c>
      <c r="AL1028">
        <v>1</v>
      </c>
      <c r="AN1028">
        <v>0</v>
      </c>
      <c r="AO1028">
        <v>0</v>
      </c>
      <c r="AP1028">
        <v>1</v>
      </c>
      <c r="AQ1028">
        <v>0</v>
      </c>
      <c r="AR1028">
        <v>0</v>
      </c>
      <c r="AS1028" t="s">
        <v>3</v>
      </c>
      <c r="AT1028">
        <v>0</v>
      </c>
      <c r="AU1028" t="s">
        <v>3</v>
      </c>
      <c r="AV1028">
        <v>0</v>
      </c>
      <c r="AW1028">
        <v>1</v>
      </c>
      <c r="AX1028">
        <v>-1</v>
      </c>
      <c r="AY1028">
        <v>0</v>
      </c>
      <c r="AZ1028">
        <v>0</v>
      </c>
      <c r="BA1028" t="s">
        <v>3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0</v>
      </c>
      <c r="BJ1028">
        <v>0</v>
      </c>
      <c r="BK1028">
        <v>0</v>
      </c>
      <c r="BL1028">
        <v>0</v>
      </c>
      <c r="BM1028">
        <v>0</v>
      </c>
      <c r="BN1028">
        <v>0</v>
      </c>
      <c r="BO1028">
        <v>0</v>
      </c>
      <c r="BP1028">
        <v>0</v>
      </c>
      <c r="BQ1028">
        <v>0</v>
      </c>
      <c r="BR1028">
        <v>0</v>
      </c>
      <c r="BS1028">
        <v>0</v>
      </c>
      <c r="BT1028">
        <v>0</v>
      </c>
      <c r="BU1028">
        <v>0</v>
      </c>
      <c r="BV1028">
        <v>0</v>
      </c>
      <c r="BW1028">
        <v>0</v>
      </c>
      <c r="CX1028">
        <f>ROUND(Y1028*Source!I1198,9)</f>
        <v>0</v>
      </c>
      <c r="CY1028">
        <f t="shared" si="518"/>
        <v>32.979999999999997</v>
      </c>
      <c r="CZ1028">
        <f t="shared" si="519"/>
        <v>32.979999999999997</v>
      </c>
      <c r="DA1028">
        <f t="shared" si="520"/>
        <v>1</v>
      </c>
      <c r="DB1028">
        <f t="shared" si="521"/>
        <v>0</v>
      </c>
      <c r="DC1028">
        <f t="shared" si="522"/>
        <v>0</v>
      </c>
      <c r="DD1028" t="s">
        <v>3</v>
      </c>
      <c r="DE1028" t="s">
        <v>3</v>
      </c>
      <c r="DF1028">
        <f t="shared" si="516"/>
        <v>0</v>
      </c>
      <c r="DG1028">
        <f t="shared" si="506"/>
        <v>0</v>
      </c>
      <c r="DH1028">
        <f t="shared" si="507"/>
        <v>0</v>
      </c>
      <c r="DI1028">
        <f t="shared" si="523"/>
        <v>0</v>
      </c>
      <c r="DJ1028">
        <f t="shared" si="524"/>
        <v>0</v>
      </c>
      <c r="DK1028">
        <v>0</v>
      </c>
    </row>
    <row r="1029" spans="1:115" x14ac:dyDescent="0.2">
      <c r="A1029">
        <f>ROW(Source!A1198)</f>
        <v>1198</v>
      </c>
      <c r="B1029">
        <v>129761636</v>
      </c>
      <c r="C1029">
        <v>129764410</v>
      </c>
      <c r="D1029">
        <v>37367082</v>
      </c>
      <c r="E1029">
        <v>37345137</v>
      </c>
      <c r="F1029">
        <v>1</v>
      </c>
      <c r="G1029">
        <v>37345137</v>
      </c>
      <c r="H1029">
        <v>3</v>
      </c>
      <c r="I1029" t="s">
        <v>1136</v>
      </c>
      <c r="J1029" t="s">
        <v>3</v>
      </c>
      <c r="K1029" t="s">
        <v>1137</v>
      </c>
      <c r="L1029">
        <v>1344</v>
      </c>
      <c r="N1029">
        <v>1008</v>
      </c>
      <c r="O1029" t="s">
        <v>1138</v>
      </c>
      <c r="P1029" t="s">
        <v>1138</v>
      </c>
      <c r="Q1029">
        <v>1</v>
      </c>
      <c r="W1029">
        <v>0</v>
      </c>
      <c r="X1029">
        <v>-94250534</v>
      </c>
      <c r="Y1029">
        <f t="shared" si="517"/>
        <v>11.48</v>
      </c>
      <c r="AA1029">
        <v>1</v>
      </c>
      <c r="AB1029">
        <v>0</v>
      </c>
      <c r="AC1029">
        <v>0</v>
      </c>
      <c r="AD1029">
        <v>0</v>
      </c>
      <c r="AE1029">
        <v>1</v>
      </c>
      <c r="AF1029">
        <v>0</v>
      </c>
      <c r="AG1029">
        <v>0</v>
      </c>
      <c r="AH1029">
        <v>0</v>
      </c>
      <c r="AI1029">
        <v>1</v>
      </c>
      <c r="AJ1029">
        <v>1</v>
      </c>
      <c r="AK1029">
        <v>1</v>
      </c>
      <c r="AL1029">
        <v>1</v>
      </c>
      <c r="AN1029">
        <v>0</v>
      </c>
      <c r="AO1029">
        <v>1</v>
      </c>
      <c r="AP1029">
        <v>0</v>
      </c>
      <c r="AQ1029">
        <v>0</v>
      </c>
      <c r="AR1029">
        <v>0</v>
      </c>
      <c r="AS1029" t="s">
        <v>3</v>
      </c>
      <c r="AT1029">
        <v>11.48</v>
      </c>
      <c r="AU1029" t="s">
        <v>3</v>
      </c>
      <c r="AV1029">
        <v>0</v>
      </c>
      <c r="AW1029">
        <v>2</v>
      </c>
      <c r="AX1029">
        <v>129764422</v>
      </c>
      <c r="AY1029">
        <v>1</v>
      </c>
      <c r="AZ1029">
        <v>0</v>
      </c>
      <c r="BA1029">
        <v>991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0</v>
      </c>
      <c r="BJ1029">
        <v>0</v>
      </c>
      <c r="BK1029">
        <v>0</v>
      </c>
      <c r="BL1029">
        <v>0</v>
      </c>
      <c r="BM1029">
        <v>0</v>
      </c>
      <c r="BN1029">
        <v>0</v>
      </c>
      <c r="BO1029">
        <v>0</v>
      </c>
      <c r="BP1029">
        <v>0</v>
      </c>
      <c r="BQ1029">
        <v>0</v>
      </c>
      <c r="BR1029">
        <v>0</v>
      </c>
      <c r="BS1029">
        <v>0</v>
      </c>
      <c r="BT1029">
        <v>0</v>
      </c>
      <c r="BU1029">
        <v>0</v>
      </c>
      <c r="BV1029">
        <v>0</v>
      </c>
      <c r="BW1029">
        <v>0</v>
      </c>
      <c r="CX1029">
        <f>ROUND(Y1029*Source!I1198,9)</f>
        <v>11.48</v>
      </c>
      <c r="CY1029">
        <f t="shared" si="518"/>
        <v>1</v>
      </c>
      <c r="CZ1029">
        <f t="shared" si="519"/>
        <v>1</v>
      </c>
      <c r="DA1029">
        <f t="shared" si="520"/>
        <v>1</v>
      </c>
      <c r="DB1029">
        <f t="shared" si="521"/>
        <v>11.48</v>
      </c>
      <c r="DC1029">
        <f t="shared" si="522"/>
        <v>0</v>
      </c>
      <c r="DD1029" t="s">
        <v>3</v>
      </c>
      <c r="DE1029" t="s">
        <v>3</v>
      </c>
      <c r="DF1029">
        <f t="shared" si="516"/>
        <v>11.48</v>
      </c>
      <c r="DG1029">
        <f t="shared" si="506"/>
        <v>0</v>
      </c>
      <c r="DH1029">
        <f t="shared" si="507"/>
        <v>0</v>
      </c>
      <c r="DI1029">
        <f t="shared" si="523"/>
        <v>0</v>
      </c>
      <c r="DJ1029">
        <f t="shared" si="524"/>
        <v>11.48</v>
      </c>
      <c r="DK1029">
        <v>0</v>
      </c>
    </row>
    <row r="1030" spans="1:115" x14ac:dyDescent="0.2">
      <c r="A1030">
        <f>ROW(Source!A1198)</f>
        <v>1198</v>
      </c>
      <c r="B1030">
        <v>129761636</v>
      </c>
      <c r="C1030">
        <v>129764410</v>
      </c>
      <c r="D1030">
        <v>0</v>
      </c>
      <c r="E1030">
        <v>0</v>
      </c>
      <c r="F1030">
        <v>1</v>
      </c>
      <c r="G1030">
        <v>37345137</v>
      </c>
      <c r="H1030">
        <v>3</v>
      </c>
      <c r="I1030" t="s">
        <v>248</v>
      </c>
      <c r="J1030" t="s">
        <v>3</v>
      </c>
      <c r="K1030" t="s">
        <v>969</v>
      </c>
      <c r="L1030">
        <v>1035</v>
      </c>
      <c r="N1030">
        <v>1013</v>
      </c>
      <c r="O1030" t="s">
        <v>970</v>
      </c>
      <c r="P1030" t="s">
        <v>970</v>
      </c>
      <c r="Q1030">
        <v>1</v>
      </c>
      <c r="W1030">
        <v>0</v>
      </c>
      <c r="X1030">
        <v>-99313333</v>
      </c>
      <c r="Y1030">
        <f t="shared" si="517"/>
        <v>1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1</v>
      </c>
      <c r="AJ1030">
        <v>1</v>
      </c>
      <c r="AK1030">
        <v>1</v>
      </c>
      <c r="AL1030">
        <v>1</v>
      </c>
      <c r="AN1030">
        <v>0</v>
      </c>
      <c r="AO1030">
        <v>0</v>
      </c>
      <c r="AP1030">
        <v>1</v>
      </c>
      <c r="AQ1030">
        <v>0</v>
      </c>
      <c r="AR1030">
        <v>0</v>
      </c>
      <c r="AS1030" t="s">
        <v>3</v>
      </c>
      <c r="AT1030">
        <v>1</v>
      </c>
      <c r="AU1030" t="s">
        <v>3</v>
      </c>
      <c r="AV1030">
        <v>0</v>
      </c>
      <c r="AW1030">
        <v>1</v>
      </c>
      <c r="AX1030">
        <v>-1</v>
      </c>
      <c r="AY1030">
        <v>0</v>
      </c>
      <c r="AZ1030">
        <v>0</v>
      </c>
      <c r="BA1030" t="s">
        <v>3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0</v>
      </c>
      <c r="BJ1030">
        <v>0</v>
      </c>
      <c r="BK1030">
        <v>0</v>
      </c>
      <c r="BL1030">
        <v>0</v>
      </c>
      <c r="BM1030">
        <v>0</v>
      </c>
      <c r="BN1030">
        <v>0</v>
      </c>
      <c r="BO1030">
        <v>0</v>
      </c>
      <c r="BP1030">
        <v>0</v>
      </c>
      <c r="BQ1030">
        <v>0</v>
      </c>
      <c r="BR1030">
        <v>0</v>
      </c>
      <c r="BS1030">
        <v>0</v>
      </c>
      <c r="BT1030">
        <v>0</v>
      </c>
      <c r="BU1030">
        <v>0</v>
      </c>
      <c r="BV1030">
        <v>0</v>
      </c>
      <c r="BW1030">
        <v>0</v>
      </c>
      <c r="CX1030">
        <f>ROUND(Y1030*Source!I1198,9)</f>
        <v>1</v>
      </c>
      <c r="CY1030">
        <f t="shared" si="518"/>
        <v>0</v>
      </c>
      <c r="CZ1030">
        <f t="shared" si="519"/>
        <v>0</v>
      </c>
      <c r="DA1030">
        <f t="shared" si="520"/>
        <v>1</v>
      </c>
      <c r="DB1030">
        <f t="shared" si="521"/>
        <v>0</v>
      </c>
      <c r="DC1030">
        <f t="shared" si="522"/>
        <v>0</v>
      </c>
      <c r="DD1030" t="s">
        <v>3</v>
      </c>
      <c r="DE1030" t="s">
        <v>3</v>
      </c>
      <c r="DF1030">
        <f t="shared" si="516"/>
        <v>0</v>
      </c>
      <c r="DG1030">
        <f t="shared" si="506"/>
        <v>0</v>
      </c>
      <c r="DH1030">
        <f t="shared" si="507"/>
        <v>0</v>
      </c>
      <c r="DI1030">
        <f t="shared" si="523"/>
        <v>0</v>
      </c>
      <c r="DJ1030">
        <f t="shared" si="524"/>
        <v>0</v>
      </c>
      <c r="DK1030">
        <v>0</v>
      </c>
    </row>
    <row r="1031" spans="1:115" x14ac:dyDescent="0.2">
      <c r="A1031">
        <f>ROW(Source!A1199)</f>
        <v>1199</v>
      </c>
      <c r="B1031">
        <v>129761633</v>
      </c>
      <c r="C1031">
        <v>129764410</v>
      </c>
      <c r="D1031">
        <v>37345142</v>
      </c>
      <c r="E1031">
        <v>37345137</v>
      </c>
      <c r="F1031">
        <v>1</v>
      </c>
      <c r="G1031">
        <v>37345137</v>
      </c>
      <c r="H1031">
        <v>1</v>
      </c>
      <c r="I1031" t="s">
        <v>1096</v>
      </c>
      <c r="J1031" t="s">
        <v>3</v>
      </c>
      <c r="K1031" t="s">
        <v>1097</v>
      </c>
      <c r="L1031">
        <v>1191</v>
      </c>
      <c r="N1031">
        <v>1013</v>
      </c>
      <c r="O1031" t="s">
        <v>1098</v>
      </c>
      <c r="P1031" t="s">
        <v>1098</v>
      </c>
      <c r="Q1031">
        <v>1</v>
      </c>
      <c r="W1031">
        <v>0</v>
      </c>
      <c r="X1031">
        <v>476480486</v>
      </c>
      <c r="Y1031">
        <f>(AT1031*1.15)</f>
        <v>2.5529999999999999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1</v>
      </c>
      <c r="AJ1031">
        <v>1</v>
      </c>
      <c r="AK1031">
        <v>1</v>
      </c>
      <c r="AL1031">
        <v>1</v>
      </c>
      <c r="AN1031">
        <v>0</v>
      </c>
      <c r="AO1031">
        <v>1</v>
      </c>
      <c r="AP1031">
        <v>1</v>
      </c>
      <c r="AQ1031">
        <v>0</v>
      </c>
      <c r="AR1031">
        <v>0</v>
      </c>
      <c r="AS1031" t="s">
        <v>3</v>
      </c>
      <c r="AT1031">
        <v>2.2200000000000002</v>
      </c>
      <c r="AU1031" t="s">
        <v>87</v>
      </c>
      <c r="AV1031">
        <v>1</v>
      </c>
      <c r="AW1031">
        <v>2</v>
      </c>
      <c r="AX1031">
        <v>129764418</v>
      </c>
      <c r="AY1031">
        <v>1</v>
      </c>
      <c r="AZ1031">
        <v>0</v>
      </c>
      <c r="BA1031">
        <v>992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0</v>
      </c>
      <c r="BJ1031">
        <v>0</v>
      </c>
      <c r="BK1031">
        <v>0</v>
      </c>
      <c r="BL1031">
        <v>0</v>
      </c>
      <c r="BM1031">
        <v>0</v>
      </c>
      <c r="BN1031">
        <v>0</v>
      </c>
      <c r="BO1031">
        <v>0</v>
      </c>
      <c r="BP1031">
        <v>0</v>
      </c>
      <c r="BQ1031">
        <v>0</v>
      </c>
      <c r="BR1031">
        <v>0</v>
      </c>
      <c r="BS1031">
        <v>0</v>
      </c>
      <c r="BT1031">
        <v>0</v>
      </c>
      <c r="BU1031">
        <v>0</v>
      </c>
      <c r="BV1031">
        <v>0</v>
      </c>
      <c r="BW1031">
        <v>0</v>
      </c>
      <c r="CX1031">
        <f>ROUND(Y1031*Source!I1199,9)</f>
        <v>2.5529999999999999</v>
      </c>
      <c r="CY1031">
        <f>AD1031</f>
        <v>0</v>
      </c>
      <c r="CZ1031">
        <f>AH1031</f>
        <v>0</v>
      </c>
      <c r="DA1031">
        <f>AL1031</f>
        <v>1</v>
      </c>
      <c r="DB1031">
        <f>ROUND((ROUND(AT1031*CZ1031,2)*1.15),6)</f>
        <v>0</v>
      </c>
      <c r="DC1031">
        <f>ROUND((ROUND(AT1031*AG1031,2)*1.15),6)</f>
        <v>0</v>
      </c>
      <c r="DD1031" t="s">
        <v>3</v>
      </c>
      <c r="DE1031" t="s">
        <v>3</v>
      </c>
      <c r="DF1031">
        <f t="shared" si="516"/>
        <v>0</v>
      </c>
      <c r="DG1031">
        <f t="shared" si="506"/>
        <v>0</v>
      </c>
      <c r="DH1031">
        <f t="shared" si="507"/>
        <v>0</v>
      </c>
      <c r="DI1031">
        <f t="shared" si="523"/>
        <v>0</v>
      </c>
      <c r="DJ1031">
        <f>DI1031</f>
        <v>0</v>
      </c>
      <c r="DK1031">
        <v>0</v>
      </c>
    </row>
    <row r="1032" spans="1:115" x14ac:dyDescent="0.2">
      <c r="A1032">
        <f>ROW(Source!A1199)</f>
        <v>1199</v>
      </c>
      <c r="B1032">
        <v>129761633</v>
      </c>
      <c r="C1032">
        <v>129764410</v>
      </c>
      <c r="D1032">
        <v>37345890</v>
      </c>
      <c r="E1032">
        <v>37345137</v>
      </c>
      <c r="F1032">
        <v>1</v>
      </c>
      <c r="G1032">
        <v>37345137</v>
      </c>
      <c r="H1032">
        <v>2</v>
      </c>
      <c r="I1032" t="s">
        <v>1145</v>
      </c>
      <c r="J1032" t="s">
        <v>3</v>
      </c>
      <c r="K1032" t="s">
        <v>1146</v>
      </c>
      <c r="L1032">
        <v>1344</v>
      </c>
      <c r="N1032">
        <v>1008</v>
      </c>
      <c r="O1032" t="s">
        <v>1138</v>
      </c>
      <c r="P1032" t="s">
        <v>1138</v>
      </c>
      <c r="Q1032">
        <v>1</v>
      </c>
      <c r="W1032">
        <v>0</v>
      </c>
      <c r="X1032">
        <v>-1180195794</v>
      </c>
      <c r="Y1032">
        <f>(AT1032*1.25)</f>
        <v>4.6500000000000004</v>
      </c>
      <c r="AA1032">
        <v>0</v>
      </c>
      <c r="AB1032">
        <v>1.07</v>
      </c>
      <c r="AC1032">
        <v>0</v>
      </c>
      <c r="AD1032">
        <v>0</v>
      </c>
      <c r="AE1032">
        <v>0</v>
      </c>
      <c r="AF1032">
        <v>1</v>
      </c>
      <c r="AG1032">
        <v>0</v>
      </c>
      <c r="AH1032">
        <v>0</v>
      </c>
      <c r="AI1032">
        <v>1</v>
      </c>
      <c r="AJ1032">
        <v>1</v>
      </c>
      <c r="AK1032">
        <v>1</v>
      </c>
      <c r="AL1032">
        <v>1</v>
      </c>
      <c r="AN1032">
        <v>0</v>
      </c>
      <c r="AO1032">
        <v>1</v>
      </c>
      <c r="AP1032">
        <v>1</v>
      </c>
      <c r="AQ1032">
        <v>0</v>
      </c>
      <c r="AR1032">
        <v>0</v>
      </c>
      <c r="AS1032" t="s">
        <v>3</v>
      </c>
      <c r="AT1032">
        <v>3.72</v>
      </c>
      <c r="AU1032" t="s">
        <v>86</v>
      </c>
      <c r="AV1032">
        <v>0</v>
      </c>
      <c r="AW1032">
        <v>2</v>
      </c>
      <c r="AX1032">
        <v>129764419</v>
      </c>
      <c r="AY1032">
        <v>1</v>
      </c>
      <c r="AZ1032">
        <v>0</v>
      </c>
      <c r="BA1032">
        <v>993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0</v>
      </c>
      <c r="BJ1032">
        <v>0</v>
      </c>
      <c r="BK1032">
        <v>0</v>
      </c>
      <c r="BL1032">
        <v>0</v>
      </c>
      <c r="BM1032">
        <v>0</v>
      </c>
      <c r="BN1032">
        <v>0</v>
      </c>
      <c r="BO1032">
        <v>0</v>
      </c>
      <c r="BP1032">
        <v>0</v>
      </c>
      <c r="BQ1032">
        <v>0</v>
      </c>
      <c r="BR1032">
        <v>0</v>
      </c>
      <c r="BS1032">
        <v>0</v>
      </c>
      <c r="BT1032">
        <v>0</v>
      </c>
      <c r="BU1032">
        <v>0</v>
      </c>
      <c r="BV1032">
        <v>0</v>
      </c>
      <c r="BW1032">
        <v>0</v>
      </c>
      <c r="CX1032">
        <f>ROUND(Y1032*Source!I1199,9)</f>
        <v>4.6500000000000004</v>
      </c>
      <c r="CY1032">
        <f>AB1032</f>
        <v>1.07</v>
      </c>
      <c r="CZ1032">
        <f>AF1032</f>
        <v>1</v>
      </c>
      <c r="DA1032">
        <f>AJ1032</f>
        <v>1</v>
      </c>
      <c r="DB1032">
        <f>ROUND((ROUND(AT1032*CZ1032,2)*1.25),6)</f>
        <v>4.6500000000000004</v>
      </c>
      <c r="DC1032">
        <f>ROUND((ROUND(AT1032*AG1032,2)*1.25),6)</f>
        <v>0</v>
      </c>
      <c r="DD1032" t="s">
        <v>3</v>
      </c>
      <c r="DE1032" t="s">
        <v>3</v>
      </c>
      <c r="DF1032">
        <f t="shared" si="516"/>
        <v>0</v>
      </c>
      <c r="DG1032">
        <f t="shared" si="506"/>
        <v>4.6500000000000004</v>
      </c>
      <c r="DH1032">
        <f t="shared" si="507"/>
        <v>0</v>
      </c>
      <c r="DI1032">
        <f t="shared" si="523"/>
        <v>0</v>
      </c>
      <c r="DJ1032">
        <f>DG1032</f>
        <v>4.6500000000000004</v>
      </c>
      <c r="DK1032">
        <v>0</v>
      </c>
    </row>
    <row r="1033" spans="1:115" x14ac:dyDescent="0.2">
      <c r="A1033">
        <f>ROW(Source!A1199)</f>
        <v>1199</v>
      </c>
      <c r="B1033">
        <v>129761633</v>
      </c>
      <c r="C1033">
        <v>129764410</v>
      </c>
      <c r="D1033">
        <v>37402942</v>
      </c>
      <c r="E1033">
        <v>1</v>
      </c>
      <c r="F1033">
        <v>1</v>
      </c>
      <c r="G1033">
        <v>37345137</v>
      </c>
      <c r="H1033">
        <v>3</v>
      </c>
      <c r="I1033" t="s">
        <v>973</v>
      </c>
      <c r="J1033" t="s">
        <v>975</v>
      </c>
      <c r="K1033" t="s">
        <v>974</v>
      </c>
      <c r="L1033">
        <v>1391</v>
      </c>
      <c r="N1033">
        <v>1013</v>
      </c>
      <c r="O1033" t="s">
        <v>238</v>
      </c>
      <c r="P1033" t="s">
        <v>238</v>
      </c>
      <c r="Q1033">
        <v>1</v>
      </c>
      <c r="W1033">
        <v>0</v>
      </c>
      <c r="X1033">
        <v>-917542971</v>
      </c>
      <c r="Y1033">
        <f t="shared" ref="Y1033:Y1038" si="525">AT1033</f>
        <v>0</v>
      </c>
      <c r="AA1033">
        <v>12158.47</v>
      </c>
      <c r="AB1033">
        <v>0</v>
      </c>
      <c r="AC1033">
        <v>0</v>
      </c>
      <c r="AD1033">
        <v>0</v>
      </c>
      <c r="AE1033">
        <v>2019.68</v>
      </c>
      <c r="AF1033">
        <v>0</v>
      </c>
      <c r="AG1033">
        <v>0</v>
      </c>
      <c r="AH1033">
        <v>0</v>
      </c>
      <c r="AI1033">
        <v>6.02</v>
      </c>
      <c r="AJ1033">
        <v>1</v>
      </c>
      <c r="AK1033">
        <v>1</v>
      </c>
      <c r="AL1033">
        <v>1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 t="s">
        <v>3</v>
      </c>
      <c r="AT1033">
        <v>0</v>
      </c>
      <c r="AU1033" t="s">
        <v>3</v>
      </c>
      <c r="AV1033">
        <v>0</v>
      </c>
      <c r="AW1033">
        <v>1</v>
      </c>
      <c r="AX1033">
        <v>-1</v>
      </c>
      <c r="AY1033">
        <v>0</v>
      </c>
      <c r="AZ1033">
        <v>0</v>
      </c>
      <c r="BA1033" t="s">
        <v>3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0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0</v>
      </c>
      <c r="BR1033">
        <v>0</v>
      </c>
      <c r="BS1033">
        <v>0</v>
      </c>
      <c r="BT1033">
        <v>0</v>
      </c>
      <c r="BU1033">
        <v>0</v>
      </c>
      <c r="BV1033">
        <v>0</v>
      </c>
      <c r="BW1033">
        <v>0</v>
      </c>
      <c r="CX1033">
        <f>ROUND(Y1033*Source!I1199,9)</f>
        <v>0</v>
      </c>
      <c r="CY1033">
        <f t="shared" ref="CY1033:CY1038" si="526">AA1033</f>
        <v>12158.47</v>
      </c>
      <c r="CZ1033">
        <f t="shared" ref="CZ1033:CZ1038" si="527">AE1033</f>
        <v>2019.68</v>
      </c>
      <c r="DA1033">
        <f t="shared" ref="DA1033:DA1038" si="528">AI1033</f>
        <v>6.02</v>
      </c>
      <c r="DB1033">
        <f t="shared" ref="DB1033:DB1038" si="529">ROUND(ROUND(AT1033*CZ1033,2),6)</f>
        <v>0</v>
      </c>
      <c r="DC1033">
        <f t="shared" ref="DC1033:DC1038" si="530">ROUND(ROUND(AT1033*AG1033,2),6)</f>
        <v>0</v>
      </c>
      <c r="DD1033" t="s">
        <v>3</v>
      </c>
      <c r="DE1033" t="s">
        <v>3</v>
      </c>
      <c r="DF1033">
        <f t="shared" ref="DF1033:DF1038" si="531">ROUND(ROUND(AE1033*CX1033,2)*AI1033,2)</f>
        <v>0</v>
      </c>
      <c r="DG1033">
        <f t="shared" si="506"/>
        <v>0</v>
      </c>
      <c r="DH1033">
        <f t="shared" si="507"/>
        <v>0</v>
      </c>
      <c r="DI1033">
        <f t="shared" si="523"/>
        <v>0</v>
      </c>
      <c r="DJ1033">
        <f t="shared" ref="DJ1033:DJ1038" si="532">DF1033</f>
        <v>0</v>
      </c>
      <c r="DK1033">
        <v>0</v>
      </c>
    </row>
    <row r="1034" spans="1:115" x14ac:dyDescent="0.2">
      <c r="A1034">
        <f>ROW(Source!A1199)</f>
        <v>1199</v>
      </c>
      <c r="B1034">
        <v>129761633</v>
      </c>
      <c r="C1034">
        <v>129764410</v>
      </c>
      <c r="D1034">
        <v>37402944</v>
      </c>
      <c r="E1034">
        <v>1</v>
      </c>
      <c r="F1034">
        <v>1</v>
      </c>
      <c r="G1034">
        <v>37345137</v>
      </c>
      <c r="H1034">
        <v>3</v>
      </c>
      <c r="I1034" t="s">
        <v>977</v>
      </c>
      <c r="J1034" t="s">
        <v>979</v>
      </c>
      <c r="K1034" t="s">
        <v>978</v>
      </c>
      <c r="L1034">
        <v>1354</v>
      </c>
      <c r="N1034">
        <v>1010</v>
      </c>
      <c r="O1034" t="s">
        <v>250</v>
      </c>
      <c r="P1034" t="s">
        <v>250</v>
      </c>
      <c r="Q1034">
        <v>1</v>
      </c>
      <c r="W1034">
        <v>0</v>
      </c>
      <c r="X1034">
        <v>-1457686447</v>
      </c>
      <c r="Y1034">
        <f t="shared" si="525"/>
        <v>0</v>
      </c>
      <c r="AA1034">
        <v>1522.2</v>
      </c>
      <c r="AB1034">
        <v>0</v>
      </c>
      <c r="AC1034">
        <v>0</v>
      </c>
      <c r="AD1034">
        <v>0</v>
      </c>
      <c r="AE1034">
        <v>209.67</v>
      </c>
      <c r="AF1034">
        <v>0</v>
      </c>
      <c r="AG1034">
        <v>0</v>
      </c>
      <c r="AH1034">
        <v>0</v>
      </c>
      <c r="AI1034">
        <v>7.26</v>
      </c>
      <c r="AJ1034">
        <v>1</v>
      </c>
      <c r="AK1034">
        <v>1</v>
      </c>
      <c r="AL1034">
        <v>1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 t="s">
        <v>3</v>
      </c>
      <c r="AT1034">
        <v>0</v>
      </c>
      <c r="AU1034" t="s">
        <v>3</v>
      </c>
      <c r="AV1034">
        <v>0</v>
      </c>
      <c r="AW1034">
        <v>1</v>
      </c>
      <c r="AX1034">
        <v>-1</v>
      </c>
      <c r="AY1034">
        <v>0</v>
      </c>
      <c r="AZ1034">
        <v>0</v>
      </c>
      <c r="BA1034" t="s">
        <v>3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0</v>
      </c>
      <c r="BO1034">
        <v>0</v>
      </c>
      <c r="BP1034">
        <v>0</v>
      </c>
      <c r="BQ1034">
        <v>0</v>
      </c>
      <c r="BR1034">
        <v>0</v>
      </c>
      <c r="BS1034">
        <v>0</v>
      </c>
      <c r="BT1034">
        <v>0</v>
      </c>
      <c r="BU1034">
        <v>0</v>
      </c>
      <c r="BV1034">
        <v>0</v>
      </c>
      <c r="BW1034">
        <v>0</v>
      </c>
      <c r="CX1034">
        <f>ROUND(Y1034*Source!I1199,9)</f>
        <v>0</v>
      </c>
      <c r="CY1034">
        <f t="shared" si="526"/>
        <v>1522.2</v>
      </c>
      <c r="CZ1034">
        <f t="shared" si="527"/>
        <v>209.67</v>
      </c>
      <c r="DA1034">
        <f t="shared" si="528"/>
        <v>7.26</v>
      </c>
      <c r="DB1034">
        <f t="shared" si="529"/>
        <v>0</v>
      </c>
      <c r="DC1034">
        <f t="shared" si="530"/>
        <v>0</v>
      </c>
      <c r="DD1034" t="s">
        <v>3</v>
      </c>
      <c r="DE1034" t="s">
        <v>3</v>
      </c>
      <c r="DF1034">
        <f t="shared" si="531"/>
        <v>0</v>
      </c>
      <c r="DG1034">
        <f t="shared" si="506"/>
        <v>0</v>
      </c>
      <c r="DH1034">
        <f t="shared" si="507"/>
        <v>0</v>
      </c>
      <c r="DI1034">
        <f t="shared" si="523"/>
        <v>0</v>
      </c>
      <c r="DJ1034">
        <f t="shared" si="532"/>
        <v>0</v>
      </c>
      <c r="DK1034">
        <v>0</v>
      </c>
    </row>
    <row r="1035" spans="1:115" x14ac:dyDescent="0.2">
      <c r="A1035">
        <f>ROW(Source!A1199)</f>
        <v>1199</v>
      </c>
      <c r="B1035">
        <v>129761633</v>
      </c>
      <c r="C1035">
        <v>129764410</v>
      </c>
      <c r="D1035">
        <v>37402984</v>
      </c>
      <c r="E1035">
        <v>1</v>
      </c>
      <c r="F1035">
        <v>1</v>
      </c>
      <c r="G1035">
        <v>37345137</v>
      </c>
      <c r="H1035">
        <v>3</v>
      </c>
      <c r="I1035" t="s">
        <v>985</v>
      </c>
      <c r="J1035" t="s">
        <v>987</v>
      </c>
      <c r="K1035" t="s">
        <v>986</v>
      </c>
      <c r="L1035">
        <v>1354</v>
      </c>
      <c r="N1035">
        <v>1010</v>
      </c>
      <c r="O1035" t="s">
        <v>250</v>
      </c>
      <c r="P1035" t="s">
        <v>250</v>
      </c>
      <c r="Q1035">
        <v>1</v>
      </c>
      <c r="W1035">
        <v>0</v>
      </c>
      <c r="X1035">
        <v>-383638002</v>
      </c>
      <c r="Y1035">
        <f t="shared" si="525"/>
        <v>1</v>
      </c>
      <c r="AA1035">
        <v>1908.55</v>
      </c>
      <c r="AB1035">
        <v>0</v>
      </c>
      <c r="AC1035">
        <v>0</v>
      </c>
      <c r="AD1035">
        <v>0</v>
      </c>
      <c r="AE1035">
        <v>218.12</v>
      </c>
      <c r="AF1035">
        <v>0</v>
      </c>
      <c r="AG1035">
        <v>0</v>
      </c>
      <c r="AH1035">
        <v>0</v>
      </c>
      <c r="AI1035">
        <v>8.75</v>
      </c>
      <c r="AJ1035">
        <v>1</v>
      </c>
      <c r="AK1035">
        <v>1</v>
      </c>
      <c r="AL1035">
        <v>1</v>
      </c>
      <c r="AN1035">
        <v>0</v>
      </c>
      <c r="AO1035">
        <v>0</v>
      </c>
      <c r="AP1035">
        <v>1</v>
      </c>
      <c r="AQ1035">
        <v>0</v>
      </c>
      <c r="AR1035">
        <v>0</v>
      </c>
      <c r="AS1035" t="s">
        <v>3</v>
      </c>
      <c r="AT1035">
        <v>1</v>
      </c>
      <c r="AU1035" t="s">
        <v>3</v>
      </c>
      <c r="AV1035">
        <v>0</v>
      </c>
      <c r="AW1035">
        <v>1</v>
      </c>
      <c r="AX1035">
        <v>-1</v>
      </c>
      <c r="AY1035">
        <v>0</v>
      </c>
      <c r="AZ1035">
        <v>0</v>
      </c>
      <c r="BA1035" t="s">
        <v>3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0</v>
      </c>
      <c r="BJ1035">
        <v>0</v>
      </c>
      <c r="BK1035">
        <v>0</v>
      </c>
      <c r="BL1035">
        <v>0</v>
      </c>
      <c r="BM1035">
        <v>0</v>
      </c>
      <c r="BN1035">
        <v>0</v>
      </c>
      <c r="BO1035">
        <v>0</v>
      </c>
      <c r="BP1035">
        <v>0</v>
      </c>
      <c r="BQ1035">
        <v>0</v>
      </c>
      <c r="BR1035">
        <v>0</v>
      </c>
      <c r="BS1035">
        <v>0</v>
      </c>
      <c r="BT1035">
        <v>0</v>
      </c>
      <c r="BU1035">
        <v>0</v>
      </c>
      <c r="BV1035">
        <v>0</v>
      </c>
      <c r="BW1035">
        <v>0</v>
      </c>
      <c r="CX1035">
        <f>ROUND(Y1035*Source!I1199,9)</f>
        <v>1</v>
      </c>
      <c r="CY1035">
        <f t="shared" si="526"/>
        <v>1908.55</v>
      </c>
      <c r="CZ1035">
        <f t="shared" si="527"/>
        <v>218.12</v>
      </c>
      <c r="DA1035">
        <f t="shared" si="528"/>
        <v>8.75</v>
      </c>
      <c r="DB1035">
        <f t="shared" si="529"/>
        <v>218.12</v>
      </c>
      <c r="DC1035">
        <f t="shared" si="530"/>
        <v>0</v>
      </c>
      <c r="DD1035" t="s">
        <v>3</v>
      </c>
      <c r="DE1035" t="s">
        <v>3</v>
      </c>
      <c r="DF1035">
        <f t="shared" si="531"/>
        <v>1908.55</v>
      </c>
      <c r="DG1035">
        <f t="shared" si="506"/>
        <v>0</v>
      </c>
      <c r="DH1035">
        <f t="shared" si="507"/>
        <v>0</v>
      </c>
      <c r="DI1035">
        <f t="shared" si="523"/>
        <v>0</v>
      </c>
      <c r="DJ1035">
        <f t="shared" si="532"/>
        <v>1908.55</v>
      </c>
      <c r="DK1035">
        <v>0</v>
      </c>
    </row>
    <row r="1036" spans="1:115" x14ac:dyDescent="0.2">
      <c r="A1036">
        <f>ROW(Source!A1199)</f>
        <v>1199</v>
      </c>
      <c r="B1036">
        <v>129761633</v>
      </c>
      <c r="C1036">
        <v>129764410</v>
      </c>
      <c r="D1036">
        <v>37402996</v>
      </c>
      <c r="E1036">
        <v>1</v>
      </c>
      <c r="F1036">
        <v>1</v>
      </c>
      <c r="G1036">
        <v>37345137</v>
      </c>
      <c r="H1036">
        <v>3</v>
      </c>
      <c r="I1036" t="s">
        <v>981</v>
      </c>
      <c r="J1036" t="s">
        <v>983</v>
      </c>
      <c r="K1036" t="s">
        <v>982</v>
      </c>
      <c r="L1036">
        <v>1354</v>
      </c>
      <c r="N1036">
        <v>1010</v>
      </c>
      <c r="O1036" t="s">
        <v>250</v>
      </c>
      <c r="P1036" t="s">
        <v>250</v>
      </c>
      <c r="Q1036">
        <v>1</v>
      </c>
      <c r="W1036">
        <v>0</v>
      </c>
      <c r="X1036">
        <v>-681315971</v>
      </c>
      <c r="Y1036">
        <f t="shared" si="525"/>
        <v>0</v>
      </c>
      <c r="AA1036">
        <v>143.46</v>
      </c>
      <c r="AB1036">
        <v>0</v>
      </c>
      <c r="AC1036">
        <v>0</v>
      </c>
      <c r="AD1036">
        <v>0</v>
      </c>
      <c r="AE1036">
        <v>32.979999999999997</v>
      </c>
      <c r="AF1036">
        <v>0</v>
      </c>
      <c r="AG1036">
        <v>0</v>
      </c>
      <c r="AH1036">
        <v>0</v>
      </c>
      <c r="AI1036">
        <v>4.3499999999999996</v>
      </c>
      <c r="AJ1036">
        <v>1</v>
      </c>
      <c r="AK1036">
        <v>1</v>
      </c>
      <c r="AL1036">
        <v>1</v>
      </c>
      <c r="AN1036">
        <v>0</v>
      </c>
      <c r="AO1036">
        <v>0</v>
      </c>
      <c r="AP1036">
        <v>1</v>
      </c>
      <c r="AQ1036">
        <v>0</v>
      </c>
      <c r="AR1036">
        <v>0</v>
      </c>
      <c r="AS1036" t="s">
        <v>3</v>
      </c>
      <c r="AT1036">
        <v>0</v>
      </c>
      <c r="AU1036" t="s">
        <v>3</v>
      </c>
      <c r="AV1036">
        <v>0</v>
      </c>
      <c r="AW1036">
        <v>1</v>
      </c>
      <c r="AX1036">
        <v>-1</v>
      </c>
      <c r="AY1036">
        <v>0</v>
      </c>
      <c r="AZ1036">
        <v>0</v>
      </c>
      <c r="BA1036" t="s">
        <v>3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0</v>
      </c>
      <c r="BK1036">
        <v>0</v>
      </c>
      <c r="BL1036">
        <v>0</v>
      </c>
      <c r="BM1036">
        <v>0</v>
      </c>
      <c r="BN1036">
        <v>0</v>
      </c>
      <c r="BO1036">
        <v>0</v>
      </c>
      <c r="BP1036">
        <v>0</v>
      </c>
      <c r="BQ1036">
        <v>0</v>
      </c>
      <c r="BR1036">
        <v>0</v>
      </c>
      <c r="BS1036">
        <v>0</v>
      </c>
      <c r="BT1036">
        <v>0</v>
      </c>
      <c r="BU1036">
        <v>0</v>
      </c>
      <c r="BV1036">
        <v>0</v>
      </c>
      <c r="BW1036">
        <v>0</v>
      </c>
      <c r="CX1036">
        <f>ROUND(Y1036*Source!I1199,9)</f>
        <v>0</v>
      </c>
      <c r="CY1036">
        <f t="shared" si="526"/>
        <v>143.46</v>
      </c>
      <c r="CZ1036">
        <f t="shared" si="527"/>
        <v>32.979999999999997</v>
      </c>
      <c r="DA1036">
        <f t="shared" si="528"/>
        <v>4.3499999999999996</v>
      </c>
      <c r="DB1036">
        <f t="shared" si="529"/>
        <v>0</v>
      </c>
      <c r="DC1036">
        <f t="shared" si="530"/>
        <v>0</v>
      </c>
      <c r="DD1036" t="s">
        <v>3</v>
      </c>
      <c r="DE1036" t="s">
        <v>3</v>
      </c>
      <c r="DF1036">
        <f t="shared" si="531"/>
        <v>0</v>
      </c>
      <c r="DG1036">
        <f t="shared" si="506"/>
        <v>0</v>
      </c>
      <c r="DH1036">
        <f t="shared" si="507"/>
        <v>0</v>
      </c>
      <c r="DI1036">
        <f t="shared" si="523"/>
        <v>0</v>
      </c>
      <c r="DJ1036">
        <f t="shared" si="532"/>
        <v>0</v>
      </c>
      <c r="DK1036">
        <v>0</v>
      </c>
    </row>
    <row r="1037" spans="1:115" x14ac:dyDescent="0.2">
      <c r="A1037">
        <f>ROW(Source!A1199)</f>
        <v>1199</v>
      </c>
      <c r="B1037">
        <v>129761633</v>
      </c>
      <c r="C1037">
        <v>129764410</v>
      </c>
      <c r="D1037">
        <v>37367082</v>
      </c>
      <c r="E1037">
        <v>37345137</v>
      </c>
      <c r="F1037">
        <v>1</v>
      </c>
      <c r="G1037">
        <v>37345137</v>
      </c>
      <c r="H1037">
        <v>3</v>
      </c>
      <c r="I1037" t="s">
        <v>1136</v>
      </c>
      <c r="J1037" t="s">
        <v>3</v>
      </c>
      <c r="K1037" t="s">
        <v>1137</v>
      </c>
      <c r="L1037">
        <v>1344</v>
      </c>
      <c r="N1037">
        <v>1008</v>
      </c>
      <c r="O1037" t="s">
        <v>1138</v>
      </c>
      <c r="P1037" t="s">
        <v>1138</v>
      </c>
      <c r="Q1037">
        <v>1</v>
      </c>
      <c r="W1037">
        <v>0</v>
      </c>
      <c r="X1037">
        <v>-94250534</v>
      </c>
      <c r="Y1037">
        <f t="shared" si="525"/>
        <v>11.48</v>
      </c>
      <c r="AA1037">
        <v>8.65</v>
      </c>
      <c r="AB1037">
        <v>0</v>
      </c>
      <c r="AC1037">
        <v>0</v>
      </c>
      <c r="AD1037">
        <v>0</v>
      </c>
      <c r="AE1037">
        <v>1</v>
      </c>
      <c r="AF1037">
        <v>0</v>
      </c>
      <c r="AG1037">
        <v>0</v>
      </c>
      <c r="AH1037">
        <v>0</v>
      </c>
      <c r="AI1037">
        <v>8.65</v>
      </c>
      <c r="AJ1037">
        <v>1</v>
      </c>
      <c r="AK1037">
        <v>1</v>
      </c>
      <c r="AL1037">
        <v>1</v>
      </c>
      <c r="AN1037">
        <v>0</v>
      </c>
      <c r="AO1037">
        <v>1</v>
      </c>
      <c r="AP1037">
        <v>0</v>
      </c>
      <c r="AQ1037">
        <v>0</v>
      </c>
      <c r="AR1037">
        <v>0</v>
      </c>
      <c r="AS1037" t="s">
        <v>3</v>
      </c>
      <c r="AT1037">
        <v>11.48</v>
      </c>
      <c r="AU1037" t="s">
        <v>3</v>
      </c>
      <c r="AV1037">
        <v>0</v>
      </c>
      <c r="AW1037">
        <v>2</v>
      </c>
      <c r="AX1037">
        <v>129764422</v>
      </c>
      <c r="AY1037">
        <v>1</v>
      </c>
      <c r="AZ1037">
        <v>0</v>
      </c>
      <c r="BA1037">
        <v>996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0</v>
      </c>
      <c r="BJ1037">
        <v>0</v>
      </c>
      <c r="BK1037">
        <v>0</v>
      </c>
      <c r="BL1037">
        <v>0</v>
      </c>
      <c r="BM1037">
        <v>0</v>
      </c>
      <c r="BN1037">
        <v>0</v>
      </c>
      <c r="BO1037">
        <v>0</v>
      </c>
      <c r="BP1037">
        <v>0</v>
      </c>
      <c r="BQ1037">
        <v>0</v>
      </c>
      <c r="BR1037">
        <v>0</v>
      </c>
      <c r="BS1037">
        <v>0</v>
      </c>
      <c r="BT1037">
        <v>0</v>
      </c>
      <c r="BU1037">
        <v>0</v>
      </c>
      <c r="BV1037">
        <v>0</v>
      </c>
      <c r="BW1037">
        <v>0</v>
      </c>
      <c r="CX1037">
        <f>ROUND(Y1037*Source!I1199,9)</f>
        <v>11.48</v>
      </c>
      <c r="CY1037">
        <f t="shared" si="526"/>
        <v>8.65</v>
      </c>
      <c r="CZ1037">
        <f t="shared" si="527"/>
        <v>1</v>
      </c>
      <c r="DA1037">
        <f t="shared" si="528"/>
        <v>8.65</v>
      </c>
      <c r="DB1037">
        <f t="shared" si="529"/>
        <v>11.48</v>
      </c>
      <c r="DC1037">
        <f t="shared" si="530"/>
        <v>0</v>
      </c>
      <c r="DD1037" t="s">
        <v>3</v>
      </c>
      <c r="DE1037" t="s">
        <v>3</v>
      </c>
      <c r="DF1037">
        <f t="shared" si="531"/>
        <v>99.3</v>
      </c>
      <c r="DG1037">
        <f t="shared" si="506"/>
        <v>0</v>
      </c>
      <c r="DH1037">
        <f t="shared" si="507"/>
        <v>0</v>
      </c>
      <c r="DI1037">
        <f t="shared" si="523"/>
        <v>0</v>
      </c>
      <c r="DJ1037">
        <f t="shared" si="532"/>
        <v>99.3</v>
      </c>
      <c r="DK1037">
        <v>0</v>
      </c>
    </row>
    <row r="1038" spans="1:115" x14ac:dyDescent="0.2">
      <c r="A1038">
        <f>ROW(Source!A1199)</f>
        <v>1199</v>
      </c>
      <c r="B1038">
        <v>129761633</v>
      </c>
      <c r="C1038">
        <v>129764410</v>
      </c>
      <c r="D1038">
        <v>0</v>
      </c>
      <c r="E1038">
        <v>0</v>
      </c>
      <c r="F1038">
        <v>1</v>
      </c>
      <c r="G1038">
        <v>37345137</v>
      </c>
      <c r="H1038">
        <v>3</v>
      </c>
      <c r="I1038" t="s">
        <v>248</v>
      </c>
      <c r="J1038" t="s">
        <v>3</v>
      </c>
      <c r="K1038" t="s">
        <v>969</v>
      </c>
      <c r="L1038">
        <v>1035</v>
      </c>
      <c r="N1038">
        <v>1013</v>
      </c>
      <c r="O1038" t="s">
        <v>970</v>
      </c>
      <c r="P1038" t="s">
        <v>970</v>
      </c>
      <c r="Q1038">
        <v>1</v>
      </c>
      <c r="W1038">
        <v>0</v>
      </c>
      <c r="X1038">
        <v>-99313333</v>
      </c>
      <c r="Y1038">
        <f t="shared" si="525"/>
        <v>1</v>
      </c>
      <c r="AA1038">
        <v>41811.51</v>
      </c>
      <c r="AB1038">
        <v>0</v>
      </c>
      <c r="AC1038">
        <v>0</v>
      </c>
      <c r="AD1038">
        <v>0</v>
      </c>
      <c r="AE1038">
        <v>4833.7</v>
      </c>
      <c r="AF1038">
        <v>0</v>
      </c>
      <c r="AG1038">
        <v>0</v>
      </c>
      <c r="AH1038">
        <v>0</v>
      </c>
      <c r="AI1038">
        <v>8.65</v>
      </c>
      <c r="AJ1038">
        <v>1</v>
      </c>
      <c r="AK1038">
        <v>1</v>
      </c>
      <c r="AL1038">
        <v>1</v>
      </c>
      <c r="AN1038">
        <v>0</v>
      </c>
      <c r="AO1038">
        <v>0</v>
      </c>
      <c r="AP1038">
        <v>1</v>
      </c>
      <c r="AQ1038">
        <v>0</v>
      </c>
      <c r="AR1038">
        <v>0</v>
      </c>
      <c r="AS1038" t="s">
        <v>3</v>
      </c>
      <c r="AT1038">
        <v>1</v>
      </c>
      <c r="AU1038" t="s">
        <v>3</v>
      </c>
      <c r="AV1038">
        <v>0</v>
      </c>
      <c r="AW1038">
        <v>1</v>
      </c>
      <c r="AX1038">
        <v>-1</v>
      </c>
      <c r="AY1038">
        <v>0</v>
      </c>
      <c r="AZ1038">
        <v>0</v>
      </c>
      <c r="BA1038" t="s">
        <v>3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0</v>
      </c>
      <c r="BK1038">
        <v>0</v>
      </c>
      <c r="BL1038">
        <v>0</v>
      </c>
      <c r="BM1038">
        <v>0</v>
      </c>
      <c r="BN1038">
        <v>0</v>
      </c>
      <c r="BO1038">
        <v>0</v>
      </c>
      <c r="BP1038">
        <v>0</v>
      </c>
      <c r="BQ1038">
        <v>0</v>
      </c>
      <c r="BR1038">
        <v>0</v>
      </c>
      <c r="BS1038">
        <v>0</v>
      </c>
      <c r="BT1038">
        <v>0</v>
      </c>
      <c r="BU1038">
        <v>0</v>
      </c>
      <c r="BV1038">
        <v>0</v>
      </c>
      <c r="BW1038">
        <v>0</v>
      </c>
      <c r="CX1038">
        <f>ROUND(Y1038*Source!I1199,9)</f>
        <v>1</v>
      </c>
      <c r="CY1038">
        <f t="shared" si="526"/>
        <v>41811.51</v>
      </c>
      <c r="CZ1038">
        <f t="shared" si="527"/>
        <v>4833.7</v>
      </c>
      <c r="DA1038">
        <f t="shared" si="528"/>
        <v>8.65</v>
      </c>
      <c r="DB1038">
        <f t="shared" si="529"/>
        <v>4833.7</v>
      </c>
      <c r="DC1038">
        <f t="shared" si="530"/>
        <v>0</v>
      </c>
      <c r="DD1038" t="s">
        <v>3</v>
      </c>
      <c r="DE1038" t="s">
        <v>3</v>
      </c>
      <c r="DF1038">
        <f t="shared" si="531"/>
        <v>41811.51</v>
      </c>
      <c r="DG1038">
        <f t="shared" si="506"/>
        <v>0</v>
      </c>
      <c r="DH1038">
        <f t="shared" si="507"/>
        <v>0</v>
      </c>
      <c r="DI1038">
        <f t="shared" si="523"/>
        <v>0</v>
      </c>
      <c r="DJ1038">
        <f t="shared" si="532"/>
        <v>41811.51</v>
      </c>
      <c r="DK1038">
        <v>0</v>
      </c>
    </row>
    <row r="1039" spans="1:115" x14ac:dyDescent="0.2">
      <c r="A1039">
        <f>ROW(Source!A1210)</f>
        <v>1210</v>
      </c>
      <c r="B1039">
        <v>129761636</v>
      </c>
      <c r="C1039">
        <v>129764427</v>
      </c>
      <c r="D1039">
        <v>37345142</v>
      </c>
      <c r="E1039">
        <v>37345137</v>
      </c>
      <c r="F1039">
        <v>1</v>
      </c>
      <c r="G1039">
        <v>37345137</v>
      </c>
      <c r="H1039">
        <v>1</v>
      </c>
      <c r="I1039" t="s">
        <v>1096</v>
      </c>
      <c r="J1039" t="s">
        <v>3</v>
      </c>
      <c r="K1039" t="s">
        <v>1097</v>
      </c>
      <c r="L1039">
        <v>1191</v>
      </c>
      <c r="N1039">
        <v>1013</v>
      </c>
      <c r="O1039" t="s">
        <v>1098</v>
      </c>
      <c r="P1039" t="s">
        <v>1098</v>
      </c>
      <c r="Q1039">
        <v>1</v>
      </c>
      <c r="W1039">
        <v>0</v>
      </c>
      <c r="X1039">
        <v>476480486</v>
      </c>
      <c r="Y1039">
        <f>(AT1039*1.15)</f>
        <v>1.1384999999999998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1</v>
      </c>
      <c r="AJ1039">
        <v>1</v>
      </c>
      <c r="AK1039">
        <v>1</v>
      </c>
      <c r="AL1039">
        <v>1</v>
      </c>
      <c r="AN1039">
        <v>0</v>
      </c>
      <c r="AO1039">
        <v>1</v>
      </c>
      <c r="AP1039">
        <v>1</v>
      </c>
      <c r="AQ1039">
        <v>0</v>
      </c>
      <c r="AR1039">
        <v>0</v>
      </c>
      <c r="AS1039" t="s">
        <v>3</v>
      </c>
      <c r="AT1039">
        <v>0.99</v>
      </c>
      <c r="AU1039" t="s">
        <v>87</v>
      </c>
      <c r="AV1039">
        <v>1</v>
      </c>
      <c r="AW1039">
        <v>2</v>
      </c>
      <c r="AX1039">
        <v>129764438</v>
      </c>
      <c r="AY1039">
        <v>1</v>
      </c>
      <c r="AZ1039">
        <v>0</v>
      </c>
      <c r="BA1039">
        <v>997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0</v>
      </c>
      <c r="BJ1039">
        <v>0</v>
      </c>
      <c r="BK1039">
        <v>0</v>
      </c>
      <c r="BL1039">
        <v>0</v>
      </c>
      <c r="BM1039">
        <v>0</v>
      </c>
      <c r="BN1039">
        <v>0</v>
      </c>
      <c r="BO1039">
        <v>0</v>
      </c>
      <c r="BP1039">
        <v>0</v>
      </c>
      <c r="BQ1039">
        <v>0</v>
      </c>
      <c r="BR1039">
        <v>0</v>
      </c>
      <c r="BS1039">
        <v>0</v>
      </c>
      <c r="BT1039">
        <v>0</v>
      </c>
      <c r="BU1039">
        <v>0</v>
      </c>
      <c r="BV1039">
        <v>0</v>
      </c>
      <c r="BW1039">
        <v>0</v>
      </c>
      <c r="CX1039">
        <f>ROUND(Y1039*Source!I1210,9)</f>
        <v>1.1385000000000001</v>
      </c>
      <c r="CY1039">
        <f>AD1039</f>
        <v>0</v>
      </c>
      <c r="CZ1039">
        <f>AH1039</f>
        <v>0</v>
      </c>
      <c r="DA1039">
        <f>AL1039</f>
        <v>1</v>
      </c>
      <c r="DB1039">
        <f>ROUND((ROUND(AT1039*CZ1039,2)*1.15),6)</f>
        <v>0</v>
      </c>
      <c r="DC1039">
        <f>ROUND((ROUND(AT1039*AG1039,2)*1.15),6)</f>
        <v>0</v>
      </c>
      <c r="DD1039" t="s">
        <v>3</v>
      </c>
      <c r="DE1039" t="s">
        <v>3</v>
      </c>
      <c r="DF1039">
        <f t="shared" ref="DF1039:DF1051" si="533">ROUND(AE1039*CX1039,2)</f>
        <v>0</v>
      </c>
      <c r="DG1039">
        <f t="shared" si="506"/>
        <v>0</v>
      </c>
      <c r="DH1039">
        <f t="shared" si="507"/>
        <v>0</v>
      </c>
      <c r="DI1039">
        <f t="shared" si="523"/>
        <v>0</v>
      </c>
      <c r="DJ1039">
        <f>DI1039</f>
        <v>0</v>
      </c>
      <c r="DK1039">
        <v>0</v>
      </c>
    </row>
    <row r="1040" spans="1:115" x14ac:dyDescent="0.2">
      <c r="A1040">
        <f>ROW(Source!A1210)</f>
        <v>1210</v>
      </c>
      <c r="B1040">
        <v>129761636</v>
      </c>
      <c r="C1040">
        <v>129764427</v>
      </c>
      <c r="D1040">
        <v>37418445</v>
      </c>
      <c r="E1040">
        <v>1</v>
      </c>
      <c r="F1040">
        <v>1</v>
      </c>
      <c r="G1040">
        <v>37345137</v>
      </c>
      <c r="H1040">
        <v>2</v>
      </c>
      <c r="I1040" t="s">
        <v>1189</v>
      </c>
      <c r="J1040" t="s">
        <v>1190</v>
      </c>
      <c r="K1040" t="s">
        <v>1191</v>
      </c>
      <c r="L1040">
        <v>1367</v>
      </c>
      <c r="N1040">
        <v>1011</v>
      </c>
      <c r="O1040" t="s">
        <v>1102</v>
      </c>
      <c r="P1040" t="s">
        <v>1102</v>
      </c>
      <c r="Q1040">
        <v>1</v>
      </c>
      <c r="W1040">
        <v>0</v>
      </c>
      <c r="X1040">
        <v>-628430174</v>
      </c>
      <c r="Y1040">
        <f>(AT1040*1.25)</f>
        <v>7.4999999999999997E-2</v>
      </c>
      <c r="AA1040">
        <v>0</v>
      </c>
      <c r="AB1040">
        <v>76.81</v>
      </c>
      <c r="AC1040">
        <v>14.36</v>
      </c>
      <c r="AD1040">
        <v>0</v>
      </c>
      <c r="AE1040">
        <v>0</v>
      </c>
      <c r="AF1040">
        <v>76.81</v>
      </c>
      <c r="AG1040">
        <v>14.36</v>
      </c>
      <c r="AH1040">
        <v>0</v>
      </c>
      <c r="AI1040">
        <v>1</v>
      </c>
      <c r="AJ1040">
        <v>1</v>
      </c>
      <c r="AK1040">
        <v>1</v>
      </c>
      <c r="AL1040">
        <v>1</v>
      </c>
      <c r="AN1040">
        <v>0</v>
      </c>
      <c r="AO1040">
        <v>1</v>
      </c>
      <c r="AP1040">
        <v>1</v>
      </c>
      <c r="AQ1040">
        <v>0</v>
      </c>
      <c r="AR1040">
        <v>0</v>
      </c>
      <c r="AS1040" t="s">
        <v>3</v>
      </c>
      <c r="AT1040">
        <v>0.06</v>
      </c>
      <c r="AU1040" t="s">
        <v>86</v>
      </c>
      <c r="AV1040">
        <v>0</v>
      </c>
      <c r="AW1040">
        <v>2</v>
      </c>
      <c r="AX1040">
        <v>129764439</v>
      </c>
      <c r="AY1040">
        <v>1</v>
      </c>
      <c r="AZ1040">
        <v>0</v>
      </c>
      <c r="BA1040">
        <v>998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0</v>
      </c>
      <c r="BK1040">
        <v>0</v>
      </c>
      <c r="BL1040">
        <v>0</v>
      </c>
      <c r="BM1040">
        <v>0</v>
      </c>
      <c r="BN1040">
        <v>0</v>
      </c>
      <c r="BO1040">
        <v>0</v>
      </c>
      <c r="BP1040">
        <v>0</v>
      </c>
      <c r="BQ1040">
        <v>0</v>
      </c>
      <c r="BR1040">
        <v>0</v>
      </c>
      <c r="BS1040">
        <v>0</v>
      </c>
      <c r="BT1040">
        <v>0</v>
      </c>
      <c r="BU1040">
        <v>0</v>
      </c>
      <c r="BV1040">
        <v>0</v>
      </c>
      <c r="BW1040">
        <v>0</v>
      </c>
      <c r="CX1040">
        <f>ROUND(Y1040*Source!I1210,9)</f>
        <v>7.4999999999999997E-2</v>
      </c>
      <c r="CY1040">
        <f>AB1040</f>
        <v>76.81</v>
      </c>
      <c r="CZ1040">
        <f>AF1040</f>
        <v>76.81</v>
      </c>
      <c r="DA1040">
        <f>AJ1040</f>
        <v>1</v>
      </c>
      <c r="DB1040">
        <f>ROUND((ROUND(AT1040*CZ1040,2)*1.25),6)</f>
        <v>5.7625000000000002</v>
      </c>
      <c r="DC1040">
        <f>ROUND((ROUND(AT1040*AG1040,2)*1.25),6)</f>
        <v>1.075</v>
      </c>
      <c r="DD1040" t="s">
        <v>3</v>
      </c>
      <c r="DE1040" t="s">
        <v>3</v>
      </c>
      <c r="DF1040">
        <f t="shared" si="533"/>
        <v>0</v>
      </c>
      <c r="DG1040">
        <f t="shared" si="506"/>
        <v>5.76</v>
      </c>
      <c r="DH1040">
        <f t="shared" si="507"/>
        <v>1.08</v>
      </c>
      <c r="DI1040">
        <f t="shared" si="523"/>
        <v>0</v>
      </c>
      <c r="DJ1040">
        <f>DG1040</f>
        <v>5.76</v>
      </c>
      <c r="DK1040">
        <v>0</v>
      </c>
    </row>
    <row r="1041" spans="1:115" x14ac:dyDescent="0.2">
      <c r="A1041">
        <f>ROW(Source!A1210)</f>
        <v>1210</v>
      </c>
      <c r="B1041">
        <v>129761636</v>
      </c>
      <c r="C1041">
        <v>129764427</v>
      </c>
      <c r="D1041">
        <v>37394641</v>
      </c>
      <c r="E1041">
        <v>1</v>
      </c>
      <c r="F1041">
        <v>1</v>
      </c>
      <c r="G1041">
        <v>37345137</v>
      </c>
      <c r="H1041">
        <v>3</v>
      </c>
      <c r="I1041" t="s">
        <v>1407</v>
      </c>
      <c r="J1041" t="s">
        <v>1408</v>
      </c>
      <c r="K1041" t="s">
        <v>1409</v>
      </c>
      <c r="L1041">
        <v>1348</v>
      </c>
      <c r="N1041">
        <v>1009</v>
      </c>
      <c r="O1041" t="s">
        <v>114</v>
      </c>
      <c r="P1041" t="s">
        <v>114</v>
      </c>
      <c r="Q1041">
        <v>1000</v>
      </c>
      <c r="W1041">
        <v>0</v>
      </c>
      <c r="X1041">
        <v>2051816571</v>
      </c>
      <c r="Y1041">
        <f t="shared" ref="Y1041:Y1049" si="534">AT1041</f>
        <v>2.0000000000000001E-4</v>
      </c>
      <c r="AA1041">
        <v>483.86</v>
      </c>
      <c r="AB1041">
        <v>0</v>
      </c>
      <c r="AC1041">
        <v>0</v>
      </c>
      <c r="AD1041">
        <v>0</v>
      </c>
      <c r="AE1041">
        <v>483.86</v>
      </c>
      <c r="AF1041">
        <v>0</v>
      </c>
      <c r="AG1041">
        <v>0</v>
      </c>
      <c r="AH1041">
        <v>0</v>
      </c>
      <c r="AI1041">
        <v>1</v>
      </c>
      <c r="AJ1041">
        <v>1</v>
      </c>
      <c r="AK1041">
        <v>1</v>
      </c>
      <c r="AL1041">
        <v>1</v>
      </c>
      <c r="AN1041">
        <v>0</v>
      </c>
      <c r="AO1041">
        <v>1</v>
      </c>
      <c r="AP1041">
        <v>0</v>
      </c>
      <c r="AQ1041">
        <v>0</v>
      </c>
      <c r="AR1041">
        <v>0</v>
      </c>
      <c r="AS1041" t="s">
        <v>3</v>
      </c>
      <c r="AT1041">
        <v>2.0000000000000001E-4</v>
      </c>
      <c r="AU1041" t="s">
        <v>3</v>
      </c>
      <c r="AV1041">
        <v>0</v>
      </c>
      <c r="AW1041">
        <v>2</v>
      </c>
      <c r="AX1041">
        <v>129764440</v>
      </c>
      <c r="AY1041">
        <v>1</v>
      </c>
      <c r="AZ1041">
        <v>0</v>
      </c>
      <c r="BA1041">
        <v>999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0</v>
      </c>
      <c r="BK1041">
        <v>0</v>
      </c>
      <c r="BL1041">
        <v>0</v>
      </c>
      <c r="BM1041">
        <v>0</v>
      </c>
      <c r="BN1041">
        <v>0</v>
      </c>
      <c r="BO1041">
        <v>0</v>
      </c>
      <c r="BP1041">
        <v>0</v>
      </c>
      <c r="BQ1041">
        <v>0</v>
      </c>
      <c r="BR1041">
        <v>0</v>
      </c>
      <c r="BS1041">
        <v>0</v>
      </c>
      <c r="BT1041">
        <v>0</v>
      </c>
      <c r="BU1041">
        <v>0</v>
      </c>
      <c r="BV1041">
        <v>0</v>
      </c>
      <c r="BW1041">
        <v>0</v>
      </c>
      <c r="CX1041">
        <f>ROUND(Y1041*Source!I1210,9)</f>
        <v>2.0000000000000001E-4</v>
      </c>
      <c r="CY1041">
        <f t="shared" ref="CY1041:CY1049" si="535">AA1041</f>
        <v>483.86</v>
      </c>
      <c r="CZ1041">
        <f t="shared" ref="CZ1041:CZ1049" si="536">AE1041</f>
        <v>483.86</v>
      </c>
      <c r="DA1041">
        <f t="shared" ref="DA1041:DA1049" si="537">AI1041</f>
        <v>1</v>
      </c>
      <c r="DB1041">
        <f t="shared" ref="DB1041:DB1049" si="538">ROUND(ROUND(AT1041*CZ1041,2),6)</f>
        <v>0.1</v>
      </c>
      <c r="DC1041">
        <f t="shared" ref="DC1041:DC1049" si="539">ROUND(ROUND(AT1041*AG1041,2),6)</f>
        <v>0</v>
      </c>
      <c r="DD1041" t="s">
        <v>3</v>
      </c>
      <c r="DE1041" t="s">
        <v>3</v>
      </c>
      <c r="DF1041">
        <f t="shared" si="533"/>
        <v>0.1</v>
      </c>
      <c r="DG1041">
        <f t="shared" si="506"/>
        <v>0</v>
      </c>
      <c r="DH1041">
        <f t="shared" si="507"/>
        <v>0</v>
      </c>
      <c r="DI1041">
        <f t="shared" si="523"/>
        <v>0</v>
      </c>
      <c r="DJ1041">
        <f t="shared" ref="DJ1041:DJ1049" si="540">DF1041</f>
        <v>0.1</v>
      </c>
      <c r="DK1041">
        <v>0</v>
      </c>
    </row>
    <row r="1042" spans="1:115" x14ac:dyDescent="0.2">
      <c r="A1042">
        <f>ROW(Source!A1210)</f>
        <v>1210</v>
      </c>
      <c r="B1042">
        <v>129761636</v>
      </c>
      <c r="C1042">
        <v>129764427</v>
      </c>
      <c r="D1042">
        <v>37394962</v>
      </c>
      <c r="E1042">
        <v>1</v>
      </c>
      <c r="F1042">
        <v>1</v>
      </c>
      <c r="G1042">
        <v>37345137</v>
      </c>
      <c r="H1042">
        <v>3</v>
      </c>
      <c r="I1042" t="s">
        <v>1228</v>
      </c>
      <c r="J1042" t="s">
        <v>1229</v>
      </c>
      <c r="K1042" t="s">
        <v>1230</v>
      </c>
      <c r="L1042">
        <v>1348</v>
      </c>
      <c r="N1042">
        <v>1009</v>
      </c>
      <c r="O1042" t="s">
        <v>114</v>
      </c>
      <c r="P1042" t="s">
        <v>114</v>
      </c>
      <c r="Q1042">
        <v>1000</v>
      </c>
      <c r="W1042">
        <v>0</v>
      </c>
      <c r="X1042">
        <v>-1951435217</v>
      </c>
      <c r="Y1042">
        <f t="shared" si="534"/>
        <v>3.0000000000000001E-5</v>
      </c>
      <c r="AA1042">
        <v>8596.85</v>
      </c>
      <c r="AB1042">
        <v>0</v>
      </c>
      <c r="AC1042">
        <v>0</v>
      </c>
      <c r="AD1042">
        <v>0</v>
      </c>
      <c r="AE1042">
        <v>8596.85</v>
      </c>
      <c r="AF1042">
        <v>0</v>
      </c>
      <c r="AG1042">
        <v>0</v>
      </c>
      <c r="AH1042">
        <v>0</v>
      </c>
      <c r="AI1042">
        <v>1</v>
      </c>
      <c r="AJ1042">
        <v>1</v>
      </c>
      <c r="AK1042">
        <v>1</v>
      </c>
      <c r="AL1042">
        <v>1</v>
      </c>
      <c r="AN1042">
        <v>0</v>
      </c>
      <c r="AO1042">
        <v>1</v>
      </c>
      <c r="AP1042">
        <v>0</v>
      </c>
      <c r="AQ1042">
        <v>0</v>
      </c>
      <c r="AR1042">
        <v>0</v>
      </c>
      <c r="AS1042" t="s">
        <v>3</v>
      </c>
      <c r="AT1042">
        <v>3.0000000000000001E-5</v>
      </c>
      <c r="AU1042" t="s">
        <v>3</v>
      </c>
      <c r="AV1042">
        <v>0</v>
      </c>
      <c r="AW1042">
        <v>2</v>
      </c>
      <c r="AX1042">
        <v>129764441</v>
      </c>
      <c r="AY1042">
        <v>1</v>
      </c>
      <c r="AZ1042">
        <v>0</v>
      </c>
      <c r="BA1042">
        <v>1000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0</v>
      </c>
      <c r="BJ1042">
        <v>0</v>
      </c>
      <c r="BK1042">
        <v>0</v>
      </c>
      <c r="BL1042">
        <v>0</v>
      </c>
      <c r="BM1042">
        <v>0</v>
      </c>
      <c r="BN1042">
        <v>0</v>
      </c>
      <c r="BO1042">
        <v>0</v>
      </c>
      <c r="BP1042">
        <v>0</v>
      </c>
      <c r="BQ1042">
        <v>0</v>
      </c>
      <c r="BR1042">
        <v>0</v>
      </c>
      <c r="BS1042">
        <v>0</v>
      </c>
      <c r="BT1042">
        <v>0</v>
      </c>
      <c r="BU1042">
        <v>0</v>
      </c>
      <c r="BV1042">
        <v>0</v>
      </c>
      <c r="BW1042">
        <v>0</v>
      </c>
      <c r="CX1042">
        <f>ROUND(Y1042*Source!I1210,9)</f>
        <v>3.0000000000000001E-5</v>
      </c>
      <c r="CY1042">
        <f t="shared" si="535"/>
        <v>8596.85</v>
      </c>
      <c r="CZ1042">
        <f t="shared" si="536"/>
        <v>8596.85</v>
      </c>
      <c r="DA1042">
        <f t="shared" si="537"/>
        <v>1</v>
      </c>
      <c r="DB1042">
        <f t="shared" si="538"/>
        <v>0.26</v>
      </c>
      <c r="DC1042">
        <f t="shared" si="539"/>
        <v>0</v>
      </c>
      <c r="DD1042" t="s">
        <v>3</v>
      </c>
      <c r="DE1042" t="s">
        <v>3</v>
      </c>
      <c r="DF1042">
        <f t="shared" si="533"/>
        <v>0.26</v>
      </c>
      <c r="DG1042">
        <f t="shared" si="506"/>
        <v>0</v>
      </c>
      <c r="DH1042">
        <f t="shared" si="507"/>
        <v>0</v>
      </c>
      <c r="DI1042">
        <f t="shared" si="523"/>
        <v>0</v>
      </c>
      <c r="DJ1042">
        <f t="shared" si="540"/>
        <v>0.26</v>
      </c>
      <c r="DK1042">
        <v>0</v>
      </c>
    </row>
    <row r="1043" spans="1:115" x14ac:dyDescent="0.2">
      <c r="A1043">
        <f>ROW(Source!A1210)</f>
        <v>1210</v>
      </c>
      <c r="B1043">
        <v>129761636</v>
      </c>
      <c r="C1043">
        <v>129764427</v>
      </c>
      <c r="D1043">
        <v>37395666</v>
      </c>
      <c r="E1043">
        <v>1</v>
      </c>
      <c r="F1043">
        <v>1</v>
      </c>
      <c r="G1043">
        <v>37345137</v>
      </c>
      <c r="H1043">
        <v>3</v>
      </c>
      <c r="I1043" t="s">
        <v>1377</v>
      </c>
      <c r="J1043" t="s">
        <v>1378</v>
      </c>
      <c r="K1043" t="s">
        <v>1379</v>
      </c>
      <c r="L1043">
        <v>1346</v>
      </c>
      <c r="N1043">
        <v>1009</v>
      </c>
      <c r="O1043" t="s">
        <v>369</v>
      </c>
      <c r="P1043" t="s">
        <v>369</v>
      </c>
      <c r="Q1043">
        <v>1</v>
      </c>
      <c r="W1043">
        <v>0</v>
      </c>
      <c r="X1043">
        <v>1037702096</v>
      </c>
      <c r="Y1043">
        <f t="shared" si="534"/>
        <v>0.06</v>
      </c>
      <c r="AA1043">
        <v>38</v>
      </c>
      <c r="AB1043">
        <v>0</v>
      </c>
      <c r="AC1043">
        <v>0</v>
      </c>
      <c r="AD1043">
        <v>0</v>
      </c>
      <c r="AE1043">
        <v>38</v>
      </c>
      <c r="AF1043">
        <v>0</v>
      </c>
      <c r="AG1043">
        <v>0</v>
      </c>
      <c r="AH1043">
        <v>0</v>
      </c>
      <c r="AI1043">
        <v>1</v>
      </c>
      <c r="AJ1043">
        <v>1</v>
      </c>
      <c r="AK1043">
        <v>1</v>
      </c>
      <c r="AL1043">
        <v>1</v>
      </c>
      <c r="AN1043">
        <v>0</v>
      </c>
      <c r="AO1043">
        <v>1</v>
      </c>
      <c r="AP1043">
        <v>0</v>
      </c>
      <c r="AQ1043">
        <v>0</v>
      </c>
      <c r="AR1043">
        <v>0</v>
      </c>
      <c r="AS1043" t="s">
        <v>3</v>
      </c>
      <c r="AT1043">
        <v>0.06</v>
      </c>
      <c r="AU1043" t="s">
        <v>3</v>
      </c>
      <c r="AV1043">
        <v>0</v>
      </c>
      <c r="AW1043">
        <v>2</v>
      </c>
      <c r="AX1043">
        <v>129764442</v>
      </c>
      <c r="AY1043">
        <v>1</v>
      </c>
      <c r="AZ1043">
        <v>0</v>
      </c>
      <c r="BA1043">
        <v>1001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0</v>
      </c>
      <c r="BJ1043">
        <v>0</v>
      </c>
      <c r="BK1043">
        <v>0</v>
      </c>
      <c r="BL1043">
        <v>0</v>
      </c>
      <c r="BM1043">
        <v>0</v>
      </c>
      <c r="BN1043">
        <v>0</v>
      </c>
      <c r="BO1043">
        <v>0</v>
      </c>
      <c r="BP1043">
        <v>0</v>
      </c>
      <c r="BQ1043">
        <v>0</v>
      </c>
      <c r="BR1043">
        <v>0</v>
      </c>
      <c r="BS1043">
        <v>0</v>
      </c>
      <c r="BT1043">
        <v>0</v>
      </c>
      <c r="BU1043">
        <v>0</v>
      </c>
      <c r="BV1043">
        <v>0</v>
      </c>
      <c r="BW1043">
        <v>0</v>
      </c>
      <c r="CX1043">
        <f>ROUND(Y1043*Source!I1210,9)</f>
        <v>0.06</v>
      </c>
      <c r="CY1043">
        <f t="shared" si="535"/>
        <v>38</v>
      </c>
      <c r="CZ1043">
        <f t="shared" si="536"/>
        <v>38</v>
      </c>
      <c r="DA1043">
        <f t="shared" si="537"/>
        <v>1</v>
      </c>
      <c r="DB1043">
        <f t="shared" si="538"/>
        <v>2.2799999999999998</v>
      </c>
      <c r="DC1043">
        <f t="shared" si="539"/>
        <v>0</v>
      </c>
      <c r="DD1043" t="s">
        <v>3</v>
      </c>
      <c r="DE1043" t="s">
        <v>3</v>
      </c>
      <c r="DF1043">
        <f t="shared" si="533"/>
        <v>2.2799999999999998</v>
      </c>
      <c r="DG1043">
        <f t="shared" si="506"/>
        <v>0</v>
      </c>
      <c r="DH1043">
        <f t="shared" si="507"/>
        <v>0</v>
      </c>
      <c r="DI1043">
        <f t="shared" si="523"/>
        <v>0</v>
      </c>
      <c r="DJ1043">
        <f t="shared" si="540"/>
        <v>2.2799999999999998</v>
      </c>
      <c r="DK1043">
        <v>0</v>
      </c>
    </row>
    <row r="1044" spans="1:115" x14ac:dyDescent="0.2">
      <c r="A1044">
        <f>ROW(Source!A1210)</f>
        <v>1210</v>
      </c>
      <c r="B1044">
        <v>129761636</v>
      </c>
      <c r="C1044">
        <v>129764427</v>
      </c>
      <c r="D1044">
        <v>37393722</v>
      </c>
      <c r="E1044">
        <v>1</v>
      </c>
      <c r="F1044">
        <v>1</v>
      </c>
      <c r="G1044">
        <v>37345137</v>
      </c>
      <c r="H1044">
        <v>3</v>
      </c>
      <c r="I1044" t="s">
        <v>1410</v>
      </c>
      <c r="J1044" t="s">
        <v>1411</v>
      </c>
      <c r="K1044" t="s">
        <v>1412</v>
      </c>
      <c r="L1044">
        <v>1348</v>
      </c>
      <c r="N1044">
        <v>1009</v>
      </c>
      <c r="O1044" t="s">
        <v>114</v>
      </c>
      <c r="P1044" t="s">
        <v>114</v>
      </c>
      <c r="Q1044">
        <v>1000</v>
      </c>
      <c r="W1044">
        <v>0</v>
      </c>
      <c r="X1044">
        <v>887832628</v>
      </c>
      <c r="Y1044">
        <f t="shared" si="534"/>
        <v>6.9999999999999994E-5</v>
      </c>
      <c r="AA1044">
        <v>25769.56</v>
      </c>
      <c r="AB1044">
        <v>0</v>
      </c>
      <c r="AC1044">
        <v>0</v>
      </c>
      <c r="AD1044">
        <v>0</v>
      </c>
      <c r="AE1044">
        <v>25769.56</v>
      </c>
      <c r="AF1044">
        <v>0</v>
      </c>
      <c r="AG1044">
        <v>0</v>
      </c>
      <c r="AH1044">
        <v>0</v>
      </c>
      <c r="AI1044">
        <v>1</v>
      </c>
      <c r="AJ1044">
        <v>1</v>
      </c>
      <c r="AK1044">
        <v>1</v>
      </c>
      <c r="AL1044">
        <v>1</v>
      </c>
      <c r="AN1044">
        <v>0</v>
      </c>
      <c r="AO1044">
        <v>1</v>
      </c>
      <c r="AP1044">
        <v>0</v>
      </c>
      <c r="AQ1044">
        <v>0</v>
      </c>
      <c r="AR1044">
        <v>0</v>
      </c>
      <c r="AS1044" t="s">
        <v>3</v>
      </c>
      <c r="AT1044">
        <v>6.9999999999999994E-5</v>
      </c>
      <c r="AU1044" t="s">
        <v>3</v>
      </c>
      <c r="AV1044">
        <v>0</v>
      </c>
      <c r="AW1044">
        <v>2</v>
      </c>
      <c r="AX1044">
        <v>129764443</v>
      </c>
      <c r="AY1044">
        <v>1</v>
      </c>
      <c r="AZ1044">
        <v>0</v>
      </c>
      <c r="BA1044">
        <v>1002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0</v>
      </c>
      <c r="BK1044">
        <v>0</v>
      </c>
      <c r="BL1044">
        <v>0</v>
      </c>
      <c r="BM1044">
        <v>0</v>
      </c>
      <c r="BN1044">
        <v>0</v>
      </c>
      <c r="BO1044">
        <v>0</v>
      </c>
      <c r="BP1044">
        <v>0</v>
      </c>
      <c r="BQ1044">
        <v>0</v>
      </c>
      <c r="BR1044">
        <v>0</v>
      </c>
      <c r="BS1044">
        <v>0</v>
      </c>
      <c r="BT1044">
        <v>0</v>
      </c>
      <c r="BU1044">
        <v>0</v>
      </c>
      <c r="BV1044">
        <v>0</v>
      </c>
      <c r="BW1044">
        <v>0</v>
      </c>
      <c r="CX1044">
        <f>ROUND(Y1044*Source!I1210,9)</f>
        <v>6.9999999999999994E-5</v>
      </c>
      <c r="CY1044">
        <f t="shared" si="535"/>
        <v>25769.56</v>
      </c>
      <c r="CZ1044">
        <f t="shared" si="536"/>
        <v>25769.56</v>
      </c>
      <c r="DA1044">
        <f t="shared" si="537"/>
        <v>1</v>
      </c>
      <c r="DB1044">
        <f t="shared" si="538"/>
        <v>1.8</v>
      </c>
      <c r="DC1044">
        <f t="shared" si="539"/>
        <v>0</v>
      </c>
      <c r="DD1044" t="s">
        <v>3</v>
      </c>
      <c r="DE1044" t="s">
        <v>3</v>
      </c>
      <c r="DF1044">
        <f t="shared" si="533"/>
        <v>1.8</v>
      </c>
      <c r="DG1044">
        <f t="shared" si="506"/>
        <v>0</v>
      </c>
      <c r="DH1044">
        <f t="shared" si="507"/>
        <v>0</v>
      </c>
      <c r="DI1044">
        <f t="shared" si="523"/>
        <v>0</v>
      </c>
      <c r="DJ1044">
        <f t="shared" si="540"/>
        <v>1.8</v>
      </c>
      <c r="DK1044">
        <v>0</v>
      </c>
    </row>
    <row r="1045" spans="1:115" x14ac:dyDescent="0.2">
      <c r="A1045">
        <f>ROW(Source!A1210)</f>
        <v>1210</v>
      </c>
      <c r="B1045">
        <v>129761636</v>
      </c>
      <c r="C1045">
        <v>129764427</v>
      </c>
      <c r="D1045">
        <v>37393883</v>
      </c>
      <c r="E1045">
        <v>1</v>
      </c>
      <c r="F1045">
        <v>1</v>
      </c>
      <c r="G1045">
        <v>37345137</v>
      </c>
      <c r="H1045">
        <v>3</v>
      </c>
      <c r="I1045" t="s">
        <v>1383</v>
      </c>
      <c r="J1045" t="s">
        <v>1384</v>
      </c>
      <c r="K1045" t="s">
        <v>1385</v>
      </c>
      <c r="L1045">
        <v>1348</v>
      </c>
      <c r="N1045">
        <v>1009</v>
      </c>
      <c r="O1045" t="s">
        <v>114</v>
      </c>
      <c r="P1045" t="s">
        <v>114</v>
      </c>
      <c r="Q1045">
        <v>1000</v>
      </c>
      <c r="W1045">
        <v>0</v>
      </c>
      <c r="X1045">
        <v>-434568416</v>
      </c>
      <c r="Y1045">
        <f t="shared" si="534"/>
        <v>1.9000000000000001E-4</v>
      </c>
      <c r="AA1045">
        <v>16222.39</v>
      </c>
      <c r="AB1045">
        <v>0</v>
      </c>
      <c r="AC1045">
        <v>0</v>
      </c>
      <c r="AD1045">
        <v>0</v>
      </c>
      <c r="AE1045">
        <v>16222.39</v>
      </c>
      <c r="AF1045">
        <v>0</v>
      </c>
      <c r="AG1045">
        <v>0</v>
      </c>
      <c r="AH1045">
        <v>0</v>
      </c>
      <c r="AI1045">
        <v>1</v>
      </c>
      <c r="AJ1045">
        <v>1</v>
      </c>
      <c r="AK1045">
        <v>1</v>
      </c>
      <c r="AL1045">
        <v>1</v>
      </c>
      <c r="AN1045">
        <v>0</v>
      </c>
      <c r="AO1045">
        <v>1</v>
      </c>
      <c r="AP1045">
        <v>0</v>
      </c>
      <c r="AQ1045">
        <v>0</v>
      </c>
      <c r="AR1045">
        <v>0</v>
      </c>
      <c r="AS1045" t="s">
        <v>3</v>
      </c>
      <c r="AT1045">
        <v>1.9000000000000001E-4</v>
      </c>
      <c r="AU1045" t="s">
        <v>3</v>
      </c>
      <c r="AV1045">
        <v>0</v>
      </c>
      <c r="AW1045">
        <v>2</v>
      </c>
      <c r="AX1045">
        <v>129764444</v>
      </c>
      <c r="AY1045">
        <v>1</v>
      </c>
      <c r="AZ1045">
        <v>0</v>
      </c>
      <c r="BA1045">
        <v>1003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0</v>
      </c>
      <c r="BJ1045">
        <v>0</v>
      </c>
      <c r="BK1045">
        <v>0</v>
      </c>
      <c r="BL1045">
        <v>0</v>
      </c>
      <c r="BM1045">
        <v>0</v>
      </c>
      <c r="BN1045">
        <v>0</v>
      </c>
      <c r="BO1045">
        <v>0</v>
      </c>
      <c r="BP1045">
        <v>0</v>
      </c>
      <c r="BQ1045">
        <v>0</v>
      </c>
      <c r="BR1045">
        <v>0</v>
      </c>
      <c r="BS1045">
        <v>0</v>
      </c>
      <c r="BT1045">
        <v>0</v>
      </c>
      <c r="BU1045">
        <v>0</v>
      </c>
      <c r="BV1045">
        <v>0</v>
      </c>
      <c r="BW1045">
        <v>0</v>
      </c>
      <c r="CX1045">
        <f>ROUND(Y1045*Source!I1210,9)</f>
        <v>1.9000000000000001E-4</v>
      </c>
      <c r="CY1045">
        <f t="shared" si="535"/>
        <v>16222.39</v>
      </c>
      <c r="CZ1045">
        <f t="shared" si="536"/>
        <v>16222.39</v>
      </c>
      <c r="DA1045">
        <f t="shared" si="537"/>
        <v>1</v>
      </c>
      <c r="DB1045">
        <f t="shared" si="538"/>
        <v>3.08</v>
      </c>
      <c r="DC1045">
        <f t="shared" si="539"/>
        <v>0</v>
      </c>
      <c r="DD1045" t="s">
        <v>3</v>
      </c>
      <c r="DE1045" t="s">
        <v>3</v>
      </c>
      <c r="DF1045">
        <f t="shared" si="533"/>
        <v>3.08</v>
      </c>
      <c r="DG1045">
        <f t="shared" si="506"/>
        <v>0</v>
      </c>
      <c r="DH1045">
        <f t="shared" si="507"/>
        <v>0</v>
      </c>
      <c r="DI1045">
        <f t="shared" si="523"/>
        <v>0</v>
      </c>
      <c r="DJ1045">
        <f t="shared" si="540"/>
        <v>3.08</v>
      </c>
      <c r="DK1045">
        <v>0</v>
      </c>
    </row>
    <row r="1046" spans="1:115" x14ac:dyDescent="0.2">
      <c r="A1046">
        <f>ROW(Source!A1210)</f>
        <v>1210</v>
      </c>
      <c r="B1046">
        <v>129761636</v>
      </c>
      <c r="C1046">
        <v>129764427</v>
      </c>
      <c r="D1046">
        <v>37393498</v>
      </c>
      <c r="E1046">
        <v>1</v>
      </c>
      <c r="F1046">
        <v>1</v>
      </c>
      <c r="G1046">
        <v>37345137</v>
      </c>
      <c r="H1046">
        <v>3</v>
      </c>
      <c r="I1046" t="s">
        <v>1231</v>
      </c>
      <c r="J1046" t="s">
        <v>1232</v>
      </c>
      <c r="K1046" t="s">
        <v>1233</v>
      </c>
      <c r="L1046">
        <v>1348</v>
      </c>
      <c r="N1046">
        <v>1009</v>
      </c>
      <c r="O1046" t="s">
        <v>114</v>
      </c>
      <c r="P1046" t="s">
        <v>114</v>
      </c>
      <c r="Q1046">
        <v>1000</v>
      </c>
      <c r="W1046">
        <v>0</v>
      </c>
      <c r="X1046">
        <v>-1798553121</v>
      </c>
      <c r="Y1046">
        <f t="shared" si="534"/>
        <v>1.0000000000000001E-5</v>
      </c>
      <c r="AA1046">
        <v>17876.91</v>
      </c>
      <c r="AB1046">
        <v>0</v>
      </c>
      <c r="AC1046">
        <v>0</v>
      </c>
      <c r="AD1046">
        <v>0</v>
      </c>
      <c r="AE1046">
        <v>17876.91</v>
      </c>
      <c r="AF1046">
        <v>0</v>
      </c>
      <c r="AG1046">
        <v>0</v>
      </c>
      <c r="AH1046">
        <v>0</v>
      </c>
      <c r="AI1046">
        <v>1</v>
      </c>
      <c r="AJ1046">
        <v>1</v>
      </c>
      <c r="AK1046">
        <v>1</v>
      </c>
      <c r="AL1046">
        <v>1</v>
      </c>
      <c r="AN1046">
        <v>0</v>
      </c>
      <c r="AO1046">
        <v>1</v>
      </c>
      <c r="AP1046">
        <v>0</v>
      </c>
      <c r="AQ1046">
        <v>0</v>
      </c>
      <c r="AR1046">
        <v>0</v>
      </c>
      <c r="AS1046" t="s">
        <v>3</v>
      </c>
      <c r="AT1046">
        <v>1.0000000000000001E-5</v>
      </c>
      <c r="AU1046" t="s">
        <v>3</v>
      </c>
      <c r="AV1046">
        <v>0</v>
      </c>
      <c r="AW1046">
        <v>2</v>
      </c>
      <c r="AX1046">
        <v>129764445</v>
      </c>
      <c r="AY1046">
        <v>1</v>
      </c>
      <c r="AZ1046">
        <v>0</v>
      </c>
      <c r="BA1046">
        <v>1004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0</v>
      </c>
      <c r="BJ1046">
        <v>0</v>
      </c>
      <c r="BK1046">
        <v>0</v>
      </c>
      <c r="BL1046">
        <v>0</v>
      </c>
      <c r="BM1046">
        <v>0</v>
      </c>
      <c r="BN1046">
        <v>0</v>
      </c>
      <c r="BO1046">
        <v>0</v>
      </c>
      <c r="BP1046">
        <v>0</v>
      </c>
      <c r="BQ1046">
        <v>0</v>
      </c>
      <c r="BR1046">
        <v>0</v>
      </c>
      <c r="BS1046">
        <v>0</v>
      </c>
      <c r="BT1046">
        <v>0</v>
      </c>
      <c r="BU1046">
        <v>0</v>
      </c>
      <c r="BV1046">
        <v>0</v>
      </c>
      <c r="BW1046">
        <v>0</v>
      </c>
      <c r="CX1046">
        <f>ROUND(Y1046*Source!I1210,9)</f>
        <v>1.0000000000000001E-5</v>
      </c>
      <c r="CY1046">
        <f t="shared" si="535"/>
        <v>17876.91</v>
      </c>
      <c r="CZ1046">
        <f t="shared" si="536"/>
        <v>17876.91</v>
      </c>
      <c r="DA1046">
        <f t="shared" si="537"/>
        <v>1</v>
      </c>
      <c r="DB1046">
        <f t="shared" si="538"/>
        <v>0.18</v>
      </c>
      <c r="DC1046">
        <f t="shared" si="539"/>
        <v>0</v>
      </c>
      <c r="DD1046" t="s">
        <v>3</v>
      </c>
      <c r="DE1046" t="s">
        <v>3</v>
      </c>
      <c r="DF1046">
        <f t="shared" si="533"/>
        <v>0.18</v>
      </c>
      <c r="DG1046">
        <f t="shared" si="506"/>
        <v>0</v>
      </c>
      <c r="DH1046">
        <f t="shared" si="507"/>
        <v>0</v>
      </c>
      <c r="DI1046">
        <f t="shared" si="523"/>
        <v>0</v>
      </c>
      <c r="DJ1046">
        <f t="shared" si="540"/>
        <v>0.18</v>
      </c>
      <c r="DK1046">
        <v>0</v>
      </c>
    </row>
    <row r="1047" spans="1:115" x14ac:dyDescent="0.2">
      <c r="A1047">
        <f>ROW(Source!A1210)</f>
        <v>1210</v>
      </c>
      <c r="B1047">
        <v>129761636</v>
      </c>
      <c r="C1047">
        <v>129764427</v>
      </c>
      <c r="D1047">
        <v>37394085</v>
      </c>
      <c r="E1047">
        <v>1</v>
      </c>
      <c r="F1047">
        <v>1</v>
      </c>
      <c r="G1047">
        <v>37345137</v>
      </c>
      <c r="H1047">
        <v>3</v>
      </c>
      <c r="I1047" t="s">
        <v>1386</v>
      </c>
      <c r="J1047" t="s">
        <v>1387</v>
      </c>
      <c r="K1047" t="s">
        <v>1388</v>
      </c>
      <c r="L1047">
        <v>1346</v>
      </c>
      <c r="N1047">
        <v>1009</v>
      </c>
      <c r="O1047" t="s">
        <v>369</v>
      </c>
      <c r="P1047" t="s">
        <v>369</v>
      </c>
      <c r="Q1047">
        <v>1</v>
      </c>
      <c r="W1047">
        <v>0</v>
      </c>
      <c r="X1047">
        <v>-1082935818</v>
      </c>
      <c r="Y1047">
        <f t="shared" si="534"/>
        <v>0.02</v>
      </c>
      <c r="AA1047">
        <v>20.190000000000001</v>
      </c>
      <c r="AB1047">
        <v>0</v>
      </c>
      <c r="AC1047">
        <v>0</v>
      </c>
      <c r="AD1047">
        <v>0</v>
      </c>
      <c r="AE1047">
        <v>20.190000000000001</v>
      </c>
      <c r="AF1047">
        <v>0</v>
      </c>
      <c r="AG1047">
        <v>0</v>
      </c>
      <c r="AH1047">
        <v>0</v>
      </c>
      <c r="AI1047">
        <v>1</v>
      </c>
      <c r="AJ1047">
        <v>1</v>
      </c>
      <c r="AK1047">
        <v>1</v>
      </c>
      <c r="AL1047">
        <v>1</v>
      </c>
      <c r="AN1047">
        <v>0</v>
      </c>
      <c r="AO1047">
        <v>1</v>
      </c>
      <c r="AP1047">
        <v>0</v>
      </c>
      <c r="AQ1047">
        <v>0</v>
      </c>
      <c r="AR1047">
        <v>0</v>
      </c>
      <c r="AS1047" t="s">
        <v>3</v>
      </c>
      <c r="AT1047">
        <v>0.02</v>
      </c>
      <c r="AU1047" t="s">
        <v>3</v>
      </c>
      <c r="AV1047">
        <v>0</v>
      </c>
      <c r="AW1047">
        <v>2</v>
      </c>
      <c r="AX1047">
        <v>129764446</v>
      </c>
      <c r="AY1047">
        <v>1</v>
      </c>
      <c r="AZ1047">
        <v>0</v>
      </c>
      <c r="BA1047">
        <v>1005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0</v>
      </c>
      <c r="BJ1047">
        <v>0</v>
      </c>
      <c r="BK1047">
        <v>0</v>
      </c>
      <c r="BL1047">
        <v>0</v>
      </c>
      <c r="BM1047">
        <v>0</v>
      </c>
      <c r="BN1047">
        <v>0</v>
      </c>
      <c r="BO1047">
        <v>0</v>
      </c>
      <c r="BP1047">
        <v>0</v>
      </c>
      <c r="BQ1047">
        <v>0</v>
      </c>
      <c r="BR1047">
        <v>0</v>
      </c>
      <c r="BS1047">
        <v>0</v>
      </c>
      <c r="BT1047">
        <v>0</v>
      </c>
      <c r="BU1047">
        <v>0</v>
      </c>
      <c r="BV1047">
        <v>0</v>
      </c>
      <c r="BW1047">
        <v>0</v>
      </c>
      <c r="CX1047">
        <f>ROUND(Y1047*Source!I1210,9)</f>
        <v>0.02</v>
      </c>
      <c r="CY1047">
        <f t="shared" si="535"/>
        <v>20.190000000000001</v>
      </c>
      <c r="CZ1047">
        <f t="shared" si="536"/>
        <v>20.190000000000001</v>
      </c>
      <c r="DA1047">
        <f t="shared" si="537"/>
        <v>1</v>
      </c>
      <c r="DB1047">
        <f t="shared" si="538"/>
        <v>0.4</v>
      </c>
      <c r="DC1047">
        <f t="shared" si="539"/>
        <v>0</v>
      </c>
      <c r="DD1047" t="s">
        <v>3</v>
      </c>
      <c r="DE1047" t="s">
        <v>3</v>
      </c>
      <c r="DF1047">
        <f t="shared" si="533"/>
        <v>0.4</v>
      </c>
      <c r="DG1047">
        <f t="shared" si="506"/>
        <v>0</v>
      </c>
      <c r="DH1047">
        <f t="shared" si="507"/>
        <v>0</v>
      </c>
      <c r="DI1047">
        <f t="shared" si="523"/>
        <v>0</v>
      </c>
      <c r="DJ1047">
        <f t="shared" si="540"/>
        <v>0.4</v>
      </c>
      <c r="DK1047">
        <v>0</v>
      </c>
    </row>
    <row r="1048" spans="1:115" x14ac:dyDescent="0.2">
      <c r="A1048">
        <f>ROW(Source!A1210)</f>
        <v>1210</v>
      </c>
      <c r="B1048">
        <v>129761636</v>
      </c>
      <c r="C1048">
        <v>129764427</v>
      </c>
      <c r="D1048">
        <v>37402885</v>
      </c>
      <c r="E1048">
        <v>1</v>
      </c>
      <c r="F1048">
        <v>1</v>
      </c>
      <c r="G1048">
        <v>37345137</v>
      </c>
      <c r="H1048">
        <v>3</v>
      </c>
      <c r="I1048" t="s">
        <v>993</v>
      </c>
      <c r="J1048" t="s">
        <v>995</v>
      </c>
      <c r="K1048" t="s">
        <v>994</v>
      </c>
      <c r="L1048">
        <v>1391</v>
      </c>
      <c r="N1048">
        <v>1013</v>
      </c>
      <c r="O1048" t="s">
        <v>238</v>
      </c>
      <c r="P1048" t="s">
        <v>238</v>
      </c>
      <c r="Q1048">
        <v>1</v>
      </c>
      <c r="W1048">
        <v>0</v>
      </c>
      <c r="X1048">
        <v>-603467724</v>
      </c>
      <c r="Y1048">
        <f t="shared" si="534"/>
        <v>1</v>
      </c>
      <c r="AA1048">
        <v>674</v>
      </c>
      <c r="AB1048">
        <v>0</v>
      </c>
      <c r="AC1048">
        <v>0</v>
      </c>
      <c r="AD1048">
        <v>0</v>
      </c>
      <c r="AE1048">
        <v>674</v>
      </c>
      <c r="AF1048">
        <v>0</v>
      </c>
      <c r="AG1048">
        <v>0</v>
      </c>
      <c r="AH1048">
        <v>0</v>
      </c>
      <c r="AI1048">
        <v>1</v>
      </c>
      <c r="AJ1048">
        <v>1</v>
      </c>
      <c r="AK1048">
        <v>1</v>
      </c>
      <c r="AL1048">
        <v>1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 t="s">
        <v>3</v>
      </c>
      <c r="AT1048">
        <v>1</v>
      </c>
      <c r="AU1048" t="s">
        <v>3</v>
      </c>
      <c r="AV1048">
        <v>0</v>
      </c>
      <c r="AW1048">
        <v>1</v>
      </c>
      <c r="AX1048">
        <v>-1</v>
      </c>
      <c r="AY1048">
        <v>0</v>
      </c>
      <c r="AZ1048">
        <v>0</v>
      </c>
      <c r="BA1048" t="s">
        <v>3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0</v>
      </c>
      <c r="BK1048">
        <v>0</v>
      </c>
      <c r="BL1048">
        <v>0</v>
      </c>
      <c r="BM1048">
        <v>0</v>
      </c>
      <c r="BN1048">
        <v>0</v>
      </c>
      <c r="BO1048">
        <v>0</v>
      </c>
      <c r="BP1048">
        <v>0</v>
      </c>
      <c r="BQ1048">
        <v>0</v>
      </c>
      <c r="BR1048">
        <v>0</v>
      </c>
      <c r="BS1048">
        <v>0</v>
      </c>
      <c r="BT1048">
        <v>0</v>
      </c>
      <c r="BU1048">
        <v>0</v>
      </c>
      <c r="BV1048">
        <v>0</v>
      </c>
      <c r="BW1048">
        <v>0</v>
      </c>
      <c r="CX1048">
        <f>ROUND(Y1048*Source!I1210,9)</f>
        <v>1</v>
      </c>
      <c r="CY1048">
        <f t="shared" si="535"/>
        <v>674</v>
      </c>
      <c r="CZ1048">
        <f t="shared" si="536"/>
        <v>674</v>
      </c>
      <c r="DA1048">
        <f t="shared" si="537"/>
        <v>1</v>
      </c>
      <c r="DB1048">
        <f t="shared" si="538"/>
        <v>674</v>
      </c>
      <c r="DC1048">
        <f t="shared" si="539"/>
        <v>0</v>
      </c>
      <c r="DD1048" t="s">
        <v>3</v>
      </c>
      <c r="DE1048" t="s">
        <v>3</v>
      </c>
      <c r="DF1048">
        <f t="shared" si="533"/>
        <v>674</v>
      </c>
      <c r="DG1048">
        <f t="shared" si="506"/>
        <v>0</v>
      </c>
      <c r="DH1048">
        <f t="shared" si="507"/>
        <v>0</v>
      </c>
      <c r="DI1048">
        <f t="shared" si="523"/>
        <v>0</v>
      </c>
      <c r="DJ1048">
        <f t="shared" si="540"/>
        <v>674</v>
      </c>
      <c r="DK1048">
        <v>0</v>
      </c>
    </row>
    <row r="1049" spans="1:115" x14ac:dyDescent="0.2">
      <c r="A1049">
        <f>ROW(Source!A1210)</f>
        <v>1210</v>
      </c>
      <c r="B1049">
        <v>129761636</v>
      </c>
      <c r="C1049">
        <v>129764427</v>
      </c>
      <c r="D1049">
        <v>0</v>
      </c>
      <c r="E1049">
        <v>0</v>
      </c>
      <c r="F1049">
        <v>1</v>
      </c>
      <c r="G1049">
        <v>37345137</v>
      </c>
      <c r="H1049">
        <v>3</v>
      </c>
      <c r="I1049" t="s">
        <v>248</v>
      </c>
      <c r="J1049" t="s">
        <v>3</v>
      </c>
      <c r="K1049" t="s">
        <v>991</v>
      </c>
      <c r="L1049">
        <v>1035</v>
      </c>
      <c r="N1049">
        <v>1013</v>
      </c>
      <c r="O1049" t="s">
        <v>970</v>
      </c>
      <c r="P1049" t="s">
        <v>970</v>
      </c>
      <c r="Q1049">
        <v>1</v>
      </c>
      <c r="W1049">
        <v>0</v>
      </c>
      <c r="X1049">
        <v>1659530557</v>
      </c>
      <c r="Y1049">
        <f t="shared" si="534"/>
        <v>0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1</v>
      </c>
      <c r="AJ1049">
        <v>1</v>
      </c>
      <c r="AK1049">
        <v>1</v>
      </c>
      <c r="AL1049">
        <v>1</v>
      </c>
      <c r="AN1049">
        <v>0</v>
      </c>
      <c r="AO1049">
        <v>0</v>
      </c>
      <c r="AP1049">
        <v>1</v>
      </c>
      <c r="AQ1049">
        <v>0</v>
      </c>
      <c r="AR1049">
        <v>0</v>
      </c>
      <c r="AS1049" t="s">
        <v>3</v>
      </c>
      <c r="AT1049">
        <v>0</v>
      </c>
      <c r="AU1049" t="s">
        <v>3</v>
      </c>
      <c r="AV1049">
        <v>0</v>
      </c>
      <c r="AW1049">
        <v>1</v>
      </c>
      <c r="AX1049">
        <v>-1</v>
      </c>
      <c r="AY1049">
        <v>0</v>
      </c>
      <c r="AZ1049">
        <v>0</v>
      </c>
      <c r="BA1049" t="s">
        <v>3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0</v>
      </c>
      <c r="BJ1049">
        <v>0</v>
      </c>
      <c r="BK1049">
        <v>0</v>
      </c>
      <c r="BL1049">
        <v>0</v>
      </c>
      <c r="BM1049">
        <v>0</v>
      </c>
      <c r="BN1049">
        <v>0</v>
      </c>
      <c r="BO1049">
        <v>0</v>
      </c>
      <c r="BP1049">
        <v>0</v>
      </c>
      <c r="BQ1049">
        <v>0</v>
      </c>
      <c r="BR1049">
        <v>0</v>
      </c>
      <c r="BS1049">
        <v>0</v>
      </c>
      <c r="BT1049">
        <v>0</v>
      </c>
      <c r="BU1049">
        <v>0</v>
      </c>
      <c r="BV1049">
        <v>0</v>
      </c>
      <c r="BW1049">
        <v>0</v>
      </c>
      <c r="CX1049">
        <f>ROUND(Y1049*Source!I1210,9)</f>
        <v>0</v>
      </c>
      <c r="CY1049">
        <f t="shared" si="535"/>
        <v>0</v>
      </c>
      <c r="CZ1049">
        <f t="shared" si="536"/>
        <v>0</v>
      </c>
      <c r="DA1049">
        <f t="shared" si="537"/>
        <v>1</v>
      </c>
      <c r="DB1049">
        <f t="shared" si="538"/>
        <v>0</v>
      </c>
      <c r="DC1049">
        <f t="shared" si="539"/>
        <v>0</v>
      </c>
      <c r="DD1049" t="s">
        <v>3</v>
      </c>
      <c r="DE1049" t="s">
        <v>3</v>
      </c>
      <c r="DF1049">
        <f t="shared" si="533"/>
        <v>0</v>
      </c>
      <c r="DG1049">
        <f t="shared" si="506"/>
        <v>0</v>
      </c>
      <c r="DH1049">
        <f t="shared" si="507"/>
        <v>0</v>
      </c>
      <c r="DI1049">
        <f t="shared" si="523"/>
        <v>0</v>
      </c>
      <c r="DJ1049">
        <f t="shared" si="540"/>
        <v>0</v>
      </c>
      <c r="DK1049">
        <v>0</v>
      </c>
    </row>
    <row r="1050" spans="1:115" x14ac:dyDescent="0.2">
      <c r="A1050">
        <f>ROW(Source!A1211)</f>
        <v>1211</v>
      </c>
      <c r="B1050">
        <v>129761633</v>
      </c>
      <c r="C1050">
        <v>129764427</v>
      </c>
      <c r="D1050">
        <v>37345142</v>
      </c>
      <c r="E1050">
        <v>37345137</v>
      </c>
      <c r="F1050">
        <v>1</v>
      </c>
      <c r="G1050">
        <v>37345137</v>
      </c>
      <c r="H1050">
        <v>1</v>
      </c>
      <c r="I1050" t="s">
        <v>1096</v>
      </c>
      <c r="J1050" t="s">
        <v>3</v>
      </c>
      <c r="K1050" t="s">
        <v>1097</v>
      </c>
      <c r="L1050">
        <v>1191</v>
      </c>
      <c r="N1050">
        <v>1013</v>
      </c>
      <c r="O1050" t="s">
        <v>1098</v>
      </c>
      <c r="P1050" t="s">
        <v>1098</v>
      </c>
      <c r="Q1050">
        <v>1</v>
      </c>
      <c r="W1050">
        <v>0</v>
      </c>
      <c r="X1050">
        <v>476480486</v>
      </c>
      <c r="Y1050">
        <f>(AT1050*1.15)</f>
        <v>1.1384999999999998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1</v>
      </c>
      <c r="AJ1050">
        <v>1</v>
      </c>
      <c r="AK1050">
        <v>1</v>
      </c>
      <c r="AL1050">
        <v>1</v>
      </c>
      <c r="AN1050">
        <v>0</v>
      </c>
      <c r="AO1050">
        <v>1</v>
      </c>
      <c r="AP1050">
        <v>1</v>
      </c>
      <c r="AQ1050">
        <v>0</v>
      </c>
      <c r="AR1050">
        <v>0</v>
      </c>
      <c r="AS1050" t="s">
        <v>3</v>
      </c>
      <c r="AT1050">
        <v>0.99</v>
      </c>
      <c r="AU1050" t="s">
        <v>87</v>
      </c>
      <c r="AV1050">
        <v>1</v>
      </c>
      <c r="AW1050">
        <v>2</v>
      </c>
      <c r="AX1050">
        <v>129764438</v>
      </c>
      <c r="AY1050">
        <v>1</v>
      </c>
      <c r="AZ1050">
        <v>0</v>
      </c>
      <c r="BA1050">
        <v>1007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0</v>
      </c>
      <c r="BK1050">
        <v>0</v>
      </c>
      <c r="BL1050">
        <v>0</v>
      </c>
      <c r="BM1050">
        <v>0</v>
      </c>
      <c r="BN1050">
        <v>0</v>
      </c>
      <c r="BO1050">
        <v>0</v>
      </c>
      <c r="BP1050">
        <v>0</v>
      </c>
      <c r="BQ1050">
        <v>0</v>
      </c>
      <c r="BR1050">
        <v>0</v>
      </c>
      <c r="BS1050">
        <v>0</v>
      </c>
      <c r="BT1050">
        <v>0</v>
      </c>
      <c r="BU1050">
        <v>0</v>
      </c>
      <c r="BV1050">
        <v>0</v>
      </c>
      <c r="BW1050">
        <v>0</v>
      </c>
      <c r="CX1050">
        <f>ROUND(Y1050*Source!I1211,9)</f>
        <v>1.1385000000000001</v>
      </c>
      <c r="CY1050">
        <f>AD1050</f>
        <v>0</v>
      </c>
      <c r="CZ1050">
        <f>AH1050</f>
        <v>0</v>
      </c>
      <c r="DA1050">
        <f>AL1050</f>
        <v>1</v>
      </c>
      <c r="DB1050">
        <f>ROUND((ROUND(AT1050*CZ1050,2)*1.15),6)</f>
        <v>0</v>
      </c>
      <c r="DC1050">
        <f>ROUND((ROUND(AT1050*AG1050,2)*1.15),6)</f>
        <v>0</v>
      </c>
      <c r="DD1050" t="s">
        <v>3</v>
      </c>
      <c r="DE1050" t="s">
        <v>3</v>
      </c>
      <c r="DF1050">
        <f t="shared" si="533"/>
        <v>0</v>
      </c>
      <c r="DG1050">
        <f t="shared" si="506"/>
        <v>0</v>
      </c>
      <c r="DH1050">
        <f t="shared" si="507"/>
        <v>0</v>
      </c>
      <c r="DI1050">
        <f t="shared" si="523"/>
        <v>0</v>
      </c>
      <c r="DJ1050">
        <f>DI1050</f>
        <v>0</v>
      </c>
      <c r="DK1050">
        <v>0</v>
      </c>
    </row>
    <row r="1051" spans="1:115" x14ac:dyDescent="0.2">
      <c r="A1051">
        <f>ROW(Source!A1211)</f>
        <v>1211</v>
      </c>
      <c r="B1051">
        <v>129761633</v>
      </c>
      <c r="C1051">
        <v>129764427</v>
      </c>
      <c r="D1051">
        <v>37418445</v>
      </c>
      <c r="E1051">
        <v>1</v>
      </c>
      <c r="F1051">
        <v>1</v>
      </c>
      <c r="G1051">
        <v>37345137</v>
      </c>
      <c r="H1051">
        <v>2</v>
      </c>
      <c r="I1051" t="s">
        <v>1189</v>
      </c>
      <c r="J1051" t="s">
        <v>1190</v>
      </c>
      <c r="K1051" t="s">
        <v>1191</v>
      </c>
      <c r="L1051">
        <v>1367</v>
      </c>
      <c r="N1051">
        <v>1011</v>
      </c>
      <c r="O1051" t="s">
        <v>1102</v>
      </c>
      <c r="P1051" t="s">
        <v>1102</v>
      </c>
      <c r="Q1051">
        <v>1</v>
      </c>
      <c r="W1051">
        <v>0</v>
      </c>
      <c r="X1051">
        <v>-628430174</v>
      </c>
      <c r="Y1051">
        <f>(AT1051*1.25)</f>
        <v>7.4999999999999997E-2</v>
      </c>
      <c r="AA1051">
        <v>0</v>
      </c>
      <c r="AB1051">
        <v>935.94</v>
      </c>
      <c r="AC1051">
        <v>444.8</v>
      </c>
      <c r="AD1051">
        <v>0</v>
      </c>
      <c r="AE1051">
        <v>0</v>
      </c>
      <c r="AF1051">
        <v>76.81</v>
      </c>
      <c r="AG1051">
        <v>14.36</v>
      </c>
      <c r="AH1051">
        <v>0</v>
      </c>
      <c r="AI1051">
        <v>1</v>
      </c>
      <c r="AJ1051">
        <v>11.42</v>
      </c>
      <c r="AK1051">
        <v>29.03</v>
      </c>
      <c r="AL1051">
        <v>1</v>
      </c>
      <c r="AN1051">
        <v>0</v>
      </c>
      <c r="AO1051">
        <v>1</v>
      </c>
      <c r="AP1051">
        <v>1</v>
      </c>
      <c r="AQ1051">
        <v>0</v>
      </c>
      <c r="AR1051">
        <v>0</v>
      </c>
      <c r="AS1051" t="s">
        <v>3</v>
      </c>
      <c r="AT1051">
        <v>0.06</v>
      </c>
      <c r="AU1051" t="s">
        <v>86</v>
      </c>
      <c r="AV1051">
        <v>0</v>
      </c>
      <c r="AW1051">
        <v>2</v>
      </c>
      <c r="AX1051">
        <v>129764439</v>
      </c>
      <c r="AY1051">
        <v>1</v>
      </c>
      <c r="AZ1051">
        <v>0</v>
      </c>
      <c r="BA1051">
        <v>1008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0</v>
      </c>
      <c r="BJ1051">
        <v>0</v>
      </c>
      <c r="BK1051">
        <v>0</v>
      </c>
      <c r="BL1051">
        <v>0</v>
      </c>
      <c r="BM1051">
        <v>0</v>
      </c>
      <c r="BN1051">
        <v>0</v>
      </c>
      <c r="BO1051">
        <v>0</v>
      </c>
      <c r="BP1051">
        <v>0</v>
      </c>
      <c r="BQ1051">
        <v>0</v>
      </c>
      <c r="BR1051">
        <v>0</v>
      </c>
      <c r="BS1051">
        <v>0</v>
      </c>
      <c r="BT1051">
        <v>0</v>
      </c>
      <c r="BU1051">
        <v>0</v>
      </c>
      <c r="BV1051">
        <v>0</v>
      </c>
      <c r="BW1051">
        <v>0</v>
      </c>
      <c r="CX1051">
        <f>ROUND(Y1051*Source!I1211,9)</f>
        <v>7.4999999999999997E-2</v>
      </c>
      <c r="CY1051">
        <f>AB1051</f>
        <v>935.94</v>
      </c>
      <c r="CZ1051">
        <f>AF1051</f>
        <v>76.81</v>
      </c>
      <c r="DA1051">
        <f>AJ1051</f>
        <v>11.42</v>
      </c>
      <c r="DB1051">
        <f>ROUND((ROUND(AT1051*CZ1051,2)*1.25),6)</f>
        <v>5.7625000000000002</v>
      </c>
      <c r="DC1051">
        <f>ROUND((ROUND(AT1051*AG1051,2)*1.25),6)</f>
        <v>1.075</v>
      </c>
      <c r="DD1051" t="s">
        <v>3</v>
      </c>
      <c r="DE1051" t="s">
        <v>3</v>
      </c>
      <c r="DF1051">
        <f t="shared" si="533"/>
        <v>0</v>
      </c>
      <c r="DG1051">
        <f>ROUND(ROUND(AF1051*CX1051,2)*AJ1051,2)</f>
        <v>65.78</v>
      </c>
      <c r="DH1051">
        <f>ROUND(ROUND(AG1051*CX1051,2)*AK1051,2)</f>
        <v>31.35</v>
      </c>
      <c r="DI1051">
        <f t="shared" si="523"/>
        <v>0</v>
      </c>
      <c r="DJ1051">
        <f>DG1051</f>
        <v>65.78</v>
      </c>
      <c r="DK1051">
        <v>0</v>
      </c>
    </row>
    <row r="1052" spans="1:115" x14ac:dyDescent="0.2">
      <c r="A1052">
        <f>ROW(Source!A1211)</f>
        <v>1211</v>
      </c>
      <c r="B1052">
        <v>129761633</v>
      </c>
      <c r="C1052">
        <v>129764427</v>
      </c>
      <c r="D1052">
        <v>37394641</v>
      </c>
      <c r="E1052">
        <v>1</v>
      </c>
      <c r="F1052">
        <v>1</v>
      </c>
      <c r="G1052">
        <v>37345137</v>
      </c>
      <c r="H1052">
        <v>3</v>
      </c>
      <c r="I1052" t="s">
        <v>1407</v>
      </c>
      <c r="J1052" t="s">
        <v>1408</v>
      </c>
      <c r="K1052" t="s">
        <v>1409</v>
      </c>
      <c r="L1052">
        <v>1348</v>
      </c>
      <c r="N1052">
        <v>1009</v>
      </c>
      <c r="O1052" t="s">
        <v>114</v>
      </c>
      <c r="P1052" t="s">
        <v>114</v>
      </c>
      <c r="Q1052">
        <v>1000</v>
      </c>
      <c r="W1052">
        <v>0</v>
      </c>
      <c r="X1052">
        <v>2051816571</v>
      </c>
      <c r="Y1052">
        <f t="shared" ref="Y1052:Y1060" si="541">AT1052</f>
        <v>2.0000000000000001E-4</v>
      </c>
      <c r="AA1052">
        <v>33096.019999999997</v>
      </c>
      <c r="AB1052">
        <v>0</v>
      </c>
      <c r="AC1052">
        <v>0</v>
      </c>
      <c r="AD1052">
        <v>0</v>
      </c>
      <c r="AE1052">
        <v>483.86</v>
      </c>
      <c r="AF1052">
        <v>0</v>
      </c>
      <c r="AG1052">
        <v>0</v>
      </c>
      <c r="AH1052">
        <v>0</v>
      </c>
      <c r="AI1052">
        <v>68.400000000000006</v>
      </c>
      <c r="AJ1052">
        <v>1</v>
      </c>
      <c r="AK1052">
        <v>1</v>
      </c>
      <c r="AL1052">
        <v>1</v>
      </c>
      <c r="AN1052">
        <v>0</v>
      </c>
      <c r="AO1052">
        <v>1</v>
      </c>
      <c r="AP1052">
        <v>0</v>
      </c>
      <c r="AQ1052">
        <v>0</v>
      </c>
      <c r="AR1052">
        <v>0</v>
      </c>
      <c r="AS1052" t="s">
        <v>3</v>
      </c>
      <c r="AT1052">
        <v>2.0000000000000001E-4</v>
      </c>
      <c r="AU1052" t="s">
        <v>3</v>
      </c>
      <c r="AV1052">
        <v>0</v>
      </c>
      <c r="AW1052">
        <v>2</v>
      </c>
      <c r="AX1052">
        <v>129764440</v>
      </c>
      <c r="AY1052">
        <v>1</v>
      </c>
      <c r="AZ1052">
        <v>0</v>
      </c>
      <c r="BA1052">
        <v>1009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0</v>
      </c>
      <c r="BK1052">
        <v>0</v>
      </c>
      <c r="BL1052">
        <v>0</v>
      </c>
      <c r="BM1052">
        <v>0</v>
      </c>
      <c r="BN1052">
        <v>0</v>
      </c>
      <c r="BO1052">
        <v>0</v>
      </c>
      <c r="BP1052">
        <v>0</v>
      </c>
      <c r="BQ1052">
        <v>0</v>
      </c>
      <c r="BR1052">
        <v>0</v>
      </c>
      <c r="BS1052">
        <v>0</v>
      </c>
      <c r="BT1052">
        <v>0</v>
      </c>
      <c r="BU1052">
        <v>0</v>
      </c>
      <c r="BV1052">
        <v>0</v>
      </c>
      <c r="BW1052">
        <v>0</v>
      </c>
      <c r="CX1052">
        <f>ROUND(Y1052*Source!I1211,9)</f>
        <v>2.0000000000000001E-4</v>
      </c>
      <c r="CY1052">
        <f t="shared" ref="CY1052:CY1060" si="542">AA1052</f>
        <v>33096.019999999997</v>
      </c>
      <c r="CZ1052">
        <f t="shared" ref="CZ1052:CZ1060" si="543">AE1052</f>
        <v>483.86</v>
      </c>
      <c r="DA1052">
        <f t="shared" ref="DA1052:DA1060" si="544">AI1052</f>
        <v>68.400000000000006</v>
      </c>
      <c r="DB1052">
        <f t="shared" ref="DB1052:DB1060" si="545">ROUND(ROUND(AT1052*CZ1052,2),6)</f>
        <v>0.1</v>
      </c>
      <c r="DC1052">
        <f t="shared" ref="DC1052:DC1060" si="546">ROUND(ROUND(AT1052*AG1052,2),6)</f>
        <v>0</v>
      </c>
      <c r="DD1052" t="s">
        <v>3</v>
      </c>
      <c r="DE1052" t="s">
        <v>3</v>
      </c>
      <c r="DF1052">
        <f t="shared" ref="DF1052:DF1060" si="547">ROUND(ROUND(AE1052*CX1052,2)*AI1052,2)</f>
        <v>6.84</v>
      </c>
      <c r="DG1052">
        <f t="shared" ref="DG1052:DG1071" si="548">ROUND(AF1052*CX1052,2)</f>
        <v>0</v>
      </c>
      <c r="DH1052">
        <f t="shared" ref="DH1052:DH1071" si="549">ROUND(AG1052*CX1052,2)</f>
        <v>0</v>
      </c>
      <c r="DI1052">
        <f t="shared" si="523"/>
        <v>0</v>
      </c>
      <c r="DJ1052">
        <f t="shared" ref="DJ1052:DJ1060" si="550">DF1052</f>
        <v>6.84</v>
      </c>
      <c r="DK1052">
        <v>0</v>
      </c>
    </row>
    <row r="1053" spans="1:115" x14ac:dyDescent="0.2">
      <c r="A1053">
        <f>ROW(Source!A1211)</f>
        <v>1211</v>
      </c>
      <c r="B1053">
        <v>129761633</v>
      </c>
      <c r="C1053">
        <v>129764427</v>
      </c>
      <c r="D1053">
        <v>37394962</v>
      </c>
      <c r="E1053">
        <v>1</v>
      </c>
      <c r="F1053">
        <v>1</v>
      </c>
      <c r="G1053">
        <v>37345137</v>
      </c>
      <c r="H1053">
        <v>3</v>
      </c>
      <c r="I1053" t="s">
        <v>1228</v>
      </c>
      <c r="J1053" t="s">
        <v>1229</v>
      </c>
      <c r="K1053" t="s">
        <v>1230</v>
      </c>
      <c r="L1053">
        <v>1348</v>
      </c>
      <c r="N1053">
        <v>1009</v>
      </c>
      <c r="O1053" t="s">
        <v>114</v>
      </c>
      <c r="P1053" t="s">
        <v>114</v>
      </c>
      <c r="Q1053">
        <v>1000</v>
      </c>
      <c r="W1053">
        <v>0</v>
      </c>
      <c r="X1053">
        <v>-1951435217</v>
      </c>
      <c r="Y1053">
        <f t="shared" si="541"/>
        <v>3.0000000000000001E-5</v>
      </c>
      <c r="AA1053">
        <v>147006.14000000001</v>
      </c>
      <c r="AB1053">
        <v>0</v>
      </c>
      <c r="AC1053">
        <v>0</v>
      </c>
      <c r="AD1053">
        <v>0</v>
      </c>
      <c r="AE1053">
        <v>8596.85</v>
      </c>
      <c r="AF1053">
        <v>0</v>
      </c>
      <c r="AG1053">
        <v>0</v>
      </c>
      <c r="AH1053">
        <v>0</v>
      </c>
      <c r="AI1053">
        <v>17.100000000000001</v>
      </c>
      <c r="AJ1053">
        <v>1</v>
      </c>
      <c r="AK1053">
        <v>1</v>
      </c>
      <c r="AL1053">
        <v>1</v>
      </c>
      <c r="AN1053">
        <v>0</v>
      </c>
      <c r="AO1053">
        <v>1</v>
      </c>
      <c r="AP1053">
        <v>0</v>
      </c>
      <c r="AQ1053">
        <v>0</v>
      </c>
      <c r="AR1053">
        <v>0</v>
      </c>
      <c r="AS1053" t="s">
        <v>3</v>
      </c>
      <c r="AT1053">
        <v>3.0000000000000001E-5</v>
      </c>
      <c r="AU1053" t="s">
        <v>3</v>
      </c>
      <c r="AV1053">
        <v>0</v>
      </c>
      <c r="AW1053">
        <v>2</v>
      </c>
      <c r="AX1053">
        <v>129764441</v>
      </c>
      <c r="AY1053">
        <v>1</v>
      </c>
      <c r="AZ1053">
        <v>0</v>
      </c>
      <c r="BA1053">
        <v>1010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0</v>
      </c>
      <c r="BK1053">
        <v>0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0</v>
      </c>
      <c r="BR1053">
        <v>0</v>
      </c>
      <c r="BS1053">
        <v>0</v>
      </c>
      <c r="BT1053">
        <v>0</v>
      </c>
      <c r="BU1053">
        <v>0</v>
      </c>
      <c r="BV1053">
        <v>0</v>
      </c>
      <c r="BW1053">
        <v>0</v>
      </c>
      <c r="CX1053">
        <f>ROUND(Y1053*Source!I1211,9)</f>
        <v>3.0000000000000001E-5</v>
      </c>
      <c r="CY1053">
        <f t="shared" si="542"/>
        <v>147006.14000000001</v>
      </c>
      <c r="CZ1053">
        <f t="shared" si="543"/>
        <v>8596.85</v>
      </c>
      <c r="DA1053">
        <f t="shared" si="544"/>
        <v>17.100000000000001</v>
      </c>
      <c r="DB1053">
        <f t="shared" si="545"/>
        <v>0.26</v>
      </c>
      <c r="DC1053">
        <f t="shared" si="546"/>
        <v>0</v>
      </c>
      <c r="DD1053" t="s">
        <v>3</v>
      </c>
      <c r="DE1053" t="s">
        <v>3</v>
      </c>
      <c r="DF1053">
        <f t="shared" si="547"/>
        <v>4.45</v>
      </c>
      <c r="DG1053">
        <f t="shared" si="548"/>
        <v>0</v>
      </c>
      <c r="DH1053">
        <f t="shared" si="549"/>
        <v>0</v>
      </c>
      <c r="DI1053">
        <f t="shared" si="523"/>
        <v>0</v>
      </c>
      <c r="DJ1053">
        <f t="shared" si="550"/>
        <v>4.45</v>
      </c>
      <c r="DK1053">
        <v>0</v>
      </c>
    </row>
    <row r="1054" spans="1:115" x14ac:dyDescent="0.2">
      <c r="A1054">
        <f>ROW(Source!A1211)</f>
        <v>1211</v>
      </c>
      <c r="B1054">
        <v>129761633</v>
      </c>
      <c r="C1054">
        <v>129764427</v>
      </c>
      <c r="D1054">
        <v>37395666</v>
      </c>
      <c r="E1054">
        <v>1</v>
      </c>
      <c r="F1054">
        <v>1</v>
      </c>
      <c r="G1054">
        <v>37345137</v>
      </c>
      <c r="H1054">
        <v>3</v>
      </c>
      <c r="I1054" t="s">
        <v>1377</v>
      </c>
      <c r="J1054" t="s">
        <v>1378</v>
      </c>
      <c r="K1054" t="s">
        <v>1379</v>
      </c>
      <c r="L1054">
        <v>1346</v>
      </c>
      <c r="N1054">
        <v>1009</v>
      </c>
      <c r="O1054" t="s">
        <v>369</v>
      </c>
      <c r="P1054" t="s">
        <v>369</v>
      </c>
      <c r="Q1054">
        <v>1</v>
      </c>
      <c r="W1054">
        <v>0</v>
      </c>
      <c r="X1054">
        <v>1037702096</v>
      </c>
      <c r="Y1054">
        <f t="shared" si="541"/>
        <v>0.06</v>
      </c>
      <c r="AA1054">
        <v>214.7</v>
      </c>
      <c r="AB1054">
        <v>0</v>
      </c>
      <c r="AC1054">
        <v>0</v>
      </c>
      <c r="AD1054">
        <v>0</v>
      </c>
      <c r="AE1054">
        <v>38</v>
      </c>
      <c r="AF1054">
        <v>0</v>
      </c>
      <c r="AG1054">
        <v>0</v>
      </c>
      <c r="AH1054">
        <v>0</v>
      </c>
      <c r="AI1054">
        <v>5.65</v>
      </c>
      <c r="AJ1054">
        <v>1</v>
      </c>
      <c r="AK1054">
        <v>1</v>
      </c>
      <c r="AL1054">
        <v>1</v>
      </c>
      <c r="AN1054">
        <v>0</v>
      </c>
      <c r="AO1054">
        <v>1</v>
      </c>
      <c r="AP1054">
        <v>0</v>
      </c>
      <c r="AQ1054">
        <v>0</v>
      </c>
      <c r="AR1054">
        <v>0</v>
      </c>
      <c r="AS1054" t="s">
        <v>3</v>
      </c>
      <c r="AT1054">
        <v>0.06</v>
      </c>
      <c r="AU1054" t="s">
        <v>3</v>
      </c>
      <c r="AV1054">
        <v>0</v>
      </c>
      <c r="AW1054">
        <v>2</v>
      </c>
      <c r="AX1054">
        <v>129764442</v>
      </c>
      <c r="AY1054">
        <v>1</v>
      </c>
      <c r="AZ1054">
        <v>0</v>
      </c>
      <c r="BA1054">
        <v>1011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0</v>
      </c>
      <c r="BK1054">
        <v>0</v>
      </c>
      <c r="BL1054">
        <v>0</v>
      </c>
      <c r="BM1054">
        <v>0</v>
      </c>
      <c r="BN1054">
        <v>0</v>
      </c>
      <c r="BO1054">
        <v>0</v>
      </c>
      <c r="BP1054">
        <v>0</v>
      </c>
      <c r="BQ1054">
        <v>0</v>
      </c>
      <c r="BR1054">
        <v>0</v>
      </c>
      <c r="BS1054">
        <v>0</v>
      </c>
      <c r="BT1054">
        <v>0</v>
      </c>
      <c r="BU1054">
        <v>0</v>
      </c>
      <c r="BV1054">
        <v>0</v>
      </c>
      <c r="BW1054">
        <v>0</v>
      </c>
      <c r="CX1054">
        <f>ROUND(Y1054*Source!I1211,9)</f>
        <v>0.06</v>
      </c>
      <c r="CY1054">
        <f t="shared" si="542"/>
        <v>214.7</v>
      </c>
      <c r="CZ1054">
        <f t="shared" si="543"/>
        <v>38</v>
      </c>
      <c r="DA1054">
        <f t="shared" si="544"/>
        <v>5.65</v>
      </c>
      <c r="DB1054">
        <f t="shared" si="545"/>
        <v>2.2799999999999998</v>
      </c>
      <c r="DC1054">
        <f t="shared" si="546"/>
        <v>0</v>
      </c>
      <c r="DD1054" t="s">
        <v>3</v>
      </c>
      <c r="DE1054" t="s">
        <v>3</v>
      </c>
      <c r="DF1054">
        <f t="shared" si="547"/>
        <v>12.88</v>
      </c>
      <c r="DG1054">
        <f t="shared" si="548"/>
        <v>0</v>
      </c>
      <c r="DH1054">
        <f t="shared" si="549"/>
        <v>0</v>
      </c>
      <c r="DI1054">
        <f t="shared" si="523"/>
        <v>0</v>
      </c>
      <c r="DJ1054">
        <f t="shared" si="550"/>
        <v>12.88</v>
      </c>
      <c r="DK1054">
        <v>0</v>
      </c>
    </row>
    <row r="1055" spans="1:115" x14ac:dyDescent="0.2">
      <c r="A1055">
        <f>ROW(Source!A1211)</f>
        <v>1211</v>
      </c>
      <c r="B1055">
        <v>129761633</v>
      </c>
      <c r="C1055">
        <v>129764427</v>
      </c>
      <c r="D1055">
        <v>37393722</v>
      </c>
      <c r="E1055">
        <v>1</v>
      </c>
      <c r="F1055">
        <v>1</v>
      </c>
      <c r="G1055">
        <v>37345137</v>
      </c>
      <c r="H1055">
        <v>3</v>
      </c>
      <c r="I1055" t="s">
        <v>1410</v>
      </c>
      <c r="J1055" t="s">
        <v>1411</v>
      </c>
      <c r="K1055" t="s">
        <v>1412</v>
      </c>
      <c r="L1055">
        <v>1348</v>
      </c>
      <c r="N1055">
        <v>1009</v>
      </c>
      <c r="O1055" t="s">
        <v>114</v>
      </c>
      <c r="P1055" t="s">
        <v>114</v>
      </c>
      <c r="Q1055">
        <v>1000</v>
      </c>
      <c r="W1055">
        <v>0</v>
      </c>
      <c r="X1055">
        <v>887832628</v>
      </c>
      <c r="Y1055">
        <f t="shared" si="541"/>
        <v>6.9999999999999994E-5</v>
      </c>
      <c r="AA1055">
        <v>180902.31</v>
      </c>
      <c r="AB1055">
        <v>0</v>
      </c>
      <c r="AC1055">
        <v>0</v>
      </c>
      <c r="AD1055">
        <v>0</v>
      </c>
      <c r="AE1055">
        <v>25769.56</v>
      </c>
      <c r="AF1055">
        <v>0</v>
      </c>
      <c r="AG1055">
        <v>0</v>
      </c>
      <c r="AH1055">
        <v>0</v>
      </c>
      <c r="AI1055">
        <v>7.02</v>
      </c>
      <c r="AJ1055">
        <v>1</v>
      </c>
      <c r="AK1055">
        <v>1</v>
      </c>
      <c r="AL1055">
        <v>1</v>
      </c>
      <c r="AN1055">
        <v>0</v>
      </c>
      <c r="AO1055">
        <v>1</v>
      </c>
      <c r="AP1055">
        <v>0</v>
      </c>
      <c r="AQ1055">
        <v>0</v>
      </c>
      <c r="AR1055">
        <v>0</v>
      </c>
      <c r="AS1055" t="s">
        <v>3</v>
      </c>
      <c r="AT1055">
        <v>6.9999999999999994E-5</v>
      </c>
      <c r="AU1055" t="s">
        <v>3</v>
      </c>
      <c r="AV1055">
        <v>0</v>
      </c>
      <c r="AW1055">
        <v>2</v>
      </c>
      <c r="AX1055">
        <v>129764443</v>
      </c>
      <c r="AY1055">
        <v>1</v>
      </c>
      <c r="AZ1055">
        <v>0</v>
      </c>
      <c r="BA1055">
        <v>1012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0</v>
      </c>
      <c r="BK1055">
        <v>0</v>
      </c>
      <c r="BL1055">
        <v>0</v>
      </c>
      <c r="BM1055">
        <v>0</v>
      </c>
      <c r="BN1055">
        <v>0</v>
      </c>
      <c r="BO1055">
        <v>0</v>
      </c>
      <c r="BP1055">
        <v>0</v>
      </c>
      <c r="BQ1055">
        <v>0</v>
      </c>
      <c r="BR1055">
        <v>0</v>
      </c>
      <c r="BS1055">
        <v>0</v>
      </c>
      <c r="BT1055">
        <v>0</v>
      </c>
      <c r="BU1055">
        <v>0</v>
      </c>
      <c r="BV1055">
        <v>0</v>
      </c>
      <c r="BW1055">
        <v>0</v>
      </c>
      <c r="CX1055">
        <f>ROUND(Y1055*Source!I1211,9)</f>
        <v>6.9999999999999994E-5</v>
      </c>
      <c r="CY1055">
        <f t="shared" si="542"/>
        <v>180902.31</v>
      </c>
      <c r="CZ1055">
        <f t="shared" si="543"/>
        <v>25769.56</v>
      </c>
      <c r="DA1055">
        <f t="shared" si="544"/>
        <v>7.02</v>
      </c>
      <c r="DB1055">
        <f t="shared" si="545"/>
        <v>1.8</v>
      </c>
      <c r="DC1055">
        <f t="shared" si="546"/>
        <v>0</v>
      </c>
      <c r="DD1055" t="s">
        <v>3</v>
      </c>
      <c r="DE1055" t="s">
        <v>3</v>
      </c>
      <c r="DF1055">
        <f t="shared" si="547"/>
        <v>12.64</v>
      </c>
      <c r="DG1055">
        <f t="shared" si="548"/>
        <v>0</v>
      </c>
      <c r="DH1055">
        <f t="shared" si="549"/>
        <v>0</v>
      </c>
      <c r="DI1055">
        <f t="shared" si="523"/>
        <v>0</v>
      </c>
      <c r="DJ1055">
        <f t="shared" si="550"/>
        <v>12.64</v>
      </c>
      <c r="DK1055">
        <v>0</v>
      </c>
    </row>
    <row r="1056" spans="1:115" x14ac:dyDescent="0.2">
      <c r="A1056">
        <f>ROW(Source!A1211)</f>
        <v>1211</v>
      </c>
      <c r="B1056">
        <v>129761633</v>
      </c>
      <c r="C1056">
        <v>129764427</v>
      </c>
      <c r="D1056">
        <v>37393883</v>
      </c>
      <c r="E1056">
        <v>1</v>
      </c>
      <c r="F1056">
        <v>1</v>
      </c>
      <c r="G1056">
        <v>37345137</v>
      </c>
      <c r="H1056">
        <v>3</v>
      </c>
      <c r="I1056" t="s">
        <v>1383</v>
      </c>
      <c r="J1056" t="s">
        <v>1384</v>
      </c>
      <c r="K1056" t="s">
        <v>1385</v>
      </c>
      <c r="L1056">
        <v>1348</v>
      </c>
      <c r="N1056">
        <v>1009</v>
      </c>
      <c r="O1056" t="s">
        <v>114</v>
      </c>
      <c r="P1056" t="s">
        <v>114</v>
      </c>
      <c r="Q1056">
        <v>1000</v>
      </c>
      <c r="W1056">
        <v>0</v>
      </c>
      <c r="X1056">
        <v>-434568416</v>
      </c>
      <c r="Y1056">
        <f t="shared" si="541"/>
        <v>1.9000000000000001E-4</v>
      </c>
      <c r="AA1056">
        <v>48667.17</v>
      </c>
      <c r="AB1056">
        <v>0</v>
      </c>
      <c r="AC1056">
        <v>0</v>
      </c>
      <c r="AD1056">
        <v>0</v>
      </c>
      <c r="AE1056">
        <v>16222.39</v>
      </c>
      <c r="AF1056">
        <v>0</v>
      </c>
      <c r="AG1056">
        <v>0</v>
      </c>
      <c r="AH1056">
        <v>0</v>
      </c>
      <c r="AI1056">
        <v>3</v>
      </c>
      <c r="AJ1056">
        <v>1</v>
      </c>
      <c r="AK1056">
        <v>1</v>
      </c>
      <c r="AL1056">
        <v>1</v>
      </c>
      <c r="AN1056">
        <v>0</v>
      </c>
      <c r="AO1056">
        <v>1</v>
      </c>
      <c r="AP1056">
        <v>0</v>
      </c>
      <c r="AQ1056">
        <v>0</v>
      </c>
      <c r="AR1056">
        <v>0</v>
      </c>
      <c r="AS1056" t="s">
        <v>3</v>
      </c>
      <c r="AT1056">
        <v>1.9000000000000001E-4</v>
      </c>
      <c r="AU1056" t="s">
        <v>3</v>
      </c>
      <c r="AV1056">
        <v>0</v>
      </c>
      <c r="AW1056">
        <v>2</v>
      </c>
      <c r="AX1056">
        <v>129764444</v>
      </c>
      <c r="AY1056">
        <v>1</v>
      </c>
      <c r="AZ1056">
        <v>0</v>
      </c>
      <c r="BA1056">
        <v>1013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0</v>
      </c>
      <c r="BJ1056">
        <v>0</v>
      </c>
      <c r="BK1056">
        <v>0</v>
      </c>
      <c r="BL1056">
        <v>0</v>
      </c>
      <c r="BM1056">
        <v>0</v>
      </c>
      <c r="BN1056">
        <v>0</v>
      </c>
      <c r="BO1056">
        <v>0</v>
      </c>
      <c r="BP1056">
        <v>0</v>
      </c>
      <c r="BQ1056">
        <v>0</v>
      </c>
      <c r="BR1056">
        <v>0</v>
      </c>
      <c r="BS1056">
        <v>0</v>
      </c>
      <c r="BT1056">
        <v>0</v>
      </c>
      <c r="BU1056">
        <v>0</v>
      </c>
      <c r="BV1056">
        <v>0</v>
      </c>
      <c r="BW1056">
        <v>0</v>
      </c>
      <c r="CX1056">
        <f>ROUND(Y1056*Source!I1211,9)</f>
        <v>1.9000000000000001E-4</v>
      </c>
      <c r="CY1056">
        <f t="shared" si="542"/>
        <v>48667.17</v>
      </c>
      <c r="CZ1056">
        <f t="shared" si="543"/>
        <v>16222.39</v>
      </c>
      <c r="DA1056">
        <f t="shared" si="544"/>
        <v>3</v>
      </c>
      <c r="DB1056">
        <f t="shared" si="545"/>
        <v>3.08</v>
      </c>
      <c r="DC1056">
        <f t="shared" si="546"/>
        <v>0</v>
      </c>
      <c r="DD1056" t="s">
        <v>3</v>
      </c>
      <c r="DE1056" t="s">
        <v>3</v>
      </c>
      <c r="DF1056">
        <f t="shared" si="547"/>
        <v>9.24</v>
      </c>
      <c r="DG1056">
        <f t="shared" si="548"/>
        <v>0</v>
      </c>
      <c r="DH1056">
        <f t="shared" si="549"/>
        <v>0</v>
      </c>
      <c r="DI1056">
        <f t="shared" si="523"/>
        <v>0</v>
      </c>
      <c r="DJ1056">
        <f t="shared" si="550"/>
        <v>9.24</v>
      </c>
      <c r="DK1056">
        <v>0</v>
      </c>
    </row>
    <row r="1057" spans="1:115" x14ac:dyDescent="0.2">
      <c r="A1057">
        <f>ROW(Source!A1211)</f>
        <v>1211</v>
      </c>
      <c r="B1057">
        <v>129761633</v>
      </c>
      <c r="C1057">
        <v>129764427</v>
      </c>
      <c r="D1057">
        <v>37393498</v>
      </c>
      <c r="E1057">
        <v>1</v>
      </c>
      <c r="F1057">
        <v>1</v>
      </c>
      <c r="G1057">
        <v>37345137</v>
      </c>
      <c r="H1057">
        <v>3</v>
      </c>
      <c r="I1057" t="s">
        <v>1231</v>
      </c>
      <c r="J1057" t="s">
        <v>1232</v>
      </c>
      <c r="K1057" t="s">
        <v>1233</v>
      </c>
      <c r="L1057">
        <v>1348</v>
      </c>
      <c r="N1057">
        <v>1009</v>
      </c>
      <c r="O1057" t="s">
        <v>114</v>
      </c>
      <c r="P1057" t="s">
        <v>114</v>
      </c>
      <c r="Q1057">
        <v>1000</v>
      </c>
      <c r="W1057">
        <v>0</v>
      </c>
      <c r="X1057">
        <v>-1798553121</v>
      </c>
      <c r="Y1057">
        <f t="shared" si="541"/>
        <v>1.0000000000000001E-5</v>
      </c>
      <c r="AA1057">
        <v>128713.75</v>
      </c>
      <c r="AB1057">
        <v>0</v>
      </c>
      <c r="AC1057">
        <v>0</v>
      </c>
      <c r="AD1057">
        <v>0</v>
      </c>
      <c r="AE1057">
        <v>17876.91</v>
      </c>
      <c r="AF1057">
        <v>0</v>
      </c>
      <c r="AG1057">
        <v>0</v>
      </c>
      <c r="AH1057">
        <v>0</v>
      </c>
      <c r="AI1057">
        <v>7.2</v>
      </c>
      <c r="AJ1057">
        <v>1</v>
      </c>
      <c r="AK1057">
        <v>1</v>
      </c>
      <c r="AL1057">
        <v>1</v>
      </c>
      <c r="AN1057">
        <v>0</v>
      </c>
      <c r="AO1057">
        <v>1</v>
      </c>
      <c r="AP1057">
        <v>0</v>
      </c>
      <c r="AQ1057">
        <v>0</v>
      </c>
      <c r="AR1057">
        <v>0</v>
      </c>
      <c r="AS1057" t="s">
        <v>3</v>
      </c>
      <c r="AT1057">
        <v>1.0000000000000001E-5</v>
      </c>
      <c r="AU1057" t="s">
        <v>3</v>
      </c>
      <c r="AV1057">
        <v>0</v>
      </c>
      <c r="AW1057">
        <v>2</v>
      </c>
      <c r="AX1057">
        <v>129764445</v>
      </c>
      <c r="AY1057">
        <v>1</v>
      </c>
      <c r="AZ1057">
        <v>0</v>
      </c>
      <c r="BA1057">
        <v>1014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0</v>
      </c>
      <c r="BJ1057">
        <v>0</v>
      </c>
      <c r="BK1057">
        <v>0</v>
      </c>
      <c r="BL1057">
        <v>0</v>
      </c>
      <c r="BM1057">
        <v>0</v>
      </c>
      <c r="BN1057">
        <v>0</v>
      </c>
      <c r="BO1057">
        <v>0</v>
      </c>
      <c r="BP1057">
        <v>0</v>
      </c>
      <c r="BQ1057">
        <v>0</v>
      </c>
      <c r="BR1057">
        <v>0</v>
      </c>
      <c r="BS1057">
        <v>0</v>
      </c>
      <c r="BT1057">
        <v>0</v>
      </c>
      <c r="BU1057">
        <v>0</v>
      </c>
      <c r="BV1057">
        <v>0</v>
      </c>
      <c r="BW1057">
        <v>0</v>
      </c>
      <c r="CX1057">
        <f>ROUND(Y1057*Source!I1211,9)</f>
        <v>1.0000000000000001E-5</v>
      </c>
      <c r="CY1057">
        <f t="shared" si="542"/>
        <v>128713.75</v>
      </c>
      <c r="CZ1057">
        <f t="shared" si="543"/>
        <v>17876.91</v>
      </c>
      <c r="DA1057">
        <f t="shared" si="544"/>
        <v>7.2</v>
      </c>
      <c r="DB1057">
        <f t="shared" si="545"/>
        <v>0.18</v>
      </c>
      <c r="DC1057">
        <f t="shared" si="546"/>
        <v>0</v>
      </c>
      <c r="DD1057" t="s">
        <v>3</v>
      </c>
      <c r="DE1057" t="s">
        <v>3</v>
      </c>
      <c r="DF1057">
        <f t="shared" si="547"/>
        <v>1.3</v>
      </c>
      <c r="DG1057">
        <f t="shared" si="548"/>
        <v>0</v>
      </c>
      <c r="DH1057">
        <f t="shared" si="549"/>
        <v>0</v>
      </c>
      <c r="DI1057">
        <f t="shared" si="523"/>
        <v>0</v>
      </c>
      <c r="DJ1057">
        <f t="shared" si="550"/>
        <v>1.3</v>
      </c>
      <c r="DK1057">
        <v>0</v>
      </c>
    </row>
    <row r="1058" spans="1:115" x14ac:dyDescent="0.2">
      <c r="A1058">
        <f>ROW(Source!A1211)</f>
        <v>1211</v>
      </c>
      <c r="B1058">
        <v>129761633</v>
      </c>
      <c r="C1058">
        <v>129764427</v>
      </c>
      <c r="D1058">
        <v>37394085</v>
      </c>
      <c r="E1058">
        <v>1</v>
      </c>
      <c r="F1058">
        <v>1</v>
      </c>
      <c r="G1058">
        <v>37345137</v>
      </c>
      <c r="H1058">
        <v>3</v>
      </c>
      <c r="I1058" t="s">
        <v>1386</v>
      </c>
      <c r="J1058" t="s">
        <v>1387</v>
      </c>
      <c r="K1058" t="s">
        <v>1388</v>
      </c>
      <c r="L1058">
        <v>1346</v>
      </c>
      <c r="N1058">
        <v>1009</v>
      </c>
      <c r="O1058" t="s">
        <v>369</v>
      </c>
      <c r="P1058" t="s">
        <v>369</v>
      </c>
      <c r="Q1058">
        <v>1</v>
      </c>
      <c r="W1058">
        <v>0</v>
      </c>
      <c r="X1058">
        <v>-1082935818</v>
      </c>
      <c r="Y1058">
        <f t="shared" si="541"/>
        <v>0.02</v>
      </c>
      <c r="AA1058">
        <v>73.69</v>
      </c>
      <c r="AB1058">
        <v>0</v>
      </c>
      <c r="AC1058">
        <v>0</v>
      </c>
      <c r="AD1058">
        <v>0</v>
      </c>
      <c r="AE1058">
        <v>20.190000000000001</v>
      </c>
      <c r="AF1058">
        <v>0</v>
      </c>
      <c r="AG1058">
        <v>0</v>
      </c>
      <c r="AH1058">
        <v>0</v>
      </c>
      <c r="AI1058">
        <v>3.65</v>
      </c>
      <c r="AJ1058">
        <v>1</v>
      </c>
      <c r="AK1058">
        <v>1</v>
      </c>
      <c r="AL1058">
        <v>1</v>
      </c>
      <c r="AN1058">
        <v>0</v>
      </c>
      <c r="AO1058">
        <v>1</v>
      </c>
      <c r="AP1058">
        <v>0</v>
      </c>
      <c r="AQ1058">
        <v>0</v>
      </c>
      <c r="AR1058">
        <v>0</v>
      </c>
      <c r="AS1058" t="s">
        <v>3</v>
      </c>
      <c r="AT1058">
        <v>0.02</v>
      </c>
      <c r="AU1058" t="s">
        <v>3</v>
      </c>
      <c r="AV1058">
        <v>0</v>
      </c>
      <c r="AW1058">
        <v>2</v>
      </c>
      <c r="AX1058">
        <v>129764446</v>
      </c>
      <c r="AY1058">
        <v>1</v>
      </c>
      <c r="AZ1058">
        <v>0</v>
      </c>
      <c r="BA1058">
        <v>1015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0</v>
      </c>
      <c r="BR1058">
        <v>0</v>
      </c>
      <c r="BS1058">
        <v>0</v>
      </c>
      <c r="BT1058">
        <v>0</v>
      </c>
      <c r="BU1058">
        <v>0</v>
      </c>
      <c r="BV1058">
        <v>0</v>
      </c>
      <c r="BW1058">
        <v>0</v>
      </c>
      <c r="CX1058">
        <f>ROUND(Y1058*Source!I1211,9)</f>
        <v>0.02</v>
      </c>
      <c r="CY1058">
        <f t="shared" si="542"/>
        <v>73.69</v>
      </c>
      <c r="CZ1058">
        <f t="shared" si="543"/>
        <v>20.190000000000001</v>
      </c>
      <c r="DA1058">
        <f t="shared" si="544"/>
        <v>3.65</v>
      </c>
      <c r="DB1058">
        <f t="shared" si="545"/>
        <v>0.4</v>
      </c>
      <c r="DC1058">
        <f t="shared" si="546"/>
        <v>0</v>
      </c>
      <c r="DD1058" t="s">
        <v>3</v>
      </c>
      <c r="DE1058" t="s">
        <v>3</v>
      </c>
      <c r="DF1058">
        <f t="shared" si="547"/>
        <v>1.46</v>
      </c>
      <c r="DG1058">
        <f t="shared" si="548"/>
        <v>0</v>
      </c>
      <c r="DH1058">
        <f t="shared" si="549"/>
        <v>0</v>
      </c>
      <c r="DI1058">
        <f t="shared" si="523"/>
        <v>0</v>
      </c>
      <c r="DJ1058">
        <f t="shared" si="550"/>
        <v>1.46</v>
      </c>
      <c r="DK1058">
        <v>0</v>
      </c>
    </row>
    <row r="1059" spans="1:115" x14ac:dyDescent="0.2">
      <c r="A1059">
        <f>ROW(Source!A1211)</f>
        <v>1211</v>
      </c>
      <c r="B1059">
        <v>129761633</v>
      </c>
      <c r="C1059">
        <v>129764427</v>
      </c>
      <c r="D1059">
        <v>37402885</v>
      </c>
      <c r="E1059">
        <v>1</v>
      </c>
      <c r="F1059">
        <v>1</v>
      </c>
      <c r="G1059">
        <v>37345137</v>
      </c>
      <c r="H1059">
        <v>3</v>
      </c>
      <c r="I1059" t="s">
        <v>993</v>
      </c>
      <c r="J1059" t="s">
        <v>995</v>
      </c>
      <c r="K1059" t="s">
        <v>994</v>
      </c>
      <c r="L1059">
        <v>1391</v>
      </c>
      <c r="N1059">
        <v>1013</v>
      </c>
      <c r="O1059" t="s">
        <v>238</v>
      </c>
      <c r="P1059" t="s">
        <v>238</v>
      </c>
      <c r="Q1059">
        <v>1</v>
      </c>
      <c r="W1059">
        <v>0</v>
      </c>
      <c r="X1059">
        <v>-603467724</v>
      </c>
      <c r="Y1059">
        <f t="shared" si="541"/>
        <v>1</v>
      </c>
      <c r="AA1059">
        <v>11801.74</v>
      </c>
      <c r="AB1059">
        <v>0</v>
      </c>
      <c r="AC1059">
        <v>0</v>
      </c>
      <c r="AD1059">
        <v>0</v>
      </c>
      <c r="AE1059">
        <v>674</v>
      </c>
      <c r="AF1059">
        <v>0</v>
      </c>
      <c r="AG1059">
        <v>0</v>
      </c>
      <c r="AH1059">
        <v>0</v>
      </c>
      <c r="AI1059">
        <v>17.510000000000002</v>
      </c>
      <c r="AJ1059">
        <v>1</v>
      </c>
      <c r="AK1059">
        <v>1</v>
      </c>
      <c r="AL1059">
        <v>1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 t="s">
        <v>3</v>
      </c>
      <c r="AT1059">
        <v>1</v>
      </c>
      <c r="AU1059" t="s">
        <v>3</v>
      </c>
      <c r="AV1059">
        <v>0</v>
      </c>
      <c r="AW1059">
        <v>1</v>
      </c>
      <c r="AX1059">
        <v>-1</v>
      </c>
      <c r="AY1059">
        <v>0</v>
      </c>
      <c r="AZ1059">
        <v>0</v>
      </c>
      <c r="BA1059" t="s">
        <v>3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0</v>
      </c>
      <c r="BK1059">
        <v>0</v>
      </c>
      <c r="BL1059">
        <v>0</v>
      </c>
      <c r="BM1059">
        <v>0</v>
      </c>
      <c r="BN1059">
        <v>0</v>
      </c>
      <c r="BO1059">
        <v>0</v>
      </c>
      <c r="BP1059">
        <v>0</v>
      </c>
      <c r="BQ1059">
        <v>0</v>
      </c>
      <c r="BR1059">
        <v>0</v>
      </c>
      <c r="BS1059">
        <v>0</v>
      </c>
      <c r="BT1059">
        <v>0</v>
      </c>
      <c r="BU1059">
        <v>0</v>
      </c>
      <c r="BV1059">
        <v>0</v>
      </c>
      <c r="BW1059">
        <v>0</v>
      </c>
      <c r="CX1059">
        <f>ROUND(Y1059*Source!I1211,9)</f>
        <v>1</v>
      </c>
      <c r="CY1059">
        <f t="shared" si="542"/>
        <v>11801.74</v>
      </c>
      <c r="CZ1059">
        <f t="shared" si="543"/>
        <v>674</v>
      </c>
      <c r="DA1059">
        <f t="shared" si="544"/>
        <v>17.510000000000002</v>
      </c>
      <c r="DB1059">
        <f t="shared" si="545"/>
        <v>674</v>
      </c>
      <c r="DC1059">
        <f t="shared" si="546"/>
        <v>0</v>
      </c>
      <c r="DD1059" t="s">
        <v>3</v>
      </c>
      <c r="DE1059" t="s">
        <v>3</v>
      </c>
      <c r="DF1059">
        <f t="shared" si="547"/>
        <v>11801.74</v>
      </c>
      <c r="DG1059">
        <f t="shared" si="548"/>
        <v>0</v>
      </c>
      <c r="DH1059">
        <f t="shared" si="549"/>
        <v>0</v>
      </c>
      <c r="DI1059">
        <f t="shared" si="523"/>
        <v>0</v>
      </c>
      <c r="DJ1059">
        <f t="shared" si="550"/>
        <v>11801.74</v>
      </c>
      <c r="DK1059">
        <v>0</v>
      </c>
    </row>
    <row r="1060" spans="1:115" x14ac:dyDescent="0.2">
      <c r="A1060">
        <f>ROW(Source!A1211)</f>
        <v>1211</v>
      </c>
      <c r="B1060">
        <v>129761633</v>
      </c>
      <c r="C1060">
        <v>129764427</v>
      </c>
      <c r="D1060">
        <v>0</v>
      </c>
      <c r="E1060">
        <v>0</v>
      </c>
      <c r="F1060">
        <v>1</v>
      </c>
      <c r="G1060">
        <v>37345137</v>
      </c>
      <c r="H1060">
        <v>3</v>
      </c>
      <c r="I1060" t="s">
        <v>248</v>
      </c>
      <c r="J1060" t="s">
        <v>3</v>
      </c>
      <c r="K1060" t="s">
        <v>991</v>
      </c>
      <c r="L1060">
        <v>1035</v>
      </c>
      <c r="N1060">
        <v>1013</v>
      </c>
      <c r="O1060" t="s">
        <v>970</v>
      </c>
      <c r="P1060" t="s">
        <v>970</v>
      </c>
      <c r="Q1060">
        <v>1</v>
      </c>
      <c r="W1060">
        <v>0</v>
      </c>
      <c r="X1060">
        <v>1659530557</v>
      </c>
      <c r="Y1060">
        <f t="shared" si="541"/>
        <v>0</v>
      </c>
      <c r="AA1060">
        <v>9479.19</v>
      </c>
      <c r="AB1060">
        <v>0</v>
      </c>
      <c r="AC1060">
        <v>0</v>
      </c>
      <c r="AD1060">
        <v>0</v>
      </c>
      <c r="AE1060">
        <v>1095.8599999999999</v>
      </c>
      <c r="AF1060">
        <v>0</v>
      </c>
      <c r="AG1060">
        <v>0</v>
      </c>
      <c r="AH1060">
        <v>0</v>
      </c>
      <c r="AI1060">
        <v>8.65</v>
      </c>
      <c r="AJ1060">
        <v>1</v>
      </c>
      <c r="AK1060">
        <v>1</v>
      </c>
      <c r="AL1060">
        <v>1</v>
      </c>
      <c r="AN1060">
        <v>0</v>
      </c>
      <c r="AO1060">
        <v>0</v>
      </c>
      <c r="AP1060">
        <v>1</v>
      </c>
      <c r="AQ1060">
        <v>0</v>
      </c>
      <c r="AR1060">
        <v>0</v>
      </c>
      <c r="AS1060" t="s">
        <v>3</v>
      </c>
      <c r="AT1060">
        <v>0</v>
      </c>
      <c r="AU1060" t="s">
        <v>3</v>
      </c>
      <c r="AV1060">
        <v>0</v>
      </c>
      <c r="AW1060">
        <v>1</v>
      </c>
      <c r="AX1060">
        <v>-1</v>
      </c>
      <c r="AY1060">
        <v>0</v>
      </c>
      <c r="AZ1060">
        <v>0</v>
      </c>
      <c r="BA1060" t="s">
        <v>3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0</v>
      </c>
      <c r="BK1060">
        <v>0</v>
      </c>
      <c r="BL1060">
        <v>0</v>
      </c>
      <c r="BM1060">
        <v>0</v>
      </c>
      <c r="BN1060">
        <v>0</v>
      </c>
      <c r="BO1060">
        <v>0</v>
      </c>
      <c r="BP1060">
        <v>0</v>
      </c>
      <c r="BQ1060">
        <v>0</v>
      </c>
      <c r="BR1060">
        <v>0</v>
      </c>
      <c r="BS1060">
        <v>0</v>
      </c>
      <c r="BT1060">
        <v>0</v>
      </c>
      <c r="BU1060">
        <v>0</v>
      </c>
      <c r="BV1060">
        <v>0</v>
      </c>
      <c r="BW1060">
        <v>0</v>
      </c>
      <c r="CX1060">
        <f>ROUND(Y1060*Source!I1211,9)</f>
        <v>0</v>
      </c>
      <c r="CY1060">
        <f t="shared" si="542"/>
        <v>9479.19</v>
      </c>
      <c r="CZ1060">
        <f t="shared" si="543"/>
        <v>1095.8599999999999</v>
      </c>
      <c r="DA1060">
        <f t="shared" si="544"/>
        <v>8.65</v>
      </c>
      <c r="DB1060">
        <f t="shared" si="545"/>
        <v>0</v>
      </c>
      <c r="DC1060">
        <f t="shared" si="546"/>
        <v>0</v>
      </c>
      <c r="DD1060" t="s">
        <v>3</v>
      </c>
      <c r="DE1060" t="s">
        <v>3</v>
      </c>
      <c r="DF1060">
        <f t="shared" si="547"/>
        <v>0</v>
      </c>
      <c r="DG1060">
        <f t="shared" si="548"/>
        <v>0</v>
      </c>
      <c r="DH1060">
        <f t="shared" si="549"/>
        <v>0</v>
      </c>
      <c r="DI1060">
        <f t="shared" si="523"/>
        <v>0</v>
      </c>
      <c r="DJ1060">
        <f t="shared" si="550"/>
        <v>0</v>
      </c>
      <c r="DK1060">
        <v>0</v>
      </c>
    </row>
    <row r="1061" spans="1:115" x14ac:dyDescent="0.2">
      <c r="A1061">
        <f>ROW(Source!A1216)</f>
        <v>1216</v>
      </c>
      <c r="B1061">
        <v>129761636</v>
      </c>
      <c r="C1061">
        <v>129764449</v>
      </c>
      <c r="D1061">
        <v>37345142</v>
      </c>
      <c r="E1061">
        <v>37345137</v>
      </c>
      <c r="F1061">
        <v>1</v>
      </c>
      <c r="G1061">
        <v>37345137</v>
      </c>
      <c r="H1061">
        <v>1</v>
      </c>
      <c r="I1061" t="s">
        <v>1096</v>
      </c>
      <c r="J1061" t="s">
        <v>3</v>
      </c>
      <c r="K1061" t="s">
        <v>1097</v>
      </c>
      <c r="L1061">
        <v>1191</v>
      </c>
      <c r="N1061">
        <v>1013</v>
      </c>
      <c r="O1061" t="s">
        <v>1098</v>
      </c>
      <c r="P1061" t="s">
        <v>1098</v>
      </c>
      <c r="Q1061">
        <v>1</v>
      </c>
      <c r="W1061">
        <v>0</v>
      </c>
      <c r="X1061">
        <v>476480486</v>
      </c>
      <c r="Y1061">
        <f>(AT1061*1.15)</f>
        <v>0.80499999999999994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0</v>
      </c>
      <c r="AI1061">
        <v>1</v>
      </c>
      <c r="AJ1061">
        <v>1</v>
      </c>
      <c r="AK1061">
        <v>1</v>
      </c>
      <c r="AL1061">
        <v>1</v>
      </c>
      <c r="AN1061">
        <v>0</v>
      </c>
      <c r="AO1061">
        <v>1</v>
      </c>
      <c r="AP1061">
        <v>1</v>
      </c>
      <c r="AQ1061">
        <v>0</v>
      </c>
      <c r="AR1061">
        <v>0</v>
      </c>
      <c r="AS1061" t="s">
        <v>3</v>
      </c>
      <c r="AT1061">
        <v>0.7</v>
      </c>
      <c r="AU1061" t="s">
        <v>87</v>
      </c>
      <c r="AV1061">
        <v>1</v>
      </c>
      <c r="AW1061">
        <v>2</v>
      </c>
      <c r="AX1061">
        <v>129764453</v>
      </c>
      <c r="AY1061">
        <v>1</v>
      </c>
      <c r="AZ1061">
        <v>0</v>
      </c>
      <c r="BA1061">
        <v>1017</v>
      </c>
      <c r="BB1061">
        <v>0</v>
      </c>
      <c r="BC1061">
        <v>0</v>
      </c>
      <c r="BD1061">
        <v>0</v>
      </c>
      <c r="BE1061">
        <v>0</v>
      </c>
      <c r="BF1061">
        <v>0</v>
      </c>
      <c r="BG1061">
        <v>0</v>
      </c>
      <c r="BH1061">
        <v>0</v>
      </c>
      <c r="BI1061">
        <v>0</v>
      </c>
      <c r="BJ1061">
        <v>0</v>
      </c>
      <c r="BK1061">
        <v>0</v>
      </c>
      <c r="BL1061">
        <v>0</v>
      </c>
      <c r="BM1061">
        <v>0</v>
      </c>
      <c r="BN1061">
        <v>0</v>
      </c>
      <c r="BO1061">
        <v>0</v>
      </c>
      <c r="BP1061">
        <v>0</v>
      </c>
      <c r="BQ1061">
        <v>0</v>
      </c>
      <c r="BR1061">
        <v>0</v>
      </c>
      <c r="BS1061">
        <v>0</v>
      </c>
      <c r="BT1061">
        <v>0</v>
      </c>
      <c r="BU1061">
        <v>0</v>
      </c>
      <c r="BV1061">
        <v>0</v>
      </c>
      <c r="BW1061">
        <v>0</v>
      </c>
      <c r="CX1061">
        <f>ROUND(Y1061*Source!I1216,9)</f>
        <v>0.80500000000000005</v>
      </c>
      <c r="CY1061">
        <f>AD1061</f>
        <v>0</v>
      </c>
      <c r="CZ1061">
        <f>AH1061</f>
        <v>0</v>
      </c>
      <c r="DA1061">
        <f>AL1061</f>
        <v>1</v>
      </c>
      <c r="DB1061">
        <f>ROUND((ROUND(AT1061*CZ1061,2)*1.15),6)</f>
        <v>0</v>
      </c>
      <c r="DC1061">
        <f>ROUND((ROUND(AT1061*AG1061,2)*1.15),6)</f>
        <v>0</v>
      </c>
      <c r="DD1061" t="s">
        <v>3</v>
      </c>
      <c r="DE1061" t="s">
        <v>3</v>
      </c>
      <c r="DF1061">
        <f>ROUND(AE1061*CX1061,2)</f>
        <v>0</v>
      </c>
      <c r="DG1061">
        <f t="shared" si="548"/>
        <v>0</v>
      </c>
      <c r="DH1061">
        <f t="shared" si="549"/>
        <v>0</v>
      </c>
      <c r="DI1061">
        <f t="shared" si="523"/>
        <v>0</v>
      </c>
      <c r="DJ1061">
        <f>DI1061</f>
        <v>0</v>
      </c>
      <c r="DK1061">
        <v>0</v>
      </c>
    </row>
    <row r="1062" spans="1:115" x14ac:dyDescent="0.2">
      <c r="A1062">
        <f>ROW(Source!A1216)</f>
        <v>1216</v>
      </c>
      <c r="B1062">
        <v>129761636</v>
      </c>
      <c r="C1062">
        <v>129764449</v>
      </c>
      <c r="D1062">
        <v>44296463</v>
      </c>
      <c r="E1062">
        <v>1</v>
      </c>
      <c r="F1062">
        <v>1</v>
      </c>
      <c r="G1062">
        <v>37345137</v>
      </c>
      <c r="H1062">
        <v>3</v>
      </c>
      <c r="I1062" t="s">
        <v>1001</v>
      </c>
      <c r="J1062" t="s">
        <v>1003</v>
      </c>
      <c r="K1062" t="s">
        <v>1002</v>
      </c>
      <c r="L1062">
        <v>1354</v>
      </c>
      <c r="N1062">
        <v>1010</v>
      </c>
      <c r="O1062" t="s">
        <v>250</v>
      </c>
      <c r="P1062" t="s">
        <v>250</v>
      </c>
      <c r="Q1062">
        <v>1</v>
      </c>
      <c r="W1062">
        <v>0</v>
      </c>
      <c r="X1062">
        <v>-1220905460</v>
      </c>
      <c r="Y1062">
        <f>AT1062</f>
        <v>0</v>
      </c>
      <c r="AA1062">
        <v>599.24</v>
      </c>
      <c r="AB1062">
        <v>0</v>
      </c>
      <c r="AC1062">
        <v>0</v>
      </c>
      <c r="AD1062">
        <v>0</v>
      </c>
      <c r="AE1062">
        <v>599.24</v>
      </c>
      <c r="AF1062">
        <v>0</v>
      </c>
      <c r="AG1062">
        <v>0</v>
      </c>
      <c r="AH1062">
        <v>0</v>
      </c>
      <c r="AI1062">
        <v>1</v>
      </c>
      <c r="AJ1062">
        <v>1</v>
      </c>
      <c r="AK1062">
        <v>1</v>
      </c>
      <c r="AL1062">
        <v>1</v>
      </c>
      <c r="AN1062">
        <v>0</v>
      </c>
      <c r="AO1062">
        <v>0</v>
      </c>
      <c r="AP1062">
        <v>0</v>
      </c>
      <c r="AQ1062">
        <v>0</v>
      </c>
      <c r="AR1062">
        <v>0</v>
      </c>
      <c r="AS1062" t="s">
        <v>3</v>
      </c>
      <c r="AT1062">
        <v>0</v>
      </c>
      <c r="AU1062" t="s">
        <v>3</v>
      </c>
      <c r="AV1062">
        <v>0</v>
      </c>
      <c r="AW1062">
        <v>1</v>
      </c>
      <c r="AX1062">
        <v>-1</v>
      </c>
      <c r="AY1062">
        <v>0</v>
      </c>
      <c r="AZ1062">
        <v>0</v>
      </c>
      <c r="BA1062" t="s">
        <v>3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0</v>
      </c>
      <c r="BJ1062">
        <v>0</v>
      </c>
      <c r="BK1062">
        <v>0</v>
      </c>
      <c r="BL1062">
        <v>0</v>
      </c>
      <c r="BM1062">
        <v>0</v>
      </c>
      <c r="BN1062">
        <v>0</v>
      </c>
      <c r="BO1062">
        <v>0</v>
      </c>
      <c r="BP1062">
        <v>0</v>
      </c>
      <c r="BQ1062">
        <v>0</v>
      </c>
      <c r="BR1062">
        <v>0</v>
      </c>
      <c r="BS1062">
        <v>0</v>
      </c>
      <c r="BT1062">
        <v>0</v>
      </c>
      <c r="BU1062">
        <v>0</v>
      </c>
      <c r="BV1062">
        <v>0</v>
      </c>
      <c r="BW1062">
        <v>0</v>
      </c>
      <c r="CX1062">
        <f>ROUND(Y1062*Source!I1216,9)</f>
        <v>0</v>
      </c>
      <c r="CY1062">
        <f>AA1062</f>
        <v>599.24</v>
      </c>
      <c r="CZ1062">
        <f>AE1062</f>
        <v>599.24</v>
      </c>
      <c r="DA1062">
        <f>AI1062</f>
        <v>1</v>
      </c>
      <c r="DB1062">
        <f>ROUND(ROUND(AT1062*CZ1062,2),6)</f>
        <v>0</v>
      </c>
      <c r="DC1062">
        <f>ROUND(ROUND(AT1062*AG1062,2),6)</f>
        <v>0</v>
      </c>
      <c r="DD1062" t="s">
        <v>3</v>
      </c>
      <c r="DE1062" t="s">
        <v>3</v>
      </c>
      <c r="DF1062">
        <f>ROUND(AE1062*CX1062,2)</f>
        <v>0</v>
      </c>
      <c r="DG1062">
        <f t="shared" si="548"/>
        <v>0</v>
      </c>
      <c r="DH1062">
        <f t="shared" si="549"/>
        <v>0</v>
      </c>
      <c r="DI1062">
        <f t="shared" si="523"/>
        <v>0</v>
      </c>
      <c r="DJ1062">
        <f>DF1062</f>
        <v>0</v>
      </c>
      <c r="DK1062">
        <v>0</v>
      </c>
    </row>
    <row r="1063" spans="1:115" x14ac:dyDescent="0.2">
      <c r="A1063">
        <f>ROW(Source!A1216)</f>
        <v>1216</v>
      </c>
      <c r="B1063">
        <v>129761636</v>
      </c>
      <c r="C1063">
        <v>129764449</v>
      </c>
      <c r="D1063">
        <v>37367082</v>
      </c>
      <c r="E1063">
        <v>37345137</v>
      </c>
      <c r="F1063">
        <v>1</v>
      </c>
      <c r="G1063">
        <v>37345137</v>
      </c>
      <c r="H1063">
        <v>3</v>
      </c>
      <c r="I1063" t="s">
        <v>1136</v>
      </c>
      <c r="J1063" t="s">
        <v>3</v>
      </c>
      <c r="K1063" t="s">
        <v>1137</v>
      </c>
      <c r="L1063">
        <v>1344</v>
      </c>
      <c r="N1063">
        <v>1008</v>
      </c>
      <c r="O1063" t="s">
        <v>1138</v>
      </c>
      <c r="P1063" t="s">
        <v>1138</v>
      </c>
      <c r="Q1063">
        <v>1</v>
      </c>
      <c r="W1063">
        <v>0</v>
      </c>
      <c r="X1063">
        <v>-94250534</v>
      </c>
      <c r="Y1063">
        <f>AT1063</f>
        <v>0.84</v>
      </c>
      <c r="AA1063">
        <v>1</v>
      </c>
      <c r="AB1063">
        <v>0</v>
      </c>
      <c r="AC1063">
        <v>0</v>
      </c>
      <c r="AD1063">
        <v>0</v>
      </c>
      <c r="AE1063">
        <v>1</v>
      </c>
      <c r="AF1063">
        <v>0</v>
      </c>
      <c r="AG1063">
        <v>0</v>
      </c>
      <c r="AH1063">
        <v>0</v>
      </c>
      <c r="AI1063">
        <v>1</v>
      </c>
      <c r="AJ1063">
        <v>1</v>
      </c>
      <c r="AK1063">
        <v>1</v>
      </c>
      <c r="AL1063">
        <v>1</v>
      </c>
      <c r="AN1063">
        <v>0</v>
      </c>
      <c r="AO1063">
        <v>1</v>
      </c>
      <c r="AP1063">
        <v>0</v>
      </c>
      <c r="AQ1063">
        <v>0</v>
      </c>
      <c r="AR1063">
        <v>0</v>
      </c>
      <c r="AS1063" t="s">
        <v>3</v>
      </c>
      <c r="AT1063">
        <v>0.84</v>
      </c>
      <c r="AU1063" t="s">
        <v>3</v>
      </c>
      <c r="AV1063">
        <v>0</v>
      </c>
      <c r="AW1063">
        <v>2</v>
      </c>
      <c r="AX1063">
        <v>129764455</v>
      </c>
      <c r="AY1063">
        <v>1</v>
      </c>
      <c r="AZ1063">
        <v>0</v>
      </c>
      <c r="BA1063">
        <v>1019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0</v>
      </c>
      <c r="BJ1063">
        <v>0</v>
      </c>
      <c r="BK1063">
        <v>0</v>
      </c>
      <c r="BL1063">
        <v>0</v>
      </c>
      <c r="BM1063">
        <v>0</v>
      </c>
      <c r="BN1063">
        <v>0</v>
      </c>
      <c r="BO1063">
        <v>0</v>
      </c>
      <c r="BP1063">
        <v>0</v>
      </c>
      <c r="BQ1063">
        <v>0</v>
      </c>
      <c r="BR1063">
        <v>0</v>
      </c>
      <c r="BS1063">
        <v>0</v>
      </c>
      <c r="BT1063">
        <v>0</v>
      </c>
      <c r="BU1063">
        <v>0</v>
      </c>
      <c r="BV1063">
        <v>0</v>
      </c>
      <c r="BW1063">
        <v>0</v>
      </c>
      <c r="CX1063">
        <f>ROUND(Y1063*Source!I1216,9)</f>
        <v>0.84</v>
      </c>
      <c r="CY1063">
        <f>AA1063</f>
        <v>1</v>
      </c>
      <c r="CZ1063">
        <f>AE1063</f>
        <v>1</v>
      </c>
      <c r="DA1063">
        <f>AI1063</f>
        <v>1</v>
      </c>
      <c r="DB1063">
        <f>ROUND(ROUND(AT1063*CZ1063,2),6)</f>
        <v>0.84</v>
      </c>
      <c r="DC1063">
        <f>ROUND(ROUND(AT1063*AG1063,2),6)</f>
        <v>0</v>
      </c>
      <c r="DD1063" t="s">
        <v>3</v>
      </c>
      <c r="DE1063" t="s">
        <v>3</v>
      </c>
      <c r="DF1063">
        <f>ROUND(AE1063*CX1063,2)</f>
        <v>0.84</v>
      </c>
      <c r="DG1063">
        <f t="shared" si="548"/>
        <v>0</v>
      </c>
      <c r="DH1063">
        <f t="shared" si="549"/>
        <v>0</v>
      </c>
      <c r="DI1063">
        <f t="shared" si="523"/>
        <v>0</v>
      </c>
      <c r="DJ1063">
        <f>DF1063</f>
        <v>0.84</v>
      </c>
      <c r="DK1063">
        <v>0</v>
      </c>
    </row>
    <row r="1064" spans="1:115" x14ac:dyDescent="0.2">
      <c r="A1064">
        <f>ROW(Source!A1216)</f>
        <v>1216</v>
      </c>
      <c r="B1064">
        <v>129761636</v>
      </c>
      <c r="C1064">
        <v>129764449</v>
      </c>
      <c r="D1064">
        <v>0</v>
      </c>
      <c r="E1064">
        <v>0</v>
      </c>
      <c r="F1064">
        <v>1</v>
      </c>
      <c r="G1064">
        <v>37345137</v>
      </c>
      <c r="H1064">
        <v>3</v>
      </c>
      <c r="I1064" t="s">
        <v>248</v>
      </c>
      <c r="J1064" t="s">
        <v>3</v>
      </c>
      <c r="K1064" t="s">
        <v>999</v>
      </c>
      <c r="L1064">
        <v>1354</v>
      </c>
      <c r="N1064">
        <v>1010</v>
      </c>
      <c r="O1064" t="s">
        <v>250</v>
      </c>
      <c r="P1064" t="s">
        <v>250</v>
      </c>
      <c r="Q1064">
        <v>1</v>
      </c>
      <c r="W1064">
        <v>0</v>
      </c>
      <c r="X1064">
        <v>-190557573</v>
      </c>
      <c r="Y1064">
        <f>AT1064</f>
        <v>1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1</v>
      </c>
      <c r="AJ1064">
        <v>1</v>
      </c>
      <c r="AK1064">
        <v>1</v>
      </c>
      <c r="AL1064">
        <v>1</v>
      </c>
      <c r="AN1064">
        <v>0</v>
      </c>
      <c r="AO1064">
        <v>0</v>
      </c>
      <c r="AP1064">
        <v>1</v>
      </c>
      <c r="AQ1064">
        <v>0</v>
      </c>
      <c r="AR1064">
        <v>0</v>
      </c>
      <c r="AS1064" t="s">
        <v>3</v>
      </c>
      <c r="AT1064">
        <v>1</v>
      </c>
      <c r="AU1064" t="s">
        <v>3</v>
      </c>
      <c r="AV1064">
        <v>0</v>
      </c>
      <c r="AW1064">
        <v>1</v>
      </c>
      <c r="AX1064">
        <v>-1</v>
      </c>
      <c r="AY1064">
        <v>0</v>
      </c>
      <c r="AZ1064">
        <v>0</v>
      </c>
      <c r="BA1064" t="s">
        <v>3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0</v>
      </c>
      <c r="BJ1064">
        <v>0</v>
      </c>
      <c r="BK1064">
        <v>0</v>
      </c>
      <c r="BL1064">
        <v>0</v>
      </c>
      <c r="BM1064">
        <v>0</v>
      </c>
      <c r="BN1064">
        <v>0</v>
      </c>
      <c r="BO1064">
        <v>0</v>
      </c>
      <c r="BP1064">
        <v>0</v>
      </c>
      <c r="BQ1064">
        <v>0</v>
      </c>
      <c r="BR1064">
        <v>0</v>
      </c>
      <c r="BS1064">
        <v>0</v>
      </c>
      <c r="BT1064">
        <v>0</v>
      </c>
      <c r="BU1064">
        <v>0</v>
      </c>
      <c r="BV1064">
        <v>0</v>
      </c>
      <c r="BW1064">
        <v>0</v>
      </c>
      <c r="CX1064">
        <f>ROUND(Y1064*Source!I1216,9)</f>
        <v>1</v>
      </c>
      <c r="CY1064">
        <f>AA1064</f>
        <v>0</v>
      </c>
      <c r="CZ1064">
        <f>AE1064</f>
        <v>0</v>
      </c>
      <c r="DA1064">
        <f>AI1064</f>
        <v>1</v>
      </c>
      <c r="DB1064">
        <f>ROUND(ROUND(AT1064*CZ1064,2),6)</f>
        <v>0</v>
      </c>
      <c r="DC1064">
        <f>ROUND(ROUND(AT1064*AG1064,2),6)</f>
        <v>0</v>
      </c>
      <c r="DD1064" t="s">
        <v>3</v>
      </c>
      <c r="DE1064" t="s">
        <v>3</v>
      </c>
      <c r="DF1064">
        <f>ROUND(AE1064*CX1064,2)</f>
        <v>0</v>
      </c>
      <c r="DG1064">
        <f t="shared" si="548"/>
        <v>0</v>
      </c>
      <c r="DH1064">
        <f t="shared" si="549"/>
        <v>0</v>
      </c>
      <c r="DI1064">
        <f t="shared" si="523"/>
        <v>0</v>
      </c>
      <c r="DJ1064">
        <f>DF1064</f>
        <v>0</v>
      </c>
      <c r="DK1064">
        <v>0</v>
      </c>
    </row>
    <row r="1065" spans="1:115" x14ac:dyDescent="0.2">
      <c r="A1065">
        <f>ROW(Source!A1217)</f>
        <v>1217</v>
      </c>
      <c r="B1065">
        <v>129761633</v>
      </c>
      <c r="C1065">
        <v>129764449</v>
      </c>
      <c r="D1065">
        <v>37345142</v>
      </c>
      <c r="E1065">
        <v>37345137</v>
      </c>
      <c r="F1065">
        <v>1</v>
      </c>
      <c r="G1065">
        <v>37345137</v>
      </c>
      <c r="H1065">
        <v>1</v>
      </c>
      <c r="I1065" t="s">
        <v>1096</v>
      </c>
      <c r="J1065" t="s">
        <v>3</v>
      </c>
      <c r="K1065" t="s">
        <v>1097</v>
      </c>
      <c r="L1065">
        <v>1191</v>
      </c>
      <c r="N1065">
        <v>1013</v>
      </c>
      <c r="O1065" t="s">
        <v>1098</v>
      </c>
      <c r="P1065" t="s">
        <v>1098</v>
      </c>
      <c r="Q1065">
        <v>1</v>
      </c>
      <c r="W1065">
        <v>0</v>
      </c>
      <c r="X1065">
        <v>476480486</v>
      </c>
      <c r="Y1065">
        <f>(AT1065*1.15)</f>
        <v>0.80499999999999994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1</v>
      </c>
      <c r="AJ1065">
        <v>1</v>
      </c>
      <c r="AK1065">
        <v>1</v>
      </c>
      <c r="AL1065">
        <v>1</v>
      </c>
      <c r="AN1065">
        <v>0</v>
      </c>
      <c r="AO1065">
        <v>1</v>
      </c>
      <c r="AP1065">
        <v>1</v>
      </c>
      <c r="AQ1065">
        <v>0</v>
      </c>
      <c r="AR1065">
        <v>0</v>
      </c>
      <c r="AS1065" t="s">
        <v>3</v>
      </c>
      <c r="AT1065">
        <v>0.7</v>
      </c>
      <c r="AU1065" t="s">
        <v>87</v>
      </c>
      <c r="AV1065">
        <v>1</v>
      </c>
      <c r="AW1065">
        <v>2</v>
      </c>
      <c r="AX1065">
        <v>129764453</v>
      </c>
      <c r="AY1065">
        <v>1</v>
      </c>
      <c r="AZ1065">
        <v>0</v>
      </c>
      <c r="BA1065">
        <v>1020</v>
      </c>
      <c r="BB1065">
        <v>0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0</v>
      </c>
      <c r="BJ1065">
        <v>0</v>
      </c>
      <c r="BK1065">
        <v>0</v>
      </c>
      <c r="BL1065">
        <v>0</v>
      </c>
      <c r="BM1065">
        <v>0</v>
      </c>
      <c r="BN1065">
        <v>0</v>
      </c>
      <c r="BO1065">
        <v>0</v>
      </c>
      <c r="BP1065">
        <v>0</v>
      </c>
      <c r="BQ1065">
        <v>0</v>
      </c>
      <c r="BR1065">
        <v>0</v>
      </c>
      <c r="BS1065">
        <v>0</v>
      </c>
      <c r="BT1065">
        <v>0</v>
      </c>
      <c r="BU1065">
        <v>0</v>
      </c>
      <c r="BV1065">
        <v>0</v>
      </c>
      <c r="BW1065">
        <v>0</v>
      </c>
      <c r="CX1065">
        <f>ROUND(Y1065*Source!I1217,9)</f>
        <v>0.80500000000000005</v>
      </c>
      <c r="CY1065">
        <f>AD1065</f>
        <v>0</v>
      </c>
      <c r="CZ1065">
        <f>AH1065</f>
        <v>0</v>
      </c>
      <c r="DA1065">
        <f>AL1065</f>
        <v>1</v>
      </c>
      <c r="DB1065">
        <f>ROUND((ROUND(AT1065*CZ1065,2)*1.15),6)</f>
        <v>0</v>
      </c>
      <c r="DC1065">
        <f>ROUND((ROUND(AT1065*AG1065,2)*1.15),6)</f>
        <v>0</v>
      </c>
      <c r="DD1065" t="s">
        <v>3</v>
      </c>
      <c r="DE1065" t="s">
        <v>3</v>
      </c>
      <c r="DF1065">
        <f>ROUND(AE1065*CX1065,2)</f>
        <v>0</v>
      </c>
      <c r="DG1065">
        <f t="shared" si="548"/>
        <v>0</v>
      </c>
      <c r="DH1065">
        <f t="shared" si="549"/>
        <v>0</v>
      </c>
      <c r="DI1065">
        <f t="shared" si="523"/>
        <v>0</v>
      </c>
      <c r="DJ1065">
        <f>DI1065</f>
        <v>0</v>
      </c>
      <c r="DK1065">
        <v>0</v>
      </c>
    </row>
    <row r="1066" spans="1:115" x14ac:dyDescent="0.2">
      <c r="A1066">
        <f>ROW(Source!A1217)</f>
        <v>1217</v>
      </c>
      <c r="B1066">
        <v>129761633</v>
      </c>
      <c r="C1066">
        <v>129764449</v>
      </c>
      <c r="D1066">
        <v>44296463</v>
      </c>
      <c r="E1066">
        <v>1</v>
      </c>
      <c r="F1066">
        <v>1</v>
      </c>
      <c r="G1066">
        <v>37345137</v>
      </c>
      <c r="H1066">
        <v>3</v>
      </c>
      <c r="I1066" t="s">
        <v>1001</v>
      </c>
      <c r="J1066" t="s">
        <v>1003</v>
      </c>
      <c r="K1066" t="s">
        <v>1002</v>
      </c>
      <c r="L1066">
        <v>1354</v>
      </c>
      <c r="N1066">
        <v>1010</v>
      </c>
      <c r="O1066" t="s">
        <v>250</v>
      </c>
      <c r="P1066" t="s">
        <v>250</v>
      </c>
      <c r="Q1066">
        <v>1</v>
      </c>
      <c r="W1066">
        <v>0</v>
      </c>
      <c r="X1066">
        <v>-1220905460</v>
      </c>
      <c r="Y1066">
        <f t="shared" ref="Y1066:Y1074" si="551">AT1066</f>
        <v>0</v>
      </c>
      <c r="AA1066">
        <v>2966.24</v>
      </c>
      <c r="AB1066">
        <v>0</v>
      </c>
      <c r="AC1066">
        <v>0</v>
      </c>
      <c r="AD1066">
        <v>0</v>
      </c>
      <c r="AE1066">
        <v>599.24</v>
      </c>
      <c r="AF1066">
        <v>0</v>
      </c>
      <c r="AG1066">
        <v>0</v>
      </c>
      <c r="AH1066">
        <v>0</v>
      </c>
      <c r="AI1066">
        <v>4.95</v>
      </c>
      <c r="AJ1066">
        <v>1</v>
      </c>
      <c r="AK1066">
        <v>1</v>
      </c>
      <c r="AL1066">
        <v>1</v>
      </c>
      <c r="AN1066">
        <v>0</v>
      </c>
      <c r="AO1066">
        <v>0</v>
      </c>
      <c r="AP1066">
        <v>0</v>
      </c>
      <c r="AQ1066">
        <v>0</v>
      </c>
      <c r="AR1066">
        <v>0</v>
      </c>
      <c r="AS1066" t="s">
        <v>3</v>
      </c>
      <c r="AT1066">
        <v>0</v>
      </c>
      <c r="AU1066" t="s">
        <v>3</v>
      </c>
      <c r="AV1066">
        <v>0</v>
      </c>
      <c r="AW1066">
        <v>1</v>
      </c>
      <c r="AX1066">
        <v>-1</v>
      </c>
      <c r="AY1066">
        <v>0</v>
      </c>
      <c r="AZ1066">
        <v>0</v>
      </c>
      <c r="BA1066" t="s">
        <v>3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0</v>
      </c>
      <c r="BJ1066">
        <v>0</v>
      </c>
      <c r="BK1066">
        <v>0</v>
      </c>
      <c r="BL1066">
        <v>0</v>
      </c>
      <c r="BM1066">
        <v>0</v>
      </c>
      <c r="BN1066">
        <v>0</v>
      </c>
      <c r="BO1066">
        <v>0</v>
      </c>
      <c r="BP1066">
        <v>0</v>
      </c>
      <c r="BQ1066">
        <v>0</v>
      </c>
      <c r="BR1066">
        <v>0</v>
      </c>
      <c r="BS1066">
        <v>0</v>
      </c>
      <c r="BT1066">
        <v>0</v>
      </c>
      <c r="BU1066">
        <v>0</v>
      </c>
      <c r="BV1066">
        <v>0</v>
      </c>
      <c r="BW1066">
        <v>0</v>
      </c>
      <c r="CX1066">
        <f>ROUND(Y1066*Source!I1217,9)</f>
        <v>0</v>
      </c>
      <c r="CY1066">
        <f>AA1066</f>
        <v>2966.24</v>
      </c>
      <c r="CZ1066">
        <f>AE1066</f>
        <v>599.24</v>
      </c>
      <c r="DA1066">
        <f>AI1066</f>
        <v>4.95</v>
      </c>
      <c r="DB1066">
        <f t="shared" ref="DB1066:DB1074" si="552">ROUND(ROUND(AT1066*CZ1066,2),6)</f>
        <v>0</v>
      </c>
      <c r="DC1066">
        <f t="shared" ref="DC1066:DC1074" si="553">ROUND(ROUND(AT1066*AG1066,2),6)</f>
        <v>0</v>
      </c>
      <c r="DD1066" t="s">
        <v>3</v>
      </c>
      <c r="DE1066" t="s">
        <v>3</v>
      </c>
      <c r="DF1066">
        <f>ROUND(ROUND(AE1066*CX1066,2)*AI1066,2)</f>
        <v>0</v>
      </c>
      <c r="DG1066">
        <f t="shared" si="548"/>
        <v>0</v>
      </c>
      <c r="DH1066">
        <f t="shared" si="549"/>
        <v>0</v>
      </c>
      <c r="DI1066">
        <f t="shared" si="523"/>
        <v>0</v>
      </c>
      <c r="DJ1066">
        <f>DF1066</f>
        <v>0</v>
      </c>
      <c r="DK1066">
        <v>0</v>
      </c>
    </row>
    <row r="1067" spans="1:115" x14ac:dyDescent="0.2">
      <c r="A1067">
        <f>ROW(Source!A1217)</f>
        <v>1217</v>
      </c>
      <c r="B1067">
        <v>129761633</v>
      </c>
      <c r="C1067">
        <v>129764449</v>
      </c>
      <c r="D1067">
        <v>37367082</v>
      </c>
      <c r="E1067">
        <v>37345137</v>
      </c>
      <c r="F1067">
        <v>1</v>
      </c>
      <c r="G1067">
        <v>37345137</v>
      </c>
      <c r="H1067">
        <v>3</v>
      </c>
      <c r="I1067" t="s">
        <v>1136</v>
      </c>
      <c r="J1067" t="s">
        <v>3</v>
      </c>
      <c r="K1067" t="s">
        <v>1137</v>
      </c>
      <c r="L1067">
        <v>1344</v>
      </c>
      <c r="N1067">
        <v>1008</v>
      </c>
      <c r="O1067" t="s">
        <v>1138</v>
      </c>
      <c r="P1067" t="s">
        <v>1138</v>
      </c>
      <c r="Q1067">
        <v>1</v>
      </c>
      <c r="W1067">
        <v>0</v>
      </c>
      <c r="X1067">
        <v>-94250534</v>
      </c>
      <c r="Y1067">
        <f t="shared" si="551"/>
        <v>0.84</v>
      </c>
      <c r="AA1067">
        <v>8.65</v>
      </c>
      <c r="AB1067">
        <v>0</v>
      </c>
      <c r="AC1067">
        <v>0</v>
      </c>
      <c r="AD1067">
        <v>0</v>
      </c>
      <c r="AE1067">
        <v>1</v>
      </c>
      <c r="AF1067">
        <v>0</v>
      </c>
      <c r="AG1067">
        <v>0</v>
      </c>
      <c r="AH1067">
        <v>0</v>
      </c>
      <c r="AI1067">
        <v>8.65</v>
      </c>
      <c r="AJ1067">
        <v>1</v>
      </c>
      <c r="AK1067">
        <v>1</v>
      </c>
      <c r="AL1067">
        <v>1</v>
      </c>
      <c r="AN1067">
        <v>0</v>
      </c>
      <c r="AO1067">
        <v>1</v>
      </c>
      <c r="AP1067">
        <v>0</v>
      </c>
      <c r="AQ1067">
        <v>0</v>
      </c>
      <c r="AR1067">
        <v>0</v>
      </c>
      <c r="AS1067" t="s">
        <v>3</v>
      </c>
      <c r="AT1067">
        <v>0.84</v>
      </c>
      <c r="AU1067" t="s">
        <v>3</v>
      </c>
      <c r="AV1067">
        <v>0</v>
      </c>
      <c r="AW1067">
        <v>2</v>
      </c>
      <c r="AX1067">
        <v>129764455</v>
      </c>
      <c r="AY1067">
        <v>1</v>
      </c>
      <c r="AZ1067">
        <v>0</v>
      </c>
      <c r="BA1067">
        <v>1022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0</v>
      </c>
      <c r="BJ1067">
        <v>0</v>
      </c>
      <c r="BK1067">
        <v>0</v>
      </c>
      <c r="BL1067">
        <v>0</v>
      </c>
      <c r="BM1067">
        <v>0</v>
      </c>
      <c r="BN1067">
        <v>0</v>
      </c>
      <c r="BO1067">
        <v>0</v>
      </c>
      <c r="BP1067">
        <v>0</v>
      </c>
      <c r="BQ1067">
        <v>0</v>
      </c>
      <c r="BR1067">
        <v>0</v>
      </c>
      <c r="BS1067">
        <v>0</v>
      </c>
      <c r="BT1067">
        <v>0</v>
      </c>
      <c r="BU1067">
        <v>0</v>
      </c>
      <c r="BV1067">
        <v>0</v>
      </c>
      <c r="BW1067">
        <v>0</v>
      </c>
      <c r="CX1067">
        <f>ROUND(Y1067*Source!I1217,9)</f>
        <v>0.84</v>
      </c>
      <c r="CY1067">
        <f>AA1067</f>
        <v>8.65</v>
      </c>
      <c r="CZ1067">
        <f>AE1067</f>
        <v>1</v>
      </c>
      <c r="DA1067">
        <f>AI1067</f>
        <v>8.65</v>
      </c>
      <c r="DB1067">
        <f t="shared" si="552"/>
        <v>0.84</v>
      </c>
      <c r="DC1067">
        <f t="shared" si="553"/>
        <v>0</v>
      </c>
      <c r="DD1067" t="s">
        <v>3</v>
      </c>
      <c r="DE1067" t="s">
        <v>3</v>
      </c>
      <c r="DF1067">
        <f>ROUND(ROUND(AE1067*CX1067,2)*AI1067,2)</f>
        <v>7.27</v>
      </c>
      <c r="DG1067">
        <f t="shared" si="548"/>
        <v>0</v>
      </c>
      <c r="DH1067">
        <f t="shared" si="549"/>
        <v>0</v>
      </c>
      <c r="DI1067">
        <f t="shared" si="523"/>
        <v>0</v>
      </c>
      <c r="DJ1067">
        <f>DF1067</f>
        <v>7.27</v>
      </c>
      <c r="DK1067">
        <v>0</v>
      </c>
    </row>
    <row r="1068" spans="1:115" x14ac:dyDescent="0.2">
      <c r="A1068">
        <f>ROW(Source!A1217)</f>
        <v>1217</v>
      </c>
      <c r="B1068">
        <v>129761633</v>
      </c>
      <c r="C1068">
        <v>129764449</v>
      </c>
      <c r="D1068">
        <v>0</v>
      </c>
      <c r="E1068">
        <v>0</v>
      </c>
      <c r="F1068">
        <v>1</v>
      </c>
      <c r="G1068">
        <v>37345137</v>
      </c>
      <c r="H1068">
        <v>3</v>
      </c>
      <c r="I1068" t="s">
        <v>248</v>
      </c>
      <c r="J1068" t="s">
        <v>3</v>
      </c>
      <c r="K1068" t="s">
        <v>999</v>
      </c>
      <c r="L1068">
        <v>1354</v>
      </c>
      <c r="N1068">
        <v>1010</v>
      </c>
      <c r="O1068" t="s">
        <v>250</v>
      </c>
      <c r="P1068" t="s">
        <v>250</v>
      </c>
      <c r="Q1068">
        <v>1</v>
      </c>
      <c r="W1068">
        <v>0</v>
      </c>
      <c r="X1068">
        <v>-190557573</v>
      </c>
      <c r="Y1068">
        <f t="shared" si="551"/>
        <v>1</v>
      </c>
      <c r="AA1068">
        <v>10059</v>
      </c>
      <c r="AB1068">
        <v>0</v>
      </c>
      <c r="AC1068">
        <v>0</v>
      </c>
      <c r="AD1068">
        <v>0</v>
      </c>
      <c r="AE1068">
        <v>1186.1500000000001</v>
      </c>
      <c r="AF1068">
        <v>0</v>
      </c>
      <c r="AG1068">
        <v>0</v>
      </c>
      <c r="AH1068">
        <v>0</v>
      </c>
      <c r="AI1068">
        <v>8.65</v>
      </c>
      <c r="AJ1068">
        <v>1</v>
      </c>
      <c r="AK1068">
        <v>1</v>
      </c>
      <c r="AL1068">
        <v>1</v>
      </c>
      <c r="AN1068">
        <v>0</v>
      </c>
      <c r="AO1068">
        <v>0</v>
      </c>
      <c r="AP1068">
        <v>1</v>
      </c>
      <c r="AQ1068">
        <v>0</v>
      </c>
      <c r="AR1068">
        <v>0</v>
      </c>
      <c r="AS1068" t="s">
        <v>3</v>
      </c>
      <c r="AT1068">
        <v>1</v>
      </c>
      <c r="AU1068" t="s">
        <v>3</v>
      </c>
      <c r="AV1068">
        <v>0</v>
      </c>
      <c r="AW1068">
        <v>1</v>
      </c>
      <c r="AX1068">
        <v>-1</v>
      </c>
      <c r="AY1068">
        <v>0</v>
      </c>
      <c r="AZ1068">
        <v>0</v>
      </c>
      <c r="BA1068" t="s">
        <v>3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0</v>
      </c>
      <c r="BJ1068">
        <v>0</v>
      </c>
      <c r="BK1068">
        <v>0</v>
      </c>
      <c r="BL1068">
        <v>0</v>
      </c>
      <c r="BM1068">
        <v>0</v>
      </c>
      <c r="BN1068">
        <v>0</v>
      </c>
      <c r="BO1068">
        <v>0</v>
      </c>
      <c r="BP1068">
        <v>0</v>
      </c>
      <c r="BQ1068">
        <v>0</v>
      </c>
      <c r="BR1068">
        <v>0</v>
      </c>
      <c r="BS1068">
        <v>0</v>
      </c>
      <c r="BT1068">
        <v>0</v>
      </c>
      <c r="BU1068">
        <v>0</v>
      </c>
      <c r="BV1068">
        <v>0</v>
      </c>
      <c r="BW1068">
        <v>0</v>
      </c>
      <c r="CX1068">
        <f>ROUND(Y1068*Source!I1217,9)</f>
        <v>1</v>
      </c>
      <c r="CY1068">
        <f>AA1068</f>
        <v>10059</v>
      </c>
      <c r="CZ1068">
        <f>AE1068</f>
        <v>1186.1500000000001</v>
      </c>
      <c r="DA1068">
        <f>AI1068</f>
        <v>8.65</v>
      </c>
      <c r="DB1068">
        <f t="shared" si="552"/>
        <v>1186.1500000000001</v>
      </c>
      <c r="DC1068">
        <f t="shared" si="553"/>
        <v>0</v>
      </c>
      <c r="DD1068" t="s">
        <v>3</v>
      </c>
      <c r="DE1068" t="s">
        <v>3</v>
      </c>
      <c r="DF1068">
        <f>ROUND(ROUND(AE1068*CX1068,2)*AI1068,2)</f>
        <v>10260.200000000001</v>
      </c>
      <c r="DG1068">
        <f t="shared" si="548"/>
        <v>0</v>
      </c>
      <c r="DH1068">
        <f t="shared" si="549"/>
        <v>0</v>
      </c>
      <c r="DI1068">
        <f t="shared" si="523"/>
        <v>0</v>
      </c>
      <c r="DJ1068">
        <f>DF1068</f>
        <v>10260.200000000001</v>
      </c>
      <c r="DK1068">
        <v>0</v>
      </c>
    </row>
    <row r="1069" spans="1:115" x14ac:dyDescent="0.2">
      <c r="A1069">
        <f>ROW(Source!A1257)</f>
        <v>1257</v>
      </c>
      <c r="B1069">
        <v>129761636</v>
      </c>
      <c r="C1069">
        <v>129764457</v>
      </c>
      <c r="D1069">
        <v>37345890</v>
      </c>
      <c r="E1069">
        <v>37345137</v>
      </c>
      <c r="F1069">
        <v>1</v>
      </c>
      <c r="G1069">
        <v>37345137</v>
      </c>
      <c r="H1069">
        <v>2</v>
      </c>
      <c r="I1069" t="s">
        <v>1145</v>
      </c>
      <c r="J1069" t="s">
        <v>3</v>
      </c>
      <c r="K1069" t="s">
        <v>1146</v>
      </c>
      <c r="L1069">
        <v>1344</v>
      </c>
      <c r="N1069">
        <v>1008</v>
      </c>
      <c r="O1069" t="s">
        <v>1138</v>
      </c>
      <c r="P1069" t="s">
        <v>1138</v>
      </c>
      <c r="Q1069">
        <v>1</v>
      </c>
      <c r="W1069">
        <v>0</v>
      </c>
      <c r="X1069">
        <v>-1180195794</v>
      </c>
      <c r="Y1069">
        <f t="shared" si="551"/>
        <v>8.86</v>
      </c>
      <c r="AA1069">
        <v>0</v>
      </c>
      <c r="AB1069">
        <v>1</v>
      </c>
      <c r="AC1069">
        <v>0</v>
      </c>
      <c r="AD1069">
        <v>0</v>
      </c>
      <c r="AE1069">
        <v>0</v>
      </c>
      <c r="AF1069">
        <v>1</v>
      </c>
      <c r="AG1069">
        <v>0</v>
      </c>
      <c r="AH1069">
        <v>0</v>
      </c>
      <c r="AI1069">
        <v>1</v>
      </c>
      <c r="AJ1069">
        <v>1</v>
      </c>
      <c r="AK1069">
        <v>1</v>
      </c>
      <c r="AL1069">
        <v>1</v>
      </c>
      <c r="AN1069">
        <v>0</v>
      </c>
      <c r="AO1069">
        <v>1</v>
      </c>
      <c r="AP1069">
        <v>0</v>
      </c>
      <c r="AQ1069">
        <v>0</v>
      </c>
      <c r="AR1069">
        <v>0</v>
      </c>
      <c r="AS1069" t="s">
        <v>3</v>
      </c>
      <c r="AT1069">
        <v>8.86</v>
      </c>
      <c r="AU1069" t="s">
        <v>3</v>
      </c>
      <c r="AV1069">
        <v>0</v>
      </c>
      <c r="AW1069">
        <v>2</v>
      </c>
      <c r="AX1069">
        <v>129764459</v>
      </c>
      <c r="AY1069">
        <v>1</v>
      </c>
      <c r="AZ1069">
        <v>0</v>
      </c>
      <c r="BA1069">
        <v>1023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0</v>
      </c>
      <c r="BJ1069">
        <v>0</v>
      </c>
      <c r="BK1069">
        <v>0</v>
      </c>
      <c r="BL1069">
        <v>0</v>
      </c>
      <c r="BM1069">
        <v>0</v>
      </c>
      <c r="BN1069">
        <v>0</v>
      </c>
      <c r="BO1069">
        <v>0</v>
      </c>
      <c r="BP1069">
        <v>0</v>
      </c>
      <c r="BQ1069">
        <v>0</v>
      </c>
      <c r="BR1069">
        <v>0</v>
      </c>
      <c r="BS1069">
        <v>0</v>
      </c>
      <c r="BT1069">
        <v>0</v>
      </c>
      <c r="BU1069">
        <v>0</v>
      </c>
      <c r="BV1069">
        <v>0</v>
      </c>
      <c r="BW1069">
        <v>0</v>
      </c>
      <c r="CX1069">
        <f>ROUND(Y1069*Source!I1257,9)</f>
        <v>0.43325399999999997</v>
      </c>
      <c r="CY1069">
        <f t="shared" ref="CY1069:CY1074" si="554">AB1069</f>
        <v>1</v>
      </c>
      <c r="CZ1069">
        <f t="shared" ref="CZ1069:CZ1074" si="555">AF1069</f>
        <v>1</v>
      </c>
      <c r="DA1069">
        <f t="shared" ref="DA1069:DA1074" si="556">AJ1069</f>
        <v>1</v>
      </c>
      <c r="DB1069">
        <f t="shared" si="552"/>
        <v>8.86</v>
      </c>
      <c r="DC1069">
        <f t="shared" si="553"/>
        <v>0</v>
      </c>
      <c r="DD1069" t="s">
        <v>3</v>
      </c>
      <c r="DE1069" t="s">
        <v>3</v>
      </c>
      <c r="DF1069">
        <f t="shared" ref="DF1069:DF1081" si="557">ROUND(AE1069*CX1069,2)</f>
        <v>0</v>
      </c>
      <c r="DG1069">
        <f t="shared" si="548"/>
        <v>0.43</v>
      </c>
      <c r="DH1069">
        <f t="shared" si="549"/>
        <v>0</v>
      </c>
      <c r="DI1069">
        <f t="shared" si="523"/>
        <v>0</v>
      </c>
      <c r="DJ1069">
        <f t="shared" ref="DJ1069:DJ1074" si="558">DG1069</f>
        <v>0.43</v>
      </c>
      <c r="DK1069">
        <v>0</v>
      </c>
    </row>
    <row r="1070" spans="1:115" x14ac:dyDescent="0.2">
      <c r="A1070">
        <f>ROW(Source!A1258)</f>
        <v>1258</v>
      </c>
      <c r="B1070">
        <v>129761633</v>
      </c>
      <c r="C1070">
        <v>129764457</v>
      </c>
      <c r="D1070">
        <v>37345890</v>
      </c>
      <c r="E1070">
        <v>37345137</v>
      </c>
      <c r="F1070">
        <v>1</v>
      </c>
      <c r="G1070">
        <v>37345137</v>
      </c>
      <c r="H1070">
        <v>2</v>
      </c>
      <c r="I1070" t="s">
        <v>1145</v>
      </c>
      <c r="J1070" t="s">
        <v>3</v>
      </c>
      <c r="K1070" t="s">
        <v>1146</v>
      </c>
      <c r="L1070">
        <v>1344</v>
      </c>
      <c r="N1070">
        <v>1008</v>
      </c>
      <c r="O1070" t="s">
        <v>1138</v>
      </c>
      <c r="P1070" t="s">
        <v>1138</v>
      </c>
      <c r="Q1070">
        <v>1</v>
      </c>
      <c r="W1070">
        <v>0</v>
      </c>
      <c r="X1070">
        <v>-1180195794</v>
      </c>
      <c r="Y1070">
        <f t="shared" si="551"/>
        <v>8.86</v>
      </c>
      <c r="AA1070">
        <v>0</v>
      </c>
      <c r="AB1070">
        <v>1.05</v>
      </c>
      <c r="AC1070">
        <v>0</v>
      </c>
      <c r="AD1070">
        <v>0</v>
      </c>
      <c r="AE1070">
        <v>0</v>
      </c>
      <c r="AF1070">
        <v>1</v>
      </c>
      <c r="AG1070">
        <v>0</v>
      </c>
      <c r="AH1070">
        <v>0</v>
      </c>
      <c r="AI1070">
        <v>1</v>
      </c>
      <c r="AJ1070">
        <v>1</v>
      </c>
      <c r="AK1070">
        <v>1</v>
      </c>
      <c r="AL1070">
        <v>1</v>
      </c>
      <c r="AN1070">
        <v>0</v>
      </c>
      <c r="AO1070">
        <v>1</v>
      </c>
      <c r="AP1070">
        <v>0</v>
      </c>
      <c r="AQ1070">
        <v>0</v>
      </c>
      <c r="AR1070">
        <v>0</v>
      </c>
      <c r="AS1070" t="s">
        <v>3</v>
      </c>
      <c r="AT1070">
        <v>8.86</v>
      </c>
      <c r="AU1070" t="s">
        <v>3</v>
      </c>
      <c r="AV1070">
        <v>0</v>
      </c>
      <c r="AW1070">
        <v>2</v>
      </c>
      <c r="AX1070">
        <v>129764459</v>
      </c>
      <c r="AY1070">
        <v>1</v>
      </c>
      <c r="AZ1070">
        <v>0</v>
      </c>
      <c r="BA1070">
        <v>1024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0</v>
      </c>
      <c r="BJ1070">
        <v>0</v>
      </c>
      <c r="BK1070">
        <v>0</v>
      </c>
      <c r="BL1070">
        <v>0</v>
      </c>
      <c r="BM1070">
        <v>0</v>
      </c>
      <c r="BN1070">
        <v>0</v>
      </c>
      <c r="BO1070">
        <v>0</v>
      </c>
      <c r="BP1070">
        <v>0</v>
      </c>
      <c r="BQ1070">
        <v>0</v>
      </c>
      <c r="BR1070">
        <v>0</v>
      </c>
      <c r="BS1070">
        <v>0</v>
      </c>
      <c r="BT1070">
        <v>0</v>
      </c>
      <c r="BU1070">
        <v>0</v>
      </c>
      <c r="BV1070">
        <v>0</v>
      </c>
      <c r="BW1070">
        <v>0</v>
      </c>
      <c r="CX1070">
        <f>ROUND(Y1070*Source!I1258,9)</f>
        <v>0.43325399999999997</v>
      </c>
      <c r="CY1070">
        <f t="shared" si="554"/>
        <v>1.05</v>
      </c>
      <c r="CZ1070">
        <f t="shared" si="555"/>
        <v>1</v>
      </c>
      <c r="DA1070">
        <f t="shared" si="556"/>
        <v>1</v>
      </c>
      <c r="DB1070">
        <f t="shared" si="552"/>
        <v>8.86</v>
      </c>
      <c r="DC1070">
        <f t="shared" si="553"/>
        <v>0</v>
      </c>
      <c r="DD1070" t="s">
        <v>3</v>
      </c>
      <c r="DE1070" t="s">
        <v>3</v>
      </c>
      <c r="DF1070">
        <f t="shared" si="557"/>
        <v>0</v>
      </c>
      <c r="DG1070">
        <f t="shared" si="548"/>
        <v>0.43</v>
      </c>
      <c r="DH1070">
        <f t="shared" si="549"/>
        <v>0</v>
      </c>
      <c r="DI1070">
        <f t="shared" si="523"/>
        <v>0</v>
      </c>
      <c r="DJ1070">
        <f t="shared" si="558"/>
        <v>0.43</v>
      </c>
      <c r="DK1070">
        <v>0</v>
      </c>
    </row>
    <row r="1071" spans="1:115" x14ac:dyDescent="0.2">
      <c r="A1071">
        <f>ROW(Source!A1259)</f>
        <v>1259</v>
      </c>
      <c r="B1071">
        <v>129761636</v>
      </c>
      <c r="C1071">
        <v>129764460</v>
      </c>
      <c r="D1071">
        <v>39148095</v>
      </c>
      <c r="E1071">
        <v>1</v>
      </c>
      <c r="F1071">
        <v>1</v>
      </c>
      <c r="G1071">
        <v>37345137</v>
      </c>
      <c r="H1071">
        <v>2</v>
      </c>
      <c r="I1071" t="s">
        <v>1291</v>
      </c>
      <c r="J1071" t="s">
        <v>1292</v>
      </c>
      <c r="K1071" t="s">
        <v>1293</v>
      </c>
      <c r="L1071">
        <v>1367</v>
      </c>
      <c r="N1071">
        <v>1011</v>
      </c>
      <c r="O1071" t="s">
        <v>1102</v>
      </c>
      <c r="P1071" t="s">
        <v>1102</v>
      </c>
      <c r="Q1071">
        <v>1</v>
      </c>
      <c r="W1071">
        <v>0</v>
      </c>
      <c r="X1071">
        <v>-1132105959</v>
      </c>
      <c r="Y1071">
        <f t="shared" si="551"/>
        <v>1</v>
      </c>
      <c r="AA1071">
        <v>0</v>
      </c>
      <c r="AB1071">
        <v>115.66</v>
      </c>
      <c r="AC1071">
        <v>14.4</v>
      </c>
      <c r="AD1071">
        <v>0</v>
      </c>
      <c r="AE1071">
        <v>0</v>
      </c>
      <c r="AF1071">
        <v>115.66</v>
      </c>
      <c r="AG1071">
        <v>14.4</v>
      </c>
      <c r="AH1071">
        <v>0</v>
      </c>
      <c r="AI1071">
        <v>1</v>
      </c>
      <c r="AJ1071">
        <v>1</v>
      </c>
      <c r="AK1071">
        <v>1</v>
      </c>
      <c r="AL1071">
        <v>1</v>
      </c>
      <c r="AN1071">
        <v>0</v>
      </c>
      <c r="AO1071">
        <v>1</v>
      </c>
      <c r="AP1071">
        <v>0</v>
      </c>
      <c r="AQ1071">
        <v>0</v>
      </c>
      <c r="AR1071">
        <v>0</v>
      </c>
      <c r="AS1071" t="s">
        <v>3</v>
      </c>
      <c r="AT1071">
        <v>1</v>
      </c>
      <c r="AU1071" t="s">
        <v>3</v>
      </c>
      <c r="AV1071">
        <v>0</v>
      </c>
      <c r="AW1071">
        <v>2</v>
      </c>
      <c r="AX1071">
        <v>129764462</v>
      </c>
      <c r="AY1071">
        <v>1</v>
      </c>
      <c r="AZ1071">
        <v>0</v>
      </c>
      <c r="BA1071">
        <v>1025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0</v>
      </c>
      <c r="BJ1071">
        <v>0</v>
      </c>
      <c r="BK1071">
        <v>0</v>
      </c>
      <c r="BL1071">
        <v>0</v>
      </c>
      <c r="BM1071">
        <v>0</v>
      </c>
      <c r="BN1071">
        <v>0</v>
      </c>
      <c r="BO1071">
        <v>0</v>
      </c>
      <c r="BP1071">
        <v>0</v>
      </c>
      <c r="BQ1071">
        <v>0</v>
      </c>
      <c r="BR1071">
        <v>0</v>
      </c>
      <c r="BS1071">
        <v>0</v>
      </c>
      <c r="BT1071">
        <v>0</v>
      </c>
      <c r="BU1071">
        <v>0</v>
      </c>
      <c r="BV1071">
        <v>0</v>
      </c>
      <c r="BW1071">
        <v>0</v>
      </c>
      <c r="CX1071">
        <f>ROUND(Y1071*Source!I1259,9)</f>
        <v>4.8899999999999999E-2</v>
      </c>
      <c r="CY1071">
        <f t="shared" si="554"/>
        <v>115.66</v>
      </c>
      <c r="CZ1071">
        <f t="shared" si="555"/>
        <v>115.66</v>
      </c>
      <c r="DA1071">
        <f t="shared" si="556"/>
        <v>1</v>
      </c>
      <c r="DB1071">
        <f t="shared" si="552"/>
        <v>115.66</v>
      </c>
      <c r="DC1071">
        <f t="shared" si="553"/>
        <v>14.4</v>
      </c>
      <c r="DD1071" t="s">
        <v>3</v>
      </c>
      <c r="DE1071" t="s">
        <v>3</v>
      </c>
      <c r="DF1071">
        <f t="shared" si="557"/>
        <v>0</v>
      </c>
      <c r="DG1071">
        <f t="shared" si="548"/>
        <v>5.66</v>
      </c>
      <c r="DH1071">
        <f t="shared" si="549"/>
        <v>0.7</v>
      </c>
      <c r="DI1071">
        <f t="shared" si="523"/>
        <v>0</v>
      </c>
      <c r="DJ1071">
        <f t="shared" si="558"/>
        <v>5.66</v>
      </c>
      <c r="DK1071">
        <v>0</v>
      </c>
    </row>
    <row r="1072" spans="1:115" x14ac:dyDescent="0.2">
      <c r="A1072">
        <f>ROW(Source!A1260)</f>
        <v>1260</v>
      </c>
      <c r="B1072">
        <v>129761633</v>
      </c>
      <c r="C1072">
        <v>129764460</v>
      </c>
      <c r="D1072">
        <v>39148095</v>
      </c>
      <c r="E1072">
        <v>1</v>
      </c>
      <c r="F1072">
        <v>1</v>
      </c>
      <c r="G1072">
        <v>37345137</v>
      </c>
      <c r="H1072">
        <v>2</v>
      </c>
      <c r="I1072" t="s">
        <v>1291</v>
      </c>
      <c r="J1072" t="s">
        <v>1292</v>
      </c>
      <c r="K1072" t="s">
        <v>1293</v>
      </c>
      <c r="L1072">
        <v>1367</v>
      </c>
      <c r="N1072">
        <v>1011</v>
      </c>
      <c r="O1072" t="s">
        <v>1102</v>
      </c>
      <c r="P1072" t="s">
        <v>1102</v>
      </c>
      <c r="Q1072">
        <v>1</v>
      </c>
      <c r="W1072">
        <v>0</v>
      </c>
      <c r="X1072">
        <v>-1132105959</v>
      </c>
      <c r="Y1072">
        <f t="shared" si="551"/>
        <v>1</v>
      </c>
      <c r="AA1072">
        <v>0</v>
      </c>
      <c r="AB1072">
        <v>1279.2</v>
      </c>
      <c r="AC1072">
        <v>418.03</v>
      </c>
      <c r="AD1072">
        <v>0</v>
      </c>
      <c r="AE1072">
        <v>0</v>
      </c>
      <c r="AF1072">
        <v>115.66</v>
      </c>
      <c r="AG1072">
        <v>14.4</v>
      </c>
      <c r="AH1072">
        <v>0</v>
      </c>
      <c r="AI1072">
        <v>1</v>
      </c>
      <c r="AJ1072">
        <v>11.06</v>
      </c>
      <c r="AK1072">
        <v>29.03</v>
      </c>
      <c r="AL1072">
        <v>1</v>
      </c>
      <c r="AN1072">
        <v>0</v>
      </c>
      <c r="AO1072">
        <v>1</v>
      </c>
      <c r="AP1072">
        <v>0</v>
      </c>
      <c r="AQ1072">
        <v>0</v>
      </c>
      <c r="AR1072">
        <v>0</v>
      </c>
      <c r="AS1072" t="s">
        <v>3</v>
      </c>
      <c r="AT1072">
        <v>1</v>
      </c>
      <c r="AU1072" t="s">
        <v>3</v>
      </c>
      <c r="AV1072">
        <v>0</v>
      </c>
      <c r="AW1072">
        <v>2</v>
      </c>
      <c r="AX1072">
        <v>129764462</v>
      </c>
      <c r="AY1072">
        <v>1</v>
      </c>
      <c r="AZ1072">
        <v>0</v>
      </c>
      <c r="BA1072">
        <v>1026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0</v>
      </c>
      <c r="BK1072">
        <v>0</v>
      </c>
      <c r="BL1072">
        <v>0</v>
      </c>
      <c r="BM1072">
        <v>0</v>
      </c>
      <c r="BN1072">
        <v>0</v>
      </c>
      <c r="BO1072">
        <v>0</v>
      </c>
      <c r="BP1072">
        <v>0</v>
      </c>
      <c r="BQ1072">
        <v>0</v>
      </c>
      <c r="BR1072">
        <v>0</v>
      </c>
      <c r="BS1072">
        <v>0</v>
      </c>
      <c r="BT1072">
        <v>0</v>
      </c>
      <c r="BU1072">
        <v>0</v>
      </c>
      <c r="BV1072">
        <v>0</v>
      </c>
      <c r="BW1072">
        <v>0</v>
      </c>
      <c r="CX1072">
        <f>ROUND(Y1072*Source!I1260,9)</f>
        <v>4.8899999999999999E-2</v>
      </c>
      <c r="CY1072">
        <f t="shared" si="554"/>
        <v>1279.2</v>
      </c>
      <c r="CZ1072">
        <f t="shared" si="555"/>
        <v>115.66</v>
      </c>
      <c r="DA1072">
        <f t="shared" si="556"/>
        <v>11.06</v>
      </c>
      <c r="DB1072">
        <f t="shared" si="552"/>
        <v>115.66</v>
      </c>
      <c r="DC1072">
        <f t="shared" si="553"/>
        <v>14.4</v>
      </c>
      <c r="DD1072" t="s">
        <v>3</v>
      </c>
      <c r="DE1072" t="s">
        <v>3</v>
      </c>
      <c r="DF1072">
        <f t="shared" si="557"/>
        <v>0</v>
      </c>
      <c r="DG1072">
        <f>ROUND(ROUND(AF1072*CX1072,2)*AJ1072,2)</f>
        <v>62.6</v>
      </c>
      <c r="DH1072">
        <f>ROUND(ROUND(AG1072*CX1072,2)*AK1072,2)</f>
        <v>20.32</v>
      </c>
      <c r="DI1072">
        <f t="shared" si="523"/>
        <v>0</v>
      </c>
      <c r="DJ1072">
        <f t="shared" si="558"/>
        <v>62.6</v>
      </c>
      <c r="DK1072">
        <v>0</v>
      </c>
    </row>
    <row r="1073" spans="1:115" x14ac:dyDescent="0.2">
      <c r="A1073">
        <f>ROW(Source!A1261)</f>
        <v>1261</v>
      </c>
      <c r="B1073">
        <v>129761636</v>
      </c>
      <c r="C1073">
        <v>129764463</v>
      </c>
      <c r="D1073">
        <v>37345890</v>
      </c>
      <c r="E1073">
        <v>37345137</v>
      </c>
      <c r="F1073">
        <v>1</v>
      </c>
      <c r="G1073">
        <v>37345137</v>
      </c>
      <c r="H1073">
        <v>2</v>
      </c>
      <c r="I1073" t="s">
        <v>1145</v>
      </c>
      <c r="J1073" t="s">
        <v>3</v>
      </c>
      <c r="K1073" t="s">
        <v>1146</v>
      </c>
      <c r="L1073">
        <v>1344</v>
      </c>
      <c r="N1073">
        <v>1008</v>
      </c>
      <c r="O1073" t="s">
        <v>1138</v>
      </c>
      <c r="P1073" t="s">
        <v>1138</v>
      </c>
      <c r="Q1073">
        <v>1</v>
      </c>
      <c r="W1073">
        <v>0</v>
      </c>
      <c r="X1073">
        <v>-1180195794</v>
      </c>
      <c r="Y1073">
        <f t="shared" si="551"/>
        <v>31.67</v>
      </c>
      <c r="AA1073">
        <v>0</v>
      </c>
      <c r="AB1073">
        <v>1</v>
      </c>
      <c r="AC1073">
        <v>0</v>
      </c>
      <c r="AD1073">
        <v>0</v>
      </c>
      <c r="AE1073">
        <v>0</v>
      </c>
      <c r="AF1073">
        <v>1</v>
      </c>
      <c r="AG1073">
        <v>0</v>
      </c>
      <c r="AH1073">
        <v>0</v>
      </c>
      <c r="AI1073">
        <v>1</v>
      </c>
      <c r="AJ1073">
        <v>1</v>
      </c>
      <c r="AK1073">
        <v>1</v>
      </c>
      <c r="AL1073">
        <v>1</v>
      </c>
      <c r="AN1073">
        <v>0</v>
      </c>
      <c r="AO1073">
        <v>1</v>
      </c>
      <c r="AP1073">
        <v>0</v>
      </c>
      <c r="AQ1073">
        <v>0</v>
      </c>
      <c r="AR1073">
        <v>0</v>
      </c>
      <c r="AS1073" t="s">
        <v>3</v>
      </c>
      <c r="AT1073">
        <v>31.67</v>
      </c>
      <c r="AU1073" t="s">
        <v>3</v>
      </c>
      <c r="AV1073">
        <v>0</v>
      </c>
      <c r="AW1073">
        <v>2</v>
      </c>
      <c r="AX1073">
        <v>129764465</v>
      </c>
      <c r="AY1073">
        <v>1</v>
      </c>
      <c r="AZ1073">
        <v>0</v>
      </c>
      <c r="BA1073">
        <v>1027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0</v>
      </c>
      <c r="BJ1073">
        <v>0</v>
      </c>
      <c r="BK1073">
        <v>0</v>
      </c>
      <c r="BL1073">
        <v>0</v>
      </c>
      <c r="BM1073">
        <v>0</v>
      </c>
      <c r="BN1073">
        <v>0</v>
      </c>
      <c r="BO1073">
        <v>0</v>
      </c>
      <c r="BP1073">
        <v>0</v>
      </c>
      <c r="BQ1073">
        <v>0</v>
      </c>
      <c r="BR1073">
        <v>0</v>
      </c>
      <c r="BS1073">
        <v>0</v>
      </c>
      <c r="BT1073">
        <v>0</v>
      </c>
      <c r="BU1073">
        <v>0</v>
      </c>
      <c r="BV1073">
        <v>0</v>
      </c>
      <c r="BW1073">
        <v>0</v>
      </c>
      <c r="CX1073">
        <f>ROUND(Y1073*Source!I1261,9)</f>
        <v>1.5486629999999999</v>
      </c>
      <c r="CY1073">
        <f t="shared" si="554"/>
        <v>1</v>
      </c>
      <c r="CZ1073">
        <f t="shared" si="555"/>
        <v>1</v>
      </c>
      <c r="DA1073">
        <f t="shared" si="556"/>
        <v>1</v>
      </c>
      <c r="DB1073">
        <f t="shared" si="552"/>
        <v>31.67</v>
      </c>
      <c r="DC1073">
        <f t="shared" si="553"/>
        <v>0</v>
      </c>
      <c r="DD1073" t="s">
        <v>3</v>
      </c>
      <c r="DE1073" t="s">
        <v>3</v>
      </c>
      <c r="DF1073">
        <f t="shared" si="557"/>
        <v>0</v>
      </c>
      <c r="DG1073">
        <f t="shared" ref="DG1073:DG1092" si="559">ROUND(AF1073*CX1073,2)</f>
        <v>1.55</v>
      </c>
      <c r="DH1073">
        <f t="shared" ref="DH1073:DH1092" si="560">ROUND(AG1073*CX1073,2)</f>
        <v>0</v>
      </c>
      <c r="DI1073">
        <f t="shared" si="523"/>
        <v>0</v>
      </c>
      <c r="DJ1073">
        <f t="shared" si="558"/>
        <v>1.55</v>
      </c>
      <c r="DK1073">
        <v>0</v>
      </c>
    </row>
    <row r="1074" spans="1:115" x14ac:dyDescent="0.2">
      <c r="A1074">
        <f>ROW(Source!A1262)</f>
        <v>1262</v>
      </c>
      <c r="B1074">
        <v>129761633</v>
      </c>
      <c r="C1074">
        <v>129764463</v>
      </c>
      <c r="D1074">
        <v>37345890</v>
      </c>
      <c r="E1074">
        <v>37345137</v>
      </c>
      <c r="F1074">
        <v>1</v>
      </c>
      <c r="G1074">
        <v>37345137</v>
      </c>
      <c r="H1074">
        <v>2</v>
      </c>
      <c r="I1074" t="s">
        <v>1145</v>
      </c>
      <c r="J1074" t="s">
        <v>3</v>
      </c>
      <c r="K1074" t="s">
        <v>1146</v>
      </c>
      <c r="L1074">
        <v>1344</v>
      </c>
      <c r="N1074">
        <v>1008</v>
      </c>
      <c r="O1074" t="s">
        <v>1138</v>
      </c>
      <c r="P1074" t="s">
        <v>1138</v>
      </c>
      <c r="Q1074">
        <v>1</v>
      </c>
      <c r="W1074">
        <v>0</v>
      </c>
      <c r="X1074">
        <v>-1180195794</v>
      </c>
      <c r="Y1074">
        <f t="shared" si="551"/>
        <v>31.67</v>
      </c>
      <c r="AA1074">
        <v>0</v>
      </c>
      <c r="AB1074">
        <v>1</v>
      </c>
      <c r="AC1074">
        <v>0</v>
      </c>
      <c r="AD1074">
        <v>0</v>
      </c>
      <c r="AE1074">
        <v>0</v>
      </c>
      <c r="AF1074">
        <v>1</v>
      </c>
      <c r="AG1074">
        <v>0</v>
      </c>
      <c r="AH1074">
        <v>0</v>
      </c>
      <c r="AI1074">
        <v>1</v>
      </c>
      <c r="AJ1074">
        <v>1</v>
      </c>
      <c r="AK1074">
        <v>1</v>
      </c>
      <c r="AL1074">
        <v>1</v>
      </c>
      <c r="AN1074">
        <v>0</v>
      </c>
      <c r="AO1074">
        <v>1</v>
      </c>
      <c r="AP1074">
        <v>0</v>
      </c>
      <c r="AQ1074">
        <v>0</v>
      </c>
      <c r="AR1074">
        <v>0</v>
      </c>
      <c r="AS1074" t="s">
        <v>3</v>
      </c>
      <c r="AT1074">
        <v>31.67</v>
      </c>
      <c r="AU1074" t="s">
        <v>3</v>
      </c>
      <c r="AV1074">
        <v>0</v>
      </c>
      <c r="AW1074">
        <v>2</v>
      </c>
      <c r="AX1074">
        <v>129764465</v>
      </c>
      <c r="AY1074">
        <v>1</v>
      </c>
      <c r="AZ1074">
        <v>0</v>
      </c>
      <c r="BA1074">
        <v>1028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0</v>
      </c>
      <c r="BJ1074">
        <v>0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0</v>
      </c>
      <c r="BR1074">
        <v>0</v>
      </c>
      <c r="BS1074">
        <v>0</v>
      </c>
      <c r="BT1074">
        <v>0</v>
      </c>
      <c r="BU1074">
        <v>0</v>
      </c>
      <c r="BV1074">
        <v>0</v>
      </c>
      <c r="BW1074">
        <v>0</v>
      </c>
      <c r="CX1074">
        <f>ROUND(Y1074*Source!I1262,9)</f>
        <v>1.5486629999999999</v>
      </c>
      <c r="CY1074">
        <f t="shared" si="554"/>
        <v>1</v>
      </c>
      <c r="CZ1074">
        <f t="shared" si="555"/>
        <v>1</v>
      </c>
      <c r="DA1074">
        <f t="shared" si="556"/>
        <v>1</v>
      </c>
      <c r="DB1074">
        <f t="shared" si="552"/>
        <v>31.67</v>
      </c>
      <c r="DC1074">
        <f t="shared" si="553"/>
        <v>0</v>
      </c>
      <c r="DD1074" t="s">
        <v>3</v>
      </c>
      <c r="DE1074" t="s">
        <v>3</v>
      </c>
      <c r="DF1074">
        <f t="shared" si="557"/>
        <v>0</v>
      </c>
      <c r="DG1074">
        <f t="shared" si="559"/>
        <v>1.55</v>
      </c>
      <c r="DH1074">
        <f t="shared" si="560"/>
        <v>0</v>
      </c>
      <c r="DI1074">
        <f t="shared" si="523"/>
        <v>0</v>
      </c>
      <c r="DJ1074">
        <f t="shared" si="558"/>
        <v>1.55</v>
      </c>
      <c r="DK1074">
        <v>0</v>
      </c>
    </row>
    <row r="1075" spans="1:115" x14ac:dyDescent="0.2">
      <c r="A1075">
        <f>ROW(Source!A1332)</f>
        <v>1332</v>
      </c>
      <c r="B1075">
        <v>129761636</v>
      </c>
      <c r="C1075">
        <v>129764466</v>
      </c>
      <c r="D1075">
        <v>37345142</v>
      </c>
      <c r="E1075">
        <v>37345137</v>
      </c>
      <c r="F1075">
        <v>1</v>
      </c>
      <c r="G1075">
        <v>37345137</v>
      </c>
      <c r="H1075">
        <v>1</v>
      </c>
      <c r="I1075" t="s">
        <v>1096</v>
      </c>
      <c r="J1075" t="s">
        <v>3</v>
      </c>
      <c r="K1075" t="s">
        <v>1097</v>
      </c>
      <c r="L1075">
        <v>1191</v>
      </c>
      <c r="N1075">
        <v>1013</v>
      </c>
      <c r="O1075" t="s">
        <v>1098</v>
      </c>
      <c r="P1075" t="s">
        <v>1098</v>
      </c>
      <c r="Q1075">
        <v>1</v>
      </c>
      <c r="W1075">
        <v>0</v>
      </c>
      <c r="X1075">
        <v>476480486</v>
      </c>
      <c r="Y1075">
        <f>(AT1075*1.15)</f>
        <v>43.93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1</v>
      </c>
      <c r="AJ1075">
        <v>1</v>
      </c>
      <c r="AK1075">
        <v>1</v>
      </c>
      <c r="AL1075">
        <v>1</v>
      </c>
      <c r="AN1075">
        <v>0</v>
      </c>
      <c r="AO1075">
        <v>1</v>
      </c>
      <c r="AP1075">
        <v>1</v>
      </c>
      <c r="AQ1075">
        <v>0</v>
      </c>
      <c r="AR1075">
        <v>0</v>
      </c>
      <c r="AS1075" t="s">
        <v>3</v>
      </c>
      <c r="AT1075">
        <v>38.200000000000003</v>
      </c>
      <c r="AU1075" t="s">
        <v>87</v>
      </c>
      <c r="AV1075">
        <v>1</v>
      </c>
      <c r="AW1075">
        <v>2</v>
      </c>
      <c r="AX1075">
        <v>129764472</v>
      </c>
      <c r="AY1075">
        <v>1</v>
      </c>
      <c r="AZ1075">
        <v>0</v>
      </c>
      <c r="BA1075">
        <v>1029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0</v>
      </c>
      <c r="BK1075">
        <v>0</v>
      </c>
      <c r="BL1075">
        <v>0</v>
      </c>
      <c r="BM1075">
        <v>0</v>
      </c>
      <c r="BN1075">
        <v>0</v>
      </c>
      <c r="BO1075">
        <v>0</v>
      </c>
      <c r="BP1075">
        <v>0</v>
      </c>
      <c r="BQ1075">
        <v>0</v>
      </c>
      <c r="BR1075">
        <v>0</v>
      </c>
      <c r="BS1075">
        <v>0</v>
      </c>
      <c r="BT1075">
        <v>0</v>
      </c>
      <c r="BU1075">
        <v>0</v>
      </c>
      <c r="BV1075">
        <v>0</v>
      </c>
      <c r="BW1075">
        <v>0</v>
      </c>
      <c r="CX1075">
        <f>ROUND(Y1075*Source!I1332,9)</f>
        <v>3.9537000000000003E-2</v>
      </c>
      <c r="CY1075">
        <f>AD1075</f>
        <v>0</v>
      </c>
      <c r="CZ1075">
        <f>AH1075</f>
        <v>0</v>
      </c>
      <c r="DA1075">
        <f>AL1075</f>
        <v>1</v>
      </c>
      <c r="DB1075">
        <f>ROUND((ROUND(AT1075*CZ1075,2)*1.15),6)</f>
        <v>0</v>
      </c>
      <c r="DC1075">
        <f>ROUND((ROUND(AT1075*AG1075,2)*1.15),6)</f>
        <v>0</v>
      </c>
      <c r="DD1075" t="s">
        <v>3</v>
      </c>
      <c r="DE1075" t="s">
        <v>3</v>
      </c>
      <c r="DF1075">
        <f t="shared" si="557"/>
        <v>0</v>
      </c>
      <c r="DG1075">
        <f t="shared" si="559"/>
        <v>0</v>
      </c>
      <c r="DH1075">
        <f t="shared" si="560"/>
        <v>0</v>
      </c>
      <c r="DI1075">
        <f t="shared" si="523"/>
        <v>0</v>
      </c>
      <c r="DJ1075">
        <f>DI1075</f>
        <v>0</v>
      </c>
      <c r="DK1075">
        <v>0</v>
      </c>
    </row>
    <row r="1076" spans="1:115" x14ac:dyDescent="0.2">
      <c r="A1076">
        <f>ROW(Source!A1332)</f>
        <v>1332</v>
      </c>
      <c r="B1076">
        <v>129761636</v>
      </c>
      <c r="C1076">
        <v>129764466</v>
      </c>
      <c r="D1076">
        <v>37345890</v>
      </c>
      <c r="E1076">
        <v>37345137</v>
      </c>
      <c r="F1076">
        <v>1</v>
      </c>
      <c r="G1076">
        <v>37345137</v>
      </c>
      <c r="H1076">
        <v>2</v>
      </c>
      <c r="I1076" t="s">
        <v>1145</v>
      </c>
      <c r="J1076" t="s">
        <v>3</v>
      </c>
      <c r="K1076" t="s">
        <v>1146</v>
      </c>
      <c r="L1076">
        <v>1344</v>
      </c>
      <c r="N1076">
        <v>1008</v>
      </c>
      <c r="O1076" t="s">
        <v>1138</v>
      </c>
      <c r="P1076" t="s">
        <v>1138</v>
      </c>
      <c r="Q1076">
        <v>1</v>
      </c>
      <c r="W1076">
        <v>0</v>
      </c>
      <c r="X1076">
        <v>-1180195794</v>
      </c>
      <c r="Y1076">
        <f>(AT1076*1.25)</f>
        <v>80.024999999999991</v>
      </c>
      <c r="AA1076">
        <v>0</v>
      </c>
      <c r="AB1076">
        <v>1</v>
      </c>
      <c r="AC1076">
        <v>0</v>
      </c>
      <c r="AD1076">
        <v>0</v>
      </c>
      <c r="AE1076">
        <v>0</v>
      </c>
      <c r="AF1076">
        <v>1</v>
      </c>
      <c r="AG1076">
        <v>0</v>
      </c>
      <c r="AH1076">
        <v>0</v>
      </c>
      <c r="AI1076">
        <v>1</v>
      </c>
      <c r="AJ1076">
        <v>1</v>
      </c>
      <c r="AK1076">
        <v>1</v>
      </c>
      <c r="AL1076">
        <v>1</v>
      </c>
      <c r="AN1076">
        <v>0</v>
      </c>
      <c r="AO1076">
        <v>1</v>
      </c>
      <c r="AP1076">
        <v>1</v>
      </c>
      <c r="AQ1076">
        <v>0</v>
      </c>
      <c r="AR1076">
        <v>0</v>
      </c>
      <c r="AS1076" t="s">
        <v>3</v>
      </c>
      <c r="AT1076">
        <v>64.02</v>
      </c>
      <c r="AU1076" t="s">
        <v>86</v>
      </c>
      <c r="AV1076">
        <v>0</v>
      </c>
      <c r="AW1076">
        <v>2</v>
      </c>
      <c r="AX1076">
        <v>129764473</v>
      </c>
      <c r="AY1076">
        <v>1</v>
      </c>
      <c r="AZ1076">
        <v>0</v>
      </c>
      <c r="BA1076">
        <v>1030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0</v>
      </c>
      <c r="BJ1076">
        <v>0</v>
      </c>
      <c r="BK1076">
        <v>0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0</v>
      </c>
      <c r="BR1076">
        <v>0</v>
      </c>
      <c r="BS1076">
        <v>0</v>
      </c>
      <c r="BT1076">
        <v>0</v>
      </c>
      <c r="BU1076">
        <v>0</v>
      </c>
      <c r="BV1076">
        <v>0</v>
      </c>
      <c r="BW1076">
        <v>0</v>
      </c>
      <c r="CX1076">
        <f>ROUND(Y1076*Source!I1332,9)</f>
        <v>7.2022500000000003E-2</v>
      </c>
      <c r="CY1076">
        <f>AB1076</f>
        <v>1</v>
      </c>
      <c r="CZ1076">
        <f>AF1076</f>
        <v>1</v>
      </c>
      <c r="DA1076">
        <f>AJ1076</f>
        <v>1</v>
      </c>
      <c r="DB1076">
        <f>ROUND((ROUND(AT1076*CZ1076,2)*1.25),6)</f>
        <v>80.025000000000006</v>
      </c>
      <c r="DC1076">
        <f>ROUND((ROUND(AT1076*AG1076,2)*1.25),6)</f>
        <v>0</v>
      </c>
      <c r="DD1076" t="s">
        <v>3</v>
      </c>
      <c r="DE1076" t="s">
        <v>3</v>
      </c>
      <c r="DF1076">
        <f t="shared" si="557"/>
        <v>0</v>
      </c>
      <c r="DG1076">
        <f t="shared" si="559"/>
        <v>7.0000000000000007E-2</v>
      </c>
      <c r="DH1076">
        <f t="shared" si="560"/>
        <v>0</v>
      </c>
      <c r="DI1076">
        <f t="shared" si="523"/>
        <v>0</v>
      </c>
      <c r="DJ1076">
        <f>DG1076</f>
        <v>7.0000000000000007E-2</v>
      </c>
      <c r="DK1076">
        <v>0</v>
      </c>
    </row>
    <row r="1077" spans="1:115" x14ac:dyDescent="0.2">
      <c r="A1077">
        <f>ROW(Source!A1332)</f>
        <v>1332</v>
      </c>
      <c r="B1077">
        <v>129761636</v>
      </c>
      <c r="C1077">
        <v>129764466</v>
      </c>
      <c r="D1077">
        <v>37393809</v>
      </c>
      <c r="E1077">
        <v>1</v>
      </c>
      <c r="F1077">
        <v>1</v>
      </c>
      <c r="G1077">
        <v>37345137</v>
      </c>
      <c r="H1077">
        <v>3</v>
      </c>
      <c r="I1077" t="s">
        <v>1011</v>
      </c>
      <c r="J1077" t="s">
        <v>1013</v>
      </c>
      <c r="K1077" t="s">
        <v>1012</v>
      </c>
      <c r="L1077">
        <v>1348</v>
      </c>
      <c r="N1077">
        <v>1009</v>
      </c>
      <c r="O1077" t="s">
        <v>114</v>
      </c>
      <c r="P1077" t="s">
        <v>114</v>
      </c>
      <c r="Q1077">
        <v>1000</v>
      </c>
      <c r="W1077">
        <v>0</v>
      </c>
      <c r="X1077">
        <v>1030234511</v>
      </c>
      <c r="Y1077">
        <f>AT1077</f>
        <v>4.6300000000000001E-2</v>
      </c>
      <c r="AA1077">
        <v>43326.77</v>
      </c>
      <c r="AB1077">
        <v>0</v>
      </c>
      <c r="AC1077">
        <v>0</v>
      </c>
      <c r="AD1077">
        <v>0</v>
      </c>
      <c r="AE1077">
        <v>43326.77</v>
      </c>
      <c r="AF1077">
        <v>0</v>
      </c>
      <c r="AG1077">
        <v>0</v>
      </c>
      <c r="AH1077">
        <v>0</v>
      </c>
      <c r="AI1077">
        <v>1</v>
      </c>
      <c r="AJ1077">
        <v>1</v>
      </c>
      <c r="AK1077">
        <v>1</v>
      </c>
      <c r="AL1077">
        <v>1</v>
      </c>
      <c r="AN1077">
        <v>0</v>
      </c>
      <c r="AO1077">
        <v>0</v>
      </c>
      <c r="AP1077">
        <v>0</v>
      </c>
      <c r="AQ1077">
        <v>0</v>
      </c>
      <c r="AR1077">
        <v>0</v>
      </c>
      <c r="AS1077" t="s">
        <v>3</v>
      </c>
      <c r="AT1077">
        <v>4.6300000000000001E-2</v>
      </c>
      <c r="AU1077" t="s">
        <v>3</v>
      </c>
      <c r="AV1077">
        <v>0</v>
      </c>
      <c r="AW1077">
        <v>1</v>
      </c>
      <c r="AX1077">
        <v>-1</v>
      </c>
      <c r="AY1077">
        <v>0</v>
      </c>
      <c r="AZ1077">
        <v>0</v>
      </c>
      <c r="BA1077" t="s">
        <v>3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0</v>
      </c>
      <c r="BJ1077">
        <v>0</v>
      </c>
      <c r="BK1077">
        <v>0</v>
      </c>
      <c r="BL1077">
        <v>0</v>
      </c>
      <c r="BM1077">
        <v>0</v>
      </c>
      <c r="BN1077">
        <v>0</v>
      </c>
      <c r="BO1077">
        <v>0</v>
      </c>
      <c r="BP1077">
        <v>0</v>
      </c>
      <c r="BQ1077">
        <v>0</v>
      </c>
      <c r="BR1077">
        <v>0</v>
      </c>
      <c r="BS1077">
        <v>0</v>
      </c>
      <c r="BT1077">
        <v>0</v>
      </c>
      <c r="BU1077">
        <v>0</v>
      </c>
      <c r="BV1077">
        <v>0</v>
      </c>
      <c r="BW1077">
        <v>0</v>
      </c>
      <c r="CX1077">
        <f>ROUND(Y1077*Source!I1332,9)</f>
        <v>4.1669999999999999E-5</v>
      </c>
      <c r="CY1077">
        <f>AA1077</f>
        <v>43326.77</v>
      </c>
      <c r="CZ1077">
        <f>AE1077</f>
        <v>43326.77</v>
      </c>
      <c r="DA1077">
        <f>AI1077</f>
        <v>1</v>
      </c>
      <c r="DB1077">
        <f>ROUND(ROUND(AT1077*CZ1077,2),6)</f>
        <v>2006.03</v>
      </c>
      <c r="DC1077">
        <f>ROUND(ROUND(AT1077*AG1077,2),6)</f>
        <v>0</v>
      </c>
      <c r="DD1077" t="s">
        <v>3</v>
      </c>
      <c r="DE1077" t="s">
        <v>3</v>
      </c>
      <c r="DF1077">
        <f t="shared" si="557"/>
        <v>1.81</v>
      </c>
      <c r="DG1077">
        <f t="shared" si="559"/>
        <v>0</v>
      </c>
      <c r="DH1077">
        <f t="shared" si="560"/>
        <v>0</v>
      </c>
      <c r="DI1077">
        <f t="shared" si="523"/>
        <v>0</v>
      </c>
      <c r="DJ1077">
        <f>DF1077</f>
        <v>1.81</v>
      </c>
      <c r="DK1077">
        <v>0</v>
      </c>
    </row>
    <row r="1078" spans="1:115" x14ac:dyDescent="0.2">
      <c r="A1078">
        <f>ROW(Source!A1332)</f>
        <v>1332</v>
      </c>
      <c r="B1078">
        <v>129761636</v>
      </c>
      <c r="C1078">
        <v>129764466</v>
      </c>
      <c r="D1078">
        <v>37367082</v>
      </c>
      <c r="E1078">
        <v>37345137</v>
      </c>
      <c r="F1078">
        <v>1</v>
      </c>
      <c r="G1078">
        <v>37345137</v>
      </c>
      <c r="H1078">
        <v>3</v>
      </c>
      <c r="I1078" t="s">
        <v>1136</v>
      </c>
      <c r="J1078" t="s">
        <v>3</v>
      </c>
      <c r="K1078" t="s">
        <v>1137</v>
      </c>
      <c r="L1078">
        <v>1344</v>
      </c>
      <c r="N1078">
        <v>1008</v>
      </c>
      <c r="O1078" t="s">
        <v>1138</v>
      </c>
      <c r="P1078" t="s">
        <v>1138</v>
      </c>
      <c r="Q1078">
        <v>1</v>
      </c>
      <c r="W1078">
        <v>0</v>
      </c>
      <c r="X1078">
        <v>-94250534</v>
      </c>
      <c r="Y1078">
        <f>AT1078</f>
        <v>0.98</v>
      </c>
      <c r="AA1078">
        <v>1</v>
      </c>
      <c r="AB1078">
        <v>0</v>
      </c>
      <c r="AC1078">
        <v>0</v>
      </c>
      <c r="AD1078">
        <v>0</v>
      </c>
      <c r="AE1078">
        <v>1</v>
      </c>
      <c r="AF1078">
        <v>0</v>
      </c>
      <c r="AG1078">
        <v>0</v>
      </c>
      <c r="AH1078">
        <v>0</v>
      </c>
      <c r="AI1078">
        <v>1</v>
      </c>
      <c r="AJ1078">
        <v>1</v>
      </c>
      <c r="AK1078">
        <v>1</v>
      </c>
      <c r="AL1078">
        <v>1</v>
      </c>
      <c r="AN1078">
        <v>0</v>
      </c>
      <c r="AO1078">
        <v>1</v>
      </c>
      <c r="AP1078">
        <v>0</v>
      </c>
      <c r="AQ1078">
        <v>0</v>
      </c>
      <c r="AR1078">
        <v>0</v>
      </c>
      <c r="AS1078" t="s">
        <v>3</v>
      </c>
      <c r="AT1078">
        <v>0.98</v>
      </c>
      <c r="AU1078" t="s">
        <v>3</v>
      </c>
      <c r="AV1078">
        <v>0</v>
      </c>
      <c r="AW1078">
        <v>2</v>
      </c>
      <c r="AX1078">
        <v>129764476</v>
      </c>
      <c r="AY1078">
        <v>1</v>
      </c>
      <c r="AZ1078">
        <v>0</v>
      </c>
      <c r="BA1078">
        <v>1033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  <c r="BO1078">
        <v>0</v>
      </c>
      <c r="BP1078">
        <v>0</v>
      </c>
      <c r="BQ1078">
        <v>0</v>
      </c>
      <c r="BR1078">
        <v>0</v>
      </c>
      <c r="BS1078">
        <v>0</v>
      </c>
      <c r="BT1078">
        <v>0</v>
      </c>
      <c r="BU1078">
        <v>0</v>
      </c>
      <c r="BV1078">
        <v>0</v>
      </c>
      <c r="BW1078">
        <v>0</v>
      </c>
      <c r="CX1078">
        <f>ROUND(Y1078*Source!I1332,9)</f>
        <v>8.8199999999999997E-4</v>
      </c>
      <c r="CY1078">
        <f>AA1078</f>
        <v>1</v>
      </c>
      <c r="CZ1078">
        <f>AE1078</f>
        <v>1</v>
      </c>
      <c r="DA1078">
        <f>AI1078</f>
        <v>1</v>
      </c>
      <c r="DB1078">
        <f>ROUND(ROUND(AT1078*CZ1078,2),6)</f>
        <v>0.98</v>
      </c>
      <c r="DC1078">
        <f>ROUND(ROUND(AT1078*AG1078,2),6)</f>
        <v>0</v>
      </c>
      <c r="DD1078" t="s">
        <v>3</v>
      </c>
      <c r="DE1078" t="s">
        <v>3</v>
      </c>
      <c r="DF1078">
        <f t="shared" si="557"/>
        <v>0</v>
      </c>
      <c r="DG1078">
        <f t="shared" si="559"/>
        <v>0</v>
      </c>
      <c r="DH1078">
        <f t="shared" si="560"/>
        <v>0</v>
      </c>
      <c r="DI1078">
        <f t="shared" si="523"/>
        <v>0</v>
      </c>
      <c r="DJ1078">
        <f>DF1078</f>
        <v>0</v>
      </c>
      <c r="DK1078">
        <v>0</v>
      </c>
    </row>
    <row r="1079" spans="1:115" x14ac:dyDescent="0.2">
      <c r="A1079">
        <f>ROW(Source!A1332)</f>
        <v>1332</v>
      </c>
      <c r="B1079">
        <v>129761636</v>
      </c>
      <c r="C1079">
        <v>129764466</v>
      </c>
      <c r="D1079">
        <v>0</v>
      </c>
      <c r="E1079">
        <v>1</v>
      </c>
      <c r="F1079">
        <v>1</v>
      </c>
      <c r="G1079">
        <v>37345137</v>
      </c>
      <c r="H1079">
        <v>3</v>
      </c>
      <c r="I1079" t="s">
        <v>248</v>
      </c>
      <c r="J1079" t="s">
        <v>3</v>
      </c>
      <c r="K1079" t="s">
        <v>1015</v>
      </c>
      <c r="L1079">
        <v>1301</v>
      </c>
      <c r="N1079">
        <v>1003</v>
      </c>
      <c r="O1079" t="s">
        <v>270</v>
      </c>
      <c r="P1079" t="s">
        <v>270</v>
      </c>
      <c r="Q1079">
        <v>1</v>
      </c>
      <c r="W1079">
        <v>0</v>
      </c>
      <c r="X1079">
        <v>-91798768</v>
      </c>
      <c r="Y1079">
        <f>AT1079</f>
        <v>4000</v>
      </c>
      <c r="AA1079">
        <v>12.82</v>
      </c>
      <c r="AB1079">
        <v>0</v>
      </c>
      <c r="AC1079">
        <v>0</v>
      </c>
      <c r="AD1079">
        <v>0</v>
      </c>
      <c r="AE1079">
        <v>12.82</v>
      </c>
      <c r="AF1079">
        <v>0</v>
      </c>
      <c r="AG1079">
        <v>0</v>
      </c>
      <c r="AH1079">
        <v>0</v>
      </c>
      <c r="AI1079">
        <v>1</v>
      </c>
      <c r="AJ1079">
        <v>1</v>
      </c>
      <c r="AK1079">
        <v>1</v>
      </c>
      <c r="AL1079">
        <v>1</v>
      </c>
      <c r="AN1079">
        <v>0</v>
      </c>
      <c r="AO1079">
        <v>0</v>
      </c>
      <c r="AP1079">
        <v>0</v>
      </c>
      <c r="AQ1079">
        <v>0</v>
      </c>
      <c r="AR1079">
        <v>0</v>
      </c>
      <c r="AS1079" t="s">
        <v>3</v>
      </c>
      <c r="AT1079">
        <v>4000</v>
      </c>
      <c r="AU1079" t="s">
        <v>3</v>
      </c>
      <c r="AV1079">
        <v>0</v>
      </c>
      <c r="AW1079">
        <v>1</v>
      </c>
      <c r="AX1079">
        <v>-1</v>
      </c>
      <c r="AY1079">
        <v>0</v>
      </c>
      <c r="AZ1079">
        <v>0</v>
      </c>
      <c r="BA1079" t="s">
        <v>3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0</v>
      </c>
      <c r="BJ1079">
        <v>0</v>
      </c>
      <c r="BK1079">
        <v>0</v>
      </c>
      <c r="BL1079">
        <v>0</v>
      </c>
      <c r="BM1079">
        <v>0</v>
      </c>
      <c r="BN1079">
        <v>0</v>
      </c>
      <c r="BO1079">
        <v>0</v>
      </c>
      <c r="BP1079">
        <v>0</v>
      </c>
      <c r="BQ1079">
        <v>0</v>
      </c>
      <c r="BR1079">
        <v>0</v>
      </c>
      <c r="BS1079">
        <v>0</v>
      </c>
      <c r="BT1079">
        <v>0</v>
      </c>
      <c r="BU1079">
        <v>0</v>
      </c>
      <c r="BV1079">
        <v>0</v>
      </c>
      <c r="BW1079">
        <v>0</v>
      </c>
      <c r="CX1079">
        <f>ROUND(Y1079*Source!I1332,9)</f>
        <v>3.6</v>
      </c>
      <c r="CY1079">
        <f>AA1079</f>
        <v>12.82</v>
      </c>
      <c r="CZ1079">
        <f>AE1079</f>
        <v>12.82</v>
      </c>
      <c r="DA1079">
        <f>AI1079</f>
        <v>1</v>
      </c>
      <c r="DB1079">
        <f>ROUND(ROUND(AT1079*CZ1079,2),6)</f>
        <v>51280</v>
      </c>
      <c r="DC1079">
        <f>ROUND(ROUND(AT1079*AG1079,2),6)</f>
        <v>0</v>
      </c>
      <c r="DD1079" t="s">
        <v>3</v>
      </c>
      <c r="DE1079" t="s">
        <v>3</v>
      </c>
      <c r="DF1079">
        <f t="shared" si="557"/>
        <v>46.15</v>
      </c>
      <c r="DG1079">
        <f t="shared" si="559"/>
        <v>0</v>
      </c>
      <c r="DH1079">
        <f t="shared" si="560"/>
        <v>0</v>
      </c>
      <c r="DI1079">
        <f t="shared" si="523"/>
        <v>0</v>
      </c>
      <c r="DJ1079">
        <f>DF1079</f>
        <v>46.15</v>
      </c>
      <c r="DK1079">
        <v>0</v>
      </c>
    </row>
    <row r="1080" spans="1:115" x14ac:dyDescent="0.2">
      <c r="A1080">
        <f>ROW(Source!A1333)</f>
        <v>1333</v>
      </c>
      <c r="B1080">
        <v>129761633</v>
      </c>
      <c r="C1080">
        <v>129764466</v>
      </c>
      <c r="D1080">
        <v>37345142</v>
      </c>
      <c r="E1080">
        <v>37345137</v>
      </c>
      <c r="F1080">
        <v>1</v>
      </c>
      <c r="G1080">
        <v>37345137</v>
      </c>
      <c r="H1080">
        <v>1</v>
      </c>
      <c r="I1080" t="s">
        <v>1096</v>
      </c>
      <c r="J1080" t="s">
        <v>3</v>
      </c>
      <c r="K1080" t="s">
        <v>1097</v>
      </c>
      <c r="L1080">
        <v>1191</v>
      </c>
      <c r="N1080">
        <v>1013</v>
      </c>
      <c r="O1080" t="s">
        <v>1098</v>
      </c>
      <c r="P1080" t="s">
        <v>1098</v>
      </c>
      <c r="Q1080">
        <v>1</v>
      </c>
      <c r="W1080">
        <v>0</v>
      </c>
      <c r="X1080">
        <v>476480486</v>
      </c>
      <c r="Y1080">
        <f>(AT1080*1.15)</f>
        <v>43.93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1</v>
      </c>
      <c r="AJ1080">
        <v>1</v>
      </c>
      <c r="AK1080">
        <v>1</v>
      </c>
      <c r="AL1080">
        <v>1</v>
      </c>
      <c r="AN1080">
        <v>0</v>
      </c>
      <c r="AO1080">
        <v>1</v>
      </c>
      <c r="AP1080">
        <v>1</v>
      </c>
      <c r="AQ1080">
        <v>0</v>
      </c>
      <c r="AR1080">
        <v>0</v>
      </c>
      <c r="AS1080" t="s">
        <v>3</v>
      </c>
      <c r="AT1080">
        <v>38.200000000000003</v>
      </c>
      <c r="AU1080" t="s">
        <v>87</v>
      </c>
      <c r="AV1080">
        <v>1</v>
      </c>
      <c r="AW1080">
        <v>2</v>
      </c>
      <c r="AX1080">
        <v>129764472</v>
      </c>
      <c r="AY1080">
        <v>1</v>
      </c>
      <c r="AZ1080">
        <v>0</v>
      </c>
      <c r="BA1080">
        <v>1034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0</v>
      </c>
      <c r="BJ1080">
        <v>0</v>
      </c>
      <c r="BK1080">
        <v>0</v>
      </c>
      <c r="BL1080">
        <v>0</v>
      </c>
      <c r="BM1080">
        <v>0</v>
      </c>
      <c r="BN1080">
        <v>0</v>
      </c>
      <c r="BO1080">
        <v>0</v>
      </c>
      <c r="BP1080">
        <v>0</v>
      </c>
      <c r="BQ1080">
        <v>0</v>
      </c>
      <c r="BR1080">
        <v>0</v>
      </c>
      <c r="BS1080">
        <v>0</v>
      </c>
      <c r="BT1080">
        <v>0</v>
      </c>
      <c r="BU1080">
        <v>0</v>
      </c>
      <c r="BV1080">
        <v>0</v>
      </c>
      <c r="BW1080">
        <v>0</v>
      </c>
      <c r="CX1080">
        <f>ROUND(Y1080*Source!I1333,9)</f>
        <v>3.9537000000000003E-2</v>
      </c>
      <c r="CY1080">
        <f>AD1080</f>
        <v>0</v>
      </c>
      <c r="CZ1080">
        <f>AH1080</f>
        <v>0</v>
      </c>
      <c r="DA1080">
        <f>AL1080</f>
        <v>1</v>
      </c>
      <c r="DB1080">
        <f>ROUND((ROUND(AT1080*CZ1080,2)*1.15),6)</f>
        <v>0</v>
      </c>
      <c r="DC1080">
        <f>ROUND((ROUND(AT1080*AG1080,2)*1.15),6)</f>
        <v>0</v>
      </c>
      <c r="DD1080" t="s">
        <v>3</v>
      </c>
      <c r="DE1080" t="s">
        <v>3</v>
      </c>
      <c r="DF1080">
        <f t="shared" si="557"/>
        <v>0</v>
      </c>
      <c r="DG1080">
        <f t="shared" si="559"/>
        <v>0</v>
      </c>
      <c r="DH1080">
        <f t="shared" si="560"/>
        <v>0</v>
      </c>
      <c r="DI1080">
        <f t="shared" si="523"/>
        <v>0</v>
      </c>
      <c r="DJ1080">
        <f>DI1080</f>
        <v>0</v>
      </c>
      <c r="DK1080">
        <v>0</v>
      </c>
    </row>
    <row r="1081" spans="1:115" x14ac:dyDescent="0.2">
      <c r="A1081">
        <f>ROW(Source!A1333)</f>
        <v>1333</v>
      </c>
      <c r="B1081">
        <v>129761633</v>
      </c>
      <c r="C1081">
        <v>129764466</v>
      </c>
      <c r="D1081">
        <v>37345890</v>
      </c>
      <c r="E1081">
        <v>37345137</v>
      </c>
      <c r="F1081">
        <v>1</v>
      </c>
      <c r="G1081">
        <v>37345137</v>
      </c>
      <c r="H1081">
        <v>2</v>
      </c>
      <c r="I1081" t="s">
        <v>1145</v>
      </c>
      <c r="J1081" t="s">
        <v>3</v>
      </c>
      <c r="K1081" t="s">
        <v>1146</v>
      </c>
      <c r="L1081">
        <v>1344</v>
      </c>
      <c r="N1081">
        <v>1008</v>
      </c>
      <c r="O1081" t="s">
        <v>1138</v>
      </c>
      <c r="P1081" t="s">
        <v>1138</v>
      </c>
      <c r="Q1081">
        <v>1</v>
      </c>
      <c r="W1081">
        <v>0</v>
      </c>
      <c r="X1081">
        <v>-1180195794</v>
      </c>
      <c r="Y1081">
        <f>(AT1081*1.25)</f>
        <v>80.024999999999991</v>
      </c>
      <c r="AA1081">
        <v>0</v>
      </c>
      <c r="AB1081">
        <v>1.05</v>
      </c>
      <c r="AC1081">
        <v>0</v>
      </c>
      <c r="AD1081">
        <v>0</v>
      </c>
      <c r="AE1081">
        <v>0</v>
      </c>
      <c r="AF1081">
        <v>1</v>
      </c>
      <c r="AG1081">
        <v>0</v>
      </c>
      <c r="AH1081">
        <v>0</v>
      </c>
      <c r="AI1081">
        <v>1</v>
      </c>
      <c r="AJ1081">
        <v>1</v>
      </c>
      <c r="AK1081">
        <v>1</v>
      </c>
      <c r="AL1081">
        <v>1</v>
      </c>
      <c r="AN1081">
        <v>0</v>
      </c>
      <c r="AO1081">
        <v>1</v>
      </c>
      <c r="AP1081">
        <v>1</v>
      </c>
      <c r="AQ1081">
        <v>0</v>
      </c>
      <c r="AR1081">
        <v>0</v>
      </c>
      <c r="AS1081" t="s">
        <v>3</v>
      </c>
      <c r="AT1081">
        <v>64.02</v>
      </c>
      <c r="AU1081" t="s">
        <v>86</v>
      </c>
      <c r="AV1081">
        <v>0</v>
      </c>
      <c r="AW1081">
        <v>2</v>
      </c>
      <c r="AX1081">
        <v>129764473</v>
      </c>
      <c r="AY1081">
        <v>1</v>
      </c>
      <c r="AZ1081">
        <v>0</v>
      </c>
      <c r="BA1081">
        <v>1035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0</v>
      </c>
      <c r="BJ1081">
        <v>0</v>
      </c>
      <c r="BK1081">
        <v>0</v>
      </c>
      <c r="BL1081">
        <v>0</v>
      </c>
      <c r="BM1081">
        <v>0</v>
      </c>
      <c r="BN1081">
        <v>0</v>
      </c>
      <c r="BO1081">
        <v>0</v>
      </c>
      <c r="BP1081">
        <v>0</v>
      </c>
      <c r="BQ1081">
        <v>0</v>
      </c>
      <c r="BR1081">
        <v>0</v>
      </c>
      <c r="BS1081">
        <v>0</v>
      </c>
      <c r="BT1081">
        <v>0</v>
      </c>
      <c r="BU1081">
        <v>0</v>
      </c>
      <c r="BV1081">
        <v>0</v>
      </c>
      <c r="BW1081">
        <v>0</v>
      </c>
      <c r="CX1081">
        <f>ROUND(Y1081*Source!I1333,9)</f>
        <v>7.2022500000000003E-2</v>
      </c>
      <c r="CY1081">
        <f>AB1081</f>
        <v>1.05</v>
      </c>
      <c r="CZ1081">
        <f>AF1081</f>
        <v>1</v>
      </c>
      <c r="DA1081">
        <f>AJ1081</f>
        <v>1</v>
      </c>
      <c r="DB1081">
        <f>ROUND((ROUND(AT1081*CZ1081,2)*1.25),6)</f>
        <v>80.025000000000006</v>
      </c>
      <c r="DC1081">
        <f>ROUND((ROUND(AT1081*AG1081,2)*1.25),6)</f>
        <v>0</v>
      </c>
      <c r="DD1081" t="s">
        <v>3</v>
      </c>
      <c r="DE1081" t="s">
        <v>3</v>
      </c>
      <c r="DF1081">
        <f t="shared" si="557"/>
        <v>0</v>
      </c>
      <c r="DG1081">
        <f t="shared" si="559"/>
        <v>7.0000000000000007E-2</v>
      </c>
      <c r="DH1081">
        <f t="shared" si="560"/>
        <v>0</v>
      </c>
      <c r="DI1081">
        <f t="shared" si="523"/>
        <v>0</v>
      </c>
      <c r="DJ1081">
        <f>DG1081</f>
        <v>7.0000000000000007E-2</v>
      </c>
      <c r="DK1081">
        <v>0</v>
      </c>
    </row>
    <row r="1082" spans="1:115" x14ac:dyDescent="0.2">
      <c r="A1082">
        <f>ROW(Source!A1333)</f>
        <v>1333</v>
      </c>
      <c r="B1082">
        <v>129761633</v>
      </c>
      <c r="C1082">
        <v>129764466</v>
      </c>
      <c r="D1082">
        <v>37393809</v>
      </c>
      <c r="E1082">
        <v>1</v>
      </c>
      <c r="F1082">
        <v>1</v>
      </c>
      <c r="G1082">
        <v>37345137</v>
      </c>
      <c r="H1082">
        <v>3</v>
      </c>
      <c r="I1082" t="s">
        <v>1011</v>
      </c>
      <c r="J1082" t="s">
        <v>1013</v>
      </c>
      <c r="K1082" t="s">
        <v>1012</v>
      </c>
      <c r="L1082">
        <v>1348</v>
      </c>
      <c r="N1082">
        <v>1009</v>
      </c>
      <c r="O1082" t="s">
        <v>114</v>
      </c>
      <c r="P1082" t="s">
        <v>114</v>
      </c>
      <c r="Q1082">
        <v>1000</v>
      </c>
      <c r="W1082">
        <v>0</v>
      </c>
      <c r="X1082">
        <v>1030234511</v>
      </c>
      <c r="Y1082">
        <f>AT1082</f>
        <v>4.6300000000000001E-2</v>
      </c>
      <c r="AA1082">
        <v>64990.16</v>
      </c>
      <c r="AB1082">
        <v>0</v>
      </c>
      <c r="AC1082">
        <v>0</v>
      </c>
      <c r="AD1082">
        <v>0</v>
      </c>
      <c r="AE1082">
        <v>43326.77</v>
      </c>
      <c r="AF1082">
        <v>0</v>
      </c>
      <c r="AG1082">
        <v>0</v>
      </c>
      <c r="AH1082">
        <v>0</v>
      </c>
      <c r="AI1082">
        <v>1.5</v>
      </c>
      <c r="AJ1082">
        <v>1</v>
      </c>
      <c r="AK1082">
        <v>1</v>
      </c>
      <c r="AL1082">
        <v>1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 t="s">
        <v>3</v>
      </c>
      <c r="AT1082">
        <v>4.6300000000000001E-2</v>
      </c>
      <c r="AU1082" t="s">
        <v>3</v>
      </c>
      <c r="AV1082">
        <v>0</v>
      </c>
      <c r="AW1082">
        <v>1</v>
      </c>
      <c r="AX1082">
        <v>-1</v>
      </c>
      <c r="AY1082">
        <v>0</v>
      </c>
      <c r="AZ1082">
        <v>0</v>
      </c>
      <c r="BA1082" t="s">
        <v>3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0</v>
      </c>
      <c r="BR1082">
        <v>0</v>
      </c>
      <c r="BS1082">
        <v>0</v>
      </c>
      <c r="BT1082">
        <v>0</v>
      </c>
      <c r="BU1082">
        <v>0</v>
      </c>
      <c r="BV1082">
        <v>0</v>
      </c>
      <c r="BW1082">
        <v>0</v>
      </c>
      <c r="CX1082">
        <f>ROUND(Y1082*Source!I1333,9)</f>
        <v>4.1669999999999999E-5</v>
      </c>
      <c r="CY1082">
        <f>AA1082</f>
        <v>64990.16</v>
      </c>
      <c r="CZ1082">
        <f>AE1082</f>
        <v>43326.77</v>
      </c>
      <c r="DA1082">
        <f>AI1082</f>
        <v>1.5</v>
      </c>
      <c r="DB1082">
        <f>ROUND(ROUND(AT1082*CZ1082,2),6)</f>
        <v>2006.03</v>
      </c>
      <c r="DC1082">
        <f>ROUND(ROUND(AT1082*AG1082,2),6)</f>
        <v>0</v>
      </c>
      <c r="DD1082" t="s">
        <v>3</v>
      </c>
      <c r="DE1082" t="s">
        <v>3</v>
      </c>
      <c r="DF1082">
        <f>ROUND(ROUND(AE1082*CX1082,2)*AI1082,2)</f>
        <v>2.72</v>
      </c>
      <c r="DG1082">
        <f t="shared" si="559"/>
        <v>0</v>
      </c>
      <c r="DH1082">
        <f t="shared" si="560"/>
        <v>0</v>
      </c>
      <c r="DI1082">
        <f t="shared" si="523"/>
        <v>0</v>
      </c>
      <c r="DJ1082">
        <f>DF1082</f>
        <v>2.72</v>
      </c>
      <c r="DK1082">
        <v>0</v>
      </c>
    </row>
    <row r="1083" spans="1:115" x14ac:dyDescent="0.2">
      <c r="A1083">
        <f>ROW(Source!A1333)</f>
        <v>1333</v>
      </c>
      <c r="B1083">
        <v>129761633</v>
      </c>
      <c r="C1083">
        <v>129764466</v>
      </c>
      <c r="D1083">
        <v>37367082</v>
      </c>
      <c r="E1083">
        <v>37345137</v>
      </c>
      <c r="F1083">
        <v>1</v>
      </c>
      <c r="G1083">
        <v>37345137</v>
      </c>
      <c r="H1083">
        <v>3</v>
      </c>
      <c r="I1083" t="s">
        <v>1136</v>
      </c>
      <c r="J1083" t="s">
        <v>3</v>
      </c>
      <c r="K1083" t="s">
        <v>1137</v>
      </c>
      <c r="L1083">
        <v>1344</v>
      </c>
      <c r="N1083">
        <v>1008</v>
      </c>
      <c r="O1083" t="s">
        <v>1138</v>
      </c>
      <c r="P1083" t="s">
        <v>1138</v>
      </c>
      <c r="Q1083">
        <v>1</v>
      </c>
      <c r="W1083">
        <v>0</v>
      </c>
      <c r="X1083">
        <v>-94250534</v>
      </c>
      <c r="Y1083">
        <f>AT1083</f>
        <v>0.98</v>
      </c>
      <c r="AA1083">
        <v>8.65</v>
      </c>
      <c r="AB1083">
        <v>0</v>
      </c>
      <c r="AC1083">
        <v>0</v>
      </c>
      <c r="AD1083">
        <v>0</v>
      </c>
      <c r="AE1083">
        <v>1</v>
      </c>
      <c r="AF1083">
        <v>0</v>
      </c>
      <c r="AG1083">
        <v>0</v>
      </c>
      <c r="AH1083">
        <v>0</v>
      </c>
      <c r="AI1083">
        <v>8.65</v>
      </c>
      <c r="AJ1083">
        <v>1</v>
      </c>
      <c r="AK1083">
        <v>1</v>
      </c>
      <c r="AL1083">
        <v>1</v>
      </c>
      <c r="AN1083">
        <v>0</v>
      </c>
      <c r="AO1083">
        <v>1</v>
      </c>
      <c r="AP1083">
        <v>0</v>
      </c>
      <c r="AQ1083">
        <v>0</v>
      </c>
      <c r="AR1083">
        <v>0</v>
      </c>
      <c r="AS1083" t="s">
        <v>3</v>
      </c>
      <c r="AT1083">
        <v>0.98</v>
      </c>
      <c r="AU1083" t="s">
        <v>3</v>
      </c>
      <c r="AV1083">
        <v>0</v>
      </c>
      <c r="AW1083">
        <v>2</v>
      </c>
      <c r="AX1083">
        <v>129764476</v>
      </c>
      <c r="AY1083">
        <v>1</v>
      </c>
      <c r="AZ1083">
        <v>0</v>
      </c>
      <c r="BA1083">
        <v>1038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0</v>
      </c>
      <c r="BJ1083">
        <v>0</v>
      </c>
      <c r="BK1083">
        <v>0</v>
      </c>
      <c r="BL1083">
        <v>0</v>
      </c>
      <c r="BM1083">
        <v>0</v>
      </c>
      <c r="BN1083">
        <v>0</v>
      </c>
      <c r="BO1083">
        <v>0</v>
      </c>
      <c r="BP1083">
        <v>0</v>
      </c>
      <c r="BQ1083">
        <v>0</v>
      </c>
      <c r="BR1083">
        <v>0</v>
      </c>
      <c r="BS1083">
        <v>0</v>
      </c>
      <c r="BT1083">
        <v>0</v>
      </c>
      <c r="BU1083">
        <v>0</v>
      </c>
      <c r="BV1083">
        <v>0</v>
      </c>
      <c r="BW1083">
        <v>0</v>
      </c>
      <c r="CX1083">
        <f>ROUND(Y1083*Source!I1333,9)</f>
        <v>8.8199999999999997E-4</v>
      </c>
      <c r="CY1083">
        <f>AA1083</f>
        <v>8.65</v>
      </c>
      <c r="CZ1083">
        <f>AE1083</f>
        <v>1</v>
      </c>
      <c r="DA1083">
        <f>AI1083</f>
        <v>8.65</v>
      </c>
      <c r="DB1083">
        <f>ROUND(ROUND(AT1083*CZ1083,2),6)</f>
        <v>0.98</v>
      </c>
      <c r="DC1083">
        <f>ROUND(ROUND(AT1083*AG1083,2),6)</f>
        <v>0</v>
      </c>
      <c r="DD1083" t="s">
        <v>3</v>
      </c>
      <c r="DE1083" t="s">
        <v>3</v>
      </c>
      <c r="DF1083">
        <f>ROUND(ROUND(AE1083*CX1083,2)*AI1083,2)</f>
        <v>0</v>
      </c>
      <c r="DG1083">
        <f t="shared" si="559"/>
        <v>0</v>
      </c>
      <c r="DH1083">
        <f t="shared" si="560"/>
        <v>0</v>
      </c>
      <c r="DI1083">
        <f t="shared" si="523"/>
        <v>0</v>
      </c>
      <c r="DJ1083">
        <f>DF1083</f>
        <v>0</v>
      </c>
      <c r="DK1083">
        <v>0</v>
      </c>
    </row>
    <row r="1084" spans="1:115" x14ac:dyDescent="0.2">
      <c r="A1084">
        <f>ROW(Source!A1333)</f>
        <v>1333</v>
      </c>
      <c r="B1084">
        <v>129761633</v>
      </c>
      <c r="C1084">
        <v>129764466</v>
      </c>
      <c r="D1084">
        <v>0</v>
      </c>
      <c r="E1084">
        <v>1</v>
      </c>
      <c r="F1084">
        <v>1</v>
      </c>
      <c r="G1084">
        <v>37345137</v>
      </c>
      <c r="H1084">
        <v>3</v>
      </c>
      <c r="I1084" t="s">
        <v>248</v>
      </c>
      <c r="J1084" t="s">
        <v>3</v>
      </c>
      <c r="K1084" t="s">
        <v>1015</v>
      </c>
      <c r="L1084">
        <v>1301</v>
      </c>
      <c r="N1084">
        <v>1003</v>
      </c>
      <c r="O1084" t="s">
        <v>270</v>
      </c>
      <c r="P1084" t="s">
        <v>270</v>
      </c>
      <c r="Q1084">
        <v>1</v>
      </c>
      <c r="W1084">
        <v>0</v>
      </c>
      <c r="X1084">
        <v>-91798768</v>
      </c>
      <c r="Y1084">
        <f>AT1084</f>
        <v>4000</v>
      </c>
      <c r="AA1084">
        <v>84.94</v>
      </c>
      <c r="AB1084">
        <v>0</v>
      </c>
      <c r="AC1084">
        <v>0</v>
      </c>
      <c r="AD1084">
        <v>0</v>
      </c>
      <c r="AE1084">
        <v>9.82</v>
      </c>
      <c r="AF1084">
        <v>0</v>
      </c>
      <c r="AG1084">
        <v>0</v>
      </c>
      <c r="AH1084">
        <v>0</v>
      </c>
      <c r="AI1084">
        <v>8.65</v>
      </c>
      <c r="AJ1084">
        <v>1</v>
      </c>
      <c r="AK1084">
        <v>1</v>
      </c>
      <c r="AL1084">
        <v>1</v>
      </c>
      <c r="AN1084">
        <v>0</v>
      </c>
      <c r="AO1084">
        <v>0</v>
      </c>
      <c r="AP1084">
        <v>0</v>
      </c>
      <c r="AQ1084">
        <v>0</v>
      </c>
      <c r="AR1084">
        <v>0</v>
      </c>
      <c r="AS1084" t="s">
        <v>3</v>
      </c>
      <c r="AT1084">
        <v>4000</v>
      </c>
      <c r="AU1084" t="s">
        <v>3</v>
      </c>
      <c r="AV1084">
        <v>0</v>
      </c>
      <c r="AW1084">
        <v>1</v>
      </c>
      <c r="AX1084">
        <v>-1</v>
      </c>
      <c r="AY1084">
        <v>0</v>
      </c>
      <c r="AZ1084">
        <v>0</v>
      </c>
      <c r="BA1084" t="s">
        <v>3</v>
      </c>
      <c r="BB1084">
        <v>0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0</v>
      </c>
      <c r="BI1084">
        <v>0</v>
      </c>
      <c r="BJ1084">
        <v>0</v>
      </c>
      <c r="BK1084">
        <v>0</v>
      </c>
      <c r="BL1084">
        <v>0</v>
      </c>
      <c r="BM1084">
        <v>0</v>
      </c>
      <c r="BN1084">
        <v>0</v>
      </c>
      <c r="BO1084">
        <v>0</v>
      </c>
      <c r="BP1084">
        <v>0</v>
      </c>
      <c r="BQ1084">
        <v>0</v>
      </c>
      <c r="BR1084">
        <v>0</v>
      </c>
      <c r="BS1084">
        <v>0</v>
      </c>
      <c r="BT1084">
        <v>0</v>
      </c>
      <c r="BU1084">
        <v>0</v>
      </c>
      <c r="BV1084">
        <v>0</v>
      </c>
      <c r="BW1084">
        <v>0</v>
      </c>
      <c r="CX1084">
        <f>ROUND(Y1084*Source!I1333,9)</f>
        <v>3.6</v>
      </c>
      <c r="CY1084">
        <f>AA1084</f>
        <v>84.94</v>
      </c>
      <c r="CZ1084">
        <f>AE1084</f>
        <v>9.82</v>
      </c>
      <c r="DA1084">
        <f>AI1084</f>
        <v>8.65</v>
      </c>
      <c r="DB1084">
        <f>ROUND(ROUND(AT1084*CZ1084,2),6)</f>
        <v>39280</v>
      </c>
      <c r="DC1084">
        <f>ROUND(ROUND(AT1084*AG1084,2),6)</f>
        <v>0</v>
      </c>
      <c r="DD1084" t="s">
        <v>3</v>
      </c>
      <c r="DE1084" t="s">
        <v>3</v>
      </c>
      <c r="DF1084">
        <f>ROUND(ROUND(AE1084*CX1084,2)*AI1084,2)</f>
        <v>305.77999999999997</v>
      </c>
      <c r="DG1084">
        <f t="shared" si="559"/>
        <v>0</v>
      </c>
      <c r="DH1084">
        <f t="shared" si="560"/>
        <v>0</v>
      </c>
      <c r="DI1084">
        <f t="shared" si="523"/>
        <v>0</v>
      </c>
      <c r="DJ1084">
        <f>DF1084</f>
        <v>305.77999999999997</v>
      </c>
      <c r="DK1084">
        <v>0</v>
      </c>
    </row>
    <row r="1085" spans="1:115" x14ac:dyDescent="0.2">
      <c r="A1085">
        <f>ROW(Source!A1338)</f>
        <v>1338</v>
      </c>
      <c r="B1085">
        <v>129761636</v>
      </c>
      <c r="C1085">
        <v>129764479</v>
      </c>
      <c r="D1085">
        <v>37345142</v>
      </c>
      <c r="E1085">
        <v>37345137</v>
      </c>
      <c r="F1085">
        <v>1</v>
      </c>
      <c r="G1085">
        <v>37345137</v>
      </c>
      <c r="H1085">
        <v>1</v>
      </c>
      <c r="I1085" t="s">
        <v>1096</v>
      </c>
      <c r="J1085" t="s">
        <v>3</v>
      </c>
      <c r="K1085" t="s">
        <v>1097</v>
      </c>
      <c r="L1085">
        <v>1191</v>
      </c>
      <c r="N1085">
        <v>1013</v>
      </c>
      <c r="O1085" t="s">
        <v>1098</v>
      </c>
      <c r="P1085" t="s">
        <v>1098</v>
      </c>
      <c r="Q1085">
        <v>1</v>
      </c>
      <c r="W1085">
        <v>0</v>
      </c>
      <c r="X1085">
        <v>476480486</v>
      </c>
      <c r="Y1085">
        <f>(AT1085*1.15)</f>
        <v>4.4619999999999997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1</v>
      </c>
      <c r="AJ1085">
        <v>1</v>
      </c>
      <c r="AK1085">
        <v>1</v>
      </c>
      <c r="AL1085">
        <v>1</v>
      </c>
      <c r="AN1085">
        <v>0</v>
      </c>
      <c r="AO1085">
        <v>1</v>
      </c>
      <c r="AP1085">
        <v>1</v>
      </c>
      <c r="AQ1085">
        <v>0</v>
      </c>
      <c r="AR1085">
        <v>0</v>
      </c>
      <c r="AS1085" t="s">
        <v>3</v>
      </c>
      <c r="AT1085">
        <v>3.88</v>
      </c>
      <c r="AU1085" t="s">
        <v>87</v>
      </c>
      <c r="AV1085">
        <v>1</v>
      </c>
      <c r="AW1085">
        <v>2</v>
      </c>
      <c r="AX1085">
        <v>129764486</v>
      </c>
      <c r="AY1085">
        <v>1</v>
      </c>
      <c r="AZ1085">
        <v>0</v>
      </c>
      <c r="BA1085">
        <v>1039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0</v>
      </c>
      <c r="BJ1085">
        <v>0</v>
      </c>
      <c r="BK1085">
        <v>0</v>
      </c>
      <c r="BL1085">
        <v>0</v>
      </c>
      <c r="BM1085">
        <v>0</v>
      </c>
      <c r="BN1085">
        <v>0</v>
      </c>
      <c r="BO1085">
        <v>0</v>
      </c>
      <c r="BP1085">
        <v>0</v>
      </c>
      <c r="BQ1085">
        <v>0</v>
      </c>
      <c r="BR1085">
        <v>0</v>
      </c>
      <c r="BS1085">
        <v>0</v>
      </c>
      <c r="BT1085">
        <v>0</v>
      </c>
      <c r="BU1085">
        <v>0</v>
      </c>
      <c r="BV1085">
        <v>0</v>
      </c>
      <c r="BW1085">
        <v>0</v>
      </c>
      <c r="CX1085">
        <f>ROUND(Y1085*Source!I1338,9)</f>
        <v>70.053399999999996</v>
      </c>
      <c r="CY1085">
        <f>AD1085</f>
        <v>0</v>
      </c>
      <c r="CZ1085">
        <f>AH1085</f>
        <v>0</v>
      </c>
      <c r="DA1085">
        <f>AL1085</f>
        <v>1</v>
      </c>
      <c r="DB1085">
        <f>ROUND((ROUND(AT1085*CZ1085,2)*1.15),6)</f>
        <v>0</v>
      </c>
      <c r="DC1085">
        <f>ROUND((ROUND(AT1085*AG1085,2)*1.15),6)</f>
        <v>0</v>
      </c>
      <c r="DD1085" t="s">
        <v>3</v>
      </c>
      <c r="DE1085" t="s">
        <v>3</v>
      </c>
      <c r="DF1085">
        <f t="shared" ref="DF1085:DF1094" si="561">ROUND(AE1085*CX1085,2)</f>
        <v>0</v>
      </c>
      <c r="DG1085">
        <f t="shared" si="559"/>
        <v>0</v>
      </c>
      <c r="DH1085">
        <f t="shared" si="560"/>
        <v>0</v>
      </c>
      <c r="DI1085">
        <f t="shared" si="523"/>
        <v>0</v>
      </c>
      <c r="DJ1085">
        <f>DI1085</f>
        <v>0</v>
      </c>
      <c r="DK1085">
        <v>0</v>
      </c>
    </row>
    <row r="1086" spans="1:115" x14ac:dyDescent="0.2">
      <c r="A1086">
        <f>ROW(Source!A1338)</f>
        <v>1338</v>
      </c>
      <c r="B1086">
        <v>129761636</v>
      </c>
      <c r="C1086">
        <v>129764479</v>
      </c>
      <c r="D1086">
        <v>37418459</v>
      </c>
      <c r="E1086">
        <v>1</v>
      </c>
      <c r="F1086">
        <v>1</v>
      </c>
      <c r="G1086">
        <v>37345137</v>
      </c>
      <c r="H1086">
        <v>2</v>
      </c>
      <c r="I1086" t="s">
        <v>1413</v>
      </c>
      <c r="J1086" t="s">
        <v>1414</v>
      </c>
      <c r="K1086" t="s">
        <v>1415</v>
      </c>
      <c r="L1086">
        <v>1367</v>
      </c>
      <c r="N1086">
        <v>1011</v>
      </c>
      <c r="O1086" t="s">
        <v>1102</v>
      </c>
      <c r="P1086" t="s">
        <v>1102</v>
      </c>
      <c r="Q1086">
        <v>1</v>
      </c>
      <c r="W1086">
        <v>0</v>
      </c>
      <c r="X1086">
        <v>-646062659</v>
      </c>
      <c r="Y1086">
        <f>(AT1086*1.25)</f>
        <v>6.25E-2</v>
      </c>
      <c r="AA1086">
        <v>0</v>
      </c>
      <c r="AB1086">
        <v>42.2</v>
      </c>
      <c r="AC1086">
        <v>18.38</v>
      </c>
      <c r="AD1086">
        <v>0</v>
      </c>
      <c r="AE1086">
        <v>0</v>
      </c>
      <c r="AF1086">
        <v>42.2</v>
      </c>
      <c r="AG1086">
        <v>18.38</v>
      </c>
      <c r="AH1086">
        <v>0</v>
      </c>
      <c r="AI1086">
        <v>1</v>
      </c>
      <c r="AJ1086">
        <v>1</v>
      </c>
      <c r="AK1086">
        <v>1</v>
      </c>
      <c r="AL1086">
        <v>1</v>
      </c>
      <c r="AN1086">
        <v>0</v>
      </c>
      <c r="AO1086">
        <v>1</v>
      </c>
      <c r="AP1086">
        <v>1</v>
      </c>
      <c r="AQ1086">
        <v>0</v>
      </c>
      <c r="AR1086">
        <v>0</v>
      </c>
      <c r="AS1086" t="s">
        <v>3</v>
      </c>
      <c r="AT1086">
        <v>0.05</v>
      </c>
      <c r="AU1086" t="s">
        <v>86</v>
      </c>
      <c r="AV1086">
        <v>0</v>
      </c>
      <c r="AW1086">
        <v>2</v>
      </c>
      <c r="AX1086">
        <v>129764487</v>
      </c>
      <c r="AY1086">
        <v>1</v>
      </c>
      <c r="AZ1086">
        <v>0</v>
      </c>
      <c r="BA1086">
        <v>1040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0</v>
      </c>
      <c r="BJ1086">
        <v>0</v>
      </c>
      <c r="BK1086">
        <v>0</v>
      </c>
      <c r="BL1086">
        <v>0</v>
      </c>
      <c r="BM1086">
        <v>0</v>
      </c>
      <c r="BN1086">
        <v>0</v>
      </c>
      <c r="BO1086">
        <v>0</v>
      </c>
      <c r="BP1086">
        <v>0</v>
      </c>
      <c r="BQ1086">
        <v>0</v>
      </c>
      <c r="BR1086">
        <v>0</v>
      </c>
      <c r="BS1086">
        <v>0</v>
      </c>
      <c r="BT1086">
        <v>0</v>
      </c>
      <c r="BU1086">
        <v>0</v>
      </c>
      <c r="BV1086">
        <v>0</v>
      </c>
      <c r="BW1086">
        <v>0</v>
      </c>
      <c r="CX1086">
        <f>ROUND(Y1086*Source!I1338,9)</f>
        <v>0.98124999999999996</v>
      </c>
      <c r="CY1086">
        <f>AB1086</f>
        <v>42.2</v>
      </c>
      <c r="CZ1086">
        <f>AF1086</f>
        <v>42.2</v>
      </c>
      <c r="DA1086">
        <f>AJ1086</f>
        <v>1</v>
      </c>
      <c r="DB1086">
        <f>ROUND((ROUND(AT1086*CZ1086,2)*1.25),6)</f>
        <v>2.6375000000000002</v>
      </c>
      <c r="DC1086">
        <f>ROUND((ROUND(AT1086*AG1086,2)*1.25),6)</f>
        <v>1.1499999999999999</v>
      </c>
      <c r="DD1086" t="s">
        <v>3</v>
      </c>
      <c r="DE1086" t="s">
        <v>3</v>
      </c>
      <c r="DF1086">
        <f t="shared" si="561"/>
        <v>0</v>
      </c>
      <c r="DG1086">
        <f t="shared" si="559"/>
        <v>41.41</v>
      </c>
      <c r="DH1086">
        <f t="shared" si="560"/>
        <v>18.04</v>
      </c>
      <c r="DI1086">
        <f t="shared" si="523"/>
        <v>0</v>
      </c>
      <c r="DJ1086">
        <f>DG1086</f>
        <v>41.41</v>
      </c>
      <c r="DK1086">
        <v>0</v>
      </c>
    </row>
    <row r="1087" spans="1:115" x14ac:dyDescent="0.2">
      <c r="A1087">
        <f>ROW(Source!A1338)</f>
        <v>1338</v>
      </c>
      <c r="B1087">
        <v>129761636</v>
      </c>
      <c r="C1087">
        <v>129764479</v>
      </c>
      <c r="D1087">
        <v>37418445</v>
      </c>
      <c r="E1087">
        <v>1</v>
      </c>
      <c r="F1087">
        <v>1</v>
      </c>
      <c r="G1087">
        <v>37345137</v>
      </c>
      <c r="H1087">
        <v>2</v>
      </c>
      <c r="I1087" t="s">
        <v>1189</v>
      </c>
      <c r="J1087" t="s">
        <v>1190</v>
      </c>
      <c r="K1087" t="s">
        <v>1191</v>
      </c>
      <c r="L1087">
        <v>1367</v>
      </c>
      <c r="N1087">
        <v>1011</v>
      </c>
      <c r="O1087" t="s">
        <v>1102</v>
      </c>
      <c r="P1087" t="s">
        <v>1102</v>
      </c>
      <c r="Q1087">
        <v>1</v>
      </c>
      <c r="W1087">
        <v>0</v>
      </c>
      <c r="X1087">
        <v>-628430174</v>
      </c>
      <c r="Y1087">
        <f>(AT1087*1.25)</f>
        <v>8.7500000000000008E-2</v>
      </c>
      <c r="AA1087">
        <v>0</v>
      </c>
      <c r="AB1087">
        <v>76.81</v>
      </c>
      <c r="AC1087">
        <v>14.36</v>
      </c>
      <c r="AD1087">
        <v>0</v>
      </c>
      <c r="AE1087">
        <v>0</v>
      </c>
      <c r="AF1087">
        <v>76.81</v>
      </c>
      <c r="AG1087">
        <v>14.36</v>
      </c>
      <c r="AH1087">
        <v>0</v>
      </c>
      <c r="AI1087">
        <v>1</v>
      </c>
      <c r="AJ1087">
        <v>1</v>
      </c>
      <c r="AK1087">
        <v>1</v>
      </c>
      <c r="AL1087">
        <v>1</v>
      </c>
      <c r="AN1087">
        <v>0</v>
      </c>
      <c r="AO1087">
        <v>1</v>
      </c>
      <c r="AP1087">
        <v>1</v>
      </c>
      <c r="AQ1087">
        <v>0</v>
      </c>
      <c r="AR1087">
        <v>0</v>
      </c>
      <c r="AS1087" t="s">
        <v>3</v>
      </c>
      <c r="AT1087">
        <v>7.0000000000000007E-2</v>
      </c>
      <c r="AU1087" t="s">
        <v>86</v>
      </c>
      <c r="AV1087">
        <v>0</v>
      </c>
      <c r="AW1087">
        <v>2</v>
      </c>
      <c r="AX1087">
        <v>129764488</v>
      </c>
      <c r="AY1087">
        <v>1</v>
      </c>
      <c r="AZ1087">
        <v>0</v>
      </c>
      <c r="BA1087">
        <v>1041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0</v>
      </c>
      <c r="BJ1087">
        <v>0</v>
      </c>
      <c r="BK1087">
        <v>0</v>
      </c>
      <c r="BL1087">
        <v>0</v>
      </c>
      <c r="BM1087">
        <v>0</v>
      </c>
      <c r="BN1087">
        <v>0</v>
      </c>
      <c r="BO1087">
        <v>0</v>
      </c>
      <c r="BP1087">
        <v>0</v>
      </c>
      <c r="BQ1087">
        <v>0</v>
      </c>
      <c r="BR1087">
        <v>0</v>
      </c>
      <c r="BS1087">
        <v>0</v>
      </c>
      <c r="BT1087">
        <v>0</v>
      </c>
      <c r="BU1087">
        <v>0</v>
      </c>
      <c r="BV1087">
        <v>0</v>
      </c>
      <c r="BW1087">
        <v>0</v>
      </c>
      <c r="CX1087">
        <f>ROUND(Y1087*Source!I1338,9)</f>
        <v>1.37375</v>
      </c>
      <c r="CY1087">
        <f>AB1087</f>
        <v>76.81</v>
      </c>
      <c r="CZ1087">
        <f>AF1087</f>
        <v>76.81</v>
      </c>
      <c r="DA1087">
        <f>AJ1087</f>
        <v>1</v>
      </c>
      <c r="DB1087">
        <f>ROUND((ROUND(AT1087*CZ1087,2)*1.25),6)</f>
        <v>6.7249999999999996</v>
      </c>
      <c r="DC1087">
        <f>ROUND((ROUND(AT1087*AG1087,2)*1.25),6)</f>
        <v>1.2625</v>
      </c>
      <c r="DD1087" t="s">
        <v>3</v>
      </c>
      <c r="DE1087" t="s">
        <v>3</v>
      </c>
      <c r="DF1087">
        <f t="shared" si="561"/>
        <v>0</v>
      </c>
      <c r="DG1087">
        <f t="shared" si="559"/>
        <v>105.52</v>
      </c>
      <c r="DH1087">
        <f t="shared" si="560"/>
        <v>19.73</v>
      </c>
      <c r="DI1087">
        <f t="shared" si="523"/>
        <v>0</v>
      </c>
      <c r="DJ1087">
        <f>DG1087</f>
        <v>105.52</v>
      </c>
      <c r="DK1087">
        <v>0</v>
      </c>
    </row>
    <row r="1088" spans="1:115" x14ac:dyDescent="0.2">
      <c r="A1088">
        <f>ROW(Source!A1338)</f>
        <v>1338</v>
      </c>
      <c r="B1088">
        <v>129761636</v>
      </c>
      <c r="C1088">
        <v>129764479</v>
      </c>
      <c r="D1088">
        <v>37393552</v>
      </c>
      <c r="E1088">
        <v>1</v>
      </c>
      <c r="F1088">
        <v>1</v>
      </c>
      <c r="G1088">
        <v>37345137</v>
      </c>
      <c r="H1088">
        <v>3</v>
      </c>
      <c r="I1088" t="s">
        <v>348</v>
      </c>
      <c r="J1088" t="s">
        <v>350</v>
      </c>
      <c r="K1088" t="s">
        <v>349</v>
      </c>
      <c r="L1088">
        <v>1339</v>
      </c>
      <c r="N1088">
        <v>1007</v>
      </c>
      <c r="O1088" t="s">
        <v>94</v>
      </c>
      <c r="P1088" t="s">
        <v>94</v>
      </c>
      <c r="Q1088">
        <v>1</v>
      </c>
      <c r="W1088">
        <v>0</v>
      </c>
      <c r="X1088">
        <v>-862991314</v>
      </c>
      <c r="Y1088">
        <f>AT1088</f>
        <v>2.5000000000000001E-2</v>
      </c>
      <c r="AA1088">
        <v>7.07</v>
      </c>
      <c r="AB1088">
        <v>0</v>
      </c>
      <c r="AC1088">
        <v>0</v>
      </c>
      <c r="AD1088">
        <v>0</v>
      </c>
      <c r="AE1088">
        <v>7.07</v>
      </c>
      <c r="AF1088">
        <v>0</v>
      </c>
      <c r="AG1088">
        <v>0</v>
      </c>
      <c r="AH1088">
        <v>0</v>
      </c>
      <c r="AI1088">
        <v>1</v>
      </c>
      <c r="AJ1088">
        <v>1</v>
      </c>
      <c r="AK1088">
        <v>1</v>
      </c>
      <c r="AL1088">
        <v>1</v>
      </c>
      <c r="AN1088">
        <v>0</v>
      </c>
      <c r="AO1088">
        <v>1</v>
      </c>
      <c r="AP1088">
        <v>0</v>
      </c>
      <c r="AQ1088">
        <v>0</v>
      </c>
      <c r="AR1088">
        <v>0</v>
      </c>
      <c r="AS1088" t="s">
        <v>3</v>
      </c>
      <c r="AT1088">
        <v>2.5000000000000001E-2</v>
      </c>
      <c r="AU1088" t="s">
        <v>3</v>
      </c>
      <c r="AV1088">
        <v>0</v>
      </c>
      <c r="AW1088">
        <v>2</v>
      </c>
      <c r="AX1088">
        <v>129764489</v>
      </c>
      <c r="AY1088">
        <v>1</v>
      </c>
      <c r="AZ1088">
        <v>0</v>
      </c>
      <c r="BA1088">
        <v>1042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0</v>
      </c>
      <c r="BJ1088">
        <v>0</v>
      </c>
      <c r="BK1088">
        <v>0</v>
      </c>
      <c r="BL1088">
        <v>0</v>
      </c>
      <c r="BM1088">
        <v>0</v>
      </c>
      <c r="BN1088">
        <v>0</v>
      </c>
      <c r="BO1088">
        <v>0</v>
      </c>
      <c r="BP1088">
        <v>0</v>
      </c>
      <c r="BQ1088">
        <v>0</v>
      </c>
      <c r="BR1088">
        <v>0</v>
      </c>
      <c r="BS1088">
        <v>0</v>
      </c>
      <c r="BT1088">
        <v>0</v>
      </c>
      <c r="BU1088">
        <v>0</v>
      </c>
      <c r="BV1088">
        <v>0</v>
      </c>
      <c r="BW1088">
        <v>0</v>
      </c>
      <c r="CX1088">
        <f>ROUND(Y1088*Source!I1338,9)</f>
        <v>0.39250000000000002</v>
      </c>
      <c r="CY1088">
        <f>AA1088</f>
        <v>7.07</v>
      </c>
      <c r="CZ1088">
        <f>AE1088</f>
        <v>7.07</v>
      </c>
      <c r="DA1088">
        <f>AI1088</f>
        <v>1</v>
      </c>
      <c r="DB1088">
        <f>ROUND(ROUND(AT1088*CZ1088,2),6)</f>
        <v>0.18</v>
      </c>
      <c r="DC1088">
        <f>ROUND(ROUND(AT1088*AG1088,2),6)</f>
        <v>0</v>
      </c>
      <c r="DD1088" t="s">
        <v>3</v>
      </c>
      <c r="DE1088" t="s">
        <v>3</v>
      </c>
      <c r="DF1088">
        <f t="shared" si="561"/>
        <v>2.77</v>
      </c>
      <c r="DG1088">
        <f t="shared" si="559"/>
        <v>0</v>
      </c>
      <c r="DH1088">
        <f t="shared" si="560"/>
        <v>0</v>
      </c>
      <c r="DI1088">
        <f t="shared" si="523"/>
        <v>0</v>
      </c>
      <c r="DJ1088">
        <f>DF1088</f>
        <v>2.77</v>
      </c>
      <c r="DK1088">
        <v>0</v>
      </c>
    </row>
    <row r="1089" spans="1:115" x14ac:dyDescent="0.2">
      <c r="A1089">
        <f>ROW(Source!A1338)</f>
        <v>1338</v>
      </c>
      <c r="B1089">
        <v>129761636</v>
      </c>
      <c r="C1089">
        <v>129764479</v>
      </c>
      <c r="D1089">
        <v>37412074</v>
      </c>
      <c r="E1089">
        <v>1</v>
      </c>
      <c r="F1089">
        <v>1</v>
      </c>
      <c r="G1089">
        <v>37345137</v>
      </c>
      <c r="H1089">
        <v>3</v>
      </c>
      <c r="I1089" t="s">
        <v>1022</v>
      </c>
      <c r="J1089" t="s">
        <v>1024</v>
      </c>
      <c r="K1089" t="s">
        <v>1023</v>
      </c>
      <c r="L1089">
        <v>1348</v>
      </c>
      <c r="N1089">
        <v>1009</v>
      </c>
      <c r="O1089" t="s">
        <v>114</v>
      </c>
      <c r="P1089" t="s">
        <v>114</v>
      </c>
      <c r="Q1089">
        <v>1000</v>
      </c>
      <c r="W1089">
        <v>0</v>
      </c>
      <c r="X1089">
        <v>2029920186</v>
      </c>
      <c r="Y1089">
        <f>AT1089</f>
        <v>0.14349999999999999</v>
      </c>
      <c r="AA1089">
        <v>438.37</v>
      </c>
      <c r="AB1089">
        <v>0</v>
      </c>
      <c r="AC1089">
        <v>0</v>
      </c>
      <c r="AD1089">
        <v>0</v>
      </c>
      <c r="AE1089">
        <v>438.37</v>
      </c>
      <c r="AF1089">
        <v>0</v>
      </c>
      <c r="AG1089">
        <v>0</v>
      </c>
      <c r="AH1089">
        <v>0</v>
      </c>
      <c r="AI1089">
        <v>1</v>
      </c>
      <c r="AJ1089">
        <v>1</v>
      </c>
      <c r="AK1089">
        <v>1</v>
      </c>
      <c r="AL1089">
        <v>1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 t="s">
        <v>3</v>
      </c>
      <c r="AT1089">
        <v>0.14349999999999999</v>
      </c>
      <c r="AU1089" t="s">
        <v>3</v>
      </c>
      <c r="AV1089">
        <v>0</v>
      </c>
      <c r="AW1089">
        <v>1</v>
      </c>
      <c r="AX1089">
        <v>-1</v>
      </c>
      <c r="AY1089">
        <v>0</v>
      </c>
      <c r="AZ1089">
        <v>0</v>
      </c>
      <c r="BA1089" t="s">
        <v>3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0</v>
      </c>
      <c r="BH1089">
        <v>0</v>
      </c>
      <c r="BI1089">
        <v>0</v>
      </c>
      <c r="BJ1089">
        <v>0</v>
      </c>
      <c r="BK1089">
        <v>0</v>
      </c>
      <c r="BL1089">
        <v>0</v>
      </c>
      <c r="BM1089">
        <v>0</v>
      </c>
      <c r="BN1089">
        <v>0</v>
      </c>
      <c r="BO1089">
        <v>0</v>
      </c>
      <c r="BP1089">
        <v>0</v>
      </c>
      <c r="BQ1089">
        <v>0</v>
      </c>
      <c r="BR1089">
        <v>0</v>
      </c>
      <c r="BS1089">
        <v>0</v>
      </c>
      <c r="BT1089">
        <v>0</v>
      </c>
      <c r="BU1089">
        <v>0</v>
      </c>
      <c r="BV1089">
        <v>0</v>
      </c>
      <c r="BW1089">
        <v>0</v>
      </c>
      <c r="CX1089">
        <f>ROUND(Y1089*Source!I1338,9)</f>
        <v>2.2529499999999998</v>
      </c>
      <c r="CY1089">
        <f>AA1089</f>
        <v>438.37</v>
      </c>
      <c r="CZ1089">
        <f>AE1089</f>
        <v>438.37</v>
      </c>
      <c r="DA1089">
        <f>AI1089</f>
        <v>1</v>
      </c>
      <c r="DB1089">
        <f>ROUND(ROUND(AT1089*CZ1089,2),6)</f>
        <v>62.91</v>
      </c>
      <c r="DC1089">
        <f>ROUND(ROUND(AT1089*AG1089,2),6)</f>
        <v>0</v>
      </c>
      <c r="DD1089" t="s">
        <v>3</v>
      </c>
      <c r="DE1089" t="s">
        <v>3</v>
      </c>
      <c r="DF1089">
        <f t="shared" si="561"/>
        <v>987.63</v>
      </c>
      <c r="DG1089">
        <f t="shared" si="559"/>
        <v>0</v>
      </c>
      <c r="DH1089">
        <f t="shared" si="560"/>
        <v>0</v>
      </c>
      <c r="DI1089">
        <f t="shared" ref="DI1089:DI1112" si="562">ROUND(AH1089*CX1089,2)</f>
        <v>0</v>
      </c>
      <c r="DJ1089">
        <f>DF1089</f>
        <v>987.63</v>
      </c>
      <c r="DK1089">
        <v>0</v>
      </c>
    </row>
    <row r="1090" spans="1:115" x14ac:dyDescent="0.2">
      <c r="A1090">
        <f>ROW(Source!A1338)</f>
        <v>1338</v>
      </c>
      <c r="B1090">
        <v>129761636</v>
      </c>
      <c r="C1090">
        <v>129764479</v>
      </c>
      <c r="D1090">
        <v>37413358</v>
      </c>
      <c r="E1090">
        <v>1</v>
      </c>
      <c r="F1090">
        <v>1</v>
      </c>
      <c r="G1090">
        <v>37345137</v>
      </c>
      <c r="H1090">
        <v>3</v>
      </c>
      <c r="I1090" t="s">
        <v>1029</v>
      </c>
      <c r="J1090" t="s">
        <v>1030</v>
      </c>
      <c r="K1090" t="s">
        <v>1026</v>
      </c>
      <c r="L1090">
        <v>1327</v>
      </c>
      <c r="N1090">
        <v>1005</v>
      </c>
      <c r="O1090" t="s">
        <v>258</v>
      </c>
      <c r="P1090" t="s">
        <v>258</v>
      </c>
      <c r="Q1090">
        <v>1</v>
      </c>
      <c r="W1090">
        <v>0</v>
      </c>
      <c r="X1090">
        <v>-354716323</v>
      </c>
      <c r="Y1090">
        <f>AT1090</f>
        <v>0</v>
      </c>
      <c r="AA1090">
        <v>264.54000000000002</v>
      </c>
      <c r="AB1090">
        <v>0</v>
      </c>
      <c r="AC1090">
        <v>0</v>
      </c>
      <c r="AD1090">
        <v>0</v>
      </c>
      <c r="AE1090">
        <v>264.54000000000002</v>
      </c>
      <c r="AF1090">
        <v>0</v>
      </c>
      <c r="AG1090">
        <v>0</v>
      </c>
      <c r="AH1090">
        <v>0</v>
      </c>
      <c r="AI1090">
        <v>1</v>
      </c>
      <c r="AJ1090">
        <v>1</v>
      </c>
      <c r="AK1090">
        <v>1</v>
      </c>
      <c r="AL1090">
        <v>1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 t="s">
        <v>3</v>
      </c>
      <c r="AT1090">
        <v>0</v>
      </c>
      <c r="AU1090" t="s">
        <v>3</v>
      </c>
      <c r="AV1090">
        <v>0</v>
      </c>
      <c r="AW1090">
        <v>1</v>
      </c>
      <c r="AX1090">
        <v>-1</v>
      </c>
      <c r="AY1090">
        <v>0</v>
      </c>
      <c r="AZ1090">
        <v>0</v>
      </c>
      <c r="BA1090" t="s">
        <v>3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0</v>
      </c>
      <c r="BJ1090">
        <v>0</v>
      </c>
      <c r="BK1090">
        <v>0</v>
      </c>
      <c r="BL1090">
        <v>0</v>
      </c>
      <c r="BM1090">
        <v>0</v>
      </c>
      <c r="BN1090">
        <v>0</v>
      </c>
      <c r="BO1090">
        <v>0</v>
      </c>
      <c r="BP1090">
        <v>0</v>
      </c>
      <c r="BQ1090">
        <v>0</v>
      </c>
      <c r="BR1090">
        <v>0</v>
      </c>
      <c r="BS1090">
        <v>0</v>
      </c>
      <c r="BT1090">
        <v>0</v>
      </c>
      <c r="BU1090">
        <v>0</v>
      </c>
      <c r="BV1090">
        <v>0</v>
      </c>
      <c r="BW1090">
        <v>0</v>
      </c>
      <c r="CX1090">
        <f>ROUND(Y1090*Source!I1338,9)</f>
        <v>0</v>
      </c>
      <c r="CY1090">
        <f>AA1090</f>
        <v>264.54000000000002</v>
      </c>
      <c r="CZ1090">
        <f>AE1090</f>
        <v>264.54000000000002</v>
      </c>
      <c r="DA1090">
        <f>AI1090</f>
        <v>1</v>
      </c>
      <c r="DB1090">
        <f>ROUND(ROUND(AT1090*CZ1090,2),6)</f>
        <v>0</v>
      </c>
      <c r="DC1090">
        <f>ROUND(ROUND(AT1090*AG1090,2),6)</f>
        <v>0</v>
      </c>
      <c r="DD1090" t="s">
        <v>3</v>
      </c>
      <c r="DE1090" t="s">
        <v>3</v>
      </c>
      <c r="DF1090">
        <f t="shared" si="561"/>
        <v>0</v>
      </c>
      <c r="DG1090">
        <f t="shared" si="559"/>
        <v>0</v>
      </c>
      <c r="DH1090">
        <f t="shared" si="560"/>
        <v>0</v>
      </c>
      <c r="DI1090">
        <f t="shared" si="562"/>
        <v>0</v>
      </c>
      <c r="DJ1090">
        <f>DF1090</f>
        <v>0</v>
      </c>
      <c r="DK1090">
        <v>0</v>
      </c>
    </row>
    <row r="1091" spans="1:115" x14ac:dyDescent="0.2">
      <c r="A1091">
        <f>ROW(Source!A1338)</f>
        <v>1338</v>
      </c>
      <c r="B1091">
        <v>129761636</v>
      </c>
      <c r="C1091">
        <v>129764479</v>
      </c>
      <c r="D1091">
        <v>0</v>
      </c>
      <c r="E1091">
        <v>0</v>
      </c>
      <c r="F1091">
        <v>1</v>
      </c>
      <c r="G1091">
        <v>37345137</v>
      </c>
      <c r="H1091">
        <v>3</v>
      </c>
      <c r="I1091" t="s">
        <v>248</v>
      </c>
      <c r="J1091" t="s">
        <v>3</v>
      </c>
      <c r="K1091" t="s">
        <v>1026</v>
      </c>
      <c r="L1091">
        <v>1354</v>
      </c>
      <c r="N1091">
        <v>1010</v>
      </c>
      <c r="O1091" t="s">
        <v>250</v>
      </c>
      <c r="P1091" t="s">
        <v>250</v>
      </c>
      <c r="Q1091">
        <v>1</v>
      </c>
      <c r="W1091">
        <v>0</v>
      </c>
      <c r="X1091">
        <v>-1761652633</v>
      </c>
      <c r="Y1091">
        <f>AT1091</f>
        <v>10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v>0</v>
      </c>
      <c r="AH1091">
        <v>0</v>
      </c>
      <c r="AI1091">
        <v>1</v>
      </c>
      <c r="AJ1091">
        <v>1</v>
      </c>
      <c r="AK1091">
        <v>1</v>
      </c>
      <c r="AL1091">
        <v>1</v>
      </c>
      <c r="AN1091">
        <v>0</v>
      </c>
      <c r="AO1091">
        <v>0</v>
      </c>
      <c r="AP1091">
        <v>1</v>
      </c>
      <c r="AQ1091">
        <v>0</v>
      </c>
      <c r="AR1091">
        <v>0</v>
      </c>
      <c r="AS1091" t="s">
        <v>3</v>
      </c>
      <c r="AT1091">
        <v>10</v>
      </c>
      <c r="AU1091" t="s">
        <v>3</v>
      </c>
      <c r="AV1091">
        <v>0</v>
      </c>
      <c r="AW1091">
        <v>1</v>
      </c>
      <c r="AX1091">
        <v>-1</v>
      </c>
      <c r="AY1091">
        <v>0</v>
      </c>
      <c r="AZ1091">
        <v>0</v>
      </c>
      <c r="BA1091" t="s">
        <v>3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0</v>
      </c>
      <c r="BJ1091">
        <v>0</v>
      </c>
      <c r="BK1091">
        <v>0</v>
      </c>
      <c r="BL1091">
        <v>0</v>
      </c>
      <c r="BM1091">
        <v>0</v>
      </c>
      <c r="BN1091">
        <v>0</v>
      </c>
      <c r="BO1091">
        <v>0</v>
      </c>
      <c r="BP1091">
        <v>0</v>
      </c>
      <c r="BQ1091">
        <v>0</v>
      </c>
      <c r="BR1091">
        <v>0</v>
      </c>
      <c r="BS1091">
        <v>0</v>
      </c>
      <c r="BT1091">
        <v>0</v>
      </c>
      <c r="BU1091">
        <v>0</v>
      </c>
      <c r="BV1091">
        <v>0</v>
      </c>
      <c r="BW1091">
        <v>0</v>
      </c>
      <c r="CX1091">
        <f>ROUND(Y1091*Source!I1338,9)</f>
        <v>157</v>
      </c>
      <c r="CY1091">
        <f>AA1091</f>
        <v>0</v>
      </c>
      <c r="CZ1091">
        <f>AE1091</f>
        <v>0</v>
      </c>
      <c r="DA1091">
        <f>AI1091</f>
        <v>1</v>
      </c>
      <c r="DB1091">
        <f>ROUND(ROUND(AT1091*CZ1091,2),6)</f>
        <v>0</v>
      </c>
      <c r="DC1091">
        <f>ROUND(ROUND(AT1091*AG1091,2),6)</f>
        <v>0</v>
      </c>
      <c r="DD1091" t="s">
        <v>3</v>
      </c>
      <c r="DE1091" t="s">
        <v>3</v>
      </c>
      <c r="DF1091">
        <f t="shared" si="561"/>
        <v>0</v>
      </c>
      <c r="DG1091">
        <f t="shared" si="559"/>
        <v>0</v>
      </c>
      <c r="DH1091">
        <f t="shared" si="560"/>
        <v>0</v>
      </c>
      <c r="DI1091">
        <f t="shared" si="562"/>
        <v>0</v>
      </c>
      <c r="DJ1091">
        <f>DF1091</f>
        <v>0</v>
      </c>
      <c r="DK1091">
        <v>0</v>
      </c>
    </row>
    <row r="1092" spans="1:115" x14ac:dyDescent="0.2">
      <c r="A1092">
        <f>ROW(Source!A1339)</f>
        <v>1339</v>
      </c>
      <c r="B1092">
        <v>129761633</v>
      </c>
      <c r="C1092">
        <v>129764479</v>
      </c>
      <c r="D1092">
        <v>37345142</v>
      </c>
      <c r="E1092">
        <v>37345137</v>
      </c>
      <c r="F1092">
        <v>1</v>
      </c>
      <c r="G1092">
        <v>37345137</v>
      </c>
      <c r="H1092">
        <v>1</v>
      </c>
      <c r="I1092" t="s">
        <v>1096</v>
      </c>
      <c r="J1092" t="s">
        <v>3</v>
      </c>
      <c r="K1092" t="s">
        <v>1097</v>
      </c>
      <c r="L1092">
        <v>1191</v>
      </c>
      <c r="N1092">
        <v>1013</v>
      </c>
      <c r="O1092" t="s">
        <v>1098</v>
      </c>
      <c r="P1092" t="s">
        <v>1098</v>
      </c>
      <c r="Q1092">
        <v>1</v>
      </c>
      <c r="W1092">
        <v>0</v>
      </c>
      <c r="X1092">
        <v>476480486</v>
      </c>
      <c r="Y1092">
        <f>(AT1092*1.15)</f>
        <v>4.4619999999999997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1</v>
      </c>
      <c r="AJ1092">
        <v>1</v>
      </c>
      <c r="AK1092">
        <v>1</v>
      </c>
      <c r="AL1092">
        <v>1</v>
      </c>
      <c r="AN1092">
        <v>0</v>
      </c>
      <c r="AO1092">
        <v>1</v>
      </c>
      <c r="AP1092">
        <v>1</v>
      </c>
      <c r="AQ1092">
        <v>0</v>
      </c>
      <c r="AR1092">
        <v>0</v>
      </c>
      <c r="AS1092" t="s">
        <v>3</v>
      </c>
      <c r="AT1092">
        <v>3.88</v>
      </c>
      <c r="AU1092" t="s">
        <v>87</v>
      </c>
      <c r="AV1092">
        <v>1</v>
      </c>
      <c r="AW1092">
        <v>2</v>
      </c>
      <c r="AX1092">
        <v>129764486</v>
      </c>
      <c r="AY1092">
        <v>1</v>
      </c>
      <c r="AZ1092">
        <v>0</v>
      </c>
      <c r="BA1092">
        <v>1045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0</v>
      </c>
      <c r="BJ1092">
        <v>0</v>
      </c>
      <c r="BK1092">
        <v>0</v>
      </c>
      <c r="BL1092">
        <v>0</v>
      </c>
      <c r="BM1092">
        <v>0</v>
      </c>
      <c r="BN1092">
        <v>0</v>
      </c>
      <c r="BO1092">
        <v>0</v>
      </c>
      <c r="BP1092">
        <v>0</v>
      </c>
      <c r="BQ1092">
        <v>0</v>
      </c>
      <c r="BR1092">
        <v>0</v>
      </c>
      <c r="BS1092">
        <v>0</v>
      </c>
      <c r="BT1092">
        <v>0</v>
      </c>
      <c r="BU1092">
        <v>0</v>
      </c>
      <c r="BV1092">
        <v>0</v>
      </c>
      <c r="BW1092">
        <v>0</v>
      </c>
      <c r="CX1092">
        <f>ROUND(Y1092*Source!I1339,9)</f>
        <v>70.053399999999996</v>
      </c>
      <c r="CY1092">
        <f>AD1092</f>
        <v>0</v>
      </c>
      <c r="CZ1092">
        <f>AH1092</f>
        <v>0</v>
      </c>
      <c r="DA1092">
        <f>AL1092</f>
        <v>1</v>
      </c>
      <c r="DB1092">
        <f>ROUND((ROUND(AT1092*CZ1092,2)*1.15),6)</f>
        <v>0</v>
      </c>
      <c r="DC1092">
        <f>ROUND((ROUND(AT1092*AG1092,2)*1.15),6)</f>
        <v>0</v>
      </c>
      <c r="DD1092" t="s">
        <v>3</v>
      </c>
      <c r="DE1092" t="s">
        <v>3</v>
      </c>
      <c r="DF1092">
        <f t="shared" si="561"/>
        <v>0</v>
      </c>
      <c r="DG1092">
        <f t="shared" si="559"/>
        <v>0</v>
      </c>
      <c r="DH1092">
        <f t="shared" si="560"/>
        <v>0</v>
      </c>
      <c r="DI1092">
        <f t="shared" si="562"/>
        <v>0</v>
      </c>
      <c r="DJ1092">
        <f>DI1092</f>
        <v>0</v>
      </c>
      <c r="DK1092">
        <v>0</v>
      </c>
    </row>
    <row r="1093" spans="1:115" x14ac:dyDescent="0.2">
      <c r="A1093">
        <f>ROW(Source!A1339)</f>
        <v>1339</v>
      </c>
      <c r="B1093">
        <v>129761633</v>
      </c>
      <c r="C1093">
        <v>129764479</v>
      </c>
      <c r="D1093">
        <v>37418459</v>
      </c>
      <c r="E1093">
        <v>1</v>
      </c>
      <c r="F1093">
        <v>1</v>
      </c>
      <c r="G1093">
        <v>37345137</v>
      </c>
      <c r="H1093">
        <v>2</v>
      </c>
      <c r="I1093" t="s">
        <v>1413</v>
      </c>
      <c r="J1093" t="s">
        <v>1414</v>
      </c>
      <c r="K1093" t="s">
        <v>1415</v>
      </c>
      <c r="L1093">
        <v>1367</v>
      </c>
      <c r="N1093">
        <v>1011</v>
      </c>
      <c r="O1093" t="s">
        <v>1102</v>
      </c>
      <c r="P1093" t="s">
        <v>1102</v>
      </c>
      <c r="Q1093">
        <v>1</v>
      </c>
      <c r="W1093">
        <v>0</v>
      </c>
      <c r="X1093">
        <v>-646062659</v>
      </c>
      <c r="Y1093">
        <f>(AT1093*1.25)</f>
        <v>6.25E-2</v>
      </c>
      <c r="AA1093">
        <v>0</v>
      </c>
      <c r="AB1093">
        <v>585.30999999999995</v>
      </c>
      <c r="AC1093">
        <v>533.57000000000005</v>
      </c>
      <c r="AD1093">
        <v>0</v>
      </c>
      <c r="AE1093">
        <v>0</v>
      </c>
      <c r="AF1093">
        <v>42.2</v>
      </c>
      <c r="AG1093">
        <v>18.38</v>
      </c>
      <c r="AH1093">
        <v>0</v>
      </c>
      <c r="AI1093">
        <v>1</v>
      </c>
      <c r="AJ1093">
        <v>13.87</v>
      </c>
      <c r="AK1093">
        <v>29.03</v>
      </c>
      <c r="AL1093">
        <v>1</v>
      </c>
      <c r="AN1093">
        <v>0</v>
      </c>
      <c r="AO1093">
        <v>1</v>
      </c>
      <c r="AP1093">
        <v>1</v>
      </c>
      <c r="AQ1093">
        <v>0</v>
      </c>
      <c r="AR1093">
        <v>0</v>
      </c>
      <c r="AS1093" t="s">
        <v>3</v>
      </c>
      <c r="AT1093">
        <v>0.05</v>
      </c>
      <c r="AU1093" t="s">
        <v>86</v>
      </c>
      <c r="AV1093">
        <v>0</v>
      </c>
      <c r="AW1093">
        <v>2</v>
      </c>
      <c r="AX1093">
        <v>129764487</v>
      </c>
      <c r="AY1093">
        <v>1</v>
      </c>
      <c r="AZ1093">
        <v>0</v>
      </c>
      <c r="BA1093">
        <v>1046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0</v>
      </c>
      <c r="BJ1093">
        <v>0</v>
      </c>
      <c r="BK1093">
        <v>0</v>
      </c>
      <c r="BL1093">
        <v>0</v>
      </c>
      <c r="BM1093">
        <v>0</v>
      </c>
      <c r="BN1093">
        <v>0</v>
      </c>
      <c r="BO1093">
        <v>0</v>
      </c>
      <c r="BP1093">
        <v>0</v>
      </c>
      <c r="BQ1093">
        <v>0</v>
      </c>
      <c r="BR1093">
        <v>0</v>
      </c>
      <c r="BS1093">
        <v>0</v>
      </c>
      <c r="BT1093">
        <v>0</v>
      </c>
      <c r="BU1093">
        <v>0</v>
      </c>
      <c r="BV1093">
        <v>0</v>
      </c>
      <c r="BW1093">
        <v>0</v>
      </c>
      <c r="CX1093">
        <f>ROUND(Y1093*Source!I1339,9)</f>
        <v>0.98124999999999996</v>
      </c>
      <c r="CY1093">
        <f>AB1093</f>
        <v>585.30999999999995</v>
      </c>
      <c r="CZ1093">
        <f>AF1093</f>
        <v>42.2</v>
      </c>
      <c r="DA1093">
        <f>AJ1093</f>
        <v>13.87</v>
      </c>
      <c r="DB1093">
        <f>ROUND((ROUND(AT1093*CZ1093,2)*1.25),6)</f>
        <v>2.6375000000000002</v>
      </c>
      <c r="DC1093">
        <f>ROUND((ROUND(AT1093*AG1093,2)*1.25),6)</f>
        <v>1.1499999999999999</v>
      </c>
      <c r="DD1093" t="s">
        <v>3</v>
      </c>
      <c r="DE1093" t="s">
        <v>3</v>
      </c>
      <c r="DF1093">
        <f t="shared" si="561"/>
        <v>0</v>
      </c>
      <c r="DG1093">
        <f>ROUND(ROUND(AF1093*CX1093,2)*AJ1093,2)</f>
        <v>574.36</v>
      </c>
      <c r="DH1093">
        <f>ROUND(ROUND(AG1093*CX1093,2)*AK1093,2)</f>
        <v>523.70000000000005</v>
      </c>
      <c r="DI1093">
        <f t="shared" si="562"/>
        <v>0</v>
      </c>
      <c r="DJ1093">
        <f>DG1093</f>
        <v>574.36</v>
      </c>
      <c r="DK1093">
        <v>0</v>
      </c>
    </row>
    <row r="1094" spans="1:115" x14ac:dyDescent="0.2">
      <c r="A1094">
        <f>ROW(Source!A1339)</f>
        <v>1339</v>
      </c>
      <c r="B1094">
        <v>129761633</v>
      </c>
      <c r="C1094">
        <v>129764479</v>
      </c>
      <c r="D1094">
        <v>37418445</v>
      </c>
      <c r="E1094">
        <v>1</v>
      </c>
      <c r="F1094">
        <v>1</v>
      </c>
      <c r="G1094">
        <v>37345137</v>
      </c>
      <c r="H1094">
        <v>2</v>
      </c>
      <c r="I1094" t="s">
        <v>1189</v>
      </c>
      <c r="J1094" t="s">
        <v>1190</v>
      </c>
      <c r="K1094" t="s">
        <v>1191</v>
      </c>
      <c r="L1094">
        <v>1367</v>
      </c>
      <c r="N1094">
        <v>1011</v>
      </c>
      <c r="O1094" t="s">
        <v>1102</v>
      </c>
      <c r="P1094" t="s">
        <v>1102</v>
      </c>
      <c r="Q1094">
        <v>1</v>
      </c>
      <c r="W1094">
        <v>0</v>
      </c>
      <c r="X1094">
        <v>-628430174</v>
      </c>
      <c r="Y1094">
        <f>(AT1094*1.25)</f>
        <v>8.7500000000000008E-2</v>
      </c>
      <c r="AA1094">
        <v>0</v>
      </c>
      <c r="AB1094">
        <v>877.17</v>
      </c>
      <c r="AC1094">
        <v>416.87</v>
      </c>
      <c r="AD1094">
        <v>0</v>
      </c>
      <c r="AE1094">
        <v>0</v>
      </c>
      <c r="AF1094">
        <v>76.81</v>
      </c>
      <c r="AG1094">
        <v>14.36</v>
      </c>
      <c r="AH1094">
        <v>0</v>
      </c>
      <c r="AI1094">
        <v>1</v>
      </c>
      <c r="AJ1094">
        <v>11.42</v>
      </c>
      <c r="AK1094">
        <v>29.03</v>
      </c>
      <c r="AL1094">
        <v>1</v>
      </c>
      <c r="AN1094">
        <v>0</v>
      </c>
      <c r="AO1094">
        <v>1</v>
      </c>
      <c r="AP1094">
        <v>1</v>
      </c>
      <c r="AQ1094">
        <v>0</v>
      </c>
      <c r="AR1094">
        <v>0</v>
      </c>
      <c r="AS1094" t="s">
        <v>3</v>
      </c>
      <c r="AT1094">
        <v>7.0000000000000007E-2</v>
      </c>
      <c r="AU1094" t="s">
        <v>86</v>
      </c>
      <c r="AV1094">
        <v>0</v>
      </c>
      <c r="AW1094">
        <v>2</v>
      </c>
      <c r="AX1094">
        <v>129764488</v>
      </c>
      <c r="AY1094">
        <v>1</v>
      </c>
      <c r="AZ1094">
        <v>0</v>
      </c>
      <c r="BA1094">
        <v>1047</v>
      </c>
      <c r="BB1094">
        <v>0</v>
      </c>
      <c r="BC1094">
        <v>0</v>
      </c>
      <c r="BD1094">
        <v>0</v>
      </c>
      <c r="BE1094">
        <v>0</v>
      </c>
      <c r="BF1094">
        <v>0</v>
      </c>
      <c r="BG1094">
        <v>0</v>
      </c>
      <c r="BH1094">
        <v>0</v>
      </c>
      <c r="BI1094">
        <v>0</v>
      </c>
      <c r="BJ1094">
        <v>0</v>
      </c>
      <c r="BK1094">
        <v>0</v>
      </c>
      <c r="BL1094">
        <v>0</v>
      </c>
      <c r="BM1094">
        <v>0</v>
      </c>
      <c r="BN1094">
        <v>0</v>
      </c>
      <c r="BO1094">
        <v>0</v>
      </c>
      <c r="BP1094">
        <v>0</v>
      </c>
      <c r="BQ1094">
        <v>0</v>
      </c>
      <c r="BR1094">
        <v>0</v>
      </c>
      <c r="BS1094">
        <v>0</v>
      </c>
      <c r="BT1094">
        <v>0</v>
      </c>
      <c r="BU1094">
        <v>0</v>
      </c>
      <c r="BV1094">
        <v>0</v>
      </c>
      <c r="BW1094">
        <v>0</v>
      </c>
      <c r="CX1094">
        <f>ROUND(Y1094*Source!I1339,9)</f>
        <v>1.37375</v>
      </c>
      <c r="CY1094">
        <f>AB1094</f>
        <v>877.17</v>
      </c>
      <c r="CZ1094">
        <f>AF1094</f>
        <v>76.81</v>
      </c>
      <c r="DA1094">
        <f>AJ1094</f>
        <v>11.42</v>
      </c>
      <c r="DB1094">
        <f>ROUND((ROUND(AT1094*CZ1094,2)*1.25),6)</f>
        <v>6.7249999999999996</v>
      </c>
      <c r="DC1094">
        <f>ROUND((ROUND(AT1094*AG1094,2)*1.25),6)</f>
        <v>1.2625</v>
      </c>
      <c r="DD1094" t="s">
        <v>3</v>
      </c>
      <c r="DE1094" t="s">
        <v>3</v>
      </c>
      <c r="DF1094">
        <f t="shared" si="561"/>
        <v>0</v>
      </c>
      <c r="DG1094">
        <f>ROUND(ROUND(AF1094*CX1094,2)*AJ1094,2)</f>
        <v>1205.04</v>
      </c>
      <c r="DH1094">
        <f>ROUND(ROUND(AG1094*CX1094,2)*AK1094,2)</f>
        <v>572.76</v>
      </c>
      <c r="DI1094">
        <f t="shared" si="562"/>
        <v>0</v>
      </c>
      <c r="DJ1094">
        <f>DG1094</f>
        <v>1205.04</v>
      </c>
      <c r="DK1094">
        <v>0</v>
      </c>
    </row>
    <row r="1095" spans="1:115" x14ac:dyDescent="0.2">
      <c r="A1095">
        <f>ROW(Source!A1339)</f>
        <v>1339</v>
      </c>
      <c r="B1095">
        <v>129761633</v>
      </c>
      <c r="C1095">
        <v>129764479</v>
      </c>
      <c r="D1095">
        <v>37393552</v>
      </c>
      <c r="E1095">
        <v>1</v>
      </c>
      <c r="F1095">
        <v>1</v>
      </c>
      <c r="G1095">
        <v>37345137</v>
      </c>
      <c r="H1095">
        <v>3</v>
      </c>
      <c r="I1095" t="s">
        <v>348</v>
      </c>
      <c r="J1095" t="s">
        <v>350</v>
      </c>
      <c r="K1095" t="s">
        <v>349</v>
      </c>
      <c r="L1095">
        <v>1339</v>
      </c>
      <c r="N1095">
        <v>1007</v>
      </c>
      <c r="O1095" t="s">
        <v>94</v>
      </c>
      <c r="P1095" t="s">
        <v>94</v>
      </c>
      <c r="Q1095">
        <v>1</v>
      </c>
      <c r="W1095">
        <v>0</v>
      </c>
      <c r="X1095">
        <v>-862991314</v>
      </c>
      <c r="Y1095">
        <f t="shared" ref="Y1095:Y1100" si="563">AT1095</f>
        <v>2.5000000000000001E-2</v>
      </c>
      <c r="AA1095">
        <v>42.42</v>
      </c>
      <c r="AB1095">
        <v>0</v>
      </c>
      <c r="AC1095">
        <v>0</v>
      </c>
      <c r="AD1095">
        <v>0</v>
      </c>
      <c r="AE1095">
        <v>7.07</v>
      </c>
      <c r="AF1095">
        <v>0</v>
      </c>
      <c r="AG1095">
        <v>0</v>
      </c>
      <c r="AH1095">
        <v>0</v>
      </c>
      <c r="AI1095">
        <v>6</v>
      </c>
      <c r="AJ1095">
        <v>1</v>
      </c>
      <c r="AK1095">
        <v>1</v>
      </c>
      <c r="AL1095">
        <v>1</v>
      </c>
      <c r="AN1095">
        <v>0</v>
      </c>
      <c r="AO1095">
        <v>1</v>
      </c>
      <c r="AP1095">
        <v>0</v>
      </c>
      <c r="AQ1095">
        <v>0</v>
      </c>
      <c r="AR1095">
        <v>0</v>
      </c>
      <c r="AS1095" t="s">
        <v>3</v>
      </c>
      <c r="AT1095">
        <v>2.5000000000000001E-2</v>
      </c>
      <c r="AU1095" t="s">
        <v>3</v>
      </c>
      <c r="AV1095">
        <v>0</v>
      </c>
      <c r="AW1095">
        <v>2</v>
      </c>
      <c r="AX1095">
        <v>129764489</v>
      </c>
      <c r="AY1095">
        <v>1</v>
      </c>
      <c r="AZ1095">
        <v>0</v>
      </c>
      <c r="BA1095">
        <v>1048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0</v>
      </c>
      <c r="BJ1095">
        <v>0</v>
      </c>
      <c r="BK1095">
        <v>0</v>
      </c>
      <c r="BL1095">
        <v>0</v>
      </c>
      <c r="BM1095">
        <v>0</v>
      </c>
      <c r="BN1095">
        <v>0</v>
      </c>
      <c r="BO1095">
        <v>0</v>
      </c>
      <c r="BP1095">
        <v>0</v>
      </c>
      <c r="BQ1095">
        <v>0</v>
      </c>
      <c r="BR1095">
        <v>0</v>
      </c>
      <c r="BS1095">
        <v>0</v>
      </c>
      <c r="BT1095">
        <v>0</v>
      </c>
      <c r="BU1095">
        <v>0</v>
      </c>
      <c r="BV1095">
        <v>0</v>
      </c>
      <c r="BW1095">
        <v>0</v>
      </c>
      <c r="CX1095">
        <f>ROUND(Y1095*Source!I1339,9)</f>
        <v>0.39250000000000002</v>
      </c>
      <c r="CY1095">
        <f>AA1095</f>
        <v>42.42</v>
      </c>
      <c r="CZ1095">
        <f>AE1095</f>
        <v>7.07</v>
      </c>
      <c r="DA1095">
        <f>AI1095</f>
        <v>6</v>
      </c>
      <c r="DB1095">
        <f t="shared" ref="DB1095:DB1100" si="564">ROUND(ROUND(AT1095*CZ1095,2),6)</f>
        <v>0.18</v>
      </c>
      <c r="DC1095">
        <f t="shared" ref="DC1095:DC1100" si="565">ROUND(ROUND(AT1095*AG1095,2),6)</f>
        <v>0</v>
      </c>
      <c r="DD1095" t="s">
        <v>3</v>
      </c>
      <c r="DE1095" t="s">
        <v>3</v>
      </c>
      <c r="DF1095">
        <f>ROUND(ROUND(AE1095*CX1095,2)*AI1095,2)</f>
        <v>16.62</v>
      </c>
      <c r="DG1095">
        <f t="shared" ref="DG1095:DG1112" si="566">ROUND(AF1095*CX1095,2)</f>
        <v>0</v>
      </c>
      <c r="DH1095">
        <f t="shared" ref="DH1095:DH1112" si="567">ROUND(AG1095*CX1095,2)</f>
        <v>0</v>
      </c>
      <c r="DI1095">
        <f t="shared" si="562"/>
        <v>0</v>
      </c>
      <c r="DJ1095">
        <f>DF1095</f>
        <v>16.62</v>
      </c>
      <c r="DK1095">
        <v>0</v>
      </c>
    </row>
    <row r="1096" spans="1:115" x14ac:dyDescent="0.2">
      <c r="A1096">
        <f>ROW(Source!A1339)</f>
        <v>1339</v>
      </c>
      <c r="B1096">
        <v>129761633</v>
      </c>
      <c r="C1096">
        <v>129764479</v>
      </c>
      <c r="D1096">
        <v>37412074</v>
      </c>
      <c r="E1096">
        <v>1</v>
      </c>
      <c r="F1096">
        <v>1</v>
      </c>
      <c r="G1096">
        <v>37345137</v>
      </c>
      <c r="H1096">
        <v>3</v>
      </c>
      <c r="I1096" t="s">
        <v>1022</v>
      </c>
      <c r="J1096" t="s">
        <v>1024</v>
      </c>
      <c r="K1096" t="s">
        <v>1023</v>
      </c>
      <c r="L1096">
        <v>1348</v>
      </c>
      <c r="N1096">
        <v>1009</v>
      </c>
      <c r="O1096" t="s">
        <v>114</v>
      </c>
      <c r="P1096" t="s">
        <v>114</v>
      </c>
      <c r="Q1096">
        <v>1000</v>
      </c>
      <c r="W1096">
        <v>0</v>
      </c>
      <c r="X1096">
        <v>2029920186</v>
      </c>
      <c r="Y1096">
        <f t="shared" si="563"/>
        <v>0.14349999999999999</v>
      </c>
      <c r="AA1096">
        <v>6961.32</v>
      </c>
      <c r="AB1096">
        <v>0</v>
      </c>
      <c r="AC1096">
        <v>0</v>
      </c>
      <c r="AD1096">
        <v>0</v>
      </c>
      <c r="AE1096">
        <v>438.37</v>
      </c>
      <c r="AF1096">
        <v>0</v>
      </c>
      <c r="AG1096">
        <v>0</v>
      </c>
      <c r="AH1096">
        <v>0</v>
      </c>
      <c r="AI1096">
        <v>15.88</v>
      </c>
      <c r="AJ1096">
        <v>1</v>
      </c>
      <c r="AK1096">
        <v>1</v>
      </c>
      <c r="AL1096">
        <v>1</v>
      </c>
      <c r="AN1096">
        <v>0</v>
      </c>
      <c r="AO1096">
        <v>0</v>
      </c>
      <c r="AP1096">
        <v>0</v>
      </c>
      <c r="AQ1096">
        <v>0</v>
      </c>
      <c r="AR1096">
        <v>0</v>
      </c>
      <c r="AS1096" t="s">
        <v>3</v>
      </c>
      <c r="AT1096">
        <v>0.14349999999999999</v>
      </c>
      <c r="AU1096" t="s">
        <v>3</v>
      </c>
      <c r="AV1096">
        <v>0</v>
      </c>
      <c r="AW1096">
        <v>1</v>
      </c>
      <c r="AX1096">
        <v>-1</v>
      </c>
      <c r="AY1096">
        <v>0</v>
      </c>
      <c r="AZ1096">
        <v>0</v>
      </c>
      <c r="BA1096" t="s">
        <v>3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0</v>
      </c>
      <c r="BJ1096">
        <v>0</v>
      </c>
      <c r="BK1096">
        <v>0</v>
      </c>
      <c r="BL1096">
        <v>0</v>
      </c>
      <c r="BM1096">
        <v>0</v>
      </c>
      <c r="BN1096">
        <v>0</v>
      </c>
      <c r="BO1096">
        <v>0</v>
      </c>
      <c r="BP1096">
        <v>0</v>
      </c>
      <c r="BQ1096">
        <v>0</v>
      </c>
      <c r="BR1096">
        <v>0</v>
      </c>
      <c r="BS1096">
        <v>0</v>
      </c>
      <c r="BT1096">
        <v>0</v>
      </c>
      <c r="BU1096">
        <v>0</v>
      </c>
      <c r="BV1096">
        <v>0</v>
      </c>
      <c r="BW1096">
        <v>0</v>
      </c>
      <c r="CX1096">
        <f>ROUND(Y1096*Source!I1339,9)</f>
        <v>2.2529499999999998</v>
      </c>
      <c r="CY1096">
        <f>AA1096</f>
        <v>6961.32</v>
      </c>
      <c r="CZ1096">
        <f>AE1096</f>
        <v>438.37</v>
      </c>
      <c r="DA1096">
        <f>AI1096</f>
        <v>15.88</v>
      </c>
      <c r="DB1096">
        <f t="shared" si="564"/>
        <v>62.91</v>
      </c>
      <c r="DC1096">
        <f t="shared" si="565"/>
        <v>0</v>
      </c>
      <c r="DD1096" t="s">
        <v>3</v>
      </c>
      <c r="DE1096" t="s">
        <v>3</v>
      </c>
      <c r="DF1096">
        <f>ROUND(ROUND(AE1096*CX1096,2)*AI1096,2)</f>
        <v>15683.56</v>
      </c>
      <c r="DG1096">
        <f t="shared" si="566"/>
        <v>0</v>
      </c>
      <c r="DH1096">
        <f t="shared" si="567"/>
        <v>0</v>
      </c>
      <c r="DI1096">
        <f t="shared" si="562"/>
        <v>0</v>
      </c>
      <c r="DJ1096">
        <f>DF1096</f>
        <v>15683.56</v>
      </c>
      <c r="DK1096">
        <v>0</v>
      </c>
    </row>
    <row r="1097" spans="1:115" x14ac:dyDescent="0.2">
      <c r="A1097">
        <f>ROW(Source!A1339)</f>
        <v>1339</v>
      </c>
      <c r="B1097">
        <v>129761633</v>
      </c>
      <c r="C1097">
        <v>129764479</v>
      </c>
      <c r="D1097">
        <v>37413358</v>
      </c>
      <c r="E1097">
        <v>1</v>
      </c>
      <c r="F1097">
        <v>1</v>
      </c>
      <c r="G1097">
        <v>37345137</v>
      </c>
      <c r="H1097">
        <v>3</v>
      </c>
      <c r="I1097" t="s">
        <v>1029</v>
      </c>
      <c r="J1097" t="s">
        <v>1030</v>
      </c>
      <c r="K1097" t="s">
        <v>1026</v>
      </c>
      <c r="L1097">
        <v>1327</v>
      </c>
      <c r="N1097">
        <v>1005</v>
      </c>
      <c r="O1097" t="s">
        <v>258</v>
      </c>
      <c r="P1097" t="s">
        <v>258</v>
      </c>
      <c r="Q1097">
        <v>1</v>
      </c>
      <c r="W1097">
        <v>0</v>
      </c>
      <c r="X1097">
        <v>-354716323</v>
      </c>
      <c r="Y1097">
        <f t="shared" si="563"/>
        <v>0</v>
      </c>
      <c r="AA1097">
        <v>2891.42</v>
      </c>
      <c r="AB1097">
        <v>0</v>
      </c>
      <c r="AC1097">
        <v>0</v>
      </c>
      <c r="AD1097">
        <v>0</v>
      </c>
      <c r="AE1097">
        <v>264.54000000000002</v>
      </c>
      <c r="AF1097">
        <v>0</v>
      </c>
      <c r="AG1097">
        <v>0</v>
      </c>
      <c r="AH1097">
        <v>0</v>
      </c>
      <c r="AI1097">
        <v>10.93</v>
      </c>
      <c r="AJ1097">
        <v>1</v>
      </c>
      <c r="AK1097">
        <v>1</v>
      </c>
      <c r="AL1097">
        <v>1</v>
      </c>
      <c r="AN1097">
        <v>0</v>
      </c>
      <c r="AO1097">
        <v>0</v>
      </c>
      <c r="AP1097">
        <v>0</v>
      </c>
      <c r="AQ1097">
        <v>0</v>
      </c>
      <c r="AR1097">
        <v>0</v>
      </c>
      <c r="AS1097" t="s">
        <v>3</v>
      </c>
      <c r="AT1097">
        <v>0</v>
      </c>
      <c r="AU1097" t="s">
        <v>3</v>
      </c>
      <c r="AV1097">
        <v>0</v>
      </c>
      <c r="AW1097">
        <v>1</v>
      </c>
      <c r="AX1097">
        <v>-1</v>
      </c>
      <c r="AY1097">
        <v>0</v>
      </c>
      <c r="AZ1097">
        <v>0</v>
      </c>
      <c r="BA1097" t="s">
        <v>3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0</v>
      </c>
      <c r="BJ1097">
        <v>0</v>
      </c>
      <c r="BK1097">
        <v>0</v>
      </c>
      <c r="BL1097">
        <v>0</v>
      </c>
      <c r="BM1097">
        <v>0</v>
      </c>
      <c r="BN1097">
        <v>0</v>
      </c>
      <c r="BO1097">
        <v>0</v>
      </c>
      <c r="BP1097">
        <v>0</v>
      </c>
      <c r="BQ1097">
        <v>0</v>
      </c>
      <c r="BR1097">
        <v>0</v>
      </c>
      <c r="BS1097">
        <v>0</v>
      </c>
      <c r="BT1097">
        <v>0</v>
      </c>
      <c r="BU1097">
        <v>0</v>
      </c>
      <c r="BV1097">
        <v>0</v>
      </c>
      <c r="BW1097">
        <v>0</v>
      </c>
      <c r="CX1097">
        <f>ROUND(Y1097*Source!I1339,9)</f>
        <v>0</v>
      </c>
      <c r="CY1097">
        <f>AA1097</f>
        <v>2891.42</v>
      </c>
      <c r="CZ1097">
        <f>AE1097</f>
        <v>264.54000000000002</v>
      </c>
      <c r="DA1097">
        <f>AI1097</f>
        <v>10.93</v>
      </c>
      <c r="DB1097">
        <f t="shared" si="564"/>
        <v>0</v>
      </c>
      <c r="DC1097">
        <f t="shared" si="565"/>
        <v>0</v>
      </c>
      <c r="DD1097" t="s">
        <v>3</v>
      </c>
      <c r="DE1097" t="s">
        <v>3</v>
      </c>
      <c r="DF1097">
        <f>ROUND(ROUND(AE1097*CX1097,2)*AI1097,2)</f>
        <v>0</v>
      </c>
      <c r="DG1097">
        <f t="shared" si="566"/>
        <v>0</v>
      </c>
      <c r="DH1097">
        <f t="shared" si="567"/>
        <v>0</v>
      </c>
      <c r="DI1097">
        <f t="shared" si="562"/>
        <v>0</v>
      </c>
      <c r="DJ1097">
        <f>DF1097</f>
        <v>0</v>
      </c>
      <c r="DK1097">
        <v>0</v>
      </c>
    </row>
    <row r="1098" spans="1:115" x14ac:dyDescent="0.2">
      <c r="A1098">
        <f>ROW(Source!A1339)</f>
        <v>1339</v>
      </c>
      <c r="B1098">
        <v>129761633</v>
      </c>
      <c r="C1098">
        <v>129764479</v>
      </c>
      <c r="D1098">
        <v>0</v>
      </c>
      <c r="E1098">
        <v>0</v>
      </c>
      <c r="F1098">
        <v>1</v>
      </c>
      <c r="G1098">
        <v>37345137</v>
      </c>
      <c r="H1098">
        <v>3</v>
      </c>
      <c r="I1098" t="s">
        <v>248</v>
      </c>
      <c r="J1098" t="s">
        <v>3</v>
      </c>
      <c r="K1098" t="s">
        <v>1026</v>
      </c>
      <c r="L1098">
        <v>1354</v>
      </c>
      <c r="N1098">
        <v>1010</v>
      </c>
      <c r="O1098" t="s">
        <v>250</v>
      </c>
      <c r="P1098" t="s">
        <v>250</v>
      </c>
      <c r="Q1098">
        <v>1</v>
      </c>
      <c r="W1098">
        <v>0</v>
      </c>
      <c r="X1098">
        <v>-1761652633</v>
      </c>
      <c r="Y1098">
        <f t="shared" si="563"/>
        <v>10</v>
      </c>
      <c r="AA1098">
        <v>467.53</v>
      </c>
      <c r="AB1098">
        <v>0</v>
      </c>
      <c r="AC1098">
        <v>0</v>
      </c>
      <c r="AD1098">
        <v>0</v>
      </c>
      <c r="AE1098">
        <v>54.050000000000004</v>
      </c>
      <c r="AF1098">
        <v>0</v>
      </c>
      <c r="AG1098">
        <v>0</v>
      </c>
      <c r="AH1098">
        <v>0</v>
      </c>
      <c r="AI1098">
        <v>8.65</v>
      </c>
      <c r="AJ1098">
        <v>1</v>
      </c>
      <c r="AK1098">
        <v>1</v>
      </c>
      <c r="AL1098">
        <v>1</v>
      </c>
      <c r="AN1098">
        <v>0</v>
      </c>
      <c r="AO1098">
        <v>0</v>
      </c>
      <c r="AP1098">
        <v>1</v>
      </c>
      <c r="AQ1098">
        <v>0</v>
      </c>
      <c r="AR1098">
        <v>0</v>
      </c>
      <c r="AS1098" t="s">
        <v>3</v>
      </c>
      <c r="AT1098">
        <v>10</v>
      </c>
      <c r="AU1098" t="s">
        <v>3</v>
      </c>
      <c r="AV1098">
        <v>0</v>
      </c>
      <c r="AW1098">
        <v>1</v>
      </c>
      <c r="AX1098">
        <v>-1</v>
      </c>
      <c r="AY1098">
        <v>0</v>
      </c>
      <c r="AZ1098">
        <v>0</v>
      </c>
      <c r="BA1098" t="s">
        <v>3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0</v>
      </c>
      <c r="BJ1098">
        <v>0</v>
      </c>
      <c r="BK1098">
        <v>0</v>
      </c>
      <c r="BL1098">
        <v>0</v>
      </c>
      <c r="BM1098">
        <v>0</v>
      </c>
      <c r="BN1098">
        <v>0</v>
      </c>
      <c r="BO1098">
        <v>0</v>
      </c>
      <c r="BP1098">
        <v>0</v>
      </c>
      <c r="BQ1098">
        <v>0</v>
      </c>
      <c r="BR1098">
        <v>0</v>
      </c>
      <c r="BS1098">
        <v>0</v>
      </c>
      <c r="BT1098">
        <v>0</v>
      </c>
      <c r="BU1098">
        <v>0</v>
      </c>
      <c r="BV1098">
        <v>0</v>
      </c>
      <c r="BW1098">
        <v>0</v>
      </c>
      <c r="CX1098">
        <f>ROUND(Y1098*Source!I1339,9)</f>
        <v>157</v>
      </c>
      <c r="CY1098">
        <f>AA1098</f>
        <v>467.53</v>
      </c>
      <c r="CZ1098">
        <f>AE1098</f>
        <v>54.050000000000004</v>
      </c>
      <c r="DA1098">
        <f>AI1098</f>
        <v>8.65</v>
      </c>
      <c r="DB1098">
        <f t="shared" si="564"/>
        <v>540.5</v>
      </c>
      <c r="DC1098">
        <f t="shared" si="565"/>
        <v>0</v>
      </c>
      <c r="DD1098" t="s">
        <v>3</v>
      </c>
      <c r="DE1098" t="s">
        <v>3</v>
      </c>
      <c r="DF1098">
        <f>ROUND(ROUND(AE1098*CX1098,2)*AI1098,2)</f>
        <v>73402.600000000006</v>
      </c>
      <c r="DG1098">
        <f t="shared" si="566"/>
        <v>0</v>
      </c>
      <c r="DH1098">
        <f t="shared" si="567"/>
        <v>0</v>
      </c>
      <c r="DI1098">
        <f t="shared" si="562"/>
        <v>0</v>
      </c>
      <c r="DJ1098">
        <f>DF1098</f>
        <v>73402.600000000006</v>
      </c>
      <c r="DK1098">
        <v>0</v>
      </c>
    </row>
    <row r="1099" spans="1:115" x14ac:dyDescent="0.2">
      <c r="A1099">
        <f>ROW(Source!A1346)</f>
        <v>1346</v>
      </c>
      <c r="B1099">
        <v>129761636</v>
      </c>
      <c r="C1099">
        <v>129764494</v>
      </c>
      <c r="D1099">
        <v>37345142</v>
      </c>
      <c r="E1099">
        <v>37345137</v>
      </c>
      <c r="F1099">
        <v>1</v>
      </c>
      <c r="G1099">
        <v>37345137</v>
      </c>
      <c r="H1099">
        <v>1</v>
      </c>
      <c r="I1099" t="s">
        <v>1096</v>
      </c>
      <c r="J1099" t="s">
        <v>3</v>
      </c>
      <c r="K1099" t="s">
        <v>1097</v>
      </c>
      <c r="L1099">
        <v>1191</v>
      </c>
      <c r="N1099">
        <v>1013</v>
      </c>
      <c r="O1099" t="s">
        <v>1098</v>
      </c>
      <c r="P1099" t="s">
        <v>1098</v>
      </c>
      <c r="Q1099">
        <v>1</v>
      </c>
      <c r="W1099">
        <v>0</v>
      </c>
      <c r="X1099">
        <v>476480486</v>
      </c>
      <c r="Y1099">
        <f t="shared" si="563"/>
        <v>122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0</v>
      </c>
      <c r="AI1099">
        <v>1</v>
      </c>
      <c r="AJ1099">
        <v>1</v>
      </c>
      <c r="AK1099">
        <v>1</v>
      </c>
      <c r="AL1099">
        <v>1</v>
      </c>
      <c r="AN1099">
        <v>0</v>
      </c>
      <c r="AO1099">
        <v>1</v>
      </c>
      <c r="AP1099">
        <v>0</v>
      </c>
      <c r="AQ1099">
        <v>0</v>
      </c>
      <c r="AR1099">
        <v>0</v>
      </c>
      <c r="AS1099" t="s">
        <v>3</v>
      </c>
      <c r="AT1099">
        <v>122</v>
      </c>
      <c r="AU1099" t="s">
        <v>3</v>
      </c>
      <c r="AV1099">
        <v>1</v>
      </c>
      <c r="AW1099">
        <v>2</v>
      </c>
      <c r="AX1099">
        <v>129764496</v>
      </c>
      <c r="AY1099">
        <v>1</v>
      </c>
      <c r="AZ1099">
        <v>0</v>
      </c>
      <c r="BA1099">
        <v>1051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0</v>
      </c>
      <c r="BJ1099">
        <v>0</v>
      </c>
      <c r="BK1099">
        <v>0</v>
      </c>
      <c r="BL1099">
        <v>0</v>
      </c>
      <c r="BM1099">
        <v>0</v>
      </c>
      <c r="BN1099">
        <v>0</v>
      </c>
      <c r="BO1099">
        <v>0</v>
      </c>
      <c r="BP1099">
        <v>0</v>
      </c>
      <c r="BQ1099">
        <v>0</v>
      </c>
      <c r="BR1099">
        <v>0</v>
      </c>
      <c r="BS1099">
        <v>0</v>
      </c>
      <c r="BT1099">
        <v>0</v>
      </c>
      <c r="BU1099">
        <v>0</v>
      </c>
      <c r="BV1099">
        <v>0</v>
      </c>
      <c r="BW1099">
        <v>0</v>
      </c>
      <c r="CX1099">
        <f>ROUND(Y1099*Source!I1346,9)</f>
        <v>122</v>
      </c>
      <c r="CY1099">
        <f>AD1099</f>
        <v>0</v>
      </c>
      <c r="CZ1099">
        <f>AH1099</f>
        <v>0</v>
      </c>
      <c r="DA1099">
        <f>AL1099</f>
        <v>1</v>
      </c>
      <c r="DB1099">
        <f t="shared" si="564"/>
        <v>0</v>
      </c>
      <c r="DC1099">
        <f t="shared" si="565"/>
        <v>0</v>
      </c>
      <c r="DD1099" t="s">
        <v>3</v>
      </c>
      <c r="DE1099" t="s">
        <v>3</v>
      </c>
      <c r="DF1099">
        <f t="shared" ref="DF1099:DF1105" si="568">ROUND(AE1099*CX1099,2)</f>
        <v>0</v>
      </c>
      <c r="DG1099">
        <f t="shared" si="566"/>
        <v>0</v>
      </c>
      <c r="DH1099">
        <f t="shared" si="567"/>
        <v>0</v>
      </c>
      <c r="DI1099">
        <f t="shared" si="562"/>
        <v>0</v>
      </c>
      <c r="DJ1099">
        <f>DI1099</f>
        <v>0</v>
      </c>
      <c r="DK1099">
        <v>0</v>
      </c>
    </row>
    <row r="1100" spans="1:115" x14ac:dyDescent="0.2">
      <c r="A1100">
        <f>ROW(Source!A1347)</f>
        <v>1347</v>
      </c>
      <c r="B1100">
        <v>129761633</v>
      </c>
      <c r="C1100">
        <v>129764494</v>
      </c>
      <c r="D1100">
        <v>37345142</v>
      </c>
      <c r="E1100">
        <v>37345137</v>
      </c>
      <c r="F1100">
        <v>1</v>
      </c>
      <c r="G1100">
        <v>37345137</v>
      </c>
      <c r="H1100">
        <v>1</v>
      </c>
      <c r="I1100" t="s">
        <v>1096</v>
      </c>
      <c r="J1100" t="s">
        <v>3</v>
      </c>
      <c r="K1100" t="s">
        <v>1097</v>
      </c>
      <c r="L1100">
        <v>1191</v>
      </c>
      <c r="N1100">
        <v>1013</v>
      </c>
      <c r="O1100" t="s">
        <v>1098</v>
      </c>
      <c r="P1100" t="s">
        <v>1098</v>
      </c>
      <c r="Q1100">
        <v>1</v>
      </c>
      <c r="W1100">
        <v>0</v>
      </c>
      <c r="X1100">
        <v>476480486</v>
      </c>
      <c r="Y1100">
        <f t="shared" si="563"/>
        <v>122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1</v>
      </c>
      <c r="AJ1100">
        <v>1</v>
      </c>
      <c r="AK1100">
        <v>1</v>
      </c>
      <c r="AL1100">
        <v>1</v>
      </c>
      <c r="AN1100">
        <v>0</v>
      </c>
      <c r="AO1100">
        <v>1</v>
      </c>
      <c r="AP1100">
        <v>0</v>
      </c>
      <c r="AQ1100">
        <v>0</v>
      </c>
      <c r="AR1100">
        <v>0</v>
      </c>
      <c r="AS1100" t="s">
        <v>3</v>
      </c>
      <c r="AT1100">
        <v>122</v>
      </c>
      <c r="AU1100" t="s">
        <v>3</v>
      </c>
      <c r="AV1100">
        <v>1</v>
      </c>
      <c r="AW1100">
        <v>2</v>
      </c>
      <c r="AX1100">
        <v>129764496</v>
      </c>
      <c r="AY1100">
        <v>1</v>
      </c>
      <c r="AZ1100">
        <v>0</v>
      </c>
      <c r="BA1100">
        <v>1052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0</v>
      </c>
      <c r="BJ1100">
        <v>0</v>
      </c>
      <c r="BK1100">
        <v>0</v>
      </c>
      <c r="BL1100">
        <v>0</v>
      </c>
      <c r="BM1100">
        <v>0</v>
      </c>
      <c r="BN1100">
        <v>0</v>
      </c>
      <c r="BO1100">
        <v>0</v>
      </c>
      <c r="BP1100">
        <v>0</v>
      </c>
      <c r="BQ1100">
        <v>0</v>
      </c>
      <c r="BR1100">
        <v>0</v>
      </c>
      <c r="BS1100">
        <v>0</v>
      </c>
      <c r="BT1100">
        <v>0</v>
      </c>
      <c r="BU1100">
        <v>0</v>
      </c>
      <c r="BV1100">
        <v>0</v>
      </c>
      <c r="BW1100">
        <v>0</v>
      </c>
      <c r="CX1100">
        <f>ROUND(Y1100*Source!I1347,9)</f>
        <v>122</v>
      </c>
      <c r="CY1100">
        <f>AD1100</f>
        <v>0</v>
      </c>
      <c r="CZ1100">
        <f>AH1100</f>
        <v>0</v>
      </c>
      <c r="DA1100">
        <f>AL1100</f>
        <v>1</v>
      </c>
      <c r="DB1100">
        <f t="shared" si="564"/>
        <v>0</v>
      </c>
      <c r="DC1100">
        <f t="shared" si="565"/>
        <v>0</v>
      </c>
      <c r="DD1100" t="s">
        <v>3</v>
      </c>
      <c r="DE1100" t="s">
        <v>3</v>
      </c>
      <c r="DF1100">
        <f t="shared" si="568"/>
        <v>0</v>
      </c>
      <c r="DG1100">
        <f t="shared" si="566"/>
        <v>0</v>
      </c>
      <c r="DH1100">
        <f t="shared" si="567"/>
        <v>0</v>
      </c>
      <c r="DI1100">
        <f t="shared" si="562"/>
        <v>0</v>
      </c>
      <c r="DJ1100">
        <f>DI1100</f>
        <v>0</v>
      </c>
      <c r="DK1100">
        <v>0</v>
      </c>
    </row>
    <row r="1101" spans="1:115" x14ac:dyDescent="0.2">
      <c r="A1101">
        <f>ROW(Source!A1348)</f>
        <v>1348</v>
      </c>
      <c r="B1101">
        <v>129761636</v>
      </c>
      <c r="C1101">
        <v>129764497</v>
      </c>
      <c r="D1101">
        <v>37345142</v>
      </c>
      <c r="E1101">
        <v>37345137</v>
      </c>
      <c r="F1101">
        <v>1</v>
      </c>
      <c r="G1101">
        <v>37345137</v>
      </c>
      <c r="H1101">
        <v>1</v>
      </c>
      <c r="I1101" t="s">
        <v>1096</v>
      </c>
      <c r="J1101" t="s">
        <v>3</v>
      </c>
      <c r="K1101" t="s">
        <v>1097</v>
      </c>
      <c r="L1101">
        <v>1191</v>
      </c>
      <c r="N1101">
        <v>1013</v>
      </c>
      <c r="O1101" t="s">
        <v>1098</v>
      </c>
      <c r="P1101" t="s">
        <v>1098</v>
      </c>
      <c r="Q1101">
        <v>1</v>
      </c>
      <c r="W1101">
        <v>0</v>
      </c>
      <c r="X1101">
        <v>476480486</v>
      </c>
      <c r="Y1101">
        <f>(AT1101*1.15)</f>
        <v>0.10349999999999999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1</v>
      </c>
      <c r="AJ1101">
        <v>1</v>
      </c>
      <c r="AK1101">
        <v>1</v>
      </c>
      <c r="AL1101">
        <v>1</v>
      </c>
      <c r="AN1101">
        <v>0</v>
      </c>
      <c r="AO1101">
        <v>1</v>
      </c>
      <c r="AP1101">
        <v>1</v>
      </c>
      <c r="AQ1101">
        <v>0</v>
      </c>
      <c r="AR1101">
        <v>0</v>
      </c>
      <c r="AS1101" t="s">
        <v>3</v>
      </c>
      <c r="AT1101">
        <v>0.09</v>
      </c>
      <c r="AU1101" t="s">
        <v>87</v>
      </c>
      <c r="AV1101">
        <v>1</v>
      </c>
      <c r="AW1101">
        <v>2</v>
      </c>
      <c r="AX1101">
        <v>129764502</v>
      </c>
      <c r="AY1101">
        <v>1</v>
      </c>
      <c r="AZ1101">
        <v>0</v>
      </c>
      <c r="BA1101">
        <v>1053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0</v>
      </c>
      <c r="BH1101">
        <v>0</v>
      </c>
      <c r="BI1101">
        <v>0</v>
      </c>
      <c r="BJ1101">
        <v>0</v>
      </c>
      <c r="BK1101">
        <v>0</v>
      </c>
      <c r="BL1101">
        <v>0</v>
      </c>
      <c r="BM1101">
        <v>0</v>
      </c>
      <c r="BN1101">
        <v>0</v>
      </c>
      <c r="BO1101">
        <v>0</v>
      </c>
      <c r="BP1101">
        <v>0</v>
      </c>
      <c r="BQ1101">
        <v>0</v>
      </c>
      <c r="BR1101">
        <v>0</v>
      </c>
      <c r="BS1101">
        <v>0</v>
      </c>
      <c r="BT1101">
        <v>0</v>
      </c>
      <c r="BU1101">
        <v>0</v>
      </c>
      <c r="BV1101">
        <v>0</v>
      </c>
      <c r="BW1101">
        <v>0</v>
      </c>
      <c r="CX1101">
        <f>ROUND(Y1101*Source!I1348,9)</f>
        <v>1.7595000000000001</v>
      </c>
      <c r="CY1101">
        <f>AD1101</f>
        <v>0</v>
      </c>
      <c r="CZ1101">
        <f>AH1101</f>
        <v>0</v>
      </c>
      <c r="DA1101">
        <f>AL1101</f>
        <v>1</v>
      </c>
      <c r="DB1101">
        <f>ROUND((ROUND(AT1101*CZ1101,2)*1.15),6)</f>
        <v>0</v>
      </c>
      <c r="DC1101">
        <f>ROUND((ROUND(AT1101*AG1101,2)*1.15),6)</f>
        <v>0</v>
      </c>
      <c r="DD1101" t="s">
        <v>3</v>
      </c>
      <c r="DE1101" t="s">
        <v>3</v>
      </c>
      <c r="DF1101">
        <f t="shared" si="568"/>
        <v>0</v>
      </c>
      <c r="DG1101">
        <f t="shared" si="566"/>
        <v>0</v>
      </c>
      <c r="DH1101">
        <f t="shared" si="567"/>
        <v>0</v>
      </c>
      <c r="DI1101">
        <f t="shared" si="562"/>
        <v>0</v>
      </c>
      <c r="DJ1101">
        <f>DI1101</f>
        <v>0</v>
      </c>
      <c r="DK1101">
        <v>0</v>
      </c>
    </row>
    <row r="1102" spans="1:115" x14ac:dyDescent="0.2">
      <c r="A1102">
        <f>ROW(Source!A1348)</f>
        <v>1348</v>
      </c>
      <c r="B1102">
        <v>129761636</v>
      </c>
      <c r="C1102">
        <v>129764497</v>
      </c>
      <c r="D1102">
        <v>37394909</v>
      </c>
      <c r="E1102">
        <v>1</v>
      </c>
      <c r="F1102">
        <v>1</v>
      </c>
      <c r="G1102">
        <v>37345137</v>
      </c>
      <c r="H1102">
        <v>3</v>
      </c>
      <c r="I1102" t="s">
        <v>1344</v>
      </c>
      <c r="J1102" t="s">
        <v>1345</v>
      </c>
      <c r="K1102" t="s">
        <v>1346</v>
      </c>
      <c r="L1102">
        <v>1348</v>
      </c>
      <c r="N1102">
        <v>1009</v>
      </c>
      <c r="O1102" t="s">
        <v>114</v>
      </c>
      <c r="P1102" t="s">
        <v>114</v>
      </c>
      <c r="Q1102">
        <v>1000</v>
      </c>
      <c r="W1102">
        <v>0</v>
      </c>
      <c r="X1102">
        <v>1398464837</v>
      </c>
      <c r="Y1102">
        <f>AT1102</f>
        <v>1.0000000000000001E-5</v>
      </c>
      <c r="AA1102">
        <v>16744.32</v>
      </c>
      <c r="AB1102">
        <v>0</v>
      </c>
      <c r="AC1102">
        <v>0</v>
      </c>
      <c r="AD1102">
        <v>0</v>
      </c>
      <c r="AE1102">
        <v>16744.32</v>
      </c>
      <c r="AF1102">
        <v>0</v>
      </c>
      <c r="AG1102">
        <v>0</v>
      </c>
      <c r="AH1102">
        <v>0</v>
      </c>
      <c r="AI1102">
        <v>1</v>
      </c>
      <c r="AJ1102">
        <v>1</v>
      </c>
      <c r="AK1102">
        <v>1</v>
      </c>
      <c r="AL1102">
        <v>1</v>
      </c>
      <c r="AN1102">
        <v>0</v>
      </c>
      <c r="AO1102">
        <v>1</v>
      </c>
      <c r="AP1102">
        <v>0</v>
      </c>
      <c r="AQ1102">
        <v>0</v>
      </c>
      <c r="AR1102">
        <v>0</v>
      </c>
      <c r="AS1102" t="s">
        <v>3</v>
      </c>
      <c r="AT1102">
        <v>1.0000000000000001E-5</v>
      </c>
      <c r="AU1102" t="s">
        <v>3</v>
      </c>
      <c r="AV1102">
        <v>0</v>
      </c>
      <c r="AW1102">
        <v>2</v>
      </c>
      <c r="AX1102">
        <v>129764503</v>
      </c>
      <c r="AY1102">
        <v>1</v>
      </c>
      <c r="AZ1102">
        <v>0</v>
      </c>
      <c r="BA1102">
        <v>1054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0</v>
      </c>
      <c r="BJ1102">
        <v>0</v>
      </c>
      <c r="BK1102">
        <v>0</v>
      </c>
      <c r="BL1102">
        <v>0</v>
      </c>
      <c r="BM1102">
        <v>0</v>
      </c>
      <c r="BN1102">
        <v>0</v>
      </c>
      <c r="BO1102">
        <v>0</v>
      </c>
      <c r="BP1102">
        <v>0</v>
      </c>
      <c r="BQ1102">
        <v>0</v>
      </c>
      <c r="BR1102">
        <v>0</v>
      </c>
      <c r="BS1102">
        <v>0</v>
      </c>
      <c r="BT1102">
        <v>0</v>
      </c>
      <c r="BU1102">
        <v>0</v>
      </c>
      <c r="BV1102">
        <v>0</v>
      </c>
      <c r="BW1102">
        <v>0</v>
      </c>
      <c r="CX1102">
        <f>ROUND(Y1102*Source!I1348,9)</f>
        <v>1.7000000000000001E-4</v>
      </c>
      <c r="CY1102">
        <f>AA1102</f>
        <v>16744.32</v>
      </c>
      <c r="CZ1102">
        <f>AE1102</f>
        <v>16744.32</v>
      </c>
      <c r="DA1102">
        <f>AI1102</f>
        <v>1</v>
      </c>
      <c r="DB1102">
        <f>ROUND(ROUND(AT1102*CZ1102,2),6)</f>
        <v>0.17</v>
      </c>
      <c r="DC1102">
        <f>ROUND(ROUND(AT1102*AG1102,2),6)</f>
        <v>0</v>
      </c>
      <c r="DD1102" t="s">
        <v>3</v>
      </c>
      <c r="DE1102" t="s">
        <v>3</v>
      </c>
      <c r="DF1102">
        <f t="shared" si="568"/>
        <v>2.85</v>
      </c>
      <c r="DG1102">
        <f t="shared" si="566"/>
        <v>0</v>
      </c>
      <c r="DH1102">
        <f t="shared" si="567"/>
        <v>0</v>
      </c>
      <c r="DI1102">
        <f t="shared" si="562"/>
        <v>0</v>
      </c>
      <c r="DJ1102">
        <f>DF1102</f>
        <v>2.85</v>
      </c>
      <c r="DK1102">
        <v>0</v>
      </c>
    </row>
    <row r="1103" spans="1:115" x14ac:dyDescent="0.2">
      <c r="A1103">
        <f>ROW(Source!A1348)</f>
        <v>1348</v>
      </c>
      <c r="B1103">
        <v>129761636</v>
      </c>
      <c r="C1103">
        <v>129764497</v>
      </c>
      <c r="D1103">
        <v>0</v>
      </c>
      <c r="E1103">
        <v>1</v>
      </c>
      <c r="F1103">
        <v>1</v>
      </c>
      <c r="G1103">
        <v>37345137</v>
      </c>
      <c r="H1103">
        <v>3</v>
      </c>
      <c r="I1103" t="s">
        <v>248</v>
      </c>
      <c r="J1103" t="s">
        <v>3</v>
      </c>
      <c r="K1103" t="s">
        <v>1037</v>
      </c>
      <c r="L1103">
        <v>1354</v>
      </c>
      <c r="N1103">
        <v>1010</v>
      </c>
      <c r="O1103" t="s">
        <v>250</v>
      </c>
      <c r="P1103" t="s">
        <v>250</v>
      </c>
      <c r="Q1103">
        <v>1</v>
      </c>
      <c r="W1103">
        <v>0</v>
      </c>
      <c r="X1103">
        <v>-1221607113</v>
      </c>
      <c r="Y1103">
        <f>AT1103</f>
        <v>0.82352899999999996</v>
      </c>
      <c r="AA1103">
        <v>38.46</v>
      </c>
      <c r="AB1103">
        <v>0</v>
      </c>
      <c r="AC1103">
        <v>0</v>
      </c>
      <c r="AD1103">
        <v>0</v>
      </c>
      <c r="AE1103">
        <v>38.46</v>
      </c>
      <c r="AF1103">
        <v>0</v>
      </c>
      <c r="AG1103">
        <v>0</v>
      </c>
      <c r="AH1103">
        <v>0</v>
      </c>
      <c r="AI1103">
        <v>1</v>
      </c>
      <c r="AJ1103">
        <v>1</v>
      </c>
      <c r="AK1103">
        <v>1</v>
      </c>
      <c r="AL1103">
        <v>1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 t="s">
        <v>3</v>
      </c>
      <c r="AT1103">
        <v>0.82352899999999996</v>
      </c>
      <c r="AU1103" t="s">
        <v>3</v>
      </c>
      <c r="AV1103">
        <v>0</v>
      </c>
      <c r="AW1103">
        <v>1</v>
      </c>
      <c r="AX1103">
        <v>-1</v>
      </c>
      <c r="AY1103">
        <v>0</v>
      </c>
      <c r="AZ1103">
        <v>0</v>
      </c>
      <c r="BA1103" t="s">
        <v>3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0</v>
      </c>
      <c r="BJ1103">
        <v>0</v>
      </c>
      <c r="BK1103">
        <v>0</v>
      </c>
      <c r="BL1103">
        <v>0</v>
      </c>
      <c r="BM1103">
        <v>0</v>
      </c>
      <c r="BN1103">
        <v>0</v>
      </c>
      <c r="BO1103">
        <v>0</v>
      </c>
      <c r="BP1103">
        <v>0</v>
      </c>
      <c r="BQ1103">
        <v>0</v>
      </c>
      <c r="BR1103">
        <v>0</v>
      </c>
      <c r="BS1103">
        <v>0</v>
      </c>
      <c r="BT1103">
        <v>0</v>
      </c>
      <c r="BU1103">
        <v>0</v>
      </c>
      <c r="BV1103">
        <v>0</v>
      </c>
      <c r="BW1103">
        <v>0</v>
      </c>
      <c r="CX1103">
        <f>ROUND(Y1103*Source!I1348,9)</f>
        <v>13.999993</v>
      </c>
      <c r="CY1103">
        <f>AA1103</f>
        <v>38.46</v>
      </c>
      <c r="CZ1103">
        <f>AE1103</f>
        <v>38.46</v>
      </c>
      <c r="DA1103">
        <f>AI1103</f>
        <v>1</v>
      </c>
      <c r="DB1103">
        <f>ROUND(ROUND(AT1103*CZ1103,2),6)</f>
        <v>31.67</v>
      </c>
      <c r="DC1103">
        <f>ROUND(ROUND(AT1103*AG1103,2),6)</f>
        <v>0</v>
      </c>
      <c r="DD1103" t="s">
        <v>3</v>
      </c>
      <c r="DE1103" t="s">
        <v>3</v>
      </c>
      <c r="DF1103">
        <f t="shared" si="568"/>
        <v>538.44000000000005</v>
      </c>
      <c r="DG1103">
        <f t="shared" si="566"/>
        <v>0</v>
      </c>
      <c r="DH1103">
        <f t="shared" si="567"/>
        <v>0</v>
      </c>
      <c r="DI1103">
        <f t="shared" si="562"/>
        <v>0</v>
      </c>
      <c r="DJ1103">
        <f>DF1103</f>
        <v>538.44000000000005</v>
      </c>
      <c r="DK1103">
        <v>0</v>
      </c>
    </row>
    <row r="1104" spans="1:115" x14ac:dyDescent="0.2">
      <c r="A1104">
        <f>ROW(Source!A1348)</f>
        <v>1348</v>
      </c>
      <c r="B1104">
        <v>129761636</v>
      </c>
      <c r="C1104">
        <v>129764497</v>
      </c>
      <c r="D1104">
        <v>0</v>
      </c>
      <c r="E1104">
        <v>1</v>
      </c>
      <c r="F1104">
        <v>1</v>
      </c>
      <c r="G1104">
        <v>37345137</v>
      </c>
      <c r="H1104">
        <v>3</v>
      </c>
      <c r="I1104" t="s">
        <v>248</v>
      </c>
      <c r="J1104" t="s">
        <v>3</v>
      </c>
      <c r="K1104" t="s">
        <v>1039</v>
      </c>
      <c r="L1104">
        <v>1354</v>
      </c>
      <c r="N1104">
        <v>1010</v>
      </c>
      <c r="O1104" t="s">
        <v>250</v>
      </c>
      <c r="P1104" t="s">
        <v>250</v>
      </c>
      <c r="Q1104">
        <v>1</v>
      </c>
      <c r="W1104">
        <v>0</v>
      </c>
      <c r="X1104">
        <v>672477041</v>
      </c>
      <c r="Y1104">
        <f>AT1104</f>
        <v>0.17647058823529413</v>
      </c>
      <c r="AA1104">
        <v>62.82</v>
      </c>
      <c r="AB1104">
        <v>0</v>
      </c>
      <c r="AC1104">
        <v>0</v>
      </c>
      <c r="AD1104">
        <v>0</v>
      </c>
      <c r="AE1104">
        <v>62.82</v>
      </c>
      <c r="AF1104">
        <v>0</v>
      </c>
      <c r="AG1104">
        <v>0</v>
      </c>
      <c r="AH1104">
        <v>0</v>
      </c>
      <c r="AI1104">
        <v>1</v>
      </c>
      <c r="AJ1104">
        <v>1</v>
      </c>
      <c r="AK1104">
        <v>1</v>
      </c>
      <c r="AL1104">
        <v>1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 t="s">
        <v>3</v>
      </c>
      <c r="AT1104">
        <v>0.17647058823529413</v>
      </c>
      <c r="AU1104" t="s">
        <v>3</v>
      </c>
      <c r="AV1104">
        <v>0</v>
      </c>
      <c r="AW1104">
        <v>1</v>
      </c>
      <c r="AX1104">
        <v>-1</v>
      </c>
      <c r="AY1104">
        <v>0</v>
      </c>
      <c r="AZ1104">
        <v>0</v>
      </c>
      <c r="BA1104" t="s">
        <v>3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0</v>
      </c>
      <c r="BK1104">
        <v>0</v>
      </c>
      <c r="BL1104">
        <v>0</v>
      </c>
      <c r="BM1104">
        <v>0</v>
      </c>
      <c r="BN1104">
        <v>0</v>
      </c>
      <c r="BO1104">
        <v>0</v>
      </c>
      <c r="BP1104">
        <v>0</v>
      </c>
      <c r="BQ1104">
        <v>0</v>
      </c>
      <c r="BR1104">
        <v>0</v>
      </c>
      <c r="BS1104">
        <v>0</v>
      </c>
      <c r="BT1104">
        <v>0</v>
      </c>
      <c r="BU1104">
        <v>0</v>
      </c>
      <c r="BV1104">
        <v>0</v>
      </c>
      <c r="BW1104">
        <v>0</v>
      </c>
      <c r="CX1104">
        <f>ROUND(Y1104*Source!I1348,9)</f>
        <v>3</v>
      </c>
      <c r="CY1104">
        <f>AA1104</f>
        <v>62.82</v>
      </c>
      <c r="CZ1104">
        <f>AE1104</f>
        <v>62.82</v>
      </c>
      <c r="DA1104">
        <f>AI1104</f>
        <v>1</v>
      </c>
      <c r="DB1104">
        <f>ROUND(ROUND(AT1104*CZ1104,2),6)</f>
        <v>11.09</v>
      </c>
      <c r="DC1104">
        <f>ROUND(ROUND(AT1104*AG1104,2),6)</f>
        <v>0</v>
      </c>
      <c r="DD1104" t="s">
        <v>3</v>
      </c>
      <c r="DE1104" t="s">
        <v>3</v>
      </c>
      <c r="DF1104">
        <f t="shared" si="568"/>
        <v>188.46</v>
      </c>
      <c r="DG1104">
        <f t="shared" si="566"/>
        <v>0</v>
      </c>
      <c r="DH1104">
        <f t="shared" si="567"/>
        <v>0</v>
      </c>
      <c r="DI1104">
        <f t="shared" si="562"/>
        <v>0</v>
      </c>
      <c r="DJ1104">
        <f>DF1104</f>
        <v>188.46</v>
      </c>
      <c r="DK1104">
        <v>0</v>
      </c>
    </row>
    <row r="1105" spans="1:115" x14ac:dyDescent="0.2">
      <c r="A1105">
        <f>ROW(Source!A1349)</f>
        <v>1349</v>
      </c>
      <c r="B1105">
        <v>129761633</v>
      </c>
      <c r="C1105">
        <v>129764497</v>
      </c>
      <c r="D1105">
        <v>37345142</v>
      </c>
      <c r="E1105">
        <v>37345137</v>
      </c>
      <c r="F1105">
        <v>1</v>
      </c>
      <c r="G1105">
        <v>37345137</v>
      </c>
      <c r="H1105">
        <v>1</v>
      </c>
      <c r="I1105" t="s">
        <v>1096</v>
      </c>
      <c r="J1105" t="s">
        <v>3</v>
      </c>
      <c r="K1105" t="s">
        <v>1097</v>
      </c>
      <c r="L1105">
        <v>1191</v>
      </c>
      <c r="N1105">
        <v>1013</v>
      </c>
      <c r="O1105" t="s">
        <v>1098</v>
      </c>
      <c r="P1105" t="s">
        <v>1098</v>
      </c>
      <c r="Q1105">
        <v>1</v>
      </c>
      <c r="W1105">
        <v>0</v>
      </c>
      <c r="X1105">
        <v>476480486</v>
      </c>
      <c r="Y1105">
        <f>(AT1105*1.15)</f>
        <v>0.10349999999999999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1</v>
      </c>
      <c r="AJ1105">
        <v>1</v>
      </c>
      <c r="AK1105">
        <v>1</v>
      </c>
      <c r="AL1105">
        <v>1</v>
      </c>
      <c r="AN1105">
        <v>0</v>
      </c>
      <c r="AO1105">
        <v>1</v>
      </c>
      <c r="AP1105">
        <v>1</v>
      </c>
      <c r="AQ1105">
        <v>0</v>
      </c>
      <c r="AR1105">
        <v>0</v>
      </c>
      <c r="AS1105" t="s">
        <v>3</v>
      </c>
      <c r="AT1105">
        <v>0.09</v>
      </c>
      <c r="AU1105" t="s">
        <v>87</v>
      </c>
      <c r="AV1105">
        <v>1</v>
      </c>
      <c r="AW1105">
        <v>2</v>
      </c>
      <c r="AX1105">
        <v>129764502</v>
      </c>
      <c r="AY1105">
        <v>1</v>
      </c>
      <c r="AZ1105">
        <v>0</v>
      </c>
      <c r="BA1105">
        <v>1056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0</v>
      </c>
      <c r="BJ1105">
        <v>0</v>
      </c>
      <c r="BK1105">
        <v>0</v>
      </c>
      <c r="BL1105">
        <v>0</v>
      </c>
      <c r="BM1105">
        <v>0</v>
      </c>
      <c r="BN1105">
        <v>0</v>
      </c>
      <c r="BO1105">
        <v>0</v>
      </c>
      <c r="BP1105">
        <v>0</v>
      </c>
      <c r="BQ1105">
        <v>0</v>
      </c>
      <c r="BR1105">
        <v>0</v>
      </c>
      <c r="BS1105">
        <v>0</v>
      </c>
      <c r="BT1105">
        <v>0</v>
      </c>
      <c r="BU1105">
        <v>0</v>
      </c>
      <c r="BV1105">
        <v>0</v>
      </c>
      <c r="BW1105">
        <v>0</v>
      </c>
      <c r="CX1105">
        <f>ROUND(Y1105*Source!I1349,9)</f>
        <v>1.7595000000000001</v>
      </c>
      <c r="CY1105">
        <f>AD1105</f>
        <v>0</v>
      </c>
      <c r="CZ1105">
        <f>AH1105</f>
        <v>0</v>
      </c>
      <c r="DA1105">
        <f>AL1105</f>
        <v>1</v>
      </c>
      <c r="DB1105">
        <f>ROUND((ROUND(AT1105*CZ1105,2)*1.15),6)</f>
        <v>0</v>
      </c>
      <c r="DC1105">
        <f>ROUND((ROUND(AT1105*AG1105,2)*1.15),6)</f>
        <v>0</v>
      </c>
      <c r="DD1105" t="s">
        <v>3</v>
      </c>
      <c r="DE1105" t="s">
        <v>3</v>
      </c>
      <c r="DF1105">
        <f t="shared" si="568"/>
        <v>0</v>
      </c>
      <c r="DG1105">
        <f t="shared" si="566"/>
        <v>0</v>
      </c>
      <c r="DH1105">
        <f t="shared" si="567"/>
        <v>0</v>
      </c>
      <c r="DI1105">
        <f t="shared" si="562"/>
        <v>0</v>
      </c>
      <c r="DJ1105">
        <f>DI1105</f>
        <v>0</v>
      </c>
      <c r="DK1105">
        <v>0</v>
      </c>
    </row>
    <row r="1106" spans="1:115" x14ac:dyDescent="0.2">
      <c r="A1106">
        <f>ROW(Source!A1349)</f>
        <v>1349</v>
      </c>
      <c r="B1106">
        <v>129761633</v>
      </c>
      <c r="C1106">
        <v>129764497</v>
      </c>
      <c r="D1106">
        <v>37394909</v>
      </c>
      <c r="E1106">
        <v>1</v>
      </c>
      <c r="F1106">
        <v>1</v>
      </c>
      <c r="G1106">
        <v>37345137</v>
      </c>
      <c r="H1106">
        <v>3</v>
      </c>
      <c r="I1106" t="s">
        <v>1344</v>
      </c>
      <c r="J1106" t="s">
        <v>1345</v>
      </c>
      <c r="K1106" t="s">
        <v>1346</v>
      </c>
      <c r="L1106">
        <v>1348</v>
      </c>
      <c r="N1106">
        <v>1009</v>
      </c>
      <c r="O1106" t="s">
        <v>114</v>
      </c>
      <c r="P1106" t="s">
        <v>114</v>
      </c>
      <c r="Q1106">
        <v>1000</v>
      </c>
      <c r="W1106">
        <v>0</v>
      </c>
      <c r="X1106">
        <v>1398464837</v>
      </c>
      <c r="Y1106">
        <f>AT1106</f>
        <v>1.0000000000000001E-5</v>
      </c>
      <c r="AA1106">
        <v>199927.18</v>
      </c>
      <c r="AB1106">
        <v>0</v>
      </c>
      <c r="AC1106">
        <v>0</v>
      </c>
      <c r="AD1106">
        <v>0</v>
      </c>
      <c r="AE1106">
        <v>16744.32</v>
      </c>
      <c r="AF1106">
        <v>0</v>
      </c>
      <c r="AG1106">
        <v>0</v>
      </c>
      <c r="AH1106">
        <v>0</v>
      </c>
      <c r="AI1106">
        <v>11.94</v>
      </c>
      <c r="AJ1106">
        <v>1</v>
      </c>
      <c r="AK1106">
        <v>1</v>
      </c>
      <c r="AL1106">
        <v>1</v>
      </c>
      <c r="AN1106">
        <v>0</v>
      </c>
      <c r="AO1106">
        <v>1</v>
      </c>
      <c r="AP1106">
        <v>0</v>
      </c>
      <c r="AQ1106">
        <v>0</v>
      </c>
      <c r="AR1106">
        <v>0</v>
      </c>
      <c r="AS1106" t="s">
        <v>3</v>
      </c>
      <c r="AT1106">
        <v>1.0000000000000001E-5</v>
      </c>
      <c r="AU1106" t="s">
        <v>3</v>
      </c>
      <c r="AV1106">
        <v>0</v>
      </c>
      <c r="AW1106">
        <v>2</v>
      </c>
      <c r="AX1106">
        <v>129764503</v>
      </c>
      <c r="AY1106">
        <v>1</v>
      </c>
      <c r="AZ1106">
        <v>0</v>
      </c>
      <c r="BA1106">
        <v>1057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0</v>
      </c>
      <c r="BJ1106">
        <v>0</v>
      </c>
      <c r="BK1106">
        <v>0</v>
      </c>
      <c r="BL1106">
        <v>0</v>
      </c>
      <c r="BM1106">
        <v>0</v>
      </c>
      <c r="BN1106">
        <v>0</v>
      </c>
      <c r="BO1106">
        <v>0</v>
      </c>
      <c r="BP1106">
        <v>0</v>
      </c>
      <c r="BQ1106">
        <v>0</v>
      </c>
      <c r="BR1106">
        <v>0</v>
      </c>
      <c r="BS1106">
        <v>0</v>
      </c>
      <c r="BT1106">
        <v>0</v>
      </c>
      <c r="BU1106">
        <v>0</v>
      </c>
      <c r="BV1106">
        <v>0</v>
      </c>
      <c r="BW1106">
        <v>0</v>
      </c>
      <c r="CX1106">
        <f>ROUND(Y1106*Source!I1349,9)</f>
        <v>1.7000000000000001E-4</v>
      </c>
      <c r="CY1106">
        <f>AA1106</f>
        <v>199927.18</v>
      </c>
      <c r="CZ1106">
        <f>AE1106</f>
        <v>16744.32</v>
      </c>
      <c r="DA1106">
        <f>AI1106</f>
        <v>11.94</v>
      </c>
      <c r="DB1106">
        <f>ROUND(ROUND(AT1106*CZ1106,2),6)</f>
        <v>0.17</v>
      </c>
      <c r="DC1106">
        <f>ROUND(ROUND(AT1106*AG1106,2),6)</f>
        <v>0</v>
      </c>
      <c r="DD1106" t="s">
        <v>3</v>
      </c>
      <c r="DE1106" t="s">
        <v>3</v>
      </c>
      <c r="DF1106">
        <f>ROUND(ROUND(AE1106*CX1106,2)*AI1106,2)</f>
        <v>34.03</v>
      </c>
      <c r="DG1106">
        <f t="shared" si="566"/>
        <v>0</v>
      </c>
      <c r="DH1106">
        <f t="shared" si="567"/>
        <v>0</v>
      </c>
      <c r="DI1106">
        <f t="shared" si="562"/>
        <v>0</v>
      </c>
      <c r="DJ1106">
        <f>DF1106</f>
        <v>34.03</v>
      </c>
      <c r="DK1106">
        <v>0</v>
      </c>
    </row>
    <row r="1107" spans="1:115" x14ac:dyDescent="0.2">
      <c r="A1107">
        <f>ROW(Source!A1349)</f>
        <v>1349</v>
      </c>
      <c r="B1107">
        <v>129761633</v>
      </c>
      <c r="C1107">
        <v>129764497</v>
      </c>
      <c r="D1107">
        <v>0</v>
      </c>
      <c r="E1107">
        <v>1</v>
      </c>
      <c r="F1107">
        <v>1</v>
      </c>
      <c r="G1107">
        <v>37345137</v>
      </c>
      <c r="H1107">
        <v>3</v>
      </c>
      <c r="I1107" t="s">
        <v>248</v>
      </c>
      <c r="J1107" t="s">
        <v>3</v>
      </c>
      <c r="K1107" t="s">
        <v>1037</v>
      </c>
      <c r="L1107">
        <v>1354</v>
      </c>
      <c r="N1107">
        <v>1010</v>
      </c>
      <c r="O1107" t="s">
        <v>250</v>
      </c>
      <c r="P1107" t="s">
        <v>250</v>
      </c>
      <c r="Q1107">
        <v>1</v>
      </c>
      <c r="W1107">
        <v>0</v>
      </c>
      <c r="X1107">
        <v>-1221607113</v>
      </c>
      <c r="Y1107">
        <f>AT1107</f>
        <v>0.82352899999999996</v>
      </c>
      <c r="AA1107">
        <v>255</v>
      </c>
      <c r="AB1107">
        <v>0</v>
      </c>
      <c r="AC1107">
        <v>0</v>
      </c>
      <c r="AD1107">
        <v>0</v>
      </c>
      <c r="AE1107">
        <v>29.479999999999997</v>
      </c>
      <c r="AF1107">
        <v>0</v>
      </c>
      <c r="AG1107">
        <v>0</v>
      </c>
      <c r="AH1107">
        <v>0</v>
      </c>
      <c r="AI1107">
        <v>8.65</v>
      </c>
      <c r="AJ1107">
        <v>1</v>
      </c>
      <c r="AK1107">
        <v>1</v>
      </c>
      <c r="AL1107">
        <v>1</v>
      </c>
      <c r="AN1107">
        <v>0</v>
      </c>
      <c r="AO1107">
        <v>0</v>
      </c>
      <c r="AP1107">
        <v>0</v>
      </c>
      <c r="AQ1107">
        <v>0</v>
      </c>
      <c r="AR1107">
        <v>0</v>
      </c>
      <c r="AS1107" t="s">
        <v>3</v>
      </c>
      <c r="AT1107">
        <v>0.82352899999999996</v>
      </c>
      <c r="AU1107" t="s">
        <v>3</v>
      </c>
      <c r="AV1107">
        <v>0</v>
      </c>
      <c r="AW1107">
        <v>1</v>
      </c>
      <c r="AX1107">
        <v>-1</v>
      </c>
      <c r="AY1107">
        <v>0</v>
      </c>
      <c r="AZ1107">
        <v>0</v>
      </c>
      <c r="BA1107" t="s">
        <v>3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0</v>
      </c>
      <c r="BJ1107">
        <v>0</v>
      </c>
      <c r="BK1107">
        <v>0</v>
      </c>
      <c r="BL1107">
        <v>0</v>
      </c>
      <c r="BM1107">
        <v>0</v>
      </c>
      <c r="BN1107">
        <v>0</v>
      </c>
      <c r="BO1107">
        <v>0</v>
      </c>
      <c r="BP1107">
        <v>0</v>
      </c>
      <c r="BQ1107">
        <v>0</v>
      </c>
      <c r="BR1107">
        <v>0</v>
      </c>
      <c r="BS1107">
        <v>0</v>
      </c>
      <c r="BT1107">
        <v>0</v>
      </c>
      <c r="BU1107">
        <v>0</v>
      </c>
      <c r="BV1107">
        <v>0</v>
      </c>
      <c r="BW1107">
        <v>0</v>
      </c>
      <c r="CX1107">
        <f>ROUND(Y1107*Source!I1349,9)</f>
        <v>13.999993</v>
      </c>
      <c r="CY1107">
        <f>AA1107</f>
        <v>255</v>
      </c>
      <c r="CZ1107">
        <f>AE1107</f>
        <v>29.479999999999997</v>
      </c>
      <c r="DA1107">
        <f>AI1107</f>
        <v>8.65</v>
      </c>
      <c r="DB1107">
        <f>ROUND(ROUND(AT1107*CZ1107,2),6)</f>
        <v>24.28</v>
      </c>
      <c r="DC1107">
        <f>ROUND(ROUND(AT1107*AG1107,2),6)</f>
        <v>0</v>
      </c>
      <c r="DD1107" t="s">
        <v>3</v>
      </c>
      <c r="DE1107" t="s">
        <v>3</v>
      </c>
      <c r="DF1107">
        <f>ROUND(ROUND(AE1107*CX1107,2)*AI1107,2)</f>
        <v>3570.03</v>
      </c>
      <c r="DG1107">
        <f t="shared" si="566"/>
        <v>0</v>
      </c>
      <c r="DH1107">
        <f t="shared" si="567"/>
        <v>0</v>
      </c>
      <c r="DI1107">
        <f t="shared" si="562"/>
        <v>0</v>
      </c>
      <c r="DJ1107">
        <f>DF1107</f>
        <v>3570.03</v>
      </c>
      <c r="DK1107">
        <v>0</v>
      </c>
    </row>
    <row r="1108" spans="1:115" x14ac:dyDescent="0.2">
      <c r="A1108">
        <f>ROW(Source!A1349)</f>
        <v>1349</v>
      </c>
      <c r="B1108">
        <v>129761633</v>
      </c>
      <c r="C1108">
        <v>129764497</v>
      </c>
      <c r="D1108">
        <v>0</v>
      </c>
      <c r="E1108">
        <v>1</v>
      </c>
      <c r="F1108">
        <v>1</v>
      </c>
      <c r="G1108">
        <v>37345137</v>
      </c>
      <c r="H1108">
        <v>3</v>
      </c>
      <c r="I1108" t="s">
        <v>248</v>
      </c>
      <c r="J1108" t="s">
        <v>3</v>
      </c>
      <c r="K1108" t="s">
        <v>1039</v>
      </c>
      <c r="L1108">
        <v>1354</v>
      </c>
      <c r="N1108">
        <v>1010</v>
      </c>
      <c r="O1108" t="s">
        <v>250</v>
      </c>
      <c r="P1108" t="s">
        <v>250</v>
      </c>
      <c r="Q1108">
        <v>1</v>
      </c>
      <c r="W1108">
        <v>0</v>
      </c>
      <c r="X1108">
        <v>672477041</v>
      </c>
      <c r="Y1108">
        <f>AT1108</f>
        <v>0.17647058823529413</v>
      </c>
      <c r="AA1108">
        <v>416.5</v>
      </c>
      <c r="AB1108">
        <v>0</v>
      </c>
      <c r="AC1108">
        <v>0</v>
      </c>
      <c r="AD1108">
        <v>0</v>
      </c>
      <c r="AE1108">
        <v>48.15</v>
      </c>
      <c r="AF1108">
        <v>0</v>
      </c>
      <c r="AG1108">
        <v>0</v>
      </c>
      <c r="AH1108">
        <v>0</v>
      </c>
      <c r="AI1108">
        <v>8.65</v>
      </c>
      <c r="AJ1108">
        <v>1</v>
      </c>
      <c r="AK1108">
        <v>1</v>
      </c>
      <c r="AL1108">
        <v>1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 t="s">
        <v>3</v>
      </c>
      <c r="AT1108">
        <v>0.17647058823529413</v>
      </c>
      <c r="AU1108" t="s">
        <v>3</v>
      </c>
      <c r="AV1108">
        <v>0</v>
      </c>
      <c r="AW1108">
        <v>1</v>
      </c>
      <c r="AX1108">
        <v>-1</v>
      </c>
      <c r="AY1108">
        <v>0</v>
      </c>
      <c r="AZ1108">
        <v>0</v>
      </c>
      <c r="BA1108" t="s">
        <v>3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0</v>
      </c>
      <c r="BK1108">
        <v>0</v>
      </c>
      <c r="BL1108">
        <v>0</v>
      </c>
      <c r="BM1108">
        <v>0</v>
      </c>
      <c r="BN1108">
        <v>0</v>
      </c>
      <c r="BO1108">
        <v>0</v>
      </c>
      <c r="BP1108">
        <v>0</v>
      </c>
      <c r="BQ1108">
        <v>0</v>
      </c>
      <c r="BR1108">
        <v>0</v>
      </c>
      <c r="BS1108">
        <v>0</v>
      </c>
      <c r="BT1108">
        <v>0</v>
      </c>
      <c r="BU1108">
        <v>0</v>
      </c>
      <c r="BV1108">
        <v>0</v>
      </c>
      <c r="BW1108">
        <v>0</v>
      </c>
      <c r="CX1108">
        <f>ROUND(Y1108*Source!I1349,9)</f>
        <v>3</v>
      </c>
      <c r="CY1108">
        <f>AA1108</f>
        <v>416.5</v>
      </c>
      <c r="CZ1108">
        <f>AE1108</f>
        <v>48.15</v>
      </c>
      <c r="DA1108">
        <f>AI1108</f>
        <v>8.65</v>
      </c>
      <c r="DB1108">
        <f>ROUND(ROUND(AT1108*CZ1108,2),6)</f>
        <v>8.5</v>
      </c>
      <c r="DC1108">
        <f>ROUND(ROUND(AT1108*AG1108,2),6)</f>
        <v>0</v>
      </c>
      <c r="DD1108" t="s">
        <v>3</v>
      </c>
      <c r="DE1108" t="s">
        <v>3</v>
      </c>
      <c r="DF1108">
        <f>ROUND(ROUND(AE1108*CX1108,2)*AI1108,2)</f>
        <v>1249.49</v>
      </c>
      <c r="DG1108">
        <f t="shared" si="566"/>
        <v>0</v>
      </c>
      <c r="DH1108">
        <f t="shared" si="567"/>
        <v>0</v>
      </c>
      <c r="DI1108">
        <f t="shared" si="562"/>
        <v>0</v>
      </c>
      <c r="DJ1108">
        <f>DF1108</f>
        <v>1249.49</v>
      </c>
      <c r="DK1108">
        <v>0</v>
      </c>
    </row>
    <row r="1109" spans="1:115" x14ac:dyDescent="0.2">
      <c r="A1109">
        <f>ROW(Source!A1354)</f>
        <v>1354</v>
      </c>
      <c r="B1109">
        <v>129761636</v>
      </c>
      <c r="C1109">
        <v>129764507</v>
      </c>
      <c r="D1109">
        <v>37345142</v>
      </c>
      <c r="E1109">
        <v>37345137</v>
      </c>
      <c r="F1109">
        <v>1</v>
      </c>
      <c r="G1109">
        <v>37345137</v>
      </c>
      <c r="H1109">
        <v>1</v>
      </c>
      <c r="I1109" t="s">
        <v>1096</v>
      </c>
      <c r="J1109" t="s">
        <v>3</v>
      </c>
      <c r="K1109" t="s">
        <v>1097</v>
      </c>
      <c r="L1109">
        <v>1191</v>
      </c>
      <c r="N1109">
        <v>1013</v>
      </c>
      <c r="O1109" t="s">
        <v>1098</v>
      </c>
      <c r="P1109" t="s">
        <v>1098</v>
      </c>
      <c r="Q1109">
        <v>1</v>
      </c>
      <c r="W1109">
        <v>0</v>
      </c>
      <c r="X1109">
        <v>476480486</v>
      </c>
      <c r="Y1109">
        <f>(AT1109*1.15)</f>
        <v>0.32200000000000001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1</v>
      </c>
      <c r="AJ1109">
        <v>1</v>
      </c>
      <c r="AK1109">
        <v>1</v>
      </c>
      <c r="AL1109">
        <v>1</v>
      </c>
      <c r="AN1109">
        <v>0</v>
      </c>
      <c r="AO1109">
        <v>1</v>
      </c>
      <c r="AP1109">
        <v>1</v>
      </c>
      <c r="AQ1109">
        <v>0</v>
      </c>
      <c r="AR1109">
        <v>0</v>
      </c>
      <c r="AS1109" t="s">
        <v>3</v>
      </c>
      <c r="AT1109">
        <v>0.28000000000000003</v>
      </c>
      <c r="AU1109" t="s">
        <v>87</v>
      </c>
      <c r="AV1109">
        <v>1</v>
      </c>
      <c r="AW1109">
        <v>2</v>
      </c>
      <c r="AX1109">
        <v>129764510</v>
      </c>
      <c r="AY1109">
        <v>1</v>
      </c>
      <c r="AZ1109">
        <v>0</v>
      </c>
      <c r="BA1109">
        <v>1059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0</v>
      </c>
      <c r="BJ1109">
        <v>0</v>
      </c>
      <c r="BK1109">
        <v>0</v>
      </c>
      <c r="BL1109">
        <v>0</v>
      </c>
      <c r="BM1109">
        <v>0</v>
      </c>
      <c r="BN1109">
        <v>0</v>
      </c>
      <c r="BO1109">
        <v>0</v>
      </c>
      <c r="BP1109">
        <v>0</v>
      </c>
      <c r="BQ1109">
        <v>0</v>
      </c>
      <c r="BR1109">
        <v>0</v>
      </c>
      <c r="BS1109">
        <v>0</v>
      </c>
      <c r="BT1109">
        <v>0</v>
      </c>
      <c r="BU1109">
        <v>0</v>
      </c>
      <c r="BV1109">
        <v>0</v>
      </c>
      <c r="BW1109">
        <v>0</v>
      </c>
      <c r="CX1109">
        <f>ROUND(Y1109*Source!I1354,9)</f>
        <v>3.22</v>
      </c>
      <c r="CY1109">
        <f>AD1109</f>
        <v>0</v>
      </c>
      <c r="CZ1109">
        <f>AH1109</f>
        <v>0</v>
      </c>
      <c r="DA1109">
        <f>AL1109</f>
        <v>1</v>
      </c>
      <c r="DB1109">
        <f>ROUND((ROUND(AT1109*CZ1109,2)*1.15),6)</f>
        <v>0</v>
      </c>
      <c r="DC1109">
        <f>ROUND((ROUND(AT1109*AG1109,2)*1.15),6)</f>
        <v>0</v>
      </c>
      <c r="DD1109" t="s">
        <v>3</v>
      </c>
      <c r="DE1109" t="s">
        <v>3</v>
      </c>
      <c r="DF1109">
        <f>ROUND(AE1109*CX1109,2)</f>
        <v>0</v>
      </c>
      <c r="DG1109">
        <f t="shared" si="566"/>
        <v>0</v>
      </c>
      <c r="DH1109">
        <f t="shared" si="567"/>
        <v>0</v>
      </c>
      <c r="DI1109">
        <f t="shared" si="562"/>
        <v>0</v>
      </c>
      <c r="DJ1109">
        <f>DI1109</f>
        <v>0</v>
      </c>
      <c r="DK1109">
        <v>0</v>
      </c>
    </row>
    <row r="1110" spans="1:115" x14ac:dyDescent="0.2">
      <c r="A1110">
        <f>ROW(Source!A1354)</f>
        <v>1354</v>
      </c>
      <c r="B1110">
        <v>129761636</v>
      </c>
      <c r="C1110">
        <v>129764507</v>
      </c>
      <c r="D1110">
        <v>37367082</v>
      </c>
      <c r="E1110">
        <v>37345137</v>
      </c>
      <c r="F1110">
        <v>1</v>
      </c>
      <c r="G1110">
        <v>37345137</v>
      </c>
      <c r="H1110">
        <v>3</v>
      </c>
      <c r="I1110" t="s">
        <v>1136</v>
      </c>
      <c r="J1110" t="s">
        <v>3</v>
      </c>
      <c r="K1110" t="s">
        <v>1137</v>
      </c>
      <c r="L1110">
        <v>1344</v>
      </c>
      <c r="N1110">
        <v>1008</v>
      </c>
      <c r="O1110" t="s">
        <v>1138</v>
      </c>
      <c r="P1110" t="s">
        <v>1138</v>
      </c>
      <c r="Q1110">
        <v>1</v>
      </c>
      <c r="W1110">
        <v>0</v>
      </c>
      <c r="X1110">
        <v>-94250534</v>
      </c>
      <c r="Y1110">
        <f>AT1110</f>
        <v>0.28000000000000003</v>
      </c>
      <c r="AA1110">
        <v>1</v>
      </c>
      <c r="AB1110">
        <v>0</v>
      </c>
      <c r="AC1110">
        <v>0</v>
      </c>
      <c r="AD1110">
        <v>0</v>
      </c>
      <c r="AE1110">
        <v>1</v>
      </c>
      <c r="AF1110">
        <v>0</v>
      </c>
      <c r="AG1110">
        <v>0</v>
      </c>
      <c r="AH1110">
        <v>0</v>
      </c>
      <c r="AI1110">
        <v>1</v>
      </c>
      <c r="AJ1110">
        <v>1</v>
      </c>
      <c r="AK1110">
        <v>1</v>
      </c>
      <c r="AL1110">
        <v>1</v>
      </c>
      <c r="AN1110">
        <v>0</v>
      </c>
      <c r="AO1110">
        <v>1</v>
      </c>
      <c r="AP1110">
        <v>0</v>
      </c>
      <c r="AQ1110">
        <v>0</v>
      </c>
      <c r="AR1110">
        <v>0</v>
      </c>
      <c r="AS1110" t="s">
        <v>3</v>
      </c>
      <c r="AT1110">
        <v>0.28000000000000003</v>
      </c>
      <c r="AU1110" t="s">
        <v>3</v>
      </c>
      <c r="AV1110">
        <v>0</v>
      </c>
      <c r="AW1110">
        <v>2</v>
      </c>
      <c r="AX1110">
        <v>129764512</v>
      </c>
      <c r="AY1110">
        <v>1</v>
      </c>
      <c r="AZ1110">
        <v>0</v>
      </c>
      <c r="BA1110">
        <v>1061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0</v>
      </c>
      <c r="BJ1110">
        <v>0</v>
      </c>
      <c r="BK1110">
        <v>0</v>
      </c>
      <c r="BL1110">
        <v>0</v>
      </c>
      <c r="BM1110">
        <v>0</v>
      </c>
      <c r="BN1110">
        <v>0</v>
      </c>
      <c r="BO1110">
        <v>0</v>
      </c>
      <c r="BP1110">
        <v>0</v>
      </c>
      <c r="BQ1110">
        <v>0</v>
      </c>
      <c r="BR1110">
        <v>0</v>
      </c>
      <c r="BS1110">
        <v>0</v>
      </c>
      <c r="BT1110">
        <v>0</v>
      </c>
      <c r="BU1110">
        <v>0</v>
      </c>
      <c r="BV1110">
        <v>0</v>
      </c>
      <c r="BW1110">
        <v>0</v>
      </c>
      <c r="CX1110">
        <f>ROUND(Y1110*Source!I1354,9)</f>
        <v>2.8</v>
      </c>
      <c r="CY1110">
        <f>AA1110</f>
        <v>1</v>
      </c>
      <c r="CZ1110">
        <f>AE1110</f>
        <v>1</v>
      </c>
      <c r="DA1110">
        <f>AI1110</f>
        <v>1</v>
      </c>
      <c r="DB1110">
        <f>ROUND(ROUND(AT1110*CZ1110,2),6)</f>
        <v>0.28000000000000003</v>
      </c>
      <c r="DC1110">
        <f>ROUND(ROUND(AT1110*AG1110,2),6)</f>
        <v>0</v>
      </c>
      <c r="DD1110" t="s">
        <v>3</v>
      </c>
      <c r="DE1110" t="s">
        <v>3</v>
      </c>
      <c r="DF1110">
        <f>ROUND(AE1110*CX1110,2)</f>
        <v>2.8</v>
      </c>
      <c r="DG1110">
        <f t="shared" si="566"/>
        <v>0</v>
      </c>
      <c r="DH1110">
        <f t="shared" si="567"/>
        <v>0</v>
      </c>
      <c r="DI1110">
        <f t="shared" si="562"/>
        <v>0</v>
      </c>
      <c r="DJ1110">
        <f>DF1110</f>
        <v>2.8</v>
      </c>
      <c r="DK1110">
        <v>0</v>
      </c>
    </row>
    <row r="1111" spans="1:115" x14ac:dyDescent="0.2">
      <c r="A1111">
        <f>ROW(Source!A1355)</f>
        <v>1355</v>
      </c>
      <c r="B1111">
        <v>129761633</v>
      </c>
      <c r="C1111">
        <v>129764507</v>
      </c>
      <c r="D1111">
        <v>37345142</v>
      </c>
      <c r="E1111">
        <v>37345137</v>
      </c>
      <c r="F1111">
        <v>1</v>
      </c>
      <c r="G1111">
        <v>37345137</v>
      </c>
      <c r="H1111">
        <v>1</v>
      </c>
      <c r="I1111" t="s">
        <v>1096</v>
      </c>
      <c r="J1111" t="s">
        <v>3</v>
      </c>
      <c r="K1111" t="s">
        <v>1097</v>
      </c>
      <c r="L1111">
        <v>1191</v>
      </c>
      <c r="N1111">
        <v>1013</v>
      </c>
      <c r="O1111" t="s">
        <v>1098</v>
      </c>
      <c r="P1111" t="s">
        <v>1098</v>
      </c>
      <c r="Q1111">
        <v>1</v>
      </c>
      <c r="W1111">
        <v>0</v>
      </c>
      <c r="X1111">
        <v>476480486</v>
      </c>
      <c r="Y1111">
        <f>(AT1111*1.15)</f>
        <v>0.32200000000000001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1</v>
      </c>
      <c r="AJ1111">
        <v>1</v>
      </c>
      <c r="AK1111">
        <v>1</v>
      </c>
      <c r="AL1111">
        <v>1</v>
      </c>
      <c r="AN1111">
        <v>0</v>
      </c>
      <c r="AO1111">
        <v>1</v>
      </c>
      <c r="AP1111">
        <v>1</v>
      </c>
      <c r="AQ1111">
        <v>0</v>
      </c>
      <c r="AR1111">
        <v>0</v>
      </c>
      <c r="AS1111" t="s">
        <v>3</v>
      </c>
      <c r="AT1111">
        <v>0.28000000000000003</v>
      </c>
      <c r="AU1111" t="s">
        <v>87</v>
      </c>
      <c r="AV1111">
        <v>1</v>
      </c>
      <c r="AW1111">
        <v>2</v>
      </c>
      <c r="AX1111">
        <v>129764510</v>
      </c>
      <c r="AY1111">
        <v>1</v>
      </c>
      <c r="AZ1111">
        <v>0</v>
      </c>
      <c r="BA1111">
        <v>1062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0</v>
      </c>
      <c r="BJ1111">
        <v>0</v>
      </c>
      <c r="BK1111">
        <v>0</v>
      </c>
      <c r="BL1111">
        <v>0</v>
      </c>
      <c r="BM1111">
        <v>0</v>
      </c>
      <c r="BN1111">
        <v>0</v>
      </c>
      <c r="BO1111">
        <v>0</v>
      </c>
      <c r="BP1111">
        <v>0</v>
      </c>
      <c r="BQ1111">
        <v>0</v>
      </c>
      <c r="BR1111">
        <v>0</v>
      </c>
      <c r="BS1111">
        <v>0</v>
      </c>
      <c r="BT1111">
        <v>0</v>
      </c>
      <c r="BU1111">
        <v>0</v>
      </c>
      <c r="BV1111">
        <v>0</v>
      </c>
      <c r="BW1111">
        <v>0</v>
      </c>
      <c r="CX1111">
        <f>ROUND(Y1111*Source!I1355,9)</f>
        <v>3.22</v>
      </c>
      <c r="CY1111">
        <f>AD1111</f>
        <v>0</v>
      </c>
      <c r="CZ1111">
        <f>AH1111</f>
        <v>0</v>
      </c>
      <c r="DA1111">
        <f>AL1111</f>
        <v>1</v>
      </c>
      <c r="DB1111">
        <f>ROUND((ROUND(AT1111*CZ1111,2)*1.15),6)</f>
        <v>0</v>
      </c>
      <c r="DC1111">
        <f>ROUND((ROUND(AT1111*AG1111,2)*1.15),6)</f>
        <v>0</v>
      </c>
      <c r="DD1111" t="s">
        <v>3</v>
      </c>
      <c r="DE1111" t="s">
        <v>3</v>
      </c>
      <c r="DF1111">
        <f>ROUND(AE1111*CX1111,2)</f>
        <v>0</v>
      </c>
      <c r="DG1111">
        <f t="shared" si="566"/>
        <v>0</v>
      </c>
      <c r="DH1111">
        <f t="shared" si="567"/>
        <v>0</v>
      </c>
      <c r="DI1111">
        <f t="shared" si="562"/>
        <v>0</v>
      </c>
      <c r="DJ1111">
        <f>DI1111</f>
        <v>0</v>
      </c>
      <c r="DK1111">
        <v>0</v>
      </c>
    </row>
    <row r="1112" spans="1:115" x14ac:dyDescent="0.2">
      <c r="A1112">
        <f>ROW(Source!A1355)</f>
        <v>1355</v>
      </c>
      <c r="B1112">
        <v>129761633</v>
      </c>
      <c r="C1112">
        <v>129764507</v>
      </c>
      <c r="D1112">
        <v>37367082</v>
      </c>
      <c r="E1112">
        <v>37345137</v>
      </c>
      <c r="F1112">
        <v>1</v>
      </c>
      <c r="G1112">
        <v>37345137</v>
      </c>
      <c r="H1112">
        <v>3</v>
      </c>
      <c r="I1112" t="s">
        <v>1136</v>
      </c>
      <c r="J1112" t="s">
        <v>3</v>
      </c>
      <c r="K1112" t="s">
        <v>1137</v>
      </c>
      <c r="L1112">
        <v>1344</v>
      </c>
      <c r="N1112">
        <v>1008</v>
      </c>
      <c r="O1112" t="s">
        <v>1138</v>
      </c>
      <c r="P1112" t="s">
        <v>1138</v>
      </c>
      <c r="Q1112">
        <v>1</v>
      </c>
      <c r="W1112">
        <v>0</v>
      </c>
      <c r="X1112">
        <v>-94250534</v>
      </c>
      <c r="Y1112">
        <f>AT1112</f>
        <v>0.28000000000000003</v>
      </c>
      <c r="AA1112">
        <v>8.65</v>
      </c>
      <c r="AB1112">
        <v>0</v>
      </c>
      <c r="AC1112">
        <v>0</v>
      </c>
      <c r="AD1112">
        <v>0</v>
      </c>
      <c r="AE1112">
        <v>1</v>
      </c>
      <c r="AF1112">
        <v>0</v>
      </c>
      <c r="AG1112">
        <v>0</v>
      </c>
      <c r="AH1112">
        <v>0</v>
      </c>
      <c r="AI1112">
        <v>8.65</v>
      </c>
      <c r="AJ1112">
        <v>1</v>
      </c>
      <c r="AK1112">
        <v>1</v>
      </c>
      <c r="AL1112">
        <v>1</v>
      </c>
      <c r="AN1112">
        <v>0</v>
      </c>
      <c r="AO1112">
        <v>1</v>
      </c>
      <c r="AP1112">
        <v>0</v>
      </c>
      <c r="AQ1112">
        <v>0</v>
      </c>
      <c r="AR1112">
        <v>0</v>
      </c>
      <c r="AS1112" t="s">
        <v>3</v>
      </c>
      <c r="AT1112">
        <v>0.28000000000000003</v>
      </c>
      <c r="AU1112" t="s">
        <v>3</v>
      </c>
      <c r="AV1112">
        <v>0</v>
      </c>
      <c r="AW1112">
        <v>2</v>
      </c>
      <c r="AX1112">
        <v>129764512</v>
      </c>
      <c r="AY1112">
        <v>1</v>
      </c>
      <c r="AZ1112">
        <v>0</v>
      </c>
      <c r="BA1112">
        <v>1064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0</v>
      </c>
      <c r="BJ1112">
        <v>0</v>
      </c>
      <c r="BK1112">
        <v>0</v>
      </c>
      <c r="BL1112">
        <v>0</v>
      </c>
      <c r="BM1112">
        <v>0</v>
      </c>
      <c r="BN1112">
        <v>0</v>
      </c>
      <c r="BO1112">
        <v>0</v>
      </c>
      <c r="BP1112">
        <v>0</v>
      </c>
      <c r="BQ1112">
        <v>0</v>
      </c>
      <c r="BR1112">
        <v>0</v>
      </c>
      <c r="BS1112">
        <v>0</v>
      </c>
      <c r="BT1112">
        <v>0</v>
      </c>
      <c r="BU1112">
        <v>0</v>
      </c>
      <c r="BV1112">
        <v>0</v>
      </c>
      <c r="BW1112">
        <v>0</v>
      </c>
      <c r="CX1112">
        <f>ROUND(Y1112*Source!I1355,9)</f>
        <v>2.8</v>
      </c>
      <c r="CY1112">
        <f>AA1112</f>
        <v>8.65</v>
      </c>
      <c r="CZ1112">
        <f>AE1112</f>
        <v>1</v>
      </c>
      <c r="DA1112">
        <f>AI1112</f>
        <v>8.65</v>
      </c>
      <c r="DB1112">
        <f>ROUND(ROUND(AT1112*CZ1112,2),6)</f>
        <v>0.28000000000000003</v>
      </c>
      <c r="DC1112">
        <f>ROUND(ROUND(AT1112*AG1112,2),6)</f>
        <v>0</v>
      </c>
      <c r="DD1112" t="s">
        <v>3</v>
      </c>
      <c r="DE1112" t="s">
        <v>3</v>
      </c>
      <c r="DF1112">
        <f>ROUND(ROUND(AE1112*CX1112,2)*AI1112,2)</f>
        <v>24.22</v>
      </c>
      <c r="DG1112">
        <f t="shared" si="566"/>
        <v>0</v>
      </c>
      <c r="DH1112">
        <f t="shared" si="567"/>
        <v>0</v>
      </c>
      <c r="DI1112">
        <f t="shared" si="562"/>
        <v>0</v>
      </c>
      <c r="DJ1112">
        <f>DF1112</f>
        <v>24.22</v>
      </c>
      <c r="DK1112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064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ROW(Source!A28)</f>
        <v>28</v>
      </c>
      <c r="B1">
        <v>129763165</v>
      </c>
      <c r="C1">
        <v>129763163</v>
      </c>
      <c r="D1">
        <v>37345142</v>
      </c>
      <c r="E1">
        <v>37345137</v>
      </c>
      <c r="F1">
        <v>1</v>
      </c>
      <c r="G1">
        <v>37345137</v>
      </c>
      <c r="H1">
        <v>1</v>
      </c>
      <c r="I1" t="s">
        <v>1096</v>
      </c>
      <c r="J1" t="s">
        <v>3</v>
      </c>
      <c r="K1" t="s">
        <v>1097</v>
      </c>
      <c r="L1">
        <v>1191</v>
      </c>
      <c r="N1">
        <v>1013</v>
      </c>
      <c r="O1" t="s">
        <v>1098</v>
      </c>
      <c r="P1" t="s">
        <v>1098</v>
      </c>
      <c r="Q1">
        <v>1</v>
      </c>
      <c r="X1">
        <v>192.7</v>
      </c>
      <c r="Y1">
        <v>0</v>
      </c>
      <c r="Z1">
        <v>0</v>
      </c>
      <c r="AA1">
        <v>0</v>
      </c>
      <c r="AB1">
        <v>0</v>
      </c>
      <c r="AC1">
        <v>0</v>
      </c>
      <c r="AD1">
        <v>1</v>
      </c>
      <c r="AE1">
        <v>1</v>
      </c>
      <c r="AF1" t="s">
        <v>3</v>
      </c>
      <c r="AG1">
        <v>192.7</v>
      </c>
      <c r="AH1">
        <v>2</v>
      </c>
      <c r="AI1">
        <v>129763164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ROW(Source!A29)</f>
        <v>29</v>
      </c>
      <c r="B2">
        <v>129763165</v>
      </c>
      <c r="C2">
        <v>129763163</v>
      </c>
      <c r="D2">
        <v>37345142</v>
      </c>
      <c r="E2">
        <v>37345137</v>
      </c>
      <c r="F2">
        <v>1</v>
      </c>
      <c r="G2">
        <v>37345137</v>
      </c>
      <c r="H2">
        <v>1</v>
      </c>
      <c r="I2" t="s">
        <v>1096</v>
      </c>
      <c r="J2" t="s">
        <v>3</v>
      </c>
      <c r="K2" t="s">
        <v>1097</v>
      </c>
      <c r="L2">
        <v>1191</v>
      </c>
      <c r="N2">
        <v>1013</v>
      </c>
      <c r="O2" t="s">
        <v>1098</v>
      </c>
      <c r="P2" t="s">
        <v>1098</v>
      </c>
      <c r="Q2">
        <v>1</v>
      </c>
      <c r="X2">
        <v>192.7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1</v>
      </c>
      <c r="AF2" t="s">
        <v>3</v>
      </c>
      <c r="AG2">
        <v>192.7</v>
      </c>
      <c r="AH2">
        <v>2</v>
      </c>
      <c r="AI2">
        <v>129763164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ROW(Source!A65)</f>
        <v>65</v>
      </c>
      <c r="B3">
        <v>129763175</v>
      </c>
      <c r="C3">
        <v>129763166</v>
      </c>
      <c r="D3">
        <v>37345142</v>
      </c>
      <c r="E3">
        <v>37345137</v>
      </c>
      <c r="F3">
        <v>1</v>
      </c>
      <c r="G3">
        <v>37345137</v>
      </c>
      <c r="H3">
        <v>1</v>
      </c>
      <c r="I3" t="s">
        <v>1096</v>
      </c>
      <c r="J3" t="s">
        <v>3</v>
      </c>
      <c r="K3" t="s">
        <v>1097</v>
      </c>
      <c r="L3">
        <v>1191</v>
      </c>
      <c r="N3">
        <v>1013</v>
      </c>
      <c r="O3" t="s">
        <v>1098</v>
      </c>
      <c r="P3" t="s">
        <v>1098</v>
      </c>
      <c r="Q3">
        <v>1</v>
      </c>
      <c r="X3">
        <v>14.4</v>
      </c>
      <c r="Y3">
        <v>0</v>
      </c>
      <c r="Z3">
        <v>0</v>
      </c>
      <c r="AA3">
        <v>0</v>
      </c>
      <c r="AB3">
        <v>0</v>
      </c>
      <c r="AC3">
        <v>0</v>
      </c>
      <c r="AD3">
        <v>1</v>
      </c>
      <c r="AE3">
        <v>1</v>
      </c>
      <c r="AF3" t="s">
        <v>87</v>
      </c>
      <c r="AG3">
        <v>16.559999999999999</v>
      </c>
      <c r="AH3">
        <v>2</v>
      </c>
      <c r="AI3">
        <v>129763167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ROW(Source!A65)</f>
        <v>65</v>
      </c>
      <c r="B4">
        <v>129763176</v>
      </c>
      <c r="C4">
        <v>129763166</v>
      </c>
      <c r="D4">
        <v>37417645</v>
      </c>
      <c r="E4">
        <v>1</v>
      </c>
      <c r="F4">
        <v>1</v>
      </c>
      <c r="G4">
        <v>37345137</v>
      </c>
      <c r="H4">
        <v>2</v>
      </c>
      <c r="I4" t="s">
        <v>1099</v>
      </c>
      <c r="J4" t="s">
        <v>1100</v>
      </c>
      <c r="K4" t="s">
        <v>1101</v>
      </c>
      <c r="L4">
        <v>1367</v>
      </c>
      <c r="N4">
        <v>1011</v>
      </c>
      <c r="O4" t="s">
        <v>1102</v>
      </c>
      <c r="P4" t="s">
        <v>1102</v>
      </c>
      <c r="Q4">
        <v>1</v>
      </c>
      <c r="X4">
        <v>1.66</v>
      </c>
      <c r="Y4">
        <v>0</v>
      </c>
      <c r="Z4">
        <v>116.89</v>
      </c>
      <c r="AA4">
        <v>23.41</v>
      </c>
      <c r="AB4">
        <v>0</v>
      </c>
      <c r="AC4">
        <v>0</v>
      </c>
      <c r="AD4">
        <v>1</v>
      </c>
      <c r="AE4">
        <v>0</v>
      </c>
      <c r="AF4" t="s">
        <v>86</v>
      </c>
      <c r="AG4">
        <v>2.0749999999999997</v>
      </c>
      <c r="AH4">
        <v>2</v>
      </c>
      <c r="AI4">
        <v>129763168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ROW(Source!A65)</f>
        <v>65</v>
      </c>
      <c r="B5">
        <v>129763177</v>
      </c>
      <c r="C5">
        <v>129763166</v>
      </c>
      <c r="D5">
        <v>37417868</v>
      </c>
      <c r="E5">
        <v>1</v>
      </c>
      <c r="F5">
        <v>1</v>
      </c>
      <c r="G5">
        <v>37345137</v>
      </c>
      <c r="H5">
        <v>2</v>
      </c>
      <c r="I5" t="s">
        <v>1103</v>
      </c>
      <c r="J5" t="s">
        <v>1104</v>
      </c>
      <c r="K5" t="s">
        <v>1105</v>
      </c>
      <c r="L5">
        <v>1367</v>
      </c>
      <c r="N5">
        <v>1011</v>
      </c>
      <c r="O5" t="s">
        <v>1102</v>
      </c>
      <c r="P5" t="s">
        <v>1102</v>
      </c>
      <c r="Q5">
        <v>1</v>
      </c>
      <c r="X5">
        <v>1.66</v>
      </c>
      <c r="Y5">
        <v>0</v>
      </c>
      <c r="Z5">
        <v>62.97</v>
      </c>
      <c r="AA5">
        <v>6.64</v>
      </c>
      <c r="AB5">
        <v>0</v>
      </c>
      <c r="AC5">
        <v>0</v>
      </c>
      <c r="AD5">
        <v>1</v>
      </c>
      <c r="AE5">
        <v>0</v>
      </c>
      <c r="AF5" t="s">
        <v>86</v>
      </c>
      <c r="AG5">
        <v>2.0749999999999997</v>
      </c>
      <c r="AH5">
        <v>2</v>
      </c>
      <c r="AI5">
        <v>129763169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ROW(Source!A65)</f>
        <v>65</v>
      </c>
      <c r="B6">
        <v>129763178</v>
      </c>
      <c r="C6">
        <v>129763166</v>
      </c>
      <c r="D6">
        <v>37417871</v>
      </c>
      <c r="E6">
        <v>1</v>
      </c>
      <c r="F6">
        <v>1</v>
      </c>
      <c r="G6">
        <v>37345137</v>
      </c>
      <c r="H6">
        <v>2</v>
      </c>
      <c r="I6" t="s">
        <v>1106</v>
      </c>
      <c r="J6" t="s">
        <v>1107</v>
      </c>
      <c r="K6" t="s">
        <v>1108</v>
      </c>
      <c r="L6">
        <v>1367</v>
      </c>
      <c r="N6">
        <v>1011</v>
      </c>
      <c r="O6" t="s">
        <v>1102</v>
      </c>
      <c r="P6" t="s">
        <v>1102</v>
      </c>
      <c r="Q6">
        <v>1</v>
      </c>
      <c r="X6">
        <v>0.65</v>
      </c>
      <c r="Y6">
        <v>0</v>
      </c>
      <c r="Z6">
        <v>246.68</v>
      </c>
      <c r="AA6">
        <v>13.37</v>
      </c>
      <c r="AB6">
        <v>0</v>
      </c>
      <c r="AC6">
        <v>0</v>
      </c>
      <c r="AD6">
        <v>1</v>
      </c>
      <c r="AE6">
        <v>0</v>
      </c>
      <c r="AF6" t="s">
        <v>86</v>
      </c>
      <c r="AG6">
        <v>0.8125</v>
      </c>
      <c r="AH6">
        <v>2</v>
      </c>
      <c r="AI6">
        <v>129763170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ROW(Source!A65)</f>
        <v>65</v>
      </c>
      <c r="B7">
        <v>129763179</v>
      </c>
      <c r="C7">
        <v>129763166</v>
      </c>
      <c r="D7">
        <v>37417899</v>
      </c>
      <c r="E7">
        <v>1</v>
      </c>
      <c r="F7">
        <v>1</v>
      </c>
      <c r="G7">
        <v>37345137</v>
      </c>
      <c r="H7">
        <v>2</v>
      </c>
      <c r="I7" t="s">
        <v>1109</v>
      </c>
      <c r="J7" t="s">
        <v>1110</v>
      </c>
      <c r="K7" t="s">
        <v>1111</v>
      </c>
      <c r="L7">
        <v>1367</v>
      </c>
      <c r="N7">
        <v>1011</v>
      </c>
      <c r="O7" t="s">
        <v>1102</v>
      </c>
      <c r="P7" t="s">
        <v>1102</v>
      </c>
      <c r="Q7">
        <v>1</v>
      </c>
      <c r="X7">
        <v>1.55</v>
      </c>
      <c r="Y7">
        <v>0</v>
      </c>
      <c r="Z7">
        <v>125.13</v>
      </c>
      <c r="AA7">
        <v>24.74</v>
      </c>
      <c r="AB7">
        <v>0</v>
      </c>
      <c r="AC7">
        <v>0</v>
      </c>
      <c r="AD7">
        <v>1</v>
      </c>
      <c r="AE7">
        <v>0</v>
      </c>
      <c r="AF7" t="s">
        <v>86</v>
      </c>
      <c r="AG7">
        <v>1.9375</v>
      </c>
      <c r="AH7">
        <v>2</v>
      </c>
      <c r="AI7">
        <v>129763171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ROW(Source!A65)</f>
        <v>65</v>
      </c>
      <c r="B8">
        <v>129763180</v>
      </c>
      <c r="C8">
        <v>129763166</v>
      </c>
      <c r="D8">
        <v>37417861</v>
      </c>
      <c r="E8">
        <v>1</v>
      </c>
      <c r="F8">
        <v>1</v>
      </c>
      <c r="G8">
        <v>37345137</v>
      </c>
      <c r="H8">
        <v>2</v>
      </c>
      <c r="I8" t="s">
        <v>1112</v>
      </c>
      <c r="J8" t="s">
        <v>1113</v>
      </c>
      <c r="K8" t="s">
        <v>1114</v>
      </c>
      <c r="L8">
        <v>1367</v>
      </c>
      <c r="N8">
        <v>1011</v>
      </c>
      <c r="O8" t="s">
        <v>1102</v>
      </c>
      <c r="P8" t="s">
        <v>1102</v>
      </c>
      <c r="Q8">
        <v>1</v>
      </c>
      <c r="X8">
        <v>0.52</v>
      </c>
      <c r="Y8">
        <v>0</v>
      </c>
      <c r="Z8">
        <v>177.54</v>
      </c>
      <c r="AA8">
        <v>17.420000000000002</v>
      </c>
      <c r="AB8">
        <v>0</v>
      </c>
      <c r="AC8">
        <v>0</v>
      </c>
      <c r="AD8">
        <v>1</v>
      </c>
      <c r="AE8">
        <v>0</v>
      </c>
      <c r="AF8" t="s">
        <v>86</v>
      </c>
      <c r="AG8">
        <v>0.65</v>
      </c>
      <c r="AH8">
        <v>2</v>
      </c>
      <c r="AI8">
        <v>129763172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ROW(Source!A65)</f>
        <v>65</v>
      </c>
      <c r="B9">
        <v>129763181</v>
      </c>
      <c r="C9">
        <v>129763166</v>
      </c>
      <c r="D9">
        <v>37393552</v>
      </c>
      <c r="E9">
        <v>1</v>
      </c>
      <c r="F9">
        <v>1</v>
      </c>
      <c r="G9">
        <v>37345137</v>
      </c>
      <c r="H9">
        <v>3</v>
      </c>
      <c r="I9" t="s">
        <v>348</v>
      </c>
      <c r="J9" t="s">
        <v>350</v>
      </c>
      <c r="K9" t="s">
        <v>349</v>
      </c>
      <c r="L9">
        <v>1339</v>
      </c>
      <c r="N9">
        <v>1007</v>
      </c>
      <c r="O9" t="s">
        <v>94</v>
      </c>
      <c r="P9" t="s">
        <v>94</v>
      </c>
      <c r="Q9">
        <v>1</v>
      </c>
      <c r="X9">
        <v>5</v>
      </c>
      <c r="Y9">
        <v>7.07</v>
      </c>
      <c r="Z9">
        <v>0</v>
      </c>
      <c r="AA9">
        <v>0</v>
      </c>
      <c r="AB9">
        <v>0</v>
      </c>
      <c r="AC9">
        <v>0</v>
      </c>
      <c r="AD9">
        <v>1</v>
      </c>
      <c r="AE9">
        <v>0</v>
      </c>
      <c r="AF9" t="s">
        <v>3</v>
      </c>
      <c r="AG9">
        <v>5</v>
      </c>
      <c r="AH9">
        <v>2</v>
      </c>
      <c r="AI9">
        <v>129763173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ROW(Source!A65)</f>
        <v>65</v>
      </c>
      <c r="B10">
        <v>129763182</v>
      </c>
      <c r="C10">
        <v>129763166</v>
      </c>
      <c r="D10">
        <v>37358338</v>
      </c>
      <c r="E10">
        <v>37345137</v>
      </c>
      <c r="F10">
        <v>1</v>
      </c>
      <c r="G10">
        <v>37345137</v>
      </c>
      <c r="H10">
        <v>3</v>
      </c>
      <c r="I10" t="s">
        <v>1416</v>
      </c>
      <c r="J10" t="s">
        <v>3</v>
      </c>
      <c r="K10" t="s">
        <v>1417</v>
      </c>
      <c r="L10">
        <v>1339</v>
      </c>
      <c r="N10">
        <v>1007</v>
      </c>
      <c r="O10" t="s">
        <v>94</v>
      </c>
      <c r="P10" t="s">
        <v>94</v>
      </c>
      <c r="Q10">
        <v>1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 t="s">
        <v>3</v>
      </c>
      <c r="AG10">
        <v>0</v>
      </c>
      <c r="AH10">
        <v>3</v>
      </c>
      <c r="AI10">
        <v>-1</v>
      </c>
      <c r="AJ10" t="s">
        <v>3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ROW(Source!A66)</f>
        <v>66</v>
      </c>
      <c r="B11">
        <v>129763175</v>
      </c>
      <c r="C11">
        <v>129763166</v>
      </c>
      <c r="D11">
        <v>37345142</v>
      </c>
      <c r="E11">
        <v>37345137</v>
      </c>
      <c r="F11">
        <v>1</v>
      </c>
      <c r="G11">
        <v>37345137</v>
      </c>
      <c r="H11">
        <v>1</v>
      </c>
      <c r="I11" t="s">
        <v>1096</v>
      </c>
      <c r="J11" t="s">
        <v>3</v>
      </c>
      <c r="K11" t="s">
        <v>1097</v>
      </c>
      <c r="L11">
        <v>1191</v>
      </c>
      <c r="N11">
        <v>1013</v>
      </c>
      <c r="O11" t="s">
        <v>1098</v>
      </c>
      <c r="P11" t="s">
        <v>1098</v>
      </c>
      <c r="Q11">
        <v>1</v>
      </c>
      <c r="X11">
        <v>14.4</v>
      </c>
      <c r="Y11">
        <v>0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1</v>
      </c>
      <c r="AF11" t="s">
        <v>87</v>
      </c>
      <c r="AG11">
        <v>16.559999999999999</v>
      </c>
      <c r="AH11">
        <v>2</v>
      </c>
      <c r="AI11">
        <v>129763167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ROW(Source!A66)</f>
        <v>66</v>
      </c>
      <c r="B12">
        <v>129763176</v>
      </c>
      <c r="C12">
        <v>129763166</v>
      </c>
      <c r="D12">
        <v>37417645</v>
      </c>
      <c r="E12">
        <v>1</v>
      </c>
      <c r="F12">
        <v>1</v>
      </c>
      <c r="G12">
        <v>37345137</v>
      </c>
      <c r="H12">
        <v>2</v>
      </c>
      <c r="I12" t="s">
        <v>1099</v>
      </c>
      <c r="J12" t="s">
        <v>1100</v>
      </c>
      <c r="K12" t="s">
        <v>1101</v>
      </c>
      <c r="L12">
        <v>1367</v>
      </c>
      <c r="N12">
        <v>1011</v>
      </c>
      <c r="O12" t="s">
        <v>1102</v>
      </c>
      <c r="P12" t="s">
        <v>1102</v>
      </c>
      <c r="Q12">
        <v>1</v>
      </c>
      <c r="X12">
        <v>1.66</v>
      </c>
      <c r="Y12">
        <v>0</v>
      </c>
      <c r="Z12">
        <v>116.89</v>
      </c>
      <c r="AA12">
        <v>23.41</v>
      </c>
      <c r="AB12">
        <v>0</v>
      </c>
      <c r="AC12">
        <v>0</v>
      </c>
      <c r="AD12">
        <v>1</v>
      </c>
      <c r="AE12">
        <v>0</v>
      </c>
      <c r="AF12" t="s">
        <v>86</v>
      </c>
      <c r="AG12">
        <v>2.0749999999999997</v>
      </c>
      <c r="AH12">
        <v>2</v>
      </c>
      <c r="AI12">
        <v>129763168</v>
      </c>
      <c r="AJ12">
        <v>12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ROW(Source!A66)</f>
        <v>66</v>
      </c>
      <c r="B13">
        <v>129763177</v>
      </c>
      <c r="C13">
        <v>129763166</v>
      </c>
      <c r="D13">
        <v>37417868</v>
      </c>
      <c r="E13">
        <v>1</v>
      </c>
      <c r="F13">
        <v>1</v>
      </c>
      <c r="G13">
        <v>37345137</v>
      </c>
      <c r="H13">
        <v>2</v>
      </c>
      <c r="I13" t="s">
        <v>1103</v>
      </c>
      <c r="J13" t="s">
        <v>1104</v>
      </c>
      <c r="K13" t="s">
        <v>1105</v>
      </c>
      <c r="L13">
        <v>1367</v>
      </c>
      <c r="N13">
        <v>1011</v>
      </c>
      <c r="O13" t="s">
        <v>1102</v>
      </c>
      <c r="P13" t="s">
        <v>1102</v>
      </c>
      <c r="Q13">
        <v>1</v>
      </c>
      <c r="X13">
        <v>1.66</v>
      </c>
      <c r="Y13">
        <v>0</v>
      </c>
      <c r="Z13">
        <v>62.97</v>
      </c>
      <c r="AA13">
        <v>6.64</v>
      </c>
      <c r="AB13">
        <v>0</v>
      </c>
      <c r="AC13">
        <v>0</v>
      </c>
      <c r="AD13">
        <v>1</v>
      </c>
      <c r="AE13">
        <v>0</v>
      </c>
      <c r="AF13" t="s">
        <v>86</v>
      </c>
      <c r="AG13">
        <v>2.0749999999999997</v>
      </c>
      <c r="AH13">
        <v>2</v>
      </c>
      <c r="AI13">
        <v>129763169</v>
      </c>
      <c r="AJ13">
        <v>13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ROW(Source!A66)</f>
        <v>66</v>
      </c>
      <c r="B14">
        <v>129763178</v>
      </c>
      <c r="C14">
        <v>129763166</v>
      </c>
      <c r="D14">
        <v>37417871</v>
      </c>
      <c r="E14">
        <v>1</v>
      </c>
      <c r="F14">
        <v>1</v>
      </c>
      <c r="G14">
        <v>37345137</v>
      </c>
      <c r="H14">
        <v>2</v>
      </c>
      <c r="I14" t="s">
        <v>1106</v>
      </c>
      <c r="J14" t="s">
        <v>1107</v>
      </c>
      <c r="K14" t="s">
        <v>1108</v>
      </c>
      <c r="L14">
        <v>1367</v>
      </c>
      <c r="N14">
        <v>1011</v>
      </c>
      <c r="O14" t="s">
        <v>1102</v>
      </c>
      <c r="P14" t="s">
        <v>1102</v>
      </c>
      <c r="Q14">
        <v>1</v>
      </c>
      <c r="X14">
        <v>0.65</v>
      </c>
      <c r="Y14">
        <v>0</v>
      </c>
      <c r="Z14">
        <v>246.68</v>
      </c>
      <c r="AA14">
        <v>13.37</v>
      </c>
      <c r="AB14">
        <v>0</v>
      </c>
      <c r="AC14">
        <v>0</v>
      </c>
      <c r="AD14">
        <v>1</v>
      </c>
      <c r="AE14">
        <v>0</v>
      </c>
      <c r="AF14" t="s">
        <v>86</v>
      </c>
      <c r="AG14">
        <v>0.8125</v>
      </c>
      <c r="AH14">
        <v>2</v>
      </c>
      <c r="AI14">
        <v>129763170</v>
      </c>
      <c r="AJ14">
        <v>14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ROW(Source!A66)</f>
        <v>66</v>
      </c>
      <c r="B15">
        <v>129763179</v>
      </c>
      <c r="C15">
        <v>129763166</v>
      </c>
      <c r="D15">
        <v>37417899</v>
      </c>
      <c r="E15">
        <v>1</v>
      </c>
      <c r="F15">
        <v>1</v>
      </c>
      <c r="G15">
        <v>37345137</v>
      </c>
      <c r="H15">
        <v>2</v>
      </c>
      <c r="I15" t="s">
        <v>1109</v>
      </c>
      <c r="J15" t="s">
        <v>1110</v>
      </c>
      <c r="K15" t="s">
        <v>1111</v>
      </c>
      <c r="L15">
        <v>1367</v>
      </c>
      <c r="N15">
        <v>1011</v>
      </c>
      <c r="O15" t="s">
        <v>1102</v>
      </c>
      <c r="P15" t="s">
        <v>1102</v>
      </c>
      <c r="Q15">
        <v>1</v>
      </c>
      <c r="X15">
        <v>1.55</v>
      </c>
      <c r="Y15">
        <v>0</v>
      </c>
      <c r="Z15">
        <v>125.13</v>
      </c>
      <c r="AA15">
        <v>24.74</v>
      </c>
      <c r="AB15">
        <v>0</v>
      </c>
      <c r="AC15">
        <v>0</v>
      </c>
      <c r="AD15">
        <v>1</v>
      </c>
      <c r="AE15">
        <v>0</v>
      </c>
      <c r="AF15" t="s">
        <v>86</v>
      </c>
      <c r="AG15">
        <v>1.9375</v>
      </c>
      <c r="AH15">
        <v>2</v>
      </c>
      <c r="AI15">
        <v>129763171</v>
      </c>
      <c r="AJ15">
        <v>15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ROW(Source!A66)</f>
        <v>66</v>
      </c>
      <c r="B16">
        <v>129763180</v>
      </c>
      <c r="C16">
        <v>129763166</v>
      </c>
      <c r="D16">
        <v>37417861</v>
      </c>
      <c r="E16">
        <v>1</v>
      </c>
      <c r="F16">
        <v>1</v>
      </c>
      <c r="G16">
        <v>37345137</v>
      </c>
      <c r="H16">
        <v>2</v>
      </c>
      <c r="I16" t="s">
        <v>1112</v>
      </c>
      <c r="J16" t="s">
        <v>1113</v>
      </c>
      <c r="K16" t="s">
        <v>1114</v>
      </c>
      <c r="L16">
        <v>1367</v>
      </c>
      <c r="N16">
        <v>1011</v>
      </c>
      <c r="O16" t="s">
        <v>1102</v>
      </c>
      <c r="P16" t="s">
        <v>1102</v>
      </c>
      <c r="Q16">
        <v>1</v>
      </c>
      <c r="X16">
        <v>0.52</v>
      </c>
      <c r="Y16">
        <v>0</v>
      </c>
      <c r="Z16">
        <v>177.54</v>
      </c>
      <c r="AA16">
        <v>17.420000000000002</v>
      </c>
      <c r="AB16">
        <v>0</v>
      </c>
      <c r="AC16">
        <v>0</v>
      </c>
      <c r="AD16">
        <v>1</v>
      </c>
      <c r="AE16">
        <v>0</v>
      </c>
      <c r="AF16" t="s">
        <v>86</v>
      </c>
      <c r="AG16">
        <v>0.65</v>
      </c>
      <c r="AH16">
        <v>2</v>
      </c>
      <c r="AI16">
        <v>129763172</v>
      </c>
      <c r="AJ16">
        <v>16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ROW(Source!A66)</f>
        <v>66</v>
      </c>
      <c r="B17">
        <v>129763181</v>
      </c>
      <c r="C17">
        <v>129763166</v>
      </c>
      <c r="D17">
        <v>37393552</v>
      </c>
      <c r="E17">
        <v>1</v>
      </c>
      <c r="F17">
        <v>1</v>
      </c>
      <c r="G17">
        <v>37345137</v>
      </c>
      <c r="H17">
        <v>3</v>
      </c>
      <c r="I17" t="s">
        <v>348</v>
      </c>
      <c r="J17" t="s">
        <v>350</v>
      </c>
      <c r="K17" t="s">
        <v>349</v>
      </c>
      <c r="L17">
        <v>1339</v>
      </c>
      <c r="N17">
        <v>1007</v>
      </c>
      <c r="O17" t="s">
        <v>94</v>
      </c>
      <c r="P17" t="s">
        <v>94</v>
      </c>
      <c r="Q17">
        <v>1</v>
      </c>
      <c r="X17">
        <v>5</v>
      </c>
      <c r="Y17">
        <v>7.07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0</v>
      </c>
      <c r="AF17" t="s">
        <v>3</v>
      </c>
      <c r="AG17">
        <v>5</v>
      </c>
      <c r="AH17">
        <v>2</v>
      </c>
      <c r="AI17">
        <v>129763173</v>
      </c>
      <c r="AJ17">
        <v>17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ROW(Source!A66)</f>
        <v>66</v>
      </c>
      <c r="B18">
        <v>129763182</v>
      </c>
      <c r="C18">
        <v>129763166</v>
      </c>
      <c r="D18">
        <v>37358338</v>
      </c>
      <c r="E18">
        <v>37345137</v>
      </c>
      <c r="F18">
        <v>1</v>
      </c>
      <c r="G18">
        <v>37345137</v>
      </c>
      <c r="H18">
        <v>3</v>
      </c>
      <c r="I18" t="s">
        <v>1416</v>
      </c>
      <c r="J18" t="s">
        <v>3</v>
      </c>
      <c r="K18" t="s">
        <v>1417</v>
      </c>
      <c r="L18">
        <v>1339</v>
      </c>
      <c r="N18">
        <v>1007</v>
      </c>
      <c r="O18" t="s">
        <v>94</v>
      </c>
      <c r="P18" t="s">
        <v>94</v>
      </c>
      <c r="Q18">
        <v>1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 t="s">
        <v>3</v>
      </c>
      <c r="AG18">
        <v>0</v>
      </c>
      <c r="AH18">
        <v>3</v>
      </c>
      <c r="AI18">
        <v>-1</v>
      </c>
      <c r="AJ18" t="s">
        <v>3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ROW(Source!A69)</f>
        <v>69</v>
      </c>
      <c r="B19">
        <v>129763194</v>
      </c>
      <c r="C19">
        <v>129763184</v>
      </c>
      <c r="D19">
        <v>37345142</v>
      </c>
      <c r="E19">
        <v>37345137</v>
      </c>
      <c r="F19">
        <v>1</v>
      </c>
      <c r="G19">
        <v>37345137</v>
      </c>
      <c r="H19">
        <v>1</v>
      </c>
      <c r="I19" t="s">
        <v>1096</v>
      </c>
      <c r="J19" t="s">
        <v>3</v>
      </c>
      <c r="K19" t="s">
        <v>1097</v>
      </c>
      <c r="L19">
        <v>1191</v>
      </c>
      <c r="N19">
        <v>1013</v>
      </c>
      <c r="O19" t="s">
        <v>1098</v>
      </c>
      <c r="P19" t="s">
        <v>1098</v>
      </c>
      <c r="Q19">
        <v>1</v>
      </c>
      <c r="X19">
        <v>21.6</v>
      </c>
      <c r="Y19">
        <v>0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1</v>
      </c>
      <c r="AF19" t="s">
        <v>87</v>
      </c>
      <c r="AG19">
        <v>24.84</v>
      </c>
      <c r="AH19">
        <v>2</v>
      </c>
      <c r="AI19">
        <v>129763185</v>
      </c>
      <c r="AJ19">
        <v>19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ROW(Source!A69)</f>
        <v>69</v>
      </c>
      <c r="B20">
        <v>129763195</v>
      </c>
      <c r="C20">
        <v>129763184</v>
      </c>
      <c r="D20">
        <v>37417624</v>
      </c>
      <c r="E20">
        <v>1</v>
      </c>
      <c r="F20">
        <v>1</v>
      </c>
      <c r="G20">
        <v>37345137</v>
      </c>
      <c r="H20">
        <v>2</v>
      </c>
      <c r="I20" t="s">
        <v>1115</v>
      </c>
      <c r="J20" t="s">
        <v>1116</v>
      </c>
      <c r="K20" t="s">
        <v>1117</v>
      </c>
      <c r="L20">
        <v>1367</v>
      </c>
      <c r="N20">
        <v>1011</v>
      </c>
      <c r="O20" t="s">
        <v>1102</v>
      </c>
      <c r="P20" t="s">
        <v>1102</v>
      </c>
      <c r="Q20">
        <v>1</v>
      </c>
      <c r="X20">
        <v>2.35</v>
      </c>
      <c r="Y20">
        <v>0</v>
      </c>
      <c r="Z20">
        <v>163.47999999999999</v>
      </c>
      <c r="AA20">
        <v>15.47</v>
      </c>
      <c r="AB20">
        <v>0</v>
      </c>
      <c r="AC20">
        <v>0</v>
      </c>
      <c r="AD20">
        <v>1</v>
      </c>
      <c r="AE20">
        <v>0</v>
      </c>
      <c r="AF20" t="s">
        <v>86</v>
      </c>
      <c r="AG20">
        <v>2.9375</v>
      </c>
      <c r="AH20">
        <v>2</v>
      </c>
      <c r="AI20">
        <v>129763186</v>
      </c>
      <c r="AJ20">
        <v>20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ROW(Source!A69)</f>
        <v>69</v>
      </c>
      <c r="B21">
        <v>129763196</v>
      </c>
      <c r="C21">
        <v>129763184</v>
      </c>
      <c r="D21">
        <v>37417871</v>
      </c>
      <c r="E21">
        <v>1</v>
      </c>
      <c r="F21">
        <v>1</v>
      </c>
      <c r="G21">
        <v>37345137</v>
      </c>
      <c r="H21">
        <v>2</v>
      </c>
      <c r="I21" t="s">
        <v>1106</v>
      </c>
      <c r="J21" t="s">
        <v>1107</v>
      </c>
      <c r="K21" t="s">
        <v>1108</v>
      </c>
      <c r="L21">
        <v>1367</v>
      </c>
      <c r="N21">
        <v>1011</v>
      </c>
      <c r="O21" t="s">
        <v>1102</v>
      </c>
      <c r="P21" t="s">
        <v>1102</v>
      </c>
      <c r="Q21">
        <v>1</v>
      </c>
      <c r="X21">
        <v>0.91</v>
      </c>
      <c r="Y21">
        <v>0</v>
      </c>
      <c r="Z21">
        <v>246.68</v>
      </c>
      <c r="AA21">
        <v>13.37</v>
      </c>
      <c r="AB21">
        <v>0</v>
      </c>
      <c r="AC21">
        <v>0</v>
      </c>
      <c r="AD21">
        <v>1</v>
      </c>
      <c r="AE21">
        <v>0</v>
      </c>
      <c r="AF21" t="s">
        <v>86</v>
      </c>
      <c r="AG21">
        <v>1.1375</v>
      </c>
      <c r="AH21">
        <v>2</v>
      </c>
      <c r="AI21">
        <v>129763187</v>
      </c>
      <c r="AJ21">
        <v>21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ROW(Source!A69)</f>
        <v>69</v>
      </c>
      <c r="B22">
        <v>129763197</v>
      </c>
      <c r="C22">
        <v>129763184</v>
      </c>
      <c r="D22">
        <v>37417856</v>
      </c>
      <c r="E22">
        <v>1</v>
      </c>
      <c r="F22">
        <v>1</v>
      </c>
      <c r="G22">
        <v>37345137</v>
      </c>
      <c r="H22">
        <v>2</v>
      </c>
      <c r="I22" t="s">
        <v>1118</v>
      </c>
      <c r="J22" t="s">
        <v>1119</v>
      </c>
      <c r="K22" t="s">
        <v>1120</v>
      </c>
      <c r="L22">
        <v>1367</v>
      </c>
      <c r="N22">
        <v>1011</v>
      </c>
      <c r="O22" t="s">
        <v>1102</v>
      </c>
      <c r="P22" t="s">
        <v>1102</v>
      </c>
      <c r="Q22">
        <v>1</v>
      </c>
      <c r="X22">
        <v>7.17</v>
      </c>
      <c r="Y22">
        <v>0</v>
      </c>
      <c r="Z22">
        <v>169.44</v>
      </c>
      <c r="AA22">
        <v>15.02</v>
      </c>
      <c r="AB22">
        <v>0</v>
      </c>
      <c r="AC22">
        <v>0</v>
      </c>
      <c r="AD22">
        <v>1</v>
      </c>
      <c r="AE22">
        <v>0</v>
      </c>
      <c r="AF22" t="s">
        <v>86</v>
      </c>
      <c r="AG22">
        <v>8.9625000000000004</v>
      </c>
      <c r="AH22">
        <v>2</v>
      </c>
      <c r="AI22">
        <v>129763188</v>
      </c>
      <c r="AJ22">
        <v>22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ROW(Source!A69)</f>
        <v>69</v>
      </c>
      <c r="B23">
        <v>129763198</v>
      </c>
      <c r="C23">
        <v>129763184</v>
      </c>
      <c r="D23">
        <v>37417857</v>
      </c>
      <c r="E23">
        <v>1</v>
      </c>
      <c r="F23">
        <v>1</v>
      </c>
      <c r="G23">
        <v>37345137</v>
      </c>
      <c r="H23">
        <v>2</v>
      </c>
      <c r="I23" t="s">
        <v>1121</v>
      </c>
      <c r="J23" t="s">
        <v>1122</v>
      </c>
      <c r="K23" t="s">
        <v>1123</v>
      </c>
      <c r="L23">
        <v>1367</v>
      </c>
      <c r="N23">
        <v>1011</v>
      </c>
      <c r="O23" t="s">
        <v>1102</v>
      </c>
      <c r="P23" t="s">
        <v>1102</v>
      </c>
      <c r="Q23">
        <v>1</v>
      </c>
      <c r="X23">
        <v>14.6</v>
      </c>
      <c r="Y23">
        <v>0</v>
      </c>
      <c r="Z23">
        <v>219.5</v>
      </c>
      <c r="AA23">
        <v>17.510000000000002</v>
      </c>
      <c r="AB23">
        <v>0</v>
      </c>
      <c r="AC23">
        <v>0</v>
      </c>
      <c r="AD23">
        <v>1</v>
      </c>
      <c r="AE23">
        <v>0</v>
      </c>
      <c r="AF23" t="s">
        <v>86</v>
      </c>
      <c r="AG23">
        <v>18.25</v>
      </c>
      <c r="AH23">
        <v>2</v>
      </c>
      <c r="AI23">
        <v>129763189</v>
      </c>
      <c r="AJ23">
        <v>23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ROW(Source!A69)</f>
        <v>69</v>
      </c>
      <c r="B24">
        <v>129763199</v>
      </c>
      <c r="C24">
        <v>129763184</v>
      </c>
      <c r="D24">
        <v>37417899</v>
      </c>
      <c r="E24">
        <v>1</v>
      </c>
      <c r="F24">
        <v>1</v>
      </c>
      <c r="G24">
        <v>37345137</v>
      </c>
      <c r="H24">
        <v>2</v>
      </c>
      <c r="I24" t="s">
        <v>1109</v>
      </c>
      <c r="J24" t="s">
        <v>1110</v>
      </c>
      <c r="K24" t="s">
        <v>1111</v>
      </c>
      <c r="L24">
        <v>1367</v>
      </c>
      <c r="N24">
        <v>1011</v>
      </c>
      <c r="O24" t="s">
        <v>1102</v>
      </c>
      <c r="P24" t="s">
        <v>1102</v>
      </c>
      <c r="Q24">
        <v>1</v>
      </c>
      <c r="X24">
        <v>1.79</v>
      </c>
      <c r="Y24">
        <v>0</v>
      </c>
      <c r="Z24">
        <v>125.13</v>
      </c>
      <c r="AA24">
        <v>24.74</v>
      </c>
      <c r="AB24">
        <v>0</v>
      </c>
      <c r="AC24">
        <v>0</v>
      </c>
      <c r="AD24">
        <v>1</v>
      </c>
      <c r="AE24">
        <v>0</v>
      </c>
      <c r="AF24" t="s">
        <v>86</v>
      </c>
      <c r="AG24">
        <v>2.2374999999999998</v>
      </c>
      <c r="AH24">
        <v>2</v>
      </c>
      <c r="AI24">
        <v>129763190</v>
      </c>
      <c r="AJ24">
        <v>24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ROW(Source!A69)</f>
        <v>69</v>
      </c>
      <c r="B25">
        <v>129763200</v>
      </c>
      <c r="C25">
        <v>129763184</v>
      </c>
      <c r="D25">
        <v>37417861</v>
      </c>
      <c r="E25">
        <v>1</v>
      </c>
      <c r="F25">
        <v>1</v>
      </c>
      <c r="G25">
        <v>37345137</v>
      </c>
      <c r="H25">
        <v>2</v>
      </c>
      <c r="I25" t="s">
        <v>1112</v>
      </c>
      <c r="J25" t="s">
        <v>1113</v>
      </c>
      <c r="K25" t="s">
        <v>1114</v>
      </c>
      <c r="L25">
        <v>1367</v>
      </c>
      <c r="N25">
        <v>1011</v>
      </c>
      <c r="O25" t="s">
        <v>1102</v>
      </c>
      <c r="P25" t="s">
        <v>1102</v>
      </c>
      <c r="Q25">
        <v>1</v>
      </c>
      <c r="X25">
        <v>0.52</v>
      </c>
      <c r="Y25">
        <v>0</v>
      </c>
      <c r="Z25">
        <v>177.54</v>
      </c>
      <c r="AA25">
        <v>17.420000000000002</v>
      </c>
      <c r="AB25">
        <v>0</v>
      </c>
      <c r="AC25">
        <v>0</v>
      </c>
      <c r="AD25">
        <v>1</v>
      </c>
      <c r="AE25">
        <v>0</v>
      </c>
      <c r="AF25" t="s">
        <v>86</v>
      </c>
      <c r="AG25">
        <v>0.65</v>
      </c>
      <c r="AH25">
        <v>2</v>
      </c>
      <c r="AI25">
        <v>129763191</v>
      </c>
      <c r="AJ25">
        <v>25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ROW(Source!A69)</f>
        <v>69</v>
      </c>
      <c r="B26">
        <v>129763201</v>
      </c>
      <c r="C26">
        <v>129763184</v>
      </c>
      <c r="D26">
        <v>37393552</v>
      </c>
      <c r="E26">
        <v>1</v>
      </c>
      <c r="F26">
        <v>1</v>
      </c>
      <c r="G26">
        <v>37345137</v>
      </c>
      <c r="H26">
        <v>3</v>
      </c>
      <c r="I26" t="s">
        <v>348</v>
      </c>
      <c r="J26" t="s">
        <v>350</v>
      </c>
      <c r="K26" t="s">
        <v>349</v>
      </c>
      <c r="L26">
        <v>1339</v>
      </c>
      <c r="N26">
        <v>1007</v>
      </c>
      <c r="O26" t="s">
        <v>94</v>
      </c>
      <c r="P26" t="s">
        <v>94</v>
      </c>
      <c r="Q26">
        <v>1</v>
      </c>
      <c r="X26">
        <v>7</v>
      </c>
      <c r="Y26">
        <v>7.07</v>
      </c>
      <c r="Z26">
        <v>0</v>
      </c>
      <c r="AA26">
        <v>0</v>
      </c>
      <c r="AB26">
        <v>0</v>
      </c>
      <c r="AC26">
        <v>0</v>
      </c>
      <c r="AD26">
        <v>1</v>
      </c>
      <c r="AE26">
        <v>0</v>
      </c>
      <c r="AF26" t="s">
        <v>3</v>
      </c>
      <c r="AG26">
        <v>7</v>
      </c>
      <c r="AH26">
        <v>2</v>
      </c>
      <c r="AI26">
        <v>129763192</v>
      </c>
      <c r="AJ26">
        <v>26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ROW(Source!A69)</f>
        <v>69</v>
      </c>
      <c r="B27">
        <v>129763202</v>
      </c>
      <c r="C27">
        <v>129763184</v>
      </c>
      <c r="D27">
        <v>37358883</v>
      </c>
      <c r="E27">
        <v>37345137</v>
      </c>
      <c r="F27">
        <v>1</v>
      </c>
      <c r="G27">
        <v>37345137</v>
      </c>
      <c r="H27">
        <v>3</v>
      </c>
      <c r="I27" t="s">
        <v>1418</v>
      </c>
      <c r="J27" t="s">
        <v>3</v>
      </c>
      <c r="K27" t="s">
        <v>1419</v>
      </c>
      <c r="L27">
        <v>1339</v>
      </c>
      <c r="N27">
        <v>1007</v>
      </c>
      <c r="O27" t="s">
        <v>94</v>
      </c>
      <c r="P27" t="s">
        <v>94</v>
      </c>
      <c r="Q27">
        <v>1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 t="s">
        <v>3</v>
      </c>
      <c r="AG27">
        <v>0</v>
      </c>
      <c r="AH27">
        <v>3</v>
      </c>
      <c r="AI27">
        <v>-1</v>
      </c>
      <c r="AJ27" t="s">
        <v>3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ROW(Source!A70)</f>
        <v>70</v>
      </c>
      <c r="B28">
        <v>129763194</v>
      </c>
      <c r="C28">
        <v>129763184</v>
      </c>
      <c r="D28">
        <v>37345142</v>
      </c>
      <c r="E28">
        <v>37345137</v>
      </c>
      <c r="F28">
        <v>1</v>
      </c>
      <c r="G28">
        <v>37345137</v>
      </c>
      <c r="H28">
        <v>1</v>
      </c>
      <c r="I28" t="s">
        <v>1096</v>
      </c>
      <c r="J28" t="s">
        <v>3</v>
      </c>
      <c r="K28" t="s">
        <v>1097</v>
      </c>
      <c r="L28">
        <v>1191</v>
      </c>
      <c r="N28">
        <v>1013</v>
      </c>
      <c r="O28" t="s">
        <v>1098</v>
      </c>
      <c r="P28" t="s">
        <v>1098</v>
      </c>
      <c r="Q28">
        <v>1</v>
      </c>
      <c r="X28">
        <v>21.6</v>
      </c>
      <c r="Y28">
        <v>0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1</v>
      </c>
      <c r="AF28" t="s">
        <v>87</v>
      </c>
      <c r="AG28">
        <v>24.84</v>
      </c>
      <c r="AH28">
        <v>2</v>
      </c>
      <c r="AI28">
        <v>129763185</v>
      </c>
      <c r="AJ28">
        <v>28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ROW(Source!A70)</f>
        <v>70</v>
      </c>
      <c r="B29">
        <v>129763195</v>
      </c>
      <c r="C29">
        <v>129763184</v>
      </c>
      <c r="D29">
        <v>37417624</v>
      </c>
      <c r="E29">
        <v>1</v>
      </c>
      <c r="F29">
        <v>1</v>
      </c>
      <c r="G29">
        <v>37345137</v>
      </c>
      <c r="H29">
        <v>2</v>
      </c>
      <c r="I29" t="s">
        <v>1115</v>
      </c>
      <c r="J29" t="s">
        <v>1116</v>
      </c>
      <c r="K29" t="s">
        <v>1117</v>
      </c>
      <c r="L29">
        <v>1367</v>
      </c>
      <c r="N29">
        <v>1011</v>
      </c>
      <c r="O29" t="s">
        <v>1102</v>
      </c>
      <c r="P29" t="s">
        <v>1102</v>
      </c>
      <c r="Q29">
        <v>1</v>
      </c>
      <c r="X29">
        <v>2.35</v>
      </c>
      <c r="Y29">
        <v>0</v>
      </c>
      <c r="Z29">
        <v>163.47999999999999</v>
      </c>
      <c r="AA29">
        <v>15.47</v>
      </c>
      <c r="AB29">
        <v>0</v>
      </c>
      <c r="AC29">
        <v>0</v>
      </c>
      <c r="AD29">
        <v>1</v>
      </c>
      <c r="AE29">
        <v>0</v>
      </c>
      <c r="AF29" t="s">
        <v>86</v>
      </c>
      <c r="AG29">
        <v>2.9375</v>
      </c>
      <c r="AH29">
        <v>2</v>
      </c>
      <c r="AI29">
        <v>129763186</v>
      </c>
      <c r="AJ29">
        <v>29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ROW(Source!A70)</f>
        <v>70</v>
      </c>
      <c r="B30">
        <v>129763196</v>
      </c>
      <c r="C30">
        <v>129763184</v>
      </c>
      <c r="D30">
        <v>37417871</v>
      </c>
      <c r="E30">
        <v>1</v>
      </c>
      <c r="F30">
        <v>1</v>
      </c>
      <c r="G30">
        <v>37345137</v>
      </c>
      <c r="H30">
        <v>2</v>
      </c>
      <c r="I30" t="s">
        <v>1106</v>
      </c>
      <c r="J30" t="s">
        <v>1107</v>
      </c>
      <c r="K30" t="s">
        <v>1108</v>
      </c>
      <c r="L30">
        <v>1367</v>
      </c>
      <c r="N30">
        <v>1011</v>
      </c>
      <c r="O30" t="s">
        <v>1102</v>
      </c>
      <c r="P30" t="s">
        <v>1102</v>
      </c>
      <c r="Q30">
        <v>1</v>
      </c>
      <c r="X30">
        <v>0.91</v>
      </c>
      <c r="Y30">
        <v>0</v>
      </c>
      <c r="Z30">
        <v>246.68</v>
      </c>
      <c r="AA30">
        <v>13.37</v>
      </c>
      <c r="AB30">
        <v>0</v>
      </c>
      <c r="AC30">
        <v>0</v>
      </c>
      <c r="AD30">
        <v>1</v>
      </c>
      <c r="AE30">
        <v>0</v>
      </c>
      <c r="AF30" t="s">
        <v>86</v>
      </c>
      <c r="AG30">
        <v>1.1375</v>
      </c>
      <c r="AH30">
        <v>2</v>
      </c>
      <c r="AI30">
        <v>129763187</v>
      </c>
      <c r="AJ30">
        <v>30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ROW(Source!A70)</f>
        <v>70</v>
      </c>
      <c r="B31">
        <v>129763197</v>
      </c>
      <c r="C31">
        <v>129763184</v>
      </c>
      <c r="D31">
        <v>37417856</v>
      </c>
      <c r="E31">
        <v>1</v>
      </c>
      <c r="F31">
        <v>1</v>
      </c>
      <c r="G31">
        <v>37345137</v>
      </c>
      <c r="H31">
        <v>2</v>
      </c>
      <c r="I31" t="s">
        <v>1118</v>
      </c>
      <c r="J31" t="s">
        <v>1119</v>
      </c>
      <c r="K31" t="s">
        <v>1120</v>
      </c>
      <c r="L31">
        <v>1367</v>
      </c>
      <c r="N31">
        <v>1011</v>
      </c>
      <c r="O31" t="s">
        <v>1102</v>
      </c>
      <c r="P31" t="s">
        <v>1102</v>
      </c>
      <c r="Q31">
        <v>1</v>
      </c>
      <c r="X31">
        <v>7.17</v>
      </c>
      <c r="Y31">
        <v>0</v>
      </c>
      <c r="Z31">
        <v>169.44</v>
      </c>
      <c r="AA31">
        <v>15.02</v>
      </c>
      <c r="AB31">
        <v>0</v>
      </c>
      <c r="AC31">
        <v>0</v>
      </c>
      <c r="AD31">
        <v>1</v>
      </c>
      <c r="AE31">
        <v>0</v>
      </c>
      <c r="AF31" t="s">
        <v>86</v>
      </c>
      <c r="AG31">
        <v>8.9625000000000004</v>
      </c>
      <c r="AH31">
        <v>2</v>
      </c>
      <c r="AI31">
        <v>129763188</v>
      </c>
      <c r="AJ31">
        <v>31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ROW(Source!A70)</f>
        <v>70</v>
      </c>
      <c r="B32">
        <v>129763198</v>
      </c>
      <c r="C32">
        <v>129763184</v>
      </c>
      <c r="D32">
        <v>37417857</v>
      </c>
      <c r="E32">
        <v>1</v>
      </c>
      <c r="F32">
        <v>1</v>
      </c>
      <c r="G32">
        <v>37345137</v>
      </c>
      <c r="H32">
        <v>2</v>
      </c>
      <c r="I32" t="s">
        <v>1121</v>
      </c>
      <c r="J32" t="s">
        <v>1122</v>
      </c>
      <c r="K32" t="s">
        <v>1123</v>
      </c>
      <c r="L32">
        <v>1367</v>
      </c>
      <c r="N32">
        <v>1011</v>
      </c>
      <c r="O32" t="s">
        <v>1102</v>
      </c>
      <c r="P32" t="s">
        <v>1102</v>
      </c>
      <c r="Q32">
        <v>1</v>
      </c>
      <c r="X32">
        <v>14.6</v>
      </c>
      <c r="Y32">
        <v>0</v>
      </c>
      <c r="Z32">
        <v>219.5</v>
      </c>
      <c r="AA32">
        <v>17.510000000000002</v>
      </c>
      <c r="AB32">
        <v>0</v>
      </c>
      <c r="AC32">
        <v>0</v>
      </c>
      <c r="AD32">
        <v>1</v>
      </c>
      <c r="AE32">
        <v>0</v>
      </c>
      <c r="AF32" t="s">
        <v>86</v>
      </c>
      <c r="AG32">
        <v>18.25</v>
      </c>
      <c r="AH32">
        <v>2</v>
      </c>
      <c r="AI32">
        <v>129763189</v>
      </c>
      <c r="AJ32">
        <v>32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ROW(Source!A70)</f>
        <v>70</v>
      </c>
      <c r="B33">
        <v>129763199</v>
      </c>
      <c r="C33">
        <v>129763184</v>
      </c>
      <c r="D33">
        <v>37417899</v>
      </c>
      <c r="E33">
        <v>1</v>
      </c>
      <c r="F33">
        <v>1</v>
      </c>
      <c r="G33">
        <v>37345137</v>
      </c>
      <c r="H33">
        <v>2</v>
      </c>
      <c r="I33" t="s">
        <v>1109</v>
      </c>
      <c r="J33" t="s">
        <v>1110</v>
      </c>
      <c r="K33" t="s">
        <v>1111</v>
      </c>
      <c r="L33">
        <v>1367</v>
      </c>
      <c r="N33">
        <v>1011</v>
      </c>
      <c r="O33" t="s">
        <v>1102</v>
      </c>
      <c r="P33" t="s">
        <v>1102</v>
      </c>
      <c r="Q33">
        <v>1</v>
      </c>
      <c r="X33">
        <v>1.79</v>
      </c>
      <c r="Y33">
        <v>0</v>
      </c>
      <c r="Z33">
        <v>125.13</v>
      </c>
      <c r="AA33">
        <v>24.74</v>
      </c>
      <c r="AB33">
        <v>0</v>
      </c>
      <c r="AC33">
        <v>0</v>
      </c>
      <c r="AD33">
        <v>1</v>
      </c>
      <c r="AE33">
        <v>0</v>
      </c>
      <c r="AF33" t="s">
        <v>86</v>
      </c>
      <c r="AG33">
        <v>2.2374999999999998</v>
      </c>
      <c r="AH33">
        <v>2</v>
      </c>
      <c r="AI33">
        <v>129763190</v>
      </c>
      <c r="AJ33">
        <v>33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ROW(Source!A70)</f>
        <v>70</v>
      </c>
      <c r="B34">
        <v>129763200</v>
      </c>
      <c r="C34">
        <v>129763184</v>
      </c>
      <c r="D34">
        <v>37417861</v>
      </c>
      <c r="E34">
        <v>1</v>
      </c>
      <c r="F34">
        <v>1</v>
      </c>
      <c r="G34">
        <v>37345137</v>
      </c>
      <c r="H34">
        <v>2</v>
      </c>
      <c r="I34" t="s">
        <v>1112</v>
      </c>
      <c r="J34" t="s">
        <v>1113</v>
      </c>
      <c r="K34" t="s">
        <v>1114</v>
      </c>
      <c r="L34">
        <v>1367</v>
      </c>
      <c r="N34">
        <v>1011</v>
      </c>
      <c r="O34" t="s">
        <v>1102</v>
      </c>
      <c r="P34" t="s">
        <v>1102</v>
      </c>
      <c r="Q34">
        <v>1</v>
      </c>
      <c r="X34">
        <v>0.52</v>
      </c>
      <c r="Y34">
        <v>0</v>
      </c>
      <c r="Z34">
        <v>177.54</v>
      </c>
      <c r="AA34">
        <v>17.420000000000002</v>
      </c>
      <c r="AB34">
        <v>0</v>
      </c>
      <c r="AC34">
        <v>0</v>
      </c>
      <c r="AD34">
        <v>1</v>
      </c>
      <c r="AE34">
        <v>0</v>
      </c>
      <c r="AF34" t="s">
        <v>86</v>
      </c>
      <c r="AG34">
        <v>0.65</v>
      </c>
      <c r="AH34">
        <v>2</v>
      </c>
      <c r="AI34">
        <v>129763191</v>
      </c>
      <c r="AJ34">
        <v>34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ROW(Source!A70)</f>
        <v>70</v>
      </c>
      <c r="B35">
        <v>129763201</v>
      </c>
      <c r="C35">
        <v>129763184</v>
      </c>
      <c r="D35">
        <v>37393552</v>
      </c>
      <c r="E35">
        <v>1</v>
      </c>
      <c r="F35">
        <v>1</v>
      </c>
      <c r="G35">
        <v>37345137</v>
      </c>
      <c r="H35">
        <v>3</v>
      </c>
      <c r="I35" t="s">
        <v>348</v>
      </c>
      <c r="J35" t="s">
        <v>350</v>
      </c>
      <c r="K35" t="s">
        <v>349</v>
      </c>
      <c r="L35">
        <v>1339</v>
      </c>
      <c r="N35">
        <v>1007</v>
      </c>
      <c r="O35" t="s">
        <v>94</v>
      </c>
      <c r="P35" t="s">
        <v>94</v>
      </c>
      <c r="Q35">
        <v>1</v>
      </c>
      <c r="X35">
        <v>7</v>
      </c>
      <c r="Y35">
        <v>7.07</v>
      </c>
      <c r="Z35">
        <v>0</v>
      </c>
      <c r="AA35">
        <v>0</v>
      </c>
      <c r="AB35">
        <v>0</v>
      </c>
      <c r="AC35">
        <v>0</v>
      </c>
      <c r="AD35">
        <v>1</v>
      </c>
      <c r="AE35">
        <v>0</v>
      </c>
      <c r="AF35" t="s">
        <v>3</v>
      </c>
      <c r="AG35">
        <v>7</v>
      </c>
      <c r="AH35">
        <v>2</v>
      </c>
      <c r="AI35">
        <v>129763192</v>
      </c>
      <c r="AJ35">
        <v>35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ROW(Source!A70)</f>
        <v>70</v>
      </c>
      <c r="B36">
        <v>129763202</v>
      </c>
      <c r="C36">
        <v>129763184</v>
      </c>
      <c r="D36">
        <v>37358883</v>
      </c>
      <c r="E36">
        <v>37345137</v>
      </c>
      <c r="F36">
        <v>1</v>
      </c>
      <c r="G36">
        <v>37345137</v>
      </c>
      <c r="H36">
        <v>3</v>
      </c>
      <c r="I36" t="s">
        <v>1418</v>
      </c>
      <c r="J36" t="s">
        <v>3</v>
      </c>
      <c r="K36" t="s">
        <v>1419</v>
      </c>
      <c r="L36">
        <v>1339</v>
      </c>
      <c r="N36">
        <v>1007</v>
      </c>
      <c r="O36" t="s">
        <v>94</v>
      </c>
      <c r="P36" t="s">
        <v>94</v>
      </c>
      <c r="Q36">
        <v>1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 t="s">
        <v>3</v>
      </c>
      <c r="AG36">
        <v>0</v>
      </c>
      <c r="AH36">
        <v>3</v>
      </c>
      <c r="AI36">
        <v>-1</v>
      </c>
      <c r="AJ36" t="s">
        <v>3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ROW(Source!A73)</f>
        <v>73</v>
      </c>
      <c r="B37">
        <v>129763209</v>
      </c>
      <c r="C37">
        <v>129763204</v>
      </c>
      <c r="D37">
        <v>37345142</v>
      </c>
      <c r="E37">
        <v>37345137</v>
      </c>
      <c r="F37">
        <v>1</v>
      </c>
      <c r="G37">
        <v>37345137</v>
      </c>
      <c r="H37">
        <v>1</v>
      </c>
      <c r="I37" t="s">
        <v>1096</v>
      </c>
      <c r="J37" t="s">
        <v>3</v>
      </c>
      <c r="K37" t="s">
        <v>1097</v>
      </c>
      <c r="L37">
        <v>1191</v>
      </c>
      <c r="N37">
        <v>1013</v>
      </c>
      <c r="O37" t="s">
        <v>1098</v>
      </c>
      <c r="P37" t="s">
        <v>1098</v>
      </c>
      <c r="Q37">
        <v>1</v>
      </c>
      <c r="X37">
        <v>14.4</v>
      </c>
      <c r="Y37">
        <v>0</v>
      </c>
      <c r="Z37">
        <v>0</v>
      </c>
      <c r="AA37">
        <v>0</v>
      </c>
      <c r="AB37">
        <v>0</v>
      </c>
      <c r="AC37">
        <v>0</v>
      </c>
      <c r="AD37">
        <v>1</v>
      </c>
      <c r="AE37">
        <v>1</v>
      </c>
      <c r="AF37" t="s">
        <v>87</v>
      </c>
      <c r="AG37">
        <v>16.559999999999999</v>
      </c>
      <c r="AH37">
        <v>2</v>
      </c>
      <c r="AI37">
        <v>129763205</v>
      </c>
      <c r="AJ37">
        <v>37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ROW(Source!A73)</f>
        <v>73</v>
      </c>
      <c r="B38">
        <v>129763210</v>
      </c>
      <c r="C38">
        <v>129763204</v>
      </c>
      <c r="D38">
        <v>37393487</v>
      </c>
      <c r="E38">
        <v>1</v>
      </c>
      <c r="F38">
        <v>1</v>
      </c>
      <c r="G38">
        <v>37345137</v>
      </c>
      <c r="H38">
        <v>3</v>
      </c>
      <c r="I38" t="s">
        <v>1124</v>
      </c>
      <c r="J38" t="s">
        <v>1125</v>
      </c>
      <c r="K38" t="s">
        <v>1126</v>
      </c>
      <c r="L38">
        <v>1348</v>
      </c>
      <c r="N38">
        <v>1009</v>
      </c>
      <c r="O38" t="s">
        <v>114</v>
      </c>
      <c r="P38" t="s">
        <v>114</v>
      </c>
      <c r="Q38">
        <v>1000</v>
      </c>
      <c r="X38">
        <v>0.06</v>
      </c>
      <c r="Y38">
        <v>3501.78</v>
      </c>
      <c r="Z38">
        <v>0</v>
      </c>
      <c r="AA38">
        <v>0</v>
      </c>
      <c r="AB38">
        <v>0</v>
      </c>
      <c r="AC38">
        <v>0</v>
      </c>
      <c r="AD38">
        <v>1</v>
      </c>
      <c r="AE38">
        <v>0</v>
      </c>
      <c r="AF38" t="s">
        <v>3</v>
      </c>
      <c r="AG38">
        <v>0.06</v>
      </c>
      <c r="AH38">
        <v>2</v>
      </c>
      <c r="AI38">
        <v>129763206</v>
      </c>
      <c r="AJ38">
        <v>38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ROW(Source!A73)</f>
        <v>73</v>
      </c>
      <c r="B39">
        <v>129763211</v>
      </c>
      <c r="C39">
        <v>129763204</v>
      </c>
      <c r="D39">
        <v>37394111</v>
      </c>
      <c r="E39">
        <v>1</v>
      </c>
      <c r="F39">
        <v>1</v>
      </c>
      <c r="G39">
        <v>37345137</v>
      </c>
      <c r="H39">
        <v>3</v>
      </c>
      <c r="I39" t="s">
        <v>92</v>
      </c>
      <c r="J39" t="s">
        <v>95</v>
      </c>
      <c r="K39" t="s">
        <v>93</v>
      </c>
      <c r="L39">
        <v>1339</v>
      </c>
      <c r="N39">
        <v>1007</v>
      </c>
      <c r="O39" t="s">
        <v>94</v>
      </c>
      <c r="P39" t="s">
        <v>94</v>
      </c>
      <c r="Q39">
        <v>1</v>
      </c>
      <c r="X39">
        <v>0.5</v>
      </c>
      <c r="Y39">
        <v>104.99</v>
      </c>
      <c r="Z39">
        <v>0</v>
      </c>
      <c r="AA39">
        <v>0</v>
      </c>
      <c r="AB39">
        <v>0</v>
      </c>
      <c r="AC39">
        <v>0</v>
      </c>
      <c r="AD39">
        <v>1</v>
      </c>
      <c r="AE39">
        <v>0</v>
      </c>
      <c r="AF39" t="s">
        <v>3</v>
      </c>
      <c r="AG39">
        <v>0.5</v>
      </c>
      <c r="AH39">
        <v>2</v>
      </c>
      <c r="AI39">
        <v>129763207</v>
      </c>
      <c r="AJ39">
        <v>39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ROW(Source!A73)</f>
        <v>73</v>
      </c>
      <c r="B40">
        <v>129763212</v>
      </c>
      <c r="C40">
        <v>129763204</v>
      </c>
      <c r="D40">
        <v>37359148</v>
      </c>
      <c r="E40">
        <v>37345137</v>
      </c>
      <c r="F40">
        <v>1</v>
      </c>
      <c r="G40">
        <v>37345137</v>
      </c>
      <c r="H40">
        <v>3</v>
      </c>
      <c r="I40" t="s">
        <v>1420</v>
      </c>
      <c r="J40" t="s">
        <v>3</v>
      </c>
      <c r="K40" t="s">
        <v>1421</v>
      </c>
      <c r="L40">
        <v>1348</v>
      </c>
      <c r="N40">
        <v>1009</v>
      </c>
      <c r="O40" t="s">
        <v>114</v>
      </c>
      <c r="P40" t="s">
        <v>114</v>
      </c>
      <c r="Q40">
        <v>1000</v>
      </c>
      <c r="X40">
        <v>7.14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 t="s">
        <v>3</v>
      </c>
      <c r="AG40">
        <v>7.14</v>
      </c>
      <c r="AH40">
        <v>3</v>
      </c>
      <c r="AI40">
        <v>-1</v>
      </c>
      <c r="AJ40" t="s">
        <v>3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ROW(Source!A74)</f>
        <v>74</v>
      </c>
      <c r="B41">
        <v>129763209</v>
      </c>
      <c r="C41">
        <v>129763204</v>
      </c>
      <c r="D41">
        <v>37345142</v>
      </c>
      <c r="E41">
        <v>37345137</v>
      </c>
      <c r="F41">
        <v>1</v>
      </c>
      <c r="G41">
        <v>37345137</v>
      </c>
      <c r="H41">
        <v>1</v>
      </c>
      <c r="I41" t="s">
        <v>1096</v>
      </c>
      <c r="J41" t="s">
        <v>3</v>
      </c>
      <c r="K41" t="s">
        <v>1097</v>
      </c>
      <c r="L41">
        <v>1191</v>
      </c>
      <c r="N41">
        <v>1013</v>
      </c>
      <c r="O41" t="s">
        <v>1098</v>
      </c>
      <c r="P41" t="s">
        <v>1098</v>
      </c>
      <c r="Q41">
        <v>1</v>
      </c>
      <c r="X41">
        <v>14.4</v>
      </c>
      <c r="Y41">
        <v>0</v>
      </c>
      <c r="Z41">
        <v>0</v>
      </c>
      <c r="AA41">
        <v>0</v>
      </c>
      <c r="AB41">
        <v>0</v>
      </c>
      <c r="AC41">
        <v>0</v>
      </c>
      <c r="AD41">
        <v>1</v>
      </c>
      <c r="AE41">
        <v>1</v>
      </c>
      <c r="AF41" t="s">
        <v>87</v>
      </c>
      <c r="AG41">
        <v>16.559999999999999</v>
      </c>
      <c r="AH41">
        <v>2</v>
      </c>
      <c r="AI41">
        <v>129763205</v>
      </c>
      <c r="AJ41">
        <v>41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ROW(Source!A74)</f>
        <v>74</v>
      </c>
      <c r="B42">
        <v>129763210</v>
      </c>
      <c r="C42">
        <v>129763204</v>
      </c>
      <c r="D42">
        <v>37393487</v>
      </c>
      <c r="E42">
        <v>1</v>
      </c>
      <c r="F42">
        <v>1</v>
      </c>
      <c r="G42">
        <v>37345137</v>
      </c>
      <c r="H42">
        <v>3</v>
      </c>
      <c r="I42" t="s">
        <v>1124</v>
      </c>
      <c r="J42" t="s">
        <v>1125</v>
      </c>
      <c r="K42" t="s">
        <v>1126</v>
      </c>
      <c r="L42">
        <v>1348</v>
      </c>
      <c r="N42">
        <v>1009</v>
      </c>
      <c r="O42" t="s">
        <v>114</v>
      </c>
      <c r="P42" t="s">
        <v>114</v>
      </c>
      <c r="Q42">
        <v>1000</v>
      </c>
      <c r="X42">
        <v>0.06</v>
      </c>
      <c r="Y42">
        <v>3501.78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0</v>
      </c>
      <c r="AF42" t="s">
        <v>3</v>
      </c>
      <c r="AG42">
        <v>0.06</v>
      </c>
      <c r="AH42">
        <v>2</v>
      </c>
      <c r="AI42">
        <v>129763206</v>
      </c>
      <c r="AJ42">
        <v>42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ROW(Source!A74)</f>
        <v>74</v>
      </c>
      <c r="B43">
        <v>129763211</v>
      </c>
      <c r="C43">
        <v>129763204</v>
      </c>
      <c r="D43">
        <v>37394111</v>
      </c>
      <c r="E43">
        <v>1</v>
      </c>
      <c r="F43">
        <v>1</v>
      </c>
      <c r="G43">
        <v>37345137</v>
      </c>
      <c r="H43">
        <v>3</v>
      </c>
      <c r="I43" t="s">
        <v>92</v>
      </c>
      <c r="J43" t="s">
        <v>95</v>
      </c>
      <c r="K43" t="s">
        <v>93</v>
      </c>
      <c r="L43">
        <v>1339</v>
      </c>
      <c r="N43">
        <v>1007</v>
      </c>
      <c r="O43" t="s">
        <v>94</v>
      </c>
      <c r="P43" t="s">
        <v>94</v>
      </c>
      <c r="Q43">
        <v>1</v>
      </c>
      <c r="X43">
        <v>0.5</v>
      </c>
      <c r="Y43">
        <v>104.99</v>
      </c>
      <c r="Z43">
        <v>0</v>
      </c>
      <c r="AA43">
        <v>0</v>
      </c>
      <c r="AB43">
        <v>0</v>
      </c>
      <c r="AC43">
        <v>0</v>
      </c>
      <c r="AD43">
        <v>1</v>
      </c>
      <c r="AE43">
        <v>0</v>
      </c>
      <c r="AF43" t="s">
        <v>3</v>
      </c>
      <c r="AG43">
        <v>0.5</v>
      </c>
      <c r="AH43">
        <v>2</v>
      </c>
      <c r="AI43">
        <v>129763207</v>
      </c>
      <c r="AJ43">
        <v>43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ROW(Source!A74)</f>
        <v>74</v>
      </c>
      <c r="B44">
        <v>129763212</v>
      </c>
      <c r="C44">
        <v>129763204</v>
      </c>
      <c r="D44">
        <v>37359148</v>
      </c>
      <c r="E44">
        <v>37345137</v>
      </c>
      <c r="F44">
        <v>1</v>
      </c>
      <c r="G44">
        <v>37345137</v>
      </c>
      <c r="H44">
        <v>3</v>
      </c>
      <c r="I44" t="s">
        <v>1420</v>
      </c>
      <c r="J44" t="s">
        <v>3</v>
      </c>
      <c r="K44" t="s">
        <v>1421</v>
      </c>
      <c r="L44">
        <v>1348</v>
      </c>
      <c r="N44">
        <v>1009</v>
      </c>
      <c r="O44" t="s">
        <v>114</v>
      </c>
      <c r="P44" t="s">
        <v>114</v>
      </c>
      <c r="Q44">
        <v>1000</v>
      </c>
      <c r="X44">
        <v>7.14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 t="s">
        <v>3</v>
      </c>
      <c r="AG44">
        <v>7.14</v>
      </c>
      <c r="AH44">
        <v>3</v>
      </c>
      <c r="AI44">
        <v>-1</v>
      </c>
      <c r="AJ44" t="s">
        <v>3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ROW(Source!A77)</f>
        <v>77</v>
      </c>
      <c r="B45">
        <v>129763217</v>
      </c>
      <c r="C45">
        <v>129763214</v>
      </c>
      <c r="D45">
        <v>37345142</v>
      </c>
      <c r="E45">
        <v>37345137</v>
      </c>
      <c r="F45">
        <v>1</v>
      </c>
      <c r="G45">
        <v>37345137</v>
      </c>
      <c r="H45">
        <v>1</v>
      </c>
      <c r="I45" t="s">
        <v>1096</v>
      </c>
      <c r="J45" t="s">
        <v>3</v>
      </c>
      <c r="K45" t="s">
        <v>1097</v>
      </c>
      <c r="L45">
        <v>1191</v>
      </c>
      <c r="N45">
        <v>1013</v>
      </c>
      <c r="O45" t="s">
        <v>1098</v>
      </c>
      <c r="P45" t="s">
        <v>1098</v>
      </c>
      <c r="Q45">
        <v>1</v>
      </c>
      <c r="X45">
        <v>2.3199999999999998</v>
      </c>
      <c r="Y45">
        <v>0</v>
      </c>
      <c r="Z45">
        <v>0</v>
      </c>
      <c r="AA45">
        <v>0</v>
      </c>
      <c r="AB45">
        <v>0</v>
      </c>
      <c r="AC45">
        <v>0</v>
      </c>
      <c r="AD45">
        <v>1</v>
      </c>
      <c r="AE45">
        <v>1</v>
      </c>
      <c r="AF45" t="s">
        <v>122</v>
      </c>
      <c r="AG45">
        <v>24.011999999999997</v>
      </c>
      <c r="AH45">
        <v>2</v>
      </c>
      <c r="AI45">
        <v>129763215</v>
      </c>
      <c r="AJ45">
        <v>45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ROW(Source!A77)</f>
        <v>77</v>
      </c>
      <c r="B46">
        <v>129763218</v>
      </c>
      <c r="C46">
        <v>129763214</v>
      </c>
      <c r="D46">
        <v>37359148</v>
      </c>
      <c r="E46">
        <v>37345137</v>
      </c>
      <c r="F46">
        <v>1</v>
      </c>
      <c r="G46">
        <v>37345137</v>
      </c>
      <c r="H46">
        <v>3</v>
      </c>
      <c r="I46" t="s">
        <v>1420</v>
      </c>
      <c r="J46" t="s">
        <v>3</v>
      </c>
      <c r="K46" t="s">
        <v>1421</v>
      </c>
      <c r="L46">
        <v>1348</v>
      </c>
      <c r="N46">
        <v>1009</v>
      </c>
      <c r="O46" t="s">
        <v>114</v>
      </c>
      <c r="P46" t="s">
        <v>114</v>
      </c>
      <c r="Q46">
        <v>1000</v>
      </c>
      <c r="X46">
        <v>1.21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 t="s">
        <v>120</v>
      </c>
      <c r="AG46">
        <v>10.89</v>
      </c>
      <c r="AH46">
        <v>3</v>
      </c>
      <c r="AI46">
        <v>-1</v>
      </c>
      <c r="AJ46" t="s">
        <v>3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ROW(Source!A78)</f>
        <v>78</v>
      </c>
      <c r="B47">
        <v>129763217</v>
      </c>
      <c r="C47">
        <v>129763214</v>
      </c>
      <c r="D47">
        <v>37345142</v>
      </c>
      <c r="E47">
        <v>37345137</v>
      </c>
      <c r="F47">
        <v>1</v>
      </c>
      <c r="G47">
        <v>37345137</v>
      </c>
      <c r="H47">
        <v>1</v>
      </c>
      <c r="I47" t="s">
        <v>1096</v>
      </c>
      <c r="J47" t="s">
        <v>3</v>
      </c>
      <c r="K47" t="s">
        <v>1097</v>
      </c>
      <c r="L47">
        <v>1191</v>
      </c>
      <c r="N47">
        <v>1013</v>
      </c>
      <c r="O47" t="s">
        <v>1098</v>
      </c>
      <c r="P47" t="s">
        <v>1098</v>
      </c>
      <c r="Q47">
        <v>1</v>
      </c>
      <c r="X47">
        <v>2.3199999999999998</v>
      </c>
      <c r="Y47">
        <v>0</v>
      </c>
      <c r="Z47">
        <v>0</v>
      </c>
      <c r="AA47">
        <v>0</v>
      </c>
      <c r="AB47">
        <v>0</v>
      </c>
      <c r="AC47">
        <v>0</v>
      </c>
      <c r="AD47">
        <v>1</v>
      </c>
      <c r="AE47">
        <v>1</v>
      </c>
      <c r="AF47" t="s">
        <v>122</v>
      </c>
      <c r="AG47">
        <v>24.011999999999997</v>
      </c>
      <c r="AH47">
        <v>2</v>
      </c>
      <c r="AI47">
        <v>129763215</v>
      </c>
      <c r="AJ47">
        <v>47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ROW(Source!A78)</f>
        <v>78</v>
      </c>
      <c r="B48">
        <v>129763218</v>
      </c>
      <c r="C48">
        <v>129763214</v>
      </c>
      <c r="D48">
        <v>37359148</v>
      </c>
      <c r="E48">
        <v>37345137</v>
      </c>
      <c r="F48">
        <v>1</v>
      </c>
      <c r="G48">
        <v>37345137</v>
      </c>
      <c r="H48">
        <v>3</v>
      </c>
      <c r="I48" t="s">
        <v>1420</v>
      </c>
      <c r="J48" t="s">
        <v>3</v>
      </c>
      <c r="K48" t="s">
        <v>1421</v>
      </c>
      <c r="L48">
        <v>1348</v>
      </c>
      <c r="N48">
        <v>1009</v>
      </c>
      <c r="O48" t="s">
        <v>114</v>
      </c>
      <c r="P48" t="s">
        <v>114</v>
      </c>
      <c r="Q48">
        <v>1000</v>
      </c>
      <c r="X48">
        <v>1.21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 t="s">
        <v>120</v>
      </c>
      <c r="AG48">
        <v>10.89</v>
      </c>
      <c r="AH48">
        <v>3</v>
      </c>
      <c r="AI48">
        <v>-1</v>
      </c>
      <c r="AJ48" t="s">
        <v>3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ROW(Source!A81)</f>
        <v>81</v>
      </c>
      <c r="B49">
        <v>129763227</v>
      </c>
      <c r="C49">
        <v>129763220</v>
      </c>
      <c r="D49">
        <v>37345142</v>
      </c>
      <c r="E49">
        <v>37345137</v>
      </c>
      <c r="F49">
        <v>1</v>
      </c>
      <c r="G49">
        <v>37345137</v>
      </c>
      <c r="H49">
        <v>1</v>
      </c>
      <c r="I49" t="s">
        <v>1096</v>
      </c>
      <c r="J49" t="s">
        <v>3</v>
      </c>
      <c r="K49" t="s">
        <v>1097</v>
      </c>
      <c r="L49">
        <v>1191</v>
      </c>
      <c r="N49">
        <v>1013</v>
      </c>
      <c r="O49" t="s">
        <v>1098</v>
      </c>
      <c r="P49" t="s">
        <v>1098</v>
      </c>
      <c r="Q49">
        <v>1</v>
      </c>
      <c r="X49">
        <v>69.8</v>
      </c>
      <c r="Y49">
        <v>0</v>
      </c>
      <c r="Z49">
        <v>0</v>
      </c>
      <c r="AA49">
        <v>0</v>
      </c>
      <c r="AB49">
        <v>0</v>
      </c>
      <c r="AC49">
        <v>0</v>
      </c>
      <c r="AD49">
        <v>1</v>
      </c>
      <c r="AE49">
        <v>1</v>
      </c>
      <c r="AF49" t="s">
        <v>87</v>
      </c>
      <c r="AG49">
        <v>80.27</v>
      </c>
      <c r="AH49">
        <v>2</v>
      </c>
      <c r="AI49">
        <v>129763221</v>
      </c>
      <c r="AJ49">
        <v>49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ROW(Source!A81)</f>
        <v>81</v>
      </c>
      <c r="B50">
        <v>129763228</v>
      </c>
      <c r="C50">
        <v>129763220</v>
      </c>
      <c r="D50">
        <v>37417692</v>
      </c>
      <c r="E50">
        <v>1</v>
      </c>
      <c r="F50">
        <v>1</v>
      </c>
      <c r="G50">
        <v>37345137</v>
      </c>
      <c r="H50">
        <v>2</v>
      </c>
      <c r="I50" t="s">
        <v>1127</v>
      </c>
      <c r="J50" t="s">
        <v>1128</v>
      </c>
      <c r="K50" t="s">
        <v>1129</v>
      </c>
      <c r="L50">
        <v>1367</v>
      </c>
      <c r="N50">
        <v>1011</v>
      </c>
      <c r="O50" t="s">
        <v>1102</v>
      </c>
      <c r="P50" t="s">
        <v>1102</v>
      </c>
      <c r="Q50">
        <v>1</v>
      </c>
      <c r="X50">
        <v>0.61</v>
      </c>
      <c r="Y50">
        <v>0</v>
      </c>
      <c r="Z50">
        <v>190.93</v>
      </c>
      <c r="AA50">
        <v>18.149999999999999</v>
      </c>
      <c r="AB50">
        <v>0</v>
      </c>
      <c r="AC50">
        <v>0</v>
      </c>
      <c r="AD50">
        <v>1</v>
      </c>
      <c r="AE50">
        <v>0</v>
      </c>
      <c r="AF50" t="s">
        <v>86</v>
      </c>
      <c r="AG50">
        <v>0.76249999999999996</v>
      </c>
      <c r="AH50">
        <v>2</v>
      </c>
      <c r="AI50">
        <v>129763222</v>
      </c>
      <c r="AJ50">
        <v>50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ROW(Source!A81)</f>
        <v>81</v>
      </c>
      <c r="B51">
        <v>129763229</v>
      </c>
      <c r="C51">
        <v>129763220</v>
      </c>
      <c r="D51">
        <v>37411928</v>
      </c>
      <c r="E51">
        <v>1</v>
      </c>
      <c r="F51">
        <v>1</v>
      </c>
      <c r="G51">
        <v>37345137</v>
      </c>
      <c r="H51">
        <v>3</v>
      </c>
      <c r="I51" t="s">
        <v>1130</v>
      </c>
      <c r="J51" t="s">
        <v>1131</v>
      </c>
      <c r="K51" t="s">
        <v>1132</v>
      </c>
      <c r="L51">
        <v>1339</v>
      </c>
      <c r="N51">
        <v>1007</v>
      </c>
      <c r="O51" t="s">
        <v>94</v>
      </c>
      <c r="P51" t="s">
        <v>94</v>
      </c>
      <c r="Q51">
        <v>1</v>
      </c>
      <c r="X51">
        <v>5.9</v>
      </c>
      <c r="Y51">
        <v>704.89</v>
      </c>
      <c r="Z51">
        <v>0</v>
      </c>
      <c r="AA51">
        <v>0</v>
      </c>
      <c r="AB51">
        <v>0</v>
      </c>
      <c r="AC51">
        <v>0</v>
      </c>
      <c r="AD51">
        <v>1</v>
      </c>
      <c r="AE51">
        <v>0</v>
      </c>
      <c r="AF51" t="s">
        <v>3</v>
      </c>
      <c r="AG51">
        <v>5.9</v>
      </c>
      <c r="AH51">
        <v>2</v>
      </c>
      <c r="AI51">
        <v>129763223</v>
      </c>
      <c r="AJ51">
        <v>51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ROW(Source!A81)</f>
        <v>81</v>
      </c>
      <c r="B52">
        <v>129763230</v>
      </c>
      <c r="C52">
        <v>129763220</v>
      </c>
      <c r="D52">
        <v>37412062</v>
      </c>
      <c r="E52">
        <v>1</v>
      </c>
      <c r="F52">
        <v>1</v>
      </c>
      <c r="G52">
        <v>37345137</v>
      </c>
      <c r="H52">
        <v>3</v>
      </c>
      <c r="I52" t="s">
        <v>1133</v>
      </c>
      <c r="J52" t="s">
        <v>1134</v>
      </c>
      <c r="K52" t="s">
        <v>1135</v>
      </c>
      <c r="L52">
        <v>1339</v>
      </c>
      <c r="N52">
        <v>1007</v>
      </c>
      <c r="O52" t="s">
        <v>94</v>
      </c>
      <c r="P52" t="s">
        <v>94</v>
      </c>
      <c r="Q52">
        <v>1</v>
      </c>
      <c r="X52">
        <v>0.06</v>
      </c>
      <c r="Y52">
        <v>451.14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0</v>
      </c>
      <c r="AF52" t="s">
        <v>3</v>
      </c>
      <c r="AG52">
        <v>0.06</v>
      </c>
      <c r="AH52">
        <v>2</v>
      </c>
      <c r="AI52">
        <v>129763224</v>
      </c>
      <c r="AJ52">
        <v>52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ROW(Source!A81)</f>
        <v>81</v>
      </c>
      <c r="B53">
        <v>129763231</v>
      </c>
      <c r="C53">
        <v>129763220</v>
      </c>
      <c r="D53">
        <v>37358429</v>
      </c>
      <c r="E53">
        <v>37345137</v>
      </c>
      <c r="F53">
        <v>1</v>
      </c>
      <c r="G53">
        <v>37345137</v>
      </c>
      <c r="H53">
        <v>3</v>
      </c>
      <c r="I53" t="s">
        <v>1422</v>
      </c>
      <c r="J53" t="s">
        <v>3</v>
      </c>
      <c r="K53" t="s">
        <v>1423</v>
      </c>
      <c r="L53">
        <v>1339</v>
      </c>
      <c r="N53">
        <v>1007</v>
      </c>
      <c r="O53" t="s">
        <v>94</v>
      </c>
      <c r="P53" t="s">
        <v>94</v>
      </c>
      <c r="Q53">
        <v>1</v>
      </c>
      <c r="X53">
        <v>4.3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 t="s">
        <v>3</v>
      </c>
      <c r="AG53">
        <v>4.3</v>
      </c>
      <c r="AH53">
        <v>3</v>
      </c>
      <c r="AI53">
        <v>-1</v>
      </c>
      <c r="AJ53" t="s">
        <v>3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ROW(Source!A81)</f>
        <v>81</v>
      </c>
      <c r="B54">
        <v>129763232</v>
      </c>
      <c r="C54">
        <v>129763220</v>
      </c>
      <c r="D54">
        <v>37367082</v>
      </c>
      <c r="E54">
        <v>37345137</v>
      </c>
      <c r="F54">
        <v>1</v>
      </c>
      <c r="G54">
        <v>37345137</v>
      </c>
      <c r="H54">
        <v>3</v>
      </c>
      <c r="I54" t="s">
        <v>1136</v>
      </c>
      <c r="J54" t="s">
        <v>3</v>
      </c>
      <c r="K54" t="s">
        <v>1137</v>
      </c>
      <c r="L54">
        <v>1344</v>
      </c>
      <c r="N54">
        <v>1008</v>
      </c>
      <c r="O54" t="s">
        <v>1138</v>
      </c>
      <c r="P54" t="s">
        <v>1138</v>
      </c>
      <c r="Q54">
        <v>1</v>
      </c>
      <c r="X54">
        <v>116.34</v>
      </c>
      <c r="Y54">
        <v>1</v>
      </c>
      <c r="Z54">
        <v>0</v>
      </c>
      <c r="AA54">
        <v>0</v>
      </c>
      <c r="AB54">
        <v>0</v>
      </c>
      <c r="AC54">
        <v>0</v>
      </c>
      <c r="AD54">
        <v>1</v>
      </c>
      <c r="AE54">
        <v>0</v>
      </c>
      <c r="AF54" t="s">
        <v>3</v>
      </c>
      <c r="AG54">
        <v>116.34</v>
      </c>
      <c r="AH54">
        <v>2</v>
      </c>
      <c r="AI54">
        <v>129763226</v>
      </c>
      <c r="AJ54">
        <v>54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ROW(Source!A82)</f>
        <v>82</v>
      </c>
      <c r="B55">
        <v>129763227</v>
      </c>
      <c r="C55">
        <v>129763220</v>
      </c>
      <c r="D55">
        <v>37345142</v>
      </c>
      <c r="E55">
        <v>37345137</v>
      </c>
      <c r="F55">
        <v>1</v>
      </c>
      <c r="G55">
        <v>37345137</v>
      </c>
      <c r="H55">
        <v>1</v>
      </c>
      <c r="I55" t="s">
        <v>1096</v>
      </c>
      <c r="J55" t="s">
        <v>3</v>
      </c>
      <c r="K55" t="s">
        <v>1097</v>
      </c>
      <c r="L55">
        <v>1191</v>
      </c>
      <c r="N55">
        <v>1013</v>
      </c>
      <c r="O55" t="s">
        <v>1098</v>
      </c>
      <c r="P55" t="s">
        <v>1098</v>
      </c>
      <c r="Q55">
        <v>1</v>
      </c>
      <c r="X55">
        <v>69.8</v>
      </c>
      <c r="Y55">
        <v>0</v>
      </c>
      <c r="Z55">
        <v>0</v>
      </c>
      <c r="AA55">
        <v>0</v>
      </c>
      <c r="AB55">
        <v>0</v>
      </c>
      <c r="AC55">
        <v>0</v>
      </c>
      <c r="AD55">
        <v>1</v>
      </c>
      <c r="AE55">
        <v>1</v>
      </c>
      <c r="AF55" t="s">
        <v>87</v>
      </c>
      <c r="AG55">
        <v>80.27</v>
      </c>
      <c r="AH55">
        <v>2</v>
      </c>
      <c r="AI55">
        <v>129763221</v>
      </c>
      <c r="AJ55">
        <v>55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ROW(Source!A82)</f>
        <v>82</v>
      </c>
      <c r="B56">
        <v>129763228</v>
      </c>
      <c r="C56">
        <v>129763220</v>
      </c>
      <c r="D56">
        <v>37417692</v>
      </c>
      <c r="E56">
        <v>1</v>
      </c>
      <c r="F56">
        <v>1</v>
      </c>
      <c r="G56">
        <v>37345137</v>
      </c>
      <c r="H56">
        <v>2</v>
      </c>
      <c r="I56" t="s">
        <v>1127</v>
      </c>
      <c r="J56" t="s">
        <v>1128</v>
      </c>
      <c r="K56" t="s">
        <v>1129</v>
      </c>
      <c r="L56">
        <v>1367</v>
      </c>
      <c r="N56">
        <v>1011</v>
      </c>
      <c r="O56" t="s">
        <v>1102</v>
      </c>
      <c r="P56" t="s">
        <v>1102</v>
      </c>
      <c r="Q56">
        <v>1</v>
      </c>
      <c r="X56">
        <v>0.61</v>
      </c>
      <c r="Y56">
        <v>0</v>
      </c>
      <c r="Z56">
        <v>190.93</v>
      </c>
      <c r="AA56">
        <v>18.149999999999999</v>
      </c>
      <c r="AB56">
        <v>0</v>
      </c>
      <c r="AC56">
        <v>0</v>
      </c>
      <c r="AD56">
        <v>1</v>
      </c>
      <c r="AE56">
        <v>0</v>
      </c>
      <c r="AF56" t="s">
        <v>86</v>
      </c>
      <c r="AG56">
        <v>0.76249999999999996</v>
      </c>
      <c r="AH56">
        <v>2</v>
      </c>
      <c r="AI56">
        <v>129763222</v>
      </c>
      <c r="AJ56">
        <v>56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ROW(Source!A82)</f>
        <v>82</v>
      </c>
      <c r="B57">
        <v>129763229</v>
      </c>
      <c r="C57">
        <v>129763220</v>
      </c>
      <c r="D57">
        <v>37411928</v>
      </c>
      <c r="E57">
        <v>1</v>
      </c>
      <c r="F57">
        <v>1</v>
      </c>
      <c r="G57">
        <v>37345137</v>
      </c>
      <c r="H57">
        <v>3</v>
      </c>
      <c r="I57" t="s">
        <v>1130</v>
      </c>
      <c r="J57" t="s">
        <v>1131</v>
      </c>
      <c r="K57" t="s">
        <v>1132</v>
      </c>
      <c r="L57">
        <v>1339</v>
      </c>
      <c r="N57">
        <v>1007</v>
      </c>
      <c r="O57" t="s">
        <v>94</v>
      </c>
      <c r="P57" t="s">
        <v>94</v>
      </c>
      <c r="Q57">
        <v>1</v>
      </c>
      <c r="X57">
        <v>5.9</v>
      </c>
      <c r="Y57">
        <v>704.89</v>
      </c>
      <c r="Z57">
        <v>0</v>
      </c>
      <c r="AA57">
        <v>0</v>
      </c>
      <c r="AB57">
        <v>0</v>
      </c>
      <c r="AC57">
        <v>0</v>
      </c>
      <c r="AD57">
        <v>1</v>
      </c>
      <c r="AE57">
        <v>0</v>
      </c>
      <c r="AF57" t="s">
        <v>3</v>
      </c>
      <c r="AG57">
        <v>5.9</v>
      </c>
      <c r="AH57">
        <v>2</v>
      </c>
      <c r="AI57">
        <v>129763223</v>
      </c>
      <c r="AJ57">
        <v>57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ROW(Source!A82)</f>
        <v>82</v>
      </c>
      <c r="B58">
        <v>129763230</v>
      </c>
      <c r="C58">
        <v>129763220</v>
      </c>
      <c r="D58">
        <v>37412062</v>
      </c>
      <c r="E58">
        <v>1</v>
      </c>
      <c r="F58">
        <v>1</v>
      </c>
      <c r="G58">
        <v>37345137</v>
      </c>
      <c r="H58">
        <v>3</v>
      </c>
      <c r="I58" t="s">
        <v>1133</v>
      </c>
      <c r="J58" t="s">
        <v>1134</v>
      </c>
      <c r="K58" t="s">
        <v>1135</v>
      </c>
      <c r="L58">
        <v>1339</v>
      </c>
      <c r="N58">
        <v>1007</v>
      </c>
      <c r="O58" t="s">
        <v>94</v>
      </c>
      <c r="P58" t="s">
        <v>94</v>
      </c>
      <c r="Q58">
        <v>1</v>
      </c>
      <c r="X58">
        <v>0.06</v>
      </c>
      <c r="Y58">
        <v>451.14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0</v>
      </c>
      <c r="AF58" t="s">
        <v>3</v>
      </c>
      <c r="AG58">
        <v>0.06</v>
      </c>
      <c r="AH58">
        <v>2</v>
      </c>
      <c r="AI58">
        <v>129763224</v>
      </c>
      <c r="AJ58">
        <v>58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ROW(Source!A82)</f>
        <v>82</v>
      </c>
      <c r="B59">
        <v>129763231</v>
      </c>
      <c r="C59">
        <v>129763220</v>
      </c>
      <c r="D59">
        <v>37358429</v>
      </c>
      <c r="E59">
        <v>37345137</v>
      </c>
      <c r="F59">
        <v>1</v>
      </c>
      <c r="G59">
        <v>37345137</v>
      </c>
      <c r="H59">
        <v>3</v>
      </c>
      <c r="I59" t="s">
        <v>1422</v>
      </c>
      <c r="J59" t="s">
        <v>3</v>
      </c>
      <c r="K59" t="s">
        <v>1423</v>
      </c>
      <c r="L59">
        <v>1339</v>
      </c>
      <c r="N59">
        <v>1007</v>
      </c>
      <c r="O59" t="s">
        <v>94</v>
      </c>
      <c r="P59" t="s">
        <v>94</v>
      </c>
      <c r="Q59">
        <v>1</v>
      </c>
      <c r="X59">
        <v>4.3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 t="s">
        <v>3</v>
      </c>
      <c r="AG59">
        <v>4.3</v>
      </c>
      <c r="AH59">
        <v>3</v>
      </c>
      <c r="AI59">
        <v>-1</v>
      </c>
      <c r="AJ59" t="s">
        <v>3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ROW(Source!A82)</f>
        <v>82</v>
      </c>
      <c r="B60">
        <v>129763232</v>
      </c>
      <c r="C60">
        <v>129763220</v>
      </c>
      <c r="D60">
        <v>37367082</v>
      </c>
      <c r="E60">
        <v>37345137</v>
      </c>
      <c r="F60">
        <v>1</v>
      </c>
      <c r="G60">
        <v>37345137</v>
      </c>
      <c r="H60">
        <v>3</v>
      </c>
      <c r="I60" t="s">
        <v>1136</v>
      </c>
      <c r="J60" t="s">
        <v>3</v>
      </c>
      <c r="K60" t="s">
        <v>1137</v>
      </c>
      <c r="L60">
        <v>1344</v>
      </c>
      <c r="N60">
        <v>1008</v>
      </c>
      <c r="O60" t="s">
        <v>1138</v>
      </c>
      <c r="P60" t="s">
        <v>1138</v>
      </c>
      <c r="Q60">
        <v>1</v>
      </c>
      <c r="X60">
        <v>116.34</v>
      </c>
      <c r="Y60">
        <v>1</v>
      </c>
      <c r="Z60">
        <v>0</v>
      </c>
      <c r="AA60">
        <v>0</v>
      </c>
      <c r="AB60">
        <v>0</v>
      </c>
      <c r="AC60">
        <v>0</v>
      </c>
      <c r="AD60">
        <v>1</v>
      </c>
      <c r="AE60">
        <v>0</v>
      </c>
      <c r="AF60" t="s">
        <v>3</v>
      </c>
      <c r="AG60">
        <v>116.34</v>
      </c>
      <c r="AH60">
        <v>2</v>
      </c>
      <c r="AI60">
        <v>129763226</v>
      </c>
      <c r="AJ60">
        <v>60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ROW(Source!A154)</f>
        <v>154</v>
      </c>
      <c r="B61">
        <v>129763241</v>
      </c>
      <c r="C61">
        <v>129763234</v>
      </c>
      <c r="D61">
        <v>37345142</v>
      </c>
      <c r="E61">
        <v>37345137</v>
      </c>
      <c r="F61">
        <v>1</v>
      </c>
      <c r="G61">
        <v>37345137</v>
      </c>
      <c r="H61">
        <v>1</v>
      </c>
      <c r="I61" t="s">
        <v>1096</v>
      </c>
      <c r="J61" t="s">
        <v>3</v>
      </c>
      <c r="K61" t="s">
        <v>1097</v>
      </c>
      <c r="L61">
        <v>1191</v>
      </c>
      <c r="N61">
        <v>1013</v>
      </c>
      <c r="O61" t="s">
        <v>1098</v>
      </c>
      <c r="P61" t="s">
        <v>1098</v>
      </c>
      <c r="Q61">
        <v>1</v>
      </c>
      <c r="X61">
        <v>82.1</v>
      </c>
      <c r="Y61">
        <v>0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1</v>
      </c>
      <c r="AF61" t="s">
        <v>142</v>
      </c>
      <c r="AG61">
        <v>49.26</v>
      </c>
      <c r="AH61">
        <v>2</v>
      </c>
      <c r="AI61">
        <v>129763235</v>
      </c>
      <c r="AJ61">
        <v>61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ROW(Source!A154)</f>
        <v>154</v>
      </c>
      <c r="B62">
        <v>129763242</v>
      </c>
      <c r="C62">
        <v>129763234</v>
      </c>
      <c r="D62">
        <v>37418168</v>
      </c>
      <c r="E62">
        <v>1</v>
      </c>
      <c r="F62">
        <v>1</v>
      </c>
      <c r="G62">
        <v>37345137</v>
      </c>
      <c r="H62">
        <v>2</v>
      </c>
      <c r="I62" t="s">
        <v>1139</v>
      </c>
      <c r="J62" t="s">
        <v>1140</v>
      </c>
      <c r="K62" t="s">
        <v>1141</v>
      </c>
      <c r="L62">
        <v>1367</v>
      </c>
      <c r="N62">
        <v>1011</v>
      </c>
      <c r="O62" t="s">
        <v>1102</v>
      </c>
      <c r="P62" t="s">
        <v>1102</v>
      </c>
      <c r="Q62">
        <v>1</v>
      </c>
      <c r="X62">
        <v>0.06</v>
      </c>
      <c r="Y62">
        <v>0</v>
      </c>
      <c r="Z62">
        <v>6.39</v>
      </c>
      <c r="AA62">
        <v>0.32</v>
      </c>
      <c r="AB62">
        <v>0</v>
      </c>
      <c r="AC62">
        <v>0</v>
      </c>
      <c r="AD62">
        <v>1</v>
      </c>
      <c r="AE62">
        <v>0</v>
      </c>
      <c r="AF62" t="s">
        <v>142</v>
      </c>
      <c r="AG62">
        <v>3.5999999999999997E-2</v>
      </c>
      <c r="AH62">
        <v>2</v>
      </c>
      <c r="AI62">
        <v>129763236</v>
      </c>
      <c r="AJ62">
        <v>62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ROW(Source!A154)</f>
        <v>154</v>
      </c>
      <c r="B63">
        <v>129763243</v>
      </c>
      <c r="C63">
        <v>129763234</v>
      </c>
      <c r="D63">
        <v>37418517</v>
      </c>
      <c r="E63">
        <v>1</v>
      </c>
      <c r="F63">
        <v>1</v>
      </c>
      <c r="G63">
        <v>37345137</v>
      </c>
      <c r="H63">
        <v>2</v>
      </c>
      <c r="I63" t="s">
        <v>1142</v>
      </c>
      <c r="J63" t="s">
        <v>1143</v>
      </c>
      <c r="K63" t="s">
        <v>1144</v>
      </c>
      <c r="L63">
        <v>1367</v>
      </c>
      <c r="N63">
        <v>1011</v>
      </c>
      <c r="O63" t="s">
        <v>1102</v>
      </c>
      <c r="P63" t="s">
        <v>1102</v>
      </c>
      <c r="Q63">
        <v>1</v>
      </c>
      <c r="X63">
        <v>0.76</v>
      </c>
      <c r="Y63">
        <v>0</v>
      </c>
      <c r="Z63">
        <v>2.58</v>
      </c>
      <c r="AA63">
        <v>0.04</v>
      </c>
      <c r="AB63">
        <v>0</v>
      </c>
      <c r="AC63">
        <v>0</v>
      </c>
      <c r="AD63">
        <v>1</v>
      </c>
      <c r="AE63">
        <v>0</v>
      </c>
      <c r="AF63" t="s">
        <v>142</v>
      </c>
      <c r="AG63">
        <v>0.45599999999999996</v>
      </c>
      <c r="AH63">
        <v>2</v>
      </c>
      <c r="AI63">
        <v>129763237</v>
      </c>
      <c r="AJ63">
        <v>63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ROW(Source!A154)</f>
        <v>154</v>
      </c>
      <c r="B64">
        <v>129763244</v>
      </c>
      <c r="C64">
        <v>129763234</v>
      </c>
      <c r="D64">
        <v>37345890</v>
      </c>
      <c r="E64">
        <v>37345137</v>
      </c>
      <c r="F64">
        <v>1</v>
      </c>
      <c r="G64">
        <v>37345137</v>
      </c>
      <c r="H64">
        <v>2</v>
      </c>
      <c r="I64" t="s">
        <v>1145</v>
      </c>
      <c r="J64" t="s">
        <v>3</v>
      </c>
      <c r="K64" t="s">
        <v>1146</v>
      </c>
      <c r="L64">
        <v>1344</v>
      </c>
      <c r="N64">
        <v>1008</v>
      </c>
      <c r="O64" t="s">
        <v>1138</v>
      </c>
      <c r="P64" t="s">
        <v>1138</v>
      </c>
      <c r="Q64">
        <v>1</v>
      </c>
      <c r="X64">
        <v>232.25</v>
      </c>
      <c r="Y64">
        <v>0</v>
      </c>
      <c r="Z64">
        <v>1</v>
      </c>
      <c r="AA64">
        <v>0</v>
      </c>
      <c r="AB64">
        <v>0</v>
      </c>
      <c r="AC64">
        <v>0</v>
      </c>
      <c r="AD64">
        <v>1</v>
      </c>
      <c r="AE64">
        <v>0</v>
      </c>
      <c r="AF64" t="s">
        <v>142</v>
      </c>
      <c r="AG64">
        <v>139.35</v>
      </c>
      <c r="AH64">
        <v>2</v>
      </c>
      <c r="AI64">
        <v>129763238</v>
      </c>
      <c r="AJ64">
        <v>64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ROW(Source!A154)</f>
        <v>154</v>
      </c>
      <c r="B65">
        <v>129763245</v>
      </c>
      <c r="C65">
        <v>129763234</v>
      </c>
      <c r="D65">
        <v>37394864</v>
      </c>
      <c r="E65">
        <v>1</v>
      </c>
      <c r="F65">
        <v>1</v>
      </c>
      <c r="G65">
        <v>37345137</v>
      </c>
      <c r="H65">
        <v>3</v>
      </c>
      <c r="I65" t="s">
        <v>1147</v>
      </c>
      <c r="J65" t="s">
        <v>1148</v>
      </c>
      <c r="K65" t="s">
        <v>1149</v>
      </c>
      <c r="L65">
        <v>1348</v>
      </c>
      <c r="N65">
        <v>1009</v>
      </c>
      <c r="O65" t="s">
        <v>114</v>
      </c>
      <c r="P65" t="s">
        <v>114</v>
      </c>
      <c r="Q65">
        <v>1000</v>
      </c>
      <c r="X65">
        <v>6.9999999999999999E-4</v>
      </c>
      <c r="Y65">
        <v>7191.81</v>
      </c>
      <c r="Z65">
        <v>0</v>
      </c>
      <c r="AA65">
        <v>0</v>
      </c>
      <c r="AB65">
        <v>0</v>
      </c>
      <c r="AC65">
        <v>0</v>
      </c>
      <c r="AD65">
        <v>1</v>
      </c>
      <c r="AE65">
        <v>0</v>
      </c>
      <c r="AF65" t="s">
        <v>142</v>
      </c>
      <c r="AG65">
        <v>4.1999999999999996E-4</v>
      </c>
      <c r="AH65">
        <v>2</v>
      </c>
      <c r="AI65">
        <v>129763239</v>
      </c>
      <c r="AJ65">
        <v>65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ROW(Source!A154)</f>
        <v>154</v>
      </c>
      <c r="B66">
        <v>129763246</v>
      </c>
      <c r="C66">
        <v>129763234</v>
      </c>
      <c r="D66">
        <v>37359042</v>
      </c>
      <c r="E66">
        <v>37345137</v>
      </c>
      <c r="F66">
        <v>1</v>
      </c>
      <c r="G66">
        <v>37345137</v>
      </c>
      <c r="H66">
        <v>3</v>
      </c>
      <c r="I66" t="s">
        <v>1424</v>
      </c>
      <c r="J66" t="s">
        <v>3</v>
      </c>
      <c r="K66" t="s">
        <v>1425</v>
      </c>
      <c r="L66">
        <v>1348</v>
      </c>
      <c r="N66">
        <v>1009</v>
      </c>
      <c r="O66" t="s">
        <v>114</v>
      </c>
      <c r="P66" t="s">
        <v>114</v>
      </c>
      <c r="Q66">
        <v>1000</v>
      </c>
      <c r="X66">
        <v>1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 t="s">
        <v>142</v>
      </c>
      <c r="AG66">
        <v>0.6</v>
      </c>
      <c r="AH66">
        <v>3</v>
      </c>
      <c r="AI66">
        <v>-1</v>
      </c>
      <c r="AJ66" t="s">
        <v>3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ROW(Source!A154)</f>
        <v>154</v>
      </c>
      <c r="B67">
        <v>129763247</v>
      </c>
      <c r="C67">
        <v>129763234</v>
      </c>
      <c r="D67">
        <v>37367082</v>
      </c>
      <c r="E67">
        <v>37345137</v>
      </c>
      <c r="F67">
        <v>1</v>
      </c>
      <c r="G67">
        <v>37345137</v>
      </c>
      <c r="H67">
        <v>3</v>
      </c>
      <c r="I67" t="s">
        <v>1136</v>
      </c>
      <c r="J67" t="s">
        <v>3</v>
      </c>
      <c r="K67" t="s">
        <v>1137</v>
      </c>
      <c r="L67">
        <v>1344</v>
      </c>
      <c r="N67">
        <v>1008</v>
      </c>
      <c r="O67" t="s">
        <v>1138</v>
      </c>
      <c r="P67" t="s">
        <v>1138</v>
      </c>
      <c r="Q67">
        <v>1</v>
      </c>
      <c r="X67">
        <v>39.479999999999997</v>
      </c>
      <c r="Y67">
        <v>1</v>
      </c>
      <c r="Z67">
        <v>0</v>
      </c>
      <c r="AA67">
        <v>0</v>
      </c>
      <c r="AB67">
        <v>0</v>
      </c>
      <c r="AC67">
        <v>0</v>
      </c>
      <c r="AD67">
        <v>1</v>
      </c>
      <c r="AE67">
        <v>0</v>
      </c>
      <c r="AF67" t="s">
        <v>142</v>
      </c>
      <c r="AG67">
        <v>23.687999999999999</v>
      </c>
      <c r="AH67">
        <v>2</v>
      </c>
      <c r="AI67">
        <v>129763240</v>
      </c>
      <c r="AJ67">
        <v>66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ROW(Source!A155)</f>
        <v>155</v>
      </c>
      <c r="B68">
        <v>129763241</v>
      </c>
      <c r="C68">
        <v>129763234</v>
      </c>
      <c r="D68">
        <v>37345142</v>
      </c>
      <c r="E68">
        <v>37345137</v>
      </c>
      <c r="F68">
        <v>1</v>
      </c>
      <c r="G68">
        <v>37345137</v>
      </c>
      <c r="H68">
        <v>1</v>
      </c>
      <c r="I68" t="s">
        <v>1096</v>
      </c>
      <c r="J68" t="s">
        <v>3</v>
      </c>
      <c r="K68" t="s">
        <v>1097</v>
      </c>
      <c r="L68">
        <v>1191</v>
      </c>
      <c r="N68">
        <v>1013</v>
      </c>
      <c r="O68" t="s">
        <v>1098</v>
      </c>
      <c r="P68" t="s">
        <v>1098</v>
      </c>
      <c r="Q68">
        <v>1</v>
      </c>
      <c r="X68">
        <v>82.1</v>
      </c>
      <c r="Y68">
        <v>0</v>
      </c>
      <c r="Z68">
        <v>0</v>
      </c>
      <c r="AA68">
        <v>0</v>
      </c>
      <c r="AB68">
        <v>0</v>
      </c>
      <c r="AC68">
        <v>0</v>
      </c>
      <c r="AD68">
        <v>1</v>
      </c>
      <c r="AE68">
        <v>1</v>
      </c>
      <c r="AF68" t="s">
        <v>142</v>
      </c>
      <c r="AG68">
        <v>49.26</v>
      </c>
      <c r="AH68">
        <v>2</v>
      </c>
      <c r="AI68">
        <v>129763235</v>
      </c>
      <c r="AJ68">
        <v>67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ROW(Source!A155)</f>
        <v>155</v>
      </c>
      <c r="B69">
        <v>129763242</v>
      </c>
      <c r="C69">
        <v>129763234</v>
      </c>
      <c r="D69">
        <v>37418168</v>
      </c>
      <c r="E69">
        <v>1</v>
      </c>
      <c r="F69">
        <v>1</v>
      </c>
      <c r="G69">
        <v>37345137</v>
      </c>
      <c r="H69">
        <v>2</v>
      </c>
      <c r="I69" t="s">
        <v>1139</v>
      </c>
      <c r="J69" t="s">
        <v>1140</v>
      </c>
      <c r="K69" t="s">
        <v>1141</v>
      </c>
      <c r="L69">
        <v>1367</v>
      </c>
      <c r="N69">
        <v>1011</v>
      </c>
      <c r="O69" t="s">
        <v>1102</v>
      </c>
      <c r="P69" t="s">
        <v>1102</v>
      </c>
      <c r="Q69">
        <v>1</v>
      </c>
      <c r="X69">
        <v>0.06</v>
      </c>
      <c r="Y69">
        <v>0</v>
      </c>
      <c r="Z69">
        <v>6.39</v>
      </c>
      <c r="AA69">
        <v>0.32</v>
      </c>
      <c r="AB69">
        <v>0</v>
      </c>
      <c r="AC69">
        <v>0</v>
      </c>
      <c r="AD69">
        <v>1</v>
      </c>
      <c r="AE69">
        <v>0</v>
      </c>
      <c r="AF69" t="s">
        <v>142</v>
      </c>
      <c r="AG69">
        <v>3.5999999999999997E-2</v>
      </c>
      <c r="AH69">
        <v>2</v>
      </c>
      <c r="AI69">
        <v>129763236</v>
      </c>
      <c r="AJ69">
        <v>68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ROW(Source!A155)</f>
        <v>155</v>
      </c>
      <c r="B70">
        <v>129763243</v>
      </c>
      <c r="C70">
        <v>129763234</v>
      </c>
      <c r="D70">
        <v>37418517</v>
      </c>
      <c r="E70">
        <v>1</v>
      </c>
      <c r="F70">
        <v>1</v>
      </c>
      <c r="G70">
        <v>37345137</v>
      </c>
      <c r="H70">
        <v>2</v>
      </c>
      <c r="I70" t="s">
        <v>1142</v>
      </c>
      <c r="J70" t="s">
        <v>1143</v>
      </c>
      <c r="K70" t="s">
        <v>1144</v>
      </c>
      <c r="L70">
        <v>1367</v>
      </c>
      <c r="N70">
        <v>1011</v>
      </c>
      <c r="O70" t="s">
        <v>1102</v>
      </c>
      <c r="P70" t="s">
        <v>1102</v>
      </c>
      <c r="Q70">
        <v>1</v>
      </c>
      <c r="X70">
        <v>0.76</v>
      </c>
      <c r="Y70">
        <v>0</v>
      </c>
      <c r="Z70">
        <v>2.58</v>
      </c>
      <c r="AA70">
        <v>0.04</v>
      </c>
      <c r="AB70">
        <v>0</v>
      </c>
      <c r="AC70">
        <v>0</v>
      </c>
      <c r="AD70">
        <v>1</v>
      </c>
      <c r="AE70">
        <v>0</v>
      </c>
      <c r="AF70" t="s">
        <v>142</v>
      </c>
      <c r="AG70">
        <v>0.45599999999999996</v>
      </c>
      <c r="AH70">
        <v>2</v>
      </c>
      <c r="AI70">
        <v>129763237</v>
      </c>
      <c r="AJ70">
        <v>69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ROW(Source!A155)</f>
        <v>155</v>
      </c>
      <c r="B71">
        <v>129763244</v>
      </c>
      <c r="C71">
        <v>129763234</v>
      </c>
      <c r="D71">
        <v>37345890</v>
      </c>
      <c r="E71">
        <v>37345137</v>
      </c>
      <c r="F71">
        <v>1</v>
      </c>
      <c r="G71">
        <v>37345137</v>
      </c>
      <c r="H71">
        <v>2</v>
      </c>
      <c r="I71" t="s">
        <v>1145</v>
      </c>
      <c r="J71" t="s">
        <v>3</v>
      </c>
      <c r="K71" t="s">
        <v>1146</v>
      </c>
      <c r="L71">
        <v>1344</v>
      </c>
      <c r="N71">
        <v>1008</v>
      </c>
      <c r="O71" t="s">
        <v>1138</v>
      </c>
      <c r="P71" t="s">
        <v>1138</v>
      </c>
      <c r="Q71">
        <v>1</v>
      </c>
      <c r="X71">
        <v>232.25</v>
      </c>
      <c r="Y71">
        <v>0</v>
      </c>
      <c r="Z71">
        <v>1</v>
      </c>
      <c r="AA71">
        <v>0</v>
      </c>
      <c r="AB71">
        <v>0</v>
      </c>
      <c r="AC71">
        <v>0</v>
      </c>
      <c r="AD71">
        <v>1</v>
      </c>
      <c r="AE71">
        <v>0</v>
      </c>
      <c r="AF71" t="s">
        <v>142</v>
      </c>
      <c r="AG71">
        <v>139.35</v>
      </c>
      <c r="AH71">
        <v>2</v>
      </c>
      <c r="AI71">
        <v>129763238</v>
      </c>
      <c r="AJ71">
        <v>70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ROW(Source!A155)</f>
        <v>155</v>
      </c>
      <c r="B72">
        <v>129763245</v>
      </c>
      <c r="C72">
        <v>129763234</v>
      </c>
      <c r="D72">
        <v>37394864</v>
      </c>
      <c r="E72">
        <v>1</v>
      </c>
      <c r="F72">
        <v>1</v>
      </c>
      <c r="G72">
        <v>37345137</v>
      </c>
      <c r="H72">
        <v>3</v>
      </c>
      <c r="I72" t="s">
        <v>1147</v>
      </c>
      <c r="J72" t="s">
        <v>1148</v>
      </c>
      <c r="K72" t="s">
        <v>1149</v>
      </c>
      <c r="L72">
        <v>1348</v>
      </c>
      <c r="N72">
        <v>1009</v>
      </c>
      <c r="O72" t="s">
        <v>114</v>
      </c>
      <c r="P72" t="s">
        <v>114</v>
      </c>
      <c r="Q72">
        <v>1000</v>
      </c>
      <c r="X72">
        <v>6.9999999999999999E-4</v>
      </c>
      <c r="Y72">
        <v>7191.81</v>
      </c>
      <c r="Z72">
        <v>0</v>
      </c>
      <c r="AA72">
        <v>0</v>
      </c>
      <c r="AB72">
        <v>0</v>
      </c>
      <c r="AC72">
        <v>0</v>
      </c>
      <c r="AD72">
        <v>1</v>
      </c>
      <c r="AE72">
        <v>0</v>
      </c>
      <c r="AF72" t="s">
        <v>142</v>
      </c>
      <c r="AG72">
        <v>4.1999999999999996E-4</v>
      </c>
      <c r="AH72">
        <v>2</v>
      </c>
      <c r="AI72">
        <v>129763239</v>
      </c>
      <c r="AJ72">
        <v>71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ROW(Source!A155)</f>
        <v>155</v>
      </c>
      <c r="B73">
        <v>129763246</v>
      </c>
      <c r="C73">
        <v>129763234</v>
      </c>
      <c r="D73">
        <v>37359042</v>
      </c>
      <c r="E73">
        <v>37345137</v>
      </c>
      <c r="F73">
        <v>1</v>
      </c>
      <c r="G73">
        <v>37345137</v>
      </c>
      <c r="H73">
        <v>3</v>
      </c>
      <c r="I73" t="s">
        <v>1424</v>
      </c>
      <c r="J73" t="s">
        <v>3</v>
      </c>
      <c r="K73" t="s">
        <v>1425</v>
      </c>
      <c r="L73">
        <v>1348</v>
      </c>
      <c r="N73">
        <v>1009</v>
      </c>
      <c r="O73" t="s">
        <v>114</v>
      </c>
      <c r="P73" t="s">
        <v>114</v>
      </c>
      <c r="Q73">
        <v>1000</v>
      </c>
      <c r="X73">
        <v>1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 t="s">
        <v>142</v>
      </c>
      <c r="AG73">
        <v>0.6</v>
      </c>
      <c r="AH73">
        <v>3</v>
      </c>
      <c r="AI73">
        <v>-1</v>
      </c>
      <c r="AJ73" t="s">
        <v>3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ROW(Source!A155)</f>
        <v>155</v>
      </c>
      <c r="B74">
        <v>129763247</v>
      </c>
      <c r="C74">
        <v>129763234</v>
      </c>
      <c r="D74">
        <v>37367082</v>
      </c>
      <c r="E74">
        <v>37345137</v>
      </c>
      <c r="F74">
        <v>1</v>
      </c>
      <c r="G74">
        <v>37345137</v>
      </c>
      <c r="H74">
        <v>3</v>
      </c>
      <c r="I74" t="s">
        <v>1136</v>
      </c>
      <c r="J74" t="s">
        <v>3</v>
      </c>
      <c r="K74" t="s">
        <v>1137</v>
      </c>
      <c r="L74">
        <v>1344</v>
      </c>
      <c r="N74">
        <v>1008</v>
      </c>
      <c r="O74" t="s">
        <v>1138</v>
      </c>
      <c r="P74" t="s">
        <v>1138</v>
      </c>
      <c r="Q74">
        <v>1</v>
      </c>
      <c r="X74">
        <v>39.479999999999997</v>
      </c>
      <c r="Y74">
        <v>1</v>
      </c>
      <c r="Z74">
        <v>0</v>
      </c>
      <c r="AA74">
        <v>0</v>
      </c>
      <c r="AB74">
        <v>0</v>
      </c>
      <c r="AC74">
        <v>0</v>
      </c>
      <c r="AD74">
        <v>1</v>
      </c>
      <c r="AE74">
        <v>0</v>
      </c>
      <c r="AF74" t="s">
        <v>142</v>
      </c>
      <c r="AG74">
        <v>23.687999999999999</v>
      </c>
      <c r="AH74">
        <v>2</v>
      </c>
      <c r="AI74">
        <v>129763240</v>
      </c>
      <c r="AJ74">
        <v>72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ROW(Source!A156)</f>
        <v>156</v>
      </c>
      <c r="B75">
        <v>129763250</v>
      </c>
      <c r="C75">
        <v>129763248</v>
      </c>
      <c r="D75">
        <v>37345142</v>
      </c>
      <c r="E75">
        <v>37345137</v>
      </c>
      <c r="F75">
        <v>1</v>
      </c>
      <c r="G75">
        <v>37345137</v>
      </c>
      <c r="H75">
        <v>1</v>
      </c>
      <c r="I75" t="s">
        <v>1096</v>
      </c>
      <c r="J75" t="s">
        <v>3</v>
      </c>
      <c r="K75" t="s">
        <v>1097</v>
      </c>
      <c r="L75">
        <v>1191</v>
      </c>
      <c r="N75">
        <v>1013</v>
      </c>
      <c r="O75" t="s">
        <v>1098</v>
      </c>
      <c r="P75" t="s">
        <v>1098</v>
      </c>
      <c r="Q75">
        <v>1</v>
      </c>
      <c r="X75">
        <v>91.15</v>
      </c>
      <c r="Y75">
        <v>0</v>
      </c>
      <c r="Z75">
        <v>0</v>
      </c>
      <c r="AA75">
        <v>0</v>
      </c>
      <c r="AB75">
        <v>0</v>
      </c>
      <c r="AC75">
        <v>0</v>
      </c>
      <c r="AD75">
        <v>1</v>
      </c>
      <c r="AE75">
        <v>1</v>
      </c>
      <c r="AF75" t="s">
        <v>3</v>
      </c>
      <c r="AG75">
        <v>91.15</v>
      </c>
      <c r="AH75">
        <v>2</v>
      </c>
      <c r="AI75">
        <v>129763249</v>
      </c>
      <c r="AJ75">
        <v>73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ROW(Source!A157)</f>
        <v>157</v>
      </c>
      <c r="B76">
        <v>129763250</v>
      </c>
      <c r="C76">
        <v>129763248</v>
      </c>
      <c r="D76">
        <v>37345142</v>
      </c>
      <c r="E76">
        <v>37345137</v>
      </c>
      <c r="F76">
        <v>1</v>
      </c>
      <c r="G76">
        <v>37345137</v>
      </c>
      <c r="H76">
        <v>1</v>
      </c>
      <c r="I76" t="s">
        <v>1096</v>
      </c>
      <c r="J76" t="s">
        <v>3</v>
      </c>
      <c r="K76" t="s">
        <v>1097</v>
      </c>
      <c r="L76">
        <v>1191</v>
      </c>
      <c r="N76">
        <v>1013</v>
      </c>
      <c r="O76" t="s">
        <v>1098</v>
      </c>
      <c r="P76" t="s">
        <v>1098</v>
      </c>
      <c r="Q76">
        <v>1</v>
      </c>
      <c r="X76">
        <v>91.15</v>
      </c>
      <c r="Y76">
        <v>0</v>
      </c>
      <c r="Z76">
        <v>0</v>
      </c>
      <c r="AA76">
        <v>0</v>
      </c>
      <c r="AB76">
        <v>0</v>
      </c>
      <c r="AC76">
        <v>0</v>
      </c>
      <c r="AD76">
        <v>1</v>
      </c>
      <c r="AE76">
        <v>1</v>
      </c>
      <c r="AF76" t="s">
        <v>3</v>
      </c>
      <c r="AG76">
        <v>91.15</v>
      </c>
      <c r="AH76">
        <v>2</v>
      </c>
      <c r="AI76">
        <v>129763249</v>
      </c>
      <c r="AJ76">
        <v>74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ROW(Source!A158)</f>
        <v>158</v>
      </c>
      <c r="B77">
        <v>129763253</v>
      </c>
      <c r="C77">
        <v>129763251</v>
      </c>
      <c r="D77">
        <v>37345142</v>
      </c>
      <c r="E77">
        <v>37345137</v>
      </c>
      <c r="F77">
        <v>1</v>
      </c>
      <c r="G77">
        <v>37345137</v>
      </c>
      <c r="H77">
        <v>1</v>
      </c>
      <c r="I77" t="s">
        <v>1096</v>
      </c>
      <c r="J77" t="s">
        <v>3</v>
      </c>
      <c r="K77" t="s">
        <v>1097</v>
      </c>
      <c r="L77">
        <v>1191</v>
      </c>
      <c r="N77">
        <v>1013</v>
      </c>
      <c r="O77" t="s">
        <v>1098</v>
      </c>
      <c r="P77" t="s">
        <v>1098</v>
      </c>
      <c r="Q77">
        <v>1</v>
      </c>
      <c r="X77">
        <v>151.54</v>
      </c>
      <c r="Y77">
        <v>0</v>
      </c>
      <c r="Z77">
        <v>0</v>
      </c>
      <c r="AA77">
        <v>0</v>
      </c>
      <c r="AB77">
        <v>0</v>
      </c>
      <c r="AC77">
        <v>0</v>
      </c>
      <c r="AD77">
        <v>1</v>
      </c>
      <c r="AE77">
        <v>1</v>
      </c>
      <c r="AF77" t="s">
        <v>3</v>
      </c>
      <c r="AG77">
        <v>151.54</v>
      </c>
      <c r="AH77">
        <v>2</v>
      </c>
      <c r="AI77">
        <v>129763252</v>
      </c>
      <c r="AJ77">
        <v>75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ROW(Source!A159)</f>
        <v>159</v>
      </c>
      <c r="B78">
        <v>129763253</v>
      </c>
      <c r="C78">
        <v>129763251</v>
      </c>
      <c r="D78">
        <v>37345142</v>
      </c>
      <c r="E78">
        <v>37345137</v>
      </c>
      <c r="F78">
        <v>1</v>
      </c>
      <c r="G78">
        <v>37345137</v>
      </c>
      <c r="H78">
        <v>1</v>
      </c>
      <c r="I78" t="s">
        <v>1096</v>
      </c>
      <c r="J78" t="s">
        <v>3</v>
      </c>
      <c r="K78" t="s">
        <v>1097</v>
      </c>
      <c r="L78">
        <v>1191</v>
      </c>
      <c r="N78">
        <v>1013</v>
      </c>
      <c r="O78" t="s">
        <v>1098</v>
      </c>
      <c r="P78" t="s">
        <v>1098</v>
      </c>
      <c r="Q78">
        <v>1</v>
      </c>
      <c r="X78">
        <v>151.54</v>
      </c>
      <c r="Y78">
        <v>0</v>
      </c>
      <c r="Z78">
        <v>0</v>
      </c>
      <c r="AA78">
        <v>0</v>
      </c>
      <c r="AB78">
        <v>0</v>
      </c>
      <c r="AC78">
        <v>0</v>
      </c>
      <c r="AD78">
        <v>1</v>
      </c>
      <c r="AE78">
        <v>1</v>
      </c>
      <c r="AF78" t="s">
        <v>3</v>
      </c>
      <c r="AG78">
        <v>151.54</v>
      </c>
      <c r="AH78">
        <v>2</v>
      </c>
      <c r="AI78">
        <v>129763252</v>
      </c>
      <c r="AJ78">
        <v>76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ROW(Source!A160)</f>
        <v>160</v>
      </c>
      <c r="B79">
        <v>129763257</v>
      </c>
      <c r="C79">
        <v>129763254</v>
      </c>
      <c r="D79">
        <v>37345142</v>
      </c>
      <c r="E79">
        <v>37345137</v>
      </c>
      <c r="F79">
        <v>1</v>
      </c>
      <c r="G79">
        <v>37345137</v>
      </c>
      <c r="H79">
        <v>1</v>
      </c>
      <c r="I79" t="s">
        <v>1096</v>
      </c>
      <c r="J79" t="s">
        <v>3</v>
      </c>
      <c r="K79" t="s">
        <v>1097</v>
      </c>
      <c r="L79">
        <v>1191</v>
      </c>
      <c r="N79">
        <v>1013</v>
      </c>
      <c r="O79" t="s">
        <v>1098</v>
      </c>
      <c r="P79" t="s">
        <v>1098</v>
      </c>
      <c r="Q79">
        <v>1</v>
      </c>
      <c r="X79">
        <v>15.88</v>
      </c>
      <c r="Y79">
        <v>0</v>
      </c>
      <c r="Z79">
        <v>0</v>
      </c>
      <c r="AA79">
        <v>0</v>
      </c>
      <c r="AB79">
        <v>0</v>
      </c>
      <c r="AC79">
        <v>0</v>
      </c>
      <c r="AD79">
        <v>1</v>
      </c>
      <c r="AE79">
        <v>1</v>
      </c>
      <c r="AF79" t="s">
        <v>3</v>
      </c>
      <c r="AG79">
        <v>15.88</v>
      </c>
      <c r="AH79">
        <v>2</v>
      </c>
      <c r="AI79">
        <v>129763255</v>
      </c>
      <c r="AJ79">
        <v>77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ROW(Source!A160)</f>
        <v>160</v>
      </c>
      <c r="B80">
        <v>129763258</v>
      </c>
      <c r="C80">
        <v>129763254</v>
      </c>
      <c r="D80">
        <v>37367068</v>
      </c>
      <c r="E80">
        <v>37345137</v>
      </c>
      <c r="F80">
        <v>1</v>
      </c>
      <c r="G80">
        <v>37345137</v>
      </c>
      <c r="H80">
        <v>3</v>
      </c>
      <c r="I80" t="s">
        <v>162</v>
      </c>
      <c r="J80" t="s">
        <v>3</v>
      </c>
      <c r="K80" t="s">
        <v>163</v>
      </c>
      <c r="L80">
        <v>1348</v>
      </c>
      <c r="N80">
        <v>1009</v>
      </c>
      <c r="O80" t="s">
        <v>114</v>
      </c>
      <c r="P80" t="s">
        <v>114</v>
      </c>
      <c r="Q80">
        <v>1000</v>
      </c>
      <c r="X80">
        <v>2</v>
      </c>
      <c r="Y80">
        <v>0</v>
      </c>
      <c r="Z80">
        <v>0</v>
      </c>
      <c r="AA80">
        <v>0</v>
      </c>
      <c r="AB80">
        <v>0</v>
      </c>
      <c r="AC80">
        <v>0</v>
      </c>
      <c r="AD80">
        <v>1</v>
      </c>
      <c r="AE80">
        <v>0</v>
      </c>
      <c r="AF80" t="s">
        <v>3</v>
      </c>
      <c r="AG80">
        <v>2</v>
      </c>
      <c r="AH80">
        <v>2</v>
      </c>
      <c r="AI80">
        <v>129763256</v>
      </c>
      <c r="AJ80">
        <v>78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ROW(Source!A161)</f>
        <v>161</v>
      </c>
      <c r="B81">
        <v>129763257</v>
      </c>
      <c r="C81">
        <v>129763254</v>
      </c>
      <c r="D81">
        <v>37345142</v>
      </c>
      <c r="E81">
        <v>37345137</v>
      </c>
      <c r="F81">
        <v>1</v>
      </c>
      <c r="G81">
        <v>37345137</v>
      </c>
      <c r="H81">
        <v>1</v>
      </c>
      <c r="I81" t="s">
        <v>1096</v>
      </c>
      <c r="J81" t="s">
        <v>3</v>
      </c>
      <c r="K81" t="s">
        <v>1097</v>
      </c>
      <c r="L81">
        <v>1191</v>
      </c>
      <c r="N81">
        <v>1013</v>
      </c>
      <c r="O81" t="s">
        <v>1098</v>
      </c>
      <c r="P81" t="s">
        <v>1098</v>
      </c>
      <c r="Q81">
        <v>1</v>
      </c>
      <c r="X81">
        <v>15.88</v>
      </c>
      <c r="Y81">
        <v>0</v>
      </c>
      <c r="Z81">
        <v>0</v>
      </c>
      <c r="AA81">
        <v>0</v>
      </c>
      <c r="AB81">
        <v>0</v>
      </c>
      <c r="AC81">
        <v>0</v>
      </c>
      <c r="AD81">
        <v>1</v>
      </c>
      <c r="AE81">
        <v>1</v>
      </c>
      <c r="AF81" t="s">
        <v>3</v>
      </c>
      <c r="AG81">
        <v>15.88</v>
      </c>
      <c r="AH81">
        <v>2</v>
      </c>
      <c r="AI81">
        <v>129763255</v>
      </c>
      <c r="AJ81">
        <v>79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ROW(Source!A161)</f>
        <v>161</v>
      </c>
      <c r="B82">
        <v>129763258</v>
      </c>
      <c r="C82">
        <v>129763254</v>
      </c>
      <c r="D82">
        <v>37367068</v>
      </c>
      <c r="E82">
        <v>37345137</v>
      </c>
      <c r="F82">
        <v>1</v>
      </c>
      <c r="G82">
        <v>37345137</v>
      </c>
      <c r="H82">
        <v>3</v>
      </c>
      <c r="I82" t="s">
        <v>162</v>
      </c>
      <c r="J82" t="s">
        <v>3</v>
      </c>
      <c r="K82" t="s">
        <v>163</v>
      </c>
      <c r="L82">
        <v>1348</v>
      </c>
      <c r="N82">
        <v>1009</v>
      </c>
      <c r="O82" t="s">
        <v>114</v>
      </c>
      <c r="P82" t="s">
        <v>114</v>
      </c>
      <c r="Q82">
        <v>1000</v>
      </c>
      <c r="X82">
        <v>2</v>
      </c>
      <c r="Y82">
        <v>0</v>
      </c>
      <c r="Z82">
        <v>0</v>
      </c>
      <c r="AA82">
        <v>0</v>
      </c>
      <c r="AB82">
        <v>0</v>
      </c>
      <c r="AC82">
        <v>0</v>
      </c>
      <c r="AD82">
        <v>1</v>
      </c>
      <c r="AE82">
        <v>0</v>
      </c>
      <c r="AF82" t="s">
        <v>3</v>
      </c>
      <c r="AG82">
        <v>2</v>
      </c>
      <c r="AH82">
        <v>2</v>
      </c>
      <c r="AI82">
        <v>129763256</v>
      </c>
      <c r="AJ82">
        <v>80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ROW(Source!A164)</f>
        <v>164</v>
      </c>
      <c r="B83">
        <v>129763264</v>
      </c>
      <c r="C83">
        <v>129763260</v>
      </c>
      <c r="D83">
        <v>37345142</v>
      </c>
      <c r="E83">
        <v>37345137</v>
      </c>
      <c r="F83">
        <v>1</v>
      </c>
      <c r="G83">
        <v>37345137</v>
      </c>
      <c r="H83">
        <v>1</v>
      </c>
      <c r="I83" t="s">
        <v>1096</v>
      </c>
      <c r="J83" t="s">
        <v>3</v>
      </c>
      <c r="K83" t="s">
        <v>1097</v>
      </c>
      <c r="L83">
        <v>1191</v>
      </c>
      <c r="N83">
        <v>1013</v>
      </c>
      <c r="O83" t="s">
        <v>1098</v>
      </c>
      <c r="P83" t="s">
        <v>1098</v>
      </c>
      <c r="Q83">
        <v>1</v>
      </c>
      <c r="X83">
        <v>13.32</v>
      </c>
      <c r="Y83">
        <v>0</v>
      </c>
      <c r="Z83">
        <v>0</v>
      </c>
      <c r="AA83">
        <v>0</v>
      </c>
      <c r="AB83">
        <v>0</v>
      </c>
      <c r="AC83">
        <v>0</v>
      </c>
      <c r="AD83">
        <v>1</v>
      </c>
      <c r="AE83">
        <v>1</v>
      </c>
      <c r="AF83" t="s">
        <v>3</v>
      </c>
      <c r="AG83">
        <v>13.32</v>
      </c>
      <c r="AH83">
        <v>2</v>
      </c>
      <c r="AI83">
        <v>129763261</v>
      </c>
      <c r="AJ83">
        <v>81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ROW(Source!A164)</f>
        <v>164</v>
      </c>
      <c r="B84">
        <v>129763265</v>
      </c>
      <c r="C84">
        <v>129763260</v>
      </c>
      <c r="D84">
        <v>37345890</v>
      </c>
      <c r="E84">
        <v>37345137</v>
      </c>
      <c r="F84">
        <v>1</v>
      </c>
      <c r="G84">
        <v>37345137</v>
      </c>
      <c r="H84">
        <v>2</v>
      </c>
      <c r="I84" t="s">
        <v>1145</v>
      </c>
      <c r="J84" t="s">
        <v>3</v>
      </c>
      <c r="K84" t="s">
        <v>1146</v>
      </c>
      <c r="L84">
        <v>1344</v>
      </c>
      <c r="N84">
        <v>1008</v>
      </c>
      <c r="O84" t="s">
        <v>1138</v>
      </c>
      <c r="P84" t="s">
        <v>1138</v>
      </c>
      <c r="Q84">
        <v>1</v>
      </c>
      <c r="X84">
        <v>323.45</v>
      </c>
      <c r="Y84">
        <v>0</v>
      </c>
      <c r="Z84">
        <v>1</v>
      </c>
      <c r="AA84">
        <v>0</v>
      </c>
      <c r="AB84">
        <v>0</v>
      </c>
      <c r="AC84">
        <v>0</v>
      </c>
      <c r="AD84">
        <v>1</v>
      </c>
      <c r="AE84">
        <v>0</v>
      </c>
      <c r="AF84" t="s">
        <v>3</v>
      </c>
      <c r="AG84">
        <v>323.45</v>
      </c>
      <c r="AH84">
        <v>2</v>
      </c>
      <c r="AI84">
        <v>129763262</v>
      </c>
      <c r="AJ84">
        <v>82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ROW(Source!A164)</f>
        <v>164</v>
      </c>
      <c r="B85">
        <v>129763266</v>
      </c>
      <c r="C85">
        <v>129763260</v>
      </c>
      <c r="D85">
        <v>37367068</v>
      </c>
      <c r="E85">
        <v>37345137</v>
      </c>
      <c r="F85">
        <v>1</v>
      </c>
      <c r="G85">
        <v>37345137</v>
      </c>
      <c r="H85">
        <v>3</v>
      </c>
      <c r="I85" t="s">
        <v>162</v>
      </c>
      <c r="J85" t="s">
        <v>3</v>
      </c>
      <c r="K85" t="s">
        <v>163</v>
      </c>
      <c r="L85">
        <v>1348</v>
      </c>
      <c r="N85">
        <v>1009</v>
      </c>
      <c r="O85" t="s">
        <v>114</v>
      </c>
      <c r="P85" t="s">
        <v>114</v>
      </c>
      <c r="Q85">
        <v>1000</v>
      </c>
      <c r="X85">
        <v>2.5</v>
      </c>
      <c r="Y85">
        <v>0</v>
      </c>
      <c r="Z85">
        <v>0</v>
      </c>
      <c r="AA85">
        <v>0</v>
      </c>
      <c r="AB85">
        <v>0</v>
      </c>
      <c r="AC85">
        <v>0</v>
      </c>
      <c r="AD85">
        <v>1</v>
      </c>
      <c r="AE85">
        <v>0</v>
      </c>
      <c r="AF85" t="s">
        <v>3</v>
      </c>
      <c r="AG85">
        <v>2.5</v>
      </c>
      <c r="AH85">
        <v>2</v>
      </c>
      <c r="AI85">
        <v>129763263</v>
      </c>
      <c r="AJ85">
        <v>83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ROW(Source!A165)</f>
        <v>165</v>
      </c>
      <c r="B86">
        <v>129763264</v>
      </c>
      <c r="C86">
        <v>129763260</v>
      </c>
      <c r="D86">
        <v>37345142</v>
      </c>
      <c r="E86">
        <v>37345137</v>
      </c>
      <c r="F86">
        <v>1</v>
      </c>
      <c r="G86">
        <v>37345137</v>
      </c>
      <c r="H86">
        <v>1</v>
      </c>
      <c r="I86" t="s">
        <v>1096</v>
      </c>
      <c r="J86" t="s">
        <v>3</v>
      </c>
      <c r="K86" t="s">
        <v>1097</v>
      </c>
      <c r="L86">
        <v>1191</v>
      </c>
      <c r="N86">
        <v>1013</v>
      </c>
      <c r="O86" t="s">
        <v>1098</v>
      </c>
      <c r="P86" t="s">
        <v>1098</v>
      </c>
      <c r="Q86">
        <v>1</v>
      </c>
      <c r="X86">
        <v>13.32</v>
      </c>
      <c r="Y86">
        <v>0</v>
      </c>
      <c r="Z86">
        <v>0</v>
      </c>
      <c r="AA86">
        <v>0</v>
      </c>
      <c r="AB86">
        <v>0</v>
      </c>
      <c r="AC86">
        <v>0</v>
      </c>
      <c r="AD86">
        <v>1</v>
      </c>
      <c r="AE86">
        <v>1</v>
      </c>
      <c r="AF86" t="s">
        <v>3</v>
      </c>
      <c r="AG86">
        <v>13.32</v>
      </c>
      <c r="AH86">
        <v>2</v>
      </c>
      <c r="AI86">
        <v>129763261</v>
      </c>
      <c r="AJ86">
        <v>84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ROW(Source!A165)</f>
        <v>165</v>
      </c>
      <c r="B87">
        <v>129763265</v>
      </c>
      <c r="C87">
        <v>129763260</v>
      </c>
      <c r="D87">
        <v>37345890</v>
      </c>
      <c r="E87">
        <v>37345137</v>
      </c>
      <c r="F87">
        <v>1</v>
      </c>
      <c r="G87">
        <v>37345137</v>
      </c>
      <c r="H87">
        <v>2</v>
      </c>
      <c r="I87" t="s">
        <v>1145</v>
      </c>
      <c r="J87" t="s">
        <v>3</v>
      </c>
      <c r="K87" t="s">
        <v>1146</v>
      </c>
      <c r="L87">
        <v>1344</v>
      </c>
      <c r="N87">
        <v>1008</v>
      </c>
      <c r="O87" t="s">
        <v>1138</v>
      </c>
      <c r="P87" t="s">
        <v>1138</v>
      </c>
      <c r="Q87">
        <v>1</v>
      </c>
      <c r="X87">
        <v>323.45</v>
      </c>
      <c r="Y87">
        <v>0</v>
      </c>
      <c r="Z87">
        <v>1</v>
      </c>
      <c r="AA87">
        <v>0</v>
      </c>
      <c r="AB87">
        <v>0</v>
      </c>
      <c r="AC87">
        <v>0</v>
      </c>
      <c r="AD87">
        <v>1</v>
      </c>
      <c r="AE87">
        <v>0</v>
      </c>
      <c r="AF87" t="s">
        <v>3</v>
      </c>
      <c r="AG87">
        <v>323.45</v>
      </c>
      <c r="AH87">
        <v>2</v>
      </c>
      <c r="AI87">
        <v>129763262</v>
      </c>
      <c r="AJ87">
        <v>85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ROW(Source!A165)</f>
        <v>165</v>
      </c>
      <c r="B88">
        <v>129763266</v>
      </c>
      <c r="C88">
        <v>129763260</v>
      </c>
      <c r="D88">
        <v>37367068</v>
      </c>
      <c r="E88">
        <v>37345137</v>
      </c>
      <c r="F88">
        <v>1</v>
      </c>
      <c r="G88">
        <v>37345137</v>
      </c>
      <c r="H88">
        <v>3</v>
      </c>
      <c r="I88" t="s">
        <v>162</v>
      </c>
      <c r="J88" t="s">
        <v>3</v>
      </c>
      <c r="K88" t="s">
        <v>163</v>
      </c>
      <c r="L88">
        <v>1348</v>
      </c>
      <c r="N88">
        <v>1009</v>
      </c>
      <c r="O88" t="s">
        <v>114</v>
      </c>
      <c r="P88" t="s">
        <v>114</v>
      </c>
      <c r="Q88">
        <v>1000</v>
      </c>
      <c r="X88">
        <v>2.5</v>
      </c>
      <c r="Y88">
        <v>0</v>
      </c>
      <c r="Z88">
        <v>0</v>
      </c>
      <c r="AA88">
        <v>0</v>
      </c>
      <c r="AB88">
        <v>0</v>
      </c>
      <c r="AC88">
        <v>0</v>
      </c>
      <c r="AD88">
        <v>1</v>
      </c>
      <c r="AE88">
        <v>0</v>
      </c>
      <c r="AF88" t="s">
        <v>3</v>
      </c>
      <c r="AG88">
        <v>2.5</v>
      </c>
      <c r="AH88">
        <v>2</v>
      </c>
      <c r="AI88">
        <v>129763263</v>
      </c>
      <c r="AJ88">
        <v>86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ROW(Source!A168)</f>
        <v>168</v>
      </c>
      <c r="B89">
        <v>129763272</v>
      </c>
      <c r="C89">
        <v>129763268</v>
      </c>
      <c r="D89">
        <v>37345142</v>
      </c>
      <c r="E89">
        <v>37345137</v>
      </c>
      <c r="F89">
        <v>1</v>
      </c>
      <c r="G89">
        <v>37345137</v>
      </c>
      <c r="H89">
        <v>1</v>
      </c>
      <c r="I89" t="s">
        <v>1096</v>
      </c>
      <c r="J89" t="s">
        <v>3</v>
      </c>
      <c r="K89" t="s">
        <v>1097</v>
      </c>
      <c r="L89">
        <v>1191</v>
      </c>
      <c r="N89">
        <v>1013</v>
      </c>
      <c r="O89" t="s">
        <v>1098</v>
      </c>
      <c r="P89" t="s">
        <v>1098</v>
      </c>
      <c r="Q89">
        <v>1</v>
      </c>
      <c r="X89">
        <v>47.3</v>
      </c>
      <c r="Y89">
        <v>0</v>
      </c>
      <c r="Z89">
        <v>0</v>
      </c>
      <c r="AA89">
        <v>0</v>
      </c>
      <c r="AB89">
        <v>0</v>
      </c>
      <c r="AC89">
        <v>0</v>
      </c>
      <c r="AD89">
        <v>1</v>
      </c>
      <c r="AE89">
        <v>1</v>
      </c>
      <c r="AF89" t="s">
        <v>3</v>
      </c>
      <c r="AG89">
        <v>47.3</v>
      </c>
      <c r="AH89">
        <v>2</v>
      </c>
      <c r="AI89">
        <v>129763269</v>
      </c>
      <c r="AJ89">
        <v>87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ROW(Source!A168)</f>
        <v>168</v>
      </c>
      <c r="B90">
        <v>129763273</v>
      </c>
      <c r="C90">
        <v>129763268</v>
      </c>
      <c r="D90">
        <v>37345890</v>
      </c>
      <c r="E90">
        <v>37345137</v>
      </c>
      <c r="F90">
        <v>1</v>
      </c>
      <c r="G90">
        <v>37345137</v>
      </c>
      <c r="H90">
        <v>2</v>
      </c>
      <c r="I90" t="s">
        <v>1145</v>
      </c>
      <c r="J90" t="s">
        <v>3</v>
      </c>
      <c r="K90" t="s">
        <v>1146</v>
      </c>
      <c r="L90">
        <v>1344</v>
      </c>
      <c r="N90">
        <v>1008</v>
      </c>
      <c r="O90" t="s">
        <v>1138</v>
      </c>
      <c r="P90" t="s">
        <v>1138</v>
      </c>
      <c r="Q90">
        <v>1</v>
      </c>
      <c r="X90">
        <v>203.98</v>
      </c>
      <c r="Y90">
        <v>0</v>
      </c>
      <c r="Z90">
        <v>1</v>
      </c>
      <c r="AA90">
        <v>0</v>
      </c>
      <c r="AB90">
        <v>0</v>
      </c>
      <c r="AC90">
        <v>0</v>
      </c>
      <c r="AD90">
        <v>1</v>
      </c>
      <c r="AE90">
        <v>0</v>
      </c>
      <c r="AF90" t="s">
        <v>3</v>
      </c>
      <c r="AG90">
        <v>203.98</v>
      </c>
      <c r="AH90">
        <v>2</v>
      </c>
      <c r="AI90">
        <v>129763270</v>
      </c>
      <c r="AJ90">
        <v>88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ROW(Source!A168)</f>
        <v>168</v>
      </c>
      <c r="B91">
        <v>129763274</v>
      </c>
      <c r="C91">
        <v>129763268</v>
      </c>
      <c r="D91">
        <v>37367068</v>
      </c>
      <c r="E91">
        <v>37345137</v>
      </c>
      <c r="F91">
        <v>1</v>
      </c>
      <c r="G91">
        <v>37345137</v>
      </c>
      <c r="H91">
        <v>3</v>
      </c>
      <c r="I91" t="s">
        <v>162</v>
      </c>
      <c r="J91" t="s">
        <v>3</v>
      </c>
      <c r="K91" t="s">
        <v>163</v>
      </c>
      <c r="L91">
        <v>1348</v>
      </c>
      <c r="N91">
        <v>1009</v>
      </c>
      <c r="O91" t="s">
        <v>114</v>
      </c>
      <c r="P91" t="s">
        <v>114</v>
      </c>
      <c r="Q91">
        <v>1000</v>
      </c>
      <c r="X91">
        <v>2.5</v>
      </c>
      <c r="Y91">
        <v>0</v>
      </c>
      <c r="Z91">
        <v>0</v>
      </c>
      <c r="AA91">
        <v>0</v>
      </c>
      <c r="AB91">
        <v>0</v>
      </c>
      <c r="AC91">
        <v>0</v>
      </c>
      <c r="AD91">
        <v>1</v>
      </c>
      <c r="AE91">
        <v>0</v>
      </c>
      <c r="AF91" t="s">
        <v>3</v>
      </c>
      <c r="AG91">
        <v>2.5</v>
      </c>
      <c r="AH91">
        <v>2</v>
      </c>
      <c r="AI91">
        <v>129763271</v>
      </c>
      <c r="AJ91">
        <v>89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ROW(Source!A169)</f>
        <v>169</v>
      </c>
      <c r="B92">
        <v>129763272</v>
      </c>
      <c r="C92">
        <v>129763268</v>
      </c>
      <c r="D92">
        <v>37345142</v>
      </c>
      <c r="E92">
        <v>37345137</v>
      </c>
      <c r="F92">
        <v>1</v>
      </c>
      <c r="G92">
        <v>37345137</v>
      </c>
      <c r="H92">
        <v>1</v>
      </c>
      <c r="I92" t="s">
        <v>1096</v>
      </c>
      <c r="J92" t="s">
        <v>3</v>
      </c>
      <c r="K92" t="s">
        <v>1097</v>
      </c>
      <c r="L92">
        <v>1191</v>
      </c>
      <c r="N92">
        <v>1013</v>
      </c>
      <c r="O92" t="s">
        <v>1098</v>
      </c>
      <c r="P92" t="s">
        <v>1098</v>
      </c>
      <c r="Q92">
        <v>1</v>
      </c>
      <c r="X92">
        <v>47.3</v>
      </c>
      <c r="Y92">
        <v>0</v>
      </c>
      <c r="Z92">
        <v>0</v>
      </c>
      <c r="AA92">
        <v>0</v>
      </c>
      <c r="AB92">
        <v>0</v>
      </c>
      <c r="AC92">
        <v>0</v>
      </c>
      <c r="AD92">
        <v>1</v>
      </c>
      <c r="AE92">
        <v>1</v>
      </c>
      <c r="AF92" t="s">
        <v>3</v>
      </c>
      <c r="AG92">
        <v>47.3</v>
      </c>
      <c r="AH92">
        <v>2</v>
      </c>
      <c r="AI92">
        <v>129763269</v>
      </c>
      <c r="AJ92">
        <v>90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ROW(Source!A169)</f>
        <v>169</v>
      </c>
      <c r="B93">
        <v>129763273</v>
      </c>
      <c r="C93">
        <v>129763268</v>
      </c>
      <c r="D93">
        <v>37345890</v>
      </c>
      <c r="E93">
        <v>37345137</v>
      </c>
      <c r="F93">
        <v>1</v>
      </c>
      <c r="G93">
        <v>37345137</v>
      </c>
      <c r="H93">
        <v>2</v>
      </c>
      <c r="I93" t="s">
        <v>1145</v>
      </c>
      <c r="J93" t="s">
        <v>3</v>
      </c>
      <c r="K93" t="s">
        <v>1146</v>
      </c>
      <c r="L93">
        <v>1344</v>
      </c>
      <c r="N93">
        <v>1008</v>
      </c>
      <c r="O93" t="s">
        <v>1138</v>
      </c>
      <c r="P93" t="s">
        <v>1138</v>
      </c>
      <c r="Q93">
        <v>1</v>
      </c>
      <c r="X93">
        <v>203.98</v>
      </c>
      <c r="Y93">
        <v>0</v>
      </c>
      <c r="Z93">
        <v>1</v>
      </c>
      <c r="AA93">
        <v>0</v>
      </c>
      <c r="AB93">
        <v>0</v>
      </c>
      <c r="AC93">
        <v>0</v>
      </c>
      <c r="AD93">
        <v>1</v>
      </c>
      <c r="AE93">
        <v>0</v>
      </c>
      <c r="AF93" t="s">
        <v>3</v>
      </c>
      <c r="AG93">
        <v>203.98</v>
      </c>
      <c r="AH93">
        <v>2</v>
      </c>
      <c r="AI93">
        <v>129763270</v>
      </c>
      <c r="AJ93">
        <v>91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ROW(Source!A169)</f>
        <v>169</v>
      </c>
      <c r="B94">
        <v>129763274</v>
      </c>
      <c r="C94">
        <v>129763268</v>
      </c>
      <c r="D94">
        <v>37367068</v>
      </c>
      <c r="E94">
        <v>37345137</v>
      </c>
      <c r="F94">
        <v>1</v>
      </c>
      <c r="G94">
        <v>37345137</v>
      </c>
      <c r="H94">
        <v>3</v>
      </c>
      <c r="I94" t="s">
        <v>162</v>
      </c>
      <c r="J94" t="s">
        <v>3</v>
      </c>
      <c r="K94" t="s">
        <v>163</v>
      </c>
      <c r="L94">
        <v>1348</v>
      </c>
      <c r="N94">
        <v>1009</v>
      </c>
      <c r="O94" t="s">
        <v>114</v>
      </c>
      <c r="P94" t="s">
        <v>114</v>
      </c>
      <c r="Q94">
        <v>1000</v>
      </c>
      <c r="X94">
        <v>2.5</v>
      </c>
      <c r="Y94">
        <v>0</v>
      </c>
      <c r="Z94">
        <v>0</v>
      </c>
      <c r="AA94">
        <v>0</v>
      </c>
      <c r="AB94">
        <v>0</v>
      </c>
      <c r="AC94">
        <v>0</v>
      </c>
      <c r="AD94">
        <v>1</v>
      </c>
      <c r="AE94">
        <v>0</v>
      </c>
      <c r="AF94" t="s">
        <v>3</v>
      </c>
      <c r="AG94">
        <v>2.5</v>
      </c>
      <c r="AH94">
        <v>2</v>
      </c>
      <c r="AI94">
        <v>129763271</v>
      </c>
      <c r="AJ94">
        <v>92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ROW(Source!A172)</f>
        <v>172</v>
      </c>
      <c r="B95">
        <v>129763281</v>
      </c>
      <c r="C95">
        <v>129763276</v>
      </c>
      <c r="D95">
        <v>37345142</v>
      </c>
      <c r="E95">
        <v>37345137</v>
      </c>
      <c r="F95">
        <v>1</v>
      </c>
      <c r="G95">
        <v>37345137</v>
      </c>
      <c r="H95">
        <v>1</v>
      </c>
      <c r="I95" t="s">
        <v>1096</v>
      </c>
      <c r="J95" t="s">
        <v>3</v>
      </c>
      <c r="K95" t="s">
        <v>1097</v>
      </c>
      <c r="L95">
        <v>1191</v>
      </c>
      <c r="N95">
        <v>1013</v>
      </c>
      <c r="O95" t="s">
        <v>1098</v>
      </c>
      <c r="P95" t="s">
        <v>1098</v>
      </c>
      <c r="Q95">
        <v>1</v>
      </c>
      <c r="X95">
        <v>116</v>
      </c>
      <c r="Y95">
        <v>0</v>
      </c>
      <c r="Z95">
        <v>0</v>
      </c>
      <c r="AA95">
        <v>0</v>
      </c>
      <c r="AB95">
        <v>0</v>
      </c>
      <c r="AC95">
        <v>0</v>
      </c>
      <c r="AD95">
        <v>1</v>
      </c>
      <c r="AE95">
        <v>1</v>
      </c>
      <c r="AF95" t="s">
        <v>142</v>
      </c>
      <c r="AG95">
        <v>69.599999999999994</v>
      </c>
      <c r="AH95">
        <v>2</v>
      </c>
      <c r="AI95">
        <v>129763277</v>
      </c>
      <c r="AJ95">
        <v>93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ROW(Source!A172)</f>
        <v>172</v>
      </c>
      <c r="B96">
        <v>129763282</v>
      </c>
      <c r="C96">
        <v>129763276</v>
      </c>
      <c r="D96">
        <v>37417800</v>
      </c>
      <c r="E96">
        <v>1</v>
      </c>
      <c r="F96">
        <v>1</v>
      </c>
      <c r="G96">
        <v>37345137</v>
      </c>
      <c r="H96">
        <v>2</v>
      </c>
      <c r="I96" t="s">
        <v>1150</v>
      </c>
      <c r="J96" t="s">
        <v>1151</v>
      </c>
      <c r="K96" t="s">
        <v>1152</v>
      </c>
      <c r="L96">
        <v>1367</v>
      </c>
      <c r="N96">
        <v>1011</v>
      </c>
      <c r="O96" t="s">
        <v>1102</v>
      </c>
      <c r="P96" t="s">
        <v>1102</v>
      </c>
      <c r="Q96">
        <v>1</v>
      </c>
      <c r="X96">
        <v>23.2</v>
      </c>
      <c r="Y96">
        <v>0</v>
      </c>
      <c r="Z96">
        <v>2.78</v>
      </c>
      <c r="AA96">
        <v>0.19</v>
      </c>
      <c r="AB96">
        <v>0</v>
      </c>
      <c r="AC96">
        <v>0</v>
      </c>
      <c r="AD96">
        <v>1</v>
      </c>
      <c r="AE96">
        <v>0</v>
      </c>
      <c r="AF96" t="s">
        <v>142</v>
      </c>
      <c r="AG96">
        <v>13.92</v>
      </c>
      <c r="AH96">
        <v>2</v>
      </c>
      <c r="AI96">
        <v>129763278</v>
      </c>
      <c r="AJ96">
        <v>94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ROW(Source!A172)</f>
        <v>172</v>
      </c>
      <c r="B97">
        <v>129763283</v>
      </c>
      <c r="C97">
        <v>129763276</v>
      </c>
      <c r="D97">
        <v>37394864</v>
      </c>
      <c r="E97">
        <v>1</v>
      </c>
      <c r="F97">
        <v>1</v>
      </c>
      <c r="G97">
        <v>37345137</v>
      </c>
      <c r="H97">
        <v>3</v>
      </c>
      <c r="I97" t="s">
        <v>1147</v>
      </c>
      <c r="J97" t="s">
        <v>1148</v>
      </c>
      <c r="K97" t="s">
        <v>1149</v>
      </c>
      <c r="L97">
        <v>1348</v>
      </c>
      <c r="N97">
        <v>1009</v>
      </c>
      <c r="O97" t="s">
        <v>114</v>
      </c>
      <c r="P97" t="s">
        <v>114</v>
      </c>
      <c r="Q97">
        <v>1000</v>
      </c>
      <c r="X97">
        <v>3.0000000000000001E-3</v>
      </c>
      <c r="Y97">
        <v>7191.81</v>
      </c>
      <c r="Z97">
        <v>0</v>
      </c>
      <c r="AA97">
        <v>0</v>
      </c>
      <c r="AB97">
        <v>0</v>
      </c>
      <c r="AC97">
        <v>0</v>
      </c>
      <c r="AD97">
        <v>1</v>
      </c>
      <c r="AE97">
        <v>0</v>
      </c>
      <c r="AF97" t="s">
        <v>142</v>
      </c>
      <c r="AG97">
        <v>1.8E-3</v>
      </c>
      <c r="AH97">
        <v>2</v>
      </c>
      <c r="AI97">
        <v>129763279</v>
      </c>
      <c r="AJ97">
        <v>95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ROW(Source!A172)</f>
        <v>172</v>
      </c>
      <c r="B98">
        <v>129763284</v>
      </c>
      <c r="C98">
        <v>129763276</v>
      </c>
      <c r="D98">
        <v>126078584</v>
      </c>
      <c r="E98">
        <v>37345137</v>
      </c>
      <c r="F98">
        <v>1</v>
      </c>
      <c r="G98">
        <v>37345137</v>
      </c>
      <c r="H98">
        <v>3</v>
      </c>
      <c r="I98" t="s">
        <v>1426</v>
      </c>
      <c r="J98" t="s">
        <v>3</v>
      </c>
      <c r="K98" t="s">
        <v>1427</v>
      </c>
      <c r="L98">
        <v>1348</v>
      </c>
      <c r="N98">
        <v>1009</v>
      </c>
      <c r="O98" t="s">
        <v>114</v>
      </c>
      <c r="P98" t="s">
        <v>114</v>
      </c>
      <c r="Q98">
        <v>1000</v>
      </c>
      <c r="X98">
        <v>6.0000000000000001E-3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 t="s">
        <v>142</v>
      </c>
      <c r="AG98">
        <v>3.5999999999999999E-3</v>
      </c>
      <c r="AH98">
        <v>3</v>
      </c>
      <c r="AI98">
        <v>-1</v>
      </c>
      <c r="AJ98" t="s">
        <v>3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ROW(Source!A172)</f>
        <v>172</v>
      </c>
      <c r="B99">
        <v>129763285</v>
      </c>
      <c r="C99">
        <v>129763276</v>
      </c>
      <c r="D99">
        <v>37358260</v>
      </c>
      <c r="E99">
        <v>37345137</v>
      </c>
      <c r="F99">
        <v>1</v>
      </c>
      <c r="G99">
        <v>37345137</v>
      </c>
      <c r="H99">
        <v>3</v>
      </c>
      <c r="I99" t="s">
        <v>1428</v>
      </c>
      <c r="J99" t="s">
        <v>3</v>
      </c>
      <c r="K99" t="s">
        <v>1429</v>
      </c>
      <c r="L99">
        <v>1348</v>
      </c>
      <c r="N99">
        <v>1009</v>
      </c>
      <c r="O99" t="s">
        <v>114</v>
      </c>
      <c r="P99" t="s">
        <v>114</v>
      </c>
      <c r="Q99">
        <v>1000</v>
      </c>
      <c r="X99">
        <v>1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 t="s">
        <v>142</v>
      </c>
      <c r="AG99">
        <v>0.6</v>
      </c>
      <c r="AH99">
        <v>3</v>
      </c>
      <c r="AI99">
        <v>-1</v>
      </c>
      <c r="AJ99" t="s">
        <v>3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ROW(Source!A172)</f>
        <v>172</v>
      </c>
      <c r="B100">
        <v>129763286</v>
      </c>
      <c r="C100">
        <v>129763276</v>
      </c>
      <c r="D100">
        <v>37367082</v>
      </c>
      <c r="E100">
        <v>37345137</v>
      </c>
      <c r="F100">
        <v>1</v>
      </c>
      <c r="G100">
        <v>37345137</v>
      </c>
      <c r="H100">
        <v>3</v>
      </c>
      <c r="I100" t="s">
        <v>1136</v>
      </c>
      <c r="J100" t="s">
        <v>3</v>
      </c>
      <c r="K100" t="s">
        <v>1137</v>
      </c>
      <c r="L100">
        <v>1344</v>
      </c>
      <c r="N100">
        <v>1008</v>
      </c>
      <c r="O100" t="s">
        <v>1138</v>
      </c>
      <c r="P100" t="s">
        <v>1138</v>
      </c>
      <c r="Q100">
        <v>1</v>
      </c>
      <c r="X100">
        <v>39.479999999999997</v>
      </c>
      <c r="Y100">
        <v>1</v>
      </c>
      <c r="Z100">
        <v>0</v>
      </c>
      <c r="AA100">
        <v>0</v>
      </c>
      <c r="AB100">
        <v>0</v>
      </c>
      <c r="AC100">
        <v>0</v>
      </c>
      <c r="AD100">
        <v>1</v>
      </c>
      <c r="AE100">
        <v>0</v>
      </c>
      <c r="AF100" t="s">
        <v>142</v>
      </c>
      <c r="AG100">
        <v>23.687999999999999</v>
      </c>
      <c r="AH100">
        <v>2</v>
      </c>
      <c r="AI100">
        <v>129763280</v>
      </c>
      <c r="AJ100">
        <v>96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ROW(Source!A173)</f>
        <v>173</v>
      </c>
      <c r="B101">
        <v>129763281</v>
      </c>
      <c r="C101">
        <v>129763276</v>
      </c>
      <c r="D101">
        <v>37345142</v>
      </c>
      <c r="E101">
        <v>37345137</v>
      </c>
      <c r="F101">
        <v>1</v>
      </c>
      <c r="G101">
        <v>37345137</v>
      </c>
      <c r="H101">
        <v>1</v>
      </c>
      <c r="I101" t="s">
        <v>1096</v>
      </c>
      <c r="J101" t="s">
        <v>3</v>
      </c>
      <c r="K101" t="s">
        <v>1097</v>
      </c>
      <c r="L101">
        <v>1191</v>
      </c>
      <c r="N101">
        <v>1013</v>
      </c>
      <c r="O101" t="s">
        <v>1098</v>
      </c>
      <c r="P101" t="s">
        <v>1098</v>
      </c>
      <c r="Q101">
        <v>1</v>
      </c>
      <c r="X101">
        <v>116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1</v>
      </c>
      <c r="AE101">
        <v>1</v>
      </c>
      <c r="AF101" t="s">
        <v>142</v>
      </c>
      <c r="AG101">
        <v>69.599999999999994</v>
      </c>
      <c r="AH101">
        <v>2</v>
      </c>
      <c r="AI101">
        <v>129763277</v>
      </c>
      <c r="AJ101">
        <v>97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ROW(Source!A173)</f>
        <v>173</v>
      </c>
      <c r="B102">
        <v>129763282</v>
      </c>
      <c r="C102">
        <v>129763276</v>
      </c>
      <c r="D102">
        <v>37417800</v>
      </c>
      <c r="E102">
        <v>1</v>
      </c>
      <c r="F102">
        <v>1</v>
      </c>
      <c r="G102">
        <v>37345137</v>
      </c>
      <c r="H102">
        <v>2</v>
      </c>
      <c r="I102" t="s">
        <v>1150</v>
      </c>
      <c r="J102" t="s">
        <v>1151</v>
      </c>
      <c r="K102" t="s">
        <v>1152</v>
      </c>
      <c r="L102">
        <v>1367</v>
      </c>
      <c r="N102">
        <v>1011</v>
      </c>
      <c r="O102" t="s">
        <v>1102</v>
      </c>
      <c r="P102" t="s">
        <v>1102</v>
      </c>
      <c r="Q102">
        <v>1</v>
      </c>
      <c r="X102">
        <v>23.2</v>
      </c>
      <c r="Y102">
        <v>0</v>
      </c>
      <c r="Z102">
        <v>2.78</v>
      </c>
      <c r="AA102">
        <v>0.19</v>
      </c>
      <c r="AB102">
        <v>0</v>
      </c>
      <c r="AC102">
        <v>0</v>
      </c>
      <c r="AD102">
        <v>1</v>
      </c>
      <c r="AE102">
        <v>0</v>
      </c>
      <c r="AF102" t="s">
        <v>142</v>
      </c>
      <c r="AG102">
        <v>13.92</v>
      </c>
      <c r="AH102">
        <v>2</v>
      </c>
      <c r="AI102">
        <v>129763278</v>
      </c>
      <c r="AJ102">
        <v>98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ROW(Source!A173)</f>
        <v>173</v>
      </c>
      <c r="B103">
        <v>129763283</v>
      </c>
      <c r="C103">
        <v>129763276</v>
      </c>
      <c r="D103">
        <v>37394864</v>
      </c>
      <c r="E103">
        <v>1</v>
      </c>
      <c r="F103">
        <v>1</v>
      </c>
      <c r="G103">
        <v>37345137</v>
      </c>
      <c r="H103">
        <v>3</v>
      </c>
      <c r="I103" t="s">
        <v>1147</v>
      </c>
      <c r="J103" t="s">
        <v>1148</v>
      </c>
      <c r="K103" t="s">
        <v>1149</v>
      </c>
      <c r="L103">
        <v>1348</v>
      </c>
      <c r="N103">
        <v>1009</v>
      </c>
      <c r="O103" t="s">
        <v>114</v>
      </c>
      <c r="P103" t="s">
        <v>114</v>
      </c>
      <c r="Q103">
        <v>1000</v>
      </c>
      <c r="X103">
        <v>3.0000000000000001E-3</v>
      </c>
      <c r="Y103">
        <v>7191.81</v>
      </c>
      <c r="Z103">
        <v>0</v>
      </c>
      <c r="AA103">
        <v>0</v>
      </c>
      <c r="AB103">
        <v>0</v>
      </c>
      <c r="AC103">
        <v>0</v>
      </c>
      <c r="AD103">
        <v>1</v>
      </c>
      <c r="AE103">
        <v>0</v>
      </c>
      <c r="AF103" t="s">
        <v>142</v>
      </c>
      <c r="AG103">
        <v>1.8E-3</v>
      </c>
      <c r="AH103">
        <v>2</v>
      </c>
      <c r="AI103">
        <v>129763279</v>
      </c>
      <c r="AJ103">
        <v>99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ROW(Source!A173)</f>
        <v>173</v>
      </c>
      <c r="B104">
        <v>129763284</v>
      </c>
      <c r="C104">
        <v>129763276</v>
      </c>
      <c r="D104">
        <v>126078584</v>
      </c>
      <c r="E104">
        <v>37345137</v>
      </c>
      <c r="F104">
        <v>1</v>
      </c>
      <c r="G104">
        <v>37345137</v>
      </c>
      <c r="H104">
        <v>3</v>
      </c>
      <c r="I104" t="s">
        <v>1426</v>
      </c>
      <c r="J104" t="s">
        <v>3</v>
      </c>
      <c r="K104" t="s">
        <v>1427</v>
      </c>
      <c r="L104">
        <v>1348</v>
      </c>
      <c r="N104">
        <v>1009</v>
      </c>
      <c r="O104" t="s">
        <v>114</v>
      </c>
      <c r="P104" t="s">
        <v>114</v>
      </c>
      <c r="Q104">
        <v>1000</v>
      </c>
      <c r="X104">
        <v>6.0000000000000001E-3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 t="s">
        <v>142</v>
      </c>
      <c r="AG104">
        <v>3.5999999999999999E-3</v>
      </c>
      <c r="AH104">
        <v>3</v>
      </c>
      <c r="AI104">
        <v>-1</v>
      </c>
      <c r="AJ104" t="s">
        <v>3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ROW(Source!A173)</f>
        <v>173</v>
      </c>
      <c r="B105">
        <v>129763285</v>
      </c>
      <c r="C105">
        <v>129763276</v>
      </c>
      <c r="D105">
        <v>37358260</v>
      </c>
      <c r="E105">
        <v>37345137</v>
      </c>
      <c r="F105">
        <v>1</v>
      </c>
      <c r="G105">
        <v>37345137</v>
      </c>
      <c r="H105">
        <v>3</v>
      </c>
      <c r="I105" t="s">
        <v>1428</v>
      </c>
      <c r="J105" t="s">
        <v>3</v>
      </c>
      <c r="K105" t="s">
        <v>1429</v>
      </c>
      <c r="L105">
        <v>1348</v>
      </c>
      <c r="N105">
        <v>1009</v>
      </c>
      <c r="O105" t="s">
        <v>114</v>
      </c>
      <c r="P105" t="s">
        <v>114</v>
      </c>
      <c r="Q105">
        <v>1000</v>
      </c>
      <c r="X105">
        <v>1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 t="s">
        <v>142</v>
      </c>
      <c r="AG105">
        <v>0.6</v>
      </c>
      <c r="AH105">
        <v>3</v>
      </c>
      <c r="AI105">
        <v>-1</v>
      </c>
      <c r="AJ105" t="s">
        <v>3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ROW(Source!A173)</f>
        <v>173</v>
      </c>
      <c r="B106">
        <v>129763286</v>
      </c>
      <c r="C106">
        <v>129763276</v>
      </c>
      <c r="D106">
        <v>37367082</v>
      </c>
      <c r="E106">
        <v>37345137</v>
      </c>
      <c r="F106">
        <v>1</v>
      </c>
      <c r="G106">
        <v>37345137</v>
      </c>
      <c r="H106">
        <v>3</v>
      </c>
      <c r="I106" t="s">
        <v>1136</v>
      </c>
      <c r="J106" t="s">
        <v>3</v>
      </c>
      <c r="K106" t="s">
        <v>1137</v>
      </c>
      <c r="L106">
        <v>1344</v>
      </c>
      <c r="N106">
        <v>1008</v>
      </c>
      <c r="O106" t="s">
        <v>1138</v>
      </c>
      <c r="P106" t="s">
        <v>1138</v>
      </c>
      <c r="Q106">
        <v>1</v>
      </c>
      <c r="X106">
        <v>39.479999999999997</v>
      </c>
      <c r="Y106">
        <v>1</v>
      </c>
      <c r="Z106">
        <v>0</v>
      </c>
      <c r="AA106">
        <v>0</v>
      </c>
      <c r="AB106">
        <v>0</v>
      </c>
      <c r="AC106">
        <v>0</v>
      </c>
      <c r="AD106">
        <v>1</v>
      </c>
      <c r="AE106">
        <v>0</v>
      </c>
      <c r="AF106" t="s">
        <v>142</v>
      </c>
      <c r="AG106">
        <v>23.687999999999999</v>
      </c>
      <c r="AH106">
        <v>2</v>
      </c>
      <c r="AI106">
        <v>129763280</v>
      </c>
      <c r="AJ106">
        <v>100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ROW(Source!A174)</f>
        <v>174</v>
      </c>
      <c r="B107">
        <v>129763292</v>
      </c>
      <c r="C107">
        <v>129763287</v>
      </c>
      <c r="D107">
        <v>37345142</v>
      </c>
      <c r="E107">
        <v>37345137</v>
      </c>
      <c r="F107">
        <v>1</v>
      </c>
      <c r="G107">
        <v>37345137</v>
      </c>
      <c r="H107">
        <v>1</v>
      </c>
      <c r="I107" t="s">
        <v>1096</v>
      </c>
      <c r="J107" t="s">
        <v>3</v>
      </c>
      <c r="K107" t="s">
        <v>1097</v>
      </c>
      <c r="L107">
        <v>1191</v>
      </c>
      <c r="N107">
        <v>1013</v>
      </c>
      <c r="O107" t="s">
        <v>1098</v>
      </c>
      <c r="P107" t="s">
        <v>1098</v>
      </c>
      <c r="Q107">
        <v>1</v>
      </c>
      <c r="X107">
        <v>69.87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1</v>
      </c>
      <c r="AE107">
        <v>1</v>
      </c>
      <c r="AF107" t="s">
        <v>186</v>
      </c>
      <c r="AG107">
        <v>34.935000000000002</v>
      </c>
      <c r="AH107">
        <v>2</v>
      </c>
      <c r="AI107">
        <v>129763288</v>
      </c>
      <c r="AJ107">
        <v>101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ROW(Source!A174)</f>
        <v>174</v>
      </c>
      <c r="B108">
        <v>129763293</v>
      </c>
      <c r="C108">
        <v>129763287</v>
      </c>
      <c r="D108">
        <v>37418063</v>
      </c>
      <c r="E108">
        <v>1</v>
      </c>
      <c r="F108">
        <v>1</v>
      </c>
      <c r="G108">
        <v>37345137</v>
      </c>
      <c r="H108">
        <v>2</v>
      </c>
      <c r="I108" t="s">
        <v>1153</v>
      </c>
      <c r="J108" t="s">
        <v>1154</v>
      </c>
      <c r="K108" t="s">
        <v>1155</v>
      </c>
      <c r="L108">
        <v>1367</v>
      </c>
      <c r="N108">
        <v>1011</v>
      </c>
      <c r="O108" t="s">
        <v>1102</v>
      </c>
      <c r="P108" t="s">
        <v>1102</v>
      </c>
      <c r="Q108">
        <v>1</v>
      </c>
      <c r="X108">
        <v>1.44</v>
      </c>
      <c r="Y108">
        <v>0</v>
      </c>
      <c r="Z108">
        <v>41.62</v>
      </c>
      <c r="AA108">
        <v>13.33</v>
      </c>
      <c r="AB108">
        <v>0</v>
      </c>
      <c r="AC108">
        <v>0</v>
      </c>
      <c r="AD108">
        <v>1</v>
      </c>
      <c r="AE108">
        <v>0</v>
      </c>
      <c r="AF108" t="s">
        <v>186</v>
      </c>
      <c r="AG108">
        <v>0.72</v>
      </c>
      <c r="AH108">
        <v>2</v>
      </c>
      <c r="AI108">
        <v>129763289</v>
      </c>
      <c r="AJ108">
        <v>102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ROW(Source!A174)</f>
        <v>174</v>
      </c>
      <c r="B109">
        <v>129763294</v>
      </c>
      <c r="C109">
        <v>129763287</v>
      </c>
      <c r="D109">
        <v>37418523</v>
      </c>
      <c r="E109">
        <v>1</v>
      </c>
      <c r="F109">
        <v>1</v>
      </c>
      <c r="G109">
        <v>37345137</v>
      </c>
      <c r="H109">
        <v>2</v>
      </c>
      <c r="I109" t="s">
        <v>1156</v>
      </c>
      <c r="J109" t="s">
        <v>1157</v>
      </c>
      <c r="K109" t="s">
        <v>1158</v>
      </c>
      <c r="L109">
        <v>1367</v>
      </c>
      <c r="N109">
        <v>1011</v>
      </c>
      <c r="O109" t="s">
        <v>1102</v>
      </c>
      <c r="P109" t="s">
        <v>1102</v>
      </c>
      <c r="Q109">
        <v>1</v>
      </c>
      <c r="X109">
        <v>1.44</v>
      </c>
      <c r="Y109">
        <v>0</v>
      </c>
      <c r="Z109">
        <v>3.16</v>
      </c>
      <c r="AA109">
        <v>0.04</v>
      </c>
      <c r="AB109">
        <v>0</v>
      </c>
      <c r="AC109">
        <v>0</v>
      </c>
      <c r="AD109">
        <v>1</v>
      </c>
      <c r="AE109">
        <v>0</v>
      </c>
      <c r="AF109" t="s">
        <v>186</v>
      </c>
      <c r="AG109">
        <v>0.72</v>
      </c>
      <c r="AH109">
        <v>2</v>
      </c>
      <c r="AI109">
        <v>129763290</v>
      </c>
      <c r="AJ109">
        <v>103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ROW(Source!A174)</f>
        <v>174</v>
      </c>
      <c r="B110">
        <v>129763295</v>
      </c>
      <c r="C110">
        <v>129763287</v>
      </c>
      <c r="D110">
        <v>37367068</v>
      </c>
      <c r="E110">
        <v>37345137</v>
      </c>
      <c r="F110">
        <v>1</v>
      </c>
      <c r="G110">
        <v>37345137</v>
      </c>
      <c r="H110">
        <v>3</v>
      </c>
      <c r="I110" t="s">
        <v>162</v>
      </c>
      <c r="J110" t="s">
        <v>3</v>
      </c>
      <c r="K110" t="s">
        <v>163</v>
      </c>
      <c r="L110">
        <v>1348</v>
      </c>
      <c r="N110">
        <v>1009</v>
      </c>
      <c r="O110" t="s">
        <v>114</v>
      </c>
      <c r="P110" t="s">
        <v>114</v>
      </c>
      <c r="Q110">
        <v>1000</v>
      </c>
      <c r="X110">
        <v>5.2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1</v>
      </c>
      <c r="AE110">
        <v>0</v>
      </c>
      <c r="AF110" t="s">
        <v>3</v>
      </c>
      <c r="AG110">
        <v>5.2</v>
      </c>
      <c r="AH110">
        <v>2</v>
      </c>
      <c r="AI110">
        <v>129763291</v>
      </c>
      <c r="AJ110">
        <v>104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ROW(Source!A175)</f>
        <v>175</v>
      </c>
      <c r="B111">
        <v>129763292</v>
      </c>
      <c r="C111">
        <v>129763287</v>
      </c>
      <c r="D111">
        <v>37345142</v>
      </c>
      <c r="E111">
        <v>37345137</v>
      </c>
      <c r="F111">
        <v>1</v>
      </c>
      <c r="G111">
        <v>37345137</v>
      </c>
      <c r="H111">
        <v>1</v>
      </c>
      <c r="I111" t="s">
        <v>1096</v>
      </c>
      <c r="J111" t="s">
        <v>3</v>
      </c>
      <c r="K111" t="s">
        <v>1097</v>
      </c>
      <c r="L111">
        <v>1191</v>
      </c>
      <c r="N111">
        <v>1013</v>
      </c>
      <c r="O111" t="s">
        <v>1098</v>
      </c>
      <c r="P111" t="s">
        <v>1098</v>
      </c>
      <c r="Q111">
        <v>1</v>
      </c>
      <c r="X111">
        <v>69.87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1</v>
      </c>
      <c r="AE111">
        <v>1</v>
      </c>
      <c r="AF111" t="s">
        <v>186</v>
      </c>
      <c r="AG111">
        <v>34.935000000000002</v>
      </c>
      <c r="AH111">
        <v>2</v>
      </c>
      <c r="AI111">
        <v>129763288</v>
      </c>
      <c r="AJ111">
        <v>105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ROW(Source!A175)</f>
        <v>175</v>
      </c>
      <c r="B112">
        <v>129763293</v>
      </c>
      <c r="C112">
        <v>129763287</v>
      </c>
      <c r="D112">
        <v>37418063</v>
      </c>
      <c r="E112">
        <v>1</v>
      </c>
      <c r="F112">
        <v>1</v>
      </c>
      <c r="G112">
        <v>37345137</v>
      </c>
      <c r="H112">
        <v>2</v>
      </c>
      <c r="I112" t="s">
        <v>1153</v>
      </c>
      <c r="J112" t="s">
        <v>1154</v>
      </c>
      <c r="K112" t="s">
        <v>1155</v>
      </c>
      <c r="L112">
        <v>1367</v>
      </c>
      <c r="N112">
        <v>1011</v>
      </c>
      <c r="O112" t="s">
        <v>1102</v>
      </c>
      <c r="P112" t="s">
        <v>1102</v>
      </c>
      <c r="Q112">
        <v>1</v>
      </c>
      <c r="X112">
        <v>1.44</v>
      </c>
      <c r="Y112">
        <v>0</v>
      </c>
      <c r="Z112">
        <v>41.62</v>
      </c>
      <c r="AA112">
        <v>13.33</v>
      </c>
      <c r="AB112">
        <v>0</v>
      </c>
      <c r="AC112">
        <v>0</v>
      </c>
      <c r="AD112">
        <v>1</v>
      </c>
      <c r="AE112">
        <v>0</v>
      </c>
      <c r="AF112" t="s">
        <v>186</v>
      </c>
      <c r="AG112">
        <v>0.72</v>
      </c>
      <c r="AH112">
        <v>2</v>
      </c>
      <c r="AI112">
        <v>129763289</v>
      </c>
      <c r="AJ112">
        <v>106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ROW(Source!A175)</f>
        <v>175</v>
      </c>
      <c r="B113">
        <v>129763294</v>
      </c>
      <c r="C113">
        <v>129763287</v>
      </c>
      <c r="D113">
        <v>37418523</v>
      </c>
      <c r="E113">
        <v>1</v>
      </c>
      <c r="F113">
        <v>1</v>
      </c>
      <c r="G113">
        <v>37345137</v>
      </c>
      <c r="H113">
        <v>2</v>
      </c>
      <c r="I113" t="s">
        <v>1156</v>
      </c>
      <c r="J113" t="s">
        <v>1157</v>
      </c>
      <c r="K113" t="s">
        <v>1158</v>
      </c>
      <c r="L113">
        <v>1367</v>
      </c>
      <c r="N113">
        <v>1011</v>
      </c>
      <c r="O113" t="s">
        <v>1102</v>
      </c>
      <c r="P113" t="s">
        <v>1102</v>
      </c>
      <c r="Q113">
        <v>1</v>
      </c>
      <c r="X113">
        <v>1.44</v>
      </c>
      <c r="Y113">
        <v>0</v>
      </c>
      <c r="Z113">
        <v>3.16</v>
      </c>
      <c r="AA113">
        <v>0.04</v>
      </c>
      <c r="AB113">
        <v>0</v>
      </c>
      <c r="AC113">
        <v>0</v>
      </c>
      <c r="AD113">
        <v>1</v>
      </c>
      <c r="AE113">
        <v>0</v>
      </c>
      <c r="AF113" t="s">
        <v>186</v>
      </c>
      <c r="AG113">
        <v>0.72</v>
      </c>
      <c r="AH113">
        <v>2</v>
      </c>
      <c r="AI113">
        <v>129763290</v>
      </c>
      <c r="AJ113">
        <v>107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ROW(Source!A175)</f>
        <v>175</v>
      </c>
      <c r="B114">
        <v>129763295</v>
      </c>
      <c r="C114">
        <v>129763287</v>
      </c>
      <c r="D114">
        <v>37367068</v>
      </c>
      <c r="E114">
        <v>37345137</v>
      </c>
      <c r="F114">
        <v>1</v>
      </c>
      <c r="G114">
        <v>37345137</v>
      </c>
      <c r="H114">
        <v>3</v>
      </c>
      <c r="I114" t="s">
        <v>162</v>
      </c>
      <c r="J114" t="s">
        <v>3</v>
      </c>
      <c r="K114" t="s">
        <v>163</v>
      </c>
      <c r="L114">
        <v>1348</v>
      </c>
      <c r="N114">
        <v>1009</v>
      </c>
      <c r="O114" t="s">
        <v>114</v>
      </c>
      <c r="P114" t="s">
        <v>114</v>
      </c>
      <c r="Q114">
        <v>1000</v>
      </c>
      <c r="X114">
        <v>5.2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1</v>
      </c>
      <c r="AE114">
        <v>0</v>
      </c>
      <c r="AF114" t="s">
        <v>3</v>
      </c>
      <c r="AG114">
        <v>5.2</v>
      </c>
      <c r="AH114">
        <v>2</v>
      </c>
      <c r="AI114">
        <v>129763291</v>
      </c>
      <c r="AJ114">
        <v>108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ROW(Source!A178)</f>
        <v>178</v>
      </c>
      <c r="B115">
        <v>129763302</v>
      </c>
      <c r="C115">
        <v>129763297</v>
      </c>
      <c r="D115">
        <v>37345142</v>
      </c>
      <c r="E115">
        <v>37345137</v>
      </c>
      <c r="F115">
        <v>1</v>
      </c>
      <c r="G115">
        <v>37345137</v>
      </c>
      <c r="H115">
        <v>1</v>
      </c>
      <c r="I115" t="s">
        <v>1096</v>
      </c>
      <c r="J115" t="s">
        <v>3</v>
      </c>
      <c r="K115" t="s">
        <v>1097</v>
      </c>
      <c r="L115">
        <v>1191</v>
      </c>
      <c r="N115">
        <v>1013</v>
      </c>
      <c r="O115" t="s">
        <v>1098</v>
      </c>
      <c r="P115" t="s">
        <v>1098</v>
      </c>
      <c r="Q115">
        <v>1</v>
      </c>
      <c r="X115">
        <v>24.6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1</v>
      </c>
      <c r="AF115" t="s">
        <v>3</v>
      </c>
      <c r="AG115">
        <v>24.6</v>
      </c>
      <c r="AH115">
        <v>2</v>
      </c>
      <c r="AI115">
        <v>129763298</v>
      </c>
      <c r="AJ115">
        <v>109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ROW(Source!A178)</f>
        <v>178</v>
      </c>
      <c r="B116">
        <v>129763303</v>
      </c>
      <c r="C116">
        <v>129763297</v>
      </c>
      <c r="D116">
        <v>37418063</v>
      </c>
      <c r="E116">
        <v>1</v>
      </c>
      <c r="F116">
        <v>1</v>
      </c>
      <c r="G116">
        <v>37345137</v>
      </c>
      <c r="H116">
        <v>2</v>
      </c>
      <c r="I116" t="s">
        <v>1153</v>
      </c>
      <c r="J116" t="s">
        <v>1154</v>
      </c>
      <c r="K116" t="s">
        <v>1155</v>
      </c>
      <c r="L116">
        <v>1367</v>
      </c>
      <c r="N116">
        <v>1011</v>
      </c>
      <c r="O116" t="s">
        <v>1102</v>
      </c>
      <c r="P116" t="s">
        <v>1102</v>
      </c>
      <c r="Q116">
        <v>1</v>
      </c>
      <c r="X116">
        <v>10.4</v>
      </c>
      <c r="Y116">
        <v>0</v>
      </c>
      <c r="Z116">
        <v>41.62</v>
      </c>
      <c r="AA116">
        <v>13.33</v>
      </c>
      <c r="AB116">
        <v>0</v>
      </c>
      <c r="AC116">
        <v>0</v>
      </c>
      <c r="AD116">
        <v>1</v>
      </c>
      <c r="AE116">
        <v>0</v>
      </c>
      <c r="AF116" t="s">
        <v>3</v>
      </c>
      <c r="AG116">
        <v>10.4</v>
      </c>
      <c r="AH116">
        <v>2</v>
      </c>
      <c r="AI116">
        <v>129763299</v>
      </c>
      <c r="AJ116">
        <v>110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ROW(Source!A178)</f>
        <v>178</v>
      </c>
      <c r="B117">
        <v>129763304</v>
      </c>
      <c r="C117">
        <v>129763297</v>
      </c>
      <c r="D117">
        <v>37418523</v>
      </c>
      <c r="E117">
        <v>1</v>
      </c>
      <c r="F117">
        <v>1</v>
      </c>
      <c r="G117">
        <v>37345137</v>
      </c>
      <c r="H117">
        <v>2</v>
      </c>
      <c r="I117" t="s">
        <v>1156</v>
      </c>
      <c r="J117" t="s">
        <v>1157</v>
      </c>
      <c r="K117" t="s">
        <v>1158</v>
      </c>
      <c r="L117">
        <v>1367</v>
      </c>
      <c r="N117">
        <v>1011</v>
      </c>
      <c r="O117" t="s">
        <v>1102</v>
      </c>
      <c r="P117" t="s">
        <v>1102</v>
      </c>
      <c r="Q117">
        <v>1</v>
      </c>
      <c r="X117">
        <v>10.4</v>
      </c>
      <c r="Y117">
        <v>0</v>
      </c>
      <c r="Z117">
        <v>3.16</v>
      </c>
      <c r="AA117">
        <v>0.04</v>
      </c>
      <c r="AB117">
        <v>0</v>
      </c>
      <c r="AC117">
        <v>0</v>
      </c>
      <c r="AD117">
        <v>1</v>
      </c>
      <c r="AE117">
        <v>0</v>
      </c>
      <c r="AF117" t="s">
        <v>3</v>
      </c>
      <c r="AG117">
        <v>10.4</v>
      </c>
      <c r="AH117">
        <v>2</v>
      </c>
      <c r="AI117">
        <v>129763300</v>
      </c>
      <c r="AJ117">
        <v>111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ROW(Source!A178)</f>
        <v>178</v>
      </c>
      <c r="B118">
        <v>129763305</v>
      </c>
      <c r="C118">
        <v>129763297</v>
      </c>
      <c r="D118">
        <v>37367068</v>
      </c>
      <c r="E118">
        <v>37345137</v>
      </c>
      <c r="F118">
        <v>1</v>
      </c>
      <c r="G118">
        <v>37345137</v>
      </c>
      <c r="H118">
        <v>3</v>
      </c>
      <c r="I118" t="s">
        <v>162</v>
      </c>
      <c r="J118" t="s">
        <v>3</v>
      </c>
      <c r="K118" t="s">
        <v>163</v>
      </c>
      <c r="L118">
        <v>1348</v>
      </c>
      <c r="N118">
        <v>1009</v>
      </c>
      <c r="O118" t="s">
        <v>114</v>
      </c>
      <c r="P118" t="s">
        <v>114</v>
      </c>
      <c r="Q118">
        <v>1000</v>
      </c>
      <c r="X118">
        <v>6.6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1</v>
      </c>
      <c r="AE118">
        <v>0</v>
      </c>
      <c r="AF118" t="s">
        <v>3</v>
      </c>
      <c r="AG118">
        <v>6.6</v>
      </c>
      <c r="AH118">
        <v>2</v>
      </c>
      <c r="AI118">
        <v>129763301</v>
      </c>
      <c r="AJ118">
        <v>112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ROW(Source!A179)</f>
        <v>179</v>
      </c>
      <c r="B119">
        <v>129763302</v>
      </c>
      <c r="C119">
        <v>129763297</v>
      </c>
      <c r="D119">
        <v>37345142</v>
      </c>
      <c r="E119">
        <v>37345137</v>
      </c>
      <c r="F119">
        <v>1</v>
      </c>
      <c r="G119">
        <v>37345137</v>
      </c>
      <c r="H119">
        <v>1</v>
      </c>
      <c r="I119" t="s">
        <v>1096</v>
      </c>
      <c r="J119" t="s">
        <v>3</v>
      </c>
      <c r="K119" t="s">
        <v>1097</v>
      </c>
      <c r="L119">
        <v>1191</v>
      </c>
      <c r="N119">
        <v>1013</v>
      </c>
      <c r="O119" t="s">
        <v>1098</v>
      </c>
      <c r="P119" t="s">
        <v>1098</v>
      </c>
      <c r="Q119">
        <v>1</v>
      </c>
      <c r="X119">
        <v>24.6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1</v>
      </c>
      <c r="AE119">
        <v>1</v>
      </c>
      <c r="AF119" t="s">
        <v>3</v>
      </c>
      <c r="AG119">
        <v>24.6</v>
      </c>
      <c r="AH119">
        <v>2</v>
      </c>
      <c r="AI119">
        <v>129763298</v>
      </c>
      <c r="AJ119">
        <v>113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ROW(Source!A179)</f>
        <v>179</v>
      </c>
      <c r="B120">
        <v>129763303</v>
      </c>
      <c r="C120">
        <v>129763297</v>
      </c>
      <c r="D120">
        <v>37418063</v>
      </c>
      <c r="E120">
        <v>1</v>
      </c>
      <c r="F120">
        <v>1</v>
      </c>
      <c r="G120">
        <v>37345137</v>
      </c>
      <c r="H120">
        <v>2</v>
      </c>
      <c r="I120" t="s">
        <v>1153</v>
      </c>
      <c r="J120" t="s">
        <v>1154</v>
      </c>
      <c r="K120" t="s">
        <v>1155</v>
      </c>
      <c r="L120">
        <v>1367</v>
      </c>
      <c r="N120">
        <v>1011</v>
      </c>
      <c r="O120" t="s">
        <v>1102</v>
      </c>
      <c r="P120" t="s">
        <v>1102</v>
      </c>
      <c r="Q120">
        <v>1</v>
      </c>
      <c r="X120">
        <v>10.4</v>
      </c>
      <c r="Y120">
        <v>0</v>
      </c>
      <c r="Z120">
        <v>41.62</v>
      </c>
      <c r="AA120">
        <v>13.33</v>
      </c>
      <c r="AB120">
        <v>0</v>
      </c>
      <c r="AC120">
        <v>0</v>
      </c>
      <c r="AD120">
        <v>1</v>
      </c>
      <c r="AE120">
        <v>0</v>
      </c>
      <c r="AF120" t="s">
        <v>3</v>
      </c>
      <c r="AG120">
        <v>10.4</v>
      </c>
      <c r="AH120">
        <v>2</v>
      </c>
      <c r="AI120">
        <v>129763299</v>
      </c>
      <c r="AJ120">
        <v>114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ROW(Source!A179)</f>
        <v>179</v>
      </c>
      <c r="B121">
        <v>129763304</v>
      </c>
      <c r="C121">
        <v>129763297</v>
      </c>
      <c r="D121">
        <v>37418523</v>
      </c>
      <c r="E121">
        <v>1</v>
      </c>
      <c r="F121">
        <v>1</v>
      </c>
      <c r="G121">
        <v>37345137</v>
      </c>
      <c r="H121">
        <v>2</v>
      </c>
      <c r="I121" t="s">
        <v>1156</v>
      </c>
      <c r="J121" t="s">
        <v>1157</v>
      </c>
      <c r="K121" t="s">
        <v>1158</v>
      </c>
      <c r="L121">
        <v>1367</v>
      </c>
      <c r="N121">
        <v>1011</v>
      </c>
      <c r="O121" t="s">
        <v>1102</v>
      </c>
      <c r="P121" t="s">
        <v>1102</v>
      </c>
      <c r="Q121">
        <v>1</v>
      </c>
      <c r="X121">
        <v>10.4</v>
      </c>
      <c r="Y121">
        <v>0</v>
      </c>
      <c r="Z121">
        <v>3.16</v>
      </c>
      <c r="AA121">
        <v>0.04</v>
      </c>
      <c r="AB121">
        <v>0</v>
      </c>
      <c r="AC121">
        <v>0</v>
      </c>
      <c r="AD121">
        <v>1</v>
      </c>
      <c r="AE121">
        <v>0</v>
      </c>
      <c r="AF121" t="s">
        <v>3</v>
      </c>
      <c r="AG121">
        <v>10.4</v>
      </c>
      <c r="AH121">
        <v>2</v>
      </c>
      <c r="AI121">
        <v>129763300</v>
      </c>
      <c r="AJ121">
        <v>115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ROW(Source!A179)</f>
        <v>179</v>
      </c>
      <c r="B122">
        <v>129763305</v>
      </c>
      <c r="C122">
        <v>129763297</v>
      </c>
      <c r="D122">
        <v>37367068</v>
      </c>
      <c r="E122">
        <v>37345137</v>
      </c>
      <c r="F122">
        <v>1</v>
      </c>
      <c r="G122">
        <v>37345137</v>
      </c>
      <c r="H122">
        <v>3</v>
      </c>
      <c r="I122" t="s">
        <v>162</v>
      </c>
      <c r="J122" t="s">
        <v>3</v>
      </c>
      <c r="K122" t="s">
        <v>163</v>
      </c>
      <c r="L122">
        <v>1348</v>
      </c>
      <c r="N122">
        <v>1009</v>
      </c>
      <c r="O122" t="s">
        <v>114</v>
      </c>
      <c r="P122" t="s">
        <v>114</v>
      </c>
      <c r="Q122">
        <v>1000</v>
      </c>
      <c r="X122">
        <v>6.6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1</v>
      </c>
      <c r="AE122">
        <v>0</v>
      </c>
      <c r="AF122" t="s">
        <v>3</v>
      </c>
      <c r="AG122">
        <v>6.6</v>
      </c>
      <c r="AH122">
        <v>2</v>
      </c>
      <c r="AI122">
        <v>129763301</v>
      </c>
      <c r="AJ122">
        <v>116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ROW(Source!A182)</f>
        <v>182</v>
      </c>
      <c r="B123">
        <v>129763310</v>
      </c>
      <c r="C123">
        <v>129763307</v>
      </c>
      <c r="D123">
        <v>37345142</v>
      </c>
      <c r="E123">
        <v>37345137</v>
      </c>
      <c r="F123">
        <v>1</v>
      </c>
      <c r="G123">
        <v>37345137</v>
      </c>
      <c r="H123">
        <v>1</v>
      </c>
      <c r="I123" t="s">
        <v>1096</v>
      </c>
      <c r="J123" t="s">
        <v>3</v>
      </c>
      <c r="K123" t="s">
        <v>1097</v>
      </c>
      <c r="L123">
        <v>1191</v>
      </c>
      <c r="N123">
        <v>1013</v>
      </c>
      <c r="O123" t="s">
        <v>1098</v>
      </c>
      <c r="P123" t="s">
        <v>1098</v>
      </c>
      <c r="Q123">
        <v>1</v>
      </c>
      <c r="X123">
        <v>3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1</v>
      </c>
      <c r="AE123">
        <v>1</v>
      </c>
      <c r="AF123" t="s">
        <v>200</v>
      </c>
      <c r="AG123">
        <v>12</v>
      </c>
      <c r="AH123">
        <v>2</v>
      </c>
      <c r="AI123">
        <v>129763308</v>
      </c>
      <c r="AJ123">
        <v>117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ROW(Source!A182)</f>
        <v>182</v>
      </c>
      <c r="B124">
        <v>129763311</v>
      </c>
      <c r="C124">
        <v>129763307</v>
      </c>
      <c r="D124">
        <v>37367068</v>
      </c>
      <c r="E124">
        <v>37345137</v>
      </c>
      <c r="F124">
        <v>1</v>
      </c>
      <c r="G124">
        <v>37345137</v>
      </c>
      <c r="H124">
        <v>3</v>
      </c>
      <c r="I124" t="s">
        <v>162</v>
      </c>
      <c r="J124" t="s">
        <v>3</v>
      </c>
      <c r="K124" t="s">
        <v>163</v>
      </c>
      <c r="L124">
        <v>1348</v>
      </c>
      <c r="N124">
        <v>1009</v>
      </c>
      <c r="O124" t="s">
        <v>114</v>
      </c>
      <c r="P124" t="s">
        <v>114</v>
      </c>
      <c r="Q124">
        <v>1000</v>
      </c>
      <c r="X124">
        <v>1.1000000000000001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1</v>
      </c>
      <c r="AE124">
        <v>0</v>
      </c>
      <c r="AF124" t="s">
        <v>200</v>
      </c>
      <c r="AG124">
        <v>4.4000000000000004</v>
      </c>
      <c r="AH124">
        <v>2</v>
      </c>
      <c r="AI124">
        <v>129763309</v>
      </c>
      <c r="AJ124">
        <v>118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ROW(Source!A183)</f>
        <v>183</v>
      </c>
      <c r="B125">
        <v>129763310</v>
      </c>
      <c r="C125">
        <v>129763307</v>
      </c>
      <c r="D125">
        <v>37345142</v>
      </c>
      <c r="E125">
        <v>37345137</v>
      </c>
      <c r="F125">
        <v>1</v>
      </c>
      <c r="G125">
        <v>37345137</v>
      </c>
      <c r="H125">
        <v>1</v>
      </c>
      <c r="I125" t="s">
        <v>1096</v>
      </c>
      <c r="J125" t="s">
        <v>3</v>
      </c>
      <c r="K125" t="s">
        <v>1097</v>
      </c>
      <c r="L125">
        <v>1191</v>
      </c>
      <c r="N125">
        <v>1013</v>
      </c>
      <c r="O125" t="s">
        <v>1098</v>
      </c>
      <c r="P125" t="s">
        <v>1098</v>
      </c>
      <c r="Q125">
        <v>1</v>
      </c>
      <c r="X125">
        <v>3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1</v>
      </c>
      <c r="AE125">
        <v>1</v>
      </c>
      <c r="AF125" t="s">
        <v>200</v>
      </c>
      <c r="AG125">
        <v>12</v>
      </c>
      <c r="AH125">
        <v>2</v>
      </c>
      <c r="AI125">
        <v>129763308</v>
      </c>
      <c r="AJ125">
        <v>119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ROW(Source!A183)</f>
        <v>183</v>
      </c>
      <c r="B126">
        <v>129763311</v>
      </c>
      <c r="C126">
        <v>129763307</v>
      </c>
      <c r="D126">
        <v>37367068</v>
      </c>
      <c r="E126">
        <v>37345137</v>
      </c>
      <c r="F126">
        <v>1</v>
      </c>
      <c r="G126">
        <v>37345137</v>
      </c>
      <c r="H126">
        <v>3</v>
      </c>
      <c r="I126" t="s">
        <v>162</v>
      </c>
      <c r="J126" t="s">
        <v>3</v>
      </c>
      <c r="K126" t="s">
        <v>163</v>
      </c>
      <c r="L126">
        <v>1348</v>
      </c>
      <c r="N126">
        <v>1009</v>
      </c>
      <c r="O126" t="s">
        <v>114</v>
      </c>
      <c r="P126" t="s">
        <v>114</v>
      </c>
      <c r="Q126">
        <v>1000</v>
      </c>
      <c r="X126">
        <v>1.1000000000000001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1</v>
      </c>
      <c r="AE126">
        <v>0</v>
      </c>
      <c r="AF126" t="s">
        <v>200</v>
      </c>
      <c r="AG126">
        <v>4.4000000000000004</v>
      </c>
      <c r="AH126">
        <v>2</v>
      </c>
      <c r="AI126">
        <v>129763309</v>
      </c>
      <c r="AJ126">
        <v>120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ROW(Source!A186)</f>
        <v>186</v>
      </c>
      <c r="B127">
        <v>129763316</v>
      </c>
      <c r="C127">
        <v>129763313</v>
      </c>
      <c r="D127">
        <v>37345142</v>
      </c>
      <c r="E127">
        <v>37345137</v>
      </c>
      <c r="F127">
        <v>1</v>
      </c>
      <c r="G127">
        <v>37345137</v>
      </c>
      <c r="H127">
        <v>1</v>
      </c>
      <c r="I127" t="s">
        <v>1096</v>
      </c>
      <c r="J127" t="s">
        <v>3</v>
      </c>
      <c r="K127" t="s">
        <v>1097</v>
      </c>
      <c r="L127">
        <v>1191</v>
      </c>
      <c r="N127">
        <v>1013</v>
      </c>
      <c r="O127" t="s">
        <v>1098</v>
      </c>
      <c r="P127" t="s">
        <v>1098</v>
      </c>
      <c r="Q127">
        <v>1</v>
      </c>
      <c r="X127">
        <v>74.3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1</v>
      </c>
      <c r="AE127">
        <v>1</v>
      </c>
      <c r="AF127" t="s">
        <v>3</v>
      </c>
      <c r="AG127">
        <v>74.3</v>
      </c>
      <c r="AH127">
        <v>2</v>
      </c>
      <c r="AI127">
        <v>129763314</v>
      </c>
      <c r="AJ127">
        <v>121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ROW(Source!A186)</f>
        <v>186</v>
      </c>
      <c r="B128">
        <v>129763317</v>
      </c>
      <c r="C128">
        <v>129763313</v>
      </c>
      <c r="D128">
        <v>37367068</v>
      </c>
      <c r="E128">
        <v>37345137</v>
      </c>
      <c r="F128">
        <v>1</v>
      </c>
      <c r="G128">
        <v>37345137</v>
      </c>
      <c r="H128">
        <v>3</v>
      </c>
      <c r="I128" t="s">
        <v>162</v>
      </c>
      <c r="J128" t="s">
        <v>3</v>
      </c>
      <c r="K128" t="s">
        <v>163</v>
      </c>
      <c r="L128">
        <v>1348</v>
      </c>
      <c r="N128">
        <v>1009</v>
      </c>
      <c r="O128" t="s">
        <v>114</v>
      </c>
      <c r="P128" t="s">
        <v>114</v>
      </c>
      <c r="Q128">
        <v>1000</v>
      </c>
      <c r="X128">
        <v>4.41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1</v>
      </c>
      <c r="AE128">
        <v>0</v>
      </c>
      <c r="AF128" t="s">
        <v>3</v>
      </c>
      <c r="AG128">
        <v>4.41</v>
      </c>
      <c r="AH128">
        <v>2</v>
      </c>
      <c r="AI128">
        <v>129763315</v>
      </c>
      <c r="AJ128">
        <v>122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ROW(Source!A187)</f>
        <v>187</v>
      </c>
      <c r="B129">
        <v>129763316</v>
      </c>
      <c r="C129">
        <v>129763313</v>
      </c>
      <c r="D129">
        <v>37345142</v>
      </c>
      <c r="E129">
        <v>37345137</v>
      </c>
      <c r="F129">
        <v>1</v>
      </c>
      <c r="G129">
        <v>37345137</v>
      </c>
      <c r="H129">
        <v>1</v>
      </c>
      <c r="I129" t="s">
        <v>1096</v>
      </c>
      <c r="J129" t="s">
        <v>3</v>
      </c>
      <c r="K129" t="s">
        <v>1097</v>
      </c>
      <c r="L129">
        <v>1191</v>
      </c>
      <c r="N129">
        <v>1013</v>
      </c>
      <c r="O129" t="s">
        <v>1098</v>
      </c>
      <c r="P129" t="s">
        <v>1098</v>
      </c>
      <c r="Q129">
        <v>1</v>
      </c>
      <c r="X129">
        <v>74.3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1</v>
      </c>
      <c r="AE129">
        <v>1</v>
      </c>
      <c r="AF129" t="s">
        <v>3</v>
      </c>
      <c r="AG129">
        <v>74.3</v>
      </c>
      <c r="AH129">
        <v>2</v>
      </c>
      <c r="AI129">
        <v>129763314</v>
      </c>
      <c r="AJ129">
        <v>123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ROW(Source!A187)</f>
        <v>187</v>
      </c>
      <c r="B130">
        <v>129763317</v>
      </c>
      <c r="C130">
        <v>129763313</v>
      </c>
      <c r="D130">
        <v>37367068</v>
      </c>
      <c r="E130">
        <v>37345137</v>
      </c>
      <c r="F130">
        <v>1</v>
      </c>
      <c r="G130">
        <v>37345137</v>
      </c>
      <c r="H130">
        <v>3</v>
      </c>
      <c r="I130" t="s">
        <v>162</v>
      </c>
      <c r="J130" t="s">
        <v>3</v>
      </c>
      <c r="K130" t="s">
        <v>163</v>
      </c>
      <c r="L130">
        <v>1348</v>
      </c>
      <c r="N130">
        <v>1009</v>
      </c>
      <c r="O130" t="s">
        <v>114</v>
      </c>
      <c r="P130" t="s">
        <v>114</v>
      </c>
      <c r="Q130">
        <v>1000</v>
      </c>
      <c r="X130">
        <v>4.41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1</v>
      </c>
      <c r="AE130">
        <v>0</v>
      </c>
      <c r="AF130" t="s">
        <v>3</v>
      </c>
      <c r="AG130">
        <v>4.41</v>
      </c>
      <c r="AH130">
        <v>2</v>
      </c>
      <c r="AI130">
        <v>129763315</v>
      </c>
      <c r="AJ130">
        <v>124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ROW(Source!A190)</f>
        <v>190</v>
      </c>
      <c r="B131">
        <v>129763322</v>
      </c>
      <c r="C131">
        <v>129763319</v>
      </c>
      <c r="D131">
        <v>37345142</v>
      </c>
      <c r="E131">
        <v>37345137</v>
      </c>
      <c r="F131">
        <v>1</v>
      </c>
      <c r="G131">
        <v>37345137</v>
      </c>
      <c r="H131">
        <v>1</v>
      </c>
      <c r="I131" t="s">
        <v>1096</v>
      </c>
      <c r="J131" t="s">
        <v>3</v>
      </c>
      <c r="K131" t="s">
        <v>1097</v>
      </c>
      <c r="L131">
        <v>1191</v>
      </c>
      <c r="N131">
        <v>1013</v>
      </c>
      <c r="O131" t="s">
        <v>1098</v>
      </c>
      <c r="P131" t="s">
        <v>1098</v>
      </c>
      <c r="Q131">
        <v>1</v>
      </c>
      <c r="X131">
        <v>58.6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1</v>
      </c>
      <c r="AE131">
        <v>1</v>
      </c>
      <c r="AF131" t="s">
        <v>3</v>
      </c>
      <c r="AG131">
        <v>58.6</v>
      </c>
      <c r="AH131">
        <v>2</v>
      </c>
      <c r="AI131">
        <v>129763320</v>
      </c>
      <c r="AJ131">
        <v>125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ROW(Source!A190)</f>
        <v>190</v>
      </c>
      <c r="B132">
        <v>129763323</v>
      </c>
      <c r="C132">
        <v>129763319</v>
      </c>
      <c r="D132">
        <v>37345890</v>
      </c>
      <c r="E132">
        <v>37345137</v>
      </c>
      <c r="F132">
        <v>1</v>
      </c>
      <c r="G132">
        <v>37345137</v>
      </c>
      <c r="H132">
        <v>2</v>
      </c>
      <c r="I132" t="s">
        <v>1145</v>
      </c>
      <c r="J132" t="s">
        <v>3</v>
      </c>
      <c r="K132" t="s">
        <v>1146</v>
      </c>
      <c r="L132">
        <v>1344</v>
      </c>
      <c r="N132">
        <v>1008</v>
      </c>
      <c r="O132" t="s">
        <v>1138</v>
      </c>
      <c r="P132" t="s">
        <v>1138</v>
      </c>
      <c r="Q132">
        <v>1</v>
      </c>
      <c r="X132">
        <v>2.5</v>
      </c>
      <c r="Y132">
        <v>0</v>
      </c>
      <c r="Z132">
        <v>1</v>
      </c>
      <c r="AA132">
        <v>0</v>
      </c>
      <c r="AB132">
        <v>0</v>
      </c>
      <c r="AC132">
        <v>0</v>
      </c>
      <c r="AD132">
        <v>1</v>
      </c>
      <c r="AE132">
        <v>0</v>
      </c>
      <c r="AF132" t="s">
        <v>3</v>
      </c>
      <c r="AG132">
        <v>2.5</v>
      </c>
      <c r="AH132">
        <v>2</v>
      </c>
      <c r="AI132">
        <v>129763321</v>
      </c>
      <c r="AJ132">
        <v>126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ROW(Source!A191)</f>
        <v>191</v>
      </c>
      <c r="B133">
        <v>129763322</v>
      </c>
      <c r="C133">
        <v>129763319</v>
      </c>
      <c r="D133">
        <v>37345142</v>
      </c>
      <c r="E133">
        <v>37345137</v>
      </c>
      <c r="F133">
        <v>1</v>
      </c>
      <c r="G133">
        <v>37345137</v>
      </c>
      <c r="H133">
        <v>1</v>
      </c>
      <c r="I133" t="s">
        <v>1096</v>
      </c>
      <c r="J133" t="s">
        <v>3</v>
      </c>
      <c r="K133" t="s">
        <v>1097</v>
      </c>
      <c r="L133">
        <v>1191</v>
      </c>
      <c r="N133">
        <v>1013</v>
      </c>
      <c r="O133" t="s">
        <v>1098</v>
      </c>
      <c r="P133" t="s">
        <v>1098</v>
      </c>
      <c r="Q133">
        <v>1</v>
      </c>
      <c r="X133">
        <v>58.6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1</v>
      </c>
      <c r="AE133">
        <v>1</v>
      </c>
      <c r="AF133" t="s">
        <v>3</v>
      </c>
      <c r="AG133">
        <v>58.6</v>
      </c>
      <c r="AH133">
        <v>2</v>
      </c>
      <c r="AI133">
        <v>129763320</v>
      </c>
      <c r="AJ133">
        <v>127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ROW(Source!A191)</f>
        <v>191</v>
      </c>
      <c r="B134">
        <v>129763323</v>
      </c>
      <c r="C134">
        <v>129763319</v>
      </c>
      <c r="D134">
        <v>37345890</v>
      </c>
      <c r="E134">
        <v>37345137</v>
      </c>
      <c r="F134">
        <v>1</v>
      </c>
      <c r="G134">
        <v>37345137</v>
      </c>
      <c r="H134">
        <v>2</v>
      </c>
      <c r="I134" t="s">
        <v>1145</v>
      </c>
      <c r="J134" t="s">
        <v>3</v>
      </c>
      <c r="K134" t="s">
        <v>1146</v>
      </c>
      <c r="L134">
        <v>1344</v>
      </c>
      <c r="N134">
        <v>1008</v>
      </c>
      <c r="O134" t="s">
        <v>1138</v>
      </c>
      <c r="P134" t="s">
        <v>1138</v>
      </c>
      <c r="Q134">
        <v>1</v>
      </c>
      <c r="X134">
        <v>2.5</v>
      </c>
      <c r="Y134">
        <v>0</v>
      </c>
      <c r="Z134">
        <v>1</v>
      </c>
      <c r="AA134">
        <v>0</v>
      </c>
      <c r="AB134">
        <v>0</v>
      </c>
      <c r="AC134">
        <v>0</v>
      </c>
      <c r="AD134">
        <v>1</v>
      </c>
      <c r="AE134">
        <v>0</v>
      </c>
      <c r="AF134" t="s">
        <v>3</v>
      </c>
      <c r="AG134">
        <v>2.5</v>
      </c>
      <c r="AH134">
        <v>2</v>
      </c>
      <c r="AI134">
        <v>129763321</v>
      </c>
      <c r="AJ134">
        <v>128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ROW(Source!A227)</f>
        <v>227</v>
      </c>
      <c r="B135">
        <v>129763333</v>
      </c>
      <c r="C135">
        <v>129763324</v>
      </c>
      <c r="D135">
        <v>37345142</v>
      </c>
      <c r="E135">
        <v>37345137</v>
      </c>
      <c r="F135">
        <v>1</v>
      </c>
      <c r="G135">
        <v>37345137</v>
      </c>
      <c r="H135">
        <v>1</v>
      </c>
      <c r="I135" t="s">
        <v>1096</v>
      </c>
      <c r="J135" t="s">
        <v>3</v>
      </c>
      <c r="K135" t="s">
        <v>1097</v>
      </c>
      <c r="L135">
        <v>1191</v>
      </c>
      <c r="N135">
        <v>1013</v>
      </c>
      <c r="O135" t="s">
        <v>1098</v>
      </c>
      <c r="P135" t="s">
        <v>1098</v>
      </c>
      <c r="Q135">
        <v>1</v>
      </c>
      <c r="X135">
        <v>2.27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1</v>
      </c>
      <c r="AE135">
        <v>1</v>
      </c>
      <c r="AF135" t="s">
        <v>3</v>
      </c>
      <c r="AG135">
        <v>2.27</v>
      </c>
      <c r="AH135">
        <v>2</v>
      </c>
      <c r="AI135">
        <v>129763325</v>
      </c>
      <c r="AJ135">
        <v>129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ROW(Source!A227)</f>
        <v>227</v>
      </c>
      <c r="B136">
        <v>129763334</v>
      </c>
      <c r="C136">
        <v>129763324</v>
      </c>
      <c r="D136">
        <v>37418163</v>
      </c>
      <c r="E136">
        <v>1</v>
      </c>
      <c r="F136">
        <v>1</v>
      </c>
      <c r="G136">
        <v>37345137</v>
      </c>
      <c r="H136">
        <v>2</v>
      </c>
      <c r="I136" t="s">
        <v>1159</v>
      </c>
      <c r="J136" t="s">
        <v>1160</v>
      </c>
      <c r="K136" t="s">
        <v>1161</v>
      </c>
      <c r="L136">
        <v>1367</v>
      </c>
      <c r="N136">
        <v>1011</v>
      </c>
      <c r="O136" t="s">
        <v>1102</v>
      </c>
      <c r="P136" t="s">
        <v>1102</v>
      </c>
      <c r="Q136">
        <v>1</v>
      </c>
      <c r="X136">
        <v>0.28000000000000003</v>
      </c>
      <c r="Y136">
        <v>0</v>
      </c>
      <c r="Z136">
        <v>43.4</v>
      </c>
      <c r="AA136">
        <v>2.68</v>
      </c>
      <c r="AB136">
        <v>0</v>
      </c>
      <c r="AC136">
        <v>0</v>
      </c>
      <c r="AD136">
        <v>1</v>
      </c>
      <c r="AE136">
        <v>0</v>
      </c>
      <c r="AF136" t="s">
        <v>3</v>
      </c>
      <c r="AG136">
        <v>0.28000000000000003</v>
      </c>
      <c r="AH136">
        <v>2</v>
      </c>
      <c r="AI136">
        <v>129763326</v>
      </c>
      <c r="AJ136">
        <v>130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ROW(Source!A227)</f>
        <v>227</v>
      </c>
      <c r="B137">
        <v>129763335</v>
      </c>
      <c r="C137">
        <v>129763324</v>
      </c>
      <c r="D137">
        <v>37418483</v>
      </c>
      <c r="E137">
        <v>1</v>
      </c>
      <c r="F137">
        <v>1</v>
      </c>
      <c r="G137">
        <v>37345137</v>
      </c>
      <c r="H137">
        <v>2</v>
      </c>
      <c r="I137" t="s">
        <v>1162</v>
      </c>
      <c r="J137" t="s">
        <v>1163</v>
      </c>
      <c r="K137" t="s">
        <v>1164</v>
      </c>
      <c r="L137">
        <v>1367</v>
      </c>
      <c r="N137">
        <v>1011</v>
      </c>
      <c r="O137" t="s">
        <v>1102</v>
      </c>
      <c r="P137" t="s">
        <v>1102</v>
      </c>
      <c r="Q137">
        <v>1</v>
      </c>
      <c r="X137">
        <v>0.38</v>
      </c>
      <c r="Y137">
        <v>0</v>
      </c>
      <c r="Z137">
        <v>1.59</v>
      </c>
      <c r="AA137">
        <v>0.09</v>
      </c>
      <c r="AB137">
        <v>0</v>
      </c>
      <c r="AC137">
        <v>0</v>
      </c>
      <c r="AD137">
        <v>1</v>
      </c>
      <c r="AE137">
        <v>0</v>
      </c>
      <c r="AF137" t="s">
        <v>3</v>
      </c>
      <c r="AG137">
        <v>0.38</v>
      </c>
      <c r="AH137">
        <v>2</v>
      </c>
      <c r="AI137">
        <v>129763327</v>
      </c>
      <c r="AJ137">
        <v>131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ROW(Source!A227)</f>
        <v>227</v>
      </c>
      <c r="B138">
        <v>129763336</v>
      </c>
      <c r="C138">
        <v>129763324</v>
      </c>
      <c r="D138">
        <v>37394398</v>
      </c>
      <c r="E138">
        <v>1</v>
      </c>
      <c r="F138">
        <v>1</v>
      </c>
      <c r="G138">
        <v>37345137</v>
      </c>
      <c r="H138">
        <v>3</v>
      </c>
      <c r="I138" t="s">
        <v>1165</v>
      </c>
      <c r="J138" t="s">
        <v>1166</v>
      </c>
      <c r="K138" t="s">
        <v>1167</v>
      </c>
      <c r="L138">
        <v>1348</v>
      </c>
      <c r="N138">
        <v>1009</v>
      </c>
      <c r="O138" t="s">
        <v>114</v>
      </c>
      <c r="P138" t="s">
        <v>114</v>
      </c>
      <c r="Q138">
        <v>1000</v>
      </c>
      <c r="X138">
        <v>5.1000000000000004E-4</v>
      </c>
      <c r="Y138">
        <v>6593.39</v>
      </c>
      <c r="Z138">
        <v>0</v>
      </c>
      <c r="AA138">
        <v>0</v>
      </c>
      <c r="AB138">
        <v>0</v>
      </c>
      <c r="AC138">
        <v>0</v>
      </c>
      <c r="AD138">
        <v>1</v>
      </c>
      <c r="AE138">
        <v>0</v>
      </c>
      <c r="AF138" t="s">
        <v>3</v>
      </c>
      <c r="AG138">
        <v>5.1000000000000004E-4</v>
      </c>
      <c r="AH138">
        <v>2</v>
      </c>
      <c r="AI138">
        <v>129763328</v>
      </c>
      <c r="AJ138">
        <v>132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ROW(Source!A227)</f>
        <v>227</v>
      </c>
      <c r="B139">
        <v>129763337</v>
      </c>
      <c r="C139">
        <v>129763324</v>
      </c>
      <c r="D139">
        <v>37394864</v>
      </c>
      <c r="E139">
        <v>1</v>
      </c>
      <c r="F139">
        <v>1</v>
      </c>
      <c r="G139">
        <v>37345137</v>
      </c>
      <c r="H139">
        <v>3</v>
      </c>
      <c r="I139" t="s">
        <v>1147</v>
      </c>
      <c r="J139" t="s">
        <v>1148</v>
      </c>
      <c r="K139" t="s">
        <v>1149</v>
      </c>
      <c r="L139">
        <v>1348</v>
      </c>
      <c r="N139">
        <v>1009</v>
      </c>
      <c r="O139" t="s">
        <v>114</v>
      </c>
      <c r="P139" t="s">
        <v>114</v>
      </c>
      <c r="Q139">
        <v>1000</v>
      </c>
      <c r="X139">
        <v>1E-4</v>
      </c>
      <c r="Y139">
        <v>7191.81</v>
      </c>
      <c r="Z139">
        <v>0</v>
      </c>
      <c r="AA139">
        <v>0</v>
      </c>
      <c r="AB139">
        <v>0</v>
      </c>
      <c r="AC139">
        <v>0</v>
      </c>
      <c r="AD139">
        <v>1</v>
      </c>
      <c r="AE139">
        <v>0</v>
      </c>
      <c r="AF139" t="s">
        <v>3</v>
      </c>
      <c r="AG139">
        <v>1E-4</v>
      </c>
      <c r="AH139">
        <v>2</v>
      </c>
      <c r="AI139">
        <v>129763329</v>
      </c>
      <c r="AJ139">
        <v>133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ROW(Source!A227)</f>
        <v>227</v>
      </c>
      <c r="B140">
        <v>129763338</v>
      </c>
      <c r="C140">
        <v>129763324</v>
      </c>
      <c r="D140">
        <v>37394107</v>
      </c>
      <c r="E140">
        <v>1</v>
      </c>
      <c r="F140">
        <v>1</v>
      </c>
      <c r="G140">
        <v>37345137</v>
      </c>
      <c r="H140">
        <v>3</v>
      </c>
      <c r="I140" t="s">
        <v>1168</v>
      </c>
      <c r="J140" t="s">
        <v>1169</v>
      </c>
      <c r="K140" t="s">
        <v>1170</v>
      </c>
      <c r="L140">
        <v>1296</v>
      </c>
      <c r="N140">
        <v>1002</v>
      </c>
      <c r="O140" t="s">
        <v>870</v>
      </c>
      <c r="P140" t="s">
        <v>870</v>
      </c>
      <c r="Q140">
        <v>1</v>
      </c>
      <c r="X140">
        <v>0.28999999999999998</v>
      </c>
      <c r="Y140">
        <v>54.7</v>
      </c>
      <c r="Z140">
        <v>0</v>
      </c>
      <c r="AA140">
        <v>0</v>
      </c>
      <c r="AB140">
        <v>0</v>
      </c>
      <c r="AC140">
        <v>0</v>
      </c>
      <c r="AD140">
        <v>1</v>
      </c>
      <c r="AE140">
        <v>0</v>
      </c>
      <c r="AF140" t="s">
        <v>3</v>
      </c>
      <c r="AG140">
        <v>0.28999999999999998</v>
      </c>
      <c r="AH140">
        <v>2</v>
      </c>
      <c r="AI140">
        <v>129763330</v>
      </c>
      <c r="AJ140">
        <v>134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ROW(Source!A227)</f>
        <v>227</v>
      </c>
      <c r="B141">
        <v>129763339</v>
      </c>
      <c r="C141">
        <v>129763324</v>
      </c>
      <c r="D141">
        <v>37415724</v>
      </c>
      <c r="E141">
        <v>1</v>
      </c>
      <c r="F141">
        <v>1</v>
      </c>
      <c r="G141">
        <v>37345137</v>
      </c>
      <c r="H141">
        <v>3</v>
      </c>
      <c r="I141" t="s">
        <v>1171</v>
      </c>
      <c r="J141" t="s">
        <v>1172</v>
      </c>
      <c r="K141" t="s">
        <v>1173</v>
      </c>
      <c r="L141">
        <v>1354</v>
      </c>
      <c r="N141">
        <v>1010</v>
      </c>
      <c r="O141" t="s">
        <v>250</v>
      </c>
      <c r="P141" t="s">
        <v>250</v>
      </c>
      <c r="Q141">
        <v>1</v>
      </c>
      <c r="X141">
        <v>0.3</v>
      </c>
      <c r="Y141">
        <v>11.82</v>
      </c>
      <c r="Z141">
        <v>0</v>
      </c>
      <c r="AA141">
        <v>0</v>
      </c>
      <c r="AB141">
        <v>0</v>
      </c>
      <c r="AC141">
        <v>0</v>
      </c>
      <c r="AD141">
        <v>1</v>
      </c>
      <c r="AE141">
        <v>0</v>
      </c>
      <c r="AF141" t="s">
        <v>3</v>
      </c>
      <c r="AG141">
        <v>0.3</v>
      </c>
      <c r="AH141">
        <v>2</v>
      </c>
      <c r="AI141">
        <v>129763331</v>
      </c>
      <c r="AJ141">
        <v>136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ROW(Source!A228)</f>
        <v>228</v>
      </c>
      <c r="B142">
        <v>129763333</v>
      </c>
      <c r="C142">
        <v>129763324</v>
      </c>
      <c r="D142">
        <v>37345142</v>
      </c>
      <c r="E142">
        <v>37345137</v>
      </c>
      <c r="F142">
        <v>1</v>
      </c>
      <c r="G142">
        <v>37345137</v>
      </c>
      <c r="H142">
        <v>1</v>
      </c>
      <c r="I142" t="s">
        <v>1096</v>
      </c>
      <c r="J142" t="s">
        <v>3</v>
      </c>
      <c r="K142" t="s">
        <v>1097</v>
      </c>
      <c r="L142">
        <v>1191</v>
      </c>
      <c r="N142">
        <v>1013</v>
      </c>
      <c r="O142" t="s">
        <v>1098</v>
      </c>
      <c r="P142" t="s">
        <v>1098</v>
      </c>
      <c r="Q142">
        <v>1</v>
      </c>
      <c r="X142">
        <v>2.27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1</v>
      </c>
      <c r="AE142">
        <v>1</v>
      </c>
      <c r="AF142" t="s">
        <v>3</v>
      </c>
      <c r="AG142">
        <v>2.27</v>
      </c>
      <c r="AH142">
        <v>2</v>
      </c>
      <c r="AI142">
        <v>129763325</v>
      </c>
      <c r="AJ142">
        <v>137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ROW(Source!A228)</f>
        <v>228</v>
      </c>
      <c r="B143">
        <v>129763334</v>
      </c>
      <c r="C143">
        <v>129763324</v>
      </c>
      <c r="D143">
        <v>37418163</v>
      </c>
      <c r="E143">
        <v>1</v>
      </c>
      <c r="F143">
        <v>1</v>
      </c>
      <c r="G143">
        <v>37345137</v>
      </c>
      <c r="H143">
        <v>2</v>
      </c>
      <c r="I143" t="s">
        <v>1159</v>
      </c>
      <c r="J143" t="s">
        <v>1160</v>
      </c>
      <c r="K143" t="s">
        <v>1161</v>
      </c>
      <c r="L143">
        <v>1367</v>
      </c>
      <c r="N143">
        <v>1011</v>
      </c>
      <c r="O143" t="s">
        <v>1102</v>
      </c>
      <c r="P143" t="s">
        <v>1102</v>
      </c>
      <c r="Q143">
        <v>1</v>
      </c>
      <c r="X143">
        <v>0.28000000000000003</v>
      </c>
      <c r="Y143">
        <v>0</v>
      </c>
      <c r="Z143">
        <v>43.4</v>
      </c>
      <c r="AA143">
        <v>2.68</v>
      </c>
      <c r="AB143">
        <v>0</v>
      </c>
      <c r="AC143">
        <v>0</v>
      </c>
      <c r="AD143">
        <v>1</v>
      </c>
      <c r="AE143">
        <v>0</v>
      </c>
      <c r="AF143" t="s">
        <v>3</v>
      </c>
      <c r="AG143">
        <v>0.28000000000000003</v>
      </c>
      <c r="AH143">
        <v>2</v>
      </c>
      <c r="AI143">
        <v>129763326</v>
      </c>
      <c r="AJ143">
        <v>138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ROW(Source!A228)</f>
        <v>228</v>
      </c>
      <c r="B144">
        <v>129763335</v>
      </c>
      <c r="C144">
        <v>129763324</v>
      </c>
      <c r="D144">
        <v>37418483</v>
      </c>
      <c r="E144">
        <v>1</v>
      </c>
      <c r="F144">
        <v>1</v>
      </c>
      <c r="G144">
        <v>37345137</v>
      </c>
      <c r="H144">
        <v>2</v>
      </c>
      <c r="I144" t="s">
        <v>1162</v>
      </c>
      <c r="J144" t="s">
        <v>1163</v>
      </c>
      <c r="K144" t="s">
        <v>1164</v>
      </c>
      <c r="L144">
        <v>1367</v>
      </c>
      <c r="N144">
        <v>1011</v>
      </c>
      <c r="O144" t="s">
        <v>1102</v>
      </c>
      <c r="P144" t="s">
        <v>1102</v>
      </c>
      <c r="Q144">
        <v>1</v>
      </c>
      <c r="X144">
        <v>0.38</v>
      </c>
      <c r="Y144">
        <v>0</v>
      </c>
      <c r="Z144">
        <v>1.59</v>
      </c>
      <c r="AA144">
        <v>0.09</v>
      </c>
      <c r="AB144">
        <v>0</v>
      </c>
      <c r="AC144">
        <v>0</v>
      </c>
      <c r="AD144">
        <v>1</v>
      </c>
      <c r="AE144">
        <v>0</v>
      </c>
      <c r="AF144" t="s">
        <v>3</v>
      </c>
      <c r="AG144">
        <v>0.38</v>
      </c>
      <c r="AH144">
        <v>2</v>
      </c>
      <c r="AI144">
        <v>129763327</v>
      </c>
      <c r="AJ144">
        <v>139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ROW(Source!A228)</f>
        <v>228</v>
      </c>
      <c r="B145">
        <v>129763336</v>
      </c>
      <c r="C145">
        <v>129763324</v>
      </c>
      <c r="D145">
        <v>37394398</v>
      </c>
      <c r="E145">
        <v>1</v>
      </c>
      <c r="F145">
        <v>1</v>
      </c>
      <c r="G145">
        <v>37345137</v>
      </c>
      <c r="H145">
        <v>3</v>
      </c>
      <c r="I145" t="s">
        <v>1165</v>
      </c>
      <c r="J145" t="s">
        <v>1166</v>
      </c>
      <c r="K145" t="s">
        <v>1167</v>
      </c>
      <c r="L145">
        <v>1348</v>
      </c>
      <c r="N145">
        <v>1009</v>
      </c>
      <c r="O145" t="s">
        <v>114</v>
      </c>
      <c r="P145" t="s">
        <v>114</v>
      </c>
      <c r="Q145">
        <v>1000</v>
      </c>
      <c r="X145">
        <v>5.1000000000000004E-4</v>
      </c>
      <c r="Y145">
        <v>6593.39</v>
      </c>
      <c r="Z145">
        <v>0</v>
      </c>
      <c r="AA145">
        <v>0</v>
      </c>
      <c r="AB145">
        <v>0</v>
      </c>
      <c r="AC145">
        <v>0</v>
      </c>
      <c r="AD145">
        <v>1</v>
      </c>
      <c r="AE145">
        <v>0</v>
      </c>
      <c r="AF145" t="s">
        <v>3</v>
      </c>
      <c r="AG145">
        <v>5.1000000000000004E-4</v>
      </c>
      <c r="AH145">
        <v>2</v>
      </c>
      <c r="AI145">
        <v>129763328</v>
      </c>
      <c r="AJ145">
        <v>140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ROW(Source!A228)</f>
        <v>228</v>
      </c>
      <c r="B146">
        <v>129763337</v>
      </c>
      <c r="C146">
        <v>129763324</v>
      </c>
      <c r="D146">
        <v>37394864</v>
      </c>
      <c r="E146">
        <v>1</v>
      </c>
      <c r="F146">
        <v>1</v>
      </c>
      <c r="G146">
        <v>37345137</v>
      </c>
      <c r="H146">
        <v>3</v>
      </c>
      <c r="I146" t="s">
        <v>1147</v>
      </c>
      <c r="J146" t="s">
        <v>1148</v>
      </c>
      <c r="K146" t="s">
        <v>1149</v>
      </c>
      <c r="L146">
        <v>1348</v>
      </c>
      <c r="N146">
        <v>1009</v>
      </c>
      <c r="O146" t="s">
        <v>114</v>
      </c>
      <c r="P146" t="s">
        <v>114</v>
      </c>
      <c r="Q146">
        <v>1000</v>
      </c>
      <c r="X146">
        <v>1E-4</v>
      </c>
      <c r="Y146">
        <v>7191.81</v>
      </c>
      <c r="Z146">
        <v>0</v>
      </c>
      <c r="AA146">
        <v>0</v>
      </c>
      <c r="AB146">
        <v>0</v>
      </c>
      <c r="AC146">
        <v>0</v>
      </c>
      <c r="AD146">
        <v>1</v>
      </c>
      <c r="AE146">
        <v>0</v>
      </c>
      <c r="AF146" t="s">
        <v>3</v>
      </c>
      <c r="AG146">
        <v>1E-4</v>
      </c>
      <c r="AH146">
        <v>2</v>
      </c>
      <c r="AI146">
        <v>129763329</v>
      </c>
      <c r="AJ146">
        <v>141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ROW(Source!A228)</f>
        <v>228</v>
      </c>
      <c r="B147">
        <v>129763338</v>
      </c>
      <c r="C147">
        <v>129763324</v>
      </c>
      <c r="D147">
        <v>37394107</v>
      </c>
      <c r="E147">
        <v>1</v>
      </c>
      <c r="F147">
        <v>1</v>
      </c>
      <c r="G147">
        <v>37345137</v>
      </c>
      <c r="H147">
        <v>3</v>
      </c>
      <c r="I147" t="s">
        <v>1168</v>
      </c>
      <c r="J147" t="s">
        <v>1169</v>
      </c>
      <c r="K147" t="s">
        <v>1170</v>
      </c>
      <c r="L147">
        <v>1296</v>
      </c>
      <c r="N147">
        <v>1002</v>
      </c>
      <c r="O147" t="s">
        <v>870</v>
      </c>
      <c r="P147" t="s">
        <v>870</v>
      </c>
      <c r="Q147">
        <v>1</v>
      </c>
      <c r="X147">
        <v>0.28999999999999998</v>
      </c>
      <c r="Y147">
        <v>54.7</v>
      </c>
      <c r="Z147">
        <v>0</v>
      </c>
      <c r="AA147">
        <v>0</v>
      </c>
      <c r="AB147">
        <v>0</v>
      </c>
      <c r="AC147">
        <v>0</v>
      </c>
      <c r="AD147">
        <v>1</v>
      </c>
      <c r="AE147">
        <v>0</v>
      </c>
      <c r="AF147" t="s">
        <v>3</v>
      </c>
      <c r="AG147">
        <v>0.28999999999999998</v>
      </c>
      <c r="AH147">
        <v>2</v>
      </c>
      <c r="AI147">
        <v>129763330</v>
      </c>
      <c r="AJ147">
        <v>142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ROW(Source!A228)</f>
        <v>228</v>
      </c>
      <c r="B148">
        <v>129763339</v>
      </c>
      <c r="C148">
        <v>129763324</v>
      </c>
      <c r="D148">
        <v>37415724</v>
      </c>
      <c r="E148">
        <v>1</v>
      </c>
      <c r="F148">
        <v>1</v>
      </c>
      <c r="G148">
        <v>37345137</v>
      </c>
      <c r="H148">
        <v>3</v>
      </c>
      <c r="I148" t="s">
        <v>1171</v>
      </c>
      <c r="J148" t="s">
        <v>1172</v>
      </c>
      <c r="K148" t="s">
        <v>1173</v>
      </c>
      <c r="L148">
        <v>1354</v>
      </c>
      <c r="N148">
        <v>1010</v>
      </c>
      <c r="O148" t="s">
        <v>250</v>
      </c>
      <c r="P148" t="s">
        <v>250</v>
      </c>
      <c r="Q148">
        <v>1</v>
      </c>
      <c r="X148">
        <v>0.3</v>
      </c>
      <c r="Y148">
        <v>11.82</v>
      </c>
      <c r="Z148">
        <v>0</v>
      </c>
      <c r="AA148">
        <v>0</v>
      </c>
      <c r="AB148">
        <v>0</v>
      </c>
      <c r="AC148">
        <v>0</v>
      </c>
      <c r="AD148">
        <v>1</v>
      </c>
      <c r="AE148">
        <v>0</v>
      </c>
      <c r="AF148" t="s">
        <v>3</v>
      </c>
      <c r="AG148">
        <v>0.3</v>
      </c>
      <c r="AH148">
        <v>2</v>
      </c>
      <c r="AI148">
        <v>129763331</v>
      </c>
      <c r="AJ148">
        <v>144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ROW(Source!A231)</f>
        <v>231</v>
      </c>
      <c r="B149">
        <v>129763350</v>
      </c>
      <c r="C149">
        <v>129763341</v>
      </c>
      <c r="D149">
        <v>37345142</v>
      </c>
      <c r="E149">
        <v>37345137</v>
      </c>
      <c r="F149">
        <v>1</v>
      </c>
      <c r="G149">
        <v>37345137</v>
      </c>
      <c r="H149">
        <v>1</v>
      </c>
      <c r="I149" t="s">
        <v>1096</v>
      </c>
      <c r="J149" t="s">
        <v>3</v>
      </c>
      <c r="K149" t="s">
        <v>1097</v>
      </c>
      <c r="L149">
        <v>1191</v>
      </c>
      <c r="N149">
        <v>1013</v>
      </c>
      <c r="O149" t="s">
        <v>1098</v>
      </c>
      <c r="P149" t="s">
        <v>1098</v>
      </c>
      <c r="Q149">
        <v>1</v>
      </c>
      <c r="X149">
        <v>1.1100000000000001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1</v>
      </c>
      <c r="AE149">
        <v>1</v>
      </c>
      <c r="AF149" t="s">
        <v>87</v>
      </c>
      <c r="AG149">
        <v>1.2765</v>
      </c>
      <c r="AH149">
        <v>2</v>
      </c>
      <c r="AI149">
        <v>129763342</v>
      </c>
      <c r="AJ149">
        <v>145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ROW(Source!A231)</f>
        <v>231</v>
      </c>
      <c r="B150">
        <v>129763351</v>
      </c>
      <c r="C150">
        <v>129763341</v>
      </c>
      <c r="D150">
        <v>37418162</v>
      </c>
      <c r="E150">
        <v>1</v>
      </c>
      <c r="F150">
        <v>1</v>
      </c>
      <c r="G150">
        <v>37345137</v>
      </c>
      <c r="H150">
        <v>2</v>
      </c>
      <c r="I150" t="s">
        <v>1174</v>
      </c>
      <c r="J150" t="s">
        <v>1175</v>
      </c>
      <c r="K150" t="s">
        <v>1176</v>
      </c>
      <c r="L150">
        <v>1367</v>
      </c>
      <c r="N150">
        <v>1011</v>
      </c>
      <c r="O150" t="s">
        <v>1102</v>
      </c>
      <c r="P150" t="s">
        <v>1102</v>
      </c>
      <c r="Q150">
        <v>1</v>
      </c>
      <c r="X150">
        <v>0.26</v>
      </c>
      <c r="Y150">
        <v>0</v>
      </c>
      <c r="Z150">
        <v>6.15</v>
      </c>
      <c r="AA150">
        <v>0.02</v>
      </c>
      <c r="AB150">
        <v>0</v>
      </c>
      <c r="AC150">
        <v>0</v>
      </c>
      <c r="AD150">
        <v>1</v>
      </c>
      <c r="AE150">
        <v>0</v>
      </c>
      <c r="AF150" t="s">
        <v>86</v>
      </c>
      <c r="AG150">
        <v>0.32500000000000001</v>
      </c>
      <c r="AH150">
        <v>2</v>
      </c>
      <c r="AI150">
        <v>129763343</v>
      </c>
      <c r="AJ150">
        <v>146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ROW(Source!A231)</f>
        <v>231</v>
      </c>
      <c r="B151">
        <v>129763352</v>
      </c>
      <c r="C151">
        <v>129763341</v>
      </c>
      <c r="D151">
        <v>37418491</v>
      </c>
      <c r="E151">
        <v>1</v>
      </c>
      <c r="F151">
        <v>1</v>
      </c>
      <c r="G151">
        <v>37345137</v>
      </c>
      <c r="H151">
        <v>2</v>
      </c>
      <c r="I151" t="s">
        <v>1177</v>
      </c>
      <c r="J151" t="s">
        <v>1178</v>
      </c>
      <c r="K151" t="s">
        <v>1179</v>
      </c>
      <c r="L151">
        <v>1367</v>
      </c>
      <c r="N151">
        <v>1011</v>
      </c>
      <c r="O151" t="s">
        <v>1102</v>
      </c>
      <c r="P151" t="s">
        <v>1102</v>
      </c>
      <c r="Q151">
        <v>1</v>
      </c>
      <c r="X151">
        <v>0.02</v>
      </c>
      <c r="Y151">
        <v>0</v>
      </c>
      <c r="Z151">
        <v>0.44</v>
      </c>
      <c r="AA151">
        <v>0</v>
      </c>
      <c r="AB151">
        <v>0</v>
      </c>
      <c r="AC151">
        <v>0</v>
      </c>
      <c r="AD151">
        <v>1</v>
      </c>
      <c r="AE151">
        <v>0</v>
      </c>
      <c r="AF151" t="s">
        <v>86</v>
      </c>
      <c r="AG151">
        <v>2.5000000000000001E-2</v>
      </c>
      <c r="AH151">
        <v>2</v>
      </c>
      <c r="AI151">
        <v>129763344</v>
      </c>
      <c r="AJ151">
        <v>147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ROW(Source!A231)</f>
        <v>231</v>
      </c>
      <c r="B152">
        <v>129763353</v>
      </c>
      <c r="C152">
        <v>129763341</v>
      </c>
      <c r="D152">
        <v>37418525</v>
      </c>
      <c r="E152">
        <v>1</v>
      </c>
      <c r="F152">
        <v>1</v>
      </c>
      <c r="G152">
        <v>37345137</v>
      </c>
      <c r="H152">
        <v>2</v>
      </c>
      <c r="I152" t="s">
        <v>1180</v>
      </c>
      <c r="J152" t="s">
        <v>1181</v>
      </c>
      <c r="K152" t="s">
        <v>1182</v>
      </c>
      <c r="L152">
        <v>1367</v>
      </c>
      <c r="N152">
        <v>1011</v>
      </c>
      <c r="O152" t="s">
        <v>1102</v>
      </c>
      <c r="P152" t="s">
        <v>1102</v>
      </c>
      <c r="Q152">
        <v>1</v>
      </c>
      <c r="X152">
        <v>0.15</v>
      </c>
      <c r="Y152">
        <v>0</v>
      </c>
      <c r="Z152">
        <v>0.64</v>
      </c>
      <c r="AA152">
        <v>0.04</v>
      </c>
      <c r="AB152">
        <v>0</v>
      </c>
      <c r="AC152">
        <v>0</v>
      </c>
      <c r="AD152">
        <v>1</v>
      </c>
      <c r="AE152">
        <v>0</v>
      </c>
      <c r="AF152" t="s">
        <v>86</v>
      </c>
      <c r="AG152">
        <v>0.1875</v>
      </c>
      <c r="AH152">
        <v>2</v>
      </c>
      <c r="AI152">
        <v>129763345</v>
      </c>
      <c r="AJ152">
        <v>148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ROW(Source!A231)</f>
        <v>231</v>
      </c>
      <c r="B153">
        <v>129763354</v>
      </c>
      <c r="C153">
        <v>129763341</v>
      </c>
      <c r="D153">
        <v>37418479</v>
      </c>
      <c r="E153">
        <v>1</v>
      </c>
      <c r="F153">
        <v>1</v>
      </c>
      <c r="G153">
        <v>37345137</v>
      </c>
      <c r="H153">
        <v>2</v>
      </c>
      <c r="I153" t="s">
        <v>1183</v>
      </c>
      <c r="J153" t="s">
        <v>1184</v>
      </c>
      <c r="K153" t="s">
        <v>1185</v>
      </c>
      <c r="L153">
        <v>1367</v>
      </c>
      <c r="N153">
        <v>1011</v>
      </c>
      <c r="O153" t="s">
        <v>1102</v>
      </c>
      <c r="P153" t="s">
        <v>1102</v>
      </c>
      <c r="Q153">
        <v>1</v>
      </c>
      <c r="X153">
        <v>0.11</v>
      </c>
      <c r="Y153">
        <v>0</v>
      </c>
      <c r="Z153">
        <v>2.36</v>
      </c>
      <c r="AA153">
        <v>0.1</v>
      </c>
      <c r="AB153">
        <v>0</v>
      </c>
      <c r="AC153">
        <v>0</v>
      </c>
      <c r="AD153">
        <v>1</v>
      </c>
      <c r="AE153">
        <v>0</v>
      </c>
      <c r="AF153" t="s">
        <v>86</v>
      </c>
      <c r="AG153">
        <v>0.13750000000000001</v>
      </c>
      <c r="AH153">
        <v>2</v>
      </c>
      <c r="AI153">
        <v>129763346</v>
      </c>
      <c r="AJ153">
        <v>149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ROW(Source!A231)</f>
        <v>231</v>
      </c>
      <c r="B154">
        <v>129763355</v>
      </c>
      <c r="C154">
        <v>129763341</v>
      </c>
      <c r="D154">
        <v>37345890</v>
      </c>
      <c r="E154">
        <v>37345137</v>
      </c>
      <c r="F154">
        <v>1</v>
      </c>
      <c r="G154">
        <v>37345137</v>
      </c>
      <c r="H154">
        <v>2</v>
      </c>
      <c r="I154" t="s">
        <v>1145</v>
      </c>
      <c r="J154" t="s">
        <v>3</v>
      </c>
      <c r="K154" t="s">
        <v>1146</v>
      </c>
      <c r="L154">
        <v>1344</v>
      </c>
      <c r="N154">
        <v>1008</v>
      </c>
      <c r="O154" t="s">
        <v>1138</v>
      </c>
      <c r="P154" t="s">
        <v>1138</v>
      </c>
      <c r="Q154">
        <v>1</v>
      </c>
      <c r="X154">
        <v>0.01</v>
      </c>
      <c r="Y154">
        <v>0</v>
      </c>
      <c r="Z154">
        <v>1</v>
      </c>
      <c r="AA154">
        <v>0</v>
      </c>
      <c r="AB154">
        <v>0</v>
      </c>
      <c r="AC154">
        <v>0</v>
      </c>
      <c r="AD154">
        <v>1</v>
      </c>
      <c r="AE154">
        <v>0</v>
      </c>
      <c r="AF154" t="s">
        <v>86</v>
      </c>
      <c r="AG154">
        <v>1.2500000000000001E-2</v>
      </c>
      <c r="AH154">
        <v>2</v>
      </c>
      <c r="AI154">
        <v>129763347</v>
      </c>
      <c r="AJ154">
        <v>150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ROW(Source!A231)</f>
        <v>231</v>
      </c>
      <c r="B155">
        <v>129763356</v>
      </c>
      <c r="C155">
        <v>129763341</v>
      </c>
      <c r="D155">
        <v>37395800</v>
      </c>
      <c r="E155">
        <v>1</v>
      </c>
      <c r="F155">
        <v>1</v>
      </c>
      <c r="G155">
        <v>37345137</v>
      </c>
      <c r="H155">
        <v>3</v>
      </c>
      <c r="I155" t="s">
        <v>1186</v>
      </c>
      <c r="J155" t="s">
        <v>1187</v>
      </c>
      <c r="K155" t="s">
        <v>1188</v>
      </c>
      <c r="L155">
        <v>1346</v>
      </c>
      <c r="N155">
        <v>1009</v>
      </c>
      <c r="O155" t="s">
        <v>369</v>
      </c>
      <c r="P155" t="s">
        <v>369</v>
      </c>
      <c r="Q155">
        <v>1</v>
      </c>
      <c r="X155">
        <v>0.02</v>
      </c>
      <c r="Y155">
        <v>20.63</v>
      </c>
      <c r="Z155">
        <v>0</v>
      </c>
      <c r="AA155">
        <v>0</v>
      </c>
      <c r="AB155">
        <v>0</v>
      </c>
      <c r="AC155">
        <v>0</v>
      </c>
      <c r="AD155">
        <v>1</v>
      </c>
      <c r="AE155">
        <v>0</v>
      </c>
      <c r="AF155" t="s">
        <v>3</v>
      </c>
      <c r="AG155">
        <v>0.02</v>
      </c>
      <c r="AH155">
        <v>2</v>
      </c>
      <c r="AI155">
        <v>129763348</v>
      </c>
      <c r="AJ155">
        <v>151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ROW(Source!A231)</f>
        <v>231</v>
      </c>
      <c r="B156">
        <v>129763357</v>
      </c>
      <c r="C156">
        <v>129763341</v>
      </c>
      <c r="D156">
        <v>41571883</v>
      </c>
      <c r="E156">
        <v>37345137</v>
      </c>
      <c r="F156">
        <v>1</v>
      </c>
      <c r="G156">
        <v>37345137</v>
      </c>
      <c r="H156">
        <v>3</v>
      </c>
      <c r="I156" t="s">
        <v>1430</v>
      </c>
      <c r="J156" t="s">
        <v>3</v>
      </c>
      <c r="K156" t="s">
        <v>1431</v>
      </c>
      <c r="L156">
        <v>1354</v>
      </c>
      <c r="N156">
        <v>1010</v>
      </c>
      <c r="O156" t="s">
        <v>250</v>
      </c>
      <c r="P156" t="s">
        <v>250</v>
      </c>
      <c r="Q156">
        <v>1</v>
      </c>
      <c r="X156">
        <v>1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 t="s">
        <v>3</v>
      </c>
      <c r="AG156">
        <v>1</v>
      </c>
      <c r="AH156">
        <v>3</v>
      </c>
      <c r="AI156">
        <v>-1</v>
      </c>
      <c r="AJ156" t="s">
        <v>3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ROW(Source!A232)</f>
        <v>232</v>
      </c>
      <c r="B157">
        <v>129763350</v>
      </c>
      <c r="C157">
        <v>129763341</v>
      </c>
      <c r="D157">
        <v>37345142</v>
      </c>
      <c r="E157">
        <v>37345137</v>
      </c>
      <c r="F157">
        <v>1</v>
      </c>
      <c r="G157">
        <v>37345137</v>
      </c>
      <c r="H157">
        <v>1</v>
      </c>
      <c r="I157" t="s">
        <v>1096</v>
      </c>
      <c r="J157" t="s">
        <v>3</v>
      </c>
      <c r="K157" t="s">
        <v>1097</v>
      </c>
      <c r="L157">
        <v>1191</v>
      </c>
      <c r="N157">
        <v>1013</v>
      </c>
      <c r="O157" t="s">
        <v>1098</v>
      </c>
      <c r="P157" t="s">
        <v>1098</v>
      </c>
      <c r="Q157">
        <v>1</v>
      </c>
      <c r="X157">
        <v>1.1100000000000001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1</v>
      </c>
      <c r="AE157">
        <v>1</v>
      </c>
      <c r="AF157" t="s">
        <v>87</v>
      </c>
      <c r="AG157">
        <v>1.2765</v>
      </c>
      <c r="AH157">
        <v>2</v>
      </c>
      <c r="AI157">
        <v>129763342</v>
      </c>
      <c r="AJ157">
        <v>153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ROW(Source!A232)</f>
        <v>232</v>
      </c>
      <c r="B158">
        <v>129763351</v>
      </c>
      <c r="C158">
        <v>129763341</v>
      </c>
      <c r="D158">
        <v>37418162</v>
      </c>
      <c r="E158">
        <v>1</v>
      </c>
      <c r="F158">
        <v>1</v>
      </c>
      <c r="G158">
        <v>37345137</v>
      </c>
      <c r="H158">
        <v>2</v>
      </c>
      <c r="I158" t="s">
        <v>1174</v>
      </c>
      <c r="J158" t="s">
        <v>1175</v>
      </c>
      <c r="K158" t="s">
        <v>1176</v>
      </c>
      <c r="L158">
        <v>1367</v>
      </c>
      <c r="N158">
        <v>1011</v>
      </c>
      <c r="O158" t="s">
        <v>1102</v>
      </c>
      <c r="P158" t="s">
        <v>1102</v>
      </c>
      <c r="Q158">
        <v>1</v>
      </c>
      <c r="X158">
        <v>0.26</v>
      </c>
      <c r="Y158">
        <v>0</v>
      </c>
      <c r="Z158">
        <v>6.15</v>
      </c>
      <c r="AA158">
        <v>0.02</v>
      </c>
      <c r="AB158">
        <v>0</v>
      </c>
      <c r="AC158">
        <v>0</v>
      </c>
      <c r="AD158">
        <v>1</v>
      </c>
      <c r="AE158">
        <v>0</v>
      </c>
      <c r="AF158" t="s">
        <v>86</v>
      </c>
      <c r="AG158">
        <v>0.32500000000000001</v>
      </c>
      <c r="AH158">
        <v>2</v>
      </c>
      <c r="AI158">
        <v>129763343</v>
      </c>
      <c r="AJ158">
        <v>154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ROW(Source!A232)</f>
        <v>232</v>
      </c>
      <c r="B159">
        <v>129763352</v>
      </c>
      <c r="C159">
        <v>129763341</v>
      </c>
      <c r="D159">
        <v>37418491</v>
      </c>
      <c r="E159">
        <v>1</v>
      </c>
      <c r="F159">
        <v>1</v>
      </c>
      <c r="G159">
        <v>37345137</v>
      </c>
      <c r="H159">
        <v>2</v>
      </c>
      <c r="I159" t="s">
        <v>1177</v>
      </c>
      <c r="J159" t="s">
        <v>1178</v>
      </c>
      <c r="K159" t="s">
        <v>1179</v>
      </c>
      <c r="L159">
        <v>1367</v>
      </c>
      <c r="N159">
        <v>1011</v>
      </c>
      <c r="O159" t="s">
        <v>1102</v>
      </c>
      <c r="P159" t="s">
        <v>1102</v>
      </c>
      <c r="Q159">
        <v>1</v>
      </c>
      <c r="X159">
        <v>0.02</v>
      </c>
      <c r="Y159">
        <v>0</v>
      </c>
      <c r="Z159">
        <v>0.44</v>
      </c>
      <c r="AA159">
        <v>0</v>
      </c>
      <c r="AB159">
        <v>0</v>
      </c>
      <c r="AC159">
        <v>0</v>
      </c>
      <c r="AD159">
        <v>1</v>
      </c>
      <c r="AE159">
        <v>0</v>
      </c>
      <c r="AF159" t="s">
        <v>86</v>
      </c>
      <c r="AG159">
        <v>2.5000000000000001E-2</v>
      </c>
      <c r="AH159">
        <v>2</v>
      </c>
      <c r="AI159">
        <v>129763344</v>
      </c>
      <c r="AJ159">
        <v>155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ROW(Source!A232)</f>
        <v>232</v>
      </c>
      <c r="B160">
        <v>129763353</v>
      </c>
      <c r="C160">
        <v>129763341</v>
      </c>
      <c r="D160">
        <v>37418525</v>
      </c>
      <c r="E160">
        <v>1</v>
      </c>
      <c r="F160">
        <v>1</v>
      </c>
      <c r="G160">
        <v>37345137</v>
      </c>
      <c r="H160">
        <v>2</v>
      </c>
      <c r="I160" t="s">
        <v>1180</v>
      </c>
      <c r="J160" t="s">
        <v>1181</v>
      </c>
      <c r="K160" t="s">
        <v>1182</v>
      </c>
      <c r="L160">
        <v>1367</v>
      </c>
      <c r="N160">
        <v>1011</v>
      </c>
      <c r="O160" t="s">
        <v>1102</v>
      </c>
      <c r="P160" t="s">
        <v>1102</v>
      </c>
      <c r="Q160">
        <v>1</v>
      </c>
      <c r="X160">
        <v>0.15</v>
      </c>
      <c r="Y160">
        <v>0</v>
      </c>
      <c r="Z160">
        <v>0.64</v>
      </c>
      <c r="AA160">
        <v>0.04</v>
      </c>
      <c r="AB160">
        <v>0</v>
      </c>
      <c r="AC160">
        <v>0</v>
      </c>
      <c r="AD160">
        <v>1</v>
      </c>
      <c r="AE160">
        <v>0</v>
      </c>
      <c r="AF160" t="s">
        <v>86</v>
      </c>
      <c r="AG160">
        <v>0.1875</v>
      </c>
      <c r="AH160">
        <v>2</v>
      </c>
      <c r="AI160">
        <v>129763345</v>
      </c>
      <c r="AJ160">
        <v>156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ROW(Source!A232)</f>
        <v>232</v>
      </c>
      <c r="B161">
        <v>129763354</v>
      </c>
      <c r="C161">
        <v>129763341</v>
      </c>
      <c r="D161">
        <v>37418479</v>
      </c>
      <c r="E161">
        <v>1</v>
      </c>
      <c r="F161">
        <v>1</v>
      </c>
      <c r="G161">
        <v>37345137</v>
      </c>
      <c r="H161">
        <v>2</v>
      </c>
      <c r="I161" t="s">
        <v>1183</v>
      </c>
      <c r="J161" t="s">
        <v>1184</v>
      </c>
      <c r="K161" t="s">
        <v>1185</v>
      </c>
      <c r="L161">
        <v>1367</v>
      </c>
      <c r="N161">
        <v>1011</v>
      </c>
      <c r="O161" t="s">
        <v>1102</v>
      </c>
      <c r="P161" t="s">
        <v>1102</v>
      </c>
      <c r="Q161">
        <v>1</v>
      </c>
      <c r="X161">
        <v>0.11</v>
      </c>
      <c r="Y161">
        <v>0</v>
      </c>
      <c r="Z161">
        <v>2.36</v>
      </c>
      <c r="AA161">
        <v>0.1</v>
      </c>
      <c r="AB161">
        <v>0</v>
      </c>
      <c r="AC161">
        <v>0</v>
      </c>
      <c r="AD161">
        <v>1</v>
      </c>
      <c r="AE161">
        <v>0</v>
      </c>
      <c r="AF161" t="s">
        <v>86</v>
      </c>
      <c r="AG161">
        <v>0.13750000000000001</v>
      </c>
      <c r="AH161">
        <v>2</v>
      </c>
      <c r="AI161">
        <v>129763346</v>
      </c>
      <c r="AJ161">
        <v>157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ROW(Source!A232)</f>
        <v>232</v>
      </c>
      <c r="B162">
        <v>129763355</v>
      </c>
      <c r="C162">
        <v>129763341</v>
      </c>
      <c r="D162">
        <v>37345890</v>
      </c>
      <c r="E162">
        <v>37345137</v>
      </c>
      <c r="F162">
        <v>1</v>
      </c>
      <c r="G162">
        <v>37345137</v>
      </c>
      <c r="H162">
        <v>2</v>
      </c>
      <c r="I162" t="s">
        <v>1145</v>
      </c>
      <c r="J162" t="s">
        <v>3</v>
      </c>
      <c r="K162" t="s">
        <v>1146</v>
      </c>
      <c r="L162">
        <v>1344</v>
      </c>
      <c r="N162">
        <v>1008</v>
      </c>
      <c r="O162" t="s">
        <v>1138</v>
      </c>
      <c r="P162" t="s">
        <v>1138</v>
      </c>
      <c r="Q162">
        <v>1</v>
      </c>
      <c r="X162">
        <v>0.01</v>
      </c>
      <c r="Y162">
        <v>0</v>
      </c>
      <c r="Z162">
        <v>1</v>
      </c>
      <c r="AA162">
        <v>0</v>
      </c>
      <c r="AB162">
        <v>0</v>
      </c>
      <c r="AC162">
        <v>0</v>
      </c>
      <c r="AD162">
        <v>1</v>
      </c>
      <c r="AE162">
        <v>0</v>
      </c>
      <c r="AF162" t="s">
        <v>86</v>
      </c>
      <c r="AG162">
        <v>1.2500000000000001E-2</v>
      </c>
      <c r="AH162">
        <v>2</v>
      </c>
      <c r="AI162">
        <v>129763347</v>
      </c>
      <c r="AJ162">
        <v>158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ROW(Source!A232)</f>
        <v>232</v>
      </c>
      <c r="B163">
        <v>129763356</v>
      </c>
      <c r="C163">
        <v>129763341</v>
      </c>
      <c r="D163">
        <v>37395800</v>
      </c>
      <c r="E163">
        <v>1</v>
      </c>
      <c r="F163">
        <v>1</v>
      </c>
      <c r="G163">
        <v>37345137</v>
      </c>
      <c r="H163">
        <v>3</v>
      </c>
      <c r="I163" t="s">
        <v>1186</v>
      </c>
      <c r="J163" t="s">
        <v>1187</v>
      </c>
      <c r="K163" t="s">
        <v>1188</v>
      </c>
      <c r="L163">
        <v>1346</v>
      </c>
      <c r="N163">
        <v>1009</v>
      </c>
      <c r="O163" t="s">
        <v>369</v>
      </c>
      <c r="P163" t="s">
        <v>369</v>
      </c>
      <c r="Q163">
        <v>1</v>
      </c>
      <c r="X163">
        <v>0.02</v>
      </c>
      <c r="Y163">
        <v>20.63</v>
      </c>
      <c r="Z163">
        <v>0</v>
      </c>
      <c r="AA163">
        <v>0</v>
      </c>
      <c r="AB163">
        <v>0</v>
      </c>
      <c r="AC163">
        <v>0</v>
      </c>
      <c r="AD163">
        <v>1</v>
      </c>
      <c r="AE163">
        <v>0</v>
      </c>
      <c r="AF163" t="s">
        <v>3</v>
      </c>
      <c r="AG163">
        <v>0.02</v>
      </c>
      <c r="AH163">
        <v>2</v>
      </c>
      <c r="AI163">
        <v>129763348</v>
      </c>
      <c r="AJ163">
        <v>159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ROW(Source!A232)</f>
        <v>232</v>
      </c>
      <c r="B164">
        <v>129763357</v>
      </c>
      <c r="C164">
        <v>129763341</v>
      </c>
      <c r="D164">
        <v>41571883</v>
      </c>
      <c r="E164">
        <v>37345137</v>
      </c>
      <c r="F164">
        <v>1</v>
      </c>
      <c r="G164">
        <v>37345137</v>
      </c>
      <c r="H164">
        <v>3</v>
      </c>
      <c r="I164" t="s">
        <v>1430</v>
      </c>
      <c r="J164" t="s">
        <v>3</v>
      </c>
      <c r="K164" t="s">
        <v>1431</v>
      </c>
      <c r="L164">
        <v>1354</v>
      </c>
      <c r="N164">
        <v>1010</v>
      </c>
      <c r="O164" t="s">
        <v>250</v>
      </c>
      <c r="P164" t="s">
        <v>250</v>
      </c>
      <c r="Q164">
        <v>1</v>
      </c>
      <c r="X164">
        <v>1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 t="s">
        <v>3</v>
      </c>
      <c r="AG164">
        <v>1</v>
      </c>
      <c r="AH164">
        <v>3</v>
      </c>
      <c r="AI164">
        <v>-1</v>
      </c>
      <c r="AJ164" t="s">
        <v>3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ROW(Source!A235)</f>
        <v>235</v>
      </c>
      <c r="B165">
        <v>129763375</v>
      </c>
      <c r="C165">
        <v>129763359</v>
      </c>
      <c r="D165">
        <v>37345142</v>
      </c>
      <c r="E165">
        <v>37345137</v>
      </c>
      <c r="F165">
        <v>1</v>
      </c>
      <c r="G165">
        <v>37345137</v>
      </c>
      <c r="H165">
        <v>1</v>
      </c>
      <c r="I165" t="s">
        <v>1096</v>
      </c>
      <c r="J165" t="s">
        <v>3</v>
      </c>
      <c r="K165" t="s">
        <v>1097</v>
      </c>
      <c r="L165">
        <v>1191</v>
      </c>
      <c r="N165">
        <v>1013</v>
      </c>
      <c r="O165" t="s">
        <v>1098</v>
      </c>
      <c r="P165" t="s">
        <v>1098</v>
      </c>
      <c r="Q165">
        <v>1</v>
      </c>
      <c r="X165">
        <v>89.9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1</v>
      </c>
      <c r="AE165">
        <v>1</v>
      </c>
      <c r="AF165" t="s">
        <v>87</v>
      </c>
      <c r="AG165">
        <v>103.38500000000001</v>
      </c>
      <c r="AH165">
        <v>2</v>
      </c>
      <c r="AI165">
        <v>129763360</v>
      </c>
      <c r="AJ165">
        <v>161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ROW(Source!A235)</f>
        <v>235</v>
      </c>
      <c r="B166">
        <v>129763376</v>
      </c>
      <c r="C166">
        <v>129763359</v>
      </c>
      <c r="D166">
        <v>37418445</v>
      </c>
      <c r="E166">
        <v>1</v>
      </c>
      <c r="F166">
        <v>1</v>
      </c>
      <c r="G166">
        <v>37345137</v>
      </c>
      <c r="H166">
        <v>2</v>
      </c>
      <c r="I166" t="s">
        <v>1189</v>
      </c>
      <c r="J166" t="s">
        <v>1190</v>
      </c>
      <c r="K166" t="s">
        <v>1191</v>
      </c>
      <c r="L166">
        <v>1367</v>
      </c>
      <c r="N166">
        <v>1011</v>
      </c>
      <c r="O166" t="s">
        <v>1102</v>
      </c>
      <c r="P166" t="s">
        <v>1102</v>
      </c>
      <c r="Q166">
        <v>1</v>
      </c>
      <c r="X166">
        <v>1.83</v>
      </c>
      <c r="Y166">
        <v>0</v>
      </c>
      <c r="Z166">
        <v>76.81</v>
      </c>
      <c r="AA166">
        <v>14.36</v>
      </c>
      <c r="AB166">
        <v>0</v>
      </c>
      <c r="AC166">
        <v>0</v>
      </c>
      <c r="AD166">
        <v>1</v>
      </c>
      <c r="AE166">
        <v>0</v>
      </c>
      <c r="AF166" t="s">
        <v>86</v>
      </c>
      <c r="AG166">
        <v>2.2875000000000001</v>
      </c>
      <c r="AH166">
        <v>2</v>
      </c>
      <c r="AI166">
        <v>129763361</v>
      </c>
      <c r="AJ166">
        <v>162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ROW(Source!A235)</f>
        <v>235</v>
      </c>
      <c r="B167">
        <v>129763377</v>
      </c>
      <c r="C167">
        <v>129763359</v>
      </c>
      <c r="D167">
        <v>37417692</v>
      </c>
      <c r="E167">
        <v>1</v>
      </c>
      <c r="F167">
        <v>1</v>
      </c>
      <c r="G167">
        <v>37345137</v>
      </c>
      <c r="H167">
        <v>2</v>
      </c>
      <c r="I167" t="s">
        <v>1127</v>
      </c>
      <c r="J167" t="s">
        <v>1128</v>
      </c>
      <c r="K167" t="s">
        <v>1129</v>
      </c>
      <c r="L167">
        <v>1367</v>
      </c>
      <c r="N167">
        <v>1011</v>
      </c>
      <c r="O167" t="s">
        <v>1102</v>
      </c>
      <c r="P167" t="s">
        <v>1102</v>
      </c>
      <c r="Q167">
        <v>1</v>
      </c>
      <c r="X167">
        <v>1.52</v>
      </c>
      <c r="Y167">
        <v>0</v>
      </c>
      <c r="Z167">
        <v>190.93</v>
      </c>
      <c r="AA167">
        <v>18.149999999999999</v>
      </c>
      <c r="AB167">
        <v>0</v>
      </c>
      <c r="AC167">
        <v>0</v>
      </c>
      <c r="AD167">
        <v>1</v>
      </c>
      <c r="AE167">
        <v>0</v>
      </c>
      <c r="AF167" t="s">
        <v>86</v>
      </c>
      <c r="AG167">
        <v>1.9</v>
      </c>
      <c r="AH167">
        <v>2</v>
      </c>
      <c r="AI167">
        <v>129763362</v>
      </c>
      <c r="AJ167">
        <v>163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ROW(Source!A235)</f>
        <v>235</v>
      </c>
      <c r="B168">
        <v>129763378</v>
      </c>
      <c r="C168">
        <v>129763359</v>
      </c>
      <c r="D168">
        <v>37417908</v>
      </c>
      <c r="E168">
        <v>1</v>
      </c>
      <c r="F168">
        <v>1</v>
      </c>
      <c r="G168">
        <v>37345137</v>
      </c>
      <c r="H168">
        <v>2</v>
      </c>
      <c r="I168" t="s">
        <v>1192</v>
      </c>
      <c r="J168" t="s">
        <v>1193</v>
      </c>
      <c r="K168" t="s">
        <v>1194</v>
      </c>
      <c r="L168">
        <v>1367</v>
      </c>
      <c r="N168">
        <v>1011</v>
      </c>
      <c r="O168" t="s">
        <v>1102</v>
      </c>
      <c r="P168" t="s">
        <v>1102</v>
      </c>
      <c r="Q168">
        <v>1</v>
      </c>
      <c r="X168">
        <v>1.79</v>
      </c>
      <c r="Y168">
        <v>0</v>
      </c>
      <c r="Z168">
        <v>13.14</v>
      </c>
      <c r="AA168">
        <v>0.02</v>
      </c>
      <c r="AB168">
        <v>0</v>
      </c>
      <c r="AC168">
        <v>0</v>
      </c>
      <c r="AD168">
        <v>1</v>
      </c>
      <c r="AE168">
        <v>0</v>
      </c>
      <c r="AF168" t="s">
        <v>86</v>
      </c>
      <c r="AG168">
        <v>2.2374999999999998</v>
      </c>
      <c r="AH168">
        <v>2</v>
      </c>
      <c r="AI168">
        <v>129763363</v>
      </c>
      <c r="AJ168">
        <v>164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ROW(Source!A235)</f>
        <v>235</v>
      </c>
      <c r="B169">
        <v>129763379</v>
      </c>
      <c r="C169">
        <v>129763359</v>
      </c>
      <c r="D169">
        <v>37394364</v>
      </c>
      <c r="E169">
        <v>1</v>
      </c>
      <c r="F169">
        <v>1</v>
      </c>
      <c r="G169">
        <v>37345137</v>
      </c>
      <c r="H169">
        <v>3</v>
      </c>
      <c r="I169" t="s">
        <v>1195</v>
      </c>
      <c r="J169" t="s">
        <v>1196</v>
      </c>
      <c r="K169" t="s">
        <v>1197</v>
      </c>
      <c r="L169">
        <v>1348</v>
      </c>
      <c r="N169">
        <v>1009</v>
      </c>
      <c r="O169" t="s">
        <v>114</v>
      </c>
      <c r="P169" t="s">
        <v>114</v>
      </c>
      <c r="Q169">
        <v>1000</v>
      </c>
      <c r="X169">
        <v>2.3599999999999999E-2</v>
      </c>
      <c r="Y169">
        <v>1463.45</v>
      </c>
      <c r="Z169">
        <v>0</v>
      </c>
      <c r="AA169">
        <v>0</v>
      </c>
      <c r="AB169">
        <v>0</v>
      </c>
      <c r="AC169">
        <v>0</v>
      </c>
      <c r="AD169">
        <v>1</v>
      </c>
      <c r="AE169">
        <v>0</v>
      </c>
      <c r="AF169" t="s">
        <v>3</v>
      </c>
      <c r="AG169">
        <v>2.3599999999999999E-2</v>
      </c>
      <c r="AH169">
        <v>2</v>
      </c>
      <c r="AI169">
        <v>129763364</v>
      </c>
      <c r="AJ169">
        <v>165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ROW(Source!A235)</f>
        <v>235</v>
      </c>
      <c r="B170">
        <v>129763380</v>
      </c>
      <c r="C170">
        <v>129763359</v>
      </c>
      <c r="D170">
        <v>37393565</v>
      </c>
      <c r="E170">
        <v>1</v>
      </c>
      <c r="F170">
        <v>1</v>
      </c>
      <c r="G170">
        <v>37345137</v>
      </c>
      <c r="H170">
        <v>3</v>
      </c>
      <c r="I170" t="s">
        <v>1198</v>
      </c>
      <c r="J170" t="s">
        <v>1199</v>
      </c>
      <c r="K170" t="s">
        <v>1200</v>
      </c>
      <c r="L170">
        <v>1348</v>
      </c>
      <c r="N170">
        <v>1009</v>
      </c>
      <c r="O170" t="s">
        <v>114</v>
      </c>
      <c r="P170" t="s">
        <v>114</v>
      </c>
      <c r="Q170">
        <v>1000</v>
      </c>
      <c r="X170">
        <v>4.13E-3</v>
      </c>
      <c r="Y170">
        <v>6521.42</v>
      </c>
      <c r="Z170">
        <v>0</v>
      </c>
      <c r="AA170">
        <v>0</v>
      </c>
      <c r="AB170">
        <v>0</v>
      </c>
      <c r="AC170">
        <v>0</v>
      </c>
      <c r="AD170">
        <v>1</v>
      </c>
      <c r="AE170">
        <v>0</v>
      </c>
      <c r="AF170" t="s">
        <v>3</v>
      </c>
      <c r="AG170">
        <v>4.13E-3</v>
      </c>
      <c r="AH170">
        <v>2</v>
      </c>
      <c r="AI170">
        <v>129763365</v>
      </c>
      <c r="AJ170">
        <v>166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ROW(Source!A235)</f>
        <v>235</v>
      </c>
      <c r="B171">
        <v>129763381</v>
      </c>
      <c r="C171">
        <v>129763359</v>
      </c>
      <c r="D171">
        <v>37393566</v>
      </c>
      <c r="E171">
        <v>1</v>
      </c>
      <c r="F171">
        <v>1</v>
      </c>
      <c r="G171">
        <v>37345137</v>
      </c>
      <c r="H171">
        <v>3</v>
      </c>
      <c r="I171" t="s">
        <v>1201</v>
      </c>
      <c r="J171" t="s">
        <v>1202</v>
      </c>
      <c r="K171" t="s">
        <v>1203</v>
      </c>
      <c r="L171">
        <v>1348</v>
      </c>
      <c r="N171">
        <v>1009</v>
      </c>
      <c r="O171" t="s">
        <v>114</v>
      </c>
      <c r="P171" t="s">
        <v>114</v>
      </c>
      <c r="Q171">
        <v>1000</v>
      </c>
      <c r="X171">
        <v>2.0999999999999999E-3</v>
      </c>
      <c r="Y171">
        <v>7875.24</v>
      </c>
      <c r="Z171">
        <v>0</v>
      </c>
      <c r="AA171">
        <v>0</v>
      </c>
      <c r="AB171">
        <v>0</v>
      </c>
      <c r="AC171">
        <v>0</v>
      </c>
      <c r="AD171">
        <v>1</v>
      </c>
      <c r="AE171">
        <v>0</v>
      </c>
      <c r="AF171" t="s">
        <v>3</v>
      </c>
      <c r="AG171">
        <v>2.0999999999999999E-3</v>
      </c>
      <c r="AH171">
        <v>2</v>
      </c>
      <c r="AI171">
        <v>129763366</v>
      </c>
      <c r="AJ171">
        <v>167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ROW(Source!A235)</f>
        <v>235</v>
      </c>
      <c r="B172">
        <v>129763382</v>
      </c>
      <c r="C172">
        <v>129763359</v>
      </c>
      <c r="D172">
        <v>37393578</v>
      </c>
      <c r="E172">
        <v>1</v>
      </c>
      <c r="F172">
        <v>1</v>
      </c>
      <c r="G172">
        <v>37345137</v>
      </c>
      <c r="H172">
        <v>3</v>
      </c>
      <c r="I172" t="s">
        <v>1204</v>
      </c>
      <c r="J172" t="s">
        <v>1205</v>
      </c>
      <c r="K172" t="s">
        <v>1206</v>
      </c>
      <c r="L172">
        <v>1348</v>
      </c>
      <c r="N172">
        <v>1009</v>
      </c>
      <c r="O172" t="s">
        <v>114</v>
      </c>
      <c r="P172" t="s">
        <v>114</v>
      </c>
      <c r="Q172">
        <v>1000</v>
      </c>
      <c r="X172">
        <v>1.6E-2</v>
      </c>
      <c r="Y172">
        <v>1227.3800000000001</v>
      </c>
      <c r="Z172">
        <v>0</v>
      </c>
      <c r="AA172">
        <v>0</v>
      </c>
      <c r="AB172">
        <v>0</v>
      </c>
      <c r="AC172">
        <v>0</v>
      </c>
      <c r="AD172">
        <v>1</v>
      </c>
      <c r="AE172">
        <v>0</v>
      </c>
      <c r="AF172" t="s">
        <v>3</v>
      </c>
      <c r="AG172">
        <v>1.6E-2</v>
      </c>
      <c r="AH172">
        <v>2</v>
      </c>
      <c r="AI172">
        <v>129763367</v>
      </c>
      <c r="AJ172">
        <v>168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ROW(Source!A235)</f>
        <v>235</v>
      </c>
      <c r="B173">
        <v>129763383</v>
      </c>
      <c r="C173">
        <v>129763359</v>
      </c>
      <c r="D173">
        <v>37393655</v>
      </c>
      <c r="E173">
        <v>1</v>
      </c>
      <c r="F173">
        <v>1</v>
      </c>
      <c r="G173">
        <v>37345137</v>
      </c>
      <c r="H173">
        <v>3</v>
      </c>
      <c r="I173" t="s">
        <v>1207</v>
      </c>
      <c r="J173" t="s">
        <v>1208</v>
      </c>
      <c r="K173" t="s">
        <v>1209</v>
      </c>
      <c r="L173">
        <v>1339</v>
      </c>
      <c r="N173">
        <v>1007</v>
      </c>
      <c r="O173" t="s">
        <v>94</v>
      </c>
      <c r="P173" t="s">
        <v>94</v>
      </c>
      <c r="Q173">
        <v>1</v>
      </c>
      <c r="X173">
        <v>0.08</v>
      </c>
      <c r="Y173">
        <v>1828.56</v>
      </c>
      <c r="Z173">
        <v>0</v>
      </c>
      <c r="AA173">
        <v>0</v>
      </c>
      <c r="AB173">
        <v>0</v>
      </c>
      <c r="AC173">
        <v>0</v>
      </c>
      <c r="AD173">
        <v>1</v>
      </c>
      <c r="AE173">
        <v>0</v>
      </c>
      <c r="AF173" t="s">
        <v>3</v>
      </c>
      <c r="AG173">
        <v>0.08</v>
      </c>
      <c r="AH173">
        <v>2</v>
      </c>
      <c r="AI173">
        <v>129763368</v>
      </c>
      <c r="AJ173">
        <v>169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ROW(Source!A235)</f>
        <v>235</v>
      </c>
      <c r="B174">
        <v>129763384</v>
      </c>
      <c r="C174">
        <v>129763359</v>
      </c>
      <c r="D174">
        <v>37394092</v>
      </c>
      <c r="E174">
        <v>1</v>
      </c>
      <c r="F174">
        <v>1</v>
      </c>
      <c r="G174">
        <v>37345137</v>
      </c>
      <c r="H174">
        <v>3</v>
      </c>
      <c r="I174" t="s">
        <v>1210</v>
      </c>
      <c r="J174" t="s">
        <v>1211</v>
      </c>
      <c r="K174" t="s">
        <v>1212</v>
      </c>
      <c r="L174">
        <v>1346</v>
      </c>
      <c r="N174">
        <v>1009</v>
      </c>
      <c r="O174" t="s">
        <v>369</v>
      </c>
      <c r="P174" t="s">
        <v>369</v>
      </c>
      <c r="Q174">
        <v>1</v>
      </c>
      <c r="X174">
        <v>108</v>
      </c>
      <c r="Y174">
        <v>9.86</v>
      </c>
      <c r="Z174">
        <v>0</v>
      </c>
      <c r="AA174">
        <v>0</v>
      </c>
      <c r="AB174">
        <v>0</v>
      </c>
      <c r="AC174">
        <v>0</v>
      </c>
      <c r="AD174">
        <v>1</v>
      </c>
      <c r="AE174">
        <v>0</v>
      </c>
      <c r="AF174" t="s">
        <v>3</v>
      </c>
      <c r="AG174">
        <v>108</v>
      </c>
      <c r="AH174">
        <v>2</v>
      </c>
      <c r="AI174">
        <v>129763369</v>
      </c>
      <c r="AJ174">
        <v>170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ROW(Source!A235)</f>
        <v>235</v>
      </c>
      <c r="B175">
        <v>129763385</v>
      </c>
      <c r="C175">
        <v>129763359</v>
      </c>
      <c r="D175">
        <v>37394110</v>
      </c>
      <c r="E175">
        <v>1</v>
      </c>
      <c r="F175">
        <v>1</v>
      </c>
      <c r="G175">
        <v>37345137</v>
      </c>
      <c r="H175">
        <v>3</v>
      </c>
      <c r="I175" t="s">
        <v>1213</v>
      </c>
      <c r="J175" t="s">
        <v>1214</v>
      </c>
      <c r="K175" t="s">
        <v>1215</v>
      </c>
      <c r="L175">
        <v>1327</v>
      </c>
      <c r="N175">
        <v>1005</v>
      </c>
      <c r="O175" t="s">
        <v>258</v>
      </c>
      <c r="P175" t="s">
        <v>258</v>
      </c>
      <c r="Q175">
        <v>1</v>
      </c>
      <c r="X175">
        <v>89</v>
      </c>
      <c r="Y175">
        <v>5.51</v>
      </c>
      <c r="Z175">
        <v>0</v>
      </c>
      <c r="AA175">
        <v>0</v>
      </c>
      <c r="AB175">
        <v>0</v>
      </c>
      <c r="AC175">
        <v>0</v>
      </c>
      <c r="AD175">
        <v>1</v>
      </c>
      <c r="AE175">
        <v>0</v>
      </c>
      <c r="AF175" t="s">
        <v>3</v>
      </c>
      <c r="AG175">
        <v>89</v>
      </c>
      <c r="AH175">
        <v>2</v>
      </c>
      <c r="AI175">
        <v>129763370</v>
      </c>
      <c r="AJ175">
        <v>171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ROW(Source!A235)</f>
        <v>235</v>
      </c>
      <c r="B176">
        <v>129763386</v>
      </c>
      <c r="C176">
        <v>129763359</v>
      </c>
      <c r="D176">
        <v>37412072</v>
      </c>
      <c r="E176">
        <v>1</v>
      </c>
      <c r="F176">
        <v>1</v>
      </c>
      <c r="G176">
        <v>37345137</v>
      </c>
      <c r="H176">
        <v>3</v>
      </c>
      <c r="I176" t="s">
        <v>1216</v>
      </c>
      <c r="J176" t="s">
        <v>1217</v>
      </c>
      <c r="K176" t="s">
        <v>1218</v>
      </c>
      <c r="L176">
        <v>1339</v>
      </c>
      <c r="N176">
        <v>1007</v>
      </c>
      <c r="O176" t="s">
        <v>94</v>
      </c>
      <c r="P176" t="s">
        <v>94</v>
      </c>
      <c r="Q176">
        <v>1</v>
      </c>
      <c r="X176">
        <v>0.105</v>
      </c>
      <c r="Y176">
        <v>540.41999999999996</v>
      </c>
      <c r="Z176">
        <v>0</v>
      </c>
      <c r="AA176">
        <v>0</v>
      </c>
      <c r="AB176">
        <v>0</v>
      </c>
      <c r="AC176">
        <v>0</v>
      </c>
      <c r="AD176">
        <v>1</v>
      </c>
      <c r="AE176">
        <v>0</v>
      </c>
      <c r="AF176" t="s">
        <v>3</v>
      </c>
      <c r="AG176">
        <v>0.105</v>
      </c>
      <c r="AH176">
        <v>2</v>
      </c>
      <c r="AI176">
        <v>129763371</v>
      </c>
      <c r="AJ176">
        <v>172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ROW(Source!A235)</f>
        <v>235</v>
      </c>
      <c r="B177">
        <v>129763387</v>
      </c>
      <c r="C177">
        <v>129763359</v>
      </c>
      <c r="D177">
        <v>37415873</v>
      </c>
      <c r="E177">
        <v>1</v>
      </c>
      <c r="F177">
        <v>1</v>
      </c>
      <c r="G177">
        <v>37345137</v>
      </c>
      <c r="H177">
        <v>3</v>
      </c>
      <c r="I177" t="s">
        <v>1219</v>
      </c>
      <c r="J177" t="s">
        <v>1220</v>
      </c>
      <c r="K177" t="s">
        <v>1221</v>
      </c>
      <c r="L177">
        <v>1346</v>
      </c>
      <c r="N177">
        <v>1009</v>
      </c>
      <c r="O177" t="s">
        <v>369</v>
      </c>
      <c r="P177" t="s">
        <v>369</v>
      </c>
      <c r="Q177">
        <v>1</v>
      </c>
      <c r="X177">
        <v>37.5</v>
      </c>
      <c r="Y177">
        <v>4.37</v>
      </c>
      <c r="Z177">
        <v>0</v>
      </c>
      <c r="AA177">
        <v>0</v>
      </c>
      <c r="AB177">
        <v>0</v>
      </c>
      <c r="AC177">
        <v>0</v>
      </c>
      <c r="AD177">
        <v>1</v>
      </c>
      <c r="AE177">
        <v>0</v>
      </c>
      <c r="AF177" t="s">
        <v>3</v>
      </c>
      <c r="AG177">
        <v>37.5</v>
      </c>
      <c r="AH177">
        <v>2</v>
      </c>
      <c r="AI177">
        <v>129763372</v>
      </c>
      <c r="AJ177">
        <v>173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ROW(Source!A235)</f>
        <v>235</v>
      </c>
      <c r="B178">
        <v>129763388</v>
      </c>
      <c r="C178">
        <v>129763359</v>
      </c>
      <c r="D178">
        <v>37361607</v>
      </c>
      <c r="E178">
        <v>37345137</v>
      </c>
      <c r="F178">
        <v>1</v>
      </c>
      <c r="G178">
        <v>37345137</v>
      </c>
      <c r="H178">
        <v>3</v>
      </c>
      <c r="I178" t="s">
        <v>1432</v>
      </c>
      <c r="J178" t="s">
        <v>3</v>
      </c>
      <c r="K178" t="s">
        <v>1433</v>
      </c>
      <c r="L178">
        <v>1391</v>
      </c>
      <c r="N178">
        <v>1013</v>
      </c>
      <c r="O178" t="s">
        <v>238</v>
      </c>
      <c r="P178" t="s">
        <v>238</v>
      </c>
      <c r="Q178">
        <v>1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 t="s">
        <v>3</v>
      </c>
      <c r="AG178">
        <v>0</v>
      </c>
      <c r="AH178">
        <v>3</v>
      </c>
      <c r="AI178">
        <v>-1</v>
      </c>
      <c r="AJ178" t="s">
        <v>3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ROW(Source!A235)</f>
        <v>235</v>
      </c>
      <c r="B179">
        <v>129763389</v>
      </c>
      <c r="C179">
        <v>129763359</v>
      </c>
      <c r="D179">
        <v>37359196</v>
      </c>
      <c r="E179">
        <v>37345137</v>
      </c>
      <c r="F179">
        <v>1</v>
      </c>
      <c r="G179">
        <v>37345137</v>
      </c>
      <c r="H179">
        <v>3</v>
      </c>
      <c r="I179" t="s">
        <v>1434</v>
      </c>
      <c r="J179" t="s">
        <v>3</v>
      </c>
      <c r="K179" t="s">
        <v>1435</v>
      </c>
      <c r="L179">
        <v>1327</v>
      </c>
      <c r="N179">
        <v>1005</v>
      </c>
      <c r="O179" t="s">
        <v>258</v>
      </c>
      <c r="P179" t="s">
        <v>258</v>
      </c>
      <c r="Q179">
        <v>1</v>
      </c>
      <c r="X179">
        <v>100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 t="s">
        <v>3</v>
      </c>
      <c r="AG179">
        <v>100</v>
      </c>
      <c r="AH179">
        <v>3</v>
      </c>
      <c r="AI179">
        <v>-1</v>
      </c>
      <c r="AJ179" t="s">
        <v>3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ROW(Source!A236)</f>
        <v>236</v>
      </c>
      <c r="B180">
        <v>129763375</v>
      </c>
      <c r="C180">
        <v>129763359</v>
      </c>
      <c r="D180">
        <v>37345142</v>
      </c>
      <c r="E180">
        <v>37345137</v>
      </c>
      <c r="F180">
        <v>1</v>
      </c>
      <c r="G180">
        <v>37345137</v>
      </c>
      <c r="H180">
        <v>1</v>
      </c>
      <c r="I180" t="s">
        <v>1096</v>
      </c>
      <c r="J180" t="s">
        <v>3</v>
      </c>
      <c r="K180" t="s">
        <v>1097</v>
      </c>
      <c r="L180">
        <v>1191</v>
      </c>
      <c r="N180">
        <v>1013</v>
      </c>
      <c r="O180" t="s">
        <v>1098</v>
      </c>
      <c r="P180" t="s">
        <v>1098</v>
      </c>
      <c r="Q180">
        <v>1</v>
      </c>
      <c r="X180">
        <v>89.9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1</v>
      </c>
      <c r="AE180">
        <v>1</v>
      </c>
      <c r="AF180" t="s">
        <v>87</v>
      </c>
      <c r="AG180">
        <v>103.38500000000001</v>
      </c>
      <c r="AH180">
        <v>2</v>
      </c>
      <c r="AI180">
        <v>129763360</v>
      </c>
      <c r="AJ180">
        <v>176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ROW(Source!A236)</f>
        <v>236</v>
      </c>
      <c r="B181">
        <v>129763376</v>
      </c>
      <c r="C181">
        <v>129763359</v>
      </c>
      <c r="D181">
        <v>37418445</v>
      </c>
      <c r="E181">
        <v>1</v>
      </c>
      <c r="F181">
        <v>1</v>
      </c>
      <c r="G181">
        <v>37345137</v>
      </c>
      <c r="H181">
        <v>2</v>
      </c>
      <c r="I181" t="s">
        <v>1189</v>
      </c>
      <c r="J181" t="s">
        <v>1190</v>
      </c>
      <c r="K181" t="s">
        <v>1191</v>
      </c>
      <c r="L181">
        <v>1367</v>
      </c>
      <c r="N181">
        <v>1011</v>
      </c>
      <c r="O181" t="s">
        <v>1102</v>
      </c>
      <c r="P181" t="s">
        <v>1102</v>
      </c>
      <c r="Q181">
        <v>1</v>
      </c>
      <c r="X181">
        <v>1.83</v>
      </c>
      <c r="Y181">
        <v>0</v>
      </c>
      <c r="Z181">
        <v>76.81</v>
      </c>
      <c r="AA181">
        <v>14.36</v>
      </c>
      <c r="AB181">
        <v>0</v>
      </c>
      <c r="AC181">
        <v>0</v>
      </c>
      <c r="AD181">
        <v>1</v>
      </c>
      <c r="AE181">
        <v>0</v>
      </c>
      <c r="AF181" t="s">
        <v>86</v>
      </c>
      <c r="AG181">
        <v>2.2875000000000001</v>
      </c>
      <c r="AH181">
        <v>2</v>
      </c>
      <c r="AI181">
        <v>129763361</v>
      </c>
      <c r="AJ181">
        <v>177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ROW(Source!A236)</f>
        <v>236</v>
      </c>
      <c r="B182">
        <v>129763377</v>
      </c>
      <c r="C182">
        <v>129763359</v>
      </c>
      <c r="D182">
        <v>37417692</v>
      </c>
      <c r="E182">
        <v>1</v>
      </c>
      <c r="F182">
        <v>1</v>
      </c>
      <c r="G182">
        <v>37345137</v>
      </c>
      <c r="H182">
        <v>2</v>
      </c>
      <c r="I182" t="s">
        <v>1127</v>
      </c>
      <c r="J182" t="s">
        <v>1128</v>
      </c>
      <c r="K182" t="s">
        <v>1129</v>
      </c>
      <c r="L182">
        <v>1367</v>
      </c>
      <c r="N182">
        <v>1011</v>
      </c>
      <c r="O182" t="s">
        <v>1102</v>
      </c>
      <c r="P182" t="s">
        <v>1102</v>
      </c>
      <c r="Q182">
        <v>1</v>
      </c>
      <c r="X182">
        <v>1.52</v>
      </c>
      <c r="Y182">
        <v>0</v>
      </c>
      <c r="Z182">
        <v>190.93</v>
      </c>
      <c r="AA182">
        <v>18.149999999999999</v>
      </c>
      <c r="AB182">
        <v>0</v>
      </c>
      <c r="AC182">
        <v>0</v>
      </c>
      <c r="AD182">
        <v>1</v>
      </c>
      <c r="AE182">
        <v>0</v>
      </c>
      <c r="AF182" t="s">
        <v>86</v>
      </c>
      <c r="AG182">
        <v>1.9</v>
      </c>
      <c r="AH182">
        <v>2</v>
      </c>
      <c r="AI182">
        <v>129763362</v>
      </c>
      <c r="AJ182">
        <v>178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ROW(Source!A236)</f>
        <v>236</v>
      </c>
      <c r="B183">
        <v>129763378</v>
      </c>
      <c r="C183">
        <v>129763359</v>
      </c>
      <c r="D183">
        <v>37417908</v>
      </c>
      <c r="E183">
        <v>1</v>
      </c>
      <c r="F183">
        <v>1</v>
      </c>
      <c r="G183">
        <v>37345137</v>
      </c>
      <c r="H183">
        <v>2</v>
      </c>
      <c r="I183" t="s">
        <v>1192</v>
      </c>
      <c r="J183" t="s">
        <v>1193</v>
      </c>
      <c r="K183" t="s">
        <v>1194</v>
      </c>
      <c r="L183">
        <v>1367</v>
      </c>
      <c r="N183">
        <v>1011</v>
      </c>
      <c r="O183" t="s">
        <v>1102</v>
      </c>
      <c r="P183" t="s">
        <v>1102</v>
      </c>
      <c r="Q183">
        <v>1</v>
      </c>
      <c r="X183">
        <v>1.79</v>
      </c>
      <c r="Y183">
        <v>0</v>
      </c>
      <c r="Z183">
        <v>13.14</v>
      </c>
      <c r="AA183">
        <v>0.02</v>
      </c>
      <c r="AB183">
        <v>0</v>
      </c>
      <c r="AC183">
        <v>0</v>
      </c>
      <c r="AD183">
        <v>1</v>
      </c>
      <c r="AE183">
        <v>0</v>
      </c>
      <c r="AF183" t="s">
        <v>86</v>
      </c>
      <c r="AG183">
        <v>2.2374999999999998</v>
      </c>
      <c r="AH183">
        <v>2</v>
      </c>
      <c r="AI183">
        <v>129763363</v>
      </c>
      <c r="AJ183">
        <v>179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ROW(Source!A236)</f>
        <v>236</v>
      </c>
      <c r="B184">
        <v>129763379</v>
      </c>
      <c r="C184">
        <v>129763359</v>
      </c>
      <c r="D184">
        <v>37394364</v>
      </c>
      <c r="E184">
        <v>1</v>
      </c>
      <c r="F184">
        <v>1</v>
      </c>
      <c r="G184">
        <v>37345137</v>
      </c>
      <c r="H184">
        <v>3</v>
      </c>
      <c r="I184" t="s">
        <v>1195</v>
      </c>
      <c r="J184" t="s">
        <v>1196</v>
      </c>
      <c r="K184" t="s">
        <v>1197</v>
      </c>
      <c r="L184">
        <v>1348</v>
      </c>
      <c r="N184">
        <v>1009</v>
      </c>
      <c r="O184" t="s">
        <v>114</v>
      </c>
      <c r="P184" t="s">
        <v>114</v>
      </c>
      <c r="Q184">
        <v>1000</v>
      </c>
      <c r="X184">
        <v>2.3599999999999999E-2</v>
      </c>
      <c r="Y184">
        <v>1463.45</v>
      </c>
      <c r="Z184">
        <v>0</v>
      </c>
      <c r="AA184">
        <v>0</v>
      </c>
      <c r="AB184">
        <v>0</v>
      </c>
      <c r="AC184">
        <v>0</v>
      </c>
      <c r="AD184">
        <v>1</v>
      </c>
      <c r="AE184">
        <v>0</v>
      </c>
      <c r="AF184" t="s">
        <v>3</v>
      </c>
      <c r="AG184">
        <v>2.3599999999999999E-2</v>
      </c>
      <c r="AH184">
        <v>2</v>
      </c>
      <c r="AI184">
        <v>129763364</v>
      </c>
      <c r="AJ184">
        <v>180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ROW(Source!A236)</f>
        <v>236</v>
      </c>
      <c r="B185">
        <v>129763380</v>
      </c>
      <c r="C185">
        <v>129763359</v>
      </c>
      <c r="D185">
        <v>37393565</v>
      </c>
      <c r="E185">
        <v>1</v>
      </c>
      <c r="F185">
        <v>1</v>
      </c>
      <c r="G185">
        <v>37345137</v>
      </c>
      <c r="H185">
        <v>3</v>
      </c>
      <c r="I185" t="s">
        <v>1198</v>
      </c>
      <c r="J185" t="s">
        <v>1199</v>
      </c>
      <c r="K185" t="s">
        <v>1200</v>
      </c>
      <c r="L185">
        <v>1348</v>
      </c>
      <c r="N185">
        <v>1009</v>
      </c>
      <c r="O185" t="s">
        <v>114</v>
      </c>
      <c r="P185" t="s">
        <v>114</v>
      </c>
      <c r="Q185">
        <v>1000</v>
      </c>
      <c r="X185">
        <v>4.13E-3</v>
      </c>
      <c r="Y185">
        <v>6521.42</v>
      </c>
      <c r="Z185">
        <v>0</v>
      </c>
      <c r="AA185">
        <v>0</v>
      </c>
      <c r="AB185">
        <v>0</v>
      </c>
      <c r="AC185">
        <v>0</v>
      </c>
      <c r="AD185">
        <v>1</v>
      </c>
      <c r="AE185">
        <v>0</v>
      </c>
      <c r="AF185" t="s">
        <v>3</v>
      </c>
      <c r="AG185">
        <v>4.13E-3</v>
      </c>
      <c r="AH185">
        <v>2</v>
      </c>
      <c r="AI185">
        <v>129763365</v>
      </c>
      <c r="AJ185">
        <v>181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ROW(Source!A236)</f>
        <v>236</v>
      </c>
      <c r="B186">
        <v>129763381</v>
      </c>
      <c r="C186">
        <v>129763359</v>
      </c>
      <c r="D186">
        <v>37393566</v>
      </c>
      <c r="E186">
        <v>1</v>
      </c>
      <c r="F186">
        <v>1</v>
      </c>
      <c r="G186">
        <v>37345137</v>
      </c>
      <c r="H186">
        <v>3</v>
      </c>
      <c r="I186" t="s">
        <v>1201</v>
      </c>
      <c r="J186" t="s">
        <v>1202</v>
      </c>
      <c r="K186" t="s">
        <v>1203</v>
      </c>
      <c r="L186">
        <v>1348</v>
      </c>
      <c r="N186">
        <v>1009</v>
      </c>
      <c r="O186" t="s">
        <v>114</v>
      </c>
      <c r="P186" t="s">
        <v>114</v>
      </c>
      <c r="Q186">
        <v>1000</v>
      </c>
      <c r="X186">
        <v>2.0999999999999999E-3</v>
      </c>
      <c r="Y186">
        <v>7875.24</v>
      </c>
      <c r="Z186">
        <v>0</v>
      </c>
      <c r="AA186">
        <v>0</v>
      </c>
      <c r="AB186">
        <v>0</v>
      </c>
      <c r="AC186">
        <v>0</v>
      </c>
      <c r="AD186">
        <v>1</v>
      </c>
      <c r="AE186">
        <v>0</v>
      </c>
      <c r="AF186" t="s">
        <v>3</v>
      </c>
      <c r="AG186">
        <v>2.0999999999999999E-3</v>
      </c>
      <c r="AH186">
        <v>2</v>
      </c>
      <c r="AI186">
        <v>129763366</v>
      </c>
      <c r="AJ186">
        <v>182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ROW(Source!A236)</f>
        <v>236</v>
      </c>
      <c r="B187">
        <v>129763382</v>
      </c>
      <c r="C187">
        <v>129763359</v>
      </c>
      <c r="D187">
        <v>37393578</v>
      </c>
      <c r="E187">
        <v>1</v>
      </c>
      <c r="F187">
        <v>1</v>
      </c>
      <c r="G187">
        <v>37345137</v>
      </c>
      <c r="H187">
        <v>3</v>
      </c>
      <c r="I187" t="s">
        <v>1204</v>
      </c>
      <c r="J187" t="s">
        <v>1205</v>
      </c>
      <c r="K187" t="s">
        <v>1206</v>
      </c>
      <c r="L187">
        <v>1348</v>
      </c>
      <c r="N187">
        <v>1009</v>
      </c>
      <c r="O187" t="s">
        <v>114</v>
      </c>
      <c r="P187" t="s">
        <v>114</v>
      </c>
      <c r="Q187">
        <v>1000</v>
      </c>
      <c r="X187">
        <v>1.6E-2</v>
      </c>
      <c r="Y187">
        <v>1227.3800000000001</v>
      </c>
      <c r="Z187">
        <v>0</v>
      </c>
      <c r="AA187">
        <v>0</v>
      </c>
      <c r="AB187">
        <v>0</v>
      </c>
      <c r="AC187">
        <v>0</v>
      </c>
      <c r="AD187">
        <v>1</v>
      </c>
      <c r="AE187">
        <v>0</v>
      </c>
      <c r="AF187" t="s">
        <v>3</v>
      </c>
      <c r="AG187">
        <v>1.6E-2</v>
      </c>
      <c r="AH187">
        <v>2</v>
      </c>
      <c r="AI187">
        <v>129763367</v>
      </c>
      <c r="AJ187">
        <v>183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ROW(Source!A236)</f>
        <v>236</v>
      </c>
      <c r="B188">
        <v>129763383</v>
      </c>
      <c r="C188">
        <v>129763359</v>
      </c>
      <c r="D188">
        <v>37393655</v>
      </c>
      <c r="E188">
        <v>1</v>
      </c>
      <c r="F188">
        <v>1</v>
      </c>
      <c r="G188">
        <v>37345137</v>
      </c>
      <c r="H188">
        <v>3</v>
      </c>
      <c r="I188" t="s">
        <v>1207</v>
      </c>
      <c r="J188" t="s">
        <v>1208</v>
      </c>
      <c r="K188" t="s">
        <v>1209</v>
      </c>
      <c r="L188">
        <v>1339</v>
      </c>
      <c r="N188">
        <v>1007</v>
      </c>
      <c r="O188" t="s">
        <v>94</v>
      </c>
      <c r="P188" t="s">
        <v>94</v>
      </c>
      <c r="Q188">
        <v>1</v>
      </c>
      <c r="X188">
        <v>0.08</v>
      </c>
      <c r="Y188">
        <v>1828.56</v>
      </c>
      <c r="Z188">
        <v>0</v>
      </c>
      <c r="AA188">
        <v>0</v>
      </c>
      <c r="AB188">
        <v>0</v>
      </c>
      <c r="AC188">
        <v>0</v>
      </c>
      <c r="AD188">
        <v>1</v>
      </c>
      <c r="AE188">
        <v>0</v>
      </c>
      <c r="AF188" t="s">
        <v>3</v>
      </c>
      <c r="AG188">
        <v>0.08</v>
      </c>
      <c r="AH188">
        <v>2</v>
      </c>
      <c r="AI188">
        <v>129763368</v>
      </c>
      <c r="AJ188">
        <v>184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ROW(Source!A236)</f>
        <v>236</v>
      </c>
      <c r="B189">
        <v>129763384</v>
      </c>
      <c r="C189">
        <v>129763359</v>
      </c>
      <c r="D189">
        <v>37394092</v>
      </c>
      <c r="E189">
        <v>1</v>
      </c>
      <c r="F189">
        <v>1</v>
      </c>
      <c r="G189">
        <v>37345137</v>
      </c>
      <c r="H189">
        <v>3</v>
      </c>
      <c r="I189" t="s">
        <v>1210</v>
      </c>
      <c r="J189" t="s">
        <v>1211</v>
      </c>
      <c r="K189" t="s">
        <v>1212</v>
      </c>
      <c r="L189">
        <v>1346</v>
      </c>
      <c r="N189">
        <v>1009</v>
      </c>
      <c r="O189" t="s">
        <v>369</v>
      </c>
      <c r="P189" t="s">
        <v>369</v>
      </c>
      <c r="Q189">
        <v>1</v>
      </c>
      <c r="X189">
        <v>108</v>
      </c>
      <c r="Y189">
        <v>9.86</v>
      </c>
      <c r="Z189">
        <v>0</v>
      </c>
      <c r="AA189">
        <v>0</v>
      </c>
      <c r="AB189">
        <v>0</v>
      </c>
      <c r="AC189">
        <v>0</v>
      </c>
      <c r="AD189">
        <v>1</v>
      </c>
      <c r="AE189">
        <v>0</v>
      </c>
      <c r="AF189" t="s">
        <v>3</v>
      </c>
      <c r="AG189">
        <v>108</v>
      </c>
      <c r="AH189">
        <v>2</v>
      </c>
      <c r="AI189">
        <v>129763369</v>
      </c>
      <c r="AJ189">
        <v>185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ROW(Source!A236)</f>
        <v>236</v>
      </c>
      <c r="B190">
        <v>129763385</v>
      </c>
      <c r="C190">
        <v>129763359</v>
      </c>
      <c r="D190">
        <v>37394110</v>
      </c>
      <c r="E190">
        <v>1</v>
      </c>
      <c r="F190">
        <v>1</v>
      </c>
      <c r="G190">
        <v>37345137</v>
      </c>
      <c r="H190">
        <v>3</v>
      </c>
      <c r="I190" t="s">
        <v>1213</v>
      </c>
      <c r="J190" t="s">
        <v>1214</v>
      </c>
      <c r="K190" t="s">
        <v>1215</v>
      </c>
      <c r="L190">
        <v>1327</v>
      </c>
      <c r="N190">
        <v>1005</v>
      </c>
      <c r="O190" t="s">
        <v>258</v>
      </c>
      <c r="P190" t="s">
        <v>258</v>
      </c>
      <c r="Q190">
        <v>1</v>
      </c>
      <c r="X190">
        <v>89</v>
      </c>
      <c r="Y190">
        <v>5.51</v>
      </c>
      <c r="Z190">
        <v>0</v>
      </c>
      <c r="AA190">
        <v>0</v>
      </c>
      <c r="AB190">
        <v>0</v>
      </c>
      <c r="AC190">
        <v>0</v>
      </c>
      <c r="AD190">
        <v>1</v>
      </c>
      <c r="AE190">
        <v>0</v>
      </c>
      <c r="AF190" t="s">
        <v>3</v>
      </c>
      <c r="AG190">
        <v>89</v>
      </c>
      <c r="AH190">
        <v>2</v>
      </c>
      <c r="AI190">
        <v>129763370</v>
      </c>
      <c r="AJ190">
        <v>186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ROW(Source!A236)</f>
        <v>236</v>
      </c>
      <c r="B191">
        <v>129763386</v>
      </c>
      <c r="C191">
        <v>129763359</v>
      </c>
      <c r="D191">
        <v>37412072</v>
      </c>
      <c r="E191">
        <v>1</v>
      </c>
      <c r="F191">
        <v>1</v>
      </c>
      <c r="G191">
        <v>37345137</v>
      </c>
      <c r="H191">
        <v>3</v>
      </c>
      <c r="I191" t="s">
        <v>1216</v>
      </c>
      <c r="J191" t="s">
        <v>1217</v>
      </c>
      <c r="K191" t="s">
        <v>1218</v>
      </c>
      <c r="L191">
        <v>1339</v>
      </c>
      <c r="N191">
        <v>1007</v>
      </c>
      <c r="O191" t="s">
        <v>94</v>
      </c>
      <c r="P191" t="s">
        <v>94</v>
      </c>
      <c r="Q191">
        <v>1</v>
      </c>
      <c r="X191">
        <v>0.105</v>
      </c>
      <c r="Y191">
        <v>540.41999999999996</v>
      </c>
      <c r="Z191">
        <v>0</v>
      </c>
      <c r="AA191">
        <v>0</v>
      </c>
      <c r="AB191">
        <v>0</v>
      </c>
      <c r="AC191">
        <v>0</v>
      </c>
      <c r="AD191">
        <v>1</v>
      </c>
      <c r="AE191">
        <v>0</v>
      </c>
      <c r="AF191" t="s">
        <v>3</v>
      </c>
      <c r="AG191">
        <v>0.105</v>
      </c>
      <c r="AH191">
        <v>2</v>
      </c>
      <c r="AI191">
        <v>129763371</v>
      </c>
      <c r="AJ191">
        <v>187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ROW(Source!A236)</f>
        <v>236</v>
      </c>
      <c r="B192">
        <v>129763387</v>
      </c>
      <c r="C192">
        <v>129763359</v>
      </c>
      <c r="D192">
        <v>37415873</v>
      </c>
      <c r="E192">
        <v>1</v>
      </c>
      <c r="F192">
        <v>1</v>
      </c>
      <c r="G192">
        <v>37345137</v>
      </c>
      <c r="H192">
        <v>3</v>
      </c>
      <c r="I192" t="s">
        <v>1219</v>
      </c>
      <c r="J192" t="s">
        <v>1220</v>
      </c>
      <c r="K192" t="s">
        <v>1221</v>
      </c>
      <c r="L192">
        <v>1346</v>
      </c>
      <c r="N192">
        <v>1009</v>
      </c>
      <c r="O192" t="s">
        <v>369</v>
      </c>
      <c r="P192" t="s">
        <v>369</v>
      </c>
      <c r="Q192">
        <v>1</v>
      </c>
      <c r="X192">
        <v>37.5</v>
      </c>
      <c r="Y192">
        <v>4.37</v>
      </c>
      <c r="Z192">
        <v>0</v>
      </c>
      <c r="AA192">
        <v>0</v>
      </c>
      <c r="AB192">
        <v>0</v>
      </c>
      <c r="AC192">
        <v>0</v>
      </c>
      <c r="AD192">
        <v>1</v>
      </c>
      <c r="AE192">
        <v>0</v>
      </c>
      <c r="AF192" t="s">
        <v>3</v>
      </c>
      <c r="AG192">
        <v>37.5</v>
      </c>
      <c r="AH192">
        <v>2</v>
      </c>
      <c r="AI192">
        <v>129763372</v>
      </c>
      <c r="AJ192">
        <v>188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ROW(Source!A236)</f>
        <v>236</v>
      </c>
      <c r="B193">
        <v>129763388</v>
      </c>
      <c r="C193">
        <v>129763359</v>
      </c>
      <c r="D193">
        <v>37361607</v>
      </c>
      <c r="E193">
        <v>37345137</v>
      </c>
      <c r="F193">
        <v>1</v>
      </c>
      <c r="G193">
        <v>37345137</v>
      </c>
      <c r="H193">
        <v>3</v>
      </c>
      <c r="I193" t="s">
        <v>1432</v>
      </c>
      <c r="J193" t="s">
        <v>3</v>
      </c>
      <c r="K193" t="s">
        <v>1433</v>
      </c>
      <c r="L193">
        <v>1391</v>
      </c>
      <c r="N193">
        <v>1013</v>
      </c>
      <c r="O193" t="s">
        <v>238</v>
      </c>
      <c r="P193" t="s">
        <v>238</v>
      </c>
      <c r="Q193">
        <v>1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 t="s">
        <v>3</v>
      </c>
      <c r="AG193">
        <v>0</v>
      </c>
      <c r="AH193">
        <v>3</v>
      </c>
      <c r="AI193">
        <v>-1</v>
      </c>
      <c r="AJ193" t="s">
        <v>3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ROW(Source!A236)</f>
        <v>236</v>
      </c>
      <c r="B194">
        <v>129763389</v>
      </c>
      <c r="C194">
        <v>129763359</v>
      </c>
      <c r="D194">
        <v>37359196</v>
      </c>
      <c r="E194">
        <v>37345137</v>
      </c>
      <c r="F194">
        <v>1</v>
      </c>
      <c r="G194">
        <v>37345137</v>
      </c>
      <c r="H194">
        <v>3</v>
      </c>
      <c r="I194" t="s">
        <v>1434</v>
      </c>
      <c r="J194" t="s">
        <v>3</v>
      </c>
      <c r="K194" t="s">
        <v>1435</v>
      </c>
      <c r="L194">
        <v>1327</v>
      </c>
      <c r="N194">
        <v>1005</v>
      </c>
      <c r="O194" t="s">
        <v>258</v>
      </c>
      <c r="P194" t="s">
        <v>258</v>
      </c>
      <c r="Q194">
        <v>1</v>
      </c>
      <c r="X194">
        <v>100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 t="s">
        <v>3</v>
      </c>
      <c r="AG194">
        <v>100</v>
      </c>
      <c r="AH194">
        <v>3</v>
      </c>
      <c r="AI194">
        <v>-1</v>
      </c>
      <c r="AJ194" t="s">
        <v>3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ROW(Source!A245)</f>
        <v>245</v>
      </c>
      <c r="B195">
        <v>129763402</v>
      </c>
      <c r="C195">
        <v>129763392</v>
      </c>
      <c r="D195">
        <v>37345142</v>
      </c>
      <c r="E195">
        <v>37345137</v>
      </c>
      <c r="F195">
        <v>1</v>
      </c>
      <c r="G195">
        <v>37345137</v>
      </c>
      <c r="H195">
        <v>1</v>
      </c>
      <c r="I195" t="s">
        <v>1096</v>
      </c>
      <c r="J195" t="s">
        <v>3</v>
      </c>
      <c r="K195" t="s">
        <v>1097</v>
      </c>
      <c r="L195">
        <v>1191</v>
      </c>
      <c r="N195">
        <v>1013</v>
      </c>
      <c r="O195" t="s">
        <v>1098</v>
      </c>
      <c r="P195" t="s">
        <v>1098</v>
      </c>
      <c r="Q195">
        <v>1</v>
      </c>
      <c r="X195">
        <v>122.57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1</v>
      </c>
      <c r="AE195">
        <v>1</v>
      </c>
      <c r="AF195" t="s">
        <v>87</v>
      </c>
      <c r="AG195">
        <v>140.95549999999997</v>
      </c>
      <c r="AH195">
        <v>2</v>
      </c>
      <c r="AI195">
        <v>129763393</v>
      </c>
      <c r="AJ195">
        <v>191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ROW(Source!A245)</f>
        <v>245</v>
      </c>
      <c r="B196">
        <v>129763403</v>
      </c>
      <c r="C196">
        <v>129763392</v>
      </c>
      <c r="D196">
        <v>37418445</v>
      </c>
      <c r="E196">
        <v>1</v>
      </c>
      <c r="F196">
        <v>1</v>
      </c>
      <c r="G196">
        <v>37345137</v>
      </c>
      <c r="H196">
        <v>2</v>
      </c>
      <c r="I196" t="s">
        <v>1189</v>
      </c>
      <c r="J196" t="s">
        <v>1190</v>
      </c>
      <c r="K196" t="s">
        <v>1191</v>
      </c>
      <c r="L196">
        <v>1367</v>
      </c>
      <c r="N196">
        <v>1011</v>
      </c>
      <c r="O196" t="s">
        <v>1102</v>
      </c>
      <c r="P196" t="s">
        <v>1102</v>
      </c>
      <c r="Q196">
        <v>1</v>
      </c>
      <c r="X196">
        <v>3.28</v>
      </c>
      <c r="Y196">
        <v>0</v>
      </c>
      <c r="Z196">
        <v>76.81</v>
      </c>
      <c r="AA196">
        <v>14.36</v>
      </c>
      <c r="AB196">
        <v>0</v>
      </c>
      <c r="AC196">
        <v>0</v>
      </c>
      <c r="AD196">
        <v>1</v>
      </c>
      <c r="AE196">
        <v>0</v>
      </c>
      <c r="AF196" t="s">
        <v>86</v>
      </c>
      <c r="AG196">
        <v>4.0999999999999996</v>
      </c>
      <c r="AH196">
        <v>2</v>
      </c>
      <c r="AI196">
        <v>129763394</v>
      </c>
      <c r="AJ196">
        <v>192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ROW(Source!A245)</f>
        <v>245</v>
      </c>
      <c r="B197">
        <v>129763404</v>
      </c>
      <c r="C197">
        <v>129763392</v>
      </c>
      <c r="D197">
        <v>37418483</v>
      </c>
      <c r="E197">
        <v>1</v>
      </c>
      <c r="F197">
        <v>1</v>
      </c>
      <c r="G197">
        <v>37345137</v>
      </c>
      <c r="H197">
        <v>2</v>
      </c>
      <c r="I197" t="s">
        <v>1162</v>
      </c>
      <c r="J197" t="s">
        <v>1163</v>
      </c>
      <c r="K197" t="s">
        <v>1164</v>
      </c>
      <c r="L197">
        <v>1367</v>
      </c>
      <c r="N197">
        <v>1011</v>
      </c>
      <c r="O197" t="s">
        <v>1102</v>
      </c>
      <c r="P197" t="s">
        <v>1102</v>
      </c>
      <c r="Q197">
        <v>1</v>
      </c>
      <c r="X197">
        <v>15.36</v>
      </c>
      <c r="Y197">
        <v>0</v>
      </c>
      <c r="Z197">
        <v>1.59</v>
      </c>
      <c r="AA197">
        <v>0.09</v>
      </c>
      <c r="AB197">
        <v>0</v>
      </c>
      <c r="AC197">
        <v>0</v>
      </c>
      <c r="AD197">
        <v>1</v>
      </c>
      <c r="AE197">
        <v>0</v>
      </c>
      <c r="AF197" t="s">
        <v>86</v>
      </c>
      <c r="AG197">
        <v>19.2</v>
      </c>
      <c r="AH197">
        <v>2</v>
      </c>
      <c r="AI197">
        <v>129763395</v>
      </c>
      <c r="AJ197">
        <v>193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ROW(Source!A245)</f>
        <v>245</v>
      </c>
      <c r="B198">
        <v>129763405</v>
      </c>
      <c r="C198">
        <v>129763392</v>
      </c>
      <c r="D198">
        <v>37418525</v>
      </c>
      <c r="E198">
        <v>1</v>
      </c>
      <c r="F198">
        <v>1</v>
      </c>
      <c r="G198">
        <v>37345137</v>
      </c>
      <c r="H198">
        <v>2</v>
      </c>
      <c r="I198" t="s">
        <v>1180</v>
      </c>
      <c r="J198" t="s">
        <v>1181</v>
      </c>
      <c r="K198" t="s">
        <v>1182</v>
      </c>
      <c r="L198">
        <v>1367</v>
      </c>
      <c r="N198">
        <v>1011</v>
      </c>
      <c r="O198" t="s">
        <v>1102</v>
      </c>
      <c r="P198" t="s">
        <v>1102</v>
      </c>
      <c r="Q198">
        <v>1</v>
      </c>
      <c r="X198">
        <v>9.9700000000000006</v>
      </c>
      <c r="Y198">
        <v>0</v>
      </c>
      <c r="Z198">
        <v>0.64</v>
      </c>
      <c r="AA198">
        <v>0.04</v>
      </c>
      <c r="AB198">
        <v>0</v>
      </c>
      <c r="AC198">
        <v>0</v>
      </c>
      <c r="AD198">
        <v>1</v>
      </c>
      <c r="AE198">
        <v>0</v>
      </c>
      <c r="AF198" t="s">
        <v>86</v>
      </c>
      <c r="AG198">
        <v>12.4625</v>
      </c>
      <c r="AH198">
        <v>2</v>
      </c>
      <c r="AI198">
        <v>129763396</v>
      </c>
      <c r="AJ198">
        <v>194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ROW(Source!A245)</f>
        <v>245</v>
      </c>
      <c r="B199">
        <v>129763406</v>
      </c>
      <c r="C199">
        <v>129763392</v>
      </c>
      <c r="D199">
        <v>37395657</v>
      </c>
      <c r="E199">
        <v>1</v>
      </c>
      <c r="F199">
        <v>1</v>
      </c>
      <c r="G199">
        <v>37345137</v>
      </c>
      <c r="H199">
        <v>3</v>
      </c>
      <c r="I199" t="s">
        <v>1222</v>
      </c>
      <c r="J199" t="s">
        <v>1223</v>
      </c>
      <c r="K199" t="s">
        <v>1224</v>
      </c>
      <c r="L199">
        <v>1354</v>
      </c>
      <c r="N199">
        <v>1010</v>
      </c>
      <c r="O199" t="s">
        <v>250</v>
      </c>
      <c r="P199" t="s">
        <v>250</v>
      </c>
      <c r="Q199">
        <v>1</v>
      </c>
      <c r="X199">
        <v>311</v>
      </c>
      <c r="Y199">
        <v>9.6</v>
      </c>
      <c r="Z199">
        <v>0</v>
      </c>
      <c r="AA199">
        <v>0</v>
      </c>
      <c r="AB199">
        <v>0</v>
      </c>
      <c r="AC199">
        <v>0</v>
      </c>
      <c r="AD199">
        <v>1</v>
      </c>
      <c r="AE199">
        <v>0</v>
      </c>
      <c r="AF199" t="s">
        <v>3</v>
      </c>
      <c r="AG199">
        <v>311</v>
      </c>
      <c r="AH199">
        <v>2</v>
      </c>
      <c r="AI199">
        <v>129763397</v>
      </c>
      <c r="AJ199">
        <v>195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ROW(Source!A245)</f>
        <v>245</v>
      </c>
      <c r="B200">
        <v>129763407</v>
      </c>
      <c r="C200">
        <v>129763392</v>
      </c>
      <c r="D200">
        <v>37394107</v>
      </c>
      <c r="E200">
        <v>1</v>
      </c>
      <c r="F200">
        <v>1</v>
      </c>
      <c r="G200">
        <v>37345137</v>
      </c>
      <c r="H200">
        <v>3</v>
      </c>
      <c r="I200" t="s">
        <v>1168</v>
      </c>
      <c r="J200" t="s">
        <v>1169</v>
      </c>
      <c r="K200" t="s">
        <v>1170</v>
      </c>
      <c r="L200">
        <v>1296</v>
      </c>
      <c r="N200">
        <v>1002</v>
      </c>
      <c r="O200" t="s">
        <v>870</v>
      </c>
      <c r="P200" t="s">
        <v>870</v>
      </c>
      <c r="Q200">
        <v>1</v>
      </c>
      <c r="X200">
        <v>52.73</v>
      </c>
      <c r="Y200">
        <v>54.7</v>
      </c>
      <c r="Z200">
        <v>0</v>
      </c>
      <c r="AA200">
        <v>0</v>
      </c>
      <c r="AB200">
        <v>0</v>
      </c>
      <c r="AC200">
        <v>0</v>
      </c>
      <c r="AD200">
        <v>1</v>
      </c>
      <c r="AE200">
        <v>0</v>
      </c>
      <c r="AF200" t="s">
        <v>3</v>
      </c>
      <c r="AG200">
        <v>52.73</v>
      </c>
      <c r="AH200">
        <v>2</v>
      </c>
      <c r="AI200">
        <v>129763398</v>
      </c>
      <c r="AJ200">
        <v>198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ROW(Source!A245)</f>
        <v>245</v>
      </c>
      <c r="B201">
        <v>129763408</v>
      </c>
      <c r="C201">
        <v>129763392</v>
      </c>
      <c r="D201">
        <v>37359936</v>
      </c>
      <c r="E201">
        <v>37345137</v>
      </c>
      <c r="F201">
        <v>1</v>
      </c>
      <c r="G201">
        <v>37345137</v>
      </c>
      <c r="H201">
        <v>3</v>
      </c>
      <c r="I201" t="s">
        <v>1436</v>
      </c>
      <c r="J201" t="s">
        <v>3</v>
      </c>
      <c r="K201" t="s">
        <v>1437</v>
      </c>
      <c r="L201">
        <v>1301</v>
      </c>
      <c r="N201">
        <v>1003</v>
      </c>
      <c r="O201" t="s">
        <v>270</v>
      </c>
      <c r="P201" t="s">
        <v>270</v>
      </c>
      <c r="Q201">
        <v>1</v>
      </c>
      <c r="X201">
        <v>218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 t="s">
        <v>3</v>
      </c>
      <c r="AG201">
        <v>218</v>
      </c>
      <c r="AH201">
        <v>3</v>
      </c>
      <c r="AI201">
        <v>-1</v>
      </c>
      <c r="AJ201" t="s">
        <v>3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ROW(Source!A245)</f>
        <v>245</v>
      </c>
      <c r="B202">
        <v>129763409</v>
      </c>
      <c r="C202">
        <v>129763392</v>
      </c>
      <c r="D202">
        <v>37359936</v>
      </c>
      <c r="E202">
        <v>37345137</v>
      </c>
      <c r="F202">
        <v>1</v>
      </c>
      <c r="G202">
        <v>37345137</v>
      </c>
      <c r="H202">
        <v>3</v>
      </c>
      <c r="I202" t="s">
        <v>1436</v>
      </c>
      <c r="J202" t="s">
        <v>3</v>
      </c>
      <c r="K202" t="s">
        <v>1438</v>
      </c>
      <c r="L202">
        <v>1301</v>
      </c>
      <c r="N202">
        <v>1003</v>
      </c>
      <c r="O202" t="s">
        <v>270</v>
      </c>
      <c r="P202" t="s">
        <v>270</v>
      </c>
      <c r="Q202">
        <v>1</v>
      </c>
      <c r="X202">
        <v>40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 t="s">
        <v>3</v>
      </c>
      <c r="AG202">
        <v>40</v>
      </c>
      <c r="AH202">
        <v>3</v>
      </c>
      <c r="AI202">
        <v>-1</v>
      </c>
      <c r="AJ202" t="s">
        <v>3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ROW(Source!A245)</f>
        <v>245</v>
      </c>
      <c r="B203">
        <v>129763410</v>
      </c>
      <c r="C203">
        <v>129763392</v>
      </c>
      <c r="D203">
        <v>37360153</v>
      </c>
      <c r="E203">
        <v>37345137</v>
      </c>
      <c r="F203">
        <v>1</v>
      </c>
      <c r="G203">
        <v>37345137</v>
      </c>
      <c r="H203">
        <v>3</v>
      </c>
      <c r="I203" t="s">
        <v>1439</v>
      </c>
      <c r="J203" t="s">
        <v>3</v>
      </c>
      <c r="K203" t="s">
        <v>1440</v>
      </c>
      <c r="L203">
        <v>1327</v>
      </c>
      <c r="N203">
        <v>1005</v>
      </c>
      <c r="O203" t="s">
        <v>258</v>
      </c>
      <c r="P203" t="s">
        <v>258</v>
      </c>
      <c r="Q203">
        <v>1</v>
      </c>
      <c r="X203">
        <v>100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 t="s">
        <v>3</v>
      </c>
      <c r="AG203">
        <v>100</v>
      </c>
      <c r="AH203">
        <v>3</v>
      </c>
      <c r="AI203">
        <v>-1</v>
      </c>
      <c r="AJ203" t="s">
        <v>3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ROW(Source!A245)</f>
        <v>245</v>
      </c>
      <c r="B204">
        <v>129763411</v>
      </c>
      <c r="C204">
        <v>129763392</v>
      </c>
      <c r="D204">
        <v>37360154</v>
      </c>
      <c r="E204">
        <v>37345137</v>
      </c>
      <c r="F204">
        <v>1</v>
      </c>
      <c r="G204">
        <v>37345137</v>
      </c>
      <c r="H204">
        <v>3</v>
      </c>
      <c r="I204" t="s">
        <v>1441</v>
      </c>
      <c r="J204" t="s">
        <v>3</v>
      </c>
      <c r="K204" t="s">
        <v>1442</v>
      </c>
      <c r="L204">
        <v>1301</v>
      </c>
      <c r="N204">
        <v>1003</v>
      </c>
      <c r="O204" t="s">
        <v>270</v>
      </c>
      <c r="P204" t="s">
        <v>270</v>
      </c>
      <c r="Q204">
        <v>1</v>
      </c>
      <c r="X204">
        <v>151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 t="s">
        <v>3</v>
      </c>
      <c r="AG204">
        <v>151</v>
      </c>
      <c r="AH204">
        <v>3</v>
      </c>
      <c r="AI204">
        <v>-1</v>
      </c>
      <c r="AJ204" t="s">
        <v>3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ROW(Source!A246)</f>
        <v>246</v>
      </c>
      <c r="B205">
        <v>129763402</v>
      </c>
      <c r="C205">
        <v>129763392</v>
      </c>
      <c r="D205">
        <v>37345142</v>
      </c>
      <c r="E205">
        <v>37345137</v>
      </c>
      <c r="F205">
        <v>1</v>
      </c>
      <c r="G205">
        <v>37345137</v>
      </c>
      <c r="H205">
        <v>1</v>
      </c>
      <c r="I205" t="s">
        <v>1096</v>
      </c>
      <c r="J205" t="s">
        <v>3</v>
      </c>
      <c r="K205" t="s">
        <v>1097</v>
      </c>
      <c r="L205">
        <v>1191</v>
      </c>
      <c r="N205">
        <v>1013</v>
      </c>
      <c r="O205" t="s">
        <v>1098</v>
      </c>
      <c r="P205" t="s">
        <v>1098</v>
      </c>
      <c r="Q205">
        <v>1</v>
      </c>
      <c r="X205">
        <v>122.57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1</v>
      </c>
      <c r="AE205">
        <v>1</v>
      </c>
      <c r="AF205" t="s">
        <v>87</v>
      </c>
      <c r="AG205">
        <v>140.95549999999997</v>
      </c>
      <c r="AH205">
        <v>2</v>
      </c>
      <c r="AI205">
        <v>129763393</v>
      </c>
      <c r="AJ205">
        <v>200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ROW(Source!A246)</f>
        <v>246</v>
      </c>
      <c r="B206">
        <v>129763403</v>
      </c>
      <c r="C206">
        <v>129763392</v>
      </c>
      <c r="D206">
        <v>37418445</v>
      </c>
      <c r="E206">
        <v>1</v>
      </c>
      <c r="F206">
        <v>1</v>
      </c>
      <c r="G206">
        <v>37345137</v>
      </c>
      <c r="H206">
        <v>2</v>
      </c>
      <c r="I206" t="s">
        <v>1189</v>
      </c>
      <c r="J206" t="s">
        <v>1190</v>
      </c>
      <c r="K206" t="s">
        <v>1191</v>
      </c>
      <c r="L206">
        <v>1367</v>
      </c>
      <c r="N206">
        <v>1011</v>
      </c>
      <c r="O206" t="s">
        <v>1102</v>
      </c>
      <c r="P206" t="s">
        <v>1102</v>
      </c>
      <c r="Q206">
        <v>1</v>
      </c>
      <c r="X206">
        <v>3.28</v>
      </c>
      <c r="Y206">
        <v>0</v>
      </c>
      <c r="Z206">
        <v>76.81</v>
      </c>
      <c r="AA206">
        <v>14.36</v>
      </c>
      <c r="AB206">
        <v>0</v>
      </c>
      <c r="AC206">
        <v>0</v>
      </c>
      <c r="AD206">
        <v>1</v>
      </c>
      <c r="AE206">
        <v>0</v>
      </c>
      <c r="AF206" t="s">
        <v>86</v>
      </c>
      <c r="AG206">
        <v>4.0999999999999996</v>
      </c>
      <c r="AH206">
        <v>2</v>
      </c>
      <c r="AI206">
        <v>129763394</v>
      </c>
      <c r="AJ206">
        <v>201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ROW(Source!A246)</f>
        <v>246</v>
      </c>
      <c r="B207">
        <v>129763404</v>
      </c>
      <c r="C207">
        <v>129763392</v>
      </c>
      <c r="D207">
        <v>37418483</v>
      </c>
      <c r="E207">
        <v>1</v>
      </c>
      <c r="F207">
        <v>1</v>
      </c>
      <c r="G207">
        <v>37345137</v>
      </c>
      <c r="H207">
        <v>2</v>
      </c>
      <c r="I207" t="s">
        <v>1162</v>
      </c>
      <c r="J207" t="s">
        <v>1163</v>
      </c>
      <c r="K207" t="s">
        <v>1164</v>
      </c>
      <c r="L207">
        <v>1367</v>
      </c>
      <c r="N207">
        <v>1011</v>
      </c>
      <c r="O207" t="s">
        <v>1102</v>
      </c>
      <c r="P207" t="s">
        <v>1102</v>
      </c>
      <c r="Q207">
        <v>1</v>
      </c>
      <c r="X207">
        <v>15.36</v>
      </c>
      <c r="Y207">
        <v>0</v>
      </c>
      <c r="Z207">
        <v>1.59</v>
      </c>
      <c r="AA207">
        <v>0.09</v>
      </c>
      <c r="AB207">
        <v>0</v>
      </c>
      <c r="AC207">
        <v>0</v>
      </c>
      <c r="AD207">
        <v>1</v>
      </c>
      <c r="AE207">
        <v>0</v>
      </c>
      <c r="AF207" t="s">
        <v>86</v>
      </c>
      <c r="AG207">
        <v>19.2</v>
      </c>
      <c r="AH207">
        <v>2</v>
      </c>
      <c r="AI207">
        <v>129763395</v>
      </c>
      <c r="AJ207">
        <v>202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ROW(Source!A246)</f>
        <v>246</v>
      </c>
      <c r="B208">
        <v>129763405</v>
      </c>
      <c r="C208">
        <v>129763392</v>
      </c>
      <c r="D208">
        <v>37418525</v>
      </c>
      <c r="E208">
        <v>1</v>
      </c>
      <c r="F208">
        <v>1</v>
      </c>
      <c r="G208">
        <v>37345137</v>
      </c>
      <c r="H208">
        <v>2</v>
      </c>
      <c r="I208" t="s">
        <v>1180</v>
      </c>
      <c r="J208" t="s">
        <v>1181</v>
      </c>
      <c r="K208" t="s">
        <v>1182</v>
      </c>
      <c r="L208">
        <v>1367</v>
      </c>
      <c r="N208">
        <v>1011</v>
      </c>
      <c r="O208" t="s">
        <v>1102</v>
      </c>
      <c r="P208" t="s">
        <v>1102</v>
      </c>
      <c r="Q208">
        <v>1</v>
      </c>
      <c r="X208">
        <v>9.9700000000000006</v>
      </c>
      <c r="Y208">
        <v>0</v>
      </c>
      <c r="Z208">
        <v>0.64</v>
      </c>
      <c r="AA208">
        <v>0.04</v>
      </c>
      <c r="AB208">
        <v>0</v>
      </c>
      <c r="AC208">
        <v>0</v>
      </c>
      <c r="AD208">
        <v>1</v>
      </c>
      <c r="AE208">
        <v>0</v>
      </c>
      <c r="AF208" t="s">
        <v>86</v>
      </c>
      <c r="AG208">
        <v>12.4625</v>
      </c>
      <c r="AH208">
        <v>2</v>
      </c>
      <c r="AI208">
        <v>129763396</v>
      </c>
      <c r="AJ208">
        <v>203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ROW(Source!A246)</f>
        <v>246</v>
      </c>
      <c r="B209">
        <v>129763406</v>
      </c>
      <c r="C209">
        <v>129763392</v>
      </c>
      <c r="D209">
        <v>37395657</v>
      </c>
      <c r="E209">
        <v>1</v>
      </c>
      <c r="F209">
        <v>1</v>
      </c>
      <c r="G209">
        <v>37345137</v>
      </c>
      <c r="H209">
        <v>3</v>
      </c>
      <c r="I209" t="s">
        <v>1222</v>
      </c>
      <c r="J209" t="s">
        <v>1223</v>
      </c>
      <c r="K209" t="s">
        <v>1224</v>
      </c>
      <c r="L209">
        <v>1354</v>
      </c>
      <c r="N209">
        <v>1010</v>
      </c>
      <c r="O209" t="s">
        <v>250</v>
      </c>
      <c r="P209" t="s">
        <v>250</v>
      </c>
      <c r="Q209">
        <v>1</v>
      </c>
      <c r="X209">
        <v>311</v>
      </c>
      <c r="Y209">
        <v>9.6</v>
      </c>
      <c r="Z209">
        <v>0</v>
      </c>
      <c r="AA209">
        <v>0</v>
      </c>
      <c r="AB209">
        <v>0</v>
      </c>
      <c r="AC209">
        <v>0</v>
      </c>
      <c r="AD209">
        <v>1</v>
      </c>
      <c r="AE209">
        <v>0</v>
      </c>
      <c r="AF209" t="s">
        <v>3</v>
      </c>
      <c r="AG209">
        <v>311</v>
      </c>
      <c r="AH209">
        <v>2</v>
      </c>
      <c r="AI209">
        <v>129763397</v>
      </c>
      <c r="AJ209">
        <v>204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ROW(Source!A246)</f>
        <v>246</v>
      </c>
      <c r="B210">
        <v>129763407</v>
      </c>
      <c r="C210">
        <v>129763392</v>
      </c>
      <c r="D210">
        <v>37394107</v>
      </c>
      <c r="E210">
        <v>1</v>
      </c>
      <c r="F210">
        <v>1</v>
      </c>
      <c r="G210">
        <v>37345137</v>
      </c>
      <c r="H210">
        <v>3</v>
      </c>
      <c r="I210" t="s">
        <v>1168</v>
      </c>
      <c r="J210" t="s">
        <v>1169</v>
      </c>
      <c r="K210" t="s">
        <v>1170</v>
      </c>
      <c r="L210">
        <v>1296</v>
      </c>
      <c r="N210">
        <v>1002</v>
      </c>
      <c r="O210" t="s">
        <v>870</v>
      </c>
      <c r="P210" t="s">
        <v>870</v>
      </c>
      <c r="Q210">
        <v>1</v>
      </c>
      <c r="X210">
        <v>52.73</v>
      </c>
      <c r="Y210">
        <v>54.7</v>
      </c>
      <c r="Z210">
        <v>0</v>
      </c>
      <c r="AA210">
        <v>0</v>
      </c>
      <c r="AB210">
        <v>0</v>
      </c>
      <c r="AC210">
        <v>0</v>
      </c>
      <c r="AD210">
        <v>1</v>
      </c>
      <c r="AE210">
        <v>0</v>
      </c>
      <c r="AF210" t="s">
        <v>3</v>
      </c>
      <c r="AG210">
        <v>52.73</v>
      </c>
      <c r="AH210">
        <v>2</v>
      </c>
      <c r="AI210">
        <v>129763398</v>
      </c>
      <c r="AJ210">
        <v>207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ROW(Source!A246)</f>
        <v>246</v>
      </c>
      <c r="B211">
        <v>129763408</v>
      </c>
      <c r="C211">
        <v>129763392</v>
      </c>
      <c r="D211">
        <v>37359936</v>
      </c>
      <c r="E211">
        <v>37345137</v>
      </c>
      <c r="F211">
        <v>1</v>
      </c>
      <c r="G211">
        <v>37345137</v>
      </c>
      <c r="H211">
        <v>3</v>
      </c>
      <c r="I211" t="s">
        <v>1436</v>
      </c>
      <c r="J211" t="s">
        <v>3</v>
      </c>
      <c r="K211" t="s">
        <v>1437</v>
      </c>
      <c r="L211">
        <v>1301</v>
      </c>
      <c r="N211">
        <v>1003</v>
      </c>
      <c r="O211" t="s">
        <v>270</v>
      </c>
      <c r="P211" t="s">
        <v>270</v>
      </c>
      <c r="Q211">
        <v>1</v>
      </c>
      <c r="X211">
        <v>218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 t="s">
        <v>3</v>
      </c>
      <c r="AG211">
        <v>218</v>
      </c>
      <c r="AH211">
        <v>3</v>
      </c>
      <c r="AI211">
        <v>-1</v>
      </c>
      <c r="AJ211" t="s">
        <v>3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ROW(Source!A246)</f>
        <v>246</v>
      </c>
      <c r="B212">
        <v>129763409</v>
      </c>
      <c r="C212">
        <v>129763392</v>
      </c>
      <c r="D212">
        <v>37359936</v>
      </c>
      <c r="E212">
        <v>37345137</v>
      </c>
      <c r="F212">
        <v>1</v>
      </c>
      <c r="G212">
        <v>37345137</v>
      </c>
      <c r="H212">
        <v>3</v>
      </c>
      <c r="I212" t="s">
        <v>1436</v>
      </c>
      <c r="J212" t="s">
        <v>3</v>
      </c>
      <c r="K212" t="s">
        <v>1438</v>
      </c>
      <c r="L212">
        <v>1301</v>
      </c>
      <c r="N212">
        <v>1003</v>
      </c>
      <c r="O212" t="s">
        <v>270</v>
      </c>
      <c r="P212" t="s">
        <v>270</v>
      </c>
      <c r="Q212">
        <v>1</v>
      </c>
      <c r="X212">
        <v>40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 t="s">
        <v>3</v>
      </c>
      <c r="AG212">
        <v>40</v>
      </c>
      <c r="AH212">
        <v>3</v>
      </c>
      <c r="AI212">
        <v>-1</v>
      </c>
      <c r="AJ212" t="s">
        <v>3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ROW(Source!A246)</f>
        <v>246</v>
      </c>
      <c r="B213">
        <v>129763410</v>
      </c>
      <c r="C213">
        <v>129763392</v>
      </c>
      <c r="D213">
        <v>37360153</v>
      </c>
      <c r="E213">
        <v>37345137</v>
      </c>
      <c r="F213">
        <v>1</v>
      </c>
      <c r="G213">
        <v>37345137</v>
      </c>
      <c r="H213">
        <v>3</v>
      </c>
      <c r="I213" t="s">
        <v>1439</v>
      </c>
      <c r="J213" t="s">
        <v>3</v>
      </c>
      <c r="K213" t="s">
        <v>1440</v>
      </c>
      <c r="L213">
        <v>1327</v>
      </c>
      <c r="N213">
        <v>1005</v>
      </c>
      <c r="O213" t="s">
        <v>258</v>
      </c>
      <c r="P213" t="s">
        <v>258</v>
      </c>
      <c r="Q213">
        <v>1</v>
      </c>
      <c r="X213">
        <v>100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 t="s">
        <v>3</v>
      </c>
      <c r="AG213">
        <v>100</v>
      </c>
      <c r="AH213">
        <v>3</v>
      </c>
      <c r="AI213">
        <v>-1</v>
      </c>
      <c r="AJ213" t="s">
        <v>3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ROW(Source!A246)</f>
        <v>246</v>
      </c>
      <c r="B214">
        <v>129763411</v>
      </c>
      <c r="C214">
        <v>129763392</v>
      </c>
      <c r="D214">
        <v>37360154</v>
      </c>
      <c r="E214">
        <v>37345137</v>
      </c>
      <c r="F214">
        <v>1</v>
      </c>
      <c r="G214">
        <v>37345137</v>
      </c>
      <c r="H214">
        <v>3</v>
      </c>
      <c r="I214" t="s">
        <v>1441</v>
      </c>
      <c r="J214" t="s">
        <v>3</v>
      </c>
      <c r="K214" t="s">
        <v>1442</v>
      </c>
      <c r="L214">
        <v>1301</v>
      </c>
      <c r="N214">
        <v>1003</v>
      </c>
      <c r="O214" t="s">
        <v>270</v>
      </c>
      <c r="P214" t="s">
        <v>270</v>
      </c>
      <c r="Q214">
        <v>1</v>
      </c>
      <c r="X214">
        <v>151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 t="s">
        <v>3</v>
      </c>
      <c r="AG214">
        <v>151</v>
      </c>
      <c r="AH214">
        <v>3</v>
      </c>
      <c r="AI214">
        <v>-1</v>
      </c>
      <c r="AJ214" t="s">
        <v>3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ROW(Source!A253)</f>
        <v>253</v>
      </c>
      <c r="B215">
        <v>129763420</v>
      </c>
      <c r="C215">
        <v>129763415</v>
      </c>
      <c r="D215">
        <v>37345142</v>
      </c>
      <c r="E215">
        <v>37345137</v>
      </c>
      <c r="F215">
        <v>1</v>
      </c>
      <c r="G215">
        <v>37345137</v>
      </c>
      <c r="H215">
        <v>1</v>
      </c>
      <c r="I215" t="s">
        <v>1096</v>
      </c>
      <c r="J215" t="s">
        <v>3</v>
      </c>
      <c r="K215" t="s">
        <v>1097</v>
      </c>
      <c r="L215">
        <v>1191</v>
      </c>
      <c r="N215">
        <v>1013</v>
      </c>
      <c r="O215" t="s">
        <v>1098</v>
      </c>
      <c r="P215" t="s">
        <v>1098</v>
      </c>
      <c r="Q215">
        <v>1</v>
      </c>
      <c r="X215">
        <v>0.27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1</v>
      </c>
      <c r="AE215">
        <v>1</v>
      </c>
      <c r="AF215" t="s">
        <v>87</v>
      </c>
      <c r="AG215">
        <v>0.3105</v>
      </c>
      <c r="AH215">
        <v>2</v>
      </c>
      <c r="AI215">
        <v>129763416</v>
      </c>
      <c r="AJ215">
        <v>209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ROW(Source!A253)</f>
        <v>253</v>
      </c>
      <c r="B216">
        <v>129763421</v>
      </c>
      <c r="C216">
        <v>129763415</v>
      </c>
      <c r="D216">
        <v>37418525</v>
      </c>
      <c r="E216">
        <v>1</v>
      </c>
      <c r="F216">
        <v>1</v>
      </c>
      <c r="G216">
        <v>37345137</v>
      </c>
      <c r="H216">
        <v>2</v>
      </c>
      <c r="I216" t="s">
        <v>1180</v>
      </c>
      <c r="J216" t="s">
        <v>1181</v>
      </c>
      <c r="K216" t="s">
        <v>1182</v>
      </c>
      <c r="L216">
        <v>1367</v>
      </c>
      <c r="N216">
        <v>1011</v>
      </c>
      <c r="O216" t="s">
        <v>1102</v>
      </c>
      <c r="P216" t="s">
        <v>1102</v>
      </c>
      <c r="Q216">
        <v>1</v>
      </c>
      <c r="X216">
        <v>0.2</v>
      </c>
      <c r="Y216">
        <v>0</v>
      </c>
      <c r="Z216">
        <v>0.64</v>
      </c>
      <c r="AA216">
        <v>0.04</v>
      </c>
      <c r="AB216">
        <v>0</v>
      </c>
      <c r="AC216">
        <v>0</v>
      </c>
      <c r="AD216">
        <v>1</v>
      </c>
      <c r="AE216">
        <v>0</v>
      </c>
      <c r="AF216" t="s">
        <v>86</v>
      </c>
      <c r="AG216">
        <v>0.25</v>
      </c>
      <c r="AH216">
        <v>2</v>
      </c>
      <c r="AI216">
        <v>129763417</v>
      </c>
      <c r="AJ216">
        <v>210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ROW(Source!A253)</f>
        <v>253</v>
      </c>
      <c r="B217">
        <v>129763422</v>
      </c>
      <c r="C217">
        <v>129763415</v>
      </c>
      <c r="D217">
        <v>37345890</v>
      </c>
      <c r="E217">
        <v>37345137</v>
      </c>
      <c r="F217">
        <v>1</v>
      </c>
      <c r="G217">
        <v>37345137</v>
      </c>
      <c r="H217">
        <v>2</v>
      </c>
      <c r="I217" t="s">
        <v>1145</v>
      </c>
      <c r="J217" t="s">
        <v>3</v>
      </c>
      <c r="K217" t="s">
        <v>1146</v>
      </c>
      <c r="L217">
        <v>1344</v>
      </c>
      <c r="N217">
        <v>1008</v>
      </c>
      <c r="O217" t="s">
        <v>1138</v>
      </c>
      <c r="P217" t="s">
        <v>1138</v>
      </c>
      <c r="Q217">
        <v>1</v>
      </c>
      <c r="X217">
        <v>0.05</v>
      </c>
      <c r="Y217">
        <v>0</v>
      </c>
      <c r="Z217">
        <v>1</v>
      </c>
      <c r="AA217">
        <v>0</v>
      </c>
      <c r="AB217">
        <v>0</v>
      </c>
      <c r="AC217">
        <v>0</v>
      </c>
      <c r="AD217">
        <v>1</v>
      </c>
      <c r="AE217">
        <v>0</v>
      </c>
      <c r="AF217" t="s">
        <v>86</v>
      </c>
      <c r="AG217">
        <v>6.25E-2</v>
      </c>
      <c r="AH217">
        <v>2</v>
      </c>
      <c r="AI217">
        <v>129763418</v>
      </c>
      <c r="AJ217">
        <v>211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ROW(Source!A253)</f>
        <v>253</v>
      </c>
      <c r="B218">
        <v>129763423</v>
      </c>
      <c r="C218">
        <v>129763415</v>
      </c>
      <c r="D218">
        <v>41571883</v>
      </c>
      <c r="E218">
        <v>37345137</v>
      </c>
      <c r="F218">
        <v>1</v>
      </c>
      <c r="G218">
        <v>37345137</v>
      </c>
      <c r="H218">
        <v>3</v>
      </c>
      <c r="I218" t="s">
        <v>1430</v>
      </c>
      <c r="J218" t="s">
        <v>3</v>
      </c>
      <c r="K218" t="s">
        <v>1431</v>
      </c>
      <c r="L218">
        <v>1354</v>
      </c>
      <c r="N218">
        <v>1010</v>
      </c>
      <c r="O218" t="s">
        <v>250</v>
      </c>
      <c r="P218" t="s">
        <v>250</v>
      </c>
      <c r="Q218">
        <v>1</v>
      </c>
      <c r="X218">
        <v>1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 t="s">
        <v>3</v>
      </c>
      <c r="AG218">
        <v>1</v>
      </c>
      <c r="AH218">
        <v>3</v>
      </c>
      <c r="AI218">
        <v>-1</v>
      </c>
      <c r="AJ218" t="s">
        <v>3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ROW(Source!A254)</f>
        <v>254</v>
      </c>
      <c r="B219">
        <v>129763420</v>
      </c>
      <c r="C219">
        <v>129763415</v>
      </c>
      <c r="D219">
        <v>37345142</v>
      </c>
      <c r="E219">
        <v>37345137</v>
      </c>
      <c r="F219">
        <v>1</v>
      </c>
      <c r="G219">
        <v>37345137</v>
      </c>
      <c r="H219">
        <v>1</v>
      </c>
      <c r="I219" t="s">
        <v>1096</v>
      </c>
      <c r="J219" t="s">
        <v>3</v>
      </c>
      <c r="K219" t="s">
        <v>1097</v>
      </c>
      <c r="L219">
        <v>1191</v>
      </c>
      <c r="N219">
        <v>1013</v>
      </c>
      <c r="O219" t="s">
        <v>1098</v>
      </c>
      <c r="P219" t="s">
        <v>1098</v>
      </c>
      <c r="Q219">
        <v>1</v>
      </c>
      <c r="X219">
        <v>0.27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1</v>
      </c>
      <c r="AE219">
        <v>1</v>
      </c>
      <c r="AF219" t="s">
        <v>87</v>
      </c>
      <c r="AG219">
        <v>0.3105</v>
      </c>
      <c r="AH219">
        <v>2</v>
      </c>
      <c r="AI219">
        <v>129763416</v>
      </c>
      <c r="AJ219">
        <v>213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ROW(Source!A254)</f>
        <v>254</v>
      </c>
      <c r="B220">
        <v>129763421</v>
      </c>
      <c r="C220">
        <v>129763415</v>
      </c>
      <c r="D220">
        <v>37418525</v>
      </c>
      <c r="E220">
        <v>1</v>
      </c>
      <c r="F220">
        <v>1</v>
      </c>
      <c r="G220">
        <v>37345137</v>
      </c>
      <c r="H220">
        <v>2</v>
      </c>
      <c r="I220" t="s">
        <v>1180</v>
      </c>
      <c r="J220" t="s">
        <v>1181</v>
      </c>
      <c r="K220" t="s">
        <v>1182</v>
      </c>
      <c r="L220">
        <v>1367</v>
      </c>
      <c r="N220">
        <v>1011</v>
      </c>
      <c r="O220" t="s">
        <v>1102</v>
      </c>
      <c r="P220" t="s">
        <v>1102</v>
      </c>
      <c r="Q220">
        <v>1</v>
      </c>
      <c r="X220">
        <v>0.2</v>
      </c>
      <c r="Y220">
        <v>0</v>
      </c>
      <c r="Z220">
        <v>0.64</v>
      </c>
      <c r="AA220">
        <v>0.04</v>
      </c>
      <c r="AB220">
        <v>0</v>
      </c>
      <c r="AC220">
        <v>0</v>
      </c>
      <c r="AD220">
        <v>1</v>
      </c>
      <c r="AE220">
        <v>0</v>
      </c>
      <c r="AF220" t="s">
        <v>86</v>
      </c>
      <c r="AG220">
        <v>0.25</v>
      </c>
      <c r="AH220">
        <v>2</v>
      </c>
      <c r="AI220">
        <v>129763417</v>
      </c>
      <c r="AJ220">
        <v>214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ROW(Source!A254)</f>
        <v>254</v>
      </c>
      <c r="B221">
        <v>129763422</v>
      </c>
      <c r="C221">
        <v>129763415</v>
      </c>
      <c r="D221">
        <v>37345890</v>
      </c>
      <c r="E221">
        <v>37345137</v>
      </c>
      <c r="F221">
        <v>1</v>
      </c>
      <c r="G221">
        <v>37345137</v>
      </c>
      <c r="H221">
        <v>2</v>
      </c>
      <c r="I221" t="s">
        <v>1145</v>
      </c>
      <c r="J221" t="s">
        <v>3</v>
      </c>
      <c r="K221" t="s">
        <v>1146</v>
      </c>
      <c r="L221">
        <v>1344</v>
      </c>
      <c r="N221">
        <v>1008</v>
      </c>
      <c r="O221" t="s">
        <v>1138</v>
      </c>
      <c r="P221" t="s">
        <v>1138</v>
      </c>
      <c r="Q221">
        <v>1</v>
      </c>
      <c r="X221">
        <v>0.05</v>
      </c>
      <c r="Y221">
        <v>0</v>
      </c>
      <c r="Z221">
        <v>1</v>
      </c>
      <c r="AA221">
        <v>0</v>
      </c>
      <c r="AB221">
        <v>0</v>
      </c>
      <c r="AC221">
        <v>0</v>
      </c>
      <c r="AD221">
        <v>1</v>
      </c>
      <c r="AE221">
        <v>0</v>
      </c>
      <c r="AF221" t="s">
        <v>86</v>
      </c>
      <c r="AG221">
        <v>6.25E-2</v>
      </c>
      <c r="AH221">
        <v>2</v>
      </c>
      <c r="AI221">
        <v>129763418</v>
      </c>
      <c r="AJ221">
        <v>215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ROW(Source!A254)</f>
        <v>254</v>
      </c>
      <c r="B222">
        <v>129763423</v>
      </c>
      <c r="C222">
        <v>129763415</v>
      </c>
      <c r="D222">
        <v>41571883</v>
      </c>
      <c r="E222">
        <v>37345137</v>
      </c>
      <c r="F222">
        <v>1</v>
      </c>
      <c r="G222">
        <v>37345137</v>
      </c>
      <c r="H222">
        <v>3</v>
      </c>
      <c r="I222" t="s">
        <v>1430</v>
      </c>
      <c r="J222" t="s">
        <v>3</v>
      </c>
      <c r="K222" t="s">
        <v>1431</v>
      </c>
      <c r="L222">
        <v>1354</v>
      </c>
      <c r="N222">
        <v>1010</v>
      </c>
      <c r="O222" t="s">
        <v>250</v>
      </c>
      <c r="P222" t="s">
        <v>250</v>
      </c>
      <c r="Q222">
        <v>1</v>
      </c>
      <c r="X222">
        <v>1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 t="s">
        <v>3</v>
      </c>
      <c r="AG222">
        <v>1</v>
      </c>
      <c r="AH222">
        <v>3</v>
      </c>
      <c r="AI222">
        <v>-1</v>
      </c>
      <c r="AJ222" t="s">
        <v>3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ROW(Source!A257)</f>
        <v>257</v>
      </c>
      <c r="B223">
        <v>129763431</v>
      </c>
      <c r="C223">
        <v>129763425</v>
      </c>
      <c r="D223">
        <v>37345142</v>
      </c>
      <c r="E223">
        <v>37345137</v>
      </c>
      <c r="F223">
        <v>1</v>
      </c>
      <c r="G223">
        <v>37345137</v>
      </c>
      <c r="H223">
        <v>1</v>
      </c>
      <c r="I223" t="s">
        <v>1096</v>
      </c>
      <c r="J223" t="s">
        <v>3</v>
      </c>
      <c r="K223" t="s">
        <v>1097</v>
      </c>
      <c r="L223">
        <v>1191</v>
      </c>
      <c r="N223">
        <v>1013</v>
      </c>
      <c r="O223" t="s">
        <v>1098</v>
      </c>
      <c r="P223" t="s">
        <v>1098</v>
      </c>
      <c r="Q223">
        <v>1</v>
      </c>
      <c r="X223">
        <v>272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1</v>
      </c>
      <c r="AE223">
        <v>1</v>
      </c>
      <c r="AF223" t="s">
        <v>87</v>
      </c>
      <c r="AG223">
        <v>312.79999999999995</v>
      </c>
      <c r="AH223">
        <v>2</v>
      </c>
      <c r="AI223">
        <v>129763430</v>
      </c>
      <c r="AJ223">
        <v>217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ROW(Source!A257)</f>
        <v>257</v>
      </c>
      <c r="B224">
        <v>129763432</v>
      </c>
      <c r="C224">
        <v>129763425</v>
      </c>
      <c r="D224">
        <v>37417692</v>
      </c>
      <c r="E224">
        <v>1</v>
      </c>
      <c r="F224">
        <v>1</v>
      </c>
      <c r="G224">
        <v>37345137</v>
      </c>
      <c r="H224">
        <v>2</v>
      </c>
      <c r="I224" t="s">
        <v>1127</v>
      </c>
      <c r="J224" t="s">
        <v>1128</v>
      </c>
      <c r="K224" t="s">
        <v>1129</v>
      </c>
      <c r="L224">
        <v>1367</v>
      </c>
      <c r="N224">
        <v>1011</v>
      </c>
      <c r="O224" t="s">
        <v>1102</v>
      </c>
      <c r="P224" t="s">
        <v>1102</v>
      </c>
      <c r="Q224">
        <v>1</v>
      </c>
      <c r="X224">
        <v>2.4</v>
      </c>
      <c r="Y224">
        <v>0</v>
      </c>
      <c r="Z224">
        <v>190.93</v>
      </c>
      <c r="AA224">
        <v>18.149999999999999</v>
      </c>
      <c r="AB224">
        <v>0</v>
      </c>
      <c r="AC224">
        <v>0</v>
      </c>
      <c r="AD224">
        <v>1</v>
      </c>
      <c r="AE224">
        <v>0</v>
      </c>
      <c r="AF224" t="s">
        <v>86</v>
      </c>
      <c r="AG224">
        <v>3</v>
      </c>
      <c r="AH224">
        <v>2</v>
      </c>
      <c r="AI224">
        <v>129763426</v>
      </c>
      <c r="AJ224">
        <v>218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ROW(Source!A257)</f>
        <v>257</v>
      </c>
      <c r="B225">
        <v>129763433</v>
      </c>
      <c r="C225">
        <v>129763425</v>
      </c>
      <c r="D225">
        <v>22725217</v>
      </c>
      <c r="E225">
        <v>1</v>
      </c>
      <c r="F225">
        <v>1</v>
      </c>
      <c r="G225">
        <v>37345137</v>
      </c>
      <c r="H225">
        <v>2</v>
      </c>
      <c r="I225" t="s">
        <v>1225</v>
      </c>
      <c r="J225" t="s">
        <v>1226</v>
      </c>
      <c r="K225" t="s">
        <v>1227</v>
      </c>
      <c r="L225">
        <v>1367</v>
      </c>
      <c r="N225">
        <v>1011</v>
      </c>
      <c r="O225" t="s">
        <v>1102</v>
      </c>
      <c r="P225" t="s">
        <v>1102</v>
      </c>
      <c r="Q225">
        <v>1</v>
      </c>
      <c r="X225">
        <v>62.8</v>
      </c>
      <c r="Y225">
        <v>0</v>
      </c>
      <c r="Z225">
        <v>6.75</v>
      </c>
      <c r="AA225">
        <v>0.32</v>
      </c>
      <c r="AB225">
        <v>0</v>
      </c>
      <c r="AC225">
        <v>0</v>
      </c>
      <c r="AD225">
        <v>1</v>
      </c>
      <c r="AE225">
        <v>0</v>
      </c>
      <c r="AF225" t="s">
        <v>86</v>
      </c>
      <c r="AG225">
        <v>78.5</v>
      </c>
      <c r="AH225">
        <v>2</v>
      </c>
      <c r="AI225">
        <v>129763427</v>
      </c>
      <c r="AJ225">
        <v>219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ROW(Source!A257)</f>
        <v>257</v>
      </c>
      <c r="B226">
        <v>129763434</v>
      </c>
      <c r="C226">
        <v>129763425</v>
      </c>
      <c r="D226">
        <v>37367659</v>
      </c>
      <c r="E226">
        <v>37345137</v>
      </c>
      <c r="F226">
        <v>1</v>
      </c>
      <c r="G226">
        <v>37345137</v>
      </c>
      <c r="H226">
        <v>3</v>
      </c>
      <c r="I226" t="s">
        <v>1443</v>
      </c>
      <c r="J226" t="s">
        <v>3</v>
      </c>
      <c r="K226" t="s">
        <v>1444</v>
      </c>
      <c r="L226">
        <v>1327</v>
      </c>
      <c r="N226">
        <v>1005</v>
      </c>
      <c r="O226" t="s">
        <v>258</v>
      </c>
      <c r="P226" t="s">
        <v>258</v>
      </c>
      <c r="Q226">
        <v>1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 t="s">
        <v>3</v>
      </c>
      <c r="AG226">
        <v>0</v>
      </c>
      <c r="AH226">
        <v>3</v>
      </c>
      <c r="AI226">
        <v>-1</v>
      </c>
      <c r="AJ226" t="s">
        <v>3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ROW(Source!A257)</f>
        <v>257</v>
      </c>
      <c r="B227">
        <v>129763435</v>
      </c>
      <c r="C227">
        <v>129763425</v>
      </c>
      <c r="D227">
        <v>37367082</v>
      </c>
      <c r="E227">
        <v>37345137</v>
      </c>
      <c r="F227">
        <v>1</v>
      </c>
      <c r="G227">
        <v>37345137</v>
      </c>
      <c r="H227">
        <v>3</v>
      </c>
      <c r="I227" t="s">
        <v>1136</v>
      </c>
      <c r="J227" t="s">
        <v>3</v>
      </c>
      <c r="K227" t="s">
        <v>1137</v>
      </c>
      <c r="L227">
        <v>1344</v>
      </c>
      <c r="N227">
        <v>1008</v>
      </c>
      <c r="O227" t="s">
        <v>1138</v>
      </c>
      <c r="P227" t="s">
        <v>1138</v>
      </c>
      <c r="Q227">
        <v>1</v>
      </c>
      <c r="X227">
        <v>60</v>
      </c>
      <c r="Y227">
        <v>1</v>
      </c>
      <c r="Z227">
        <v>0</v>
      </c>
      <c r="AA227">
        <v>0</v>
      </c>
      <c r="AB227">
        <v>0</v>
      </c>
      <c r="AC227">
        <v>0</v>
      </c>
      <c r="AD227">
        <v>1</v>
      </c>
      <c r="AE227">
        <v>0</v>
      </c>
      <c r="AF227" t="s">
        <v>3</v>
      </c>
      <c r="AG227">
        <v>60</v>
      </c>
      <c r="AH227">
        <v>2</v>
      </c>
      <c r="AI227">
        <v>129763428</v>
      </c>
      <c r="AJ227">
        <v>220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ROW(Source!A258)</f>
        <v>258</v>
      </c>
      <c r="B228">
        <v>129763431</v>
      </c>
      <c r="C228">
        <v>129763425</v>
      </c>
      <c r="D228">
        <v>37345142</v>
      </c>
      <c r="E228">
        <v>37345137</v>
      </c>
      <c r="F228">
        <v>1</v>
      </c>
      <c r="G228">
        <v>37345137</v>
      </c>
      <c r="H228">
        <v>1</v>
      </c>
      <c r="I228" t="s">
        <v>1096</v>
      </c>
      <c r="J228" t="s">
        <v>3</v>
      </c>
      <c r="K228" t="s">
        <v>1097</v>
      </c>
      <c r="L228">
        <v>1191</v>
      </c>
      <c r="N228">
        <v>1013</v>
      </c>
      <c r="O228" t="s">
        <v>1098</v>
      </c>
      <c r="P228" t="s">
        <v>1098</v>
      </c>
      <c r="Q228">
        <v>1</v>
      </c>
      <c r="X228">
        <v>272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1</v>
      </c>
      <c r="AE228">
        <v>1</v>
      </c>
      <c r="AF228" t="s">
        <v>87</v>
      </c>
      <c r="AG228">
        <v>312.79999999999995</v>
      </c>
      <c r="AH228">
        <v>2</v>
      </c>
      <c r="AI228">
        <v>129763430</v>
      </c>
      <c r="AJ228">
        <v>222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ROW(Source!A258)</f>
        <v>258</v>
      </c>
      <c r="B229">
        <v>129763432</v>
      </c>
      <c r="C229">
        <v>129763425</v>
      </c>
      <c r="D229">
        <v>37417692</v>
      </c>
      <c r="E229">
        <v>1</v>
      </c>
      <c r="F229">
        <v>1</v>
      </c>
      <c r="G229">
        <v>37345137</v>
      </c>
      <c r="H229">
        <v>2</v>
      </c>
      <c r="I229" t="s">
        <v>1127</v>
      </c>
      <c r="J229" t="s">
        <v>1128</v>
      </c>
      <c r="K229" t="s">
        <v>1129</v>
      </c>
      <c r="L229">
        <v>1367</v>
      </c>
      <c r="N229">
        <v>1011</v>
      </c>
      <c r="O229" t="s">
        <v>1102</v>
      </c>
      <c r="P229" t="s">
        <v>1102</v>
      </c>
      <c r="Q229">
        <v>1</v>
      </c>
      <c r="X229">
        <v>2.4</v>
      </c>
      <c r="Y229">
        <v>0</v>
      </c>
      <c r="Z229">
        <v>190.93</v>
      </c>
      <c r="AA229">
        <v>18.149999999999999</v>
      </c>
      <c r="AB229">
        <v>0</v>
      </c>
      <c r="AC229">
        <v>0</v>
      </c>
      <c r="AD229">
        <v>1</v>
      </c>
      <c r="AE229">
        <v>0</v>
      </c>
      <c r="AF229" t="s">
        <v>86</v>
      </c>
      <c r="AG229">
        <v>3</v>
      </c>
      <c r="AH229">
        <v>2</v>
      </c>
      <c r="AI229">
        <v>129763426</v>
      </c>
      <c r="AJ229">
        <v>223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ROW(Source!A258)</f>
        <v>258</v>
      </c>
      <c r="B230">
        <v>129763433</v>
      </c>
      <c r="C230">
        <v>129763425</v>
      </c>
      <c r="D230">
        <v>22725217</v>
      </c>
      <c r="E230">
        <v>1</v>
      </c>
      <c r="F230">
        <v>1</v>
      </c>
      <c r="G230">
        <v>37345137</v>
      </c>
      <c r="H230">
        <v>2</v>
      </c>
      <c r="I230" t="s">
        <v>1225</v>
      </c>
      <c r="J230" t="s">
        <v>1226</v>
      </c>
      <c r="K230" t="s">
        <v>1227</v>
      </c>
      <c r="L230">
        <v>1367</v>
      </c>
      <c r="N230">
        <v>1011</v>
      </c>
      <c r="O230" t="s">
        <v>1102</v>
      </c>
      <c r="P230" t="s">
        <v>1102</v>
      </c>
      <c r="Q230">
        <v>1</v>
      </c>
      <c r="X230">
        <v>62.8</v>
      </c>
      <c r="Y230">
        <v>0</v>
      </c>
      <c r="Z230">
        <v>6.75</v>
      </c>
      <c r="AA230">
        <v>0.32</v>
      </c>
      <c r="AB230">
        <v>0</v>
      </c>
      <c r="AC230">
        <v>0</v>
      </c>
      <c r="AD230">
        <v>1</v>
      </c>
      <c r="AE230">
        <v>0</v>
      </c>
      <c r="AF230" t="s">
        <v>86</v>
      </c>
      <c r="AG230">
        <v>78.5</v>
      </c>
      <c r="AH230">
        <v>2</v>
      </c>
      <c r="AI230">
        <v>129763427</v>
      </c>
      <c r="AJ230">
        <v>224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ROW(Source!A258)</f>
        <v>258</v>
      </c>
      <c r="B231">
        <v>129763434</v>
      </c>
      <c r="C231">
        <v>129763425</v>
      </c>
      <c r="D231">
        <v>37367659</v>
      </c>
      <c r="E231">
        <v>37345137</v>
      </c>
      <c r="F231">
        <v>1</v>
      </c>
      <c r="G231">
        <v>37345137</v>
      </c>
      <c r="H231">
        <v>3</v>
      </c>
      <c r="I231" t="s">
        <v>1443</v>
      </c>
      <c r="J231" t="s">
        <v>3</v>
      </c>
      <c r="K231" t="s">
        <v>1444</v>
      </c>
      <c r="L231">
        <v>1327</v>
      </c>
      <c r="N231">
        <v>1005</v>
      </c>
      <c r="O231" t="s">
        <v>258</v>
      </c>
      <c r="P231" t="s">
        <v>258</v>
      </c>
      <c r="Q231">
        <v>1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 t="s">
        <v>3</v>
      </c>
      <c r="AG231">
        <v>0</v>
      </c>
      <c r="AH231">
        <v>3</v>
      </c>
      <c r="AI231">
        <v>-1</v>
      </c>
      <c r="AJ231" t="s">
        <v>3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ROW(Source!A258)</f>
        <v>258</v>
      </c>
      <c r="B232">
        <v>129763435</v>
      </c>
      <c r="C232">
        <v>129763425</v>
      </c>
      <c r="D232">
        <v>37367082</v>
      </c>
      <c r="E232">
        <v>37345137</v>
      </c>
      <c r="F232">
        <v>1</v>
      </c>
      <c r="G232">
        <v>37345137</v>
      </c>
      <c r="H232">
        <v>3</v>
      </c>
      <c r="I232" t="s">
        <v>1136</v>
      </c>
      <c r="J232" t="s">
        <v>3</v>
      </c>
      <c r="K232" t="s">
        <v>1137</v>
      </c>
      <c r="L232">
        <v>1344</v>
      </c>
      <c r="N232">
        <v>1008</v>
      </c>
      <c r="O232" t="s">
        <v>1138</v>
      </c>
      <c r="P232" t="s">
        <v>1138</v>
      </c>
      <c r="Q232">
        <v>1</v>
      </c>
      <c r="X232">
        <v>60</v>
      </c>
      <c r="Y232">
        <v>1</v>
      </c>
      <c r="Z232">
        <v>0</v>
      </c>
      <c r="AA232">
        <v>0</v>
      </c>
      <c r="AB232">
        <v>0</v>
      </c>
      <c r="AC232">
        <v>0</v>
      </c>
      <c r="AD232">
        <v>1</v>
      </c>
      <c r="AE232">
        <v>0</v>
      </c>
      <c r="AF232" t="s">
        <v>3</v>
      </c>
      <c r="AG232">
        <v>60</v>
      </c>
      <c r="AH232">
        <v>2</v>
      </c>
      <c r="AI232">
        <v>129763428</v>
      </c>
      <c r="AJ232">
        <v>225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ROW(Source!A261)</f>
        <v>261</v>
      </c>
      <c r="B233">
        <v>129763444</v>
      </c>
      <c r="C233">
        <v>129763437</v>
      </c>
      <c r="D233">
        <v>37345142</v>
      </c>
      <c r="E233">
        <v>37345137</v>
      </c>
      <c r="F233">
        <v>1</v>
      </c>
      <c r="G233">
        <v>37345137</v>
      </c>
      <c r="H233">
        <v>1</v>
      </c>
      <c r="I233" t="s">
        <v>1096</v>
      </c>
      <c r="J233" t="s">
        <v>3</v>
      </c>
      <c r="K233" t="s">
        <v>1097</v>
      </c>
      <c r="L233">
        <v>1191</v>
      </c>
      <c r="N233">
        <v>1013</v>
      </c>
      <c r="O233" t="s">
        <v>1098</v>
      </c>
      <c r="P233" t="s">
        <v>1098</v>
      </c>
      <c r="Q233">
        <v>1</v>
      </c>
      <c r="X233">
        <v>2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1</v>
      </c>
      <c r="AE233">
        <v>1</v>
      </c>
      <c r="AF233" t="s">
        <v>87</v>
      </c>
      <c r="AG233">
        <v>2.2999999999999998</v>
      </c>
      <c r="AH233">
        <v>2</v>
      </c>
      <c r="AI233">
        <v>129763438</v>
      </c>
      <c r="AJ233">
        <v>227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ROW(Source!A261)</f>
        <v>261</v>
      </c>
      <c r="B234">
        <v>129763445</v>
      </c>
      <c r="C234">
        <v>129763437</v>
      </c>
      <c r="D234">
        <v>37418162</v>
      </c>
      <c r="E234">
        <v>1</v>
      </c>
      <c r="F234">
        <v>1</v>
      </c>
      <c r="G234">
        <v>37345137</v>
      </c>
      <c r="H234">
        <v>2</v>
      </c>
      <c r="I234" t="s">
        <v>1174</v>
      </c>
      <c r="J234" t="s">
        <v>1175</v>
      </c>
      <c r="K234" t="s">
        <v>1176</v>
      </c>
      <c r="L234">
        <v>1367</v>
      </c>
      <c r="N234">
        <v>1011</v>
      </c>
      <c r="O234" t="s">
        <v>1102</v>
      </c>
      <c r="P234" t="s">
        <v>1102</v>
      </c>
      <c r="Q234">
        <v>1</v>
      </c>
      <c r="X234">
        <v>0.54</v>
      </c>
      <c r="Y234">
        <v>0</v>
      </c>
      <c r="Z234">
        <v>6.15</v>
      </c>
      <c r="AA234">
        <v>0.02</v>
      </c>
      <c r="AB234">
        <v>0</v>
      </c>
      <c r="AC234">
        <v>0</v>
      </c>
      <c r="AD234">
        <v>1</v>
      </c>
      <c r="AE234">
        <v>0</v>
      </c>
      <c r="AF234" t="s">
        <v>86</v>
      </c>
      <c r="AG234">
        <v>0.67500000000000004</v>
      </c>
      <c r="AH234">
        <v>2</v>
      </c>
      <c r="AI234">
        <v>129763439</v>
      </c>
      <c r="AJ234">
        <v>228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ROW(Source!A261)</f>
        <v>261</v>
      </c>
      <c r="B235">
        <v>129763446</v>
      </c>
      <c r="C235">
        <v>129763437</v>
      </c>
      <c r="D235">
        <v>37418445</v>
      </c>
      <c r="E235">
        <v>1</v>
      </c>
      <c r="F235">
        <v>1</v>
      </c>
      <c r="G235">
        <v>37345137</v>
      </c>
      <c r="H235">
        <v>2</v>
      </c>
      <c r="I235" t="s">
        <v>1189</v>
      </c>
      <c r="J235" t="s">
        <v>1190</v>
      </c>
      <c r="K235" t="s">
        <v>1191</v>
      </c>
      <c r="L235">
        <v>1367</v>
      </c>
      <c r="N235">
        <v>1011</v>
      </c>
      <c r="O235" t="s">
        <v>1102</v>
      </c>
      <c r="P235" t="s">
        <v>1102</v>
      </c>
      <c r="Q235">
        <v>1</v>
      </c>
      <c r="X235">
        <v>0.06</v>
      </c>
      <c r="Y235">
        <v>0</v>
      </c>
      <c r="Z235">
        <v>76.81</v>
      </c>
      <c r="AA235">
        <v>14.36</v>
      </c>
      <c r="AB235">
        <v>0</v>
      </c>
      <c r="AC235">
        <v>0</v>
      </c>
      <c r="AD235">
        <v>1</v>
      </c>
      <c r="AE235">
        <v>0</v>
      </c>
      <c r="AF235" t="s">
        <v>86</v>
      </c>
      <c r="AG235">
        <v>7.4999999999999997E-2</v>
      </c>
      <c r="AH235">
        <v>2</v>
      </c>
      <c r="AI235">
        <v>129763440</v>
      </c>
      <c r="AJ235">
        <v>229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ROW(Source!A261)</f>
        <v>261</v>
      </c>
      <c r="B236">
        <v>129763447</v>
      </c>
      <c r="C236">
        <v>129763437</v>
      </c>
      <c r="D236">
        <v>37394962</v>
      </c>
      <c r="E236">
        <v>1</v>
      </c>
      <c r="F236">
        <v>1</v>
      </c>
      <c r="G236">
        <v>37345137</v>
      </c>
      <c r="H236">
        <v>3</v>
      </c>
      <c r="I236" t="s">
        <v>1228</v>
      </c>
      <c r="J236" t="s">
        <v>1229</v>
      </c>
      <c r="K236" t="s">
        <v>1230</v>
      </c>
      <c r="L236">
        <v>1348</v>
      </c>
      <c r="N236">
        <v>1009</v>
      </c>
      <c r="O236" t="s">
        <v>114</v>
      </c>
      <c r="P236" t="s">
        <v>114</v>
      </c>
      <c r="Q236">
        <v>1000</v>
      </c>
      <c r="X236">
        <v>5.4000000000000001E-4</v>
      </c>
      <c r="Y236">
        <v>8596.85</v>
      </c>
      <c r="Z236">
        <v>0</v>
      </c>
      <c r="AA236">
        <v>0</v>
      </c>
      <c r="AB236">
        <v>0</v>
      </c>
      <c r="AC236">
        <v>0</v>
      </c>
      <c r="AD236">
        <v>1</v>
      </c>
      <c r="AE236">
        <v>0</v>
      </c>
      <c r="AF236" t="s">
        <v>3</v>
      </c>
      <c r="AG236">
        <v>5.4000000000000001E-4</v>
      </c>
      <c r="AH236">
        <v>2</v>
      </c>
      <c r="AI236">
        <v>129763441</v>
      </c>
      <c r="AJ236">
        <v>230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ROW(Source!A261)</f>
        <v>261</v>
      </c>
      <c r="B237">
        <v>129763448</v>
      </c>
      <c r="C237">
        <v>129763437</v>
      </c>
      <c r="D237">
        <v>37393498</v>
      </c>
      <c r="E237">
        <v>1</v>
      </c>
      <c r="F237">
        <v>1</v>
      </c>
      <c r="G237">
        <v>37345137</v>
      </c>
      <c r="H237">
        <v>3</v>
      </c>
      <c r="I237" t="s">
        <v>1231</v>
      </c>
      <c r="J237" t="s">
        <v>1232</v>
      </c>
      <c r="K237" t="s">
        <v>1233</v>
      </c>
      <c r="L237">
        <v>1348</v>
      </c>
      <c r="N237">
        <v>1009</v>
      </c>
      <c r="O237" t="s">
        <v>114</v>
      </c>
      <c r="P237" t="s">
        <v>114</v>
      </c>
      <c r="Q237">
        <v>1000</v>
      </c>
      <c r="X237">
        <v>3.5000000000000001E-3</v>
      </c>
      <c r="Y237">
        <v>17876.91</v>
      </c>
      <c r="Z237">
        <v>0</v>
      </c>
      <c r="AA237">
        <v>0</v>
      </c>
      <c r="AB237">
        <v>0</v>
      </c>
      <c r="AC237">
        <v>0</v>
      </c>
      <c r="AD237">
        <v>1</v>
      </c>
      <c r="AE237">
        <v>0</v>
      </c>
      <c r="AF237" t="s">
        <v>3</v>
      </c>
      <c r="AG237">
        <v>3.5000000000000001E-3</v>
      </c>
      <c r="AH237">
        <v>2</v>
      </c>
      <c r="AI237">
        <v>129763442</v>
      </c>
      <c r="AJ237">
        <v>231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ROW(Source!A261)</f>
        <v>261</v>
      </c>
      <c r="B238">
        <v>129763449</v>
      </c>
      <c r="C238">
        <v>129763437</v>
      </c>
      <c r="D238">
        <v>37359032</v>
      </c>
      <c r="E238">
        <v>37345137</v>
      </c>
      <c r="F238">
        <v>1</v>
      </c>
      <c r="G238">
        <v>37345137</v>
      </c>
      <c r="H238">
        <v>3</v>
      </c>
      <c r="I238" t="s">
        <v>1445</v>
      </c>
      <c r="J238" t="s">
        <v>3</v>
      </c>
      <c r="K238" t="s">
        <v>1446</v>
      </c>
      <c r="L238">
        <v>1354</v>
      </c>
      <c r="N238">
        <v>1010</v>
      </c>
      <c r="O238" t="s">
        <v>250</v>
      </c>
      <c r="P238" t="s">
        <v>250</v>
      </c>
      <c r="Q238">
        <v>1</v>
      </c>
      <c r="X238">
        <v>1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 t="s">
        <v>3</v>
      </c>
      <c r="AG238">
        <v>1</v>
      </c>
      <c r="AH238">
        <v>3</v>
      </c>
      <c r="AI238">
        <v>-1</v>
      </c>
      <c r="AJ238" t="s">
        <v>3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ROW(Source!A262)</f>
        <v>262</v>
      </c>
      <c r="B239">
        <v>129763444</v>
      </c>
      <c r="C239">
        <v>129763437</v>
      </c>
      <c r="D239">
        <v>37345142</v>
      </c>
      <c r="E239">
        <v>37345137</v>
      </c>
      <c r="F239">
        <v>1</v>
      </c>
      <c r="G239">
        <v>37345137</v>
      </c>
      <c r="H239">
        <v>1</v>
      </c>
      <c r="I239" t="s">
        <v>1096</v>
      </c>
      <c r="J239" t="s">
        <v>3</v>
      </c>
      <c r="K239" t="s">
        <v>1097</v>
      </c>
      <c r="L239">
        <v>1191</v>
      </c>
      <c r="N239">
        <v>1013</v>
      </c>
      <c r="O239" t="s">
        <v>1098</v>
      </c>
      <c r="P239" t="s">
        <v>1098</v>
      </c>
      <c r="Q239">
        <v>1</v>
      </c>
      <c r="X239">
        <v>2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1</v>
      </c>
      <c r="AE239">
        <v>1</v>
      </c>
      <c r="AF239" t="s">
        <v>87</v>
      </c>
      <c r="AG239">
        <v>2.2999999999999998</v>
      </c>
      <c r="AH239">
        <v>2</v>
      </c>
      <c r="AI239">
        <v>129763438</v>
      </c>
      <c r="AJ239">
        <v>233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ROW(Source!A262)</f>
        <v>262</v>
      </c>
      <c r="B240">
        <v>129763445</v>
      </c>
      <c r="C240">
        <v>129763437</v>
      </c>
      <c r="D240">
        <v>37418162</v>
      </c>
      <c r="E240">
        <v>1</v>
      </c>
      <c r="F240">
        <v>1</v>
      </c>
      <c r="G240">
        <v>37345137</v>
      </c>
      <c r="H240">
        <v>2</v>
      </c>
      <c r="I240" t="s">
        <v>1174</v>
      </c>
      <c r="J240" t="s">
        <v>1175</v>
      </c>
      <c r="K240" t="s">
        <v>1176</v>
      </c>
      <c r="L240">
        <v>1367</v>
      </c>
      <c r="N240">
        <v>1011</v>
      </c>
      <c r="O240" t="s">
        <v>1102</v>
      </c>
      <c r="P240" t="s">
        <v>1102</v>
      </c>
      <c r="Q240">
        <v>1</v>
      </c>
      <c r="X240">
        <v>0.54</v>
      </c>
      <c r="Y240">
        <v>0</v>
      </c>
      <c r="Z240">
        <v>6.15</v>
      </c>
      <c r="AA240">
        <v>0.02</v>
      </c>
      <c r="AB240">
        <v>0</v>
      </c>
      <c r="AC240">
        <v>0</v>
      </c>
      <c r="AD240">
        <v>1</v>
      </c>
      <c r="AE240">
        <v>0</v>
      </c>
      <c r="AF240" t="s">
        <v>86</v>
      </c>
      <c r="AG240">
        <v>0.67500000000000004</v>
      </c>
      <c r="AH240">
        <v>2</v>
      </c>
      <c r="AI240">
        <v>129763439</v>
      </c>
      <c r="AJ240">
        <v>234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ROW(Source!A262)</f>
        <v>262</v>
      </c>
      <c r="B241">
        <v>129763446</v>
      </c>
      <c r="C241">
        <v>129763437</v>
      </c>
      <c r="D241">
        <v>37418445</v>
      </c>
      <c r="E241">
        <v>1</v>
      </c>
      <c r="F241">
        <v>1</v>
      </c>
      <c r="G241">
        <v>37345137</v>
      </c>
      <c r="H241">
        <v>2</v>
      </c>
      <c r="I241" t="s">
        <v>1189</v>
      </c>
      <c r="J241" t="s">
        <v>1190</v>
      </c>
      <c r="K241" t="s">
        <v>1191</v>
      </c>
      <c r="L241">
        <v>1367</v>
      </c>
      <c r="N241">
        <v>1011</v>
      </c>
      <c r="O241" t="s">
        <v>1102</v>
      </c>
      <c r="P241" t="s">
        <v>1102</v>
      </c>
      <c r="Q241">
        <v>1</v>
      </c>
      <c r="X241">
        <v>0.06</v>
      </c>
      <c r="Y241">
        <v>0</v>
      </c>
      <c r="Z241">
        <v>76.81</v>
      </c>
      <c r="AA241">
        <v>14.36</v>
      </c>
      <c r="AB241">
        <v>0</v>
      </c>
      <c r="AC241">
        <v>0</v>
      </c>
      <c r="AD241">
        <v>1</v>
      </c>
      <c r="AE241">
        <v>0</v>
      </c>
      <c r="AF241" t="s">
        <v>86</v>
      </c>
      <c r="AG241">
        <v>7.4999999999999997E-2</v>
      </c>
      <c r="AH241">
        <v>2</v>
      </c>
      <c r="AI241">
        <v>129763440</v>
      </c>
      <c r="AJ241">
        <v>235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ROW(Source!A262)</f>
        <v>262</v>
      </c>
      <c r="B242">
        <v>129763447</v>
      </c>
      <c r="C242">
        <v>129763437</v>
      </c>
      <c r="D242">
        <v>37394962</v>
      </c>
      <c r="E242">
        <v>1</v>
      </c>
      <c r="F242">
        <v>1</v>
      </c>
      <c r="G242">
        <v>37345137</v>
      </c>
      <c r="H242">
        <v>3</v>
      </c>
      <c r="I242" t="s">
        <v>1228</v>
      </c>
      <c r="J242" t="s">
        <v>1229</v>
      </c>
      <c r="K242" t="s">
        <v>1230</v>
      </c>
      <c r="L242">
        <v>1348</v>
      </c>
      <c r="N242">
        <v>1009</v>
      </c>
      <c r="O242" t="s">
        <v>114</v>
      </c>
      <c r="P242" t="s">
        <v>114</v>
      </c>
      <c r="Q242">
        <v>1000</v>
      </c>
      <c r="X242">
        <v>5.4000000000000001E-4</v>
      </c>
      <c r="Y242">
        <v>8596.85</v>
      </c>
      <c r="Z242">
        <v>0</v>
      </c>
      <c r="AA242">
        <v>0</v>
      </c>
      <c r="AB242">
        <v>0</v>
      </c>
      <c r="AC242">
        <v>0</v>
      </c>
      <c r="AD242">
        <v>1</v>
      </c>
      <c r="AE242">
        <v>0</v>
      </c>
      <c r="AF242" t="s">
        <v>3</v>
      </c>
      <c r="AG242">
        <v>5.4000000000000001E-4</v>
      </c>
      <c r="AH242">
        <v>2</v>
      </c>
      <c r="AI242">
        <v>129763441</v>
      </c>
      <c r="AJ242">
        <v>236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ROW(Source!A262)</f>
        <v>262</v>
      </c>
      <c r="B243">
        <v>129763448</v>
      </c>
      <c r="C243">
        <v>129763437</v>
      </c>
      <c r="D243">
        <v>37393498</v>
      </c>
      <c r="E243">
        <v>1</v>
      </c>
      <c r="F243">
        <v>1</v>
      </c>
      <c r="G243">
        <v>37345137</v>
      </c>
      <c r="H243">
        <v>3</v>
      </c>
      <c r="I243" t="s">
        <v>1231</v>
      </c>
      <c r="J243" t="s">
        <v>1232</v>
      </c>
      <c r="K243" t="s">
        <v>1233</v>
      </c>
      <c r="L243">
        <v>1348</v>
      </c>
      <c r="N243">
        <v>1009</v>
      </c>
      <c r="O243" t="s">
        <v>114</v>
      </c>
      <c r="P243" t="s">
        <v>114</v>
      </c>
      <c r="Q243">
        <v>1000</v>
      </c>
      <c r="X243">
        <v>3.5000000000000001E-3</v>
      </c>
      <c r="Y243">
        <v>17876.91</v>
      </c>
      <c r="Z243">
        <v>0</v>
      </c>
      <c r="AA243">
        <v>0</v>
      </c>
      <c r="AB243">
        <v>0</v>
      </c>
      <c r="AC243">
        <v>0</v>
      </c>
      <c r="AD243">
        <v>1</v>
      </c>
      <c r="AE243">
        <v>0</v>
      </c>
      <c r="AF243" t="s">
        <v>3</v>
      </c>
      <c r="AG243">
        <v>3.5000000000000001E-3</v>
      </c>
      <c r="AH243">
        <v>2</v>
      </c>
      <c r="AI243">
        <v>129763442</v>
      </c>
      <c r="AJ243">
        <v>237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ROW(Source!A262)</f>
        <v>262</v>
      </c>
      <c r="B244">
        <v>129763449</v>
      </c>
      <c r="C244">
        <v>129763437</v>
      </c>
      <c r="D244">
        <v>37359032</v>
      </c>
      <c r="E244">
        <v>37345137</v>
      </c>
      <c r="F244">
        <v>1</v>
      </c>
      <c r="G244">
        <v>37345137</v>
      </c>
      <c r="H244">
        <v>3</v>
      </c>
      <c r="I244" t="s">
        <v>1445</v>
      </c>
      <c r="J244" t="s">
        <v>3</v>
      </c>
      <c r="K244" t="s">
        <v>1446</v>
      </c>
      <c r="L244">
        <v>1354</v>
      </c>
      <c r="N244">
        <v>1010</v>
      </c>
      <c r="O244" t="s">
        <v>250</v>
      </c>
      <c r="P244" t="s">
        <v>250</v>
      </c>
      <c r="Q244">
        <v>1</v>
      </c>
      <c r="X244">
        <v>1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 t="s">
        <v>3</v>
      </c>
      <c r="AG244">
        <v>1</v>
      </c>
      <c r="AH244">
        <v>3</v>
      </c>
      <c r="AI244">
        <v>-1</v>
      </c>
      <c r="AJ244" t="s">
        <v>3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ROW(Source!A265)</f>
        <v>265</v>
      </c>
      <c r="B245">
        <v>129763458</v>
      </c>
      <c r="C245">
        <v>129763451</v>
      </c>
      <c r="D245">
        <v>37345142</v>
      </c>
      <c r="E245">
        <v>37345137</v>
      </c>
      <c r="F245">
        <v>1</v>
      </c>
      <c r="G245">
        <v>37345137</v>
      </c>
      <c r="H245">
        <v>1</v>
      </c>
      <c r="I245" t="s">
        <v>1096</v>
      </c>
      <c r="J245" t="s">
        <v>3</v>
      </c>
      <c r="K245" t="s">
        <v>1097</v>
      </c>
      <c r="L245">
        <v>1191</v>
      </c>
      <c r="N245">
        <v>1013</v>
      </c>
      <c r="O245" t="s">
        <v>1098</v>
      </c>
      <c r="P245" t="s">
        <v>1098</v>
      </c>
      <c r="Q245">
        <v>1</v>
      </c>
      <c r="X245">
        <v>121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1</v>
      </c>
      <c r="AE245">
        <v>1</v>
      </c>
      <c r="AF245" t="s">
        <v>87</v>
      </c>
      <c r="AG245">
        <v>139.14999999999998</v>
      </c>
      <c r="AH245">
        <v>2</v>
      </c>
      <c r="AI245">
        <v>129763452</v>
      </c>
      <c r="AJ245">
        <v>239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ROW(Source!A265)</f>
        <v>265</v>
      </c>
      <c r="B246">
        <v>129763459</v>
      </c>
      <c r="C246">
        <v>129763451</v>
      </c>
      <c r="D246">
        <v>37393552</v>
      </c>
      <c r="E246">
        <v>1</v>
      </c>
      <c r="F246">
        <v>1</v>
      </c>
      <c r="G246">
        <v>37345137</v>
      </c>
      <c r="H246">
        <v>3</v>
      </c>
      <c r="I246" t="s">
        <v>348</v>
      </c>
      <c r="J246" t="s">
        <v>350</v>
      </c>
      <c r="K246" t="s">
        <v>349</v>
      </c>
      <c r="L246">
        <v>1339</v>
      </c>
      <c r="N246">
        <v>1007</v>
      </c>
      <c r="O246" t="s">
        <v>94</v>
      </c>
      <c r="P246" t="s">
        <v>94</v>
      </c>
      <c r="Q246">
        <v>1</v>
      </c>
      <c r="X246">
        <v>0.3</v>
      </c>
      <c r="Y246">
        <v>7.07</v>
      </c>
      <c r="Z246">
        <v>0</v>
      </c>
      <c r="AA246">
        <v>0</v>
      </c>
      <c r="AB246">
        <v>0</v>
      </c>
      <c r="AC246">
        <v>0</v>
      </c>
      <c r="AD246">
        <v>1</v>
      </c>
      <c r="AE246">
        <v>0</v>
      </c>
      <c r="AF246" t="s">
        <v>3</v>
      </c>
      <c r="AG246">
        <v>0.3</v>
      </c>
      <c r="AH246">
        <v>2</v>
      </c>
      <c r="AI246">
        <v>129763453</v>
      </c>
      <c r="AJ246">
        <v>240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ROW(Source!A265)</f>
        <v>265</v>
      </c>
      <c r="B247">
        <v>129763460</v>
      </c>
      <c r="C247">
        <v>129763451</v>
      </c>
      <c r="D247">
        <v>37393522</v>
      </c>
      <c r="E247">
        <v>1</v>
      </c>
      <c r="F247">
        <v>1</v>
      </c>
      <c r="G247">
        <v>37345137</v>
      </c>
      <c r="H247">
        <v>3</v>
      </c>
      <c r="I247" t="s">
        <v>1234</v>
      </c>
      <c r="J247" t="s">
        <v>1235</v>
      </c>
      <c r="K247" t="s">
        <v>1236</v>
      </c>
      <c r="L247">
        <v>1339</v>
      </c>
      <c r="N247">
        <v>1007</v>
      </c>
      <c r="O247" t="s">
        <v>94</v>
      </c>
      <c r="P247" t="s">
        <v>94</v>
      </c>
      <c r="Q247">
        <v>1</v>
      </c>
      <c r="X247">
        <v>1.6E-2</v>
      </c>
      <c r="Y247">
        <v>2472.13</v>
      </c>
      <c r="Z247">
        <v>0</v>
      </c>
      <c r="AA247">
        <v>0</v>
      </c>
      <c r="AB247">
        <v>0</v>
      </c>
      <c r="AC247">
        <v>0</v>
      </c>
      <c r="AD247">
        <v>1</v>
      </c>
      <c r="AE247">
        <v>0</v>
      </c>
      <c r="AF247" t="s">
        <v>3</v>
      </c>
      <c r="AG247">
        <v>1.6E-2</v>
      </c>
      <c r="AH247">
        <v>2</v>
      </c>
      <c r="AI247">
        <v>129763454</v>
      </c>
      <c r="AJ247">
        <v>242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ROW(Source!A265)</f>
        <v>265</v>
      </c>
      <c r="B248">
        <v>129763461</v>
      </c>
      <c r="C248">
        <v>129763451</v>
      </c>
      <c r="D248">
        <v>37394252</v>
      </c>
      <c r="E248">
        <v>1</v>
      </c>
      <c r="F248">
        <v>1</v>
      </c>
      <c r="G248">
        <v>37345137</v>
      </c>
      <c r="H248">
        <v>3</v>
      </c>
      <c r="I248" t="s">
        <v>1237</v>
      </c>
      <c r="J248" t="s">
        <v>1238</v>
      </c>
      <c r="K248" t="s">
        <v>1239</v>
      </c>
      <c r="L248">
        <v>1348</v>
      </c>
      <c r="N248">
        <v>1009</v>
      </c>
      <c r="O248" t="s">
        <v>114</v>
      </c>
      <c r="P248" t="s">
        <v>114</v>
      </c>
      <c r="Q248">
        <v>1000</v>
      </c>
      <c r="X248">
        <v>2.3E-3</v>
      </c>
      <c r="Y248">
        <v>6870.66</v>
      </c>
      <c r="Z248">
        <v>0</v>
      </c>
      <c r="AA248">
        <v>0</v>
      </c>
      <c r="AB248">
        <v>0</v>
      </c>
      <c r="AC248">
        <v>0</v>
      </c>
      <c r="AD248">
        <v>1</v>
      </c>
      <c r="AE248">
        <v>0</v>
      </c>
      <c r="AF248" t="s">
        <v>3</v>
      </c>
      <c r="AG248">
        <v>2.3E-3</v>
      </c>
      <c r="AH248">
        <v>2</v>
      </c>
      <c r="AI248">
        <v>129763455</v>
      </c>
      <c r="AJ248">
        <v>243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ROW(Source!A265)</f>
        <v>265</v>
      </c>
      <c r="B249">
        <v>129763462</v>
      </c>
      <c r="C249">
        <v>129763451</v>
      </c>
      <c r="D249">
        <v>37361087</v>
      </c>
      <c r="E249">
        <v>37345137</v>
      </c>
      <c r="F249">
        <v>1</v>
      </c>
      <c r="G249">
        <v>37345137</v>
      </c>
      <c r="H249">
        <v>3</v>
      </c>
      <c r="I249" t="s">
        <v>1447</v>
      </c>
      <c r="J249" t="s">
        <v>3</v>
      </c>
      <c r="K249" t="s">
        <v>1448</v>
      </c>
      <c r="L249">
        <v>1356</v>
      </c>
      <c r="N249">
        <v>1010</v>
      </c>
      <c r="O249" t="s">
        <v>316</v>
      </c>
      <c r="P249" t="s">
        <v>316</v>
      </c>
      <c r="Q249">
        <v>1000</v>
      </c>
      <c r="X249">
        <v>5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 t="s">
        <v>3</v>
      </c>
      <c r="AG249">
        <v>5</v>
      </c>
      <c r="AH249">
        <v>3</v>
      </c>
      <c r="AI249">
        <v>-1</v>
      </c>
      <c r="AJ249" t="s">
        <v>3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ROW(Source!A265)</f>
        <v>265</v>
      </c>
      <c r="B250">
        <v>129763463</v>
      </c>
      <c r="C250">
        <v>129763451</v>
      </c>
      <c r="D250">
        <v>37358251</v>
      </c>
      <c r="E250">
        <v>37345137</v>
      </c>
      <c r="F250">
        <v>1</v>
      </c>
      <c r="G250">
        <v>37345137</v>
      </c>
      <c r="H250">
        <v>3</v>
      </c>
      <c r="I250" t="s">
        <v>1449</v>
      </c>
      <c r="J250" t="s">
        <v>3</v>
      </c>
      <c r="K250" t="s">
        <v>1450</v>
      </c>
      <c r="L250">
        <v>1339</v>
      </c>
      <c r="N250">
        <v>1007</v>
      </c>
      <c r="O250" t="s">
        <v>94</v>
      </c>
      <c r="P250" t="s">
        <v>94</v>
      </c>
      <c r="Q250">
        <v>1</v>
      </c>
      <c r="X250">
        <v>2.2999999999999998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 t="s">
        <v>3</v>
      </c>
      <c r="AG250">
        <v>2.2999999999999998</v>
      </c>
      <c r="AH250">
        <v>3</v>
      </c>
      <c r="AI250">
        <v>-1</v>
      </c>
      <c r="AJ250" t="s">
        <v>3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ROW(Source!A266)</f>
        <v>266</v>
      </c>
      <c r="B251">
        <v>129763458</v>
      </c>
      <c r="C251">
        <v>129763451</v>
      </c>
      <c r="D251">
        <v>37345142</v>
      </c>
      <c r="E251">
        <v>37345137</v>
      </c>
      <c r="F251">
        <v>1</v>
      </c>
      <c r="G251">
        <v>37345137</v>
      </c>
      <c r="H251">
        <v>1</v>
      </c>
      <c r="I251" t="s">
        <v>1096</v>
      </c>
      <c r="J251" t="s">
        <v>3</v>
      </c>
      <c r="K251" t="s">
        <v>1097</v>
      </c>
      <c r="L251">
        <v>1191</v>
      </c>
      <c r="N251">
        <v>1013</v>
      </c>
      <c r="O251" t="s">
        <v>1098</v>
      </c>
      <c r="P251" t="s">
        <v>1098</v>
      </c>
      <c r="Q251">
        <v>1</v>
      </c>
      <c r="X251">
        <v>121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1</v>
      </c>
      <c r="AE251">
        <v>1</v>
      </c>
      <c r="AF251" t="s">
        <v>87</v>
      </c>
      <c r="AG251">
        <v>139.14999999999998</v>
      </c>
      <c r="AH251">
        <v>2</v>
      </c>
      <c r="AI251">
        <v>129763452</v>
      </c>
      <c r="AJ251">
        <v>245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ROW(Source!A266)</f>
        <v>266</v>
      </c>
      <c r="B252">
        <v>129763459</v>
      </c>
      <c r="C252">
        <v>129763451</v>
      </c>
      <c r="D252">
        <v>37393552</v>
      </c>
      <c r="E252">
        <v>1</v>
      </c>
      <c r="F252">
        <v>1</v>
      </c>
      <c r="G252">
        <v>37345137</v>
      </c>
      <c r="H252">
        <v>3</v>
      </c>
      <c r="I252" t="s">
        <v>348</v>
      </c>
      <c r="J252" t="s">
        <v>350</v>
      </c>
      <c r="K252" t="s">
        <v>349</v>
      </c>
      <c r="L252">
        <v>1339</v>
      </c>
      <c r="N252">
        <v>1007</v>
      </c>
      <c r="O252" t="s">
        <v>94</v>
      </c>
      <c r="P252" t="s">
        <v>94</v>
      </c>
      <c r="Q252">
        <v>1</v>
      </c>
      <c r="X252">
        <v>0.3</v>
      </c>
      <c r="Y252">
        <v>7.07</v>
      </c>
      <c r="Z252">
        <v>0</v>
      </c>
      <c r="AA252">
        <v>0</v>
      </c>
      <c r="AB252">
        <v>0</v>
      </c>
      <c r="AC252">
        <v>0</v>
      </c>
      <c r="AD252">
        <v>1</v>
      </c>
      <c r="AE252">
        <v>0</v>
      </c>
      <c r="AF252" t="s">
        <v>3</v>
      </c>
      <c r="AG252">
        <v>0.3</v>
      </c>
      <c r="AH252">
        <v>2</v>
      </c>
      <c r="AI252">
        <v>129763453</v>
      </c>
      <c r="AJ252">
        <v>246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ROW(Source!A266)</f>
        <v>266</v>
      </c>
      <c r="B253">
        <v>129763460</v>
      </c>
      <c r="C253">
        <v>129763451</v>
      </c>
      <c r="D253">
        <v>37393522</v>
      </c>
      <c r="E253">
        <v>1</v>
      </c>
      <c r="F253">
        <v>1</v>
      </c>
      <c r="G253">
        <v>37345137</v>
      </c>
      <c r="H253">
        <v>3</v>
      </c>
      <c r="I253" t="s">
        <v>1234</v>
      </c>
      <c r="J253" t="s">
        <v>1235</v>
      </c>
      <c r="K253" t="s">
        <v>1236</v>
      </c>
      <c r="L253">
        <v>1339</v>
      </c>
      <c r="N253">
        <v>1007</v>
      </c>
      <c r="O253" t="s">
        <v>94</v>
      </c>
      <c r="P253" t="s">
        <v>94</v>
      </c>
      <c r="Q253">
        <v>1</v>
      </c>
      <c r="X253">
        <v>1.6E-2</v>
      </c>
      <c r="Y253">
        <v>2472.13</v>
      </c>
      <c r="Z253">
        <v>0</v>
      </c>
      <c r="AA253">
        <v>0</v>
      </c>
      <c r="AB253">
        <v>0</v>
      </c>
      <c r="AC253">
        <v>0</v>
      </c>
      <c r="AD253">
        <v>1</v>
      </c>
      <c r="AE253">
        <v>0</v>
      </c>
      <c r="AF253" t="s">
        <v>3</v>
      </c>
      <c r="AG253">
        <v>1.6E-2</v>
      </c>
      <c r="AH253">
        <v>2</v>
      </c>
      <c r="AI253">
        <v>129763454</v>
      </c>
      <c r="AJ253">
        <v>248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ROW(Source!A266)</f>
        <v>266</v>
      </c>
      <c r="B254">
        <v>129763461</v>
      </c>
      <c r="C254">
        <v>129763451</v>
      </c>
      <c r="D254">
        <v>37394252</v>
      </c>
      <c r="E254">
        <v>1</v>
      </c>
      <c r="F254">
        <v>1</v>
      </c>
      <c r="G254">
        <v>37345137</v>
      </c>
      <c r="H254">
        <v>3</v>
      </c>
      <c r="I254" t="s">
        <v>1237</v>
      </c>
      <c r="J254" t="s">
        <v>1238</v>
      </c>
      <c r="K254" t="s">
        <v>1239</v>
      </c>
      <c r="L254">
        <v>1348</v>
      </c>
      <c r="N254">
        <v>1009</v>
      </c>
      <c r="O254" t="s">
        <v>114</v>
      </c>
      <c r="P254" t="s">
        <v>114</v>
      </c>
      <c r="Q254">
        <v>1000</v>
      </c>
      <c r="X254">
        <v>2.3E-3</v>
      </c>
      <c r="Y254">
        <v>6870.66</v>
      </c>
      <c r="Z254">
        <v>0</v>
      </c>
      <c r="AA254">
        <v>0</v>
      </c>
      <c r="AB254">
        <v>0</v>
      </c>
      <c r="AC254">
        <v>0</v>
      </c>
      <c r="AD254">
        <v>1</v>
      </c>
      <c r="AE254">
        <v>0</v>
      </c>
      <c r="AF254" t="s">
        <v>3</v>
      </c>
      <c r="AG254">
        <v>2.3E-3</v>
      </c>
      <c r="AH254">
        <v>2</v>
      </c>
      <c r="AI254">
        <v>129763455</v>
      </c>
      <c r="AJ254">
        <v>249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ROW(Source!A266)</f>
        <v>266</v>
      </c>
      <c r="B255">
        <v>129763462</v>
      </c>
      <c r="C255">
        <v>129763451</v>
      </c>
      <c r="D255">
        <v>37361087</v>
      </c>
      <c r="E255">
        <v>37345137</v>
      </c>
      <c r="F255">
        <v>1</v>
      </c>
      <c r="G255">
        <v>37345137</v>
      </c>
      <c r="H255">
        <v>3</v>
      </c>
      <c r="I255" t="s">
        <v>1447</v>
      </c>
      <c r="J255" t="s">
        <v>3</v>
      </c>
      <c r="K255" t="s">
        <v>1448</v>
      </c>
      <c r="L255">
        <v>1356</v>
      </c>
      <c r="N255">
        <v>1010</v>
      </c>
      <c r="O255" t="s">
        <v>316</v>
      </c>
      <c r="P255" t="s">
        <v>316</v>
      </c>
      <c r="Q255">
        <v>1000</v>
      </c>
      <c r="X255">
        <v>5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 t="s">
        <v>3</v>
      </c>
      <c r="AG255">
        <v>5</v>
      </c>
      <c r="AH255">
        <v>3</v>
      </c>
      <c r="AI255">
        <v>-1</v>
      </c>
      <c r="AJ255" t="s">
        <v>3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ROW(Source!A266)</f>
        <v>266</v>
      </c>
      <c r="B256">
        <v>129763463</v>
      </c>
      <c r="C256">
        <v>129763451</v>
      </c>
      <c r="D256">
        <v>37358251</v>
      </c>
      <c r="E256">
        <v>37345137</v>
      </c>
      <c r="F256">
        <v>1</v>
      </c>
      <c r="G256">
        <v>37345137</v>
      </c>
      <c r="H256">
        <v>3</v>
      </c>
      <c r="I256" t="s">
        <v>1449</v>
      </c>
      <c r="J256" t="s">
        <v>3</v>
      </c>
      <c r="K256" t="s">
        <v>1450</v>
      </c>
      <c r="L256">
        <v>1339</v>
      </c>
      <c r="N256">
        <v>1007</v>
      </c>
      <c r="O256" t="s">
        <v>94</v>
      </c>
      <c r="P256" t="s">
        <v>94</v>
      </c>
      <c r="Q256">
        <v>1</v>
      </c>
      <c r="X256">
        <v>2.2999999999999998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 t="s">
        <v>3</v>
      </c>
      <c r="AG256">
        <v>2.2999999999999998</v>
      </c>
      <c r="AH256">
        <v>3</v>
      </c>
      <c r="AI256">
        <v>-1</v>
      </c>
      <c r="AJ256" t="s">
        <v>3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ROW(Source!A271)</f>
        <v>271</v>
      </c>
      <c r="B257">
        <v>129763469</v>
      </c>
      <c r="C257">
        <v>129763466</v>
      </c>
      <c r="D257">
        <v>37345142</v>
      </c>
      <c r="E257">
        <v>37345137</v>
      </c>
      <c r="F257">
        <v>1</v>
      </c>
      <c r="G257">
        <v>37345137</v>
      </c>
      <c r="H257">
        <v>1</v>
      </c>
      <c r="I257" t="s">
        <v>1096</v>
      </c>
      <c r="J257" t="s">
        <v>3</v>
      </c>
      <c r="K257" t="s">
        <v>1097</v>
      </c>
      <c r="L257">
        <v>1191</v>
      </c>
      <c r="N257">
        <v>1013</v>
      </c>
      <c r="O257" t="s">
        <v>1098</v>
      </c>
      <c r="P257" t="s">
        <v>1098</v>
      </c>
      <c r="Q257">
        <v>1</v>
      </c>
      <c r="X257">
        <v>29.58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1</v>
      </c>
      <c r="AE257">
        <v>1</v>
      </c>
      <c r="AF257" t="s">
        <v>3</v>
      </c>
      <c r="AG257">
        <v>29.58</v>
      </c>
      <c r="AH257">
        <v>2</v>
      </c>
      <c r="AI257">
        <v>129763467</v>
      </c>
      <c r="AJ257">
        <v>251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ROW(Source!A271)</f>
        <v>271</v>
      </c>
      <c r="B258">
        <v>129763470</v>
      </c>
      <c r="C258">
        <v>129763466</v>
      </c>
      <c r="D258">
        <v>37358251</v>
      </c>
      <c r="E258">
        <v>37345137</v>
      </c>
      <c r="F258">
        <v>1</v>
      </c>
      <c r="G258">
        <v>37345137</v>
      </c>
      <c r="H258">
        <v>3</v>
      </c>
      <c r="I258" t="s">
        <v>1449</v>
      </c>
      <c r="J258" t="s">
        <v>3</v>
      </c>
      <c r="K258" t="s">
        <v>1451</v>
      </c>
      <c r="L258">
        <v>1339</v>
      </c>
      <c r="N258">
        <v>1007</v>
      </c>
      <c r="O258" t="s">
        <v>94</v>
      </c>
      <c r="P258" t="s">
        <v>94</v>
      </c>
      <c r="Q258">
        <v>1</v>
      </c>
      <c r="X258">
        <v>0.53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 t="s">
        <v>3</v>
      </c>
      <c r="AG258">
        <v>0.53</v>
      </c>
      <c r="AH258">
        <v>3</v>
      </c>
      <c r="AI258">
        <v>-1</v>
      </c>
      <c r="AJ258" t="s">
        <v>3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ROW(Source!A272)</f>
        <v>272</v>
      </c>
      <c r="B259">
        <v>129763469</v>
      </c>
      <c r="C259">
        <v>129763466</v>
      </c>
      <c r="D259">
        <v>37345142</v>
      </c>
      <c r="E259">
        <v>37345137</v>
      </c>
      <c r="F259">
        <v>1</v>
      </c>
      <c r="G259">
        <v>37345137</v>
      </c>
      <c r="H259">
        <v>1</v>
      </c>
      <c r="I259" t="s">
        <v>1096</v>
      </c>
      <c r="J259" t="s">
        <v>3</v>
      </c>
      <c r="K259" t="s">
        <v>1097</v>
      </c>
      <c r="L259">
        <v>1191</v>
      </c>
      <c r="N259">
        <v>1013</v>
      </c>
      <c r="O259" t="s">
        <v>1098</v>
      </c>
      <c r="P259" t="s">
        <v>1098</v>
      </c>
      <c r="Q259">
        <v>1</v>
      </c>
      <c r="X259">
        <v>29.58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1</v>
      </c>
      <c r="AE259">
        <v>1</v>
      </c>
      <c r="AF259" t="s">
        <v>3</v>
      </c>
      <c r="AG259">
        <v>29.58</v>
      </c>
      <c r="AH259">
        <v>2</v>
      </c>
      <c r="AI259">
        <v>129763467</v>
      </c>
      <c r="AJ259">
        <v>253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ROW(Source!A272)</f>
        <v>272</v>
      </c>
      <c r="B260">
        <v>129763470</v>
      </c>
      <c r="C260">
        <v>129763466</v>
      </c>
      <c r="D260">
        <v>37358251</v>
      </c>
      <c r="E260">
        <v>37345137</v>
      </c>
      <c r="F260">
        <v>1</v>
      </c>
      <c r="G260">
        <v>37345137</v>
      </c>
      <c r="H260">
        <v>3</v>
      </c>
      <c r="I260" t="s">
        <v>1449</v>
      </c>
      <c r="J260" t="s">
        <v>3</v>
      </c>
      <c r="K260" t="s">
        <v>1451</v>
      </c>
      <c r="L260">
        <v>1339</v>
      </c>
      <c r="N260">
        <v>1007</v>
      </c>
      <c r="O260" t="s">
        <v>94</v>
      </c>
      <c r="P260" t="s">
        <v>94</v>
      </c>
      <c r="Q260">
        <v>1</v>
      </c>
      <c r="X260">
        <v>0.53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 t="s">
        <v>3</v>
      </c>
      <c r="AG260">
        <v>0.53</v>
      </c>
      <c r="AH260">
        <v>3</v>
      </c>
      <c r="AI260">
        <v>-1</v>
      </c>
      <c r="AJ260" t="s">
        <v>3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ROW(Source!A275)</f>
        <v>275</v>
      </c>
      <c r="B261">
        <v>129763478</v>
      </c>
      <c r="C261">
        <v>129763472</v>
      </c>
      <c r="D261">
        <v>37345142</v>
      </c>
      <c r="E261">
        <v>37345137</v>
      </c>
      <c r="F261">
        <v>1</v>
      </c>
      <c r="G261">
        <v>37345137</v>
      </c>
      <c r="H261">
        <v>1</v>
      </c>
      <c r="I261" t="s">
        <v>1096</v>
      </c>
      <c r="J261" t="s">
        <v>3</v>
      </c>
      <c r="K261" t="s">
        <v>1097</v>
      </c>
      <c r="L261">
        <v>1191</v>
      </c>
      <c r="N261">
        <v>1013</v>
      </c>
      <c r="O261" t="s">
        <v>1098</v>
      </c>
      <c r="P261" t="s">
        <v>1098</v>
      </c>
      <c r="Q261">
        <v>1</v>
      </c>
      <c r="X261">
        <v>200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1</v>
      </c>
      <c r="AE261">
        <v>1</v>
      </c>
      <c r="AF261" t="s">
        <v>87</v>
      </c>
      <c r="AG261">
        <v>229.99999999999997</v>
      </c>
      <c r="AH261">
        <v>2</v>
      </c>
      <c r="AI261">
        <v>129763473</v>
      </c>
      <c r="AJ261">
        <v>255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ROW(Source!A275)</f>
        <v>275</v>
      </c>
      <c r="B262">
        <v>129763479</v>
      </c>
      <c r="C262">
        <v>129763472</v>
      </c>
      <c r="D262">
        <v>37345890</v>
      </c>
      <c r="E262">
        <v>37345137</v>
      </c>
      <c r="F262">
        <v>1</v>
      </c>
      <c r="G262">
        <v>37345137</v>
      </c>
      <c r="H262">
        <v>2</v>
      </c>
      <c r="I262" t="s">
        <v>1145</v>
      </c>
      <c r="J262" t="s">
        <v>3</v>
      </c>
      <c r="K262" t="s">
        <v>1146</v>
      </c>
      <c r="L262">
        <v>1344</v>
      </c>
      <c r="N262">
        <v>1008</v>
      </c>
      <c r="O262" t="s">
        <v>1138</v>
      </c>
      <c r="P262" t="s">
        <v>1138</v>
      </c>
      <c r="Q262">
        <v>1</v>
      </c>
      <c r="X262">
        <v>29.03</v>
      </c>
      <c r="Y262">
        <v>0</v>
      </c>
      <c r="Z262">
        <v>1</v>
      </c>
      <c r="AA262">
        <v>0</v>
      </c>
      <c r="AB262">
        <v>0</v>
      </c>
      <c r="AC262">
        <v>0</v>
      </c>
      <c r="AD262">
        <v>1</v>
      </c>
      <c r="AE262">
        <v>0</v>
      </c>
      <c r="AF262" t="s">
        <v>86</v>
      </c>
      <c r="AG262">
        <v>36.287500000000001</v>
      </c>
      <c r="AH262">
        <v>2</v>
      </c>
      <c r="AI262">
        <v>129763474</v>
      </c>
      <c r="AJ262">
        <v>256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ROW(Source!A275)</f>
        <v>275</v>
      </c>
      <c r="B263">
        <v>129763480</v>
      </c>
      <c r="C263">
        <v>129763472</v>
      </c>
      <c r="D263">
        <v>37412063</v>
      </c>
      <c r="E263">
        <v>1</v>
      </c>
      <c r="F263">
        <v>1</v>
      </c>
      <c r="G263">
        <v>37345137</v>
      </c>
      <c r="H263">
        <v>3</v>
      </c>
      <c r="I263" t="s">
        <v>1240</v>
      </c>
      <c r="J263" t="s">
        <v>1241</v>
      </c>
      <c r="K263" t="s">
        <v>1242</v>
      </c>
      <c r="L263">
        <v>1339</v>
      </c>
      <c r="N263">
        <v>1007</v>
      </c>
      <c r="O263" t="s">
        <v>94</v>
      </c>
      <c r="P263" t="s">
        <v>94</v>
      </c>
      <c r="Q263">
        <v>1</v>
      </c>
      <c r="X263">
        <v>1.5</v>
      </c>
      <c r="Y263">
        <v>478.96</v>
      </c>
      <c r="Z263">
        <v>0</v>
      </c>
      <c r="AA263">
        <v>0</v>
      </c>
      <c r="AB263">
        <v>0</v>
      </c>
      <c r="AC263">
        <v>0</v>
      </c>
      <c r="AD263">
        <v>1</v>
      </c>
      <c r="AE263">
        <v>0</v>
      </c>
      <c r="AF263" t="s">
        <v>3</v>
      </c>
      <c r="AG263">
        <v>1.5</v>
      </c>
      <c r="AH263">
        <v>2</v>
      </c>
      <c r="AI263">
        <v>129763475</v>
      </c>
      <c r="AJ263">
        <v>258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ROW(Source!A275)</f>
        <v>275</v>
      </c>
      <c r="B264">
        <v>129763481</v>
      </c>
      <c r="C264">
        <v>129763472</v>
      </c>
      <c r="D264">
        <v>37360038</v>
      </c>
      <c r="E264">
        <v>37345137</v>
      </c>
      <c r="F264">
        <v>1</v>
      </c>
      <c r="G264">
        <v>37345137</v>
      </c>
      <c r="H264">
        <v>3</v>
      </c>
      <c r="I264" t="s">
        <v>1452</v>
      </c>
      <c r="J264" t="s">
        <v>3</v>
      </c>
      <c r="K264" t="s">
        <v>1453</v>
      </c>
      <c r="L264">
        <v>1327</v>
      </c>
      <c r="N264">
        <v>1005</v>
      </c>
      <c r="O264" t="s">
        <v>258</v>
      </c>
      <c r="P264" t="s">
        <v>258</v>
      </c>
      <c r="Q264">
        <v>1</v>
      </c>
      <c r="X264">
        <v>100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 t="s">
        <v>3</v>
      </c>
      <c r="AG264">
        <v>100</v>
      </c>
      <c r="AH264">
        <v>3</v>
      </c>
      <c r="AI264">
        <v>-1</v>
      </c>
      <c r="AJ264" t="s">
        <v>3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ROW(Source!A275)</f>
        <v>275</v>
      </c>
      <c r="B265">
        <v>129763482</v>
      </c>
      <c r="C265">
        <v>129763472</v>
      </c>
      <c r="D265">
        <v>37367082</v>
      </c>
      <c r="E265">
        <v>37345137</v>
      </c>
      <c r="F265">
        <v>1</v>
      </c>
      <c r="G265">
        <v>37345137</v>
      </c>
      <c r="H265">
        <v>3</v>
      </c>
      <c r="I265" t="s">
        <v>1136</v>
      </c>
      <c r="J265" t="s">
        <v>3</v>
      </c>
      <c r="K265" t="s">
        <v>1137</v>
      </c>
      <c r="L265">
        <v>1344</v>
      </c>
      <c r="N265">
        <v>1008</v>
      </c>
      <c r="O265" t="s">
        <v>1138</v>
      </c>
      <c r="P265" t="s">
        <v>1138</v>
      </c>
      <c r="Q265">
        <v>1</v>
      </c>
      <c r="X265">
        <v>8.5399999999999991</v>
      </c>
      <c r="Y265">
        <v>1</v>
      </c>
      <c r="Z265">
        <v>0</v>
      </c>
      <c r="AA265">
        <v>0</v>
      </c>
      <c r="AB265">
        <v>0</v>
      </c>
      <c r="AC265">
        <v>0</v>
      </c>
      <c r="AD265">
        <v>1</v>
      </c>
      <c r="AE265">
        <v>0</v>
      </c>
      <c r="AF265" t="s">
        <v>3</v>
      </c>
      <c r="AG265">
        <v>8.5399999999999991</v>
      </c>
      <c r="AH265">
        <v>2</v>
      </c>
      <c r="AI265">
        <v>129763477</v>
      </c>
      <c r="AJ265">
        <v>259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ROW(Source!A276)</f>
        <v>276</v>
      </c>
      <c r="B266">
        <v>129763478</v>
      </c>
      <c r="C266">
        <v>129763472</v>
      </c>
      <c r="D266">
        <v>37345142</v>
      </c>
      <c r="E266">
        <v>37345137</v>
      </c>
      <c r="F266">
        <v>1</v>
      </c>
      <c r="G266">
        <v>37345137</v>
      </c>
      <c r="H266">
        <v>1</v>
      </c>
      <c r="I266" t="s">
        <v>1096</v>
      </c>
      <c r="J266" t="s">
        <v>3</v>
      </c>
      <c r="K266" t="s">
        <v>1097</v>
      </c>
      <c r="L266">
        <v>1191</v>
      </c>
      <c r="N266">
        <v>1013</v>
      </c>
      <c r="O266" t="s">
        <v>1098</v>
      </c>
      <c r="P266" t="s">
        <v>1098</v>
      </c>
      <c r="Q266">
        <v>1</v>
      </c>
      <c r="X266">
        <v>200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1</v>
      </c>
      <c r="AE266">
        <v>1</v>
      </c>
      <c r="AF266" t="s">
        <v>87</v>
      </c>
      <c r="AG266">
        <v>229.99999999999997</v>
      </c>
      <c r="AH266">
        <v>2</v>
      </c>
      <c r="AI266">
        <v>129763473</v>
      </c>
      <c r="AJ266">
        <v>260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ROW(Source!A276)</f>
        <v>276</v>
      </c>
      <c r="B267">
        <v>129763479</v>
      </c>
      <c r="C267">
        <v>129763472</v>
      </c>
      <c r="D267">
        <v>37345890</v>
      </c>
      <c r="E267">
        <v>37345137</v>
      </c>
      <c r="F267">
        <v>1</v>
      </c>
      <c r="G267">
        <v>37345137</v>
      </c>
      <c r="H267">
        <v>2</v>
      </c>
      <c r="I267" t="s">
        <v>1145</v>
      </c>
      <c r="J267" t="s">
        <v>3</v>
      </c>
      <c r="K267" t="s">
        <v>1146</v>
      </c>
      <c r="L267">
        <v>1344</v>
      </c>
      <c r="N267">
        <v>1008</v>
      </c>
      <c r="O267" t="s">
        <v>1138</v>
      </c>
      <c r="P267" t="s">
        <v>1138</v>
      </c>
      <c r="Q267">
        <v>1</v>
      </c>
      <c r="X267">
        <v>29.03</v>
      </c>
      <c r="Y267">
        <v>0</v>
      </c>
      <c r="Z267">
        <v>1</v>
      </c>
      <c r="AA267">
        <v>0</v>
      </c>
      <c r="AB267">
        <v>0</v>
      </c>
      <c r="AC267">
        <v>0</v>
      </c>
      <c r="AD267">
        <v>1</v>
      </c>
      <c r="AE267">
        <v>0</v>
      </c>
      <c r="AF267" t="s">
        <v>86</v>
      </c>
      <c r="AG267">
        <v>36.287500000000001</v>
      </c>
      <c r="AH267">
        <v>2</v>
      </c>
      <c r="AI267">
        <v>129763474</v>
      </c>
      <c r="AJ267">
        <v>261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ROW(Source!A276)</f>
        <v>276</v>
      </c>
      <c r="B268">
        <v>129763480</v>
      </c>
      <c r="C268">
        <v>129763472</v>
      </c>
      <c r="D268">
        <v>37412063</v>
      </c>
      <c r="E268">
        <v>1</v>
      </c>
      <c r="F268">
        <v>1</v>
      </c>
      <c r="G268">
        <v>37345137</v>
      </c>
      <c r="H268">
        <v>3</v>
      </c>
      <c r="I268" t="s">
        <v>1240</v>
      </c>
      <c r="J268" t="s">
        <v>1241</v>
      </c>
      <c r="K268" t="s">
        <v>1242</v>
      </c>
      <c r="L268">
        <v>1339</v>
      </c>
      <c r="N268">
        <v>1007</v>
      </c>
      <c r="O268" t="s">
        <v>94</v>
      </c>
      <c r="P268" t="s">
        <v>94</v>
      </c>
      <c r="Q268">
        <v>1</v>
      </c>
      <c r="X268">
        <v>1.5</v>
      </c>
      <c r="Y268">
        <v>478.96</v>
      </c>
      <c r="Z268">
        <v>0</v>
      </c>
      <c r="AA268">
        <v>0</v>
      </c>
      <c r="AB268">
        <v>0</v>
      </c>
      <c r="AC268">
        <v>0</v>
      </c>
      <c r="AD268">
        <v>1</v>
      </c>
      <c r="AE268">
        <v>0</v>
      </c>
      <c r="AF268" t="s">
        <v>3</v>
      </c>
      <c r="AG268">
        <v>1.5</v>
      </c>
      <c r="AH268">
        <v>2</v>
      </c>
      <c r="AI268">
        <v>129763475</v>
      </c>
      <c r="AJ268">
        <v>263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">
      <c r="A269">
        <f>ROW(Source!A276)</f>
        <v>276</v>
      </c>
      <c r="B269">
        <v>129763481</v>
      </c>
      <c r="C269">
        <v>129763472</v>
      </c>
      <c r="D269">
        <v>37360038</v>
      </c>
      <c r="E269">
        <v>37345137</v>
      </c>
      <c r="F269">
        <v>1</v>
      </c>
      <c r="G269">
        <v>37345137</v>
      </c>
      <c r="H269">
        <v>3</v>
      </c>
      <c r="I269" t="s">
        <v>1452</v>
      </c>
      <c r="J269" t="s">
        <v>3</v>
      </c>
      <c r="K269" t="s">
        <v>1453</v>
      </c>
      <c r="L269">
        <v>1327</v>
      </c>
      <c r="N269">
        <v>1005</v>
      </c>
      <c r="O269" t="s">
        <v>258</v>
      </c>
      <c r="P269" t="s">
        <v>258</v>
      </c>
      <c r="Q269">
        <v>1</v>
      </c>
      <c r="X269">
        <v>100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 t="s">
        <v>3</v>
      </c>
      <c r="AG269">
        <v>100</v>
      </c>
      <c r="AH269">
        <v>3</v>
      </c>
      <c r="AI269">
        <v>-1</v>
      </c>
      <c r="AJ269" t="s">
        <v>3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">
      <c r="A270">
        <f>ROW(Source!A276)</f>
        <v>276</v>
      </c>
      <c r="B270">
        <v>129763482</v>
      </c>
      <c r="C270">
        <v>129763472</v>
      </c>
      <c r="D270">
        <v>37367082</v>
      </c>
      <c r="E270">
        <v>37345137</v>
      </c>
      <c r="F270">
        <v>1</v>
      </c>
      <c r="G270">
        <v>37345137</v>
      </c>
      <c r="H270">
        <v>3</v>
      </c>
      <c r="I270" t="s">
        <v>1136</v>
      </c>
      <c r="J270" t="s">
        <v>3</v>
      </c>
      <c r="K270" t="s">
        <v>1137</v>
      </c>
      <c r="L270">
        <v>1344</v>
      </c>
      <c r="N270">
        <v>1008</v>
      </c>
      <c r="O270" t="s">
        <v>1138</v>
      </c>
      <c r="P270" t="s">
        <v>1138</v>
      </c>
      <c r="Q270">
        <v>1</v>
      </c>
      <c r="X270">
        <v>8.5399999999999991</v>
      </c>
      <c r="Y270">
        <v>1</v>
      </c>
      <c r="Z270">
        <v>0</v>
      </c>
      <c r="AA270">
        <v>0</v>
      </c>
      <c r="AB270">
        <v>0</v>
      </c>
      <c r="AC270">
        <v>0</v>
      </c>
      <c r="AD270">
        <v>1</v>
      </c>
      <c r="AE270">
        <v>0</v>
      </c>
      <c r="AF270" t="s">
        <v>3</v>
      </c>
      <c r="AG270">
        <v>8.5399999999999991</v>
      </c>
      <c r="AH270">
        <v>2</v>
      </c>
      <c r="AI270">
        <v>129763477</v>
      </c>
      <c r="AJ270">
        <v>264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">
      <c r="A271">
        <f>ROW(Source!A279)</f>
        <v>279</v>
      </c>
      <c r="B271">
        <v>129763493</v>
      </c>
      <c r="C271">
        <v>129763484</v>
      </c>
      <c r="D271">
        <v>37345142</v>
      </c>
      <c r="E271">
        <v>37345137</v>
      </c>
      <c r="F271">
        <v>1</v>
      </c>
      <c r="G271">
        <v>37345137</v>
      </c>
      <c r="H271">
        <v>1</v>
      </c>
      <c r="I271" t="s">
        <v>1096</v>
      </c>
      <c r="J271" t="s">
        <v>3</v>
      </c>
      <c r="K271" t="s">
        <v>1097</v>
      </c>
      <c r="L271">
        <v>1191</v>
      </c>
      <c r="N271">
        <v>1013</v>
      </c>
      <c r="O271" t="s">
        <v>1098</v>
      </c>
      <c r="P271" t="s">
        <v>1098</v>
      </c>
      <c r="Q271">
        <v>1</v>
      </c>
      <c r="X271">
        <v>65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1</v>
      </c>
      <c r="AE271">
        <v>1</v>
      </c>
      <c r="AF271" t="s">
        <v>87</v>
      </c>
      <c r="AG271">
        <v>74.75</v>
      </c>
      <c r="AH271">
        <v>2</v>
      </c>
      <c r="AI271">
        <v>129763485</v>
      </c>
      <c r="AJ271">
        <v>265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">
      <c r="A272">
        <f>ROW(Source!A279)</f>
        <v>279</v>
      </c>
      <c r="B272">
        <v>129763494</v>
      </c>
      <c r="C272">
        <v>129763484</v>
      </c>
      <c r="D272">
        <v>37417960</v>
      </c>
      <c r="E272">
        <v>1</v>
      </c>
      <c r="F272">
        <v>1</v>
      </c>
      <c r="G272">
        <v>37345137</v>
      </c>
      <c r="H272">
        <v>2</v>
      </c>
      <c r="I272" t="s">
        <v>1243</v>
      </c>
      <c r="J272" t="s">
        <v>1244</v>
      </c>
      <c r="K272" t="s">
        <v>1245</v>
      </c>
      <c r="L272">
        <v>1367</v>
      </c>
      <c r="N272">
        <v>1011</v>
      </c>
      <c r="O272" t="s">
        <v>1102</v>
      </c>
      <c r="P272" t="s">
        <v>1102</v>
      </c>
      <c r="Q272">
        <v>1</v>
      </c>
      <c r="X272">
        <v>4.7</v>
      </c>
      <c r="Y272">
        <v>0</v>
      </c>
      <c r="Z272">
        <v>19.260000000000002</v>
      </c>
      <c r="AA272">
        <v>11.2</v>
      </c>
      <c r="AB272">
        <v>0</v>
      </c>
      <c r="AC272">
        <v>0</v>
      </c>
      <c r="AD272">
        <v>1</v>
      </c>
      <c r="AE272">
        <v>0</v>
      </c>
      <c r="AF272" t="s">
        <v>86</v>
      </c>
      <c r="AG272">
        <v>5.875</v>
      </c>
      <c r="AH272">
        <v>2</v>
      </c>
      <c r="AI272">
        <v>129763486</v>
      </c>
      <c r="AJ272">
        <v>266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">
      <c r="A273">
        <f>ROW(Source!A279)</f>
        <v>279</v>
      </c>
      <c r="B273">
        <v>129763495</v>
      </c>
      <c r="C273">
        <v>129763484</v>
      </c>
      <c r="D273">
        <v>37345890</v>
      </c>
      <c r="E273">
        <v>37345137</v>
      </c>
      <c r="F273">
        <v>1</v>
      </c>
      <c r="G273">
        <v>37345137</v>
      </c>
      <c r="H273">
        <v>2</v>
      </c>
      <c r="I273" t="s">
        <v>1145</v>
      </c>
      <c r="J273" t="s">
        <v>3</v>
      </c>
      <c r="K273" t="s">
        <v>1146</v>
      </c>
      <c r="L273">
        <v>1344</v>
      </c>
      <c r="N273">
        <v>1008</v>
      </c>
      <c r="O273" t="s">
        <v>1138</v>
      </c>
      <c r="P273" t="s">
        <v>1138</v>
      </c>
      <c r="Q273">
        <v>1</v>
      </c>
      <c r="X273">
        <v>26.04</v>
      </c>
      <c r="Y273">
        <v>0</v>
      </c>
      <c r="Z273">
        <v>1</v>
      </c>
      <c r="AA273">
        <v>0</v>
      </c>
      <c r="AB273">
        <v>0</v>
      </c>
      <c r="AC273">
        <v>0</v>
      </c>
      <c r="AD273">
        <v>1</v>
      </c>
      <c r="AE273">
        <v>0</v>
      </c>
      <c r="AF273" t="s">
        <v>86</v>
      </c>
      <c r="AG273">
        <v>32.549999999999997</v>
      </c>
      <c r="AH273">
        <v>2</v>
      </c>
      <c r="AI273">
        <v>129763487</v>
      </c>
      <c r="AJ273">
        <v>267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">
      <c r="A274">
        <f>ROW(Source!A279)</f>
        <v>279</v>
      </c>
      <c r="B274">
        <v>129763496</v>
      </c>
      <c r="C274">
        <v>129763484</v>
      </c>
      <c r="D274">
        <v>37366993</v>
      </c>
      <c r="E274">
        <v>37345137</v>
      </c>
      <c r="F274">
        <v>1</v>
      </c>
      <c r="G274">
        <v>37345137</v>
      </c>
      <c r="H274">
        <v>3</v>
      </c>
      <c r="I274" t="s">
        <v>1454</v>
      </c>
      <c r="J274" t="s">
        <v>3</v>
      </c>
      <c r="K274" t="s">
        <v>349</v>
      </c>
      <c r="L274">
        <v>1339</v>
      </c>
      <c r="N274">
        <v>1007</v>
      </c>
      <c r="O274" t="s">
        <v>94</v>
      </c>
      <c r="P274" t="s">
        <v>94</v>
      </c>
      <c r="Q274">
        <v>1</v>
      </c>
      <c r="X274">
        <v>8.4000000000000005E-2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 t="s">
        <v>3</v>
      </c>
      <c r="AG274">
        <v>8.4000000000000005E-2</v>
      </c>
      <c r="AH274">
        <v>3</v>
      </c>
      <c r="AI274">
        <v>-1</v>
      </c>
      <c r="AJ274" t="s">
        <v>3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">
      <c r="A275">
        <f>ROW(Source!A279)</f>
        <v>279</v>
      </c>
      <c r="B275">
        <v>129763497</v>
      </c>
      <c r="C275">
        <v>129763484</v>
      </c>
      <c r="D275">
        <v>37394350</v>
      </c>
      <c r="E275">
        <v>1</v>
      </c>
      <c r="F275">
        <v>1</v>
      </c>
      <c r="G275">
        <v>37345137</v>
      </c>
      <c r="H275">
        <v>3</v>
      </c>
      <c r="I275" t="s">
        <v>1246</v>
      </c>
      <c r="J275" t="s">
        <v>1247</v>
      </c>
      <c r="K275" t="s">
        <v>1248</v>
      </c>
      <c r="L275">
        <v>1327</v>
      </c>
      <c r="N275">
        <v>1005</v>
      </c>
      <c r="O275" t="s">
        <v>258</v>
      </c>
      <c r="P275" t="s">
        <v>258</v>
      </c>
      <c r="Q275">
        <v>1</v>
      </c>
      <c r="X275">
        <v>2.77</v>
      </c>
      <c r="Y275">
        <v>33.56</v>
      </c>
      <c r="Z275">
        <v>0</v>
      </c>
      <c r="AA275">
        <v>0</v>
      </c>
      <c r="AB275">
        <v>0</v>
      </c>
      <c r="AC275">
        <v>0</v>
      </c>
      <c r="AD275">
        <v>1</v>
      </c>
      <c r="AE275">
        <v>0</v>
      </c>
      <c r="AF275" t="s">
        <v>3</v>
      </c>
      <c r="AG275">
        <v>2.77</v>
      </c>
      <c r="AH275">
        <v>2</v>
      </c>
      <c r="AI275">
        <v>129763489</v>
      </c>
      <c r="AJ275">
        <v>268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">
      <c r="A276">
        <f>ROW(Source!A279)</f>
        <v>279</v>
      </c>
      <c r="B276">
        <v>129763498</v>
      </c>
      <c r="C276">
        <v>129763484</v>
      </c>
      <c r="D276">
        <v>37358232</v>
      </c>
      <c r="E276">
        <v>37345137</v>
      </c>
      <c r="F276">
        <v>1</v>
      </c>
      <c r="G276">
        <v>37345137</v>
      </c>
      <c r="H276">
        <v>3</v>
      </c>
      <c r="I276" t="s">
        <v>1455</v>
      </c>
      <c r="J276" t="s">
        <v>3</v>
      </c>
      <c r="K276" t="s">
        <v>1456</v>
      </c>
      <c r="L276">
        <v>1348</v>
      </c>
      <c r="N276">
        <v>1009</v>
      </c>
      <c r="O276" t="s">
        <v>114</v>
      </c>
      <c r="P276" t="s">
        <v>114</v>
      </c>
      <c r="Q276">
        <v>1000</v>
      </c>
      <c r="X276">
        <v>0.48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 t="s">
        <v>3</v>
      </c>
      <c r="AG276">
        <v>0.48</v>
      </c>
      <c r="AH276">
        <v>3</v>
      </c>
      <c r="AI276">
        <v>-1</v>
      </c>
      <c r="AJ276" t="s">
        <v>3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 x14ac:dyDescent="0.2">
      <c r="A277">
        <f>ROW(Source!A279)</f>
        <v>279</v>
      </c>
      <c r="B277">
        <v>129763499</v>
      </c>
      <c r="C277">
        <v>129763484</v>
      </c>
      <c r="D277">
        <v>37358251</v>
      </c>
      <c r="E277">
        <v>37345137</v>
      </c>
      <c r="F277">
        <v>1</v>
      </c>
      <c r="G277">
        <v>37345137</v>
      </c>
      <c r="H277">
        <v>3</v>
      </c>
      <c r="I277" t="s">
        <v>1449</v>
      </c>
      <c r="J277" t="s">
        <v>3</v>
      </c>
      <c r="K277" t="s">
        <v>1457</v>
      </c>
      <c r="L277">
        <v>1339</v>
      </c>
      <c r="N277">
        <v>1007</v>
      </c>
      <c r="O277" t="s">
        <v>94</v>
      </c>
      <c r="P277" t="s">
        <v>94</v>
      </c>
      <c r="Q277">
        <v>1</v>
      </c>
      <c r="X277">
        <v>1.208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 t="s">
        <v>3</v>
      </c>
      <c r="AG277">
        <v>1.208</v>
      </c>
      <c r="AH277">
        <v>3</v>
      </c>
      <c r="AI277">
        <v>-1</v>
      </c>
      <c r="AJ277" t="s">
        <v>3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 x14ac:dyDescent="0.2">
      <c r="A278">
        <f>ROW(Source!A279)</f>
        <v>279</v>
      </c>
      <c r="B278">
        <v>129763500</v>
      </c>
      <c r="C278">
        <v>129763484</v>
      </c>
      <c r="D278">
        <v>37367082</v>
      </c>
      <c r="E278">
        <v>37345137</v>
      </c>
      <c r="F278">
        <v>1</v>
      </c>
      <c r="G278">
        <v>37345137</v>
      </c>
      <c r="H278">
        <v>3</v>
      </c>
      <c r="I278" t="s">
        <v>1136</v>
      </c>
      <c r="J278" t="s">
        <v>3</v>
      </c>
      <c r="K278" t="s">
        <v>1137</v>
      </c>
      <c r="L278">
        <v>1344</v>
      </c>
      <c r="N278">
        <v>1008</v>
      </c>
      <c r="O278" t="s">
        <v>1138</v>
      </c>
      <c r="P278" t="s">
        <v>1138</v>
      </c>
      <c r="Q278">
        <v>1</v>
      </c>
      <c r="X278">
        <v>2.25</v>
      </c>
      <c r="Y278">
        <v>1</v>
      </c>
      <c r="Z278">
        <v>0</v>
      </c>
      <c r="AA278">
        <v>0</v>
      </c>
      <c r="AB278">
        <v>0</v>
      </c>
      <c r="AC278">
        <v>0</v>
      </c>
      <c r="AD278">
        <v>1</v>
      </c>
      <c r="AE278">
        <v>0</v>
      </c>
      <c r="AF278" t="s">
        <v>3</v>
      </c>
      <c r="AG278">
        <v>2.25</v>
      </c>
      <c r="AH278">
        <v>2</v>
      </c>
      <c r="AI278">
        <v>129763492</v>
      </c>
      <c r="AJ278">
        <v>272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 x14ac:dyDescent="0.2">
      <c r="A279">
        <f>ROW(Source!A280)</f>
        <v>280</v>
      </c>
      <c r="B279">
        <v>129763493</v>
      </c>
      <c r="C279">
        <v>129763484</v>
      </c>
      <c r="D279">
        <v>37345142</v>
      </c>
      <c r="E279">
        <v>37345137</v>
      </c>
      <c r="F279">
        <v>1</v>
      </c>
      <c r="G279">
        <v>37345137</v>
      </c>
      <c r="H279">
        <v>1</v>
      </c>
      <c r="I279" t="s">
        <v>1096</v>
      </c>
      <c r="J279" t="s">
        <v>3</v>
      </c>
      <c r="K279" t="s">
        <v>1097</v>
      </c>
      <c r="L279">
        <v>1191</v>
      </c>
      <c r="N279">
        <v>1013</v>
      </c>
      <c r="O279" t="s">
        <v>1098</v>
      </c>
      <c r="P279" t="s">
        <v>1098</v>
      </c>
      <c r="Q279">
        <v>1</v>
      </c>
      <c r="X279">
        <v>65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1</v>
      </c>
      <c r="AE279">
        <v>1</v>
      </c>
      <c r="AF279" t="s">
        <v>87</v>
      </c>
      <c r="AG279">
        <v>74.75</v>
      </c>
      <c r="AH279">
        <v>2</v>
      </c>
      <c r="AI279">
        <v>129763485</v>
      </c>
      <c r="AJ279">
        <v>273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 x14ac:dyDescent="0.2">
      <c r="A280">
        <f>ROW(Source!A280)</f>
        <v>280</v>
      </c>
      <c r="B280">
        <v>129763494</v>
      </c>
      <c r="C280">
        <v>129763484</v>
      </c>
      <c r="D280">
        <v>37417960</v>
      </c>
      <c r="E280">
        <v>1</v>
      </c>
      <c r="F280">
        <v>1</v>
      </c>
      <c r="G280">
        <v>37345137</v>
      </c>
      <c r="H280">
        <v>2</v>
      </c>
      <c r="I280" t="s">
        <v>1243</v>
      </c>
      <c r="J280" t="s">
        <v>1244</v>
      </c>
      <c r="K280" t="s">
        <v>1245</v>
      </c>
      <c r="L280">
        <v>1367</v>
      </c>
      <c r="N280">
        <v>1011</v>
      </c>
      <c r="O280" t="s">
        <v>1102</v>
      </c>
      <c r="P280" t="s">
        <v>1102</v>
      </c>
      <c r="Q280">
        <v>1</v>
      </c>
      <c r="X280">
        <v>4.7</v>
      </c>
      <c r="Y280">
        <v>0</v>
      </c>
      <c r="Z280">
        <v>19.260000000000002</v>
      </c>
      <c r="AA280">
        <v>11.2</v>
      </c>
      <c r="AB280">
        <v>0</v>
      </c>
      <c r="AC280">
        <v>0</v>
      </c>
      <c r="AD280">
        <v>1</v>
      </c>
      <c r="AE280">
        <v>0</v>
      </c>
      <c r="AF280" t="s">
        <v>86</v>
      </c>
      <c r="AG280">
        <v>5.875</v>
      </c>
      <c r="AH280">
        <v>2</v>
      </c>
      <c r="AI280">
        <v>129763486</v>
      </c>
      <c r="AJ280">
        <v>274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 x14ac:dyDescent="0.2">
      <c r="A281">
        <f>ROW(Source!A280)</f>
        <v>280</v>
      </c>
      <c r="B281">
        <v>129763495</v>
      </c>
      <c r="C281">
        <v>129763484</v>
      </c>
      <c r="D281">
        <v>37345890</v>
      </c>
      <c r="E281">
        <v>37345137</v>
      </c>
      <c r="F281">
        <v>1</v>
      </c>
      <c r="G281">
        <v>37345137</v>
      </c>
      <c r="H281">
        <v>2</v>
      </c>
      <c r="I281" t="s">
        <v>1145</v>
      </c>
      <c r="J281" t="s">
        <v>3</v>
      </c>
      <c r="K281" t="s">
        <v>1146</v>
      </c>
      <c r="L281">
        <v>1344</v>
      </c>
      <c r="N281">
        <v>1008</v>
      </c>
      <c r="O281" t="s">
        <v>1138</v>
      </c>
      <c r="P281" t="s">
        <v>1138</v>
      </c>
      <c r="Q281">
        <v>1</v>
      </c>
      <c r="X281">
        <v>26.04</v>
      </c>
      <c r="Y281">
        <v>0</v>
      </c>
      <c r="Z281">
        <v>1</v>
      </c>
      <c r="AA281">
        <v>0</v>
      </c>
      <c r="AB281">
        <v>0</v>
      </c>
      <c r="AC281">
        <v>0</v>
      </c>
      <c r="AD281">
        <v>1</v>
      </c>
      <c r="AE281">
        <v>0</v>
      </c>
      <c r="AF281" t="s">
        <v>86</v>
      </c>
      <c r="AG281">
        <v>32.549999999999997</v>
      </c>
      <c r="AH281">
        <v>2</v>
      </c>
      <c r="AI281">
        <v>129763487</v>
      </c>
      <c r="AJ281">
        <v>275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 x14ac:dyDescent="0.2">
      <c r="A282">
        <f>ROW(Source!A280)</f>
        <v>280</v>
      </c>
      <c r="B282">
        <v>129763496</v>
      </c>
      <c r="C282">
        <v>129763484</v>
      </c>
      <c r="D282">
        <v>37366993</v>
      </c>
      <c r="E282">
        <v>37345137</v>
      </c>
      <c r="F282">
        <v>1</v>
      </c>
      <c r="G282">
        <v>37345137</v>
      </c>
      <c r="H282">
        <v>3</v>
      </c>
      <c r="I282" t="s">
        <v>1454</v>
      </c>
      <c r="J282" t="s">
        <v>3</v>
      </c>
      <c r="K282" t="s">
        <v>349</v>
      </c>
      <c r="L282">
        <v>1339</v>
      </c>
      <c r="N282">
        <v>1007</v>
      </c>
      <c r="O282" t="s">
        <v>94</v>
      </c>
      <c r="P282" t="s">
        <v>94</v>
      </c>
      <c r="Q282">
        <v>1</v>
      </c>
      <c r="X282">
        <v>8.4000000000000005E-2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 t="s">
        <v>3</v>
      </c>
      <c r="AG282">
        <v>8.4000000000000005E-2</v>
      </c>
      <c r="AH282">
        <v>3</v>
      </c>
      <c r="AI282">
        <v>-1</v>
      </c>
      <c r="AJ282" t="s">
        <v>3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 x14ac:dyDescent="0.2">
      <c r="A283">
        <f>ROW(Source!A280)</f>
        <v>280</v>
      </c>
      <c r="B283">
        <v>129763497</v>
      </c>
      <c r="C283">
        <v>129763484</v>
      </c>
      <c r="D283">
        <v>37394350</v>
      </c>
      <c r="E283">
        <v>1</v>
      </c>
      <c r="F283">
        <v>1</v>
      </c>
      <c r="G283">
        <v>37345137</v>
      </c>
      <c r="H283">
        <v>3</v>
      </c>
      <c r="I283" t="s">
        <v>1246</v>
      </c>
      <c r="J283" t="s">
        <v>1247</v>
      </c>
      <c r="K283" t="s">
        <v>1248</v>
      </c>
      <c r="L283">
        <v>1327</v>
      </c>
      <c r="N283">
        <v>1005</v>
      </c>
      <c r="O283" t="s">
        <v>258</v>
      </c>
      <c r="P283" t="s">
        <v>258</v>
      </c>
      <c r="Q283">
        <v>1</v>
      </c>
      <c r="X283">
        <v>2.77</v>
      </c>
      <c r="Y283">
        <v>33.56</v>
      </c>
      <c r="Z283">
        <v>0</v>
      </c>
      <c r="AA283">
        <v>0</v>
      </c>
      <c r="AB283">
        <v>0</v>
      </c>
      <c r="AC283">
        <v>0</v>
      </c>
      <c r="AD283">
        <v>1</v>
      </c>
      <c r="AE283">
        <v>0</v>
      </c>
      <c r="AF283" t="s">
        <v>3</v>
      </c>
      <c r="AG283">
        <v>2.77</v>
      </c>
      <c r="AH283">
        <v>2</v>
      </c>
      <c r="AI283">
        <v>129763489</v>
      </c>
      <c r="AJ283">
        <v>276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 x14ac:dyDescent="0.2">
      <c r="A284">
        <f>ROW(Source!A280)</f>
        <v>280</v>
      </c>
      <c r="B284">
        <v>129763498</v>
      </c>
      <c r="C284">
        <v>129763484</v>
      </c>
      <c r="D284">
        <v>37358232</v>
      </c>
      <c r="E284">
        <v>37345137</v>
      </c>
      <c r="F284">
        <v>1</v>
      </c>
      <c r="G284">
        <v>37345137</v>
      </c>
      <c r="H284">
        <v>3</v>
      </c>
      <c r="I284" t="s">
        <v>1455</v>
      </c>
      <c r="J284" t="s">
        <v>3</v>
      </c>
      <c r="K284" t="s">
        <v>1456</v>
      </c>
      <c r="L284">
        <v>1348</v>
      </c>
      <c r="N284">
        <v>1009</v>
      </c>
      <c r="O284" t="s">
        <v>114</v>
      </c>
      <c r="P284" t="s">
        <v>114</v>
      </c>
      <c r="Q284">
        <v>1000</v>
      </c>
      <c r="X284">
        <v>0.48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 t="s">
        <v>3</v>
      </c>
      <c r="AG284">
        <v>0.48</v>
      </c>
      <c r="AH284">
        <v>3</v>
      </c>
      <c r="AI284">
        <v>-1</v>
      </c>
      <c r="AJ284" t="s">
        <v>3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 x14ac:dyDescent="0.2">
      <c r="A285">
        <f>ROW(Source!A280)</f>
        <v>280</v>
      </c>
      <c r="B285">
        <v>129763499</v>
      </c>
      <c r="C285">
        <v>129763484</v>
      </c>
      <c r="D285">
        <v>37358251</v>
      </c>
      <c r="E285">
        <v>37345137</v>
      </c>
      <c r="F285">
        <v>1</v>
      </c>
      <c r="G285">
        <v>37345137</v>
      </c>
      <c r="H285">
        <v>3</v>
      </c>
      <c r="I285" t="s">
        <v>1449</v>
      </c>
      <c r="J285" t="s">
        <v>3</v>
      </c>
      <c r="K285" t="s">
        <v>1457</v>
      </c>
      <c r="L285">
        <v>1339</v>
      </c>
      <c r="N285">
        <v>1007</v>
      </c>
      <c r="O285" t="s">
        <v>94</v>
      </c>
      <c r="P285" t="s">
        <v>94</v>
      </c>
      <c r="Q285">
        <v>1</v>
      </c>
      <c r="X285">
        <v>1.208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 t="s">
        <v>3</v>
      </c>
      <c r="AG285">
        <v>1.208</v>
      </c>
      <c r="AH285">
        <v>3</v>
      </c>
      <c r="AI285">
        <v>-1</v>
      </c>
      <c r="AJ285" t="s">
        <v>3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 x14ac:dyDescent="0.2">
      <c r="A286">
        <f>ROW(Source!A280)</f>
        <v>280</v>
      </c>
      <c r="B286">
        <v>129763500</v>
      </c>
      <c r="C286">
        <v>129763484</v>
      </c>
      <c r="D286">
        <v>37367082</v>
      </c>
      <c r="E286">
        <v>37345137</v>
      </c>
      <c r="F286">
        <v>1</v>
      </c>
      <c r="G286">
        <v>37345137</v>
      </c>
      <c r="H286">
        <v>3</v>
      </c>
      <c r="I286" t="s">
        <v>1136</v>
      </c>
      <c r="J286" t="s">
        <v>3</v>
      </c>
      <c r="K286" t="s">
        <v>1137</v>
      </c>
      <c r="L286">
        <v>1344</v>
      </c>
      <c r="N286">
        <v>1008</v>
      </c>
      <c r="O286" t="s">
        <v>1138</v>
      </c>
      <c r="P286" t="s">
        <v>1138</v>
      </c>
      <c r="Q286">
        <v>1</v>
      </c>
      <c r="X286">
        <v>2.25</v>
      </c>
      <c r="Y286">
        <v>1</v>
      </c>
      <c r="Z286">
        <v>0</v>
      </c>
      <c r="AA286">
        <v>0</v>
      </c>
      <c r="AB286">
        <v>0</v>
      </c>
      <c r="AC286">
        <v>0</v>
      </c>
      <c r="AD286">
        <v>1</v>
      </c>
      <c r="AE286">
        <v>0</v>
      </c>
      <c r="AF286" t="s">
        <v>3</v>
      </c>
      <c r="AG286">
        <v>2.25</v>
      </c>
      <c r="AH286">
        <v>2</v>
      </c>
      <c r="AI286">
        <v>129763492</v>
      </c>
      <c r="AJ286">
        <v>280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 x14ac:dyDescent="0.2">
      <c r="A287">
        <f>ROW(Source!A287)</f>
        <v>287</v>
      </c>
      <c r="B287">
        <v>129763511</v>
      </c>
      <c r="C287">
        <v>129763504</v>
      </c>
      <c r="D287">
        <v>37345142</v>
      </c>
      <c r="E287">
        <v>37345137</v>
      </c>
      <c r="F287">
        <v>1</v>
      </c>
      <c r="G287">
        <v>37345137</v>
      </c>
      <c r="H287">
        <v>1</v>
      </c>
      <c r="I287" t="s">
        <v>1096</v>
      </c>
      <c r="J287" t="s">
        <v>3</v>
      </c>
      <c r="K287" t="s">
        <v>1097</v>
      </c>
      <c r="L287">
        <v>1191</v>
      </c>
      <c r="N287">
        <v>1013</v>
      </c>
      <c r="O287" t="s">
        <v>1098</v>
      </c>
      <c r="P287" t="s">
        <v>1098</v>
      </c>
      <c r="Q287">
        <v>1</v>
      </c>
      <c r="X287">
        <v>39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1</v>
      </c>
      <c r="AE287">
        <v>1</v>
      </c>
      <c r="AF287" t="s">
        <v>87</v>
      </c>
      <c r="AG287">
        <v>44.849999999999994</v>
      </c>
      <c r="AH287">
        <v>2</v>
      </c>
      <c r="AI287">
        <v>129763505</v>
      </c>
      <c r="AJ287">
        <v>281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 x14ac:dyDescent="0.2">
      <c r="A288">
        <f>ROW(Source!A287)</f>
        <v>287</v>
      </c>
      <c r="B288">
        <v>129763512</v>
      </c>
      <c r="C288">
        <v>129763504</v>
      </c>
      <c r="D288">
        <v>37345890</v>
      </c>
      <c r="E288">
        <v>37345137</v>
      </c>
      <c r="F288">
        <v>1</v>
      </c>
      <c r="G288">
        <v>37345137</v>
      </c>
      <c r="H288">
        <v>2</v>
      </c>
      <c r="I288" t="s">
        <v>1145</v>
      </c>
      <c r="J288" t="s">
        <v>3</v>
      </c>
      <c r="K288" t="s">
        <v>1146</v>
      </c>
      <c r="L288">
        <v>1344</v>
      </c>
      <c r="N288">
        <v>1008</v>
      </c>
      <c r="O288" t="s">
        <v>1138</v>
      </c>
      <c r="P288" t="s">
        <v>1138</v>
      </c>
      <c r="Q288">
        <v>1</v>
      </c>
      <c r="X288">
        <v>29.03</v>
      </c>
      <c r="Y288">
        <v>0</v>
      </c>
      <c r="Z288">
        <v>1</v>
      </c>
      <c r="AA288">
        <v>0</v>
      </c>
      <c r="AB288">
        <v>0</v>
      </c>
      <c r="AC288">
        <v>0</v>
      </c>
      <c r="AD288">
        <v>1</v>
      </c>
      <c r="AE288">
        <v>0</v>
      </c>
      <c r="AF288" t="s">
        <v>86</v>
      </c>
      <c r="AG288">
        <v>36.287500000000001</v>
      </c>
      <c r="AH288">
        <v>2</v>
      </c>
      <c r="AI288">
        <v>129763506</v>
      </c>
      <c r="AJ288">
        <v>282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 x14ac:dyDescent="0.2">
      <c r="A289">
        <f>ROW(Source!A287)</f>
        <v>287</v>
      </c>
      <c r="B289">
        <v>129763513</v>
      </c>
      <c r="C289">
        <v>129763504</v>
      </c>
      <c r="D289">
        <v>37359487</v>
      </c>
      <c r="E289">
        <v>37345137</v>
      </c>
      <c r="F289">
        <v>1</v>
      </c>
      <c r="G289">
        <v>37345137</v>
      </c>
      <c r="H289">
        <v>3</v>
      </c>
      <c r="I289" t="s">
        <v>1458</v>
      </c>
      <c r="J289" t="s">
        <v>3</v>
      </c>
      <c r="K289" t="s">
        <v>1459</v>
      </c>
      <c r="L289">
        <v>1348</v>
      </c>
      <c r="N289">
        <v>1009</v>
      </c>
      <c r="O289" t="s">
        <v>114</v>
      </c>
      <c r="P289" t="s">
        <v>114</v>
      </c>
      <c r="Q289">
        <v>1000</v>
      </c>
      <c r="X289">
        <v>5.0999999999999997E-2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 t="s">
        <v>3</v>
      </c>
      <c r="AG289">
        <v>5.0999999999999997E-2</v>
      </c>
      <c r="AH289">
        <v>3</v>
      </c>
      <c r="AI289">
        <v>-1</v>
      </c>
      <c r="AJ289" t="s">
        <v>3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 x14ac:dyDescent="0.2">
      <c r="A290">
        <f>ROW(Source!A287)</f>
        <v>287</v>
      </c>
      <c r="B290">
        <v>129763514</v>
      </c>
      <c r="C290">
        <v>129763504</v>
      </c>
      <c r="D290">
        <v>37359235</v>
      </c>
      <c r="E290">
        <v>37345137</v>
      </c>
      <c r="F290">
        <v>1</v>
      </c>
      <c r="G290">
        <v>37345137</v>
      </c>
      <c r="H290">
        <v>3</v>
      </c>
      <c r="I290" t="s">
        <v>1460</v>
      </c>
      <c r="J290" t="s">
        <v>3</v>
      </c>
      <c r="K290" t="s">
        <v>1461</v>
      </c>
      <c r="L290">
        <v>1348</v>
      </c>
      <c r="N290">
        <v>1009</v>
      </c>
      <c r="O290" t="s">
        <v>114</v>
      </c>
      <c r="P290" t="s">
        <v>114</v>
      </c>
      <c r="Q290">
        <v>1000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 t="s">
        <v>3</v>
      </c>
      <c r="AG290">
        <v>0</v>
      </c>
      <c r="AH290">
        <v>3</v>
      </c>
      <c r="AI290">
        <v>-1</v>
      </c>
      <c r="AJ290" t="s">
        <v>3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 x14ac:dyDescent="0.2">
      <c r="A291">
        <f>ROW(Source!A287)</f>
        <v>287</v>
      </c>
      <c r="B291">
        <v>129763515</v>
      </c>
      <c r="C291">
        <v>129763504</v>
      </c>
      <c r="D291">
        <v>37359732</v>
      </c>
      <c r="E291">
        <v>37345137</v>
      </c>
      <c r="F291">
        <v>1</v>
      </c>
      <c r="G291">
        <v>37345137</v>
      </c>
      <c r="H291">
        <v>3</v>
      </c>
      <c r="I291" t="s">
        <v>1462</v>
      </c>
      <c r="J291" t="s">
        <v>3</v>
      </c>
      <c r="K291" t="s">
        <v>1463</v>
      </c>
      <c r="L291">
        <v>1348</v>
      </c>
      <c r="N291">
        <v>1009</v>
      </c>
      <c r="O291" t="s">
        <v>114</v>
      </c>
      <c r="P291" t="s">
        <v>114</v>
      </c>
      <c r="Q291">
        <v>1000</v>
      </c>
      <c r="X291">
        <v>6.3E-2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 t="s">
        <v>3</v>
      </c>
      <c r="AG291">
        <v>6.3E-2</v>
      </c>
      <c r="AH291">
        <v>3</v>
      </c>
      <c r="AI291">
        <v>-1</v>
      </c>
      <c r="AJ291" t="s">
        <v>3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 x14ac:dyDescent="0.2">
      <c r="A292">
        <f>ROW(Source!A287)</f>
        <v>287</v>
      </c>
      <c r="B292">
        <v>129763516</v>
      </c>
      <c r="C292">
        <v>129763504</v>
      </c>
      <c r="D292">
        <v>37367082</v>
      </c>
      <c r="E292">
        <v>37345137</v>
      </c>
      <c r="F292">
        <v>1</v>
      </c>
      <c r="G292">
        <v>37345137</v>
      </c>
      <c r="H292">
        <v>3</v>
      </c>
      <c r="I292" t="s">
        <v>1136</v>
      </c>
      <c r="J292" t="s">
        <v>3</v>
      </c>
      <c r="K292" t="s">
        <v>1137</v>
      </c>
      <c r="L292">
        <v>1344</v>
      </c>
      <c r="N292">
        <v>1008</v>
      </c>
      <c r="O292" t="s">
        <v>1138</v>
      </c>
      <c r="P292" t="s">
        <v>1138</v>
      </c>
      <c r="Q292">
        <v>1</v>
      </c>
      <c r="X292">
        <v>6.09</v>
      </c>
      <c r="Y292">
        <v>1</v>
      </c>
      <c r="Z292">
        <v>0</v>
      </c>
      <c r="AA292">
        <v>0</v>
      </c>
      <c r="AB292">
        <v>0</v>
      </c>
      <c r="AC292">
        <v>0</v>
      </c>
      <c r="AD292">
        <v>1</v>
      </c>
      <c r="AE292">
        <v>0</v>
      </c>
      <c r="AF292" t="s">
        <v>3</v>
      </c>
      <c r="AG292">
        <v>6.09</v>
      </c>
      <c r="AH292">
        <v>2</v>
      </c>
      <c r="AI292">
        <v>129763509</v>
      </c>
      <c r="AJ292">
        <v>286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 x14ac:dyDescent="0.2">
      <c r="A293">
        <f>ROW(Source!A288)</f>
        <v>288</v>
      </c>
      <c r="B293">
        <v>129763511</v>
      </c>
      <c r="C293">
        <v>129763504</v>
      </c>
      <c r="D293">
        <v>37345142</v>
      </c>
      <c r="E293">
        <v>37345137</v>
      </c>
      <c r="F293">
        <v>1</v>
      </c>
      <c r="G293">
        <v>37345137</v>
      </c>
      <c r="H293">
        <v>1</v>
      </c>
      <c r="I293" t="s">
        <v>1096</v>
      </c>
      <c r="J293" t="s">
        <v>3</v>
      </c>
      <c r="K293" t="s">
        <v>1097</v>
      </c>
      <c r="L293">
        <v>1191</v>
      </c>
      <c r="N293">
        <v>1013</v>
      </c>
      <c r="O293" t="s">
        <v>1098</v>
      </c>
      <c r="P293" t="s">
        <v>1098</v>
      </c>
      <c r="Q293">
        <v>1</v>
      </c>
      <c r="X293">
        <v>39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1</v>
      </c>
      <c r="AE293">
        <v>1</v>
      </c>
      <c r="AF293" t="s">
        <v>87</v>
      </c>
      <c r="AG293">
        <v>44.849999999999994</v>
      </c>
      <c r="AH293">
        <v>2</v>
      </c>
      <c r="AI293">
        <v>129763505</v>
      </c>
      <c r="AJ293">
        <v>287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 x14ac:dyDescent="0.2">
      <c r="A294">
        <f>ROW(Source!A288)</f>
        <v>288</v>
      </c>
      <c r="B294">
        <v>129763512</v>
      </c>
      <c r="C294">
        <v>129763504</v>
      </c>
      <c r="D294">
        <v>37345890</v>
      </c>
      <c r="E294">
        <v>37345137</v>
      </c>
      <c r="F294">
        <v>1</v>
      </c>
      <c r="G294">
        <v>37345137</v>
      </c>
      <c r="H294">
        <v>2</v>
      </c>
      <c r="I294" t="s">
        <v>1145</v>
      </c>
      <c r="J294" t="s">
        <v>3</v>
      </c>
      <c r="K294" t="s">
        <v>1146</v>
      </c>
      <c r="L294">
        <v>1344</v>
      </c>
      <c r="N294">
        <v>1008</v>
      </c>
      <c r="O294" t="s">
        <v>1138</v>
      </c>
      <c r="P294" t="s">
        <v>1138</v>
      </c>
      <c r="Q294">
        <v>1</v>
      </c>
      <c r="X294">
        <v>29.03</v>
      </c>
      <c r="Y294">
        <v>0</v>
      </c>
      <c r="Z294">
        <v>1</v>
      </c>
      <c r="AA294">
        <v>0</v>
      </c>
      <c r="AB294">
        <v>0</v>
      </c>
      <c r="AC294">
        <v>0</v>
      </c>
      <c r="AD294">
        <v>1</v>
      </c>
      <c r="AE294">
        <v>0</v>
      </c>
      <c r="AF294" t="s">
        <v>86</v>
      </c>
      <c r="AG294">
        <v>36.287500000000001</v>
      </c>
      <c r="AH294">
        <v>2</v>
      </c>
      <c r="AI294">
        <v>129763506</v>
      </c>
      <c r="AJ294">
        <v>288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 x14ac:dyDescent="0.2">
      <c r="A295">
        <f>ROW(Source!A288)</f>
        <v>288</v>
      </c>
      <c r="B295">
        <v>129763513</v>
      </c>
      <c r="C295">
        <v>129763504</v>
      </c>
      <c r="D295">
        <v>37359487</v>
      </c>
      <c r="E295">
        <v>37345137</v>
      </c>
      <c r="F295">
        <v>1</v>
      </c>
      <c r="G295">
        <v>37345137</v>
      </c>
      <c r="H295">
        <v>3</v>
      </c>
      <c r="I295" t="s">
        <v>1458</v>
      </c>
      <c r="J295" t="s">
        <v>3</v>
      </c>
      <c r="K295" t="s">
        <v>1459</v>
      </c>
      <c r="L295">
        <v>1348</v>
      </c>
      <c r="N295">
        <v>1009</v>
      </c>
      <c r="O295" t="s">
        <v>114</v>
      </c>
      <c r="P295" t="s">
        <v>114</v>
      </c>
      <c r="Q295">
        <v>1000</v>
      </c>
      <c r="X295">
        <v>5.0999999999999997E-2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 t="s">
        <v>3</v>
      </c>
      <c r="AG295">
        <v>5.0999999999999997E-2</v>
      </c>
      <c r="AH295">
        <v>3</v>
      </c>
      <c r="AI295">
        <v>-1</v>
      </c>
      <c r="AJ295" t="s">
        <v>3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 x14ac:dyDescent="0.2">
      <c r="A296">
        <f>ROW(Source!A288)</f>
        <v>288</v>
      </c>
      <c r="B296">
        <v>129763514</v>
      </c>
      <c r="C296">
        <v>129763504</v>
      </c>
      <c r="D296">
        <v>37359235</v>
      </c>
      <c r="E296">
        <v>37345137</v>
      </c>
      <c r="F296">
        <v>1</v>
      </c>
      <c r="G296">
        <v>37345137</v>
      </c>
      <c r="H296">
        <v>3</v>
      </c>
      <c r="I296" t="s">
        <v>1460</v>
      </c>
      <c r="J296" t="s">
        <v>3</v>
      </c>
      <c r="K296" t="s">
        <v>1461</v>
      </c>
      <c r="L296">
        <v>1348</v>
      </c>
      <c r="N296">
        <v>1009</v>
      </c>
      <c r="O296" t="s">
        <v>114</v>
      </c>
      <c r="P296" t="s">
        <v>114</v>
      </c>
      <c r="Q296">
        <v>1000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 t="s">
        <v>3</v>
      </c>
      <c r="AG296">
        <v>0</v>
      </c>
      <c r="AH296">
        <v>3</v>
      </c>
      <c r="AI296">
        <v>-1</v>
      </c>
      <c r="AJ296" t="s">
        <v>3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 x14ac:dyDescent="0.2">
      <c r="A297">
        <f>ROW(Source!A288)</f>
        <v>288</v>
      </c>
      <c r="B297">
        <v>129763515</v>
      </c>
      <c r="C297">
        <v>129763504</v>
      </c>
      <c r="D297">
        <v>37359732</v>
      </c>
      <c r="E297">
        <v>37345137</v>
      </c>
      <c r="F297">
        <v>1</v>
      </c>
      <c r="G297">
        <v>37345137</v>
      </c>
      <c r="H297">
        <v>3</v>
      </c>
      <c r="I297" t="s">
        <v>1462</v>
      </c>
      <c r="J297" t="s">
        <v>3</v>
      </c>
      <c r="K297" t="s">
        <v>1463</v>
      </c>
      <c r="L297">
        <v>1348</v>
      </c>
      <c r="N297">
        <v>1009</v>
      </c>
      <c r="O297" t="s">
        <v>114</v>
      </c>
      <c r="P297" t="s">
        <v>114</v>
      </c>
      <c r="Q297">
        <v>1000</v>
      </c>
      <c r="X297">
        <v>6.3E-2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 t="s">
        <v>3</v>
      </c>
      <c r="AG297">
        <v>6.3E-2</v>
      </c>
      <c r="AH297">
        <v>3</v>
      </c>
      <c r="AI297">
        <v>-1</v>
      </c>
      <c r="AJ297" t="s">
        <v>3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 x14ac:dyDescent="0.2">
      <c r="A298">
        <f>ROW(Source!A288)</f>
        <v>288</v>
      </c>
      <c r="B298">
        <v>129763516</v>
      </c>
      <c r="C298">
        <v>129763504</v>
      </c>
      <c r="D298">
        <v>37367082</v>
      </c>
      <c r="E298">
        <v>37345137</v>
      </c>
      <c r="F298">
        <v>1</v>
      </c>
      <c r="G298">
        <v>37345137</v>
      </c>
      <c r="H298">
        <v>3</v>
      </c>
      <c r="I298" t="s">
        <v>1136</v>
      </c>
      <c r="J298" t="s">
        <v>3</v>
      </c>
      <c r="K298" t="s">
        <v>1137</v>
      </c>
      <c r="L298">
        <v>1344</v>
      </c>
      <c r="N298">
        <v>1008</v>
      </c>
      <c r="O298" t="s">
        <v>1138</v>
      </c>
      <c r="P298" t="s">
        <v>1138</v>
      </c>
      <c r="Q298">
        <v>1</v>
      </c>
      <c r="X298">
        <v>6.09</v>
      </c>
      <c r="Y298">
        <v>1</v>
      </c>
      <c r="Z298">
        <v>0</v>
      </c>
      <c r="AA298">
        <v>0</v>
      </c>
      <c r="AB298">
        <v>0</v>
      </c>
      <c r="AC298">
        <v>0</v>
      </c>
      <c r="AD298">
        <v>1</v>
      </c>
      <c r="AE298">
        <v>0</v>
      </c>
      <c r="AF298" t="s">
        <v>3</v>
      </c>
      <c r="AG298">
        <v>6.09</v>
      </c>
      <c r="AH298">
        <v>2</v>
      </c>
      <c r="AI298">
        <v>129763509</v>
      </c>
      <c r="AJ298">
        <v>292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 x14ac:dyDescent="0.2">
      <c r="A299">
        <f>ROW(Source!A295)</f>
        <v>295</v>
      </c>
      <c r="B299">
        <v>129763530</v>
      </c>
      <c r="C299">
        <v>129763520</v>
      </c>
      <c r="D299">
        <v>37345142</v>
      </c>
      <c r="E299">
        <v>37345137</v>
      </c>
      <c r="F299">
        <v>1</v>
      </c>
      <c r="G299">
        <v>37345137</v>
      </c>
      <c r="H299">
        <v>1</v>
      </c>
      <c r="I299" t="s">
        <v>1096</v>
      </c>
      <c r="J299" t="s">
        <v>3</v>
      </c>
      <c r="K299" t="s">
        <v>1097</v>
      </c>
      <c r="L299">
        <v>1191</v>
      </c>
      <c r="N299">
        <v>1013</v>
      </c>
      <c r="O299" t="s">
        <v>1098</v>
      </c>
      <c r="P299" t="s">
        <v>1098</v>
      </c>
      <c r="Q299">
        <v>1</v>
      </c>
      <c r="X299">
        <v>34.1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1</v>
      </c>
      <c r="AE299">
        <v>1</v>
      </c>
      <c r="AF299" t="s">
        <v>3</v>
      </c>
      <c r="AG299">
        <v>34.1</v>
      </c>
      <c r="AH299">
        <v>2</v>
      </c>
      <c r="AI299">
        <v>129763521</v>
      </c>
      <c r="AJ299">
        <v>293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 x14ac:dyDescent="0.2">
      <c r="A300">
        <f>ROW(Source!A295)</f>
        <v>295</v>
      </c>
      <c r="B300">
        <v>129763531</v>
      </c>
      <c r="C300">
        <v>129763520</v>
      </c>
      <c r="D300">
        <v>37345890</v>
      </c>
      <c r="E300">
        <v>37345137</v>
      </c>
      <c r="F300">
        <v>1</v>
      </c>
      <c r="G300">
        <v>37345137</v>
      </c>
      <c r="H300">
        <v>2</v>
      </c>
      <c r="I300" t="s">
        <v>1145</v>
      </c>
      <c r="J300" t="s">
        <v>3</v>
      </c>
      <c r="K300" t="s">
        <v>1146</v>
      </c>
      <c r="L300">
        <v>1344</v>
      </c>
      <c r="N300">
        <v>1008</v>
      </c>
      <c r="O300" t="s">
        <v>1138</v>
      </c>
      <c r="P300" t="s">
        <v>1138</v>
      </c>
      <c r="Q300">
        <v>1</v>
      </c>
      <c r="X300">
        <v>4.47</v>
      </c>
      <c r="Y300">
        <v>0</v>
      </c>
      <c r="Z300">
        <v>1</v>
      </c>
      <c r="AA300">
        <v>0</v>
      </c>
      <c r="AB300">
        <v>0</v>
      </c>
      <c r="AC300">
        <v>0</v>
      </c>
      <c r="AD300">
        <v>1</v>
      </c>
      <c r="AE300">
        <v>0</v>
      </c>
      <c r="AF300" t="s">
        <v>3</v>
      </c>
      <c r="AG300">
        <v>4.47</v>
      </c>
      <c r="AH300">
        <v>2</v>
      </c>
      <c r="AI300">
        <v>129763522</v>
      </c>
      <c r="AJ300">
        <v>294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 x14ac:dyDescent="0.2">
      <c r="A301">
        <f>ROW(Source!A295)</f>
        <v>295</v>
      </c>
      <c r="B301">
        <v>129763532</v>
      </c>
      <c r="C301">
        <v>129763520</v>
      </c>
      <c r="D301">
        <v>37393552</v>
      </c>
      <c r="E301">
        <v>1</v>
      </c>
      <c r="F301">
        <v>1</v>
      </c>
      <c r="G301">
        <v>37345137</v>
      </c>
      <c r="H301">
        <v>3</v>
      </c>
      <c r="I301" t="s">
        <v>348</v>
      </c>
      <c r="J301" t="s">
        <v>350</v>
      </c>
      <c r="K301" t="s">
        <v>349</v>
      </c>
      <c r="L301">
        <v>1339</v>
      </c>
      <c r="N301">
        <v>1007</v>
      </c>
      <c r="O301" t="s">
        <v>94</v>
      </c>
      <c r="P301" t="s">
        <v>94</v>
      </c>
      <c r="Q301">
        <v>1</v>
      </c>
      <c r="X301">
        <v>0.24</v>
      </c>
      <c r="Y301">
        <v>7.07</v>
      </c>
      <c r="Z301">
        <v>0</v>
      </c>
      <c r="AA301">
        <v>0</v>
      </c>
      <c r="AB301">
        <v>0</v>
      </c>
      <c r="AC301">
        <v>0</v>
      </c>
      <c r="AD301">
        <v>1</v>
      </c>
      <c r="AE301">
        <v>0</v>
      </c>
      <c r="AF301" t="s">
        <v>3</v>
      </c>
      <c r="AG301">
        <v>0.24</v>
      </c>
      <c r="AH301">
        <v>2</v>
      </c>
      <c r="AI301">
        <v>129763523</v>
      </c>
      <c r="AJ301">
        <v>295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 x14ac:dyDescent="0.2">
      <c r="A302">
        <f>ROW(Source!A295)</f>
        <v>295</v>
      </c>
      <c r="B302">
        <v>129763533</v>
      </c>
      <c r="C302">
        <v>129763520</v>
      </c>
      <c r="D302">
        <v>37394765</v>
      </c>
      <c r="E302">
        <v>1</v>
      </c>
      <c r="F302">
        <v>1</v>
      </c>
      <c r="G302">
        <v>37345137</v>
      </c>
      <c r="H302">
        <v>3</v>
      </c>
      <c r="I302" t="s">
        <v>1249</v>
      </c>
      <c r="J302" t="s">
        <v>1250</v>
      </c>
      <c r="K302" t="s">
        <v>1251</v>
      </c>
      <c r="L302">
        <v>1327</v>
      </c>
      <c r="N302">
        <v>1005</v>
      </c>
      <c r="O302" t="s">
        <v>258</v>
      </c>
      <c r="P302" t="s">
        <v>258</v>
      </c>
      <c r="Q302">
        <v>1</v>
      </c>
      <c r="X302">
        <v>1.6</v>
      </c>
      <c r="Y302">
        <v>104</v>
      </c>
      <c r="Z302">
        <v>0</v>
      </c>
      <c r="AA302">
        <v>0</v>
      </c>
      <c r="AB302">
        <v>0</v>
      </c>
      <c r="AC302">
        <v>0</v>
      </c>
      <c r="AD302">
        <v>1</v>
      </c>
      <c r="AE302">
        <v>0</v>
      </c>
      <c r="AF302" t="s">
        <v>3</v>
      </c>
      <c r="AG302">
        <v>1.6</v>
      </c>
      <c r="AH302">
        <v>2</v>
      </c>
      <c r="AI302">
        <v>129763524</v>
      </c>
      <c r="AJ302">
        <v>296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 x14ac:dyDescent="0.2">
      <c r="A303">
        <f>ROW(Source!A295)</f>
        <v>295</v>
      </c>
      <c r="B303">
        <v>129763534</v>
      </c>
      <c r="C303">
        <v>129763520</v>
      </c>
      <c r="D303">
        <v>37393813</v>
      </c>
      <c r="E303">
        <v>1</v>
      </c>
      <c r="F303">
        <v>1</v>
      </c>
      <c r="G303">
        <v>37345137</v>
      </c>
      <c r="H303">
        <v>3</v>
      </c>
      <c r="I303" t="s">
        <v>1252</v>
      </c>
      <c r="J303" t="s">
        <v>1253</v>
      </c>
      <c r="K303" t="s">
        <v>1254</v>
      </c>
      <c r="L303">
        <v>1348</v>
      </c>
      <c r="N303">
        <v>1009</v>
      </c>
      <c r="O303" t="s">
        <v>114</v>
      </c>
      <c r="P303" t="s">
        <v>114</v>
      </c>
      <c r="Q303">
        <v>1000</v>
      </c>
      <c r="X303">
        <v>2.4299999999999999E-3</v>
      </c>
      <c r="Y303">
        <v>12237.68</v>
      </c>
      <c r="Z303">
        <v>0</v>
      </c>
      <c r="AA303">
        <v>0</v>
      </c>
      <c r="AB303">
        <v>0</v>
      </c>
      <c r="AC303">
        <v>0</v>
      </c>
      <c r="AD303">
        <v>1</v>
      </c>
      <c r="AE303">
        <v>0</v>
      </c>
      <c r="AF303" t="s">
        <v>3</v>
      </c>
      <c r="AG303">
        <v>2.4299999999999999E-3</v>
      </c>
      <c r="AH303">
        <v>2</v>
      </c>
      <c r="AI303">
        <v>129763525</v>
      </c>
      <c r="AJ303">
        <v>298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 x14ac:dyDescent="0.2">
      <c r="A304">
        <f>ROW(Source!A295)</f>
        <v>295</v>
      </c>
      <c r="B304">
        <v>129763535</v>
      </c>
      <c r="C304">
        <v>129763520</v>
      </c>
      <c r="D304">
        <v>37394032</v>
      </c>
      <c r="E304">
        <v>1</v>
      </c>
      <c r="F304">
        <v>1</v>
      </c>
      <c r="G304">
        <v>37345137</v>
      </c>
      <c r="H304">
        <v>3</v>
      </c>
      <c r="I304" t="s">
        <v>1255</v>
      </c>
      <c r="J304" t="s">
        <v>1256</v>
      </c>
      <c r="K304" t="s">
        <v>1257</v>
      </c>
      <c r="L304">
        <v>1348</v>
      </c>
      <c r="N304">
        <v>1009</v>
      </c>
      <c r="O304" t="s">
        <v>114</v>
      </c>
      <c r="P304" t="s">
        <v>114</v>
      </c>
      <c r="Q304">
        <v>1000</v>
      </c>
      <c r="X304">
        <v>1.2E-2</v>
      </c>
      <c r="Y304">
        <v>545.21</v>
      </c>
      <c r="Z304">
        <v>0</v>
      </c>
      <c r="AA304">
        <v>0</v>
      </c>
      <c r="AB304">
        <v>0</v>
      </c>
      <c r="AC304">
        <v>0</v>
      </c>
      <c r="AD304">
        <v>1</v>
      </c>
      <c r="AE304">
        <v>0</v>
      </c>
      <c r="AF304" t="s">
        <v>3</v>
      </c>
      <c r="AG304">
        <v>1.2E-2</v>
      </c>
      <c r="AH304">
        <v>2</v>
      </c>
      <c r="AI304">
        <v>129763526</v>
      </c>
      <c r="AJ304">
        <v>300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 x14ac:dyDescent="0.2">
      <c r="A305">
        <f>ROW(Source!A295)</f>
        <v>295</v>
      </c>
      <c r="B305">
        <v>129763536</v>
      </c>
      <c r="C305">
        <v>129763520</v>
      </c>
      <c r="D305">
        <v>37394039</v>
      </c>
      <c r="E305">
        <v>1</v>
      </c>
      <c r="F305">
        <v>1</v>
      </c>
      <c r="G305">
        <v>37345137</v>
      </c>
      <c r="H305">
        <v>3</v>
      </c>
      <c r="I305" t="s">
        <v>1258</v>
      </c>
      <c r="J305" t="s">
        <v>1259</v>
      </c>
      <c r="K305" t="s">
        <v>1260</v>
      </c>
      <c r="L305">
        <v>1348</v>
      </c>
      <c r="N305">
        <v>1009</v>
      </c>
      <c r="O305" t="s">
        <v>114</v>
      </c>
      <c r="P305" t="s">
        <v>114</v>
      </c>
      <c r="Q305">
        <v>1000</v>
      </c>
      <c r="X305">
        <v>6.4000000000000005E-4</v>
      </c>
      <c r="Y305">
        <v>12705.7</v>
      </c>
      <c r="Z305">
        <v>0</v>
      </c>
      <c r="AA305">
        <v>0</v>
      </c>
      <c r="AB305">
        <v>0</v>
      </c>
      <c r="AC305">
        <v>0</v>
      </c>
      <c r="AD305">
        <v>1</v>
      </c>
      <c r="AE305">
        <v>0</v>
      </c>
      <c r="AF305" t="s">
        <v>3</v>
      </c>
      <c r="AG305">
        <v>6.4000000000000005E-4</v>
      </c>
      <c r="AH305">
        <v>2</v>
      </c>
      <c r="AI305">
        <v>129763527</v>
      </c>
      <c r="AJ305">
        <v>301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 x14ac:dyDescent="0.2">
      <c r="A306">
        <f>ROW(Source!A295)</f>
        <v>295</v>
      </c>
      <c r="B306">
        <v>129763537</v>
      </c>
      <c r="C306">
        <v>129763520</v>
      </c>
      <c r="D306">
        <v>37359487</v>
      </c>
      <c r="E306">
        <v>37345137</v>
      </c>
      <c r="F306">
        <v>1</v>
      </c>
      <c r="G306">
        <v>37345137</v>
      </c>
      <c r="H306">
        <v>3</v>
      </c>
      <c r="I306" t="s">
        <v>1458</v>
      </c>
      <c r="J306" t="s">
        <v>3</v>
      </c>
      <c r="K306" t="s">
        <v>1464</v>
      </c>
      <c r="L306">
        <v>1348</v>
      </c>
      <c r="N306">
        <v>1009</v>
      </c>
      <c r="O306" t="s">
        <v>114</v>
      </c>
      <c r="P306" t="s">
        <v>114</v>
      </c>
      <c r="Q306">
        <v>1000</v>
      </c>
      <c r="X306">
        <v>6.7999999999999996E-3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 t="s">
        <v>3</v>
      </c>
      <c r="AG306">
        <v>6.7999999999999996E-3</v>
      </c>
      <c r="AH306">
        <v>3</v>
      </c>
      <c r="AI306">
        <v>-1</v>
      </c>
      <c r="AJ306" t="s">
        <v>3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 x14ac:dyDescent="0.2">
      <c r="A307">
        <f>ROW(Source!A295)</f>
        <v>295</v>
      </c>
      <c r="B307">
        <v>129763538</v>
      </c>
      <c r="C307">
        <v>129763520</v>
      </c>
      <c r="D307">
        <v>37359732</v>
      </c>
      <c r="E307">
        <v>37345137</v>
      </c>
      <c r="F307">
        <v>1</v>
      </c>
      <c r="G307">
        <v>37345137</v>
      </c>
      <c r="H307">
        <v>3</v>
      </c>
      <c r="I307" t="s">
        <v>1462</v>
      </c>
      <c r="J307" t="s">
        <v>3</v>
      </c>
      <c r="K307" t="s">
        <v>1465</v>
      </c>
      <c r="L307">
        <v>1348</v>
      </c>
      <c r="N307">
        <v>1009</v>
      </c>
      <c r="O307" t="s">
        <v>114</v>
      </c>
      <c r="P307" t="s">
        <v>114</v>
      </c>
      <c r="Q307">
        <v>1000</v>
      </c>
      <c r="X307">
        <v>6.7000000000000004E-2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 t="s">
        <v>3</v>
      </c>
      <c r="AG307">
        <v>6.7000000000000004E-2</v>
      </c>
      <c r="AH307">
        <v>3</v>
      </c>
      <c r="AI307">
        <v>-1</v>
      </c>
      <c r="AJ307" t="s">
        <v>3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 x14ac:dyDescent="0.2">
      <c r="A308">
        <f>ROW(Source!A296)</f>
        <v>296</v>
      </c>
      <c r="B308">
        <v>129763530</v>
      </c>
      <c r="C308">
        <v>129763520</v>
      </c>
      <c r="D308">
        <v>37345142</v>
      </c>
      <c r="E308">
        <v>37345137</v>
      </c>
      <c r="F308">
        <v>1</v>
      </c>
      <c r="G308">
        <v>37345137</v>
      </c>
      <c r="H308">
        <v>1</v>
      </c>
      <c r="I308" t="s">
        <v>1096</v>
      </c>
      <c r="J308" t="s">
        <v>3</v>
      </c>
      <c r="K308" t="s">
        <v>1097</v>
      </c>
      <c r="L308">
        <v>1191</v>
      </c>
      <c r="N308">
        <v>1013</v>
      </c>
      <c r="O308" t="s">
        <v>1098</v>
      </c>
      <c r="P308" t="s">
        <v>1098</v>
      </c>
      <c r="Q308">
        <v>1</v>
      </c>
      <c r="X308">
        <v>34.1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1</v>
      </c>
      <c r="AE308">
        <v>1</v>
      </c>
      <c r="AF308" t="s">
        <v>3</v>
      </c>
      <c r="AG308">
        <v>34.1</v>
      </c>
      <c r="AH308">
        <v>2</v>
      </c>
      <c r="AI308">
        <v>129763521</v>
      </c>
      <c r="AJ308">
        <v>302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 x14ac:dyDescent="0.2">
      <c r="A309">
        <f>ROW(Source!A296)</f>
        <v>296</v>
      </c>
      <c r="B309">
        <v>129763531</v>
      </c>
      <c r="C309">
        <v>129763520</v>
      </c>
      <c r="D309">
        <v>37345890</v>
      </c>
      <c r="E309">
        <v>37345137</v>
      </c>
      <c r="F309">
        <v>1</v>
      </c>
      <c r="G309">
        <v>37345137</v>
      </c>
      <c r="H309">
        <v>2</v>
      </c>
      <c r="I309" t="s">
        <v>1145</v>
      </c>
      <c r="J309" t="s">
        <v>3</v>
      </c>
      <c r="K309" t="s">
        <v>1146</v>
      </c>
      <c r="L309">
        <v>1344</v>
      </c>
      <c r="N309">
        <v>1008</v>
      </c>
      <c r="O309" t="s">
        <v>1138</v>
      </c>
      <c r="P309" t="s">
        <v>1138</v>
      </c>
      <c r="Q309">
        <v>1</v>
      </c>
      <c r="X309">
        <v>4.47</v>
      </c>
      <c r="Y309">
        <v>0</v>
      </c>
      <c r="Z309">
        <v>1</v>
      </c>
      <c r="AA309">
        <v>0</v>
      </c>
      <c r="AB309">
        <v>0</v>
      </c>
      <c r="AC309">
        <v>0</v>
      </c>
      <c r="AD309">
        <v>1</v>
      </c>
      <c r="AE309">
        <v>0</v>
      </c>
      <c r="AF309" t="s">
        <v>3</v>
      </c>
      <c r="AG309">
        <v>4.47</v>
      </c>
      <c r="AH309">
        <v>2</v>
      </c>
      <c r="AI309">
        <v>129763522</v>
      </c>
      <c r="AJ309">
        <v>303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 x14ac:dyDescent="0.2">
      <c r="A310">
        <f>ROW(Source!A296)</f>
        <v>296</v>
      </c>
      <c r="B310">
        <v>129763532</v>
      </c>
      <c r="C310">
        <v>129763520</v>
      </c>
      <c r="D310">
        <v>37393552</v>
      </c>
      <c r="E310">
        <v>1</v>
      </c>
      <c r="F310">
        <v>1</v>
      </c>
      <c r="G310">
        <v>37345137</v>
      </c>
      <c r="H310">
        <v>3</v>
      </c>
      <c r="I310" t="s">
        <v>348</v>
      </c>
      <c r="J310" t="s">
        <v>350</v>
      </c>
      <c r="K310" t="s">
        <v>349</v>
      </c>
      <c r="L310">
        <v>1339</v>
      </c>
      <c r="N310">
        <v>1007</v>
      </c>
      <c r="O310" t="s">
        <v>94</v>
      </c>
      <c r="P310" t="s">
        <v>94</v>
      </c>
      <c r="Q310">
        <v>1</v>
      </c>
      <c r="X310">
        <v>0.24</v>
      </c>
      <c r="Y310">
        <v>7.07</v>
      </c>
      <c r="Z310">
        <v>0</v>
      </c>
      <c r="AA310">
        <v>0</v>
      </c>
      <c r="AB310">
        <v>0</v>
      </c>
      <c r="AC310">
        <v>0</v>
      </c>
      <c r="AD310">
        <v>1</v>
      </c>
      <c r="AE310">
        <v>0</v>
      </c>
      <c r="AF310" t="s">
        <v>3</v>
      </c>
      <c r="AG310">
        <v>0.24</v>
      </c>
      <c r="AH310">
        <v>2</v>
      </c>
      <c r="AI310">
        <v>129763523</v>
      </c>
      <c r="AJ310">
        <v>304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 x14ac:dyDescent="0.2">
      <c r="A311">
        <f>ROW(Source!A296)</f>
        <v>296</v>
      </c>
      <c r="B311">
        <v>129763533</v>
      </c>
      <c r="C311">
        <v>129763520</v>
      </c>
      <c r="D311">
        <v>37394765</v>
      </c>
      <c r="E311">
        <v>1</v>
      </c>
      <c r="F311">
        <v>1</v>
      </c>
      <c r="G311">
        <v>37345137</v>
      </c>
      <c r="H311">
        <v>3</v>
      </c>
      <c r="I311" t="s">
        <v>1249</v>
      </c>
      <c r="J311" t="s">
        <v>1250</v>
      </c>
      <c r="K311" t="s">
        <v>1251</v>
      </c>
      <c r="L311">
        <v>1327</v>
      </c>
      <c r="N311">
        <v>1005</v>
      </c>
      <c r="O311" t="s">
        <v>258</v>
      </c>
      <c r="P311" t="s">
        <v>258</v>
      </c>
      <c r="Q311">
        <v>1</v>
      </c>
      <c r="X311">
        <v>1.6</v>
      </c>
      <c r="Y311">
        <v>104</v>
      </c>
      <c r="Z311">
        <v>0</v>
      </c>
      <c r="AA311">
        <v>0</v>
      </c>
      <c r="AB311">
        <v>0</v>
      </c>
      <c r="AC311">
        <v>0</v>
      </c>
      <c r="AD311">
        <v>1</v>
      </c>
      <c r="AE311">
        <v>0</v>
      </c>
      <c r="AF311" t="s">
        <v>3</v>
      </c>
      <c r="AG311">
        <v>1.6</v>
      </c>
      <c r="AH311">
        <v>2</v>
      </c>
      <c r="AI311">
        <v>129763524</v>
      </c>
      <c r="AJ311">
        <v>305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 x14ac:dyDescent="0.2">
      <c r="A312">
        <f>ROW(Source!A296)</f>
        <v>296</v>
      </c>
      <c r="B312">
        <v>129763534</v>
      </c>
      <c r="C312">
        <v>129763520</v>
      </c>
      <c r="D312">
        <v>37393813</v>
      </c>
      <c r="E312">
        <v>1</v>
      </c>
      <c r="F312">
        <v>1</v>
      </c>
      <c r="G312">
        <v>37345137</v>
      </c>
      <c r="H312">
        <v>3</v>
      </c>
      <c r="I312" t="s">
        <v>1252</v>
      </c>
      <c r="J312" t="s">
        <v>1253</v>
      </c>
      <c r="K312" t="s">
        <v>1254</v>
      </c>
      <c r="L312">
        <v>1348</v>
      </c>
      <c r="N312">
        <v>1009</v>
      </c>
      <c r="O312" t="s">
        <v>114</v>
      </c>
      <c r="P312" t="s">
        <v>114</v>
      </c>
      <c r="Q312">
        <v>1000</v>
      </c>
      <c r="X312">
        <v>2.4299999999999999E-3</v>
      </c>
      <c r="Y312">
        <v>12237.68</v>
      </c>
      <c r="Z312">
        <v>0</v>
      </c>
      <c r="AA312">
        <v>0</v>
      </c>
      <c r="AB312">
        <v>0</v>
      </c>
      <c r="AC312">
        <v>0</v>
      </c>
      <c r="AD312">
        <v>1</v>
      </c>
      <c r="AE312">
        <v>0</v>
      </c>
      <c r="AF312" t="s">
        <v>3</v>
      </c>
      <c r="AG312">
        <v>2.4299999999999999E-3</v>
      </c>
      <c r="AH312">
        <v>2</v>
      </c>
      <c r="AI312">
        <v>129763525</v>
      </c>
      <c r="AJ312">
        <v>307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 x14ac:dyDescent="0.2">
      <c r="A313">
        <f>ROW(Source!A296)</f>
        <v>296</v>
      </c>
      <c r="B313">
        <v>129763535</v>
      </c>
      <c r="C313">
        <v>129763520</v>
      </c>
      <c r="D313">
        <v>37394032</v>
      </c>
      <c r="E313">
        <v>1</v>
      </c>
      <c r="F313">
        <v>1</v>
      </c>
      <c r="G313">
        <v>37345137</v>
      </c>
      <c r="H313">
        <v>3</v>
      </c>
      <c r="I313" t="s">
        <v>1255</v>
      </c>
      <c r="J313" t="s">
        <v>1256</v>
      </c>
      <c r="K313" t="s">
        <v>1257</v>
      </c>
      <c r="L313">
        <v>1348</v>
      </c>
      <c r="N313">
        <v>1009</v>
      </c>
      <c r="O313" t="s">
        <v>114</v>
      </c>
      <c r="P313" t="s">
        <v>114</v>
      </c>
      <c r="Q313">
        <v>1000</v>
      </c>
      <c r="X313">
        <v>1.2E-2</v>
      </c>
      <c r="Y313">
        <v>545.21</v>
      </c>
      <c r="Z313">
        <v>0</v>
      </c>
      <c r="AA313">
        <v>0</v>
      </c>
      <c r="AB313">
        <v>0</v>
      </c>
      <c r="AC313">
        <v>0</v>
      </c>
      <c r="AD313">
        <v>1</v>
      </c>
      <c r="AE313">
        <v>0</v>
      </c>
      <c r="AF313" t="s">
        <v>3</v>
      </c>
      <c r="AG313">
        <v>1.2E-2</v>
      </c>
      <c r="AH313">
        <v>2</v>
      </c>
      <c r="AI313">
        <v>129763526</v>
      </c>
      <c r="AJ313">
        <v>309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 x14ac:dyDescent="0.2">
      <c r="A314">
        <f>ROW(Source!A296)</f>
        <v>296</v>
      </c>
      <c r="B314">
        <v>129763536</v>
      </c>
      <c r="C314">
        <v>129763520</v>
      </c>
      <c r="D314">
        <v>37394039</v>
      </c>
      <c r="E314">
        <v>1</v>
      </c>
      <c r="F314">
        <v>1</v>
      </c>
      <c r="G314">
        <v>37345137</v>
      </c>
      <c r="H314">
        <v>3</v>
      </c>
      <c r="I314" t="s">
        <v>1258</v>
      </c>
      <c r="J314" t="s">
        <v>1259</v>
      </c>
      <c r="K314" t="s">
        <v>1260</v>
      </c>
      <c r="L314">
        <v>1348</v>
      </c>
      <c r="N314">
        <v>1009</v>
      </c>
      <c r="O314" t="s">
        <v>114</v>
      </c>
      <c r="P314" t="s">
        <v>114</v>
      </c>
      <c r="Q314">
        <v>1000</v>
      </c>
      <c r="X314">
        <v>6.4000000000000005E-4</v>
      </c>
      <c r="Y314">
        <v>12705.7</v>
      </c>
      <c r="Z314">
        <v>0</v>
      </c>
      <c r="AA314">
        <v>0</v>
      </c>
      <c r="AB314">
        <v>0</v>
      </c>
      <c r="AC314">
        <v>0</v>
      </c>
      <c r="AD314">
        <v>1</v>
      </c>
      <c r="AE314">
        <v>0</v>
      </c>
      <c r="AF314" t="s">
        <v>3</v>
      </c>
      <c r="AG314">
        <v>6.4000000000000005E-4</v>
      </c>
      <c r="AH314">
        <v>2</v>
      </c>
      <c r="AI314">
        <v>129763527</v>
      </c>
      <c r="AJ314">
        <v>310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 x14ac:dyDescent="0.2">
      <c r="A315">
        <f>ROW(Source!A296)</f>
        <v>296</v>
      </c>
      <c r="B315">
        <v>129763537</v>
      </c>
      <c r="C315">
        <v>129763520</v>
      </c>
      <c r="D315">
        <v>37359487</v>
      </c>
      <c r="E315">
        <v>37345137</v>
      </c>
      <c r="F315">
        <v>1</v>
      </c>
      <c r="G315">
        <v>37345137</v>
      </c>
      <c r="H315">
        <v>3</v>
      </c>
      <c r="I315" t="s">
        <v>1458</v>
      </c>
      <c r="J315" t="s">
        <v>3</v>
      </c>
      <c r="K315" t="s">
        <v>1464</v>
      </c>
      <c r="L315">
        <v>1348</v>
      </c>
      <c r="N315">
        <v>1009</v>
      </c>
      <c r="O315" t="s">
        <v>114</v>
      </c>
      <c r="P315" t="s">
        <v>114</v>
      </c>
      <c r="Q315">
        <v>1000</v>
      </c>
      <c r="X315">
        <v>6.7999999999999996E-3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 t="s">
        <v>3</v>
      </c>
      <c r="AG315">
        <v>6.7999999999999996E-3</v>
      </c>
      <c r="AH315">
        <v>3</v>
      </c>
      <c r="AI315">
        <v>-1</v>
      </c>
      <c r="AJ315" t="s">
        <v>3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 x14ac:dyDescent="0.2">
      <c r="A316">
        <f>ROW(Source!A296)</f>
        <v>296</v>
      </c>
      <c r="B316">
        <v>129763538</v>
      </c>
      <c r="C316">
        <v>129763520</v>
      </c>
      <c r="D316">
        <v>37359732</v>
      </c>
      <c r="E316">
        <v>37345137</v>
      </c>
      <c r="F316">
        <v>1</v>
      </c>
      <c r="G316">
        <v>37345137</v>
      </c>
      <c r="H316">
        <v>3</v>
      </c>
      <c r="I316" t="s">
        <v>1462</v>
      </c>
      <c r="J316" t="s">
        <v>3</v>
      </c>
      <c r="K316" t="s">
        <v>1465</v>
      </c>
      <c r="L316">
        <v>1348</v>
      </c>
      <c r="N316">
        <v>1009</v>
      </c>
      <c r="O316" t="s">
        <v>114</v>
      </c>
      <c r="P316" t="s">
        <v>114</v>
      </c>
      <c r="Q316">
        <v>1000</v>
      </c>
      <c r="X316">
        <v>6.7000000000000004E-2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 t="s">
        <v>3</v>
      </c>
      <c r="AG316">
        <v>6.7000000000000004E-2</v>
      </c>
      <c r="AH316">
        <v>3</v>
      </c>
      <c r="AI316">
        <v>-1</v>
      </c>
      <c r="AJ316" t="s">
        <v>3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 x14ac:dyDescent="0.2">
      <c r="A317">
        <f>ROW(Source!A301)</f>
        <v>301</v>
      </c>
      <c r="B317">
        <v>129763548</v>
      </c>
      <c r="C317">
        <v>129763541</v>
      </c>
      <c r="D317">
        <v>37345142</v>
      </c>
      <c r="E317">
        <v>37345137</v>
      </c>
      <c r="F317">
        <v>1</v>
      </c>
      <c r="G317">
        <v>37345137</v>
      </c>
      <c r="H317">
        <v>1</v>
      </c>
      <c r="I317" t="s">
        <v>1096</v>
      </c>
      <c r="J317" t="s">
        <v>3</v>
      </c>
      <c r="K317" t="s">
        <v>1097</v>
      </c>
      <c r="L317">
        <v>1191</v>
      </c>
      <c r="N317">
        <v>1013</v>
      </c>
      <c r="O317" t="s">
        <v>1098</v>
      </c>
      <c r="P317" t="s">
        <v>1098</v>
      </c>
      <c r="Q317">
        <v>1</v>
      </c>
      <c r="X317">
        <v>176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1</v>
      </c>
      <c r="AE317">
        <v>1</v>
      </c>
      <c r="AF317" t="s">
        <v>87</v>
      </c>
      <c r="AG317">
        <v>202.39999999999998</v>
      </c>
      <c r="AH317">
        <v>2</v>
      </c>
      <c r="AI317">
        <v>129763542</v>
      </c>
      <c r="AJ317">
        <v>311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 x14ac:dyDescent="0.2">
      <c r="A318">
        <f>ROW(Source!A301)</f>
        <v>301</v>
      </c>
      <c r="B318">
        <v>129763549</v>
      </c>
      <c r="C318">
        <v>129763541</v>
      </c>
      <c r="D318">
        <v>37345890</v>
      </c>
      <c r="E318">
        <v>37345137</v>
      </c>
      <c r="F318">
        <v>1</v>
      </c>
      <c r="G318">
        <v>37345137</v>
      </c>
      <c r="H318">
        <v>2</v>
      </c>
      <c r="I318" t="s">
        <v>1145</v>
      </c>
      <c r="J318" t="s">
        <v>3</v>
      </c>
      <c r="K318" t="s">
        <v>1146</v>
      </c>
      <c r="L318">
        <v>1344</v>
      </c>
      <c r="N318">
        <v>1008</v>
      </c>
      <c r="O318" t="s">
        <v>1138</v>
      </c>
      <c r="P318" t="s">
        <v>1138</v>
      </c>
      <c r="Q318">
        <v>1</v>
      </c>
      <c r="X318">
        <v>19.66</v>
      </c>
      <c r="Y318">
        <v>0</v>
      </c>
      <c r="Z318">
        <v>1</v>
      </c>
      <c r="AA318">
        <v>0</v>
      </c>
      <c r="AB318">
        <v>0</v>
      </c>
      <c r="AC318">
        <v>0</v>
      </c>
      <c r="AD318">
        <v>1</v>
      </c>
      <c r="AE318">
        <v>0</v>
      </c>
      <c r="AF318" t="s">
        <v>86</v>
      </c>
      <c r="AG318">
        <v>24.574999999999999</v>
      </c>
      <c r="AH318">
        <v>2</v>
      </c>
      <c r="AI318">
        <v>129763543</v>
      </c>
      <c r="AJ318">
        <v>312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 x14ac:dyDescent="0.2">
      <c r="A319">
        <f>ROW(Source!A301)</f>
        <v>301</v>
      </c>
      <c r="B319">
        <v>129763550</v>
      </c>
      <c r="C319">
        <v>129763541</v>
      </c>
      <c r="D319">
        <v>37393498</v>
      </c>
      <c r="E319">
        <v>1</v>
      </c>
      <c r="F319">
        <v>1</v>
      </c>
      <c r="G319">
        <v>37345137</v>
      </c>
      <c r="H319">
        <v>3</v>
      </c>
      <c r="I319" t="s">
        <v>1231</v>
      </c>
      <c r="J319" t="s">
        <v>1232</v>
      </c>
      <c r="K319" t="s">
        <v>1233</v>
      </c>
      <c r="L319">
        <v>1348</v>
      </c>
      <c r="N319">
        <v>1009</v>
      </c>
      <c r="O319" t="s">
        <v>114</v>
      </c>
      <c r="P319" t="s">
        <v>114</v>
      </c>
      <c r="Q319">
        <v>1000</v>
      </c>
      <c r="X319">
        <v>2.8500000000000001E-3</v>
      </c>
      <c r="Y319">
        <v>17876.91</v>
      </c>
      <c r="Z319">
        <v>0</v>
      </c>
      <c r="AA319">
        <v>0</v>
      </c>
      <c r="AB319">
        <v>0</v>
      </c>
      <c r="AC319">
        <v>0</v>
      </c>
      <c r="AD319">
        <v>1</v>
      </c>
      <c r="AE319">
        <v>0</v>
      </c>
      <c r="AF319" t="s">
        <v>3</v>
      </c>
      <c r="AG319">
        <v>2.8500000000000001E-3</v>
      </c>
      <c r="AH319">
        <v>2</v>
      </c>
      <c r="AI319">
        <v>129763544</v>
      </c>
      <c r="AJ319">
        <v>313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 x14ac:dyDescent="0.2">
      <c r="A320">
        <f>ROW(Source!A301)</f>
        <v>301</v>
      </c>
      <c r="B320">
        <v>129763551</v>
      </c>
      <c r="C320">
        <v>129763541</v>
      </c>
      <c r="D320">
        <v>37367707</v>
      </c>
      <c r="E320">
        <v>37345137</v>
      </c>
      <c r="F320">
        <v>1</v>
      </c>
      <c r="G320">
        <v>37345137</v>
      </c>
      <c r="H320">
        <v>3</v>
      </c>
      <c r="I320" t="s">
        <v>392</v>
      </c>
      <c r="J320" t="s">
        <v>3</v>
      </c>
      <c r="K320" t="s">
        <v>393</v>
      </c>
      <c r="L320">
        <v>1391</v>
      </c>
      <c r="N320">
        <v>1013</v>
      </c>
      <c r="O320" t="s">
        <v>238</v>
      </c>
      <c r="P320" t="s">
        <v>238</v>
      </c>
      <c r="Q320">
        <v>1</v>
      </c>
      <c r="X320">
        <v>100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 t="s">
        <v>3</v>
      </c>
      <c r="AG320">
        <v>100</v>
      </c>
      <c r="AH320">
        <v>2</v>
      </c>
      <c r="AI320">
        <v>129763545</v>
      </c>
      <c r="AJ320">
        <v>314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 x14ac:dyDescent="0.2">
      <c r="A321">
        <f>ROW(Source!A301)</f>
        <v>301</v>
      </c>
      <c r="B321">
        <v>129763552</v>
      </c>
      <c r="C321">
        <v>129763541</v>
      </c>
      <c r="D321">
        <v>37358413</v>
      </c>
      <c r="E321">
        <v>37345137</v>
      </c>
      <c r="F321">
        <v>1</v>
      </c>
      <c r="G321">
        <v>37345137</v>
      </c>
      <c r="H321">
        <v>3</v>
      </c>
      <c r="I321" t="s">
        <v>395</v>
      </c>
      <c r="J321" t="s">
        <v>3</v>
      </c>
      <c r="K321" t="s">
        <v>396</v>
      </c>
      <c r="L321">
        <v>1327</v>
      </c>
      <c r="N321">
        <v>1005</v>
      </c>
      <c r="O321" t="s">
        <v>258</v>
      </c>
      <c r="P321" t="s">
        <v>258</v>
      </c>
      <c r="Q321">
        <v>1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 t="s">
        <v>3</v>
      </c>
      <c r="AG321">
        <v>0</v>
      </c>
      <c r="AH321">
        <v>2</v>
      </c>
      <c r="AI321">
        <v>129763546</v>
      </c>
      <c r="AJ321">
        <v>315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 x14ac:dyDescent="0.2">
      <c r="A322">
        <f>ROW(Source!A301)</f>
        <v>301</v>
      </c>
      <c r="B322">
        <v>129763553</v>
      </c>
      <c r="C322">
        <v>129763541</v>
      </c>
      <c r="D322">
        <v>37367082</v>
      </c>
      <c r="E322">
        <v>37345137</v>
      </c>
      <c r="F322">
        <v>1</v>
      </c>
      <c r="G322">
        <v>37345137</v>
      </c>
      <c r="H322">
        <v>3</v>
      </c>
      <c r="I322" t="s">
        <v>1136</v>
      </c>
      <c r="J322" t="s">
        <v>3</v>
      </c>
      <c r="K322" t="s">
        <v>1137</v>
      </c>
      <c r="L322">
        <v>1344</v>
      </c>
      <c r="N322">
        <v>1008</v>
      </c>
      <c r="O322" t="s">
        <v>1138</v>
      </c>
      <c r="P322" t="s">
        <v>1138</v>
      </c>
      <c r="Q322">
        <v>1</v>
      </c>
      <c r="X322">
        <v>0.87</v>
      </c>
      <c r="Y322">
        <v>1</v>
      </c>
      <c r="Z322">
        <v>0</v>
      </c>
      <c r="AA322">
        <v>0</v>
      </c>
      <c r="AB322">
        <v>0</v>
      </c>
      <c r="AC322">
        <v>0</v>
      </c>
      <c r="AD322">
        <v>1</v>
      </c>
      <c r="AE322">
        <v>0</v>
      </c>
      <c r="AF322" t="s">
        <v>3</v>
      </c>
      <c r="AG322">
        <v>0.87</v>
      </c>
      <c r="AH322">
        <v>2</v>
      </c>
      <c r="AI322">
        <v>129763547</v>
      </c>
      <c r="AJ322">
        <v>316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 x14ac:dyDescent="0.2">
      <c r="A323">
        <f>ROW(Source!A302)</f>
        <v>302</v>
      </c>
      <c r="B323">
        <v>129763548</v>
      </c>
      <c r="C323">
        <v>129763541</v>
      </c>
      <c r="D323">
        <v>37345142</v>
      </c>
      <c r="E323">
        <v>37345137</v>
      </c>
      <c r="F323">
        <v>1</v>
      </c>
      <c r="G323">
        <v>37345137</v>
      </c>
      <c r="H323">
        <v>1</v>
      </c>
      <c r="I323" t="s">
        <v>1096</v>
      </c>
      <c r="J323" t="s">
        <v>3</v>
      </c>
      <c r="K323" t="s">
        <v>1097</v>
      </c>
      <c r="L323">
        <v>1191</v>
      </c>
      <c r="N323">
        <v>1013</v>
      </c>
      <c r="O323" t="s">
        <v>1098</v>
      </c>
      <c r="P323" t="s">
        <v>1098</v>
      </c>
      <c r="Q323">
        <v>1</v>
      </c>
      <c r="X323">
        <v>176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1</v>
      </c>
      <c r="AE323">
        <v>1</v>
      </c>
      <c r="AF323" t="s">
        <v>87</v>
      </c>
      <c r="AG323">
        <v>202.39999999999998</v>
      </c>
      <c r="AH323">
        <v>2</v>
      </c>
      <c r="AI323">
        <v>129763542</v>
      </c>
      <c r="AJ323">
        <v>317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 x14ac:dyDescent="0.2">
      <c r="A324">
        <f>ROW(Source!A302)</f>
        <v>302</v>
      </c>
      <c r="B324">
        <v>129763549</v>
      </c>
      <c r="C324">
        <v>129763541</v>
      </c>
      <c r="D324">
        <v>37345890</v>
      </c>
      <c r="E324">
        <v>37345137</v>
      </c>
      <c r="F324">
        <v>1</v>
      </c>
      <c r="G324">
        <v>37345137</v>
      </c>
      <c r="H324">
        <v>2</v>
      </c>
      <c r="I324" t="s">
        <v>1145</v>
      </c>
      <c r="J324" t="s">
        <v>3</v>
      </c>
      <c r="K324" t="s">
        <v>1146</v>
      </c>
      <c r="L324">
        <v>1344</v>
      </c>
      <c r="N324">
        <v>1008</v>
      </c>
      <c r="O324" t="s">
        <v>1138</v>
      </c>
      <c r="P324" t="s">
        <v>1138</v>
      </c>
      <c r="Q324">
        <v>1</v>
      </c>
      <c r="X324">
        <v>19.66</v>
      </c>
      <c r="Y324">
        <v>0</v>
      </c>
      <c r="Z324">
        <v>1</v>
      </c>
      <c r="AA324">
        <v>0</v>
      </c>
      <c r="AB324">
        <v>0</v>
      </c>
      <c r="AC324">
        <v>0</v>
      </c>
      <c r="AD324">
        <v>1</v>
      </c>
      <c r="AE324">
        <v>0</v>
      </c>
      <c r="AF324" t="s">
        <v>86</v>
      </c>
      <c r="AG324">
        <v>24.574999999999999</v>
      </c>
      <c r="AH324">
        <v>2</v>
      </c>
      <c r="AI324">
        <v>129763543</v>
      </c>
      <c r="AJ324">
        <v>318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 x14ac:dyDescent="0.2">
      <c r="A325">
        <f>ROW(Source!A302)</f>
        <v>302</v>
      </c>
      <c r="B325">
        <v>129763550</v>
      </c>
      <c r="C325">
        <v>129763541</v>
      </c>
      <c r="D325">
        <v>37393498</v>
      </c>
      <c r="E325">
        <v>1</v>
      </c>
      <c r="F325">
        <v>1</v>
      </c>
      <c r="G325">
        <v>37345137</v>
      </c>
      <c r="H325">
        <v>3</v>
      </c>
      <c r="I325" t="s">
        <v>1231</v>
      </c>
      <c r="J325" t="s">
        <v>1232</v>
      </c>
      <c r="K325" t="s">
        <v>1233</v>
      </c>
      <c r="L325">
        <v>1348</v>
      </c>
      <c r="N325">
        <v>1009</v>
      </c>
      <c r="O325" t="s">
        <v>114</v>
      </c>
      <c r="P325" t="s">
        <v>114</v>
      </c>
      <c r="Q325">
        <v>1000</v>
      </c>
      <c r="X325">
        <v>2.8500000000000001E-3</v>
      </c>
      <c r="Y325">
        <v>17876.91</v>
      </c>
      <c r="Z325">
        <v>0</v>
      </c>
      <c r="AA325">
        <v>0</v>
      </c>
      <c r="AB325">
        <v>0</v>
      </c>
      <c r="AC325">
        <v>0</v>
      </c>
      <c r="AD325">
        <v>1</v>
      </c>
      <c r="AE325">
        <v>0</v>
      </c>
      <c r="AF325" t="s">
        <v>3</v>
      </c>
      <c r="AG325">
        <v>2.8500000000000001E-3</v>
      </c>
      <c r="AH325">
        <v>2</v>
      </c>
      <c r="AI325">
        <v>129763544</v>
      </c>
      <c r="AJ325">
        <v>319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 x14ac:dyDescent="0.2">
      <c r="A326">
        <f>ROW(Source!A302)</f>
        <v>302</v>
      </c>
      <c r="B326">
        <v>129763551</v>
      </c>
      <c r="C326">
        <v>129763541</v>
      </c>
      <c r="D326">
        <v>37367707</v>
      </c>
      <c r="E326">
        <v>37345137</v>
      </c>
      <c r="F326">
        <v>1</v>
      </c>
      <c r="G326">
        <v>37345137</v>
      </c>
      <c r="H326">
        <v>3</v>
      </c>
      <c r="I326" t="s">
        <v>392</v>
      </c>
      <c r="J326" t="s">
        <v>3</v>
      </c>
      <c r="K326" t="s">
        <v>393</v>
      </c>
      <c r="L326">
        <v>1391</v>
      </c>
      <c r="N326">
        <v>1013</v>
      </c>
      <c r="O326" t="s">
        <v>238</v>
      </c>
      <c r="P326" t="s">
        <v>238</v>
      </c>
      <c r="Q326">
        <v>1</v>
      </c>
      <c r="X326">
        <v>100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 t="s">
        <v>3</v>
      </c>
      <c r="AG326">
        <v>100</v>
      </c>
      <c r="AH326">
        <v>2</v>
      </c>
      <c r="AI326">
        <v>129763545</v>
      </c>
      <c r="AJ326">
        <v>320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 x14ac:dyDescent="0.2">
      <c r="A327">
        <f>ROW(Source!A302)</f>
        <v>302</v>
      </c>
      <c r="B327">
        <v>129763552</v>
      </c>
      <c r="C327">
        <v>129763541</v>
      </c>
      <c r="D327">
        <v>37358413</v>
      </c>
      <c r="E327">
        <v>37345137</v>
      </c>
      <c r="F327">
        <v>1</v>
      </c>
      <c r="G327">
        <v>37345137</v>
      </c>
      <c r="H327">
        <v>3</v>
      </c>
      <c r="I327" t="s">
        <v>395</v>
      </c>
      <c r="J327" t="s">
        <v>3</v>
      </c>
      <c r="K327" t="s">
        <v>396</v>
      </c>
      <c r="L327">
        <v>1327</v>
      </c>
      <c r="N327">
        <v>1005</v>
      </c>
      <c r="O327" t="s">
        <v>258</v>
      </c>
      <c r="P327" t="s">
        <v>258</v>
      </c>
      <c r="Q327">
        <v>1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 t="s">
        <v>3</v>
      </c>
      <c r="AG327">
        <v>0</v>
      </c>
      <c r="AH327">
        <v>2</v>
      </c>
      <c r="AI327">
        <v>129763546</v>
      </c>
      <c r="AJ327">
        <v>321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 x14ac:dyDescent="0.2">
      <c r="A328">
        <f>ROW(Source!A302)</f>
        <v>302</v>
      </c>
      <c r="B328">
        <v>129763553</v>
      </c>
      <c r="C328">
        <v>129763541</v>
      </c>
      <c r="D328">
        <v>37367082</v>
      </c>
      <c r="E328">
        <v>37345137</v>
      </c>
      <c r="F328">
        <v>1</v>
      </c>
      <c r="G328">
        <v>37345137</v>
      </c>
      <c r="H328">
        <v>3</v>
      </c>
      <c r="I328" t="s">
        <v>1136</v>
      </c>
      <c r="J328" t="s">
        <v>3</v>
      </c>
      <c r="K328" t="s">
        <v>1137</v>
      </c>
      <c r="L328">
        <v>1344</v>
      </c>
      <c r="N328">
        <v>1008</v>
      </c>
      <c r="O328" t="s">
        <v>1138</v>
      </c>
      <c r="P328" t="s">
        <v>1138</v>
      </c>
      <c r="Q328">
        <v>1</v>
      </c>
      <c r="X328">
        <v>0.87</v>
      </c>
      <c r="Y328">
        <v>1</v>
      </c>
      <c r="Z328">
        <v>0</v>
      </c>
      <c r="AA328">
        <v>0</v>
      </c>
      <c r="AB328">
        <v>0</v>
      </c>
      <c r="AC328">
        <v>0</v>
      </c>
      <c r="AD328">
        <v>1</v>
      </c>
      <c r="AE328">
        <v>0</v>
      </c>
      <c r="AF328" t="s">
        <v>3</v>
      </c>
      <c r="AG328">
        <v>0.87</v>
      </c>
      <c r="AH328">
        <v>2</v>
      </c>
      <c r="AI328">
        <v>129763547</v>
      </c>
      <c r="AJ328">
        <v>322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 x14ac:dyDescent="0.2">
      <c r="A329">
        <f>ROW(Source!A307)</f>
        <v>307</v>
      </c>
      <c r="B329">
        <v>129763566</v>
      </c>
      <c r="C329">
        <v>129763556</v>
      </c>
      <c r="D329">
        <v>37345142</v>
      </c>
      <c r="E329">
        <v>37345137</v>
      </c>
      <c r="F329">
        <v>1</v>
      </c>
      <c r="G329">
        <v>37345137</v>
      </c>
      <c r="H329">
        <v>1</v>
      </c>
      <c r="I329" t="s">
        <v>1096</v>
      </c>
      <c r="J329" t="s">
        <v>3</v>
      </c>
      <c r="K329" t="s">
        <v>1097</v>
      </c>
      <c r="L329">
        <v>1191</v>
      </c>
      <c r="N329">
        <v>1013</v>
      </c>
      <c r="O329" t="s">
        <v>1098</v>
      </c>
      <c r="P329" t="s">
        <v>1098</v>
      </c>
      <c r="Q329">
        <v>1</v>
      </c>
      <c r="X329">
        <v>84.08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1</v>
      </c>
      <c r="AE329">
        <v>1</v>
      </c>
      <c r="AF329" t="s">
        <v>87</v>
      </c>
      <c r="AG329">
        <v>96.691999999999993</v>
      </c>
      <c r="AH329">
        <v>2</v>
      </c>
      <c r="AI329">
        <v>129763557</v>
      </c>
      <c r="AJ329">
        <v>323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 x14ac:dyDescent="0.2">
      <c r="A330">
        <f>ROW(Source!A307)</f>
        <v>307</v>
      </c>
      <c r="B330">
        <v>129763567</v>
      </c>
      <c r="C330">
        <v>129763556</v>
      </c>
      <c r="D330">
        <v>37418479</v>
      </c>
      <c r="E330">
        <v>1</v>
      </c>
      <c r="F330">
        <v>1</v>
      </c>
      <c r="G330">
        <v>37345137</v>
      </c>
      <c r="H330">
        <v>2</v>
      </c>
      <c r="I330" t="s">
        <v>1183</v>
      </c>
      <c r="J330" t="s">
        <v>1184</v>
      </c>
      <c r="K330" t="s">
        <v>1185</v>
      </c>
      <c r="L330">
        <v>1367</v>
      </c>
      <c r="N330">
        <v>1011</v>
      </c>
      <c r="O330" t="s">
        <v>1102</v>
      </c>
      <c r="P330" t="s">
        <v>1102</v>
      </c>
      <c r="Q330">
        <v>1</v>
      </c>
      <c r="X330">
        <v>27.09</v>
      </c>
      <c r="Y330">
        <v>0</v>
      </c>
      <c r="Z330">
        <v>2.36</v>
      </c>
      <c r="AA330">
        <v>0.1</v>
      </c>
      <c r="AB330">
        <v>0</v>
      </c>
      <c r="AC330">
        <v>0</v>
      </c>
      <c r="AD330">
        <v>1</v>
      </c>
      <c r="AE330">
        <v>0</v>
      </c>
      <c r="AF330" t="s">
        <v>86</v>
      </c>
      <c r="AG330">
        <v>33.862499999999997</v>
      </c>
      <c r="AH330">
        <v>2</v>
      </c>
      <c r="AI330">
        <v>129763558</v>
      </c>
      <c r="AJ330">
        <v>324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 x14ac:dyDescent="0.2">
      <c r="A331">
        <f>ROW(Source!A307)</f>
        <v>307</v>
      </c>
      <c r="B331">
        <v>129763568</v>
      </c>
      <c r="C331">
        <v>129763556</v>
      </c>
      <c r="D331">
        <v>37418541</v>
      </c>
      <c r="E331">
        <v>1</v>
      </c>
      <c r="F331">
        <v>1</v>
      </c>
      <c r="G331">
        <v>37345137</v>
      </c>
      <c r="H331">
        <v>2</v>
      </c>
      <c r="I331" t="s">
        <v>1261</v>
      </c>
      <c r="J331" t="s">
        <v>1262</v>
      </c>
      <c r="K331" t="s">
        <v>1263</v>
      </c>
      <c r="L331">
        <v>1367</v>
      </c>
      <c r="N331">
        <v>1011</v>
      </c>
      <c r="O331" t="s">
        <v>1102</v>
      </c>
      <c r="P331" t="s">
        <v>1102</v>
      </c>
      <c r="Q331">
        <v>1</v>
      </c>
      <c r="X331">
        <v>0.31</v>
      </c>
      <c r="Y331">
        <v>0</v>
      </c>
      <c r="Z331">
        <v>31.85</v>
      </c>
      <c r="AA331">
        <v>14.89</v>
      </c>
      <c r="AB331">
        <v>0</v>
      </c>
      <c r="AC331">
        <v>0</v>
      </c>
      <c r="AD331">
        <v>1</v>
      </c>
      <c r="AE331">
        <v>0</v>
      </c>
      <c r="AF331" t="s">
        <v>86</v>
      </c>
      <c r="AG331">
        <v>0.38750000000000001</v>
      </c>
      <c r="AH331">
        <v>2</v>
      </c>
      <c r="AI331">
        <v>129763559</v>
      </c>
      <c r="AJ331">
        <v>325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 x14ac:dyDescent="0.2">
      <c r="A332">
        <f>ROW(Source!A307)</f>
        <v>307</v>
      </c>
      <c r="B332">
        <v>129763569</v>
      </c>
      <c r="C332">
        <v>129763556</v>
      </c>
      <c r="D332">
        <v>37345890</v>
      </c>
      <c r="E332">
        <v>37345137</v>
      </c>
      <c r="F332">
        <v>1</v>
      </c>
      <c r="G332">
        <v>37345137</v>
      </c>
      <c r="H332">
        <v>2</v>
      </c>
      <c r="I332" t="s">
        <v>1145</v>
      </c>
      <c r="J332" t="s">
        <v>3</v>
      </c>
      <c r="K332" t="s">
        <v>1146</v>
      </c>
      <c r="L332">
        <v>1344</v>
      </c>
      <c r="N332">
        <v>1008</v>
      </c>
      <c r="O332" t="s">
        <v>1138</v>
      </c>
      <c r="P332" t="s">
        <v>1138</v>
      </c>
      <c r="Q332">
        <v>1</v>
      </c>
      <c r="X332">
        <v>25.96</v>
      </c>
      <c r="Y332">
        <v>0</v>
      </c>
      <c r="Z332">
        <v>1</v>
      </c>
      <c r="AA332">
        <v>0</v>
      </c>
      <c r="AB332">
        <v>0</v>
      </c>
      <c r="AC332">
        <v>0</v>
      </c>
      <c r="AD332">
        <v>1</v>
      </c>
      <c r="AE332">
        <v>0</v>
      </c>
      <c r="AF332" t="s">
        <v>86</v>
      </c>
      <c r="AG332">
        <v>32.450000000000003</v>
      </c>
      <c r="AH332">
        <v>2</v>
      </c>
      <c r="AI332">
        <v>129763560</v>
      </c>
      <c r="AJ332">
        <v>326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 x14ac:dyDescent="0.2">
      <c r="A333">
        <f>ROW(Source!A307)</f>
        <v>307</v>
      </c>
      <c r="B333">
        <v>129763570</v>
      </c>
      <c r="C333">
        <v>129763556</v>
      </c>
      <c r="D333">
        <v>37393552</v>
      </c>
      <c r="E333">
        <v>1</v>
      </c>
      <c r="F333">
        <v>1</v>
      </c>
      <c r="G333">
        <v>37345137</v>
      </c>
      <c r="H333">
        <v>3</v>
      </c>
      <c r="I333" t="s">
        <v>348</v>
      </c>
      <c r="J333" t="s">
        <v>350</v>
      </c>
      <c r="K333" t="s">
        <v>349</v>
      </c>
      <c r="L333">
        <v>1339</v>
      </c>
      <c r="N333">
        <v>1007</v>
      </c>
      <c r="O333" t="s">
        <v>94</v>
      </c>
      <c r="P333" t="s">
        <v>94</v>
      </c>
      <c r="Q333">
        <v>1</v>
      </c>
      <c r="X333">
        <v>0.13300000000000001</v>
      </c>
      <c r="Y333">
        <v>7.07</v>
      </c>
      <c r="Z333">
        <v>0</v>
      </c>
      <c r="AA333">
        <v>0</v>
      </c>
      <c r="AB333">
        <v>0</v>
      </c>
      <c r="AC333">
        <v>0</v>
      </c>
      <c r="AD333">
        <v>1</v>
      </c>
      <c r="AE333">
        <v>0</v>
      </c>
      <c r="AF333" t="s">
        <v>3</v>
      </c>
      <c r="AG333">
        <v>0.13300000000000001</v>
      </c>
      <c r="AH333">
        <v>2</v>
      </c>
      <c r="AI333">
        <v>129763561</v>
      </c>
      <c r="AJ333">
        <v>327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 x14ac:dyDescent="0.2">
      <c r="A334">
        <f>ROW(Source!A307)</f>
        <v>307</v>
      </c>
      <c r="B334">
        <v>129763571</v>
      </c>
      <c r="C334">
        <v>129763556</v>
      </c>
      <c r="D334">
        <v>37395665</v>
      </c>
      <c r="E334">
        <v>1</v>
      </c>
      <c r="F334">
        <v>1</v>
      </c>
      <c r="G334">
        <v>37345137</v>
      </c>
      <c r="H334">
        <v>3</v>
      </c>
      <c r="I334" t="s">
        <v>1264</v>
      </c>
      <c r="J334" t="s">
        <v>1265</v>
      </c>
      <c r="K334" t="s">
        <v>1266</v>
      </c>
      <c r="L334">
        <v>1348</v>
      </c>
      <c r="N334">
        <v>1009</v>
      </c>
      <c r="O334" t="s">
        <v>114</v>
      </c>
      <c r="P334" t="s">
        <v>114</v>
      </c>
      <c r="Q334">
        <v>1000</v>
      </c>
      <c r="X334">
        <v>0.01</v>
      </c>
      <c r="Y334">
        <v>69883.649999999994</v>
      </c>
      <c r="Z334">
        <v>0</v>
      </c>
      <c r="AA334">
        <v>0</v>
      </c>
      <c r="AB334">
        <v>0</v>
      </c>
      <c r="AC334">
        <v>0</v>
      </c>
      <c r="AD334">
        <v>1</v>
      </c>
      <c r="AE334">
        <v>0</v>
      </c>
      <c r="AF334" t="s">
        <v>3</v>
      </c>
      <c r="AG334">
        <v>0.01</v>
      </c>
      <c r="AH334">
        <v>2</v>
      </c>
      <c r="AI334">
        <v>129763562</v>
      </c>
      <c r="AJ334">
        <v>329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 x14ac:dyDescent="0.2">
      <c r="A335">
        <f>ROW(Source!A307)</f>
        <v>307</v>
      </c>
      <c r="B335">
        <v>129763572</v>
      </c>
      <c r="C335">
        <v>129763556</v>
      </c>
      <c r="D335">
        <v>37358433</v>
      </c>
      <c r="E335">
        <v>37345137</v>
      </c>
      <c r="F335">
        <v>1</v>
      </c>
      <c r="G335">
        <v>37345137</v>
      </c>
      <c r="H335">
        <v>3</v>
      </c>
      <c r="I335" t="s">
        <v>1466</v>
      </c>
      <c r="J335" t="s">
        <v>3</v>
      </c>
      <c r="K335" t="s">
        <v>1467</v>
      </c>
      <c r="L335">
        <v>1348</v>
      </c>
      <c r="N335">
        <v>1009</v>
      </c>
      <c r="O335" t="s">
        <v>114</v>
      </c>
      <c r="P335" t="s">
        <v>114</v>
      </c>
      <c r="Q335">
        <v>1000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 t="s">
        <v>3</v>
      </c>
      <c r="AG335">
        <v>0</v>
      </c>
      <c r="AH335">
        <v>3</v>
      </c>
      <c r="AI335">
        <v>-1</v>
      </c>
      <c r="AJ335" t="s">
        <v>3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 x14ac:dyDescent="0.2">
      <c r="A336">
        <f>ROW(Source!A307)</f>
        <v>307</v>
      </c>
      <c r="B336">
        <v>129763573</v>
      </c>
      <c r="C336">
        <v>129763556</v>
      </c>
      <c r="D336">
        <v>37360127</v>
      </c>
      <c r="E336">
        <v>37345137</v>
      </c>
      <c r="F336">
        <v>1</v>
      </c>
      <c r="G336">
        <v>37345137</v>
      </c>
      <c r="H336">
        <v>3</v>
      </c>
      <c r="I336" t="s">
        <v>1468</v>
      </c>
      <c r="J336" t="s">
        <v>3</v>
      </c>
      <c r="K336" t="s">
        <v>1469</v>
      </c>
      <c r="L336">
        <v>1348</v>
      </c>
      <c r="N336">
        <v>1009</v>
      </c>
      <c r="O336" t="s">
        <v>114</v>
      </c>
      <c r="P336" t="s">
        <v>114</v>
      </c>
      <c r="Q336">
        <v>1000</v>
      </c>
      <c r="X336">
        <v>0.47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 t="s">
        <v>3</v>
      </c>
      <c r="AG336">
        <v>0.47</v>
      </c>
      <c r="AH336">
        <v>3</v>
      </c>
      <c r="AI336">
        <v>-1</v>
      </c>
      <c r="AJ336" t="s">
        <v>3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 x14ac:dyDescent="0.2">
      <c r="A337">
        <f>ROW(Source!A307)</f>
        <v>307</v>
      </c>
      <c r="B337">
        <v>129763574</v>
      </c>
      <c r="C337">
        <v>129763556</v>
      </c>
      <c r="D337">
        <v>37358424</v>
      </c>
      <c r="E337">
        <v>37345137</v>
      </c>
      <c r="F337">
        <v>1</v>
      </c>
      <c r="G337">
        <v>37345137</v>
      </c>
      <c r="H337">
        <v>3</v>
      </c>
      <c r="I337" t="s">
        <v>1470</v>
      </c>
      <c r="J337" t="s">
        <v>3</v>
      </c>
      <c r="K337" t="s">
        <v>1471</v>
      </c>
      <c r="L337">
        <v>1327</v>
      </c>
      <c r="N337">
        <v>1005</v>
      </c>
      <c r="O337" t="s">
        <v>258</v>
      </c>
      <c r="P337" t="s">
        <v>258</v>
      </c>
      <c r="Q337">
        <v>1</v>
      </c>
      <c r="X337">
        <v>102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 t="s">
        <v>3</v>
      </c>
      <c r="AG337">
        <v>102</v>
      </c>
      <c r="AH337">
        <v>3</v>
      </c>
      <c r="AI337">
        <v>-1</v>
      </c>
      <c r="AJ337" t="s">
        <v>3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 x14ac:dyDescent="0.2">
      <c r="A338">
        <f>ROW(Source!A308)</f>
        <v>308</v>
      </c>
      <c r="B338">
        <v>129763566</v>
      </c>
      <c r="C338">
        <v>129763556</v>
      </c>
      <c r="D338">
        <v>37345142</v>
      </c>
      <c r="E338">
        <v>37345137</v>
      </c>
      <c r="F338">
        <v>1</v>
      </c>
      <c r="G338">
        <v>37345137</v>
      </c>
      <c r="H338">
        <v>1</v>
      </c>
      <c r="I338" t="s">
        <v>1096</v>
      </c>
      <c r="J338" t="s">
        <v>3</v>
      </c>
      <c r="K338" t="s">
        <v>1097</v>
      </c>
      <c r="L338">
        <v>1191</v>
      </c>
      <c r="N338">
        <v>1013</v>
      </c>
      <c r="O338" t="s">
        <v>1098</v>
      </c>
      <c r="P338" t="s">
        <v>1098</v>
      </c>
      <c r="Q338">
        <v>1</v>
      </c>
      <c r="X338">
        <v>84.08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1</v>
      </c>
      <c r="AE338">
        <v>1</v>
      </c>
      <c r="AF338" t="s">
        <v>87</v>
      </c>
      <c r="AG338">
        <v>96.691999999999993</v>
      </c>
      <c r="AH338">
        <v>2</v>
      </c>
      <c r="AI338">
        <v>129763557</v>
      </c>
      <c r="AJ338">
        <v>333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 x14ac:dyDescent="0.2">
      <c r="A339">
        <f>ROW(Source!A308)</f>
        <v>308</v>
      </c>
      <c r="B339">
        <v>129763567</v>
      </c>
      <c r="C339">
        <v>129763556</v>
      </c>
      <c r="D339">
        <v>37418479</v>
      </c>
      <c r="E339">
        <v>1</v>
      </c>
      <c r="F339">
        <v>1</v>
      </c>
      <c r="G339">
        <v>37345137</v>
      </c>
      <c r="H339">
        <v>2</v>
      </c>
      <c r="I339" t="s">
        <v>1183</v>
      </c>
      <c r="J339" t="s">
        <v>1184</v>
      </c>
      <c r="K339" t="s">
        <v>1185</v>
      </c>
      <c r="L339">
        <v>1367</v>
      </c>
      <c r="N339">
        <v>1011</v>
      </c>
      <c r="O339" t="s">
        <v>1102</v>
      </c>
      <c r="P339" t="s">
        <v>1102</v>
      </c>
      <c r="Q339">
        <v>1</v>
      </c>
      <c r="X339">
        <v>27.09</v>
      </c>
      <c r="Y339">
        <v>0</v>
      </c>
      <c r="Z339">
        <v>2.36</v>
      </c>
      <c r="AA339">
        <v>0.1</v>
      </c>
      <c r="AB339">
        <v>0</v>
      </c>
      <c r="AC339">
        <v>0</v>
      </c>
      <c r="AD339">
        <v>1</v>
      </c>
      <c r="AE339">
        <v>0</v>
      </c>
      <c r="AF339" t="s">
        <v>86</v>
      </c>
      <c r="AG339">
        <v>33.862499999999997</v>
      </c>
      <c r="AH339">
        <v>2</v>
      </c>
      <c r="AI339">
        <v>129763558</v>
      </c>
      <c r="AJ339">
        <v>334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 x14ac:dyDescent="0.2">
      <c r="A340">
        <f>ROW(Source!A308)</f>
        <v>308</v>
      </c>
      <c r="B340">
        <v>129763568</v>
      </c>
      <c r="C340">
        <v>129763556</v>
      </c>
      <c r="D340">
        <v>37418541</v>
      </c>
      <c r="E340">
        <v>1</v>
      </c>
      <c r="F340">
        <v>1</v>
      </c>
      <c r="G340">
        <v>37345137</v>
      </c>
      <c r="H340">
        <v>2</v>
      </c>
      <c r="I340" t="s">
        <v>1261</v>
      </c>
      <c r="J340" t="s">
        <v>1262</v>
      </c>
      <c r="K340" t="s">
        <v>1263</v>
      </c>
      <c r="L340">
        <v>1367</v>
      </c>
      <c r="N340">
        <v>1011</v>
      </c>
      <c r="O340" t="s">
        <v>1102</v>
      </c>
      <c r="P340" t="s">
        <v>1102</v>
      </c>
      <c r="Q340">
        <v>1</v>
      </c>
      <c r="X340">
        <v>0.31</v>
      </c>
      <c r="Y340">
        <v>0</v>
      </c>
      <c r="Z340">
        <v>31.85</v>
      </c>
      <c r="AA340">
        <v>14.89</v>
      </c>
      <c r="AB340">
        <v>0</v>
      </c>
      <c r="AC340">
        <v>0</v>
      </c>
      <c r="AD340">
        <v>1</v>
      </c>
      <c r="AE340">
        <v>0</v>
      </c>
      <c r="AF340" t="s">
        <v>86</v>
      </c>
      <c r="AG340">
        <v>0.38750000000000001</v>
      </c>
      <c r="AH340">
        <v>2</v>
      </c>
      <c r="AI340">
        <v>129763559</v>
      </c>
      <c r="AJ340">
        <v>335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 x14ac:dyDescent="0.2">
      <c r="A341">
        <f>ROW(Source!A308)</f>
        <v>308</v>
      </c>
      <c r="B341">
        <v>129763569</v>
      </c>
      <c r="C341">
        <v>129763556</v>
      </c>
      <c r="D341">
        <v>37345890</v>
      </c>
      <c r="E341">
        <v>37345137</v>
      </c>
      <c r="F341">
        <v>1</v>
      </c>
      <c r="G341">
        <v>37345137</v>
      </c>
      <c r="H341">
        <v>2</v>
      </c>
      <c r="I341" t="s">
        <v>1145</v>
      </c>
      <c r="J341" t="s">
        <v>3</v>
      </c>
      <c r="K341" t="s">
        <v>1146</v>
      </c>
      <c r="L341">
        <v>1344</v>
      </c>
      <c r="N341">
        <v>1008</v>
      </c>
      <c r="O341" t="s">
        <v>1138</v>
      </c>
      <c r="P341" t="s">
        <v>1138</v>
      </c>
      <c r="Q341">
        <v>1</v>
      </c>
      <c r="X341">
        <v>25.96</v>
      </c>
      <c r="Y341">
        <v>0</v>
      </c>
      <c r="Z341">
        <v>1</v>
      </c>
      <c r="AA341">
        <v>0</v>
      </c>
      <c r="AB341">
        <v>0</v>
      </c>
      <c r="AC341">
        <v>0</v>
      </c>
      <c r="AD341">
        <v>1</v>
      </c>
      <c r="AE341">
        <v>0</v>
      </c>
      <c r="AF341" t="s">
        <v>86</v>
      </c>
      <c r="AG341">
        <v>32.450000000000003</v>
      </c>
      <c r="AH341">
        <v>2</v>
      </c>
      <c r="AI341">
        <v>129763560</v>
      </c>
      <c r="AJ341">
        <v>336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 x14ac:dyDescent="0.2">
      <c r="A342">
        <f>ROW(Source!A308)</f>
        <v>308</v>
      </c>
      <c r="B342">
        <v>129763570</v>
      </c>
      <c r="C342">
        <v>129763556</v>
      </c>
      <c r="D342">
        <v>37393552</v>
      </c>
      <c r="E342">
        <v>1</v>
      </c>
      <c r="F342">
        <v>1</v>
      </c>
      <c r="G342">
        <v>37345137</v>
      </c>
      <c r="H342">
        <v>3</v>
      </c>
      <c r="I342" t="s">
        <v>348</v>
      </c>
      <c r="J342" t="s">
        <v>350</v>
      </c>
      <c r="K342" t="s">
        <v>349</v>
      </c>
      <c r="L342">
        <v>1339</v>
      </c>
      <c r="N342">
        <v>1007</v>
      </c>
      <c r="O342" t="s">
        <v>94</v>
      </c>
      <c r="P342" t="s">
        <v>94</v>
      </c>
      <c r="Q342">
        <v>1</v>
      </c>
      <c r="X342">
        <v>0.13300000000000001</v>
      </c>
      <c r="Y342">
        <v>7.07</v>
      </c>
      <c r="Z342">
        <v>0</v>
      </c>
      <c r="AA342">
        <v>0</v>
      </c>
      <c r="AB342">
        <v>0</v>
      </c>
      <c r="AC342">
        <v>0</v>
      </c>
      <c r="AD342">
        <v>1</v>
      </c>
      <c r="AE342">
        <v>0</v>
      </c>
      <c r="AF342" t="s">
        <v>3</v>
      </c>
      <c r="AG342">
        <v>0.13300000000000001</v>
      </c>
      <c r="AH342">
        <v>2</v>
      </c>
      <c r="AI342">
        <v>129763561</v>
      </c>
      <c r="AJ342">
        <v>337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 x14ac:dyDescent="0.2">
      <c r="A343">
        <f>ROW(Source!A308)</f>
        <v>308</v>
      </c>
      <c r="B343">
        <v>129763571</v>
      </c>
      <c r="C343">
        <v>129763556</v>
      </c>
      <c r="D343">
        <v>37395665</v>
      </c>
      <c r="E343">
        <v>1</v>
      </c>
      <c r="F343">
        <v>1</v>
      </c>
      <c r="G343">
        <v>37345137</v>
      </c>
      <c r="H343">
        <v>3</v>
      </c>
      <c r="I343" t="s">
        <v>1264</v>
      </c>
      <c r="J343" t="s">
        <v>1265</v>
      </c>
      <c r="K343" t="s">
        <v>1266</v>
      </c>
      <c r="L343">
        <v>1348</v>
      </c>
      <c r="N343">
        <v>1009</v>
      </c>
      <c r="O343" t="s">
        <v>114</v>
      </c>
      <c r="P343" t="s">
        <v>114</v>
      </c>
      <c r="Q343">
        <v>1000</v>
      </c>
      <c r="X343">
        <v>0.01</v>
      </c>
      <c r="Y343">
        <v>69883.649999999994</v>
      </c>
      <c r="Z343">
        <v>0</v>
      </c>
      <c r="AA343">
        <v>0</v>
      </c>
      <c r="AB343">
        <v>0</v>
      </c>
      <c r="AC343">
        <v>0</v>
      </c>
      <c r="AD343">
        <v>1</v>
      </c>
      <c r="AE343">
        <v>0</v>
      </c>
      <c r="AF343" t="s">
        <v>3</v>
      </c>
      <c r="AG343">
        <v>0.01</v>
      </c>
      <c r="AH343">
        <v>2</v>
      </c>
      <c r="AI343">
        <v>129763562</v>
      </c>
      <c r="AJ343">
        <v>339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 x14ac:dyDescent="0.2">
      <c r="A344">
        <f>ROW(Source!A308)</f>
        <v>308</v>
      </c>
      <c r="B344">
        <v>129763572</v>
      </c>
      <c r="C344">
        <v>129763556</v>
      </c>
      <c r="D344">
        <v>37358433</v>
      </c>
      <c r="E344">
        <v>37345137</v>
      </c>
      <c r="F344">
        <v>1</v>
      </c>
      <c r="G344">
        <v>37345137</v>
      </c>
      <c r="H344">
        <v>3</v>
      </c>
      <c r="I344" t="s">
        <v>1466</v>
      </c>
      <c r="J344" t="s">
        <v>3</v>
      </c>
      <c r="K344" t="s">
        <v>1467</v>
      </c>
      <c r="L344">
        <v>1348</v>
      </c>
      <c r="N344">
        <v>1009</v>
      </c>
      <c r="O344" t="s">
        <v>114</v>
      </c>
      <c r="P344" t="s">
        <v>114</v>
      </c>
      <c r="Q344">
        <v>1000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 t="s">
        <v>3</v>
      </c>
      <c r="AG344">
        <v>0</v>
      </c>
      <c r="AH344">
        <v>3</v>
      </c>
      <c r="AI344">
        <v>-1</v>
      </c>
      <c r="AJ344" t="s">
        <v>3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 x14ac:dyDescent="0.2">
      <c r="A345">
        <f>ROW(Source!A308)</f>
        <v>308</v>
      </c>
      <c r="B345">
        <v>129763573</v>
      </c>
      <c r="C345">
        <v>129763556</v>
      </c>
      <c r="D345">
        <v>37360127</v>
      </c>
      <c r="E345">
        <v>37345137</v>
      </c>
      <c r="F345">
        <v>1</v>
      </c>
      <c r="G345">
        <v>37345137</v>
      </c>
      <c r="H345">
        <v>3</v>
      </c>
      <c r="I345" t="s">
        <v>1468</v>
      </c>
      <c r="J345" t="s">
        <v>3</v>
      </c>
      <c r="K345" t="s">
        <v>1469</v>
      </c>
      <c r="L345">
        <v>1348</v>
      </c>
      <c r="N345">
        <v>1009</v>
      </c>
      <c r="O345" t="s">
        <v>114</v>
      </c>
      <c r="P345" t="s">
        <v>114</v>
      </c>
      <c r="Q345">
        <v>1000</v>
      </c>
      <c r="X345">
        <v>0.47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 t="s">
        <v>3</v>
      </c>
      <c r="AG345">
        <v>0.47</v>
      </c>
      <c r="AH345">
        <v>3</v>
      </c>
      <c r="AI345">
        <v>-1</v>
      </c>
      <c r="AJ345" t="s">
        <v>3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 x14ac:dyDescent="0.2">
      <c r="A346">
        <f>ROW(Source!A308)</f>
        <v>308</v>
      </c>
      <c r="B346">
        <v>129763574</v>
      </c>
      <c r="C346">
        <v>129763556</v>
      </c>
      <c r="D346">
        <v>37358424</v>
      </c>
      <c r="E346">
        <v>37345137</v>
      </c>
      <c r="F346">
        <v>1</v>
      </c>
      <c r="G346">
        <v>37345137</v>
      </c>
      <c r="H346">
        <v>3</v>
      </c>
      <c r="I346" t="s">
        <v>1470</v>
      </c>
      <c r="J346" t="s">
        <v>3</v>
      </c>
      <c r="K346" t="s">
        <v>1471</v>
      </c>
      <c r="L346">
        <v>1327</v>
      </c>
      <c r="N346">
        <v>1005</v>
      </c>
      <c r="O346" t="s">
        <v>258</v>
      </c>
      <c r="P346" t="s">
        <v>258</v>
      </c>
      <c r="Q346">
        <v>1</v>
      </c>
      <c r="X346">
        <v>102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 t="s">
        <v>3</v>
      </c>
      <c r="AG346">
        <v>102</v>
      </c>
      <c r="AH346">
        <v>3</v>
      </c>
      <c r="AI346">
        <v>-1</v>
      </c>
      <c r="AJ346" t="s">
        <v>3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 x14ac:dyDescent="0.2">
      <c r="A347">
        <f>ROW(Source!A317)</f>
        <v>317</v>
      </c>
      <c r="B347">
        <v>129763585</v>
      </c>
      <c r="C347">
        <v>129763578</v>
      </c>
      <c r="D347">
        <v>37345142</v>
      </c>
      <c r="E347">
        <v>37345137</v>
      </c>
      <c r="F347">
        <v>1</v>
      </c>
      <c r="G347">
        <v>37345137</v>
      </c>
      <c r="H347">
        <v>1</v>
      </c>
      <c r="I347" t="s">
        <v>1096</v>
      </c>
      <c r="J347" t="s">
        <v>3</v>
      </c>
      <c r="K347" t="s">
        <v>1097</v>
      </c>
      <c r="L347">
        <v>1191</v>
      </c>
      <c r="N347">
        <v>1013</v>
      </c>
      <c r="O347" t="s">
        <v>1098</v>
      </c>
      <c r="P347" t="s">
        <v>1098</v>
      </c>
      <c r="Q347">
        <v>1</v>
      </c>
      <c r="X347">
        <v>32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1</v>
      </c>
      <c r="AE347">
        <v>1</v>
      </c>
      <c r="AF347" t="s">
        <v>87</v>
      </c>
      <c r="AG347">
        <v>36.799999999999997</v>
      </c>
      <c r="AH347">
        <v>2</v>
      </c>
      <c r="AI347">
        <v>129763579</v>
      </c>
      <c r="AJ347">
        <v>343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 x14ac:dyDescent="0.2">
      <c r="A348">
        <f>ROW(Source!A317)</f>
        <v>317</v>
      </c>
      <c r="B348">
        <v>129763586</v>
      </c>
      <c r="C348">
        <v>129763578</v>
      </c>
      <c r="D348">
        <v>37345890</v>
      </c>
      <c r="E348">
        <v>37345137</v>
      </c>
      <c r="F348">
        <v>1</v>
      </c>
      <c r="G348">
        <v>37345137</v>
      </c>
      <c r="H348">
        <v>2</v>
      </c>
      <c r="I348" t="s">
        <v>1145</v>
      </c>
      <c r="J348" t="s">
        <v>3</v>
      </c>
      <c r="K348" t="s">
        <v>1146</v>
      </c>
      <c r="L348">
        <v>1344</v>
      </c>
      <c r="N348">
        <v>1008</v>
      </c>
      <c r="O348" t="s">
        <v>1138</v>
      </c>
      <c r="P348" t="s">
        <v>1138</v>
      </c>
      <c r="Q348">
        <v>1</v>
      </c>
      <c r="X348">
        <v>403.01</v>
      </c>
      <c r="Y348">
        <v>0</v>
      </c>
      <c r="Z348">
        <v>1</v>
      </c>
      <c r="AA348">
        <v>0</v>
      </c>
      <c r="AB348">
        <v>0</v>
      </c>
      <c r="AC348">
        <v>0</v>
      </c>
      <c r="AD348">
        <v>1</v>
      </c>
      <c r="AE348">
        <v>0</v>
      </c>
      <c r="AF348" t="s">
        <v>86</v>
      </c>
      <c r="AG348">
        <v>503.76249999999999</v>
      </c>
      <c r="AH348">
        <v>2</v>
      </c>
      <c r="AI348">
        <v>129763580</v>
      </c>
      <c r="AJ348">
        <v>344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 x14ac:dyDescent="0.2">
      <c r="A349">
        <f>ROW(Source!A317)</f>
        <v>317</v>
      </c>
      <c r="B349">
        <v>129763587</v>
      </c>
      <c r="C349">
        <v>129763578</v>
      </c>
      <c r="D349">
        <v>37393773</v>
      </c>
      <c r="E349">
        <v>1</v>
      </c>
      <c r="F349">
        <v>1</v>
      </c>
      <c r="G349">
        <v>37345137</v>
      </c>
      <c r="H349">
        <v>3</v>
      </c>
      <c r="I349" t="s">
        <v>1267</v>
      </c>
      <c r="J349" t="s">
        <v>1268</v>
      </c>
      <c r="K349" t="s">
        <v>1269</v>
      </c>
      <c r="L349">
        <v>1348</v>
      </c>
      <c r="N349">
        <v>1009</v>
      </c>
      <c r="O349" t="s">
        <v>114</v>
      </c>
      <c r="P349" t="s">
        <v>114</v>
      </c>
      <c r="Q349">
        <v>1000</v>
      </c>
      <c r="X349">
        <v>5.5E-2</v>
      </c>
      <c r="Y349">
        <v>7359.71</v>
      </c>
      <c r="Z349">
        <v>0</v>
      </c>
      <c r="AA349">
        <v>0</v>
      </c>
      <c r="AB349">
        <v>0</v>
      </c>
      <c r="AC349">
        <v>0</v>
      </c>
      <c r="AD349">
        <v>1</v>
      </c>
      <c r="AE349">
        <v>0</v>
      </c>
      <c r="AF349" t="s">
        <v>3</v>
      </c>
      <c r="AG349">
        <v>5.5E-2</v>
      </c>
      <c r="AH349">
        <v>2</v>
      </c>
      <c r="AI349">
        <v>129763581</v>
      </c>
      <c r="AJ349">
        <v>346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 x14ac:dyDescent="0.2">
      <c r="A350">
        <f>ROW(Source!A317)</f>
        <v>317</v>
      </c>
      <c r="B350">
        <v>129763588</v>
      </c>
      <c r="C350">
        <v>129763578</v>
      </c>
      <c r="D350">
        <v>37393493</v>
      </c>
      <c r="E350">
        <v>1</v>
      </c>
      <c r="F350">
        <v>1</v>
      </c>
      <c r="G350">
        <v>37345137</v>
      </c>
      <c r="H350">
        <v>3</v>
      </c>
      <c r="I350" t="s">
        <v>1270</v>
      </c>
      <c r="J350" t="s">
        <v>1271</v>
      </c>
      <c r="K350" t="s">
        <v>1272</v>
      </c>
      <c r="L350">
        <v>1348</v>
      </c>
      <c r="N350">
        <v>1009</v>
      </c>
      <c r="O350" t="s">
        <v>114</v>
      </c>
      <c r="P350" t="s">
        <v>114</v>
      </c>
      <c r="Q350">
        <v>1000</v>
      </c>
      <c r="X350">
        <v>2.4E-2</v>
      </c>
      <c r="Y350">
        <v>3389.74</v>
      </c>
      <c r="Z350">
        <v>0</v>
      </c>
      <c r="AA350">
        <v>0</v>
      </c>
      <c r="AB350">
        <v>0</v>
      </c>
      <c r="AC350">
        <v>0</v>
      </c>
      <c r="AD350">
        <v>1</v>
      </c>
      <c r="AE350">
        <v>0</v>
      </c>
      <c r="AF350" t="s">
        <v>3</v>
      </c>
      <c r="AG350">
        <v>2.4E-2</v>
      </c>
      <c r="AH350">
        <v>2</v>
      </c>
      <c r="AI350">
        <v>129763582</v>
      </c>
      <c r="AJ350">
        <v>347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 x14ac:dyDescent="0.2">
      <c r="A351">
        <f>ROW(Source!A317)</f>
        <v>317</v>
      </c>
      <c r="B351">
        <v>129763589</v>
      </c>
      <c r="C351">
        <v>129763578</v>
      </c>
      <c r="D351">
        <v>37393981</v>
      </c>
      <c r="E351">
        <v>1</v>
      </c>
      <c r="F351">
        <v>1</v>
      </c>
      <c r="G351">
        <v>37345137</v>
      </c>
      <c r="H351">
        <v>3</v>
      </c>
      <c r="I351" t="s">
        <v>1273</v>
      </c>
      <c r="J351" t="s">
        <v>1274</v>
      </c>
      <c r="K351" t="s">
        <v>1275</v>
      </c>
      <c r="L351">
        <v>1348</v>
      </c>
      <c r="N351">
        <v>1009</v>
      </c>
      <c r="O351" t="s">
        <v>114</v>
      </c>
      <c r="P351" t="s">
        <v>114</v>
      </c>
      <c r="Q351">
        <v>1000</v>
      </c>
      <c r="X351">
        <v>0.53</v>
      </c>
      <c r="Y351">
        <v>18910.8</v>
      </c>
      <c r="Z351">
        <v>0</v>
      </c>
      <c r="AA351">
        <v>0</v>
      </c>
      <c r="AB351">
        <v>0</v>
      </c>
      <c r="AC351">
        <v>0</v>
      </c>
      <c r="AD351">
        <v>1</v>
      </c>
      <c r="AE351">
        <v>0</v>
      </c>
      <c r="AF351" t="s">
        <v>3</v>
      </c>
      <c r="AG351">
        <v>0.53</v>
      </c>
      <c r="AH351">
        <v>2</v>
      </c>
      <c r="AI351">
        <v>129763583</v>
      </c>
      <c r="AJ351">
        <v>348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 x14ac:dyDescent="0.2">
      <c r="A352">
        <f>ROW(Source!A317)</f>
        <v>317</v>
      </c>
      <c r="B352">
        <v>129763590</v>
      </c>
      <c r="C352">
        <v>129763578</v>
      </c>
      <c r="D352">
        <v>37360135</v>
      </c>
      <c r="E352">
        <v>37345137</v>
      </c>
      <c r="F352">
        <v>1</v>
      </c>
      <c r="G352">
        <v>37345137</v>
      </c>
      <c r="H352">
        <v>3</v>
      </c>
      <c r="I352" t="s">
        <v>1472</v>
      </c>
      <c r="J352" t="s">
        <v>3</v>
      </c>
      <c r="K352" t="s">
        <v>1473</v>
      </c>
      <c r="L352">
        <v>1327</v>
      </c>
      <c r="N352">
        <v>1005</v>
      </c>
      <c r="O352" t="s">
        <v>258</v>
      </c>
      <c r="P352" t="s">
        <v>258</v>
      </c>
      <c r="Q352">
        <v>1</v>
      </c>
      <c r="X352">
        <v>112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 t="s">
        <v>3</v>
      </c>
      <c r="AG352">
        <v>112</v>
      </c>
      <c r="AH352">
        <v>3</v>
      </c>
      <c r="AI352">
        <v>-1</v>
      </c>
      <c r="AJ352" t="s">
        <v>3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 x14ac:dyDescent="0.2">
      <c r="A353">
        <f>ROW(Source!A318)</f>
        <v>318</v>
      </c>
      <c r="B353">
        <v>129763585</v>
      </c>
      <c r="C353">
        <v>129763578</v>
      </c>
      <c r="D353">
        <v>37345142</v>
      </c>
      <c r="E353">
        <v>37345137</v>
      </c>
      <c r="F353">
        <v>1</v>
      </c>
      <c r="G353">
        <v>37345137</v>
      </c>
      <c r="H353">
        <v>1</v>
      </c>
      <c r="I353" t="s">
        <v>1096</v>
      </c>
      <c r="J353" t="s">
        <v>3</v>
      </c>
      <c r="K353" t="s">
        <v>1097</v>
      </c>
      <c r="L353">
        <v>1191</v>
      </c>
      <c r="N353">
        <v>1013</v>
      </c>
      <c r="O353" t="s">
        <v>1098</v>
      </c>
      <c r="P353" t="s">
        <v>1098</v>
      </c>
      <c r="Q353">
        <v>1</v>
      </c>
      <c r="X353">
        <v>32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1</v>
      </c>
      <c r="AE353">
        <v>1</v>
      </c>
      <c r="AF353" t="s">
        <v>87</v>
      </c>
      <c r="AG353">
        <v>36.799999999999997</v>
      </c>
      <c r="AH353">
        <v>2</v>
      </c>
      <c r="AI353">
        <v>129763579</v>
      </c>
      <c r="AJ353">
        <v>349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 x14ac:dyDescent="0.2">
      <c r="A354">
        <f>ROW(Source!A318)</f>
        <v>318</v>
      </c>
      <c r="B354">
        <v>129763586</v>
      </c>
      <c r="C354">
        <v>129763578</v>
      </c>
      <c r="D354">
        <v>37345890</v>
      </c>
      <c r="E354">
        <v>37345137</v>
      </c>
      <c r="F354">
        <v>1</v>
      </c>
      <c r="G354">
        <v>37345137</v>
      </c>
      <c r="H354">
        <v>2</v>
      </c>
      <c r="I354" t="s">
        <v>1145</v>
      </c>
      <c r="J354" t="s">
        <v>3</v>
      </c>
      <c r="K354" t="s">
        <v>1146</v>
      </c>
      <c r="L354">
        <v>1344</v>
      </c>
      <c r="N354">
        <v>1008</v>
      </c>
      <c r="O354" t="s">
        <v>1138</v>
      </c>
      <c r="P354" t="s">
        <v>1138</v>
      </c>
      <c r="Q354">
        <v>1</v>
      </c>
      <c r="X354">
        <v>403.01</v>
      </c>
      <c r="Y354">
        <v>0</v>
      </c>
      <c r="Z354">
        <v>1</v>
      </c>
      <c r="AA354">
        <v>0</v>
      </c>
      <c r="AB354">
        <v>0</v>
      </c>
      <c r="AC354">
        <v>0</v>
      </c>
      <c r="AD354">
        <v>1</v>
      </c>
      <c r="AE354">
        <v>0</v>
      </c>
      <c r="AF354" t="s">
        <v>86</v>
      </c>
      <c r="AG354">
        <v>503.76249999999999</v>
      </c>
      <c r="AH354">
        <v>2</v>
      </c>
      <c r="AI354">
        <v>129763580</v>
      </c>
      <c r="AJ354">
        <v>350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 x14ac:dyDescent="0.2">
      <c r="A355">
        <f>ROW(Source!A318)</f>
        <v>318</v>
      </c>
      <c r="B355">
        <v>129763587</v>
      </c>
      <c r="C355">
        <v>129763578</v>
      </c>
      <c r="D355">
        <v>37393773</v>
      </c>
      <c r="E355">
        <v>1</v>
      </c>
      <c r="F355">
        <v>1</v>
      </c>
      <c r="G355">
        <v>37345137</v>
      </c>
      <c r="H355">
        <v>3</v>
      </c>
      <c r="I355" t="s">
        <v>1267</v>
      </c>
      <c r="J355" t="s">
        <v>1268</v>
      </c>
      <c r="K355" t="s">
        <v>1269</v>
      </c>
      <c r="L355">
        <v>1348</v>
      </c>
      <c r="N355">
        <v>1009</v>
      </c>
      <c r="O355" t="s">
        <v>114</v>
      </c>
      <c r="P355" t="s">
        <v>114</v>
      </c>
      <c r="Q355">
        <v>1000</v>
      </c>
      <c r="X355">
        <v>5.5E-2</v>
      </c>
      <c r="Y355">
        <v>7359.71</v>
      </c>
      <c r="Z355">
        <v>0</v>
      </c>
      <c r="AA355">
        <v>0</v>
      </c>
      <c r="AB355">
        <v>0</v>
      </c>
      <c r="AC355">
        <v>0</v>
      </c>
      <c r="AD355">
        <v>1</v>
      </c>
      <c r="AE355">
        <v>0</v>
      </c>
      <c r="AF355" t="s">
        <v>3</v>
      </c>
      <c r="AG355">
        <v>5.5E-2</v>
      </c>
      <c r="AH355">
        <v>2</v>
      </c>
      <c r="AI355">
        <v>129763581</v>
      </c>
      <c r="AJ355">
        <v>352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 x14ac:dyDescent="0.2">
      <c r="A356">
        <f>ROW(Source!A318)</f>
        <v>318</v>
      </c>
      <c r="B356">
        <v>129763588</v>
      </c>
      <c r="C356">
        <v>129763578</v>
      </c>
      <c r="D356">
        <v>37393493</v>
      </c>
      <c r="E356">
        <v>1</v>
      </c>
      <c r="F356">
        <v>1</v>
      </c>
      <c r="G356">
        <v>37345137</v>
      </c>
      <c r="H356">
        <v>3</v>
      </c>
      <c r="I356" t="s">
        <v>1270</v>
      </c>
      <c r="J356" t="s">
        <v>1271</v>
      </c>
      <c r="K356" t="s">
        <v>1272</v>
      </c>
      <c r="L356">
        <v>1348</v>
      </c>
      <c r="N356">
        <v>1009</v>
      </c>
      <c r="O356" t="s">
        <v>114</v>
      </c>
      <c r="P356" t="s">
        <v>114</v>
      </c>
      <c r="Q356">
        <v>1000</v>
      </c>
      <c r="X356">
        <v>2.4E-2</v>
      </c>
      <c r="Y356">
        <v>3389.74</v>
      </c>
      <c r="Z356">
        <v>0</v>
      </c>
      <c r="AA356">
        <v>0</v>
      </c>
      <c r="AB356">
        <v>0</v>
      </c>
      <c r="AC356">
        <v>0</v>
      </c>
      <c r="AD356">
        <v>1</v>
      </c>
      <c r="AE356">
        <v>0</v>
      </c>
      <c r="AF356" t="s">
        <v>3</v>
      </c>
      <c r="AG356">
        <v>2.4E-2</v>
      </c>
      <c r="AH356">
        <v>2</v>
      </c>
      <c r="AI356">
        <v>129763582</v>
      </c>
      <c r="AJ356">
        <v>353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 x14ac:dyDescent="0.2">
      <c r="A357">
        <f>ROW(Source!A318)</f>
        <v>318</v>
      </c>
      <c r="B357">
        <v>129763589</v>
      </c>
      <c r="C357">
        <v>129763578</v>
      </c>
      <c r="D357">
        <v>37393981</v>
      </c>
      <c r="E357">
        <v>1</v>
      </c>
      <c r="F357">
        <v>1</v>
      </c>
      <c r="G357">
        <v>37345137</v>
      </c>
      <c r="H357">
        <v>3</v>
      </c>
      <c r="I357" t="s">
        <v>1273</v>
      </c>
      <c r="J357" t="s">
        <v>1274</v>
      </c>
      <c r="K357" t="s">
        <v>1275</v>
      </c>
      <c r="L357">
        <v>1348</v>
      </c>
      <c r="N357">
        <v>1009</v>
      </c>
      <c r="O357" t="s">
        <v>114</v>
      </c>
      <c r="P357" t="s">
        <v>114</v>
      </c>
      <c r="Q357">
        <v>1000</v>
      </c>
      <c r="X357">
        <v>0.53</v>
      </c>
      <c r="Y357">
        <v>18910.8</v>
      </c>
      <c r="Z357">
        <v>0</v>
      </c>
      <c r="AA357">
        <v>0</v>
      </c>
      <c r="AB357">
        <v>0</v>
      </c>
      <c r="AC357">
        <v>0</v>
      </c>
      <c r="AD357">
        <v>1</v>
      </c>
      <c r="AE357">
        <v>0</v>
      </c>
      <c r="AF357" t="s">
        <v>3</v>
      </c>
      <c r="AG357">
        <v>0.53</v>
      </c>
      <c r="AH357">
        <v>2</v>
      </c>
      <c r="AI357">
        <v>129763583</v>
      </c>
      <c r="AJ357">
        <v>354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 x14ac:dyDescent="0.2">
      <c r="A358">
        <f>ROW(Source!A318)</f>
        <v>318</v>
      </c>
      <c r="B358">
        <v>129763590</v>
      </c>
      <c r="C358">
        <v>129763578</v>
      </c>
      <c r="D358">
        <v>37360135</v>
      </c>
      <c r="E358">
        <v>37345137</v>
      </c>
      <c r="F358">
        <v>1</v>
      </c>
      <c r="G358">
        <v>37345137</v>
      </c>
      <c r="H358">
        <v>3</v>
      </c>
      <c r="I358" t="s">
        <v>1472</v>
      </c>
      <c r="J358" t="s">
        <v>3</v>
      </c>
      <c r="K358" t="s">
        <v>1473</v>
      </c>
      <c r="L358">
        <v>1327</v>
      </c>
      <c r="N358">
        <v>1005</v>
      </c>
      <c r="O358" t="s">
        <v>258</v>
      </c>
      <c r="P358" t="s">
        <v>258</v>
      </c>
      <c r="Q358">
        <v>1</v>
      </c>
      <c r="X358">
        <v>112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 t="s">
        <v>3</v>
      </c>
      <c r="AG358">
        <v>112</v>
      </c>
      <c r="AH358">
        <v>3</v>
      </c>
      <c r="AI358">
        <v>-1</v>
      </c>
      <c r="AJ358" t="s">
        <v>3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 x14ac:dyDescent="0.2">
      <c r="A359">
        <f>ROW(Source!A321)</f>
        <v>321</v>
      </c>
      <c r="B359">
        <v>129763602</v>
      </c>
      <c r="C359">
        <v>129763592</v>
      </c>
      <c r="D359">
        <v>37345142</v>
      </c>
      <c r="E359">
        <v>37345137</v>
      </c>
      <c r="F359">
        <v>1</v>
      </c>
      <c r="G359">
        <v>37345137</v>
      </c>
      <c r="H359">
        <v>1</v>
      </c>
      <c r="I359" t="s">
        <v>1096</v>
      </c>
      <c r="J359" t="s">
        <v>3</v>
      </c>
      <c r="K359" t="s">
        <v>1097</v>
      </c>
      <c r="L359">
        <v>1191</v>
      </c>
      <c r="N359">
        <v>1013</v>
      </c>
      <c r="O359" t="s">
        <v>1098</v>
      </c>
      <c r="P359" t="s">
        <v>1098</v>
      </c>
      <c r="Q359">
        <v>1</v>
      </c>
      <c r="X359">
        <v>33.020000000000003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1</v>
      </c>
      <c r="AE359">
        <v>1</v>
      </c>
      <c r="AF359" t="s">
        <v>87</v>
      </c>
      <c r="AG359">
        <v>37.972999999999999</v>
      </c>
      <c r="AH359">
        <v>2</v>
      </c>
      <c r="AI359">
        <v>129763593</v>
      </c>
      <c r="AJ359">
        <v>355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 x14ac:dyDescent="0.2">
      <c r="A360">
        <f>ROW(Source!A321)</f>
        <v>321</v>
      </c>
      <c r="B360">
        <v>129763603</v>
      </c>
      <c r="C360">
        <v>129763592</v>
      </c>
      <c r="D360">
        <v>37418193</v>
      </c>
      <c r="E360">
        <v>1</v>
      </c>
      <c r="F360">
        <v>1</v>
      </c>
      <c r="G360">
        <v>37345137</v>
      </c>
      <c r="H360">
        <v>2</v>
      </c>
      <c r="I360" t="s">
        <v>1276</v>
      </c>
      <c r="J360" t="s">
        <v>1277</v>
      </c>
      <c r="K360" t="s">
        <v>1278</v>
      </c>
      <c r="L360">
        <v>1367</v>
      </c>
      <c r="N360">
        <v>1011</v>
      </c>
      <c r="O360" t="s">
        <v>1102</v>
      </c>
      <c r="P360" t="s">
        <v>1102</v>
      </c>
      <c r="Q360">
        <v>1</v>
      </c>
      <c r="X360">
        <v>2.4</v>
      </c>
      <c r="Y360">
        <v>0</v>
      </c>
      <c r="Z360">
        <v>8.65</v>
      </c>
      <c r="AA360">
        <v>0.81</v>
      </c>
      <c r="AB360">
        <v>0</v>
      </c>
      <c r="AC360">
        <v>0</v>
      </c>
      <c r="AD360">
        <v>1</v>
      </c>
      <c r="AE360">
        <v>0</v>
      </c>
      <c r="AF360" t="s">
        <v>86</v>
      </c>
      <c r="AG360">
        <v>3</v>
      </c>
      <c r="AH360">
        <v>2</v>
      </c>
      <c r="AI360">
        <v>129763594</v>
      </c>
      <c r="AJ360">
        <v>356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 x14ac:dyDescent="0.2">
      <c r="A361">
        <f>ROW(Source!A321)</f>
        <v>321</v>
      </c>
      <c r="B361">
        <v>129763604</v>
      </c>
      <c r="C361">
        <v>129763592</v>
      </c>
      <c r="D361">
        <v>37418445</v>
      </c>
      <c r="E361">
        <v>1</v>
      </c>
      <c r="F361">
        <v>1</v>
      </c>
      <c r="G361">
        <v>37345137</v>
      </c>
      <c r="H361">
        <v>2</v>
      </c>
      <c r="I361" t="s">
        <v>1189</v>
      </c>
      <c r="J361" t="s">
        <v>1190</v>
      </c>
      <c r="K361" t="s">
        <v>1191</v>
      </c>
      <c r="L361">
        <v>1367</v>
      </c>
      <c r="N361">
        <v>1011</v>
      </c>
      <c r="O361" t="s">
        <v>1102</v>
      </c>
      <c r="P361" t="s">
        <v>1102</v>
      </c>
      <c r="Q361">
        <v>1</v>
      </c>
      <c r="X361">
        <v>0.47</v>
      </c>
      <c r="Y361">
        <v>0</v>
      </c>
      <c r="Z361">
        <v>76.81</v>
      </c>
      <c r="AA361">
        <v>14.36</v>
      </c>
      <c r="AB361">
        <v>0</v>
      </c>
      <c r="AC361">
        <v>0</v>
      </c>
      <c r="AD361">
        <v>1</v>
      </c>
      <c r="AE361">
        <v>0</v>
      </c>
      <c r="AF361" t="s">
        <v>86</v>
      </c>
      <c r="AG361">
        <v>0.58749999999999991</v>
      </c>
      <c r="AH361">
        <v>2</v>
      </c>
      <c r="AI361">
        <v>129763595</v>
      </c>
      <c r="AJ361">
        <v>357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 x14ac:dyDescent="0.2">
      <c r="A362">
        <f>ROW(Source!A321)</f>
        <v>321</v>
      </c>
      <c r="B362">
        <v>129763605</v>
      </c>
      <c r="C362">
        <v>129763592</v>
      </c>
      <c r="D362">
        <v>37418568</v>
      </c>
      <c r="E362">
        <v>1</v>
      </c>
      <c r="F362">
        <v>1</v>
      </c>
      <c r="G362">
        <v>37345137</v>
      </c>
      <c r="H362">
        <v>2</v>
      </c>
      <c r="I362" t="s">
        <v>1279</v>
      </c>
      <c r="J362" t="s">
        <v>1280</v>
      </c>
      <c r="K362" t="s">
        <v>1281</v>
      </c>
      <c r="L362">
        <v>1367</v>
      </c>
      <c r="N362">
        <v>1011</v>
      </c>
      <c r="O362" t="s">
        <v>1102</v>
      </c>
      <c r="P362" t="s">
        <v>1102</v>
      </c>
      <c r="Q362">
        <v>1</v>
      </c>
      <c r="X362">
        <v>3.32</v>
      </c>
      <c r="Y362">
        <v>0</v>
      </c>
      <c r="Z362">
        <v>2.36</v>
      </c>
      <c r="AA362">
        <v>0.04</v>
      </c>
      <c r="AB362">
        <v>0</v>
      </c>
      <c r="AC362">
        <v>0</v>
      </c>
      <c r="AD362">
        <v>1</v>
      </c>
      <c r="AE362">
        <v>0</v>
      </c>
      <c r="AF362" t="s">
        <v>86</v>
      </c>
      <c r="AG362">
        <v>4.1499999999999995</v>
      </c>
      <c r="AH362">
        <v>2</v>
      </c>
      <c r="AI362">
        <v>129763596</v>
      </c>
      <c r="AJ362">
        <v>358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 x14ac:dyDescent="0.2">
      <c r="A363">
        <f>ROW(Source!A321)</f>
        <v>321</v>
      </c>
      <c r="B363">
        <v>129763606</v>
      </c>
      <c r="C363">
        <v>129763592</v>
      </c>
      <c r="D363">
        <v>37417779</v>
      </c>
      <c r="E363">
        <v>1</v>
      </c>
      <c r="F363">
        <v>1</v>
      </c>
      <c r="G363">
        <v>37345137</v>
      </c>
      <c r="H363">
        <v>2</v>
      </c>
      <c r="I363" t="s">
        <v>1282</v>
      </c>
      <c r="J363" t="s">
        <v>1283</v>
      </c>
      <c r="K363" t="s">
        <v>1284</v>
      </c>
      <c r="L363">
        <v>1367</v>
      </c>
      <c r="N363">
        <v>1011</v>
      </c>
      <c r="O363" t="s">
        <v>1102</v>
      </c>
      <c r="P363" t="s">
        <v>1102</v>
      </c>
      <c r="Q363">
        <v>1</v>
      </c>
      <c r="X363">
        <v>0.02</v>
      </c>
      <c r="Y363">
        <v>0</v>
      </c>
      <c r="Z363">
        <v>58.48</v>
      </c>
      <c r="AA363">
        <v>18.350000000000001</v>
      </c>
      <c r="AB363">
        <v>0</v>
      </c>
      <c r="AC363">
        <v>0</v>
      </c>
      <c r="AD363">
        <v>1</v>
      </c>
      <c r="AE363">
        <v>0</v>
      </c>
      <c r="AF363" t="s">
        <v>86</v>
      </c>
      <c r="AG363">
        <v>2.5000000000000001E-2</v>
      </c>
      <c r="AH363">
        <v>2</v>
      </c>
      <c r="AI363">
        <v>129763597</v>
      </c>
      <c r="AJ363">
        <v>359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 x14ac:dyDescent="0.2">
      <c r="A364">
        <f>ROW(Source!A321)</f>
        <v>321</v>
      </c>
      <c r="B364">
        <v>129763607</v>
      </c>
      <c r="C364">
        <v>129763592</v>
      </c>
      <c r="D364">
        <v>37393552</v>
      </c>
      <c r="E364">
        <v>1</v>
      </c>
      <c r="F364">
        <v>1</v>
      </c>
      <c r="G364">
        <v>37345137</v>
      </c>
      <c r="H364">
        <v>3</v>
      </c>
      <c r="I364" t="s">
        <v>348</v>
      </c>
      <c r="J364" t="s">
        <v>350</v>
      </c>
      <c r="K364" t="s">
        <v>349</v>
      </c>
      <c r="L364">
        <v>1339</v>
      </c>
      <c r="N364">
        <v>1007</v>
      </c>
      <c r="O364" t="s">
        <v>94</v>
      </c>
      <c r="P364" t="s">
        <v>94</v>
      </c>
      <c r="Q364">
        <v>1</v>
      </c>
      <c r="X364">
        <v>0.30199999999999999</v>
      </c>
      <c r="Y364">
        <v>7.07</v>
      </c>
      <c r="Z364">
        <v>0</v>
      </c>
      <c r="AA364">
        <v>0</v>
      </c>
      <c r="AB364">
        <v>0</v>
      </c>
      <c r="AC364">
        <v>0</v>
      </c>
      <c r="AD364">
        <v>1</v>
      </c>
      <c r="AE364">
        <v>0</v>
      </c>
      <c r="AF364" t="s">
        <v>3</v>
      </c>
      <c r="AG364">
        <v>0.30199999999999999</v>
      </c>
      <c r="AH364">
        <v>2</v>
      </c>
      <c r="AI364">
        <v>129763598</v>
      </c>
      <c r="AJ364">
        <v>360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 x14ac:dyDescent="0.2">
      <c r="A365">
        <f>ROW(Source!A321)</f>
        <v>321</v>
      </c>
      <c r="B365">
        <v>129763608</v>
      </c>
      <c r="C365">
        <v>129763592</v>
      </c>
      <c r="D365">
        <v>37395676</v>
      </c>
      <c r="E365">
        <v>1</v>
      </c>
      <c r="F365">
        <v>1</v>
      </c>
      <c r="G365">
        <v>37345137</v>
      </c>
      <c r="H365">
        <v>3</v>
      </c>
      <c r="I365" t="s">
        <v>1285</v>
      </c>
      <c r="J365" t="s">
        <v>1286</v>
      </c>
      <c r="K365" t="s">
        <v>1287</v>
      </c>
      <c r="L365">
        <v>1327</v>
      </c>
      <c r="N365">
        <v>1005</v>
      </c>
      <c r="O365" t="s">
        <v>258</v>
      </c>
      <c r="P365" t="s">
        <v>258</v>
      </c>
      <c r="Q365">
        <v>1</v>
      </c>
      <c r="X365">
        <v>10</v>
      </c>
      <c r="Y365">
        <v>2.31</v>
      </c>
      <c r="Z365">
        <v>0</v>
      </c>
      <c r="AA365">
        <v>0</v>
      </c>
      <c r="AB365">
        <v>0</v>
      </c>
      <c r="AC365">
        <v>0</v>
      </c>
      <c r="AD365">
        <v>1</v>
      </c>
      <c r="AE365">
        <v>0</v>
      </c>
      <c r="AF365" t="s">
        <v>3</v>
      </c>
      <c r="AG365">
        <v>10</v>
      </c>
      <c r="AH365">
        <v>2</v>
      </c>
      <c r="AI365">
        <v>129763599</v>
      </c>
      <c r="AJ365">
        <v>361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 x14ac:dyDescent="0.2">
      <c r="A366">
        <f>ROW(Source!A321)</f>
        <v>321</v>
      </c>
      <c r="B366">
        <v>129763609</v>
      </c>
      <c r="C366">
        <v>129763592</v>
      </c>
      <c r="D366">
        <v>37360194</v>
      </c>
      <c r="E366">
        <v>37345137</v>
      </c>
      <c r="F366">
        <v>1</v>
      </c>
      <c r="G366">
        <v>37345137</v>
      </c>
      <c r="H366">
        <v>3</v>
      </c>
      <c r="I366" t="s">
        <v>1474</v>
      </c>
      <c r="J366" t="s">
        <v>3</v>
      </c>
      <c r="K366" t="s">
        <v>1475</v>
      </c>
      <c r="L366">
        <v>1346</v>
      </c>
      <c r="N366">
        <v>1009</v>
      </c>
      <c r="O366" t="s">
        <v>369</v>
      </c>
      <c r="P366" t="s">
        <v>369</v>
      </c>
      <c r="Q366">
        <v>1</v>
      </c>
      <c r="X366">
        <v>20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 t="s">
        <v>3</v>
      </c>
      <c r="AG366">
        <v>20</v>
      </c>
      <c r="AH366">
        <v>3</v>
      </c>
      <c r="AI366">
        <v>-1</v>
      </c>
      <c r="AJ366" t="s">
        <v>3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 x14ac:dyDescent="0.2">
      <c r="A367">
        <f>ROW(Source!A321)</f>
        <v>321</v>
      </c>
      <c r="B367">
        <v>129763610</v>
      </c>
      <c r="C367">
        <v>129763592</v>
      </c>
      <c r="D367">
        <v>41571956</v>
      </c>
      <c r="E367">
        <v>37345137</v>
      </c>
      <c r="F367">
        <v>1</v>
      </c>
      <c r="G367">
        <v>37345137</v>
      </c>
      <c r="H367">
        <v>3</v>
      </c>
      <c r="I367" t="s">
        <v>1476</v>
      </c>
      <c r="J367" t="s">
        <v>3</v>
      </c>
      <c r="K367" t="s">
        <v>1477</v>
      </c>
      <c r="L367">
        <v>1348</v>
      </c>
      <c r="N367">
        <v>1009</v>
      </c>
      <c r="O367" t="s">
        <v>114</v>
      </c>
      <c r="P367" t="s">
        <v>114</v>
      </c>
      <c r="Q367">
        <v>1000</v>
      </c>
      <c r="X367">
        <v>0.84199999999999997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 t="s">
        <v>3</v>
      </c>
      <c r="AG367">
        <v>0.84199999999999997</v>
      </c>
      <c r="AH367">
        <v>3</v>
      </c>
      <c r="AI367">
        <v>-1</v>
      </c>
      <c r="AJ367" t="s">
        <v>3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 x14ac:dyDescent="0.2">
      <c r="A368">
        <f>ROW(Source!A322)</f>
        <v>322</v>
      </c>
      <c r="B368">
        <v>129763602</v>
      </c>
      <c r="C368">
        <v>129763592</v>
      </c>
      <c r="D368">
        <v>37345142</v>
      </c>
      <c r="E368">
        <v>37345137</v>
      </c>
      <c r="F368">
        <v>1</v>
      </c>
      <c r="G368">
        <v>37345137</v>
      </c>
      <c r="H368">
        <v>1</v>
      </c>
      <c r="I368" t="s">
        <v>1096</v>
      </c>
      <c r="J368" t="s">
        <v>3</v>
      </c>
      <c r="K368" t="s">
        <v>1097</v>
      </c>
      <c r="L368">
        <v>1191</v>
      </c>
      <c r="N368">
        <v>1013</v>
      </c>
      <c r="O368" t="s">
        <v>1098</v>
      </c>
      <c r="P368" t="s">
        <v>1098</v>
      </c>
      <c r="Q368">
        <v>1</v>
      </c>
      <c r="X368">
        <v>33.020000000000003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1</v>
      </c>
      <c r="AE368">
        <v>1</v>
      </c>
      <c r="AF368" t="s">
        <v>87</v>
      </c>
      <c r="AG368">
        <v>37.972999999999999</v>
      </c>
      <c r="AH368">
        <v>2</v>
      </c>
      <c r="AI368">
        <v>129763593</v>
      </c>
      <c r="AJ368">
        <v>364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 x14ac:dyDescent="0.2">
      <c r="A369">
        <f>ROW(Source!A322)</f>
        <v>322</v>
      </c>
      <c r="B369">
        <v>129763603</v>
      </c>
      <c r="C369">
        <v>129763592</v>
      </c>
      <c r="D369">
        <v>37418193</v>
      </c>
      <c r="E369">
        <v>1</v>
      </c>
      <c r="F369">
        <v>1</v>
      </c>
      <c r="G369">
        <v>37345137</v>
      </c>
      <c r="H369">
        <v>2</v>
      </c>
      <c r="I369" t="s">
        <v>1276</v>
      </c>
      <c r="J369" t="s">
        <v>1277</v>
      </c>
      <c r="K369" t="s">
        <v>1278</v>
      </c>
      <c r="L369">
        <v>1367</v>
      </c>
      <c r="N369">
        <v>1011</v>
      </c>
      <c r="O369" t="s">
        <v>1102</v>
      </c>
      <c r="P369" t="s">
        <v>1102</v>
      </c>
      <c r="Q369">
        <v>1</v>
      </c>
      <c r="X369">
        <v>2.4</v>
      </c>
      <c r="Y369">
        <v>0</v>
      </c>
      <c r="Z369">
        <v>8.65</v>
      </c>
      <c r="AA369">
        <v>0.81</v>
      </c>
      <c r="AB369">
        <v>0</v>
      </c>
      <c r="AC369">
        <v>0</v>
      </c>
      <c r="AD369">
        <v>1</v>
      </c>
      <c r="AE369">
        <v>0</v>
      </c>
      <c r="AF369" t="s">
        <v>86</v>
      </c>
      <c r="AG369">
        <v>3</v>
      </c>
      <c r="AH369">
        <v>2</v>
      </c>
      <c r="AI369">
        <v>129763594</v>
      </c>
      <c r="AJ369">
        <v>365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 x14ac:dyDescent="0.2">
      <c r="A370">
        <f>ROW(Source!A322)</f>
        <v>322</v>
      </c>
      <c r="B370">
        <v>129763604</v>
      </c>
      <c r="C370">
        <v>129763592</v>
      </c>
      <c r="D370">
        <v>37418445</v>
      </c>
      <c r="E370">
        <v>1</v>
      </c>
      <c r="F370">
        <v>1</v>
      </c>
      <c r="G370">
        <v>37345137</v>
      </c>
      <c r="H370">
        <v>2</v>
      </c>
      <c r="I370" t="s">
        <v>1189</v>
      </c>
      <c r="J370" t="s">
        <v>1190</v>
      </c>
      <c r="K370" t="s">
        <v>1191</v>
      </c>
      <c r="L370">
        <v>1367</v>
      </c>
      <c r="N370">
        <v>1011</v>
      </c>
      <c r="O370" t="s">
        <v>1102</v>
      </c>
      <c r="P370" t="s">
        <v>1102</v>
      </c>
      <c r="Q370">
        <v>1</v>
      </c>
      <c r="X370">
        <v>0.47</v>
      </c>
      <c r="Y370">
        <v>0</v>
      </c>
      <c r="Z370">
        <v>76.81</v>
      </c>
      <c r="AA370">
        <v>14.36</v>
      </c>
      <c r="AB370">
        <v>0</v>
      </c>
      <c r="AC370">
        <v>0</v>
      </c>
      <c r="AD370">
        <v>1</v>
      </c>
      <c r="AE370">
        <v>0</v>
      </c>
      <c r="AF370" t="s">
        <v>86</v>
      </c>
      <c r="AG370">
        <v>0.58749999999999991</v>
      </c>
      <c r="AH370">
        <v>2</v>
      </c>
      <c r="AI370">
        <v>129763595</v>
      </c>
      <c r="AJ370">
        <v>366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 x14ac:dyDescent="0.2">
      <c r="A371">
        <f>ROW(Source!A322)</f>
        <v>322</v>
      </c>
      <c r="B371">
        <v>129763605</v>
      </c>
      <c r="C371">
        <v>129763592</v>
      </c>
      <c r="D371">
        <v>37418568</v>
      </c>
      <c r="E371">
        <v>1</v>
      </c>
      <c r="F371">
        <v>1</v>
      </c>
      <c r="G371">
        <v>37345137</v>
      </c>
      <c r="H371">
        <v>2</v>
      </c>
      <c r="I371" t="s">
        <v>1279</v>
      </c>
      <c r="J371" t="s">
        <v>1280</v>
      </c>
      <c r="K371" t="s">
        <v>1281</v>
      </c>
      <c r="L371">
        <v>1367</v>
      </c>
      <c r="N371">
        <v>1011</v>
      </c>
      <c r="O371" t="s">
        <v>1102</v>
      </c>
      <c r="P371" t="s">
        <v>1102</v>
      </c>
      <c r="Q371">
        <v>1</v>
      </c>
      <c r="X371">
        <v>3.32</v>
      </c>
      <c r="Y371">
        <v>0</v>
      </c>
      <c r="Z371">
        <v>2.36</v>
      </c>
      <c r="AA371">
        <v>0.04</v>
      </c>
      <c r="AB371">
        <v>0</v>
      </c>
      <c r="AC371">
        <v>0</v>
      </c>
      <c r="AD371">
        <v>1</v>
      </c>
      <c r="AE371">
        <v>0</v>
      </c>
      <c r="AF371" t="s">
        <v>86</v>
      </c>
      <c r="AG371">
        <v>4.1499999999999995</v>
      </c>
      <c r="AH371">
        <v>2</v>
      </c>
      <c r="AI371">
        <v>129763596</v>
      </c>
      <c r="AJ371">
        <v>367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 x14ac:dyDescent="0.2">
      <c r="A372">
        <f>ROW(Source!A322)</f>
        <v>322</v>
      </c>
      <c r="B372">
        <v>129763606</v>
      </c>
      <c r="C372">
        <v>129763592</v>
      </c>
      <c r="D372">
        <v>37417779</v>
      </c>
      <c r="E372">
        <v>1</v>
      </c>
      <c r="F372">
        <v>1</v>
      </c>
      <c r="G372">
        <v>37345137</v>
      </c>
      <c r="H372">
        <v>2</v>
      </c>
      <c r="I372" t="s">
        <v>1282</v>
      </c>
      <c r="J372" t="s">
        <v>1283</v>
      </c>
      <c r="K372" t="s">
        <v>1284</v>
      </c>
      <c r="L372">
        <v>1367</v>
      </c>
      <c r="N372">
        <v>1011</v>
      </c>
      <c r="O372" t="s">
        <v>1102</v>
      </c>
      <c r="P372" t="s">
        <v>1102</v>
      </c>
      <c r="Q372">
        <v>1</v>
      </c>
      <c r="X372">
        <v>0.02</v>
      </c>
      <c r="Y372">
        <v>0</v>
      </c>
      <c r="Z372">
        <v>58.48</v>
      </c>
      <c r="AA372">
        <v>18.350000000000001</v>
      </c>
      <c r="AB372">
        <v>0</v>
      </c>
      <c r="AC372">
        <v>0</v>
      </c>
      <c r="AD372">
        <v>1</v>
      </c>
      <c r="AE372">
        <v>0</v>
      </c>
      <c r="AF372" t="s">
        <v>86</v>
      </c>
      <c r="AG372">
        <v>2.5000000000000001E-2</v>
      </c>
      <c r="AH372">
        <v>2</v>
      </c>
      <c r="AI372">
        <v>129763597</v>
      </c>
      <c r="AJ372">
        <v>368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 x14ac:dyDescent="0.2">
      <c r="A373">
        <f>ROW(Source!A322)</f>
        <v>322</v>
      </c>
      <c r="B373">
        <v>129763607</v>
      </c>
      <c r="C373">
        <v>129763592</v>
      </c>
      <c r="D373">
        <v>37393552</v>
      </c>
      <c r="E373">
        <v>1</v>
      </c>
      <c r="F373">
        <v>1</v>
      </c>
      <c r="G373">
        <v>37345137</v>
      </c>
      <c r="H373">
        <v>3</v>
      </c>
      <c r="I373" t="s">
        <v>348</v>
      </c>
      <c r="J373" t="s">
        <v>350</v>
      </c>
      <c r="K373" t="s">
        <v>349</v>
      </c>
      <c r="L373">
        <v>1339</v>
      </c>
      <c r="N373">
        <v>1007</v>
      </c>
      <c r="O373" t="s">
        <v>94</v>
      </c>
      <c r="P373" t="s">
        <v>94</v>
      </c>
      <c r="Q373">
        <v>1</v>
      </c>
      <c r="X373">
        <v>0.30199999999999999</v>
      </c>
      <c r="Y373">
        <v>7.07</v>
      </c>
      <c r="Z373">
        <v>0</v>
      </c>
      <c r="AA373">
        <v>0</v>
      </c>
      <c r="AB373">
        <v>0</v>
      </c>
      <c r="AC373">
        <v>0</v>
      </c>
      <c r="AD373">
        <v>1</v>
      </c>
      <c r="AE373">
        <v>0</v>
      </c>
      <c r="AF373" t="s">
        <v>3</v>
      </c>
      <c r="AG373">
        <v>0.30199999999999999</v>
      </c>
      <c r="AH373">
        <v>2</v>
      </c>
      <c r="AI373">
        <v>129763598</v>
      </c>
      <c r="AJ373">
        <v>369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 x14ac:dyDescent="0.2">
      <c r="A374">
        <f>ROW(Source!A322)</f>
        <v>322</v>
      </c>
      <c r="B374">
        <v>129763608</v>
      </c>
      <c r="C374">
        <v>129763592</v>
      </c>
      <c r="D374">
        <v>37395676</v>
      </c>
      <c r="E374">
        <v>1</v>
      </c>
      <c r="F374">
        <v>1</v>
      </c>
      <c r="G374">
        <v>37345137</v>
      </c>
      <c r="H374">
        <v>3</v>
      </c>
      <c r="I374" t="s">
        <v>1285</v>
      </c>
      <c r="J374" t="s">
        <v>1286</v>
      </c>
      <c r="K374" t="s">
        <v>1287</v>
      </c>
      <c r="L374">
        <v>1327</v>
      </c>
      <c r="N374">
        <v>1005</v>
      </c>
      <c r="O374" t="s">
        <v>258</v>
      </c>
      <c r="P374" t="s">
        <v>258</v>
      </c>
      <c r="Q374">
        <v>1</v>
      </c>
      <c r="X374">
        <v>10</v>
      </c>
      <c r="Y374">
        <v>2.31</v>
      </c>
      <c r="Z374">
        <v>0</v>
      </c>
      <c r="AA374">
        <v>0</v>
      </c>
      <c r="AB374">
        <v>0</v>
      </c>
      <c r="AC374">
        <v>0</v>
      </c>
      <c r="AD374">
        <v>1</v>
      </c>
      <c r="AE374">
        <v>0</v>
      </c>
      <c r="AF374" t="s">
        <v>3</v>
      </c>
      <c r="AG374">
        <v>10</v>
      </c>
      <c r="AH374">
        <v>2</v>
      </c>
      <c r="AI374">
        <v>129763599</v>
      </c>
      <c r="AJ374">
        <v>370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 x14ac:dyDescent="0.2">
      <c r="A375">
        <f>ROW(Source!A322)</f>
        <v>322</v>
      </c>
      <c r="B375">
        <v>129763609</v>
      </c>
      <c r="C375">
        <v>129763592</v>
      </c>
      <c r="D375">
        <v>37360194</v>
      </c>
      <c r="E375">
        <v>37345137</v>
      </c>
      <c r="F375">
        <v>1</v>
      </c>
      <c r="G375">
        <v>37345137</v>
      </c>
      <c r="H375">
        <v>3</v>
      </c>
      <c r="I375" t="s">
        <v>1474</v>
      </c>
      <c r="J375" t="s">
        <v>3</v>
      </c>
      <c r="K375" t="s">
        <v>1475</v>
      </c>
      <c r="L375">
        <v>1346</v>
      </c>
      <c r="N375">
        <v>1009</v>
      </c>
      <c r="O375" t="s">
        <v>369</v>
      </c>
      <c r="P375" t="s">
        <v>369</v>
      </c>
      <c r="Q375">
        <v>1</v>
      </c>
      <c r="X375">
        <v>20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 t="s">
        <v>3</v>
      </c>
      <c r="AG375">
        <v>20</v>
      </c>
      <c r="AH375">
        <v>3</v>
      </c>
      <c r="AI375">
        <v>-1</v>
      </c>
      <c r="AJ375" t="s">
        <v>3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 x14ac:dyDescent="0.2">
      <c r="A376">
        <f>ROW(Source!A322)</f>
        <v>322</v>
      </c>
      <c r="B376">
        <v>129763610</v>
      </c>
      <c r="C376">
        <v>129763592</v>
      </c>
      <c r="D376">
        <v>41571956</v>
      </c>
      <c r="E376">
        <v>37345137</v>
      </c>
      <c r="F376">
        <v>1</v>
      </c>
      <c r="G376">
        <v>37345137</v>
      </c>
      <c r="H376">
        <v>3</v>
      </c>
      <c r="I376" t="s">
        <v>1476</v>
      </c>
      <c r="J376" t="s">
        <v>3</v>
      </c>
      <c r="K376" t="s">
        <v>1477</v>
      </c>
      <c r="L376">
        <v>1348</v>
      </c>
      <c r="N376">
        <v>1009</v>
      </c>
      <c r="O376" t="s">
        <v>114</v>
      </c>
      <c r="P376" t="s">
        <v>114</v>
      </c>
      <c r="Q376">
        <v>1000</v>
      </c>
      <c r="X376">
        <v>0.84199999999999997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 t="s">
        <v>3</v>
      </c>
      <c r="AG376">
        <v>0.84199999999999997</v>
      </c>
      <c r="AH376">
        <v>3</v>
      </c>
      <c r="AI376">
        <v>-1</v>
      </c>
      <c r="AJ376" t="s">
        <v>3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 x14ac:dyDescent="0.2">
      <c r="A377">
        <f>ROW(Source!A327)</f>
        <v>327</v>
      </c>
      <c r="B377">
        <v>129763623</v>
      </c>
      <c r="C377">
        <v>129763613</v>
      </c>
      <c r="D377">
        <v>37345142</v>
      </c>
      <c r="E377">
        <v>37345137</v>
      </c>
      <c r="F377">
        <v>1</v>
      </c>
      <c r="G377">
        <v>37345137</v>
      </c>
      <c r="H377">
        <v>1</v>
      </c>
      <c r="I377" t="s">
        <v>1096</v>
      </c>
      <c r="J377" t="s">
        <v>3</v>
      </c>
      <c r="K377" t="s">
        <v>1097</v>
      </c>
      <c r="L377">
        <v>1191</v>
      </c>
      <c r="N377">
        <v>1013</v>
      </c>
      <c r="O377" t="s">
        <v>1098</v>
      </c>
      <c r="P377" t="s">
        <v>1098</v>
      </c>
      <c r="Q377">
        <v>1</v>
      </c>
      <c r="X377">
        <v>84.08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1</v>
      </c>
      <c r="AE377">
        <v>1</v>
      </c>
      <c r="AF377" t="s">
        <v>87</v>
      </c>
      <c r="AG377">
        <v>96.691999999999993</v>
      </c>
      <c r="AH377">
        <v>2</v>
      </c>
      <c r="AI377">
        <v>129763614</v>
      </c>
      <c r="AJ377">
        <v>373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 x14ac:dyDescent="0.2">
      <c r="A378">
        <f>ROW(Source!A327)</f>
        <v>327</v>
      </c>
      <c r="B378">
        <v>129763624</v>
      </c>
      <c r="C378">
        <v>129763613</v>
      </c>
      <c r="D378">
        <v>37418479</v>
      </c>
      <c r="E378">
        <v>1</v>
      </c>
      <c r="F378">
        <v>1</v>
      </c>
      <c r="G378">
        <v>37345137</v>
      </c>
      <c r="H378">
        <v>2</v>
      </c>
      <c r="I378" t="s">
        <v>1183</v>
      </c>
      <c r="J378" t="s">
        <v>1184</v>
      </c>
      <c r="K378" t="s">
        <v>1185</v>
      </c>
      <c r="L378">
        <v>1367</v>
      </c>
      <c r="N378">
        <v>1011</v>
      </c>
      <c r="O378" t="s">
        <v>1102</v>
      </c>
      <c r="P378" t="s">
        <v>1102</v>
      </c>
      <c r="Q378">
        <v>1</v>
      </c>
      <c r="X378">
        <v>27.09</v>
      </c>
      <c r="Y378">
        <v>0</v>
      </c>
      <c r="Z378">
        <v>2.36</v>
      </c>
      <c r="AA378">
        <v>0.1</v>
      </c>
      <c r="AB378">
        <v>0</v>
      </c>
      <c r="AC378">
        <v>0</v>
      </c>
      <c r="AD378">
        <v>1</v>
      </c>
      <c r="AE378">
        <v>0</v>
      </c>
      <c r="AF378" t="s">
        <v>86</v>
      </c>
      <c r="AG378">
        <v>33.862499999999997</v>
      </c>
      <c r="AH378">
        <v>2</v>
      </c>
      <c r="AI378">
        <v>129763615</v>
      </c>
      <c r="AJ378">
        <v>374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 x14ac:dyDescent="0.2">
      <c r="A379">
        <f>ROW(Source!A327)</f>
        <v>327</v>
      </c>
      <c r="B379">
        <v>129763625</v>
      </c>
      <c r="C379">
        <v>129763613</v>
      </c>
      <c r="D379">
        <v>37418541</v>
      </c>
      <c r="E379">
        <v>1</v>
      </c>
      <c r="F379">
        <v>1</v>
      </c>
      <c r="G379">
        <v>37345137</v>
      </c>
      <c r="H379">
        <v>2</v>
      </c>
      <c r="I379" t="s">
        <v>1261</v>
      </c>
      <c r="J379" t="s">
        <v>1262</v>
      </c>
      <c r="K379" t="s">
        <v>1263</v>
      </c>
      <c r="L379">
        <v>1367</v>
      </c>
      <c r="N379">
        <v>1011</v>
      </c>
      <c r="O379" t="s">
        <v>1102</v>
      </c>
      <c r="P379" t="s">
        <v>1102</v>
      </c>
      <c r="Q379">
        <v>1</v>
      </c>
      <c r="X379">
        <v>0.31</v>
      </c>
      <c r="Y379">
        <v>0</v>
      </c>
      <c r="Z379">
        <v>31.85</v>
      </c>
      <c r="AA379">
        <v>14.89</v>
      </c>
      <c r="AB379">
        <v>0</v>
      </c>
      <c r="AC379">
        <v>0</v>
      </c>
      <c r="AD379">
        <v>1</v>
      </c>
      <c r="AE379">
        <v>0</v>
      </c>
      <c r="AF379" t="s">
        <v>86</v>
      </c>
      <c r="AG379">
        <v>0.38750000000000001</v>
      </c>
      <c r="AH379">
        <v>2</v>
      </c>
      <c r="AI379">
        <v>129763616</v>
      </c>
      <c r="AJ379">
        <v>375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 x14ac:dyDescent="0.2">
      <c r="A380">
        <f>ROW(Source!A327)</f>
        <v>327</v>
      </c>
      <c r="B380">
        <v>129763626</v>
      </c>
      <c r="C380">
        <v>129763613</v>
      </c>
      <c r="D380">
        <v>37345890</v>
      </c>
      <c r="E380">
        <v>37345137</v>
      </c>
      <c r="F380">
        <v>1</v>
      </c>
      <c r="G380">
        <v>37345137</v>
      </c>
      <c r="H380">
        <v>2</v>
      </c>
      <c r="I380" t="s">
        <v>1145</v>
      </c>
      <c r="J380" t="s">
        <v>3</v>
      </c>
      <c r="K380" t="s">
        <v>1146</v>
      </c>
      <c r="L380">
        <v>1344</v>
      </c>
      <c r="N380">
        <v>1008</v>
      </c>
      <c r="O380" t="s">
        <v>1138</v>
      </c>
      <c r="P380" t="s">
        <v>1138</v>
      </c>
      <c r="Q380">
        <v>1</v>
      </c>
      <c r="X380">
        <v>25.96</v>
      </c>
      <c r="Y380">
        <v>0</v>
      </c>
      <c r="Z380">
        <v>1</v>
      </c>
      <c r="AA380">
        <v>0</v>
      </c>
      <c r="AB380">
        <v>0</v>
      </c>
      <c r="AC380">
        <v>0</v>
      </c>
      <c r="AD380">
        <v>1</v>
      </c>
      <c r="AE380">
        <v>0</v>
      </c>
      <c r="AF380" t="s">
        <v>86</v>
      </c>
      <c r="AG380">
        <v>32.450000000000003</v>
      </c>
      <c r="AH380">
        <v>2</v>
      </c>
      <c r="AI380">
        <v>129763617</v>
      </c>
      <c r="AJ380">
        <v>376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 x14ac:dyDescent="0.2">
      <c r="A381">
        <f>ROW(Source!A327)</f>
        <v>327</v>
      </c>
      <c r="B381">
        <v>129763627</v>
      </c>
      <c r="C381">
        <v>129763613</v>
      </c>
      <c r="D381">
        <v>37393552</v>
      </c>
      <c r="E381">
        <v>1</v>
      </c>
      <c r="F381">
        <v>1</v>
      </c>
      <c r="G381">
        <v>37345137</v>
      </c>
      <c r="H381">
        <v>3</v>
      </c>
      <c r="I381" t="s">
        <v>348</v>
      </c>
      <c r="J381" t="s">
        <v>350</v>
      </c>
      <c r="K381" t="s">
        <v>349</v>
      </c>
      <c r="L381">
        <v>1339</v>
      </c>
      <c r="N381">
        <v>1007</v>
      </c>
      <c r="O381" t="s">
        <v>94</v>
      </c>
      <c r="P381" t="s">
        <v>94</v>
      </c>
      <c r="Q381">
        <v>1</v>
      </c>
      <c r="X381">
        <v>0.13300000000000001</v>
      </c>
      <c r="Y381">
        <v>7.07</v>
      </c>
      <c r="Z381">
        <v>0</v>
      </c>
      <c r="AA381">
        <v>0</v>
      </c>
      <c r="AB381">
        <v>0</v>
      </c>
      <c r="AC381">
        <v>0</v>
      </c>
      <c r="AD381">
        <v>1</v>
      </c>
      <c r="AE381">
        <v>0</v>
      </c>
      <c r="AF381" t="s">
        <v>3</v>
      </c>
      <c r="AG381">
        <v>0.13300000000000001</v>
      </c>
      <c r="AH381">
        <v>2</v>
      </c>
      <c r="AI381">
        <v>129763618</v>
      </c>
      <c r="AJ381">
        <v>377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 x14ac:dyDescent="0.2">
      <c r="A382">
        <f>ROW(Source!A327)</f>
        <v>327</v>
      </c>
      <c r="B382">
        <v>129763628</v>
      </c>
      <c r="C382">
        <v>129763613</v>
      </c>
      <c r="D382">
        <v>37395665</v>
      </c>
      <c r="E382">
        <v>1</v>
      </c>
      <c r="F382">
        <v>1</v>
      </c>
      <c r="G382">
        <v>37345137</v>
      </c>
      <c r="H382">
        <v>3</v>
      </c>
      <c r="I382" t="s">
        <v>1264</v>
      </c>
      <c r="J382" t="s">
        <v>1265</v>
      </c>
      <c r="K382" t="s">
        <v>1266</v>
      </c>
      <c r="L382">
        <v>1348</v>
      </c>
      <c r="N382">
        <v>1009</v>
      </c>
      <c r="O382" t="s">
        <v>114</v>
      </c>
      <c r="P382" t="s">
        <v>114</v>
      </c>
      <c r="Q382">
        <v>1000</v>
      </c>
      <c r="X382">
        <v>0.01</v>
      </c>
      <c r="Y382">
        <v>69883.649999999994</v>
      </c>
      <c r="Z382">
        <v>0</v>
      </c>
      <c r="AA382">
        <v>0</v>
      </c>
      <c r="AB382">
        <v>0</v>
      </c>
      <c r="AC382">
        <v>0</v>
      </c>
      <c r="AD382">
        <v>1</v>
      </c>
      <c r="AE382">
        <v>0</v>
      </c>
      <c r="AF382" t="s">
        <v>3</v>
      </c>
      <c r="AG382">
        <v>0.01</v>
      </c>
      <c r="AH382">
        <v>2</v>
      </c>
      <c r="AI382">
        <v>129763619</v>
      </c>
      <c r="AJ382">
        <v>379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 x14ac:dyDescent="0.2">
      <c r="A383">
        <f>ROW(Source!A327)</f>
        <v>327</v>
      </c>
      <c r="B383">
        <v>129763629</v>
      </c>
      <c r="C383">
        <v>129763613</v>
      </c>
      <c r="D383">
        <v>37358433</v>
      </c>
      <c r="E383">
        <v>37345137</v>
      </c>
      <c r="F383">
        <v>1</v>
      </c>
      <c r="G383">
        <v>37345137</v>
      </c>
      <c r="H383">
        <v>3</v>
      </c>
      <c r="I383" t="s">
        <v>1466</v>
      </c>
      <c r="J383" t="s">
        <v>3</v>
      </c>
      <c r="K383" t="s">
        <v>1467</v>
      </c>
      <c r="L383">
        <v>1348</v>
      </c>
      <c r="N383">
        <v>1009</v>
      </c>
      <c r="O383" t="s">
        <v>114</v>
      </c>
      <c r="P383" t="s">
        <v>114</v>
      </c>
      <c r="Q383">
        <v>1000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 t="s">
        <v>3</v>
      </c>
      <c r="AG383">
        <v>0</v>
      </c>
      <c r="AH383">
        <v>3</v>
      </c>
      <c r="AI383">
        <v>-1</v>
      </c>
      <c r="AJ383" t="s">
        <v>3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 x14ac:dyDescent="0.2">
      <c r="A384">
        <f>ROW(Source!A327)</f>
        <v>327</v>
      </c>
      <c r="B384">
        <v>129763630</v>
      </c>
      <c r="C384">
        <v>129763613</v>
      </c>
      <c r="D384">
        <v>37360127</v>
      </c>
      <c r="E384">
        <v>37345137</v>
      </c>
      <c r="F384">
        <v>1</v>
      </c>
      <c r="G384">
        <v>37345137</v>
      </c>
      <c r="H384">
        <v>3</v>
      </c>
      <c r="I384" t="s">
        <v>1468</v>
      </c>
      <c r="J384" t="s">
        <v>3</v>
      </c>
      <c r="K384" t="s">
        <v>1469</v>
      </c>
      <c r="L384">
        <v>1348</v>
      </c>
      <c r="N384">
        <v>1009</v>
      </c>
      <c r="O384" t="s">
        <v>114</v>
      </c>
      <c r="P384" t="s">
        <v>114</v>
      </c>
      <c r="Q384">
        <v>1000</v>
      </c>
      <c r="X384">
        <v>0.47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 t="s">
        <v>3</v>
      </c>
      <c r="AG384">
        <v>0.47</v>
      </c>
      <c r="AH384">
        <v>3</v>
      </c>
      <c r="AI384">
        <v>-1</v>
      </c>
      <c r="AJ384" t="s">
        <v>3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 x14ac:dyDescent="0.2">
      <c r="A385">
        <f>ROW(Source!A327)</f>
        <v>327</v>
      </c>
      <c r="B385">
        <v>129763631</v>
      </c>
      <c r="C385">
        <v>129763613</v>
      </c>
      <c r="D385">
        <v>37358424</v>
      </c>
      <c r="E385">
        <v>37345137</v>
      </c>
      <c r="F385">
        <v>1</v>
      </c>
      <c r="G385">
        <v>37345137</v>
      </c>
      <c r="H385">
        <v>3</v>
      </c>
      <c r="I385" t="s">
        <v>1470</v>
      </c>
      <c r="J385" t="s">
        <v>3</v>
      </c>
      <c r="K385" t="s">
        <v>1471</v>
      </c>
      <c r="L385">
        <v>1327</v>
      </c>
      <c r="N385">
        <v>1005</v>
      </c>
      <c r="O385" t="s">
        <v>258</v>
      </c>
      <c r="P385" t="s">
        <v>258</v>
      </c>
      <c r="Q385">
        <v>1</v>
      </c>
      <c r="X385">
        <v>102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 t="s">
        <v>3</v>
      </c>
      <c r="AG385">
        <v>102</v>
      </c>
      <c r="AH385">
        <v>3</v>
      </c>
      <c r="AI385">
        <v>-1</v>
      </c>
      <c r="AJ385" t="s">
        <v>3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 x14ac:dyDescent="0.2">
      <c r="A386">
        <f>ROW(Source!A328)</f>
        <v>328</v>
      </c>
      <c r="B386">
        <v>129763623</v>
      </c>
      <c r="C386">
        <v>129763613</v>
      </c>
      <c r="D386">
        <v>37345142</v>
      </c>
      <c r="E386">
        <v>37345137</v>
      </c>
      <c r="F386">
        <v>1</v>
      </c>
      <c r="G386">
        <v>37345137</v>
      </c>
      <c r="H386">
        <v>1</v>
      </c>
      <c r="I386" t="s">
        <v>1096</v>
      </c>
      <c r="J386" t="s">
        <v>3</v>
      </c>
      <c r="K386" t="s">
        <v>1097</v>
      </c>
      <c r="L386">
        <v>1191</v>
      </c>
      <c r="N386">
        <v>1013</v>
      </c>
      <c r="O386" t="s">
        <v>1098</v>
      </c>
      <c r="P386" t="s">
        <v>1098</v>
      </c>
      <c r="Q386">
        <v>1</v>
      </c>
      <c r="X386">
        <v>84.08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1</v>
      </c>
      <c r="AE386">
        <v>1</v>
      </c>
      <c r="AF386" t="s">
        <v>87</v>
      </c>
      <c r="AG386">
        <v>96.691999999999993</v>
      </c>
      <c r="AH386">
        <v>2</v>
      </c>
      <c r="AI386">
        <v>129763614</v>
      </c>
      <c r="AJ386">
        <v>383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 x14ac:dyDescent="0.2">
      <c r="A387">
        <f>ROW(Source!A328)</f>
        <v>328</v>
      </c>
      <c r="B387">
        <v>129763624</v>
      </c>
      <c r="C387">
        <v>129763613</v>
      </c>
      <c r="D387">
        <v>37418479</v>
      </c>
      <c r="E387">
        <v>1</v>
      </c>
      <c r="F387">
        <v>1</v>
      </c>
      <c r="G387">
        <v>37345137</v>
      </c>
      <c r="H387">
        <v>2</v>
      </c>
      <c r="I387" t="s">
        <v>1183</v>
      </c>
      <c r="J387" t="s">
        <v>1184</v>
      </c>
      <c r="K387" t="s">
        <v>1185</v>
      </c>
      <c r="L387">
        <v>1367</v>
      </c>
      <c r="N387">
        <v>1011</v>
      </c>
      <c r="O387" t="s">
        <v>1102</v>
      </c>
      <c r="P387" t="s">
        <v>1102</v>
      </c>
      <c r="Q387">
        <v>1</v>
      </c>
      <c r="X387">
        <v>27.09</v>
      </c>
      <c r="Y387">
        <v>0</v>
      </c>
      <c r="Z387">
        <v>2.36</v>
      </c>
      <c r="AA387">
        <v>0.1</v>
      </c>
      <c r="AB387">
        <v>0</v>
      </c>
      <c r="AC387">
        <v>0</v>
      </c>
      <c r="AD387">
        <v>1</v>
      </c>
      <c r="AE387">
        <v>0</v>
      </c>
      <c r="AF387" t="s">
        <v>86</v>
      </c>
      <c r="AG387">
        <v>33.862499999999997</v>
      </c>
      <c r="AH387">
        <v>2</v>
      </c>
      <c r="AI387">
        <v>129763615</v>
      </c>
      <c r="AJ387">
        <v>384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 x14ac:dyDescent="0.2">
      <c r="A388">
        <f>ROW(Source!A328)</f>
        <v>328</v>
      </c>
      <c r="B388">
        <v>129763625</v>
      </c>
      <c r="C388">
        <v>129763613</v>
      </c>
      <c r="D388">
        <v>37418541</v>
      </c>
      <c r="E388">
        <v>1</v>
      </c>
      <c r="F388">
        <v>1</v>
      </c>
      <c r="G388">
        <v>37345137</v>
      </c>
      <c r="H388">
        <v>2</v>
      </c>
      <c r="I388" t="s">
        <v>1261</v>
      </c>
      <c r="J388" t="s">
        <v>1262</v>
      </c>
      <c r="K388" t="s">
        <v>1263</v>
      </c>
      <c r="L388">
        <v>1367</v>
      </c>
      <c r="N388">
        <v>1011</v>
      </c>
      <c r="O388" t="s">
        <v>1102</v>
      </c>
      <c r="P388" t="s">
        <v>1102</v>
      </c>
      <c r="Q388">
        <v>1</v>
      </c>
      <c r="X388">
        <v>0.31</v>
      </c>
      <c r="Y388">
        <v>0</v>
      </c>
      <c r="Z388">
        <v>31.85</v>
      </c>
      <c r="AA388">
        <v>14.89</v>
      </c>
      <c r="AB388">
        <v>0</v>
      </c>
      <c r="AC388">
        <v>0</v>
      </c>
      <c r="AD388">
        <v>1</v>
      </c>
      <c r="AE388">
        <v>0</v>
      </c>
      <c r="AF388" t="s">
        <v>86</v>
      </c>
      <c r="AG388">
        <v>0.38750000000000001</v>
      </c>
      <c r="AH388">
        <v>2</v>
      </c>
      <c r="AI388">
        <v>129763616</v>
      </c>
      <c r="AJ388">
        <v>385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 x14ac:dyDescent="0.2">
      <c r="A389">
        <f>ROW(Source!A328)</f>
        <v>328</v>
      </c>
      <c r="B389">
        <v>129763626</v>
      </c>
      <c r="C389">
        <v>129763613</v>
      </c>
      <c r="D389">
        <v>37345890</v>
      </c>
      <c r="E389">
        <v>37345137</v>
      </c>
      <c r="F389">
        <v>1</v>
      </c>
      <c r="G389">
        <v>37345137</v>
      </c>
      <c r="H389">
        <v>2</v>
      </c>
      <c r="I389" t="s">
        <v>1145</v>
      </c>
      <c r="J389" t="s">
        <v>3</v>
      </c>
      <c r="K389" t="s">
        <v>1146</v>
      </c>
      <c r="L389">
        <v>1344</v>
      </c>
      <c r="N389">
        <v>1008</v>
      </c>
      <c r="O389" t="s">
        <v>1138</v>
      </c>
      <c r="P389" t="s">
        <v>1138</v>
      </c>
      <c r="Q389">
        <v>1</v>
      </c>
      <c r="X389">
        <v>25.96</v>
      </c>
      <c r="Y389">
        <v>0</v>
      </c>
      <c r="Z389">
        <v>1</v>
      </c>
      <c r="AA389">
        <v>0</v>
      </c>
      <c r="AB389">
        <v>0</v>
      </c>
      <c r="AC389">
        <v>0</v>
      </c>
      <c r="AD389">
        <v>1</v>
      </c>
      <c r="AE389">
        <v>0</v>
      </c>
      <c r="AF389" t="s">
        <v>86</v>
      </c>
      <c r="AG389">
        <v>32.450000000000003</v>
      </c>
      <c r="AH389">
        <v>2</v>
      </c>
      <c r="AI389">
        <v>129763617</v>
      </c>
      <c r="AJ389">
        <v>386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 x14ac:dyDescent="0.2">
      <c r="A390">
        <f>ROW(Source!A328)</f>
        <v>328</v>
      </c>
      <c r="B390">
        <v>129763627</v>
      </c>
      <c r="C390">
        <v>129763613</v>
      </c>
      <c r="D390">
        <v>37393552</v>
      </c>
      <c r="E390">
        <v>1</v>
      </c>
      <c r="F390">
        <v>1</v>
      </c>
      <c r="G390">
        <v>37345137</v>
      </c>
      <c r="H390">
        <v>3</v>
      </c>
      <c r="I390" t="s">
        <v>348</v>
      </c>
      <c r="J390" t="s">
        <v>350</v>
      </c>
      <c r="K390" t="s">
        <v>349</v>
      </c>
      <c r="L390">
        <v>1339</v>
      </c>
      <c r="N390">
        <v>1007</v>
      </c>
      <c r="O390" t="s">
        <v>94</v>
      </c>
      <c r="P390" t="s">
        <v>94</v>
      </c>
      <c r="Q390">
        <v>1</v>
      </c>
      <c r="X390">
        <v>0.13300000000000001</v>
      </c>
      <c r="Y390">
        <v>7.07</v>
      </c>
      <c r="Z390">
        <v>0</v>
      </c>
      <c r="AA390">
        <v>0</v>
      </c>
      <c r="AB390">
        <v>0</v>
      </c>
      <c r="AC390">
        <v>0</v>
      </c>
      <c r="AD390">
        <v>1</v>
      </c>
      <c r="AE390">
        <v>0</v>
      </c>
      <c r="AF390" t="s">
        <v>3</v>
      </c>
      <c r="AG390">
        <v>0.13300000000000001</v>
      </c>
      <c r="AH390">
        <v>2</v>
      </c>
      <c r="AI390">
        <v>129763618</v>
      </c>
      <c r="AJ390">
        <v>387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 x14ac:dyDescent="0.2">
      <c r="A391">
        <f>ROW(Source!A328)</f>
        <v>328</v>
      </c>
      <c r="B391">
        <v>129763628</v>
      </c>
      <c r="C391">
        <v>129763613</v>
      </c>
      <c r="D391">
        <v>37395665</v>
      </c>
      <c r="E391">
        <v>1</v>
      </c>
      <c r="F391">
        <v>1</v>
      </c>
      <c r="G391">
        <v>37345137</v>
      </c>
      <c r="H391">
        <v>3</v>
      </c>
      <c r="I391" t="s">
        <v>1264</v>
      </c>
      <c r="J391" t="s">
        <v>1265</v>
      </c>
      <c r="K391" t="s">
        <v>1266</v>
      </c>
      <c r="L391">
        <v>1348</v>
      </c>
      <c r="N391">
        <v>1009</v>
      </c>
      <c r="O391" t="s">
        <v>114</v>
      </c>
      <c r="P391" t="s">
        <v>114</v>
      </c>
      <c r="Q391">
        <v>1000</v>
      </c>
      <c r="X391">
        <v>0.01</v>
      </c>
      <c r="Y391">
        <v>69883.649999999994</v>
      </c>
      <c r="Z391">
        <v>0</v>
      </c>
      <c r="AA391">
        <v>0</v>
      </c>
      <c r="AB391">
        <v>0</v>
      </c>
      <c r="AC391">
        <v>0</v>
      </c>
      <c r="AD391">
        <v>1</v>
      </c>
      <c r="AE391">
        <v>0</v>
      </c>
      <c r="AF391" t="s">
        <v>3</v>
      </c>
      <c r="AG391">
        <v>0.01</v>
      </c>
      <c r="AH391">
        <v>2</v>
      </c>
      <c r="AI391">
        <v>129763619</v>
      </c>
      <c r="AJ391">
        <v>389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 x14ac:dyDescent="0.2">
      <c r="A392">
        <f>ROW(Source!A328)</f>
        <v>328</v>
      </c>
      <c r="B392">
        <v>129763629</v>
      </c>
      <c r="C392">
        <v>129763613</v>
      </c>
      <c r="D392">
        <v>37358433</v>
      </c>
      <c r="E392">
        <v>37345137</v>
      </c>
      <c r="F392">
        <v>1</v>
      </c>
      <c r="G392">
        <v>37345137</v>
      </c>
      <c r="H392">
        <v>3</v>
      </c>
      <c r="I392" t="s">
        <v>1466</v>
      </c>
      <c r="J392" t="s">
        <v>3</v>
      </c>
      <c r="K392" t="s">
        <v>1467</v>
      </c>
      <c r="L392">
        <v>1348</v>
      </c>
      <c r="N392">
        <v>1009</v>
      </c>
      <c r="O392" t="s">
        <v>114</v>
      </c>
      <c r="P392" t="s">
        <v>114</v>
      </c>
      <c r="Q392">
        <v>1000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 t="s">
        <v>3</v>
      </c>
      <c r="AG392">
        <v>0</v>
      </c>
      <c r="AH392">
        <v>3</v>
      </c>
      <c r="AI392">
        <v>-1</v>
      </c>
      <c r="AJ392" t="s">
        <v>3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 x14ac:dyDescent="0.2">
      <c r="A393">
        <f>ROW(Source!A328)</f>
        <v>328</v>
      </c>
      <c r="B393">
        <v>129763630</v>
      </c>
      <c r="C393">
        <v>129763613</v>
      </c>
      <c r="D393">
        <v>37360127</v>
      </c>
      <c r="E393">
        <v>37345137</v>
      </c>
      <c r="F393">
        <v>1</v>
      </c>
      <c r="G393">
        <v>37345137</v>
      </c>
      <c r="H393">
        <v>3</v>
      </c>
      <c r="I393" t="s">
        <v>1468</v>
      </c>
      <c r="J393" t="s">
        <v>3</v>
      </c>
      <c r="K393" t="s">
        <v>1469</v>
      </c>
      <c r="L393">
        <v>1348</v>
      </c>
      <c r="N393">
        <v>1009</v>
      </c>
      <c r="O393" t="s">
        <v>114</v>
      </c>
      <c r="P393" t="s">
        <v>114</v>
      </c>
      <c r="Q393">
        <v>1000</v>
      </c>
      <c r="X393">
        <v>0.47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 t="s">
        <v>3</v>
      </c>
      <c r="AG393">
        <v>0.47</v>
      </c>
      <c r="AH393">
        <v>3</v>
      </c>
      <c r="AI393">
        <v>-1</v>
      </c>
      <c r="AJ393" t="s">
        <v>3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 x14ac:dyDescent="0.2">
      <c r="A394">
        <f>ROW(Source!A328)</f>
        <v>328</v>
      </c>
      <c r="B394">
        <v>129763631</v>
      </c>
      <c r="C394">
        <v>129763613</v>
      </c>
      <c r="D394">
        <v>37358424</v>
      </c>
      <c r="E394">
        <v>37345137</v>
      </c>
      <c r="F394">
        <v>1</v>
      </c>
      <c r="G394">
        <v>37345137</v>
      </c>
      <c r="H394">
        <v>3</v>
      </c>
      <c r="I394" t="s">
        <v>1470</v>
      </c>
      <c r="J394" t="s">
        <v>3</v>
      </c>
      <c r="K394" t="s">
        <v>1471</v>
      </c>
      <c r="L394">
        <v>1327</v>
      </c>
      <c r="N394">
        <v>1005</v>
      </c>
      <c r="O394" t="s">
        <v>258</v>
      </c>
      <c r="P394" t="s">
        <v>258</v>
      </c>
      <c r="Q394">
        <v>1</v>
      </c>
      <c r="X394">
        <v>102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 t="s">
        <v>3</v>
      </c>
      <c r="AG394">
        <v>102</v>
      </c>
      <c r="AH394">
        <v>3</v>
      </c>
      <c r="AI394">
        <v>-1</v>
      </c>
      <c r="AJ394" t="s">
        <v>3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 x14ac:dyDescent="0.2">
      <c r="A395">
        <f>ROW(Source!A337)</f>
        <v>337</v>
      </c>
      <c r="B395">
        <v>129763641</v>
      </c>
      <c r="C395">
        <v>129763635</v>
      </c>
      <c r="D395">
        <v>37345142</v>
      </c>
      <c r="E395">
        <v>37345137</v>
      </c>
      <c r="F395">
        <v>1</v>
      </c>
      <c r="G395">
        <v>37345137</v>
      </c>
      <c r="H395">
        <v>1</v>
      </c>
      <c r="I395" t="s">
        <v>1096</v>
      </c>
      <c r="J395" t="s">
        <v>3</v>
      </c>
      <c r="K395" t="s">
        <v>1097</v>
      </c>
      <c r="L395">
        <v>1191</v>
      </c>
      <c r="N395">
        <v>1013</v>
      </c>
      <c r="O395" t="s">
        <v>1098</v>
      </c>
      <c r="P395" t="s">
        <v>1098</v>
      </c>
      <c r="Q395">
        <v>1</v>
      </c>
      <c r="X395">
        <v>21.51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1</v>
      </c>
      <c r="AE395">
        <v>1</v>
      </c>
      <c r="AF395" t="s">
        <v>3</v>
      </c>
      <c r="AG395">
        <v>21.51</v>
      </c>
      <c r="AH395">
        <v>2</v>
      </c>
      <c r="AI395">
        <v>129763636</v>
      </c>
      <c r="AJ395">
        <v>393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 x14ac:dyDescent="0.2">
      <c r="A396">
        <f>ROW(Source!A337)</f>
        <v>337</v>
      </c>
      <c r="B396">
        <v>129763642</v>
      </c>
      <c r="C396">
        <v>129763635</v>
      </c>
      <c r="D396">
        <v>37360569</v>
      </c>
      <c r="E396">
        <v>37345137</v>
      </c>
      <c r="F396">
        <v>1</v>
      </c>
      <c r="G396">
        <v>37345137</v>
      </c>
      <c r="H396">
        <v>3</v>
      </c>
      <c r="I396" t="s">
        <v>1478</v>
      </c>
      <c r="J396" t="s">
        <v>3</v>
      </c>
      <c r="K396" t="s">
        <v>1479</v>
      </c>
      <c r="L396">
        <v>1346</v>
      </c>
      <c r="N396">
        <v>1009</v>
      </c>
      <c r="O396" t="s">
        <v>369</v>
      </c>
      <c r="P396" t="s">
        <v>369</v>
      </c>
      <c r="Q396">
        <v>1</v>
      </c>
      <c r="X396">
        <v>66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 t="s">
        <v>3</v>
      </c>
      <c r="AG396">
        <v>66</v>
      </c>
      <c r="AH396">
        <v>3</v>
      </c>
      <c r="AI396">
        <v>-1</v>
      </c>
      <c r="AJ396" t="s">
        <v>3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 x14ac:dyDescent="0.2">
      <c r="A397">
        <f>ROW(Source!A337)</f>
        <v>337</v>
      </c>
      <c r="B397">
        <v>129763643</v>
      </c>
      <c r="C397">
        <v>129763635</v>
      </c>
      <c r="D397">
        <v>37358131</v>
      </c>
      <c r="E397">
        <v>37345137</v>
      </c>
      <c r="F397">
        <v>1</v>
      </c>
      <c r="G397">
        <v>37345137</v>
      </c>
      <c r="H397">
        <v>3</v>
      </c>
      <c r="I397" t="s">
        <v>1480</v>
      </c>
      <c r="J397" t="s">
        <v>3</v>
      </c>
      <c r="K397" t="s">
        <v>1481</v>
      </c>
      <c r="L397">
        <v>1348</v>
      </c>
      <c r="N397">
        <v>1009</v>
      </c>
      <c r="O397" t="s">
        <v>114</v>
      </c>
      <c r="P397" t="s">
        <v>114</v>
      </c>
      <c r="Q397">
        <v>1000</v>
      </c>
      <c r="X397">
        <v>0.30599999999999999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 t="s">
        <v>3</v>
      </c>
      <c r="AG397">
        <v>0.30599999999999999</v>
      </c>
      <c r="AH397">
        <v>3</v>
      </c>
      <c r="AI397">
        <v>-1</v>
      </c>
      <c r="AJ397" t="s">
        <v>3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 x14ac:dyDescent="0.2">
      <c r="A398">
        <f>ROW(Source!A337)</f>
        <v>337</v>
      </c>
      <c r="B398">
        <v>129763644</v>
      </c>
      <c r="C398">
        <v>129763635</v>
      </c>
      <c r="D398">
        <v>37393565</v>
      </c>
      <c r="E398">
        <v>1</v>
      </c>
      <c r="F398">
        <v>1</v>
      </c>
      <c r="G398">
        <v>37345137</v>
      </c>
      <c r="H398">
        <v>3</v>
      </c>
      <c r="I398" t="s">
        <v>1198</v>
      </c>
      <c r="J398" t="s">
        <v>1199</v>
      </c>
      <c r="K398" t="s">
        <v>1200</v>
      </c>
      <c r="L398">
        <v>1348</v>
      </c>
      <c r="N398">
        <v>1009</v>
      </c>
      <c r="O398" t="s">
        <v>114</v>
      </c>
      <c r="P398" t="s">
        <v>114</v>
      </c>
      <c r="Q398">
        <v>1000</v>
      </c>
      <c r="X398">
        <v>2E-3</v>
      </c>
      <c r="Y398">
        <v>6521.42</v>
      </c>
      <c r="Z398">
        <v>0</v>
      </c>
      <c r="AA398">
        <v>0</v>
      </c>
      <c r="AB398">
        <v>0</v>
      </c>
      <c r="AC398">
        <v>0</v>
      </c>
      <c r="AD398">
        <v>1</v>
      </c>
      <c r="AE398">
        <v>0</v>
      </c>
      <c r="AF398" t="s">
        <v>3</v>
      </c>
      <c r="AG398">
        <v>2E-3</v>
      </c>
      <c r="AH398">
        <v>2</v>
      </c>
      <c r="AI398">
        <v>129763639</v>
      </c>
      <c r="AJ398">
        <v>395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 x14ac:dyDescent="0.2">
      <c r="A399">
        <f>ROW(Source!A337)</f>
        <v>337</v>
      </c>
      <c r="B399">
        <v>129763645</v>
      </c>
      <c r="C399">
        <v>129763635</v>
      </c>
      <c r="D399">
        <v>37393826</v>
      </c>
      <c r="E399">
        <v>1</v>
      </c>
      <c r="F399">
        <v>1</v>
      </c>
      <c r="G399">
        <v>37345137</v>
      </c>
      <c r="H399">
        <v>3</v>
      </c>
      <c r="I399" t="s">
        <v>1288</v>
      </c>
      <c r="J399" t="s">
        <v>1289</v>
      </c>
      <c r="K399" t="s">
        <v>1290</v>
      </c>
      <c r="L399">
        <v>1348</v>
      </c>
      <c r="N399">
        <v>1009</v>
      </c>
      <c r="O399" t="s">
        <v>114</v>
      </c>
      <c r="P399" t="s">
        <v>114</v>
      </c>
      <c r="Q399">
        <v>1000</v>
      </c>
      <c r="X399">
        <v>5.11E-2</v>
      </c>
      <c r="Y399">
        <v>9865.7999999999993</v>
      </c>
      <c r="Z399">
        <v>0</v>
      </c>
      <c r="AA399">
        <v>0</v>
      </c>
      <c r="AB399">
        <v>0</v>
      </c>
      <c r="AC399">
        <v>0</v>
      </c>
      <c r="AD399">
        <v>1</v>
      </c>
      <c r="AE399">
        <v>0</v>
      </c>
      <c r="AF399" t="s">
        <v>3</v>
      </c>
      <c r="AG399">
        <v>5.11E-2</v>
      </c>
      <c r="AH399">
        <v>2</v>
      </c>
      <c r="AI399">
        <v>129763640</v>
      </c>
      <c r="AJ399">
        <v>396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 x14ac:dyDescent="0.2">
      <c r="A400">
        <f>ROW(Source!A338)</f>
        <v>338</v>
      </c>
      <c r="B400">
        <v>129763641</v>
      </c>
      <c r="C400">
        <v>129763635</v>
      </c>
      <c r="D400">
        <v>37345142</v>
      </c>
      <c r="E400">
        <v>37345137</v>
      </c>
      <c r="F400">
        <v>1</v>
      </c>
      <c r="G400">
        <v>37345137</v>
      </c>
      <c r="H400">
        <v>1</v>
      </c>
      <c r="I400" t="s">
        <v>1096</v>
      </c>
      <c r="J400" t="s">
        <v>3</v>
      </c>
      <c r="K400" t="s">
        <v>1097</v>
      </c>
      <c r="L400">
        <v>1191</v>
      </c>
      <c r="N400">
        <v>1013</v>
      </c>
      <c r="O400" t="s">
        <v>1098</v>
      </c>
      <c r="P400" t="s">
        <v>1098</v>
      </c>
      <c r="Q400">
        <v>1</v>
      </c>
      <c r="X400">
        <v>21.51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1</v>
      </c>
      <c r="AE400">
        <v>1</v>
      </c>
      <c r="AF400" t="s">
        <v>3</v>
      </c>
      <c r="AG400">
        <v>21.51</v>
      </c>
      <c r="AH400">
        <v>2</v>
      </c>
      <c r="AI400">
        <v>129763636</v>
      </c>
      <c r="AJ400">
        <v>398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 x14ac:dyDescent="0.2">
      <c r="A401">
        <f>ROW(Source!A338)</f>
        <v>338</v>
      </c>
      <c r="B401">
        <v>129763642</v>
      </c>
      <c r="C401">
        <v>129763635</v>
      </c>
      <c r="D401">
        <v>37360569</v>
      </c>
      <c r="E401">
        <v>37345137</v>
      </c>
      <c r="F401">
        <v>1</v>
      </c>
      <c r="G401">
        <v>37345137</v>
      </c>
      <c r="H401">
        <v>3</v>
      </c>
      <c r="I401" t="s">
        <v>1478</v>
      </c>
      <c r="J401" t="s">
        <v>3</v>
      </c>
      <c r="K401" t="s">
        <v>1479</v>
      </c>
      <c r="L401">
        <v>1346</v>
      </c>
      <c r="N401">
        <v>1009</v>
      </c>
      <c r="O401" t="s">
        <v>369</v>
      </c>
      <c r="P401" t="s">
        <v>369</v>
      </c>
      <c r="Q401">
        <v>1</v>
      </c>
      <c r="X401">
        <v>66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 t="s">
        <v>3</v>
      </c>
      <c r="AG401">
        <v>66</v>
      </c>
      <c r="AH401">
        <v>3</v>
      </c>
      <c r="AI401">
        <v>-1</v>
      </c>
      <c r="AJ401" t="s">
        <v>3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 x14ac:dyDescent="0.2">
      <c r="A402">
        <f>ROW(Source!A338)</f>
        <v>338</v>
      </c>
      <c r="B402">
        <v>129763643</v>
      </c>
      <c r="C402">
        <v>129763635</v>
      </c>
      <c r="D402">
        <v>37358131</v>
      </c>
      <c r="E402">
        <v>37345137</v>
      </c>
      <c r="F402">
        <v>1</v>
      </c>
      <c r="G402">
        <v>37345137</v>
      </c>
      <c r="H402">
        <v>3</v>
      </c>
      <c r="I402" t="s">
        <v>1480</v>
      </c>
      <c r="J402" t="s">
        <v>3</v>
      </c>
      <c r="K402" t="s">
        <v>1481</v>
      </c>
      <c r="L402">
        <v>1348</v>
      </c>
      <c r="N402">
        <v>1009</v>
      </c>
      <c r="O402" t="s">
        <v>114</v>
      </c>
      <c r="P402" t="s">
        <v>114</v>
      </c>
      <c r="Q402">
        <v>1000</v>
      </c>
      <c r="X402">
        <v>0.30599999999999999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 t="s">
        <v>3</v>
      </c>
      <c r="AG402">
        <v>0.30599999999999999</v>
      </c>
      <c r="AH402">
        <v>3</v>
      </c>
      <c r="AI402">
        <v>-1</v>
      </c>
      <c r="AJ402" t="s">
        <v>3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 x14ac:dyDescent="0.2">
      <c r="A403">
        <f>ROW(Source!A338)</f>
        <v>338</v>
      </c>
      <c r="B403">
        <v>129763644</v>
      </c>
      <c r="C403">
        <v>129763635</v>
      </c>
      <c r="D403">
        <v>37393565</v>
      </c>
      <c r="E403">
        <v>1</v>
      </c>
      <c r="F403">
        <v>1</v>
      </c>
      <c r="G403">
        <v>37345137</v>
      </c>
      <c r="H403">
        <v>3</v>
      </c>
      <c r="I403" t="s">
        <v>1198</v>
      </c>
      <c r="J403" t="s">
        <v>1199</v>
      </c>
      <c r="K403" t="s">
        <v>1200</v>
      </c>
      <c r="L403">
        <v>1348</v>
      </c>
      <c r="N403">
        <v>1009</v>
      </c>
      <c r="O403" t="s">
        <v>114</v>
      </c>
      <c r="P403" t="s">
        <v>114</v>
      </c>
      <c r="Q403">
        <v>1000</v>
      </c>
      <c r="X403">
        <v>2E-3</v>
      </c>
      <c r="Y403">
        <v>6521.42</v>
      </c>
      <c r="Z403">
        <v>0</v>
      </c>
      <c r="AA403">
        <v>0</v>
      </c>
      <c r="AB403">
        <v>0</v>
      </c>
      <c r="AC403">
        <v>0</v>
      </c>
      <c r="AD403">
        <v>1</v>
      </c>
      <c r="AE403">
        <v>0</v>
      </c>
      <c r="AF403" t="s">
        <v>3</v>
      </c>
      <c r="AG403">
        <v>2E-3</v>
      </c>
      <c r="AH403">
        <v>2</v>
      </c>
      <c r="AI403">
        <v>129763639</v>
      </c>
      <c r="AJ403">
        <v>400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 x14ac:dyDescent="0.2">
      <c r="A404">
        <f>ROW(Source!A338)</f>
        <v>338</v>
      </c>
      <c r="B404">
        <v>129763645</v>
      </c>
      <c r="C404">
        <v>129763635</v>
      </c>
      <c r="D404">
        <v>37393826</v>
      </c>
      <c r="E404">
        <v>1</v>
      </c>
      <c r="F404">
        <v>1</v>
      </c>
      <c r="G404">
        <v>37345137</v>
      </c>
      <c r="H404">
        <v>3</v>
      </c>
      <c r="I404" t="s">
        <v>1288</v>
      </c>
      <c r="J404" t="s">
        <v>1289</v>
      </c>
      <c r="K404" t="s">
        <v>1290</v>
      </c>
      <c r="L404">
        <v>1348</v>
      </c>
      <c r="N404">
        <v>1009</v>
      </c>
      <c r="O404" t="s">
        <v>114</v>
      </c>
      <c r="P404" t="s">
        <v>114</v>
      </c>
      <c r="Q404">
        <v>1000</v>
      </c>
      <c r="X404">
        <v>5.11E-2</v>
      </c>
      <c r="Y404">
        <v>9865.7999999999993</v>
      </c>
      <c r="Z404">
        <v>0</v>
      </c>
      <c r="AA404">
        <v>0</v>
      </c>
      <c r="AB404">
        <v>0</v>
      </c>
      <c r="AC404">
        <v>0</v>
      </c>
      <c r="AD404">
        <v>1</v>
      </c>
      <c r="AE404">
        <v>0</v>
      </c>
      <c r="AF404" t="s">
        <v>3</v>
      </c>
      <c r="AG404">
        <v>5.11E-2</v>
      </c>
      <c r="AH404">
        <v>2</v>
      </c>
      <c r="AI404">
        <v>129763640</v>
      </c>
      <c r="AJ404">
        <v>401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  <row r="405" spans="1:44" x14ac:dyDescent="0.2">
      <c r="A405">
        <f>ROW(Source!A343)</f>
        <v>343</v>
      </c>
      <c r="B405">
        <v>129763653</v>
      </c>
      <c r="C405">
        <v>129763648</v>
      </c>
      <c r="D405">
        <v>37345142</v>
      </c>
      <c r="E405">
        <v>37345137</v>
      </c>
      <c r="F405">
        <v>1</v>
      </c>
      <c r="G405">
        <v>37345137</v>
      </c>
      <c r="H405">
        <v>1</v>
      </c>
      <c r="I405" t="s">
        <v>1096</v>
      </c>
      <c r="J405" t="s">
        <v>3</v>
      </c>
      <c r="K405" t="s">
        <v>1097</v>
      </c>
      <c r="L405">
        <v>1191</v>
      </c>
      <c r="N405">
        <v>1013</v>
      </c>
      <c r="O405" t="s">
        <v>1098</v>
      </c>
      <c r="P405" t="s">
        <v>1098</v>
      </c>
      <c r="Q405">
        <v>1</v>
      </c>
      <c r="X405">
        <v>35.04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1</v>
      </c>
      <c r="AE405">
        <v>1</v>
      </c>
      <c r="AF405" t="s">
        <v>3</v>
      </c>
      <c r="AG405">
        <v>35.04</v>
      </c>
      <c r="AH405">
        <v>2</v>
      </c>
      <c r="AI405">
        <v>129763649</v>
      </c>
      <c r="AJ405">
        <v>403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</row>
    <row r="406" spans="1:44" x14ac:dyDescent="0.2">
      <c r="A406">
        <f>ROW(Source!A343)</f>
        <v>343</v>
      </c>
      <c r="B406">
        <v>129763654</v>
      </c>
      <c r="C406">
        <v>129763648</v>
      </c>
      <c r="D406">
        <v>37345890</v>
      </c>
      <c r="E406">
        <v>37345137</v>
      </c>
      <c r="F406">
        <v>1</v>
      </c>
      <c r="G406">
        <v>37345137</v>
      </c>
      <c r="H406">
        <v>2</v>
      </c>
      <c r="I406" t="s">
        <v>1145</v>
      </c>
      <c r="J406" t="s">
        <v>3</v>
      </c>
      <c r="K406" t="s">
        <v>1146</v>
      </c>
      <c r="L406">
        <v>1344</v>
      </c>
      <c r="N406">
        <v>1008</v>
      </c>
      <c r="O406" t="s">
        <v>1138</v>
      </c>
      <c r="P406" t="s">
        <v>1138</v>
      </c>
      <c r="Q406">
        <v>1</v>
      </c>
      <c r="X406">
        <v>2.15</v>
      </c>
      <c r="Y406">
        <v>0</v>
      </c>
      <c r="Z406">
        <v>1</v>
      </c>
      <c r="AA406">
        <v>0</v>
      </c>
      <c r="AB406">
        <v>0</v>
      </c>
      <c r="AC406">
        <v>0</v>
      </c>
      <c r="AD406">
        <v>1</v>
      </c>
      <c r="AE406">
        <v>0</v>
      </c>
      <c r="AF406" t="s">
        <v>3</v>
      </c>
      <c r="AG406">
        <v>2.15</v>
      </c>
      <c r="AH406">
        <v>2</v>
      </c>
      <c r="AI406">
        <v>129763650</v>
      </c>
      <c r="AJ406">
        <v>404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</row>
    <row r="407" spans="1:44" x14ac:dyDescent="0.2">
      <c r="A407">
        <f>ROW(Source!A343)</f>
        <v>343</v>
      </c>
      <c r="B407">
        <v>129763655</v>
      </c>
      <c r="C407">
        <v>129763648</v>
      </c>
      <c r="D407">
        <v>37394252</v>
      </c>
      <c r="E407">
        <v>1</v>
      </c>
      <c r="F407">
        <v>1</v>
      </c>
      <c r="G407">
        <v>37345137</v>
      </c>
      <c r="H407">
        <v>3</v>
      </c>
      <c r="I407" t="s">
        <v>1237</v>
      </c>
      <c r="J407" t="s">
        <v>1238</v>
      </c>
      <c r="K407" t="s">
        <v>1239</v>
      </c>
      <c r="L407">
        <v>1348</v>
      </c>
      <c r="N407">
        <v>1009</v>
      </c>
      <c r="O407" t="s">
        <v>114</v>
      </c>
      <c r="P407" t="s">
        <v>114</v>
      </c>
      <c r="Q407">
        <v>1000</v>
      </c>
      <c r="X407">
        <v>9.5000000000000001E-2</v>
      </c>
      <c r="Y407">
        <v>6870.66</v>
      </c>
      <c r="Z407">
        <v>0</v>
      </c>
      <c r="AA407">
        <v>0</v>
      </c>
      <c r="AB407">
        <v>0</v>
      </c>
      <c r="AC407">
        <v>0</v>
      </c>
      <c r="AD407">
        <v>1</v>
      </c>
      <c r="AE407">
        <v>0</v>
      </c>
      <c r="AF407" t="s">
        <v>3</v>
      </c>
      <c r="AG407">
        <v>9.5000000000000001E-2</v>
      </c>
      <c r="AH407">
        <v>2</v>
      </c>
      <c r="AI407">
        <v>129763651</v>
      </c>
      <c r="AJ407">
        <v>405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</row>
    <row r="408" spans="1:44" x14ac:dyDescent="0.2">
      <c r="A408">
        <f>ROW(Source!A343)</f>
        <v>343</v>
      </c>
      <c r="B408">
        <v>129763656</v>
      </c>
      <c r="C408">
        <v>129763648</v>
      </c>
      <c r="D408">
        <v>37358767</v>
      </c>
      <c r="E408">
        <v>37345137</v>
      </c>
      <c r="F408">
        <v>1</v>
      </c>
      <c r="G408">
        <v>37345137</v>
      </c>
      <c r="H408">
        <v>3</v>
      </c>
      <c r="I408" t="s">
        <v>1482</v>
      </c>
      <c r="J408" t="s">
        <v>3</v>
      </c>
      <c r="K408" t="s">
        <v>1483</v>
      </c>
      <c r="L408">
        <v>1348</v>
      </c>
      <c r="N408">
        <v>1009</v>
      </c>
      <c r="O408" t="s">
        <v>114</v>
      </c>
      <c r="P408" t="s">
        <v>114</v>
      </c>
      <c r="Q408">
        <v>1000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 t="s">
        <v>3</v>
      </c>
      <c r="AG408">
        <v>0</v>
      </c>
      <c r="AH408">
        <v>3</v>
      </c>
      <c r="AI408">
        <v>-1</v>
      </c>
      <c r="AJ408" t="s">
        <v>3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</row>
    <row r="409" spans="1:44" x14ac:dyDescent="0.2">
      <c r="A409">
        <f>ROW(Source!A344)</f>
        <v>344</v>
      </c>
      <c r="B409">
        <v>129763653</v>
      </c>
      <c r="C409">
        <v>129763648</v>
      </c>
      <c r="D409">
        <v>37345142</v>
      </c>
      <c r="E409">
        <v>37345137</v>
      </c>
      <c r="F409">
        <v>1</v>
      </c>
      <c r="G409">
        <v>37345137</v>
      </c>
      <c r="H409">
        <v>1</v>
      </c>
      <c r="I409" t="s">
        <v>1096</v>
      </c>
      <c r="J409" t="s">
        <v>3</v>
      </c>
      <c r="K409" t="s">
        <v>1097</v>
      </c>
      <c r="L409">
        <v>1191</v>
      </c>
      <c r="N409">
        <v>1013</v>
      </c>
      <c r="O409" t="s">
        <v>1098</v>
      </c>
      <c r="P409" t="s">
        <v>1098</v>
      </c>
      <c r="Q409">
        <v>1</v>
      </c>
      <c r="X409">
        <v>35.04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1</v>
      </c>
      <c r="AE409">
        <v>1</v>
      </c>
      <c r="AF409" t="s">
        <v>3</v>
      </c>
      <c r="AG409">
        <v>35.04</v>
      </c>
      <c r="AH409">
        <v>2</v>
      </c>
      <c r="AI409">
        <v>129763649</v>
      </c>
      <c r="AJ409">
        <v>407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</row>
    <row r="410" spans="1:44" x14ac:dyDescent="0.2">
      <c r="A410">
        <f>ROW(Source!A344)</f>
        <v>344</v>
      </c>
      <c r="B410">
        <v>129763654</v>
      </c>
      <c r="C410">
        <v>129763648</v>
      </c>
      <c r="D410">
        <v>37345890</v>
      </c>
      <c r="E410">
        <v>37345137</v>
      </c>
      <c r="F410">
        <v>1</v>
      </c>
      <c r="G410">
        <v>37345137</v>
      </c>
      <c r="H410">
        <v>2</v>
      </c>
      <c r="I410" t="s">
        <v>1145</v>
      </c>
      <c r="J410" t="s">
        <v>3</v>
      </c>
      <c r="K410" t="s">
        <v>1146</v>
      </c>
      <c r="L410">
        <v>1344</v>
      </c>
      <c r="N410">
        <v>1008</v>
      </c>
      <c r="O410" t="s">
        <v>1138</v>
      </c>
      <c r="P410" t="s">
        <v>1138</v>
      </c>
      <c r="Q410">
        <v>1</v>
      </c>
      <c r="X410">
        <v>2.15</v>
      </c>
      <c r="Y410">
        <v>0</v>
      </c>
      <c r="Z410">
        <v>1</v>
      </c>
      <c r="AA410">
        <v>0</v>
      </c>
      <c r="AB410">
        <v>0</v>
      </c>
      <c r="AC410">
        <v>0</v>
      </c>
      <c r="AD410">
        <v>1</v>
      </c>
      <c r="AE410">
        <v>0</v>
      </c>
      <c r="AF410" t="s">
        <v>3</v>
      </c>
      <c r="AG410">
        <v>2.15</v>
      </c>
      <c r="AH410">
        <v>2</v>
      </c>
      <c r="AI410">
        <v>129763650</v>
      </c>
      <c r="AJ410">
        <v>408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</row>
    <row r="411" spans="1:44" x14ac:dyDescent="0.2">
      <c r="A411">
        <f>ROW(Source!A344)</f>
        <v>344</v>
      </c>
      <c r="B411">
        <v>129763655</v>
      </c>
      <c r="C411">
        <v>129763648</v>
      </c>
      <c r="D411">
        <v>37394252</v>
      </c>
      <c r="E411">
        <v>1</v>
      </c>
      <c r="F411">
        <v>1</v>
      </c>
      <c r="G411">
        <v>37345137</v>
      </c>
      <c r="H411">
        <v>3</v>
      </c>
      <c r="I411" t="s">
        <v>1237</v>
      </c>
      <c r="J411" t="s">
        <v>1238</v>
      </c>
      <c r="K411" t="s">
        <v>1239</v>
      </c>
      <c r="L411">
        <v>1348</v>
      </c>
      <c r="N411">
        <v>1009</v>
      </c>
      <c r="O411" t="s">
        <v>114</v>
      </c>
      <c r="P411" t="s">
        <v>114</v>
      </c>
      <c r="Q411">
        <v>1000</v>
      </c>
      <c r="X411">
        <v>9.5000000000000001E-2</v>
      </c>
      <c r="Y411">
        <v>6870.66</v>
      </c>
      <c r="Z411">
        <v>0</v>
      </c>
      <c r="AA411">
        <v>0</v>
      </c>
      <c r="AB411">
        <v>0</v>
      </c>
      <c r="AC411">
        <v>0</v>
      </c>
      <c r="AD411">
        <v>1</v>
      </c>
      <c r="AE411">
        <v>0</v>
      </c>
      <c r="AF411" t="s">
        <v>3</v>
      </c>
      <c r="AG411">
        <v>9.5000000000000001E-2</v>
      </c>
      <c r="AH411">
        <v>2</v>
      </c>
      <c r="AI411">
        <v>129763651</v>
      </c>
      <c r="AJ411">
        <v>409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</row>
    <row r="412" spans="1:44" x14ac:dyDescent="0.2">
      <c r="A412">
        <f>ROW(Source!A344)</f>
        <v>344</v>
      </c>
      <c r="B412">
        <v>129763656</v>
      </c>
      <c r="C412">
        <v>129763648</v>
      </c>
      <c r="D412">
        <v>37358767</v>
      </c>
      <c r="E412">
        <v>37345137</v>
      </c>
      <c r="F412">
        <v>1</v>
      </c>
      <c r="G412">
        <v>37345137</v>
      </c>
      <c r="H412">
        <v>3</v>
      </c>
      <c r="I412" t="s">
        <v>1482</v>
      </c>
      <c r="J412" t="s">
        <v>3</v>
      </c>
      <c r="K412" t="s">
        <v>1483</v>
      </c>
      <c r="L412">
        <v>1348</v>
      </c>
      <c r="N412">
        <v>1009</v>
      </c>
      <c r="O412" t="s">
        <v>114</v>
      </c>
      <c r="P412" t="s">
        <v>114</v>
      </c>
      <c r="Q412">
        <v>1000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 t="s">
        <v>3</v>
      </c>
      <c r="AG412">
        <v>0</v>
      </c>
      <c r="AH412">
        <v>3</v>
      </c>
      <c r="AI412">
        <v>-1</v>
      </c>
      <c r="AJ412" t="s">
        <v>3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</row>
    <row r="413" spans="1:44" x14ac:dyDescent="0.2">
      <c r="A413">
        <f>ROW(Source!A382)</f>
        <v>382</v>
      </c>
      <c r="B413">
        <v>129763660</v>
      </c>
      <c r="C413">
        <v>129763658</v>
      </c>
      <c r="D413">
        <v>37345890</v>
      </c>
      <c r="E413">
        <v>37345137</v>
      </c>
      <c r="F413">
        <v>1</v>
      </c>
      <c r="G413">
        <v>37345137</v>
      </c>
      <c r="H413">
        <v>2</v>
      </c>
      <c r="I413" t="s">
        <v>1145</v>
      </c>
      <c r="J413" t="s">
        <v>3</v>
      </c>
      <c r="K413" t="s">
        <v>1146</v>
      </c>
      <c r="L413">
        <v>1344</v>
      </c>
      <c r="N413">
        <v>1008</v>
      </c>
      <c r="O413" t="s">
        <v>1138</v>
      </c>
      <c r="P413" t="s">
        <v>1138</v>
      </c>
      <c r="Q413">
        <v>1</v>
      </c>
      <c r="X413">
        <v>8.86</v>
      </c>
      <c r="Y413">
        <v>0</v>
      </c>
      <c r="Z413">
        <v>1</v>
      </c>
      <c r="AA413">
        <v>0</v>
      </c>
      <c r="AB413">
        <v>0</v>
      </c>
      <c r="AC413">
        <v>0</v>
      </c>
      <c r="AD413">
        <v>1</v>
      </c>
      <c r="AE413">
        <v>0</v>
      </c>
      <c r="AF413" t="s">
        <v>3</v>
      </c>
      <c r="AG413">
        <v>8.86</v>
      </c>
      <c r="AH413">
        <v>2</v>
      </c>
      <c r="AI413">
        <v>129763659</v>
      </c>
      <c r="AJ413">
        <v>411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</row>
    <row r="414" spans="1:44" x14ac:dyDescent="0.2">
      <c r="A414">
        <f>ROW(Source!A383)</f>
        <v>383</v>
      </c>
      <c r="B414">
        <v>129763660</v>
      </c>
      <c r="C414">
        <v>129763658</v>
      </c>
      <c r="D414">
        <v>37345890</v>
      </c>
      <c r="E414">
        <v>37345137</v>
      </c>
      <c r="F414">
        <v>1</v>
      </c>
      <c r="G414">
        <v>37345137</v>
      </c>
      <c r="H414">
        <v>2</v>
      </c>
      <c r="I414" t="s">
        <v>1145</v>
      </c>
      <c r="J414" t="s">
        <v>3</v>
      </c>
      <c r="K414" t="s">
        <v>1146</v>
      </c>
      <c r="L414">
        <v>1344</v>
      </c>
      <c r="N414">
        <v>1008</v>
      </c>
      <c r="O414" t="s">
        <v>1138</v>
      </c>
      <c r="P414" t="s">
        <v>1138</v>
      </c>
      <c r="Q414">
        <v>1</v>
      </c>
      <c r="X414">
        <v>8.86</v>
      </c>
      <c r="Y414">
        <v>0</v>
      </c>
      <c r="Z414">
        <v>1</v>
      </c>
      <c r="AA414">
        <v>0</v>
      </c>
      <c r="AB414">
        <v>0</v>
      </c>
      <c r="AC414">
        <v>0</v>
      </c>
      <c r="AD414">
        <v>1</v>
      </c>
      <c r="AE414">
        <v>0</v>
      </c>
      <c r="AF414" t="s">
        <v>3</v>
      </c>
      <c r="AG414">
        <v>8.86</v>
      </c>
      <c r="AH414">
        <v>2</v>
      </c>
      <c r="AI414">
        <v>129763659</v>
      </c>
      <c r="AJ414">
        <v>412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</row>
    <row r="415" spans="1:44" x14ac:dyDescent="0.2">
      <c r="A415">
        <f>ROW(Source!A384)</f>
        <v>384</v>
      </c>
      <c r="B415">
        <v>129763663</v>
      </c>
      <c r="C415">
        <v>129763661</v>
      </c>
      <c r="D415">
        <v>39148095</v>
      </c>
      <c r="E415">
        <v>1</v>
      </c>
      <c r="F415">
        <v>1</v>
      </c>
      <c r="G415">
        <v>37345137</v>
      </c>
      <c r="H415">
        <v>2</v>
      </c>
      <c r="I415" t="s">
        <v>1291</v>
      </c>
      <c r="J415" t="s">
        <v>1292</v>
      </c>
      <c r="K415" t="s">
        <v>1293</v>
      </c>
      <c r="L415">
        <v>1367</v>
      </c>
      <c r="N415">
        <v>1011</v>
      </c>
      <c r="O415" t="s">
        <v>1102</v>
      </c>
      <c r="P415" t="s">
        <v>1102</v>
      </c>
      <c r="Q415">
        <v>1</v>
      </c>
      <c r="X415">
        <v>1</v>
      </c>
      <c r="Y415">
        <v>0</v>
      </c>
      <c r="Z415">
        <v>115.66</v>
      </c>
      <c r="AA415">
        <v>14.4</v>
      </c>
      <c r="AB415">
        <v>0</v>
      </c>
      <c r="AC415">
        <v>0</v>
      </c>
      <c r="AD415">
        <v>1</v>
      </c>
      <c r="AE415">
        <v>0</v>
      </c>
      <c r="AF415" t="s">
        <v>3</v>
      </c>
      <c r="AG415">
        <v>1</v>
      </c>
      <c r="AH415">
        <v>2</v>
      </c>
      <c r="AI415">
        <v>129763662</v>
      </c>
      <c r="AJ415">
        <v>413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</row>
    <row r="416" spans="1:44" x14ac:dyDescent="0.2">
      <c r="A416">
        <f>ROW(Source!A385)</f>
        <v>385</v>
      </c>
      <c r="B416">
        <v>129763663</v>
      </c>
      <c r="C416">
        <v>129763661</v>
      </c>
      <c r="D416">
        <v>39148095</v>
      </c>
      <c r="E416">
        <v>1</v>
      </c>
      <c r="F416">
        <v>1</v>
      </c>
      <c r="G416">
        <v>37345137</v>
      </c>
      <c r="H416">
        <v>2</v>
      </c>
      <c r="I416" t="s">
        <v>1291</v>
      </c>
      <c r="J416" t="s">
        <v>1292</v>
      </c>
      <c r="K416" t="s">
        <v>1293</v>
      </c>
      <c r="L416">
        <v>1367</v>
      </c>
      <c r="N416">
        <v>1011</v>
      </c>
      <c r="O416" t="s">
        <v>1102</v>
      </c>
      <c r="P416" t="s">
        <v>1102</v>
      </c>
      <c r="Q416">
        <v>1</v>
      </c>
      <c r="X416">
        <v>1</v>
      </c>
      <c r="Y416">
        <v>0</v>
      </c>
      <c r="Z416">
        <v>115.66</v>
      </c>
      <c r="AA416">
        <v>14.4</v>
      </c>
      <c r="AB416">
        <v>0</v>
      </c>
      <c r="AC416">
        <v>0</v>
      </c>
      <c r="AD416">
        <v>1</v>
      </c>
      <c r="AE416">
        <v>0</v>
      </c>
      <c r="AF416" t="s">
        <v>3</v>
      </c>
      <c r="AG416">
        <v>1</v>
      </c>
      <c r="AH416">
        <v>2</v>
      </c>
      <c r="AI416">
        <v>129763662</v>
      </c>
      <c r="AJ416">
        <v>414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</row>
    <row r="417" spans="1:44" x14ac:dyDescent="0.2">
      <c r="A417">
        <f>ROW(Source!A386)</f>
        <v>386</v>
      </c>
      <c r="B417">
        <v>129763666</v>
      </c>
      <c r="C417">
        <v>129763664</v>
      </c>
      <c r="D417">
        <v>37345890</v>
      </c>
      <c r="E417">
        <v>37345137</v>
      </c>
      <c r="F417">
        <v>1</v>
      </c>
      <c r="G417">
        <v>37345137</v>
      </c>
      <c r="H417">
        <v>2</v>
      </c>
      <c r="I417" t="s">
        <v>1145</v>
      </c>
      <c r="J417" t="s">
        <v>3</v>
      </c>
      <c r="K417" t="s">
        <v>1146</v>
      </c>
      <c r="L417">
        <v>1344</v>
      </c>
      <c r="N417">
        <v>1008</v>
      </c>
      <c r="O417" t="s">
        <v>1138</v>
      </c>
      <c r="P417" t="s">
        <v>1138</v>
      </c>
      <c r="Q417">
        <v>1</v>
      </c>
      <c r="X417">
        <v>31.67</v>
      </c>
      <c r="Y417">
        <v>0</v>
      </c>
      <c r="Z417">
        <v>1</v>
      </c>
      <c r="AA417">
        <v>0</v>
      </c>
      <c r="AB417">
        <v>0</v>
      </c>
      <c r="AC417">
        <v>0</v>
      </c>
      <c r="AD417">
        <v>1</v>
      </c>
      <c r="AE417">
        <v>0</v>
      </c>
      <c r="AF417" t="s">
        <v>3</v>
      </c>
      <c r="AG417">
        <v>31.67</v>
      </c>
      <c r="AH417">
        <v>2</v>
      </c>
      <c r="AI417">
        <v>129763665</v>
      </c>
      <c r="AJ417">
        <v>415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</row>
    <row r="418" spans="1:44" x14ac:dyDescent="0.2">
      <c r="A418">
        <f>ROW(Source!A387)</f>
        <v>387</v>
      </c>
      <c r="B418">
        <v>129763666</v>
      </c>
      <c r="C418">
        <v>129763664</v>
      </c>
      <c r="D418">
        <v>37345890</v>
      </c>
      <c r="E418">
        <v>37345137</v>
      </c>
      <c r="F418">
        <v>1</v>
      </c>
      <c r="G418">
        <v>37345137</v>
      </c>
      <c r="H418">
        <v>2</v>
      </c>
      <c r="I418" t="s">
        <v>1145</v>
      </c>
      <c r="J418" t="s">
        <v>3</v>
      </c>
      <c r="K418" t="s">
        <v>1146</v>
      </c>
      <c r="L418">
        <v>1344</v>
      </c>
      <c r="N418">
        <v>1008</v>
      </c>
      <c r="O418" t="s">
        <v>1138</v>
      </c>
      <c r="P418" t="s">
        <v>1138</v>
      </c>
      <c r="Q418">
        <v>1</v>
      </c>
      <c r="X418">
        <v>31.67</v>
      </c>
      <c r="Y418">
        <v>0</v>
      </c>
      <c r="Z418">
        <v>1</v>
      </c>
      <c r="AA418">
        <v>0</v>
      </c>
      <c r="AB418">
        <v>0</v>
      </c>
      <c r="AC418">
        <v>0</v>
      </c>
      <c r="AD418">
        <v>1</v>
      </c>
      <c r="AE418">
        <v>0</v>
      </c>
      <c r="AF418" t="s">
        <v>3</v>
      </c>
      <c r="AG418">
        <v>31.67</v>
      </c>
      <c r="AH418">
        <v>2</v>
      </c>
      <c r="AI418">
        <v>129763665</v>
      </c>
      <c r="AJ418">
        <v>416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</row>
    <row r="419" spans="1:44" x14ac:dyDescent="0.2">
      <c r="A419">
        <f>ROW(Source!A388)</f>
        <v>388</v>
      </c>
      <c r="B419">
        <v>129763669</v>
      </c>
      <c r="C419">
        <v>129763667</v>
      </c>
      <c r="D419">
        <v>37345890</v>
      </c>
      <c r="E419">
        <v>37345137</v>
      </c>
      <c r="F419">
        <v>1</v>
      </c>
      <c r="G419">
        <v>37345137</v>
      </c>
      <c r="H419">
        <v>2</v>
      </c>
      <c r="I419" t="s">
        <v>1145</v>
      </c>
      <c r="J419" t="s">
        <v>3</v>
      </c>
      <c r="K419" t="s">
        <v>1146</v>
      </c>
      <c r="L419">
        <v>1344</v>
      </c>
      <c r="N419">
        <v>1008</v>
      </c>
      <c r="O419" t="s">
        <v>1138</v>
      </c>
      <c r="P419" t="s">
        <v>1138</v>
      </c>
      <c r="Q419">
        <v>1</v>
      </c>
      <c r="X419">
        <v>22.57</v>
      </c>
      <c r="Y419">
        <v>0</v>
      </c>
      <c r="Z419">
        <v>1</v>
      </c>
      <c r="AA419">
        <v>0</v>
      </c>
      <c r="AB419">
        <v>0</v>
      </c>
      <c r="AC419">
        <v>0</v>
      </c>
      <c r="AD419">
        <v>1</v>
      </c>
      <c r="AE419">
        <v>0</v>
      </c>
      <c r="AF419" t="s">
        <v>3</v>
      </c>
      <c r="AG419">
        <v>22.57</v>
      </c>
      <c r="AH419">
        <v>2</v>
      </c>
      <c r="AI419">
        <v>129763668</v>
      </c>
      <c r="AJ419">
        <v>417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</row>
    <row r="420" spans="1:44" x14ac:dyDescent="0.2">
      <c r="A420">
        <f>ROW(Source!A389)</f>
        <v>389</v>
      </c>
      <c r="B420">
        <v>129763669</v>
      </c>
      <c r="C420">
        <v>129763667</v>
      </c>
      <c r="D420">
        <v>37345890</v>
      </c>
      <c r="E420">
        <v>37345137</v>
      </c>
      <c r="F420">
        <v>1</v>
      </c>
      <c r="G420">
        <v>37345137</v>
      </c>
      <c r="H420">
        <v>2</v>
      </c>
      <c r="I420" t="s">
        <v>1145</v>
      </c>
      <c r="J420" t="s">
        <v>3</v>
      </c>
      <c r="K420" t="s">
        <v>1146</v>
      </c>
      <c r="L420">
        <v>1344</v>
      </c>
      <c r="N420">
        <v>1008</v>
      </c>
      <c r="O420" t="s">
        <v>1138</v>
      </c>
      <c r="P420" t="s">
        <v>1138</v>
      </c>
      <c r="Q420">
        <v>1</v>
      </c>
      <c r="X420">
        <v>22.57</v>
      </c>
      <c r="Y420">
        <v>0</v>
      </c>
      <c r="Z420">
        <v>1</v>
      </c>
      <c r="AA420">
        <v>0</v>
      </c>
      <c r="AB420">
        <v>0</v>
      </c>
      <c r="AC420">
        <v>0</v>
      </c>
      <c r="AD420">
        <v>1</v>
      </c>
      <c r="AE420">
        <v>0</v>
      </c>
      <c r="AF420" t="s">
        <v>3</v>
      </c>
      <c r="AG420">
        <v>22.57</v>
      </c>
      <c r="AH420">
        <v>2</v>
      </c>
      <c r="AI420">
        <v>129763668</v>
      </c>
      <c r="AJ420">
        <v>418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</row>
    <row r="421" spans="1:44" x14ac:dyDescent="0.2">
      <c r="A421">
        <f>ROW(Source!A459)</f>
        <v>459</v>
      </c>
      <c r="B421">
        <v>129763676</v>
      </c>
      <c r="C421">
        <v>129763670</v>
      </c>
      <c r="D421">
        <v>37345142</v>
      </c>
      <c r="E421">
        <v>37345137</v>
      </c>
      <c r="F421">
        <v>1</v>
      </c>
      <c r="G421">
        <v>37345137</v>
      </c>
      <c r="H421">
        <v>1</v>
      </c>
      <c r="I421" t="s">
        <v>1096</v>
      </c>
      <c r="J421" t="s">
        <v>3</v>
      </c>
      <c r="K421" t="s">
        <v>1097</v>
      </c>
      <c r="L421">
        <v>1191</v>
      </c>
      <c r="N421">
        <v>1013</v>
      </c>
      <c r="O421" t="s">
        <v>1098</v>
      </c>
      <c r="P421" t="s">
        <v>1098</v>
      </c>
      <c r="Q421">
        <v>1</v>
      </c>
      <c r="X421">
        <v>212.41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1</v>
      </c>
      <c r="AE421">
        <v>1</v>
      </c>
      <c r="AF421" t="s">
        <v>505</v>
      </c>
      <c r="AG421">
        <v>70.095300000000009</v>
      </c>
      <c r="AH421">
        <v>2</v>
      </c>
      <c r="AI421">
        <v>129763671</v>
      </c>
      <c r="AJ421">
        <v>419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</row>
    <row r="422" spans="1:44" x14ac:dyDescent="0.2">
      <c r="A422">
        <f>ROW(Source!A459)</f>
        <v>459</v>
      </c>
      <c r="B422">
        <v>129763677</v>
      </c>
      <c r="C422">
        <v>129763670</v>
      </c>
      <c r="D422">
        <v>37418063</v>
      </c>
      <c r="E422">
        <v>1</v>
      </c>
      <c r="F422">
        <v>1</v>
      </c>
      <c r="G422">
        <v>37345137</v>
      </c>
      <c r="H422">
        <v>2</v>
      </c>
      <c r="I422" t="s">
        <v>1153</v>
      </c>
      <c r="J422" t="s">
        <v>1154</v>
      </c>
      <c r="K422" t="s">
        <v>1155</v>
      </c>
      <c r="L422">
        <v>1367</v>
      </c>
      <c r="N422">
        <v>1011</v>
      </c>
      <c r="O422" t="s">
        <v>1102</v>
      </c>
      <c r="P422" t="s">
        <v>1102</v>
      </c>
      <c r="Q422">
        <v>1</v>
      </c>
      <c r="X422">
        <v>27.5</v>
      </c>
      <c r="Y422">
        <v>0</v>
      </c>
      <c r="Z422">
        <v>41.62</v>
      </c>
      <c r="AA422">
        <v>13.33</v>
      </c>
      <c r="AB422">
        <v>0</v>
      </c>
      <c r="AC422">
        <v>0</v>
      </c>
      <c r="AD422">
        <v>1</v>
      </c>
      <c r="AE422">
        <v>0</v>
      </c>
      <c r="AF422" t="s">
        <v>3</v>
      </c>
      <c r="AG422">
        <v>27.5</v>
      </c>
      <c r="AH422">
        <v>2</v>
      </c>
      <c r="AI422">
        <v>129763672</v>
      </c>
      <c r="AJ422">
        <v>420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</row>
    <row r="423" spans="1:44" x14ac:dyDescent="0.2">
      <c r="A423">
        <f>ROW(Source!A459)</f>
        <v>459</v>
      </c>
      <c r="B423">
        <v>129763678</v>
      </c>
      <c r="C423">
        <v>129763670</v>
      </c>
      <c r="D423">
        <v>37418523</v>
      </c>
      <c r="E423">
        <v>1</v>
      </c>
      <c r="F423">
        <v>1</v>
      </c>
      <c r="G423">
        <v>37345137</v>
      </c>
      <c r="H423">
        <v>2</v>
      </c>
      <c r="I423" t="s">
        <v>1156</v>
      </c>
      <c r="J423" t="s">
        <v>1157</v>
      </c>
      <c r="K423" t="s">
        <v>1158</v>
      </c>
      <c r="L423">
        <v>1367</v>
      </c>
      <c r="N423">
        <v>1011</v>
      </c>
      <c r="O423" t="s">
        <v>1102</v>
      </c>
      <c r="P423" t="s">
        <v>1102</v>
      </c>
      <c r="Q423">
        <v>1</v>
      </c>
      <c r="X423">
        <v>27.5</v>
      </c>
      <c r="Y423">
        <v>0</v>
      </c>
      <c r="Z423">
        <v>3.16</v>
      </c>
      <c r="AA423">
        <v>0.04</v>
      </c>
      <c r="AB423">
        <v>0</v>
      </c>
      <c r="AC423">
        <v>0</v>
      </c>
      <c r="AD423">
        <v>1</v>
      </c>
      <c r="AE423">
        <v>0</v>
      </c>
      <c r="AF423" t="s">
        <v>3</v>
      </c>
      <c r="AG423">
        <v>27.5</v>
      </c>
      <c r="AH423">
        <v>2</v>
      </c>
      <c r="AI423">
        <v>129763673</v>
      </c>
      <c r="AJ423">
        <v>421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</row>
    <row r="424" spans="1:44" x14ac:dyDescent="0.2">
      <c r="A424">
        <f>ROW(Source!A459)</f>
        <v>459</v>
      </c>
      <c r="B424">
        <v>129763679</v>
      </c>
      <c r="C424">
        <v>129763670</v>
      </c>
      <c r="D424">
        <v>37345890</v>
      </c>
      <c r="E424">
        <v>37345137</v>
      </c>
      <c r="F424">
        <v>1</v>
      </c>
      <c r="G424">
        <v>37345137</v>
      </c>
      <c r="H424">
        <v>2</v>
      </c>
      <c r="I424" t="s">
        <v>1145</v>
      </c>
      <c r="J424" t="s">
        <v>3</v>
      </c>
      <c r="K424" t="s">
        <v>1146</v>
      </c>
      <c r="L424">
        <v>1344</v>
      </c>
      <c r="N424">
        <v>1008</v>
      </c>
      <c r="O424" t="s">
        <v>1138</v>
      </c>
      <c r="P424" t="s">
        <v>1138</v>
      </c>
      <c r="Q424">
        <v>1</v>
      </c>
      <c r="X424">
        <v>162.80000000000001</v>
      </c>
      <c r="Y424">
        <v>0</v>
      </c>
      <c r="Z424">
        <v>1</v>
      </c>
      <c r="AA424">
        <v>0</v>
      </c>
      <c r="AB424">
        <v>0</v>
      </c>
      <c r="AC424">
        <v>0</v>
      </c>
      <c r="AD424">
        <v>1</v>
      </c>
      <c r="AE424">
        <v>0</v>
      </c>
      <c r="AF424" t="s">
        <v>3</v>
      </c>
      <c r="AG424">
        <v>162.80000000000001</v>
      </c>
      <c r="AH424">
        <v>2</v>
      </c>
      <c r="AI424">
        <v>129763674</v>
      </c>
      <c r="AJ424">
        <v>422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</row>
    <row r="425" spans="1:44" x14ac:dyDescent="0.2">
      <c r="A425">
        <f>ROW(Source!A459)</f>
        <v>459</v>
      </c>
      <c r="B425">
        <v>129763680</v>
      </c>
      <c r="C425">
        <v>129763670</v>
      </c>
      <c r="D425">
        <v>37367068</v>
      </c>
      <c r="E425">
        <v>37345137</v>
      </c>
      <c r="F425">
        <v>1</v>
      </c>
      <c r="G425">
        <v>37345137</v>
      </c>
      <c r="H425">
        <v>3</v>
      </c>
      <c r="I425" t="s">
        <v>162</v>
      </c>
      <c r="J425" t="s">
        <v>3</v>
      </c>
      <c r="K425" t="s">
        <v>163</v>
      </c>
      <c r="L425">
        <v>1348</v>
      </c>
      <c r="N425">
        <v>1009</v>
      </c>
      <c r="O425" t="s">
        <v>114</v>
      </c>
      <c r="P425" t="s">
        <v>114</v>
      </c>
      <c r="Q425">
        <v>1000</v>
      </c>
      <c r="X425">
        <v>20.61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1</v>
      </c>
      <c r="AE425">
        <v>0</v>
      </c>
      <c r="AF425" t="s">
        <v>3</v>
      </c>
      <c r="AG425">
        <v>20.61</v>
      </c>
      <c r="AH425">
        <v>2</v>
      </c>
      <c r="AI425">
        <v>129763675</v>
      </c>
      <c r="AJ425">
        <v>423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</row>
    <row r="426" spans="1:44" x14ac:dyDescent="0.2">
      <c r="A426">
        <f>ROW(Source!A460)</f>
        <v>460</v>
      </c>
      <c r="B426">
        <v>129763676</v>
      </c>
      <c r="C426">
        <v>129763670</v>
      </c>
      <c r="D426">
        <v>37345142</v>
      </c>
      <c r="E426">
        <v>37345137</v>
      </c>
      <c r="F426">
        <v>1</v>
      </c>
      <c r="G426">
        <v>37345137</v>
      </c>
      <c r="H426">
        <v>1</v>
      </c>
      <c r="I426" t="s">
        <v>1096</v>
      </c>
      <c r="J426" t="s">
        <v>3</v>
      </c>
      <c r="K426" t="s">
        <v>1097</v>
      </c>
      <c r="L426">
        <v>1191</v>
      </c>
      <c r="N426">
        <v>1013</v>
      </c>
      <c r="O426" t="s">
        <v>1098</v>
      </c>
      <c r="P426" t="s">
        <v>1098</v>
      </c>
      <c r="Q426">
        <v>1</v>
      </c>
      <c r="X426">
        <v>212.41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1</v>
      </c>
      <c r="AE426">
        <v>1</v>
      </c>
      <c r="AF426" t="s">
        <v>505</v>
      </c>
      <c r="AG426">
        <v>70.095300000000009</v>
      </c>
      <c r="AH426">
        <v>2</v>
      </c>
      <c r="AI426">
        <v>129763671</v>
      </c>
      <c r="AJ426">
        <v>424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</row>
    <row r="427" spans="1:44" x14ac:dyDescent="0.2">
      <c r="A427">
        <f>ROW(Source!A460)</f>
        <v>460</v>
      </c>
      <c r="B427">
        <v>129763677</v>
      </c>
      <c r="C427">
        <v>129763670</v>
      </c>
      <c r="D427">
        <v>37418063</v>
      </c>
      <c r="E427">
        <v>1</v>
      </c>
      <c r="F427">
        <v>1</v>
      </c>
      <c r="G427">
        <v>37345137</v>
      </c>
      <c r="H427">
        <v>2</v>
      </c>
      <c r="I427" t="s">
        <v>1153</v>
      </c>
      <c r="J427" t="s">
        <v>1154</v>
      </c>
      <c r="K427" t="s">
        <v>1155</v>
      </c>
      <c r="L427">
        <v>1367</v>
      </c>
      <c r="N427">
        <v>1011</v>
      </c>
      <c r="O427" t="s">
        <v>1102</v>
      </c>
      <c r="P427" t="s">
        <v>1102</v>
      </c>
      <c r="Q427">
        <v>1</v>
      </c>
      <c r="X427">
        <v>27.5</v>
      </c>
      <c r="Y427">
        <v>0</v>
      </c>
      <c r="Z427">
        <v>41.62</v>
      </c>
      <c r="AA427">
        <v>13.33</v>
      </c>
      <c r="AB427">
        <v>0</v>
      </c>
      <c r="AC427">
        <v>0</v>
      </c>
      <c r="AD427">
        <v>1</v>
      </c>
      <c r="AE427">
        <v>0</v>
      </c>
      <c r="AF427" t="s">
        <v>3</v>
      </c>
      <c r="AG427">
        <v>27.5</v>
      </c>
      <c r="AH427">
        <v>2</v>
      </c>
      <c r="AI427">
        <v>129763672</v>
      </c>
      <c r="AJ427">
        <v>425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</row>
    <row r="428" spans="1:44" x14ac:dyDescent="0.2">
      <c r="A428">
        <f>ROW(Source!A460)</f>
        <v>460</v>
      </c>
      <c r="B428">
        <v>129763678</v>
      </c>
      <c r="C428">
        <v>129763670</v>
      </c>
      <c r="D428">
        <v>37418523</v>
      </c>
      <c r="E428">
        <v>1</v>
      </c>
      <c r="F428">
        <v>1</v>
      </c>
      <c r="G428">
        <v>37345137</v>
      </c>
      <c r="H428">
        <v>2</v>
      </c>
      <c r="I428" t="s">
        <v>1156</v>
      </c>
      <c r="J428" t="s">
        <v>1157</v>
      </c>
      <c r="K428" t="s">
        <v>1158</v>
      </c>
      <c r="L428">
        <v>1367</v>
      </c>
      <c r="N428">
        <v>1011</v>
      </c>
      <c r="O428" t="s">
        <v>1102</v>
      </c>
      <c r="P428" t="s">
        <v>1102</v>
      </c>
      <c r="Q428">
        <v>1</v>
      </c>
      <c r="X428">
        <v>27.5</v>
      </c>
      <c r="Y428">
        <v>0</v>
      </c>
      <c r="Z428">
        <v>3.16</v>
      </c>
      <c r="AA428">
        <v>0.04</v>
      </c>
      <c r="AB428">
        <v>0</v>
      </c>
      <c r="AC428">
        <v>0</v>
      </c>
      <c r="AD428">
        <v>1</v>
      </c>
      <c r="AE428">
        <v>0</v>
      </c>
      <c r="AF428" t="s">
        <v>3</v>
      </c>
      <c r="AG428">
        <v>27.5</v>
      </c>
      <c r="AH428">
        <v>2</v>
      </c>
      <c r="AI428">
        <v>129763673</v>
      </c>
      <c r="AJ428">
        <v>426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</row>
    <row r="429" spans="1:44" x14ac:dyDescent="0.2">
      <c r="A429">
        <f>ROW(Source!A460)</f>
        <v>460</v>
      </c>
      <c r="B429">
        <v>129763679</v>
      </c>
      <c r="C429">
        <v>129763670</v>
      </c>
      <c r="D429">
        <v>37345890</v>
      </c>
      <c r="E429">
        <v>37345137</v>
      </c>
      <c r="F429">
        <v>1</v>
      </c>
      <c r="G429">
        <v>37345137</v>
      </c>
      <c r="H429">
        <v>2</v>
      </c>
      <c r="I429" t="s">
        <v>1145</v>
      </c>
      <c r="J429" t="s">
        <v>3</v>
      </c>
      <c r="K429" t="s">
        <v>1146</v>
      </c>
      <c r="L429">
        <v>1344</v>
      </c>
      <c r="N429">
        <v>1008</v>
      </c>
      <c r="O429" t="s">
        <v>1138</v>
      </c>
      <c r="P429" t="s">
        <v>1138</v>
      </c>
      <c r="Q429">
        <v>1</v>
      </c>
      <c r="X429">
        <v>162.80000000000001</v>
      </c>
      <c r="Y429">
        <v>0</v>
      </c>
      <c r="Z429">
        <v>1</v>
      </c>
      <c r="AA429">
        <v>0</v>
      </c>
      <c r="AB429">
        <v>0</v>
      </c>
      <c r="AC429">
        <v>0</v>
      </c>
      <c r="AD429">
        <v>1</v>
      </c>
      <c r="AE429">
        <v>0</v>
      </c>
      <c r="AF429" t="s">
        <v>3</v>
      </c>
      <c r="AG429">
        <v>162.80000000000001</v>
      </c>
      <c r="AH429">
        <v>2</v>
      </c>
      <c r="AI429">
        <v>129763674</v>
      </c>
      <c r="AJ429">
        <v>427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</row>
    <row r="430" spans="1:44" x14ac:dyDescent="0.2">
      <c r="A430">
        <f>ROW(Source!A460)</f>
        <v>460</v>
      </c>
      <c r="B430">
        <v>129763680</v>
      </c>
      <c r="C430">
        <v>129763670</v>
      </c>
      <c r="D430">
        <v>37367068</v>
      </c>
      <c r="E430">
        <v>37345137</v>
      </c>
      <c r="F430">
        <v>1</v>
      </c>
      <c r="G430">
        <v>37345137</v>
      </c>
      <c r="H430">
        <v>3</v>
      </c>
      <c r="I430" t="s">
        <v>162</v>
      </c>
      <c r="J430" t="s">
        <v>3</v>
      </c>
      <c r="K430" t="s">
        <v>163</v>
      </c>
      <c r="L430">
        <v>1348</v>
      </c>
      <c r="N430">
        <v>1009</v>
      </c>
      <c r="O430" t="s">
        <v>114</v>
      </c>
      <c r="P430" t="s">
        <v>114</v>
      </c>
      <c r="Q430">
        <v>1000</v>
      </c>
      <c r="X430">
        <v>20.61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1</v>
      </c>
      <c r="AE430">
        <v>0</v>
      </c>
      <c r="AF430" t="s">
        <v>3</v>
      </c>
      <c r="AG430">
        <v>20.61</v>
      </c>
      <c r="AH430">
        <v>2</v>
      </c>
      <c r="AI430">
        <v>129763675</v>
      </c>
      <c r="AJ430">
        <v>428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</row>
    <row r="431" spans="1:44" x14ac:dyDescent="0.2">
      <c r="A431">
        <f>ROW(Source!A463)</f>
        <v>463</v>
      </c>
      <c r="B431">
        <v>129763692</v>
      </c>
      <c r="C431">
        <v>129763682</v>
      </c>
      <c r="D431">
        <v>37345142</v>
      </c>
      <c r="E431">
        <v>37345137</v>
      </c>
      <c r="F431">
        <v>1</v>
      </c>
      <c r="G431">
        <v>37345137</v>
      </c>
      <c r="H431">
        <v>1</v>
      </c>
      <c r="I431" t="s">
        <v>1096</v>
      </c>
      <c r="J431" t="s">
        <v>3</v>
      </c>
      <c r="K431" t="s">
        <v>1097</v>
      </c>
      <c r="L431">
        <v>1191</v>
      </c>
      <c r="N431">
        <v>1013</v>
      </c>
      <c r="O431" t="s">
        <v>1098</v>
      </c>
      <c r="P431" t="s">
        <v>1098</v>
      </c>
      <c r="Q431">
        <v>1</v>
      </c>
      <c r="X431">
        <v>91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1</v>
      </c>
      <c r="AE431">
        <v>1</v>
      </c>
      <c r="AF431" t="s">
        <v>142</v>
      </c>
      <c r="AG431">
        <v>54.6</v>
      </c>
      <c r="AH431">
        <v>2</v>
      </c>
      <c r="AI431">
        <v>129763683</v>
      </c>
      <c r="AJ431">
        <v>429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</row>
    <row r="432" spans="1:44" x14ac:dyDescent="0.2">
      <c r="A432">
        <f>ROW(Source!A463)</f>
        <v>463</v>
      </c>
      <c r="B432">
        <v>129763693</v>
      </c>
      <c r="C432">
        <v>129763682</v>
      </c>
      <c r="D432">
        <v>37418162</v>
      </c>
      <c r="E432">
        <v>1</v>
      </c>
      <c r="F432">
        <v>1</v>
      </c>
      <c r="G432">
        <v>37345137</v>
      </c>
      <c r="H432">
        <v>2</v>
      </c>
      <c r="I432" t="s">
        <v>1174</v>
      </c>
      <c r="J432" t="s">
        <v>1175</v>
      </c>
      <c r="K432" t="s">
        <v>1176</v>
      </c>
      <c r="L432">
        <v>1367</v>
      </c>
      <c r="N432">
        <v>1011</v>
      </c>
      <c r="O432" t="s">
        <v>1102</v>
      </c>
      <c r="P432" t="s">
        <v>1102</v>
      </c>
      <c r="Q432">
        <v>1</v>
      </c>
      <c r="X432">
        <v>27.3</v>
      </c>
      <c r="Y432">
        <v>0</v>
      </c>
      <c r="Z432">
        <v>6.15</v>
      </c>
      <c r="AA432">
        <v>0.02</v>
      </c>
      <c r="AB432">
        <v>0</v>
      </c>
      <c r="AC432">
        <v>0</v>
      </c>
      <c r="AD432">
        <v>1</v>
      </c>
      <c r="AE432">
        <v>0</v>
      </c>
      <c r="AF432" t="s">
        <v>142</v>
      </c>
      <c r="AG432">
        <v>16.38</v>
      </c>
      <c r="AH432">
        <v>2</v>
      </c>
      <c r="AI432">
        <v>129763684</v>
      </c>
      <c r="AJ432">
        <v>430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</row>
    <row r="433" spans="1:44" x14ac:dyDescent="0.2">
      <c r="A433">
        <f>ROW(Source!A463)</f>
        <v>463</v>
      </c>
      <c r="B433">
        <v>129763694</v>
      </c>
      <c r="C433">
        <v>129763682</v>
      </c>
      <c r="D433">
        <v>37418164</v>
      </c>
      <c r="E433">
        <v>1</v>
      </c>
      <c r="F433">
        <v>1</v>
      </c>
      <c r="G433">
        <v>37345137</v>
      </c>
      <c r="H433">
        <v>2</v>
      </c>
      <c r="I433" t="s">
        <v>1294</v>
      </c>
      <c r="J433" t="s">
        <v>1295</v>
      </c>
      <c r="K433" t="s">
        <v>1296</v>
      </c>
      <c r="L433">
        <v>1367</v>
      </c>
      <c r="N433">
        <v>1011</v>
      </c>
      <c r="O433" t="s">
        <v>1102</v>
      </c>
      <c r="P433" t="s">
        <v>1102</v>
      </c>
      <c r="Q433">
        <v>1</v>
      </c>
      <c r="X433">
        <v>1</v>
      </c>
      <c r="Y433">
        <v>0</v>
      </c>
      <c r="Z433">
        <v>1.0900000000000001</v>
      </c>
      <c r="AA433">
        <v>0.09</v>
      </c>
      <c r="AB433">
        <v>0</v>
      </c>
      <c r="AC433">
        <v>0</v>
      </c>
      <c r="AD433">
        <v>1</v>
      </c>
      <c r="AE433">
        <v>0</v>
      </c>
      <c r="AF433" t="s">
        <v>142</v>
      </c>
      <c r="AG433">
        <v>0.6</v>
      </c>
      <c r="AH433">
        <v>2</v>
      </c>
      <c r="AI433">
        <v>129763685</v>
      </c>
      <c r="AJ433">
        <v>431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</row>
    <row r="434" spans="1:44" x14ac:dyDescent="0.2">
      <c r="A434">
        <f>ROW(Source!A463)</f>
        <v>463</v>
      </c>
      <c r="B434">
        <v>129763695</v>
      </c>
      <c r="C434">
        <v>129763682</v>
      </c>
      <c r="D434">
        <v>37418491</v>
      </c>
      <c r="E434">
        <v>1</v>
      </c>
      <c r="F434">
        <v>1</v>
      </c>
      <c r="G434">
        <v>37345137</v>
      </c>
      <c r="H434">
        <v>2</v>
      </c>
      <c r="I434" t="s">
        <v>1177</v>
      </c>
      <c r="J434" t="s">
        <v>1178</v>
      </c>
      <c r="K434" t="s">
        <v>1179</v>
      </c>
      <c r="L434">
        <v>1367</v>
      </c>
      <c r="N434">
        <v>1011</v>
      </c>
      <c r="O434" t="s">
        <v>1102</v>
      </c>
      <c r="P434" t="s">
        <v>1102</v>
      </c>
      <c r="Q434">
        <v>1</v>
      </c>
      <c r="X434">
        <v>1.1000000000000001</v>
      </c>
      <c r="Y434">
        <v>0</v>
      </c>
      <c r="Z434">
        <v>0.44</v>
      </c>
      <c r="AA434">
        <v>0</v>
      </c>
      <c r="AB434">
        <v>0</v>
      </c>
      <c r="AC434">
        <v>0</v>
      </c>
      <c r="AD434">
        <v>1</v>
      </c>
      <c r="AE434">
        <v>0</v>
      </c>
      <c r="AF434" t="s">
        <v>142</v>
      </c>
      <c r="AG434">
        <v>0.66</v>
      </c>
      <c r="AH434">
        <v>2</v>
      </c>
      <c r="AI434">
        <v>129763686</v>
      </c>
      <c r="AJ434">
        <v>432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</row>
    <row r="435" spans="1:44" x14ac:dyDescent="0.2">
      <c r="A435">
        <f>ROW(Source!A463)</f>
        <v>463</v>
      </c>
      <c r="B435">
        <v>129763696</v>
      </c>
      <c r="C435">
        <v>129763682</v>
      </c>
      <c r="D435">
        <v>37418479</v>
      </c>
      <c r="E435">
        <v>1</v>
      </c>
      <c r="F435">
        <v>1</v>
      </c>
      <c r="G435">
        <v>37345137</v>
      </c>
      <c r="H435">
        <v>2</v>
      </c>
      <c r="I435" t="s">
        <v>1183</v>
      </c>
      <c r="J435" t="s">
        <v>1184</v>
      </c>
      <c r="K435" t="s">
        <v>1185</v>
      </c>
      <c r="L435">
        <v>1367</v>
      </c>
      <c r="N435">
        <v>1011</v>
      </c>
      <c r="O435" t="s">
        <v>1102</v>
      </c>
      <c r="P435" t="s">
        <v>1102</v>
      </c>
      <c r="Q435">
        <v>1</v>
      </c>
      <c r="X435">
        <v>0.3</v>
      </c>
      <c r="Y435">
        <v>0</v>
      </c>
      <c r="Z435">
        <v>2.36</v>
      </c>
      <c r="AA435">
        <v>0.1</v>
      </c>
      <c r="AB435">
        <v>0</v>
      </c>
      <c r="AC435">
        <v>0</v>
      </c>
      <c r="AD435">
        <v>1</v>
      </c>
      <c r="AE435">
        <v>0</v>
      </c>
      <c r="AF435" t="s">
        <v>142</v>
      </c>
      <c r="AG435">
        <v>0.18</v>
      </c>
      <c r="AH435">
        <v>2</v>
      </c>
      <c r="AI435">
        <v>129763687</v>
      </c>
      <c r="AJ435">
        <v>433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</row>
    <row r="436" spans="1:44" x14ac:dyDescent="0.2">
      <c r="A436">
        <f>ROW(Source!A463)</f>
        <v>463</v>
      </c>
      <c r="B436">
        <v>129763697</v>
      </c>
      <c r="C436">
        <v>129763682</v>
      </c>
      <c r="D436">
        <v>37418532</v>
      </c>
      <c r="E436">
        <v>1</v>
      </c>
      <c r="F436">
        <v>1</v>
      </c>
      <c r="G436">
        <v>37345137</v>
      </c>
      <c r="H436">
        <v>2</v>
      </c>
      <c r="I436" t="s">
        <v>1297</v>
      </c>
      <c r="J436" t="s">
        <v>1298</v>
      </c>
      <c r="K436" t="s">
        <v>1299</v>
      </c>
      <c r="L436">
        <v>1367</v>
      </c>
      <c r="N436">
        <v>1011</v>
      </c>
      <c r="O436" t="s">
        <v>1102</v>
      </c>
      <c r="P436" t="s">
        <v>1102</v>
      </c>
      <c r="Q436">
        <v>1</v>
      </c>
      <c r="X436">
        <v>0.84</v>
      </c>
      <c r="Y436">
        <v>0</v>
      </c>
      <c r="Z436">
        <v>18.309999999999999</v>
      </c>
      <c r="AA436">
        <v>13.46</v>
      </c>
      <c r="AB436">
        <v>0</v>
      </c>
      <c r="AC436">
        <v>0</v>
      </c>
      <c r="AD436">
        <v>1</v>
      </c>
      <c r="AE436">
        <v>0</v>
      </c>
      <c r="AF436" t="s">
        <v>142</v>
      </c>
      <c r="AG436">
        <v>0.504</v>
      </c>
      <c r="AH436">
        <v>2</v>
      </c>
      <c r="AI436">
        <v>129763688</v>
      </c>
      <c r="AJ436">
        <v>434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</row>
    <row r="437" spans="1:44" x14ac:dyDescent="0.2">
      <c r="A437">
        <f>ROW(Source!A463)</f>
        <v>463</v>
      </c>
      <c r="B437">
        <v>129763698</v>
      </c>
      <c r="C437">
        <v>129763682</v>
      </c>
      <c r="D437">
        <v>37345890</v>
      </c>
      <c r="E437">
        <v>37345137</v>
      </c>
      <c r="F437">
        <v>1</v>
      </c>
      <c r="G437">
        <v>37345137</v>
      </c>
      <c r="H437">
        <v>2</v>
      </c>
      <c r="I437" t="s">
        <v>1145</v>
      </c>
      <c r="J437" t="s">
        <v>3</v>
      </c>
      <c r="K437" t="s">
        <v>1146</v>
      </c>
      <c r="L437">
        <v>1344</v>
      </c>
      <c r="N437">
        <v>1008</v>
      </c>
      <c r="O437" t="s">
        <v>1138</v>
      </c>
      <c r="P437" t="s">
        <v>1138</v>
      </c>
      <c r="Q437">
        <v>1</v>
      </c>
      <c r="X437">
        <v>37.229999999999997</v>
      </c>
      <c r="Y437">
        <v>0</v>
      </c>
      <c r="Z437">
        <v>1</v>
      </c>
      <c r="AA437">
        <v>0</v>
      </c>
      <c r="AB437">
        <v>0</v>
      </c>
      <c r="AC437">
        <v>0</v>
      </c>
      <c r="AD437">
        <v>1</v>
      </c>
      <c r="AE437">
        <v>0</v>
      </c>
      <c r="AF437" t="s">
        <v>142</v>
      </c>
      <c r="AG437">
        <v>22.337999999999997</v>
      </c>
      <c r="AH437">
        <v>2</v>
      </c>
      <c r="AI437">
        <v>129763689</v>
      </c>
      <c r="AJ437">
        <v>435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</row>
    <row r="438" spans="1:44" x14ac:dyDescent="0.2">
      <c r="A438">
        <f>ROW(Source!A463)</f>
        <v>463</v>
      </c>
      <c r="B438">
        <v>129763699</v>
      </c>
      <c r="C438">
        <v>129763682</v>
      </c>
      <c r="D438">
        <v>37367713</v>
      </c>
      <c r="E438">
        <v>37345137</v>
      </c>
      <c r="F438">
        <v>1</v>
      </c>
      <c r="G438">
        <v>37345137</v>
      </c>
      <c r="H438">
        <v>3</v>
      </c>
      <c r="I438" t="s">
        <v>1484</v>
      </c>
      <c r="J438" t="s">
        <v>3</v>
      </c>
      <c r="K438" t="s">
        <v>1485</v>
      </c>
      <c r="L438">
        <v>1339</v>
      </c>
      <c r="N438">
        <v>1007</v>
      </c>
      <c r="O438" t="s">
        <v>94</v>
      </c>
      <c r="P438" t="s">
        <v>94</v>
      </c>
      <c r="Q438">
        <v>1</v>
      </c>
      <c r="X438">
        <v>0.5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 t="s">
        <v>142</v>
      </c>
      <c r="AG438">
        <v>0.3</v>
      </c>
      <c r="AH438">
        <v>3</v>
      </c>
      <c r="AI438">
        <v>-1</v>
      </c>
      <c r="AJ438" t="s">
        <v>3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</row>
    <row r="439" spans="1:44" x14ac:dyDescent="0.2">
      <c r="A439">
        <f>ROW(Source!A463)</f>
        <v>463</v>
      </c>
      <c r="B439">
        <v>129763700</v>
      </c>
      <c r="C439">
        <v>129763682</v>
      </c>
      <c r="D439">
        <v>37358131</v>
      </c>
      <c r="E439">
        <v>37345137</v>
      </c>
      <c r="F439">
        <v>1</v>
      </c>
      <c r="G439">
        <v>37345137</v>
      </c>
      <c r="H439">
        <v>3</v>
      </c>
      <c r="I439" t="s">
        <v>1480</v>
      </c>
      <c r="J439" t="s">
        <v>3</v>
      </c>
      <c r="K439" t="s">
        <v>1486</v>
      </c>
      <c r="L439">
        <v>1348</v>
      </c>
      <c r="N439">
        <v>1009</v>
      </c>
      <c r="O439" t="s">
        <v>114</v>
      </c>
      <c r="P439" t="s">
        <v>114</v>
      </c>
      <c r="Q439">
        <v>1000</v>
      </c>
      <c r="X439">
        <v>1.032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 t="s">
        <v>142</v>
      </c>
      <c r="AG439">
        <v>0.61919999999999997</v>
      </c>
      <c r="AH439">
        <v>3</v>
      </c>
      <c r="AI439">
        <v>-1</v>
      </c>
      <c r="AJ439" t="s">
        <v>3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</row>
    <row r="440" spans="1:44" x14ac:dyDescent="0.2">
      <c r="A440">
        <f>ROW(Source!A463)</f>
        <v>463</v>
      </c>
      <c r="B440">
        <v>129763701</v>
      </c>
      <c r="C440">
        <v>129763682</v>
      </c>
      <c r="D440">
        <v>37394864</v>
      </c>
      <c r="E440">
        <v>1</v>
      </c>
      <c r="F440">
        <v>1</v>
      </c>
      <c r="G440">
        <v>37345137</v>
      </c>
      <c r="H440">
        <v>3</v>
      </c>
      <c r="I440" t="s">
        <v>1147</v>
      </c>
      <c r="J440" t="s">
        <v>1148</v>
      </c>
      <c r="K440" t="s">
        <v>1149</v>
      </c>
      <c r="L440">
        <v>1348</v>
      </c>
      <c r="N440">
        <v>1009</v>
      </c>
      <c r="O440" t="s">
        <v>114</v>
      </c>
      <c r="P440" t="s">
        <v>114</v>
      </c>
      <c r="Q440">
        <v>1000</v>
      </c>
      <c r="X440">
        <v>2.1499999999999998E-2</v>
      </c>
      <c r="Y440">
        <v>7191.81</v>
      </c>
      <c r="Z440">
        <v>0</v>
      </c>
      <c r="AA440">
        <v>0</v>
      </c>
      <c r="AB440">
        <v>0</v>
      </c>
      <c r="AC440">
        <v>0</v>
      </c>
      <c r="AD440">
        <v>1</v>
      </c>
      <c r="AE440">
        <v>0</v>
      </c>
      <c r="AF440" t="s">
        <v>142</v>
      </c>
      <c r="AG440">
        <v>1.2899999999999998E-2</v>
      </c>
      <c r="AH440">
        <v>2</v>
      </c>
      <c r="AI440">
        <v>129763690</v>
      </c>
      <c r="AJ440">
        <v>436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</row>
    <row r="441" spans="1:44" x14ac:dyDescent="0.2">
      <c r="A441">
        <f>ROW(Source!A463)</f>
        <v>463</v>
      </c>
      <c r="B441">
        <v>129763702</v>
      </c>
      <c r="C441">
        <v>129763682</v>
      </c>
      <c r="D441">
        <v>37359799</v>
      </c>
      <c r="E441">
        <v>37345137</v>
      </c>
      <c r="F441">
        <v>1</v>
      </c>
      <c r="G441">
        <v>37345137</v>
      </c>
      <c r="H441">
        <v>3</v>
      </c>
      <c r="I441" t="s">
        <v>1487</v>
      </c>
      <c r="J441" t="s">
        <v>3</v>
      </c>
      <c r="K441" t="s">
        <v>1488</v>
      </c>
      <c r="L441">
        <v>1339</v>
      </c>
      <c r="N441">
        <v>1007</v>
      </c>
      <c r="O441" t="s">
        <v>94</v>
      </c>
      <c r="P441" t="s">
        <v>94</v>
      </c>
      <c r="Q441">
        <v>1</v>
      </c>
      <c r="X441">
        <v>2.6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 t="s">
        <v>142</v>
      </c>
      <c r="AG441">
        <v>1.56</v>
      </c>
      <c r="AH441">
        <v>3</v>
      </c>
      <c r="AI441">
        <v>-1</v>
      </c>
      <c r="AJ441" t="s">
        <v>3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</row>
    <row r="442" spans="1:44" x14ac:dyDescent="0.2">
      <c r="A442">
        <f>ROW(Source!A464)</f>
        <v>464</v>
      </c>
      <c r="B442">
        <v>129763692</v>
      </c>
      <c r="C442">
        <v>129763682</v>
      </c>
      <c r="D442">
        <v>37345142</v>
      </c>
      <c r="E442">
        <v>37345137</v>
      </c>
      <c r="F442">
        <v>1</v>
      </c>
      <c r="G442">
        <v>37345137</v>
      </c>
      <c r="H442">
        <v>1</v>
      </c>
      <c r="I442" t="s">
        <v>1096</v>
      </c>
      <c r="J442" t="s">
        <v>3</v>
      </c>
      <c r="K442" t="s">
        <v>1097</v>
      </c>
      <c r="L442">
        <v>1191</v>
      </c>
      <c r="N442">
        <v>1013</v>
      </c>
      <c r="O442" t="s">
        <v>1098</v>
      </c>
      <c r="P442" t="s">
        <v>1098</v>
      </c>
      <c r="Q442">
        <v>1</v>
      </c>
      <c r="X442">
        <v>91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1</v>
      </c>
      <c r="AE442">
        <v>1</v>
      </c>
      <c r="AF442" t="s">
        <v>142</v>
      </c>
      <c r="AG442">
        <v>54.6</v>
      </c>
      <c r="AH442">
        <v>2</v>
      </c>
      <c r="AI442">
        <v>129763683</v>
      </c>
      <c r="AJ442">
        <v>438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</row>
    <row r="443" spans="1:44" x14ac:dyDescent="0.2">
      <c r="A443">
        <f>ROW(Source!A464)</f>
        <v>464</v>
      </c>
      <c r="B443">
        <v>129763693</v>
      </c>
      <c r="C443">
        <v>129763682</v>
      </c>
      <c r="D443">
        <v>37418162</v>
      </c>
      <c r="E443">
        <v>1</v>
      </c>
      <c r="F443">
        <v>1</v>
      </c>
      <c r="G443">
        <v>37345137</v>
      </c>
      <c r="H443">
        <v>2</v>
      </c>
      <c r="I443" t="s">
        <v>1174</v>
      </c>
      <c r="J443" t="s">
        <v>1175</v>
      </c>
      <c r="K443" t="s">
        <v>1176</v>
      </c>
      <c r="L443">
        <v>1367</v>
      </c>
      <c r="N443">
        <v>1011</v>
      </c>
      <c r="O443" t="s">
        <v>1102</v>
      </c>
      <c r="P443" t="s">
        <v>1102</v>
      </c>
      <c r="Q443">
        <v>1</v>
      </c>
      <c r="X443">
        <v>27.3</v>
      </c>
      <c r="Y443">
        <v>0</v>
      </c>
      <c r="Z443">
        <v>6.15</v>
      </c>
      <c r="AA443">
        <v>0.02</v>
      </c>
      <c r="AB443">
        <v>0</v>
      </c>
      <c r="AC443">
        <v>0</v>
      </c>
      <c r="AD443">
        <v>1</v>
      </c>
      <c r="AE443">
        <v>0</v>
      </c>
      <c r="AF443" t="s">
        <v>142</v>
      </c>
      <c r="AG443">
        <v>16.38</v>
      </c>
      <c r="AH443">
        <v>2</v>
      </c>
      <c r="AI443">
        <v>129763684</v>
      </c>
      <c r="AJ443">
        <v>439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</row>
    <row r="444" spans="1:44" x14ac:dyDescent="0.2">
      <c r="A444">
        <f>ROW(Source!A464)</f>
        <v>464</v>
      </c>
      <c r="B444">
        <v>129763694</v>
      </c>
      <c r="C444">
        <v>129763682</v>
      </c>
      <c r="D444">
        <v>37418164</v>
      </c>
      <c r="E444">
        <v>1</v>
      </c>
      <c r="F444">
        <v>1</v>
      </c>
      <c r="G444">
        <v>37345137</v>
      </c>
      <c r="H444">
        <v>2</v>
      </c>
      <c r="I444" t="s">
        <v>1294</v>
      </c>
      <c r="J444" t="s">
        <v>1295</v>
      </c>
      <c r="K444" t="s">
        <v>1296</v>
      </c>
      <c r="L444">
        <v>1367</v>
      </c>
      <c r="N444">
        <v>1011</v>
      </c>
      <c r="O444" t="s">
        <v>1102</v>
      </c>
      <c r="P444" t="s">
        <v>1102</v>
      </c>
      <c r="Q444">
        <v>1</v>
      </c>
      <c r="X444">
        <v>1</v>
      </c>
      <c r="Y444">
        <v>0</v>
      </c>
      <c r="Z444">
        <v>1.0900000000000001</v>
      </c>
      <c r="AA444">
        <v>0.09</v>
      </c>
      <c r="AB444">
        <v>0</v>
      </c>
      <c r="AC444">
        <v>0</v>
      </c>
      <c r="AD444">
        <v>1</v>
      </c>
      <c r="AE444">
        <v>0</v>
      </c>
      <c r="AF444" t="s">
        <v>142</v>
      </c>
      <c r="AG444">
        <v>0.6</v>
      </c>
      <c r="AH444">
        <v>2</v>
      </c>
      <c r="AI444">
        <v>129763685</v>
      </c>
      <c r="AJ444">
        <v>440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</row>
    <row r="445" spans="1:44" x14ac:dyDescent="0.2">
      <c r="A445">
        <f>ROW(Source!A464)</f>
        <v>464</v>
      </c>
      <c r="B445">
        <v>129763695</v>
      </c>
      <c r="C445">
        <v>129763682</v>
      </c>
      <c r="D445">
        <v>37418491</v>
      </c>
      <c r="E445">
        <v>1</v>
      </c>
      <c r="F445">
        <v>1</v>
      </c>
      <c r="G445">
        <v>37345137</v>
      </c>
      <c r="H445">
        <v>2</v>
      </c>
      <c r="I445" t="s">
        <v>1177</v>
      </c>
      <c r="J445" t="s">
        <v>1178</v>
      </c>
      <c r="K445" t="s">
        <v>1179</v>
      </c>
      <c r="L445">
        <v>1367</v>
      </c>
      <c r="N445">
        <v>1011</v>
      </c>
      <c r="O445" t="s">
        <v>1102</v>
      </c>
      <c r="P445" t="s">
        <v>1102</v>
      </c>
      <c r="Q445">
        <v>1</v>
      </c>
      <c r="X445">
        <v>1.1000000000000001</v>
      </c>
      <c r="Y445">
        <v>0</v>
      </c>
      <c r="Z445">
        <v>0.44</v>
      </c>
      <c r="AA445">
        <v>0</v>
      </c>
      <c r="AB445">
        <v>0</v>
      </c>
      <c r="AC445">
        <v>0</v>
      </c>
      <c r="AD445">
        <v>1</v>
      </c>
      <c r="AE445">
        <v>0</v>
      </c>
      <c r="AF445" t="s">
        <v>142</v>
      </c>
      <c r="AG445">
        <v>0.66</v>
      </c>
      <c r="AH445">
        <v>2</v>
      </c>
      <c r="AI445">
        <v>129763686</v>
      </c>
      <c r="AJ445">
        <v>441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</row>
    <row r="446" spans="1:44" x14ac:dyDescent="0.2">
      <c r="A446">
        <f>ROW(Source!A464)</f>
        <v>464</v>
      </c>
      <c r="B446">
        <v>129763696</v>
      </c>
      <c r="C446">
        <v>129763682</v>
      </c>
      <c r="D446">
        <v>37418479</v>
      </c>
      <c r="E446">
        <v>1</v>
      </c>
      <c r="F446">
        <v>1</v>
      </c>
      <c r="G446">
        <v>37345137</v>
      </c>
      <c r="H446">
        <v>2</v>
      </c>
      <c r="I446" t="s">
        <v>1183</v>
      </c>
      <c r="J446" t="s">
        <v>1184</v>
      </c>
      <c r="K446" t="s">
        <v>1185</v>
      </c>
      <c r="L446">
        <v>1367</v>
      </c>
      <c r="N446">
        <v>1011</v>
      </c>
      <c r="O446" t="s">
        <v>1102</v>
      </c>
      <c r="P446" t="s">
        <v>1102</v>
      </c>
      <c r="Q446">
        <v>1</v>
      </c>
      <c r="X446">
        <v>0.3</v>
      </c>
      <c r="Y446">
        <v>0</v>
      </c>
      <c r="Z446">
        <v>2.36</v>
      </c>
      <c r="AA446">
        <v>0.1</v>
      </c>
      <c r="AB446">
        <v>0</v>
      </c>
      <c r="AC446">
        <v>0</v>
      </c>
      <c r="AD446">
        <v>1</v>
      </c>
      <c r="AE446">
        <v>0</v>
      </c>
      <c r="AF446" t="s">
        <v>142</v>
      </c>
      <c r="AG446">
        <v>0.18</v>
      </c>
      <c r="AH446">
        <v>2</v>
      </c>
      <c r="AI446">
        <v>129763687</v>
      </c>
      <c r="AJ446">
        <v>442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</row>
    <row r="447" spans="1:44" x14ac:dyDescent="0.2">
      <c r="A447">
        <f>ROW(Source!A464)</f>
        <v>464</v>
      </c>
      <c r="B447">
        <v>129763697</v>
      </c>
      <c r="C447">
        <v>129763682</v>
      </c>
      <c r="D447">
        <v>37418532</v>
      </c>
      <c r="E447">
        <v>1</v>
      </c>
      <c r="F447">
        <v>1</v>
      </c>
      <c r="G447">
        <v>37345137</v>
      </c>
      <c r="H447">
        <v>2</v>
      </c>
      <c r="I447" t="s">
        <v>1297</v>
      </c>
      <c r="J447" t="s">
        <v>1298</v>
      </c>
      <c r="K447" t="s">
        <v>1299</v>
      </c>
      <c r="L447">
        <v>1367</v>
      </c>
      <c r="N447">
        <v>1011</v>
      </c>
      <c r="O447" t="s">
        <v>1102</v>
      </c>
      <c r="P447" t="s">
        <v>1102</v>
      </c>
      <c r="Q447">
        <v>1</v>
      </c>
      <c r="X447">
        <v>0.84</v>
      </c>
      <c r="Y447">
        <v>0</v>
      </c>
      <c r="Z447">
        <v>18.309999999999999</v>
      </c>
      <c r="AA447">
        <v>13.46</v>
      </c>
      <c r="AB447">
        <v>0</v>
      </c>
      <c r="AC447">
        <v>0</v>
      </c>
      <c r="AD447">
        <v>1</v>
      </c>
      <c r="AE447">
        <v>0</v>
      </c>
      <c r="AF447" t="s">
        <v>142</v>
      </c>
      <c r="AG447">
        <v>0.504</v>
      </c>
      <c r="AH447">
        <v>2</v>
      </c>
      <c r="AI447">
        <v>129763688</v>
      </c>
      <c r="AJ447">
        <v>443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</row>
    <row r="448" spans="1:44" x14ac:dyDescent="0.2">
      <c r="A448">
        <f>ROW(Source!A464)</f>
        <v>464</v>
      </c>
      <c r="B448">
        <v>129763698</v>
      </c>
      <c r="C448">
        <v>129763682</v>
      </c>
      <c r="D448">
        <v>37345890</v>
      </c>
      <c r="E448">
        <v>37345137</v>
      </c>
      <c r="F448">
        <v>1</v>
      </c>
      <c r="G448">
        <v>37345137</v>
      </c>
      <c r="H448">
        <v>2</v>
      </c>
      <c r="I448" t="s">
        <v>1145</v>
      </c>
      <c r="J448" t="s">
        <v>3</v>
      </c>
      <c r="K448" t="s">
        <v>1146</v>
      </c>
      <c r="L448">
        <v>1344</v>
      </c>
      <c r="N448">
        <v>1008</v>
      </c>
      <c r="O448" t="s">
        <v>1138</v>
      </c>
      <c r="P448" t="s">
        <v>1138</v>
      </c>
      <c r="Q448">
        <v>1</v>
      </c>
      <c r="X448">
        <v>37.229999999999997</v>
      </c>
      <c r="Y448">
        <v>0</v>
      </c>
      <c r="Z448">
        <v>1</v>
      </c>
      <c r="AA448">
        <v>0</v>
      </c>
      <c r="AB448">
        <v>0</v>
      </c>
      <c r="AC448">
        <v>0</v>
      </c>
      <c r="AD448">
        <v>1</v>
      </c>
      <c r="AE448">
        <v>0</v>
      </c>
      <c r="AF448" t="s">
        <v>142</v>
      </c>
      <c r="AG448">
        <v>22.337999999999997</v>
      </c>
      <c r="AH448">
        <v>2</v>
      </c>
      <c r="AI448">
        <v>129763689</v>
      </c>
      <c r="AJ448">
        <v>444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</row>
    <row r="449" spans="1:44" x14ac:dyDescent="0.2">
      <c r="A449">
        <f>ROW(Source!A464)</f>
        <v>464</v>
      </c>
      <c r="B449">
        <v>129763699</v>
      </c>
      <c r="C449">
        <v>129763682</v>
      </c>
      <c r="D449">
        <v>37367713</v>
      </c>
      <c r="E449">
        <v>37345137</v>
      </c>
      <c r="F449">
        <v>1</v>
      </c>
      <c r="G449">
        <v>37345137</v>
      </c>
      <c r="H449">
        <v>3</v>
      </c>
      <c r="I449" t="s">
        <v>1484</v>
      </c>
      <c r="J449" t="s">
        <v>3</v>
      </c>
      <c r="K449" t="s">
        <v>1485</v>
      </c>
      <c r="L449">
        <v>1339</v>
      </c>
      <c r="N449">
        <v>1007</v>
      </c>
      <c r="O449" t="s">
        <v>94</v>
      </c>
      <c r="P449" t="s">
        <v>94</v>
      </c>
      <c r="Q449">
        <v>1</v>
      </c>
      <c r="X449">
        <v>0.5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 t="s">
        <v>142</v>
      </c>
      <c r="AG449">
        <v>0.3</v>
      </c>
      <c r="AH449">
        <v>3</v>
      </c>
      <c r="AI449">
        <v>-1</v>
      </c>
      <c r="AJ449" t="s">
        <v>3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</row>
    <row r="450" spans="1:44" x14ac:dyDescent="0.2">
      <c r="A450">
        <f>ROW(Source!A464)</f>
        <v>464</v>
      </c>
      <c r="B450">
        <v>129763700</v>
      </c>
      <c r="C450">
        <v>129763682</v>
      </c>
      <c r="D450">
        <v>37358131</v>
      </c>
      <c r="E450">
        <v>37345137</v>
      </c>
      <c r="F450">
        <v>1</v>
      </c>
      <c r="G450">
        <v>37345137</v>
      </c>
      <c r="H450">
        <v>3</v>
      </c>
      <c r="I450" t="s">
        <v>1480</v>
      </c>
      <c r="J450" t="s">
        <v>3</v>
      </c>
      <c r="K450" t="s">
        <v>1486</v>
      </c>
      <c r="L450">
        <v>1348</v>
      </c>
      <c r="N450">
        <v>1009</v>
      </c>
      <c r="O450" t="s">
        <v>114</v>
      </c>
      <c r="P450" t="s">
        <v>114</v>
      </c>
      <c r="Q450">
        <v>1000</v>
      </c>
      <c r="X450">
        <v>1.032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 t="s">
        <v>142</v>
      </c>
      <c r="AG450">
        <v>0.61919999999999997</v>
      </c>
      <c r="AH450">
        <v>3</v>
      </c>
      <c r="AI450">
        <v>-1</v>
      </c>
      <c r="AJ450" t="s">
        <v>3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</row>
    <row r="451" spans="1:44" x14ac:dyDescent="0.2">
      <c r="A451">
        <f>ROW(Source!A464)</f>
        <v>464</v>
      </c>
      <c r="B451">
        <v>129763701</v>
      </c>
      <c r="C451">
        <v>129763682</v>
      </c>
      <c r="D451">
        <v>37394864</v>
      </c>
      <c r="E451">
        <v>1</v>
      </c>
      <c r="F451">
        <v>1</v>
      </c>
      <c r="G451">
        <v>37345137</v>
      </c>
      <c r="H451">
        <v>3</v>
      </c>
      <c r="I451" t="s">
        <v>1147</v>
      </c>
      <c r="J451" t="s">
        <v>1148</v>
      </c>
      <c r="K451" t="s">
        <v>1149</v>
      </c>
      <c r="L451">
        <v>1348</v>
      </c>
      <c r="N451">
        <v>1009</v>
      </c>
      <c r="O451" t="s">
        <v>114</v>
      </c>
      <c r="P451" t="s">
        <v>114</v>
      </c>
      <c r="Q451">
        <v>1000</v>
      </c>
      <c r="X451">
        <v>2.1499999999999998E-2</v>
      </c>
      <c r="Y451">
        <v>7191.81</v>
      </c>
      <c r="Z451">
        <v>0</v>
      </c>
      <c r="AA451">
        <v>0</v>
      </c>
      <c r="AB451">
        <v>0</v>
      </c>
      <c r="AC451">
        <v>0</v>
      </c>
      <c r="AD451">
        <v>1</v>
      </c>
      <c r="AE451">
        <v>0</v>
      </c>
      <c r="AF451" t="s">
        <v>142</v>
      </c>
      <c r="AG451">
        <v>1.2899999999999998E-2</v>
      </c>
      <c r="AH451">
        <v>2</v>
      </c>
      <c r="AI451">
        <v>129763690</v>
      </c>
      <c r="AJ451">
        <v>445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</row>
    <row r="452" spans="1:44" x14ac:dyDescent="0.2">
      <c r="A452">
        <f>ROW(Source!A464)</f>
        <v>464</v>
      </c>
      <c r="B452">
        <v>129763702</v>
      </c>
      <c r="C452">
        <v>129763682</v>
      </c>
      <c r="D452">
        <v>37359799</v>
      </c>
      <c r="E452">
        <v>37345137</v>
      </c>
      <c r="F452">
        <v>1</v>
      </c>
      <c r="G452">
        <v>37345137</v>
      </c>
      <c r="H452">
        <v>3</v>
      </c>
      <c r="I452" t="s">
        <v>1487</v>
      </c>
      <c r="J452" t="s">
        <v>3</v>
      </c>
      <c r="K452" t="s">
        <v>1488</v>
      </c>
      <c r="L452">
        <v>1339</v>
      </c>
      <c r="N452">
        <v>1007</v>
      </c>
      <c r="O452" t="s">
        <v>94</v>
      </c>
      <c r="P452" t="s">
        <v>94</v>
      </c>
      <c r="Q452">
        <v>1</v>
      </c>
      <c r="X452">
        <v>2.6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 t="s">
        <v>142</v>
      </c>
      <c r="AG452">
        <v>1.56</v>
      </c>
      <c r="AH452">
        <v>3</v>
      </c>
      <c r="AI452">
        <v>-1</v>
      </c>
      <c r="AJ452" t="s">
        <v>3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</row>
    <row r="453" spans="1:44" x14ac:dyDescent="0.2">
      <c r="A453">
        <f>ROW(Source!A502)</f>
        <v>502</v>
      </c>
      <c r="B453">
        <v>129763711</v>
      </c>
      <c r="C453">
        <v>129763704</v>
      </c>
      <c r="D453">
        <v>37345142</v>
      </c>
      <c r="E453">
        <v>37345137</v>
      </c>
      <c r="F453">
        <v>1</v>
      </c>
      <c r="G453">
        <v>37345137</v>
      </c>
      <c r="H453">
        <v>1</v>
      </c>
      <c r="I453" t="s">
        <v>1096</v>
      </c>
      <c r="J453" t="s">
        <v>3</v>
      </c>
      <c r="K453" t="s">
        <v>1097</v>
      </c>
      <c r="L453">
        <v>1191</v>
      </c>
      <c r="N453">
        <v>1013</v>
      </c>
      <c r="O453" t="s">
        <v>1098</v>
      </c>
      <c r="P453" t="s">
        <v>1098</v>
      </c>
      <c r="Q453">
        <v>1</v>
      </c>
      <c r="X453">
        <v>0.78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1</v>
      </c>
      <c r="AE453">
        <v>1</v>
      </c>
      <c r="AF453" t="s">
        <v>87</v>
      </c>
      <c r="AG453">
        <v>0.89699999999999991</v>
      </c>
      <c r="AH453">
        <v>2</v>
      </c>
      <c r="AI453">
        <v>129763705</v>
      </c>
      <c r="AJ453">
        <v>447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</row>
    <row r="454" spans="1:44" x14ac:dyDescent="0.2">
      <c r="A454">
        <f>ROW(Source!A502)</f>
        <v>502</v>
      </c>
      <c r="B454">
        <v>129763712</v>
      </c>
      <c r="C454">
        <v>129763704</v>
      </c>
      <c r="D454">
        <v>37418063</v>
      </c>
      <c r="E454">
        <v>1</v>
      </c>
      <c r="F454">
        <v>1</v>
      </c>
      <c r="G454">
        <v>37345137</v>
      </c>
      <c r="H454">
        <v>2</v>
      </c>
      <c r="I454" t="s">
        <v>1153</v>
      </c>
      <c r="J454" t="s">
        <v>1154</v>
      </c>
      <c r="K454" t="s">
        <v>1155</v>
      </c>
      <c r="L454">
        <v>1367</v>
      </c>
      <c r="N454">
        <v>1011</v>
      </c>
      <c r="O454" t="s">
        <v>1102</v>
      </c>
      <c r="P454" t="s">
        <v>1102</v>
      </c>
      <c r="Q454">
        <v>1</v>
      </c>
      <c r="X454">
        <v>0.18</v>
      </c>
      <c r="Y454">
        <v>0</v>
      </c>
      <c r="Z454">
        <v>41.62</v>
      </c>
      <c r="AA454">
        <v>13.33</v>
      </c>
      <c r="AB454">
        <v>0</v>
      </c>
      <c r="AC454">
        <v>0</v>
      </c>
      <c r="AD454">
        <v>1</v>
      </c>
      <c r="AE454">
        <v>0</v>
      </c>
      <c r="AF454" t="s">
        <v>86</v>
      </c>
      <c r="AG454">
        <v>0.22499999999999998</v>
      </c>
      <c r="AH454">
        <v>2</v>
      </c>
      <c r="AI454">
        <v>129763706</v>
      </c>
      <c r="AJ454">
        <v>448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</row>
    <row r="455" spans="1:44" x14ac:dyDescent="0.2">
      <c r="A455">
        <f>ROW(Source!A502)</f>
        <v>502</v>
      </c>
      <c r="B455">
        <v>129763713</v>
      </c>
      <c r="C455">
        <v>129763704</v>
      </c>
      <c r="D455">
        <v>37418474</v>
      </c>
      <c r="E455">
        <v>1</v>
      </c>
      <c r="F455">
        <v>1</v>
      </c>
      <c r="G455">
        <v>37345137</v>
      </c>
      <c r="H455">
        <v>2</v>
      </c>
      <c r="I455" t="s">
        <v>1300</v>
      </c>
      <c r="J455" t="s">
        <v>1301</v>
      </c>
      <c r="K455" t="s">
        <v>1302</v>
      </c>
      <c r="L455">
        <v>1367</v>
      </c>
      <c r="N455">
        <v>1011</v>
      </c>
      <c r="O455" t="s">
        <v>1102</v>
      </c>
      <c r="P455" t="s">
        <v>1102</v>
      </c>
      <c r="Q455">
        <v>1</v>
      </c>
      <c r="X455">
        <v>0.36</v>
      </c>
      <c r="Y455">
        <v>0</v>
      </c>
      <c r="Z455">
        <v>0.56000000000000005</v>
      </c>
      <c r="AA455">
        <v>0.09</v>
      </c>
      <c r="AB455">
        <v>0</v>
      </c>
      <c r="AC455">
        <v>0</v>
      </c>
      <c r="AD455">
        <v>1</v>
      </c>
      <c r="AE455">
        <v>0</v>
      </c>
      <c r="AF455" t="s">
        <v>86</v>
      </c>
      <c r="AG455">
        <v>0.44999999999999996</v>
      </c>
      <c r="AH455">
        <v>2</v>
      </c>
      <c r="AI455">
        <v>129763707</v>
      </c>
      <c r="AJ455">
        <v>449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</row>
    <row r="456" spans="1:44" x14ac:dyDescent="0.2">
      <c r="A456">
        <f>ROW(Source!A502)</f>
        <v>502</v>
      </c>
      <c r="B456">
        <v>129763714</v>
      </c>
      <c r="C456">
        <v>129763704</v>
      </c>
      <c r="D456">
        <v>37417781</v>
      </c>
      <c r="E456">
        <v>1</v>
      </c>
      <c r="F456">
        <v>1</v>
      </c>
      <c r="G456">
        <v>37345137</v>
      </c>
      <c r="H456">
        <v>2</v>
      </c>
      <c r="I456" t="s">
        <v>1303</v>
      </c>
      <c r="J456" t="s">
        <v>1304</v>
      </c>
      <c r="K456" t="s">
        <v>1305</v>
      </c>
      <c r="L456">
        <v>1367</v>
      </c>
      <c r="N456">
        <v>1011</v>
      </c>
      <c r="O456" t="s">
        <v>1102</v>
      </c>
      <c r="P456" t="s">
        <v>1102</v>
      </c>
      <c r="Q456">
        <v>1</v>
      </c>
      <c r="X456">
        <v>7.0000000000000007E-2</v>
      </c>
      <c r="Y456">
        <v>0</v>
      </c>
      <c r="Z456">
        <v>106.74</v>
      </c>
      <c r="AA456">
        <v>19.2</v>
      </c>
      <c r="AB456">
        <v>0</v>
      </c>
      <c r="AC456">
        <v>0</v>
      </c>
      <c r="AD456">
        <v>1</v>
      </c>
      <c r="AE456">
        <v>0</v>
      </c>
      <c r="AF456" t="s">
        <v>86</v>
      </c>
      <c r="AG456">
        <v>8.7500000000000008E-2</v>
      </c>
      <c r="AH456">
        <v>2</v>
      </c>
      <c r="AI456">
        <v>129763708</v>
      </c>
      <c r="AJ456">
        <v>450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</row>
    <row r="457" spans="1:44" x14ac:dyDescent="0.2">
      <c r="A457">
        <f>ROW(Source!A502)</f>
        <v>502</v>
      </c>
      <c r="B457">
        <v>129763715</v>
      </c>
      <c r="C457">
        <v>129763704</v>
      </c>
      <c r="D457">
        <v>37393552</v>
      </c>
      <c r="E457">
        <v>1</v>
      </c>
      <c r="F457">
        <v>1</v>
      </c>
      <c r="G457">
        <v>37345137</v>
      </c>
      <c r="H457">
        <v>3</v>
      </c>
      <c r="I457" t="s">
        <v>348</v>
      </c>
      <c r="J457" t="s">
        <v>350</v>
      </c>
      <c r="K457" t="s">
        <v>349</v>
      </c>
      <c r="L457">
        <v>1339</v>
      </c>
      <c r="N457">
        <v>1007</v>
      </c>
      <c r="O457" t="s">
        <v>94</v>
      </c>
      <c r="P457" t="s">
        <v>94</v>
      </c>
      <c r="Q457">
        <v>1</v>
      </c>
      <c r="X457">
        <v>0.15</v>
      </c>
      <c r="Y457">
        <v>7.07</v>
      </c>
      <c r="Z457">
        <v>0</v>
      </c>
      <c r="AA457">
        <v>0</v>
      </c>
      <c r="AB457">
        <v>0</v>
      </c>
      <c r="AC457">
        <v>0</v>
      </c>
      <c r="AD457">
        <v>1</v>
      </c>
      <c r="AE457">
        <v>0</v>
      </c>
      <c r="AF457" t="s">
        <v>3</v>
      </c>
      <c r="AG457">
        <v>0.15</v>
      </c>
      <c r="AH457">
        <v>2</v>
      </c>
      <c r="AI457">
        <v>129763709</v>
      </c>
      <c r="AJ457">
        <v>451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</row>
    <row r="458" spans="1:44" x14ac:dyDescent="0.2">
      <c r="A458">
        <f>ROW(Source!A502)</f>
        <v>502</v>
      </c>
      <c r="B458">
        <v>129763716</v>
      </c>
      <c r="C458">
        <v>129763704</v>
      </c>
      <c r="D458">
        <v>37358338</v>
      </c>
      <c r="E458">
        <v>37345137</v>
      </c>
      <c r="F458">
        <v>1</v>
      </c>
      <c r="G458">
        <v>37345137</v>
      </c>
      <c r="H458">
        <v>3</v>
      </c>
      <c r="I458" t="s">
        <v>1416</v>
      </c>
      <c r="J458" t="s">
        <v>3</v>
      </c>
      <c r="K458" t="s">
        <v>1489</v>
      </c>
      <c r="L458">
        <v>1339</v>
      </c>
      <c r="N458">
        <v>1007</v>
      </c>
      <c r="O458" t="s">
        <v>94</v>
      </c>
      <c r="P458" t="s">
        <v>94</v>
      </c>
      <c r="Q458">
        <v>1</v>
      </c>
      <c r="X458">
        <v>1.1000000000000001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 t="s">
        <v>3</v>
      </c>
      <c r="AG458">
        <v>1.1000000000000001</v>
      </c>
      <c r="AH458">
        <v>3</v>
      </c>
      <c r="AI458">
        <v>-1</v>
      </c>
      <c r="AJ458" t="s">
        <v>3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</row>
    <row r="459" spans="1:44" x14ac:dyDescent="0.2">
      <c r="A459">
        <f>ROW(Source!A503)</f>
        <v>503</v>
      </c>
      <c r="B459">
        <v>129763711</v>
      </c>
      <c r="C459">
        <v>129763704</v>
      </c>
      <c r="D459">
        <v>37345142</v>
      </c>
      <c r="E459">
        <v>37345137</v>
      </c>
      <c r="F459">
        <v>1</v>
      </c>
      <c r="G459">
        <v>37345137</v>
      </c>
      <c r="H459">
        <v>1</v>
      </c>
      <c r="I459" t="s">
        <v>1096</v>
      </c>
      <c r="J459" t="s">
        <v>3</v>
      </c>
      <c r="K459" t="s">
        <v>1097</v>
      </c>
      <c r="L459">
        <v>1191</v>
      </c>
      <c r="N459">
        <v>1013</v>
      </c>
      <c r="O459" t="s">
        <v>1098</v>
      </c>
      <c r="P459" t="s">
        <v>1098</v>
      </c>
      <c r="Q459">
        <v>1</v>
      </c>
      <c r="X459">
        <v>0.78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1</v>
      </c>
      <c r="AE459">
        <v>1</v>
      </c>
      <c r="AF459" t="s">
        <v>87</v>
      </c>
      <c r="AG459">
        <v>0.89699999999999991</v>
      </c>
      <c r="AH459">
        <v>2</v>
      </c>
      <c r="AI459">
        <v>129763705</v>
      </c>
      <c r="AJ459">
        <v>453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</row>
    <row r="460" spans="1:44" x14ac:dyDescent="0.2">
      <c r="A460">
        <f>ROW(Source!A503)</f>
        <v>503</v>
      </c>
      <c r="B460">
        <v>129763712</v>
      </c>
      <c r="C460">
        <v>129763704</v>
      </c>
      <c r="D460">
        <v>37418063</v>
      </c>
      <c r="E460">
        <v>1</v>
      </c>
      <c r="F460">
        <v>1</v>
      </c>
      <c r="G460">
        <v>37345137</v>
      </c>
      <c r="H460">
        <v>2</v>
      </c>
      <c r="I460" t="s">
        <v>1153</v>
      </c>
      <c r="J460" t="s">
        <v>1154</v>
      </c>
      <c r="K460" t="s">
        <v>1155</v>
      </c>
      <c r="L460">
        <v>1367</v>
      </c>
      <c r="N460">
        <v>1011</v>
      </c>
      <c r="O460" t="s">
        <v>1102</v>
      </c>
      <c r="P460" t="s">
        <v>1102</v>
      </c>
      <c r="Q460">
        <v>1</v>
      </c>
      <c r="X460">
        <v>0.18</v>
      </c>
      <c r="Y460">
        <v>0</v>
      </c>
      <c r="Z460">
        <v>41.62</v>
      </c>
      <c r="AA460">
        <v>13.33</v>
      </c>
      <c r="AB460">
        <v>0</v>
      </c>
      <c r="AC460">
        <v>0</v>
      </c>
      <c r="AD460">
        <v>1</v>
      </c>
      <c r="AE460">
        <v>0</v>
      </c>
      <c r="AF460" t="s">
        <v>86</v>
      </c>
      <c r="AG460">
        <v>0.22499999999999998</v>
      </c>
      <c r="AH460">
        <v>2</v>
      </c>
      <c r="AI460">
        <v>129763706</v>
      </c>
      <c r="AJ460">
        <v>454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</row>
    <row r="461" spans="1:44" x14ac:dyDescent="0.2">
      <c r="A461">
        <f>ROW(Source!A503)</f>
        <v>503</v>
      </c>
      <c r="B461">
        <v>129763713</v>
      </c>
      <c r="C461">
        <v>129763704</v>
      </c>
      <c r="D461">
        <v>37418474</v>
      </c>
      <c r="E461">
        <v>1</v>
      </c>
      <c r="F461">
        <v>1</v>
      </c>
      <c r="G461">
        <v>37345137</v>
      </c>
      <c r="H461">
        <v>2</v>
      </c>
      <c r="I461" t="s">
        <v>1300</v>
      </c>
      <c r="J461" t="s">
        <v>1301</v>
      </c>
      <c r="K461" t="s">
        <v>1302</v>
      </c>
      <c r="L461">
        <v>1367</v>
      </c>
      <c r="N461">
        <v>1011</v>
      </c>
      <c r="O461" t="s">
        <v>1102</v>
      </c>
      <c r="P461" t="s">
        <v>1102</v>
      </c>
      <c r="Q461">
        <v>1</v>
      </c>
      <c r="X461">
        <v>0.36</v>
      </c>
      <c r="Y461">
        <v>0</v>
      </c>
      <c r="Z461">
        <v>0.56000000000000005</v>
      </c>
      <c r="AA461">
        <v>0.09</v>
      </c>
      <c r="AB461">
        <v>0</v>
      </c>
      <c r="AC461">
        <v>0</v>
      </c>
      <c r="AD461">
        <v>1</v>
      </c>
      <c r="AE461">
        <v>0</v>
      </c>
      <c r="AF461" t="s">
        <v>86</v>
      </c>
      <c r="AG461">
        <v>0.44999999999999996</v>
      </c>
      <c r="AH461">
        <v>2</v>
      </c>
      <c r="AI461">
        <v>129763707</v>
      </c>
      <c r="AJ461">
        <v>455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</row>
    <row r="462" spans="1:44" x14ac:dyDescent="0.2">
      <c r="A462">
        <f>ROW(Source!A503)</f>
        <v>503</v>
      </c>
      <c r="B462">
        <v>129763714</v>
      </c>
      <c r="C462">
        <v>129763704</v>
      </c>
      <c r="D462">
        <v>37417781</v>
      </c>
      <c r="E462">
        <v>1</v>
      </c>
      <c r="F462">
        <v>1</v>
      </c>
      <c r="G462">
        <v>37345137</v>
      </c>
      <c r="H462">
        <v>2</v>
      </c>
      <c r="I462" t="s">
        <v>1303</v>
      </c>
      <c r="J462" t="s">
        <v>1304</v>
      </c>
      <c r="K462" t="s">
        <v>1305</v>
      </c>
      <c r="L462">
        <v>1367</v>
      </c>
      <c r="N462">
        <v>1011</v>
      </c>
      <c r="O462" t="s">
        <v>1102</v>
      </c>
      <c r="P462" t="s">
        <v>1102</v>
      </c>
      <c r="Q462">
        <v>1</v>
      </c>
      <c r="X462">
        <v>7.0000000000000007E-2</v>
      </c>
      <c r="Y462">
        <v>0</v>
      </c>
      <c r="Z462">
        <v>106.74</v>
      </c>
      <c r="AA462">
        <v>19.2</v>
      </c>
      <c r="AB462">
        <v>0</v>
      </c>
      <c r="AC462">
        <v>0</v>
      </c>
      <c r="AD462">
        <v>1</v>
      </c>
      <c r="AE462">
        <v>0</v>
      </c>
      <c r="AF462" t="s">
        <v>86</v>
      </c>
      <c r="AG462">
        <v>8.7500000000000008E-2</v>
      </c>
      <c r="AH462">
        <v>2</v>
      </c>
      <c r="AI462">
        <v>129763708</v>
      </c>
      <c r="AJ462">
        <v>456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</row>
    <row r="463" spans="1:44" x14ac:dyDescent="0.2">
      <c r="A463">
        <f>ROW(Source!A503)</f>
        <v>503</v>
      </c>
      <c r="B463">
        <v>129763715</v>
      </c>
      <c r="C463">
        <v>129763704</v>
      </c>
      <c r="D463">
        <v>37393552</v>
      </c>
      <c r="E463">
        <v>1</v>
      </c>
      <c r="F463">
        <v>1</v>
      </c>
      <c r="G463">
        <v>37345137</v>
      </c>
      <c r="H463">
        <v>3</v>
      </c>
      <c r="I463" t="s">
        <v>348</v>
      </c>
      <c r="J463" t="s">
        <v>350</v>
      </c>
      <c r="K463" t="s">
        <v>349</v>
      </c>
      <c r="L463">
        <v>1339</v>
      </c>
      <c r="N463">
        <v>1007</v>
      </c>
      <c r="O463" t="s">
        <v>94</v>
      </c>
      <c r="P463" t="s">
        <v>94</v>
      </c>
      <c r="Q463">
        <v>1</v>
      </c>
      <c r="X463">
        <v>0.15</v>
      </c>
      <c r="Y463">
        <v>7.07</v>
      </c>
      <c r="Z463">
        <v>0</v>
      </c>
      <c r="AA463">
        <v>0</v>
      </c>
      <c r="AB463">
        <v>0</v>
      </c>
      <c r="AC463">
        <v>0</v>
      </c>
      <c r="AD463">
        <v>1</v>
      </c>
      <c r="AE463">
        <v>0</v>
      </c>
      <c r="AF463" t="s">
        <v>3</v>
      </c>
      <c r="AG463">
        <v>0.15</v>
      </c>
      <c r="AH463">
        <v>2</v>
      </c>
      <c r="AI463">
        <v>129763709</v>
      </c>
      <c r="AJ463">
        <v>457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</row>
    <row r="464" spans="1:44" x14ac:dyDescent="0.2">
      <c r="A464">
        <f>ROW(Source!A503)</f>
        <v>503</v>
      </c>
      <c r="B464">
        <v>129763716</v>
      </c>
      <c r="C464">
        <v>129763704</v>
      </c>
      <c r="D464">
        <v>37358338</v>
      </c>
      <c r="E464">
        <v>37345137</v>
      </c>
      <c r="F464">
        <v>1</v>
      </c>
      <c r="G464">
        <v>37345137</v>
      </c>
      <c r="H464">
        <v>3</v>
      </c>
      <c r="I464" t="s">
        <v>1416</v>
      </c>
      <c r="J464" t="s">
        <v>3</v>
      </c>
      <c r="K464" t="s">
        <v>1489</v>
      </c>
      <c r="L464">
        <v>1339</v>
      </c>
      <c r="N464">
        <v>1007</v>
      </c>
      <c r="O464" t="s">
        <v>94</v>
      </c>
      <c r="P464" t="s">
        <v>94</v>
      </c>
      <c r="Q464">
        <v>1</v>
      </c>
      <c r="X464">
        <v>1.1000000000000001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 t="s">
        <v>3</v>
      </c>
      <c r="AG464">
        <v>1.1000000000000001</v>
      </c>
      <c r="AH464">
        <v>3</v>
      </c>
      <c r="AI464">
        <v>-1</v>
      </c>
      <c r="AJ464" t="s">
        <v>3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</row>
    <row r="465" spans="1:44" x14ac:dyDescent="0.2">
      <c r="A465">
        <f>ROW(Source!A506)</f>
        <v>506</v>
      </c>
      <c r="B465">
        <v>129763725</v>
      </c>
      <c r="C465">
        <v>129763718</v>
      </c>
      <c r="D465">
        <v>37345142</v>
      </c>
      <c r="E465">
        <v>37345137</v>
      </c>
      <c r="F465">
        <v>1</v>
      </c>
      <c r="G465">
        <v>37345137</v>
      </c>
      <c r="H465">
        <v>1</v>
      </c>
      <c r="I465" t="s">
        <v>1096</v>
      </c>
      <c r="J465" t="s">
        <v>3</v>
      </c>
      <c r="K465" t="s">
        <v>1097</v>
      </c>
      <c r="L465">
        <v>1191</v>
      </c>
      <c r="N465">
        <v>1013</v>
      </c>
      <c r="O465" t="s">
        <v>1098</v>
      </c>
      <c r="P465" t="s">
        <v>1098</v>
      </c>
      <c r="Q465">
        <v>1</v>
      </c>
      <c r="X465">
        <v>0.85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1</v>
      </c>
      <c r="AE465">
        <v>1</v>
      </c>
      <c r="AF465" t="s">
        <v>87</v>
      </c>
      <c r="AG465">
        <v>0.97749999999999992</v>
      </c>
      <c r="AH465">
        <v>2</v>
      </c>
      <c r="AI465">
        <v>129763719</v>
      </c>
      <c r="AJ465">
        <v>459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</row>
    <row r="466" spans="1:44" x14ac:dyDescent="0.2">
      <c r="A466">
        <f>ROW(Source!A506)</f>
        <v>506</v>
      </c>
      <c r="B466">
        <v>129763726</v>
      </c>
      <c r="C466">
        <v>129763718</v>
      </c>
      <c r="D466">
        <v>37418063</v>
      </c>
      <c r="E466">
        <v>1</v>
      </c>
      <c r="F466">
        <v>1</v>
      </c>
      <c r="G466">
        <v>37345137</v>
      </c>
      <c r="H466">
        <v>2</v>
      </c>
      <c r="I466" t="s">
        <v>1153</v>
      </c>
      <c r="J466" t="s">
        <v>1154</v>
      </c>
      <c r="K466" t="s">
        <v>1155</v>
      </c>
      <c r="L466">
        <v>1367</v>
      </c>
      <c r="N466">
        <v>1011</v>
      </c>
      <c r="O466" t="s">
        <v>1102</v>
      </c>
      <c r="P466" t="s">
        <v>1102</v>
      </c>
      <c r="Q466">
        <v>1</v>
      </c>
      <c r="X466">
        <v>0.2</v>
      </c>
      <c r="Y466">
        <v>0</v>
      </c>
      <c r="Z466">
        <v>41.62</v>
      </c>
      <c r="AA466">
        <v>13.33</v>
      </c>
      <c r="AB466">
        <v>0</v>
      </c>
      <c r="AC466">
        <v>0</v>
      </c>
      <c r="AD466">
        <v>1</v>
      </c>
      <c r="AE466">
        <v>0</v>
      </c>
      <c r="AF466" t="s">
        <v>86</v>
      </c>
      <c r="AG466">
        <v>0.25</v>
      </c>
      <c r="AH466">
        <v>2</v>
      </c>
      <c r="AI466">
        <v>129763720</v>
      </c>
      <c r="AJ466">
        <v>460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</row>
    <row r="467" spans="1:44" x14ac:dyDescent="0.2">
      <c r="A467">
        <f>ROW(Source!A506)</f>
        <v>506</v>
      </c>
      <c r="B467">
        <v>129763727</v>
      </c>
      <c r="C467">
        <v>129763718</v>
      </c>
      <c r="D467">
        <v>37418474</v>
      </c>
      <c r="E467">
        <v>1</v>
      </c>
      <c r="F467">
        <v>1</v>
      </c>
      <c r="G467">
        <v>37345137</v>
      </c>
      <c r="H467">
        <v>2</v>
      </c>
      <c r="I467" t="s">
        <v>1300</v>
      </c>
      <c r="J467" t="s">
        <v>1301</v>
      </c>
      <c r="K467" t="s">
        <v>1302</v>
      </c>
      <c r="L467">
        <v>1367</v>
      </c>
      <c r="N467">
        <v>1011</v>
      </c>
      <c r="O467" t="s">
        <v>1102</v>
      </c>
      <c r="P467" t="s">
        <v>1102</v>
      </c>
      <c r="Q467">
        <v>1</v>
      </c>
      <c r="X467">
        <v>0.4</v>
      </c>
      <c r="Y467">
        <v>0</v>
      </c>
      <c r="Z467">
        <v>0.56000000000000005</v>
      </c>
      <c r="AA467">
        <v>0.09</v>
      </c>
      <c r="AB467">
        <v>0</v>
      </c>
      <c r="AC467">
        <v>0</v>
      </c>
      <c r="AD467">
        <v>1</v>
      </c>
      <c r="AE467">
        <v>0</v>
      </c>
      <c r="AF467" t="s">
        <v>86</v>
      </c>
      <c r="AG467">
        <v>0.5</v>
      </c>
      <c r="AH467">
        <v>2</v>
      </c>
      <c r="AI467">
        <v>129763721</v>
      </c>
      <c r="AJ467">
        <v>461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</row>
    <row r="468" spans="1:44" x14ac:dyDescent="0.2">
      <c r="A468">
        <f>ROW(Source!A506)</f>
        <v>506</v>
      </c>
      <c r="B468">
        <v>129763728</v>
      </c>
      <c r="C468">
        <v>129763718</v>
      </c>
      <c r="D468">
        <v>37417781</v>
      </c>
      <c r="E468">
        <v>1</v>
      </c>
      <c r="F468">
        <v>1</v>
      </c>
      <c r="G468">
        <v>37345137</v>
      </c>
      <c r="H468">
        <v>2</v>
      </c>
      <c r="I468" t="s">
        <v>1303</v>
      </c>
      <c r="J468" t="s">
        <v>1304</v>
      </c>
      <c r="K468" t="s">
        <v>1305</v>
      </c>
      <c r="L468">
        <v>1367</v>
      </c>
      <c r="N468">
        <v>1011</v>
      </c>
      <c r="O468" t="s">
        <v>1102</v>
      </c>
      <c r="P468" t="s">
        <v>1102</v>
      </c>
      <c r="Q468">
        <v>1</v>
      </c>
      <c r="X468">
        <v>7.0000000000000007E-2</v>
      </c>
      <c r="Y468">
        <v>0</v>
      </c>
      <c r="Z468">
        <v>106.74</v>
      </c>
      <c r="AA468">
        <v>19.2</v>
      </c>
      <c r="AB468">
        <v>0</v>
      </c>
      <c r="AC468">
        <v>0</v>
      </c>
      <c r="AD468">
        <v>1</v>
      </c>
      <c r="AE468">
        <v>0</v>
      </c>
      <c r="AF468" t="s">
        <v>86</v>
      </c>
      <c r="AG468">
        <v>8.7500000000000008E-2</v>
      </c>
      <c r="AH468">
        <v>2</v>
      </c>
      <c r="AI468">
        <v>129763722</v>
      </c>
      <c r="AJ468">
        <v>462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</row>
    <row r="469" spans="1:44" x14ac:dyDescent="0.2">
      <c r="A469">
        <f>ROW(Source!A506)</f>
        <v>506</v>
      </c>
      <c r="B469">
        <v>129763729</v>
      </c>
      <c r="C469">
        <v>129763718</v>
      </c>
      <c r="D469">
        <v>37393552</v>
      </c>
      <c r="E469">
        <v>1</v>
      </c>
      <c r="F469">
        <v>1</v>
      </c>
      <c r="G469">
        <v>37345137</v>
      </c>
      <c r="H469">
        <v>3</v>
      </c>
      <c r="I469" t="s">
        <v>348</v>
      </c>
      <c r="J469" t="s">
        <v>350</v>
      </c>
      <c r="K469" t="s">
        <v>349</v>
      </c>
      <c r="L469">
        <v>1339</v>
      </c>
      <c r="N469">
        <v>1007</v>
      </c>
      <c r="O469" t="s">
        <v>94</v>
      </c>
      <c r="P469" t="s">
        <v>94</v>
      </c>
      <c r="Q469">
        <v>1</v>
      </c>
      <c r="X469">
        <v>0.15</v>
      </c>
      <c r="Y469">
        <v>7.07</v>
      </c>
      <c r="Z469">
        <v>0</v>
      </c>
      <c r="AA469">
        <v>0</v>
      </c>
      <c r="AB469">
        <v>0</v>
      </c>
      <c r="AC469">
        <v>0</v>
      </c>
      <c r="AD469">
        <v>1</v>
      </c>
      <c r="AE469">
        <v>0</v>
      </c>
      <c r="AF469" t="s">
        <v>3</v>
      </c>
      <c r="AG469">
        <v>0.15</v>
      </c>
      <c r="AH469">
        <v>2</v>
      </c>
      <c r="AI469">
        <v>129763723</v>
      </c>
      <c r="AJ469">
        <v>463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</row>
    <row r="470" spans="1:44" x14ac:dyDescent="0.2">
      <c r="A470">
        <f>ROW(Source!A506)</f>
        <v>506</v>
      </c>
      <c r="B470">
        <v>129763730</v>
      </c>
      <c r="C470">
        <v>129763718</v>
      </c>
      <c r="D470">
        <v>37358347</v>
      </c>
      <c r="E470">
        <v>37345137</v>
      </c>
      <c r="F470">
        <v>1</v>
      </c>
      <c r="G470">
        <v>37345137</v>
      </c>
      <c r="H470">
        <v>3</v>
      </c>
      <c r="I470" t="s">
        <v>1490</v>
      </c>
      <c r="J470" t="s">
        <v>3</v>
      </c>
      <c r="K470" t="s">
        <v>1491</v>
      </c>
      <c r="L470">
        <v>1339</v>
      </c>
      <c r="N470">
        <v>1007</v>
      </c>
      <c r="O470" t="s">
        <v>94</v>
      </c>
      <c r="P470" t="s">
        <v>94</v>
      </c>
      <c r="Q470">
        <v>1</v>
      </c>
      <c r="X470">
        <v>1.1499999999999999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 t="s">
        <v>3</v>
      </c>
      <c r="AG470">
        <v>1.1499999999999999</v>
      </c>
      <c r="AH470">
        <v>3</v>
      </c>
      <c r="AI470">
        <v>-1</v>
      </c>
      <c r="AJ470" t="s">
        <v>3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</row>
    <row r="471" spans="1:44" x14ac:dyDescent="0.2">
      <c r="A471">
        <f>ROW(Source!A507)</f>
        <v>507</v>
      </c>
      <c r="B471">
        <v>129763725</v>
      </c>
      <c r="C471">
        <v>129763718</v>
      </c>
      <c r="D471">
        <v>37345142</v>
      </c>
      <c r="E471">
        <v>37345137</v>
      </c>
      <c r="F471">
        <v>1</v>
      </c>
      <c r="G471">
        <v>37345137</v>
      </c>
      <c r="H471">
        <v>1</v>
      </c>
      <c r="I471" t="s">
        <v>1096</v>
      </c>
      <c r="J471" t="s">
        <v>3</v>
      </c>
      <c r="K471" t="s">
        <v>1097</v>
      </c>
      <c r="L471">
        <v>1191</v>
      </c>
      <c r="N471">
        <v>1013</v>
      </c>
      <c r="O471" t="s">
        <v>1098</v>
      </c>
      <c r="P471" t="s">
        <v>1098</v>
      </c>
      <c r="Q471">
        <v>1</v>
      </c>
      <c r="X471">
        <v>0.85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1</v>
      </c>
      <c r="AE471">
        <v>1</v>
      </c>
      <c r="AF471" t="s">
        <v>87</v>
      </c>
      <c r="AG471">
        <v>0.97749999999999992</v>
      </c>
      <c r="AH471">
        <v>2</v>
      </c>
      <c r="AI471">
        <v>129763719</v>
      </c>
      <c r="AJ471">
        <v>465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</row>
    <row r="472" spans="1:44" x14ac:dyDescent="0.2">
      <c r="A472">
        <f>ROW(Source!A507)</f>
        <v>507</v>
      </c>
      <c r="B472">
        <v>129763726</v>
      </c>
      <c r="C472">
        <v>129763718</v>
      </c>
      <c r="D472">
        <v>37418063</v>
      </c>
      <c r="E472">
        <v>1</v>
      </c>
      <c r="F472">
        <v>1</v>
      </c>
      <c r="G472">
        <v>37345137</v>
      </c>
      <c r="H472">
        <v>2</v>
      </c>
      <c r="I472" t="s">
        <v>1153</v>
      </c>
      <c r="J472" t="s">
        <v>1154</v>
      </c>
      <c r="K472" t="s">
        <v>1155</v>
      </c>
      <c r="L472">
        <v>1367</v>
      </c>
      <c r="N472">
        <v>1011</v>
      </c>
      <c r="O472" t="s">
        <v>1102</v>
      </c>
      <c r="P472" t="s">
        <v>1102</v>
      </c>
      <c r="Q472">
        <v>1</v>
      </c>
      <c r="X472">
        <v>0.2</v>
      </c>
      <c r="Y472">
        <v>0</v>
      </c>
      <c r="Z472">
        <v>41.62</v>
      </c>
      <c r="AA472">
        <v>13.33</v>
      </c>
      <c r="AB472">
        <v>0</v>
      </c>
      <c r="AC472">
        <v>0</v>
      </c>
      <c r="AD472">
        <v>1</v>
      </c>
      <c r="AE472">
        <v>0</v>
      </c>
      <c r="AF472" t="s">
        <v>86</v>
      </c>
      <c r="AG472">
        <v>0.25</v>
      </c>
      <c r="AH472">
        <v>2</v>
      </c>
      <c r="AI472">
        <v>129763720</v>
      </c>
      <c r="AJ472">
        <v>466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</row>
    <row r="473" spans="1:44" x14ac:dyDescent="0.2">
      <c r="A473">
        <f>ROW(Source!A507)</f>
        <v>507</v>
      </c>
      <c r="B473">
        <v>129763727</v>
      </c>
      <c r="C473">
        <v>129763718</v>
      </c>
      <c r="D473">
        <v>37418474</v>
      </c>
      <c r="E473">
        <v>1</v>
      </c>
      <c r="F473">
        <v>1</v>
      </c>
      <c r="G473">
        <v>37345137</v>
      </c>
      <c r="H473">
        <v>2</v>
      </c>
      <c r="I473" t="s">
        <v>1300</v>
      </c>
      <c r="J473" t="s">
        <v>1301</v>
      </c>
      <c r="K473" t="s">
        <v>1302</v>
      </c>
      <c r="L473">
        <v>1367</v>
      </c>
      <c r="N473">
        <v>1011</v>
      </c>
      <c r="O473" t="s">
        <v>1102</v>
      </c>
      <c r="P473" t="s">
        <v>1102</v>
      </c>
      <c r="Q473">
        <v>1</v>
      </c>
      <c r="X473">
        <v>0.4</v>
      </c>
      <c r="Y473">
        <v>0</v>
      </c>
      <c r="Z473">
        <v>0.56000000000000005</v>
      </c>
      <c r="AA473">
        <v>0.09</v>
      </c>
      <c r="AB473">
        <v>0</v>
      </c>
      <c r="AC473">
        <v>0</v>
      </c>
      <c r="AD473">
        <v>1</v>
      </c>
      <c r="AE473">
        <v>0</v>
      </c>
      <c r="AF473" t="s">
        <v>86</v>
      </c>
      <c r="AG473">
        <v>0.5</v>
      </c>
      <c r="AH473">
        <v>2</v>
      </c>
      <c r="AI473">
        <v>129763721</v>
      </c>
      <c r="AJ473">
        <v>467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</row>
    <row r="474" spans="1:44" x14ac:dyDescent="0.2">
      <c r="A474">
        <f>ROW(Source!A507)</f>
        <v>507</v>
      </c>
      <c r="B474">
        <v>129763728</v>
      </c>
      <c r="C474">
        <v>129763718</v>
      </c>
      <c r="D474">
        <v>37417781</v>
      </c>
      <c r="E474">
        <v>1</v>
      </c>
      <c r="F474">
        <v>1</v>
      </c>
      <c r="G474">
        <v>37345137</v>
      </c>
      <c r="H474">
        <v>2</v>
      </c>
      <c r="I474" t="s">
        <v>1303</v>
      </c>
      <c r="J474" t="s">
        <v>1304</v>
      </c>
      <c r="K474" t="s">
        <v>1305</v>
      </c>
      <c r="L474">
        <v>1367</v>
      </c>
      <c r="N474">
        <v>1011</v>
      </c>
      <c r="O474" t="s">
        <v>1102</v>
      </c>
      <c r="P474" t="s">
        <v>1102</v>
      </c>
      <c r="Q474">
        <v>1</v>
      </c>
      <c r="X474">
        <v>7.0000000000000007E-2</v>
      </c>
      <c r="Y474">
        <v>0</v>
      </c>
      <c r="Z474">
        <v>106.74</v>
      </c>
      <c r="AA474">
        <v>19.2</v>
      </c>
      <c r="AB474">
        <v>0</v>
      </c>
      <c r="AC474">
        <v>0</v>
      </c>
      <c r="AD474">
        <v>1</v>
      </c>
      <c r="AE474">
        <v>0</v>
      </c>
      <c r="AF474" t="s">
        <v>86</v>
      </c>
      <c r="AG474">
        <v>8.7500000000000008E-2</v>
      </c>
      <c r="AH474">
        <v>2</v>
      </c>
      <c r="AI474">
        <v>129763722</v>
      </c>
      <c r="AJ474">
        <v>468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</row>
    <row r="475" spans="1:44" x14ac:dyDescent="0.2">
      <c r="A475">
        <f>ROW(Source!A507)</f>
        <v>507</v>
      </c>
      <c r="B475">
        <v>129763729</v>
      </c>
      <c r="C475">
        <v>129763718</v>
      </c>
      <c r="D475">
        <v>37393552</v>
      </c>
      <c r="E475">
        <v>1</v>
      </c>
      <c r="F475">
        <v>1</v>
      </c>
      <c r="G475">
        <v>37345137</v>
      </c>
      <c r="H475">
        <v>3</v>
      </c>
      <c r="I475" t="s">
        <v>348</v>
      </c>
      <c r="J475" t="s">
        <v>350</v>
      </c>
      <c r="K475" t="s">
        <v>349</v>
      </c>
      <c r="L475">
        <v>1339</v>
      </c>
      <c r="N475">
        <v>1007</v>
      </c>
      <c r="O475" t="s">
        <v>94</v>
      </c>
      <c r="P475" t="s">
        <v>94</v>
      </c>
      <c r="Q475">
        <v>1</v>
      </c>
      <c r="X475">
        <v>0.15</v>
      </c>
      <c r="Y475">
        <v>7.07</v>
      </c>
      <c r="Z475">
        <v>0</v>
      </c>
      <c r="AA475">
        <v>0</v>
      </c>
      <c r="AB475">
        <v>0</v>
      </c>
      <c r="AC475">
        <v>0</v>
      </c>
      <c r="AD475">
        <v>1</v>
      </c>
      <c r="AE475">
        <v>0</v>
      </c>
      <c r="AF475" t="s">
        <v>3</v>
      </c>
      <c r="AG475">
        <v>0.15</v>
      </c>
      <c r="AH475">
        <v>2</v>
      </c>
      <c r="AI475">
        <v>129763723</v>
      </c>
      <c r="AJ475">
        <v>469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</row>
    <row r="476" spans="1:44" x14ac:dyDescent="0.2">
      <c r="A476">
        <f>ROW(Source!A507)</f>
        <v>507</v>
      </c>
      <c r="B476">
        <v>129763730</v>
      </c>
      <c r="C476">
        <v>129763718</v>
      </c>
      <c r="D476">
        <v>37358347</v>
      </c>
      <c r="E476">
        <v>37345137</v>
      </c>
      <c r="F476">
        <v>1</v>
      </c>
      <c r="G476">
        <v>37345137</v>
      </c>
      <c r="H476">
        <v>3</v>
      </c>
      <c r="I476" t="s">
        <v>1490</v>
      </c>
      <c r="J476" t="s">
        <v>3</v>
      </c>
      <c r="K476" t="s">
        <v>1491</v>
      </c>
      <c r="L476">
        <v>1339</v>
      </c>
      <c r="N476">
        <v>1007</v>
      </c>
      <c r="O476" t="s">
        <v>94</v>
      </c>
      <c r="P476" t="s">
        <v>94</v>
      </c>
      <c r="Q476">
        <v>1</v>
      </c>
      <c r="X476">
        <v>1.1499999999999999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 t="s">
        <v>3</v>
      </c>
      <c r="AG476">
        <v>1.1499999999999999</v>
      </c>
      <c r="AH476">
        <v>3</v>
      </c>
      <c r="AI476">
        <v>-1</v>
      </c>
      <c r="AJ476" t="s">
        <v>3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</row>
    <row r="477" spans="1:44" x14ac:dyDescent="0.2">
      <c r="A477">
        <f>ROW(Source!A510)</f>
        <v>510</v>
      </c>
      <c r="B477">
        <v>129763750</v>
      </c>
      <c r="C477">
        <v>129763732</v>
      </c>
      <c r="D477">
        <v>37345142</v>
      </c>
      <c r="E477">
        <v>37345137</v>
      </c>
      <c r="F477">
        <v>1</v>
      </c>
      <c r="G477">
        <v>37345137</v>
      </c>
      <c r="H477">
        <v>1</v>
      </c>
      <c r="I477" t="s">
        <v>1096</v>
      </c>
      <c r="J477" t="s">
        <v>3</v>
      </c>
      <c r="K477" t="s">
        <v>1097</v>
      </c>
      <c r="L477">
        <v>1191</v>
      </c>
      <c r="N477">
        <v>1013</v>
      </c>
      <c r="O477" t="s">
        <v>1098</v>
      </c>
      <c r="P477" t="s">
        <v>1098</v>
      </c>
      <c r="Q477">
        <v>1</v>
      </c>
      <c r="X477">
        <v>179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1</v>
      </c>
      <c r="AE477">
        <v>1</v>
      </c>
      <c r="AF477" t="s">
        <v>87</v>
      </c>
      <c r="AG477">
        <v>205.85</v>
      </c>
      <c r="AH477">
        <v>2</v>
      </c>
      <c r="AI477">
        <v>129763733</v>
      </c>
      <c r="AJ477">
        <v>471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</row>
    <row r="478" spans="1:44" x14ac:dyDescent="0.2">
      <c r="A478">
        <f>ROW(Source!A510)</f>
        <v>510</v>
      </c>
      <c r="B478">
        <v>129763751</v>
      </c>
      <c r="C478">
        <v>129763732</v>
      </c>
      <c r="D478">
        <v>37418162</v>
      </c>
      <c r="E478">
        <v>1</v>
      </c>
      <c r="F478">
        <v>1</v>
      </c>
      <c r="G478">
        <v>37345137</v>
      </c>
      <c r="H478">
        <v>2</v>
      </c>
      <c r="I478" t="s">
        <v>1174</v>
      </c>
      <c r="J478" t="s">
        <v>1175</v>
      </c>
      <c r="K478" t="s">
        <v>1176</v>
      </c>
      <c r="L478">
        <v>1367</v>
      </c>
      <c r="N478">
        <v>1011</v>
      </c>
      <c r="O478" t="s">
        <v>1102</v>
      </c>
      <c r="P478" t="s">
        <v>1102</v>
      </c>
      <c r="Q478">
        <v>1</v>
      </c>
      <c r="X478">
        <v>120</v>
      </c>
      <c r="Y478">
        <v>0</v>
      </c>
      <c r="Z478">
        <v>6.15</v>
      </c>
      <c r="AA478">
        <v>0.02</v>
      </c>
      <c r="AB478">
        <v>0</v>
      </c>
      <c r="AC478">
        <v>0</v>
      </c>
      <c r="AD478">
        <v>1</v>
      </c>
      <c r="AE478">
        <v>0</v>
      </c>
      <c r="AF478" t="s">
        <v>86</v>
      </c>
      <c r="AG478">
        <v>150</v>
      </c>
      <c r="AH478">
        <v>2</v>
      </c>
      <c r="AI478">
        <v>129763734</v>
      </c>
      <c r="AJ478">
        <v>472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</row>
    <row r="479" spans="1:44" x14ac:dyDescent="0.2">
      <c r="A479">
        <f>ROW(Source!A510)</f>
        <v>510</v>
      </c>
      <c r="B479">
        <v>129763752</v>
      </c>
      <c r="C479">
        <v>129763732</v>
      </c>
      <c r="D479">
        <v>37418445</v>
      </c>
      <c r="E479">
        <v>1</v>
      </c>
      <c r="F479">
        <v>1</v>
      </c>
      <c r="G479">
        <v>37345137</v>
      </c>
      <c r="H479">
        <v>2</v>
      </c>
      <c r="I479" t="s">
        <v>1189</v>
      </c>
      <c r="J479" t="s">
        <v>1190</v>
      </c>
      <c r="K479" t="s">
        <v>1191</v>
      </c>
      <c r="L479">
        <v>1367</v>
      </c>
      <c r="N479">
        <v>1011</v>
      </c>
      <c r="O479" t="s">
        <v>1102</v>
      </c>
      <c r="P479" t="s">
        <v>1102</v>
      </c>
      <c r="Q479">
        <v>1</v>
      </c>
      <c r="X479">
        <v>1.35</v>
      </c>
      <c r="Y479">
        <v>0</v>
      </c>
      <c r="Z479">
        <v>76.81</v>
      </c>
      <c r="AA479">
        <v>14.36</v>
      </c>
      <c r="AB479">
        <v>0</v>
      </c>
      <c r="AC479">
        <v>0</v>
      </c>
      <c r="AD479">
        <v>1</v>
      </c>
      <c r="AE479">
        <v>0</v>
      </c>
      <c r="AF479" t="s">
        <v>86</v>
      </c>
      <c r="AG479">
        <v>1.6875</v>
      </c>
      <c r="AH479">
        <v>2</v>
      </c>
      <c r="AI479">
        <v>129763735</v>
      </c>
      <c r="AJ479">
        <v>473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</row>
    <row r="480" spans="1:44" x14ac:dyDescent="0.2">
      <c r="A480">
        <f>ROW(Source!A510)</f>
        <v>510</v>
      </c>
      <c r="B480">
        <v>129763754</v>
      </c>
      <c r="C480">
        <v>129763732</v>
      </c>
      <c r="D480">
        <v>37418498</v>
      </c>
      <c r="E480">
        <v>1</v>
      </c>
      <c r="F480">
        <v>1</v>
      </c>
      <c r="G480">
        <v>37345137</v>
      </c>
      <c r="H480">
        <v>2</v>
      </c>
      <c r="I480" t="s">
        <v>1306</v>
      </c>
      <c r="J480" t="s">
        <v>1307</v>
      </c>
      <c r="K480" t="s">
        <v>1308</v>
      </c>
      <c r="L480">
        <v>1367</v>
      </c>
      <c r="N480">
        <v>1011</v>
      </c>
      <c r="O480" t="s">
        <v>1102</v>
      </c>
      <c r="P480" t="s">
        <v>1102</v>
      </c>
      <c r="Q480">
        <v>1</v>
      </c>
      <c r="X480">
        <v>0.1</v>
      </c>
      <c r="Y480">
        <v>0</v>
      </c>
      <c r="Z480">
        <v>0.53</v>
      </c>
      <c r="AA480">
        <v>0.04</v>
      </c>
      <c r="AB480">
        <v>0</v>
      </c>
      <c r="AC480">
        <v>0</v>
      </c>
      <c r="AD480">
        <v>1</v>
      </c>
      <c r="AE480">
        <v>0</v>
      </c>
      <c r="AF480" t="s">
        <v>86</v>
      </c>
      <c r="AG480">
        <v>0.125</v>
      </c>
      <c r="AH480">
        <v>2</v>
      </c>
      <c r="AI480">
        <v>129763737</v>
      </c>
      <c r="AJ480">
        <v>474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</row>
    <row r="481" spans="1:44" x14ac:dyDescent="0.2">
      <c r="A481">
        <f>ROW(Source!A510)</f>
        <v>510</v>
      </c>
      <c r="B481">
        <v>129763753</v>
      </c>
      <c r="C481">
        <v>129763732</v>
      </c>
      <c r="D481">
        <v>37417692</v>
      </c>
      <c r="E481">
        <v>1</v>
      </c>
      <c r="F481">
        <v>1</v>
      </c>
      <c r="G481">
        <v>37345137</v>
      </c>
      <c r="H481">
        <v>2</v>
      </c>
      <c r="I481" t="s">
        <v>1127</v>
      </c>
      <c r="J481" t="s">
        <v>1128</v>
      </c>
      <c r="K481" t="s">
        <v>1129</v>
      </c>
      <c r="L481">
        <v>1367</v>
      </c>
      <c r="N481">
        <v>1011</v>
      </c>
      <c r="O481" t="s">
        <v>1102</v>
      </c>
      <c r="P481" t="s">
        <v>1102</v>
      </c>
      <c r="Q481">
        <v>1</v>
      </c>
      <c r="X481">
        <v>0.9</v>
      </c>
      <c r="Y481">
        <v>0</v>
      </c>
      <c r="Z481">
        <v>190.93</v>
      </c>
      <c r="AA481">
        <v>18.149999999999999</v>
      </c>
      <c r="AB481">
        <v>0</v>
      </c>
      <c r="AC481">
        <v>0</v>
      </c>
      <c r="AD481">
        <v>1</v>
      </c>
      <c r="AE481">
        <v>0</v>
      </c>
      <c r="AF481" t="s">
        <v>86</v>
      </c>
      <c r="AG481">
        <v>1.125</v>
      </c>
      <c r="AH481">
        <v>2</v>
      </c>
      <c r="AI481">
        <v>129763736</v>
      </c>
      <c r="AJ481">
        <v>475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</row>
    <row r="482" spans="1:44" x14ac:dyDescent="0.2">
      <c r="A482">
        <f>ROW(Source!A510)</f>
        <v>510</v>
      </c>
      <c r="B482">
        <v>129763755</v>
      </c>
      <c r="C482">
        <v>129763732</v>
      </c>
      <c r="D482">
        <v>37417785</v>
      </c>
      <c r="E482">
        <v>1</v>
      </c>
      <c r="F482">
        <v>1</v>
      </c>
      <c r="G482">
        <v>37345137</v>
      </c>
      <c r="H482">
        <v>2</v>
      </c>
      <c r="I482" t="s">
        <v>1309</v>
      </c>
      <c r="J482" t="s">
        <v>1310</v>
      </c>
      <c r="K482" t="s">
        <v>1311</v>
      </c>
      <c r="L482">
        <v>1367</v>
      </c>
      <c r="N482">
        <v>1011</v>
      </c>
      <c r="O482" t="s">
        <v>1102</v>
      </c>
      <c r="P482" t="s">
        <v>1102</v>
      </c>
      <c r="Q482">
        <v>1</v>
      </c>
      <c r="X482">
        <v>0.25</v>
      </c>
      <c r="Y482">
        <v>0</v>
      </c>
      <c r="Z482">
        <v>73</v>
      </c>
      <c r="AA482">
        <v>16.899999999999999</v>
      </c>
      <c r="AB482">
        <v>0</v>
      </c>
      <c r="AC482">
        <v>0</v>
      </c>
      <c r="AD482">
        <v>1</v>
      </c>
      <c r="AE482">
        <v>0</v>
      </c>
      <c r="AF482" t="s">
        <v>86</v>
      </c>
      <c r="AG482">
        <v>0.3125</v>
      </c>
      <c r="AH482">
        <v>2</v>
      </c>
      <c r="AI482">
        <v>129763738</v>
      </c>
      <c r="AJ482">
        <v>476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</row>
    <row r="483" spans="1:44" x14ac:dyDescent="0.2">
      <c r="A483">
        <f>ROW(Source!A510)</f>
        <v>510</v>
      </c>
      <c r="B483">
        <v>129763756</v>
      </c>
      <c r="C483">
        <v>129763732</v>
      </c>
      <c r="D483">
        <v>37417976</v>
      </c>
      <c r="E483">
        <v>1</v>
      </c>
      <c r="F483">
        <v>1</v>
      </c>
      <c r="G483">
        <v>37345137</v>
      </c>
      <c r="H483">
        <v>2</v>
      </c>
      <c r="I483" t="s">
        <v>1312</v>
      </c>
      <c r="J483" t="s">
        <v>1313</v>
      </c>
      <c r="K483" t="s">
        <v>1314</v>
      </c>
      <c r="L483">
        <v>1367</v>
      </c>
      <c r="N483">
        <v>1011</v>
      </c>
      <c r="O483" t="s">
        <v>1102</v>
      </c>
      <c r="P483" t="s">
        <v>1102</v>
      </c>
      <c r="Q483">
        <v>1</v>
      </c>
      <c r="X483">
        <v>9</v>
      </c>
      <c r="Y483">
        <v>0</v>
      </c>
      <c r="Z483">
        <v>2.06</v>
      </c>
      <c r="AA483">
        <v>0.09</v>
      </c>
      <c r="AB483">
        <v>0</v>
      </c>
      <c r="AC483">
        <v>0</v>
      </c>
      <c r="AD483">
        <v>1</v>
      </c>
      <c r="AE483">
        <v>0</v>
      </c>
      <c r="AF483" t="s">
        <v>86</v>
      </c>
      <c r="AG483">
        <v>11.25</v>
      </c>
      <c r="AH483">
        <v>2</v>
      </c>
      <c r="AI483">
        <v>129763739</v>
      </c>
      <c r="AJ483">
        <v>477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</row>
    <row r="484" spans="1:44" x14ac:dyDescent="0.2">
      <c r="A484">
        <f>ROW(Source!A510)</f>
        <v>510</v>
      </c>
      <c r="B484">
        <v>129763757</v>
      </c>
      <c r="C484">
        <v>129763732</v>
      </c>
      <c r="D484">
        <v>37358131</v>
      </c>
      <c r="E484">
        <v>37345137</v>
      </c>
      <c r="F484">
        <v>1</v>
      </c>
      <c r="G484">
        <v>37345137</v>
      </c>
      <c r="H484">
        <v>3</v>
      </c>
      <c r="I484" t="s">
        <v>1480</v>
      </c>
      <c r="J484" t="s">
        <v>3</v>
      </c>
      <c r="K484" t="s">
        <v>1492</v>
      </c>
      <c r="L484">
        <v>1348</v>
      </c>
      <c r="N484">
        <v>1009</v>
      </c>
      <c r="O484" t="s">
        <v>114</v>
      </c>
      <c r="P484" t="s">
        <v>114</v>
      </c>
      <c r="Q484">
        <v>1000</v>
      </c>
      <c r="X484">
        <v>8.1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 t="s">
        <v>3</v>
      </c>
      <c r="AG484">
        <v>8.1</v>
      </c>
      <c r="AH484">
        <v>3</v>
      </c>
      <c r="AI484">
        <v>-1</v>
      </c>
      <c r="AJ484" t="s">
        <v>3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</row>
    <row r="485" spans="1:44" x14ac:dyDescent="0.2">
      <c r="A485">
        <f>ROW(Source!A510)</f>
        <v>510</v>
      </c>
      <c r="B485">
        <v>129763758</v>
      </c>
      <c r="C485">
        <v>129763732</v>
      </c>
      <c r="D485">
        <v>37393552</v>
      </c>
      <c r="E485">
        <v>1</v>
      </c>
      <c r="F485">
        <v>1</v>
      </c>
      <c r="G485">
        <v>37345137</v>
      </c>
      <c r="H485">
        <v>3</v>
      </c>
      <c r="I485" t="s">
        <v>348</v>
      </c>
      <c r="J485" t="s">
        <v>350</v>
      </c>
      <c r="K485" t="s">
        <v>349</v>
      </c>
      <c r="L485">
        <v>1339</v>
      </c>
      <c r="N485">
        <v>1007</v>
      </c>
      <c r="O485" t="s">
        <v>94</v>
      </c>
      <c r="P485" t="s">
        <v>94</v>
      </c>
      <c r="Q485">
        <v>1</v>
      </c>
      <c r="X485">
        <v>0.73</v>
      </c>
      <c r="Y485">
        <v>7.07</v>
      </c>
      <c r="Z485">
        <v>0</v>
      </c>
      <c r="AA485">
        <v>0</v>
      </c>
      <c r="AB485">
        <v>0</v>
      </c>
      <c r="AC485">
        <v>0</v>
      </c>
      <c r="AD485">
        <v>1</v>
      </c>
      <c r="AE485">
        <v>0</v>
      </c>
      <c r="AF485" t="s">
        <v>3</v>
      </c>
      <c r="AG485">
        <v>0.73</v>
      </c>
      <c r="AH485">
        <v>2</v>
      </c>
      <c r="AI485">
        <v>129763740</v>
      </c>
      <c r="AJ485">
        <v>478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</row>
    <row r="486" spans="1:44" x14ac:dyDescent="0.2">
      <c r="A486">
        <f>ROW(Source!A510)</f>
        <v>510</v>
      </c>
      <c r="B486">
        <v>129763759</v>
      </c>
      <c r="C486">
        <v>129763732</v>
      </c>
      <c r="D486">
        <v>37393565</v>
      </c>
      <c r="E486">
        <v>1</v>
      </c>
      <c r="F486">
        <v>1</v>
      </c>
      <c r="G486">
        <v>37345137</v>
      </c>
      <c r="H486">
        <v>3</v>
      </c>
      <c r="I486" t="s">
        <v>1198</v>
      </c>
      <c r="J486" t="s">
        <v>1199</v>
      </c>
      <c r="K486" t="s">
        <v>1200</v>
      </c>
      <c r="L486">
        <v>1348</v>
      </c>
      <c r="N486">
        <v>1009</v>
      </c>
      <c r="O486" t="s">
        <v>114</v>
      </c>
      <c r="P486" t="s">
        <v>114</v>
      </c>
      <c r="Q486">
        <v>1000</v>
      </c>
      <c r="X486">
        <v>2E-3</v>
      </c>
      <c r="Y486">
        <v>6521.42</v>
      </c>
      <c r="Z486">
        <v>0</v>
      </c>
      <c r="AA486">
        <v>0</v>
      </c>
      <c r="AB486">
        <v>0</v>
      </c>
      <c r="AC486">
        <v>0</v>
      </c>
      <c r="AD486">
        <v>1</v>
      </c>
      <c r="AE486">
        <v>0</v>
      </c>
      <c r="AF486" t="s">
        <v>3</v>
      </c>
      <c r="AG486">
        <v>2E-3</v>
      </c>
      <c r="AH486">
        <v>2</v>
      </c>
      <c r="AI486">
        <v>129763741</v>
      </c>
      <c r="AJ486">
        <v>479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</row>
    <row r="487" spans="1:44" x14ac:dyDescent="0.2">
      <c r="A487">
        <f>ROW(Source!A510)</f>
        <v>510</v>
      </c>
      <c r="B487">
        <v>129763760</v>
      </c>
      <c r="C487">
        <v>129763732</v>
      </c>
      <c r="D487">
        <v>37394864</v>
      </c>
      <c r="E487">
        <v>1</v>
      </c>
      <c r="F487">
        <v>1</v>
      </c>
      <c r="G487">
        <v>37345137</v>
      </c>
      <c r="H487">
        <v>3</v>
      </c>
      <c r="I487" t="s">
        <v>1147</v>
      </c>
      <c r="J487" t="s">
        <v>1148</v>
      </c>
      <c r="K487" t="s">
        <v>1149</v>
      </c>
      <c r="L487">
        <v>1348</v>
      </c>
      <c r="N487">
        <v>1009</v>
      </c>
      <c r="O487" t="s">
        <v>114</v>
      </c>
      <c r="P487" t="s">
        <v>114</v>
      </c>
      <c r="Q487">
        <v>1000</v>
      </c>
      <c r="X487">
        <v>0.16</v>
      </c>
      <c r="Y487">
        <v>7191.81</v>
      </c>
      <c r="Z487">
        <v>0</v>
      </c>
      <c r="AA487">
        <v>0</v>
      </c>
      <c r="AB487">
        <v>0</v>
      </c>
      <c r="AC487">
        <v>0</v>
      </c>
      <c r="AD487">
        <v>1</v>
      </c>
      <c r="AE487">
        <v>0</v>
      </c>
      <c r="AF487" t="s">
        <v>3</v>
      </c>
      <c r="AG487">
        <v>0.16</v>
      </c>
      <c r="AH487">
        <v>2</v>
      </c>
      <c r="AI487">
        <v>129763742</v>
      </c>
      <c r="AJ487">
        <v>480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</row>
    <row r="488" spans="1:44" x14ac:dyDescent="0.2">
      <c r="A488">
        <f>ROW(Source!A510)</f>
        <v>510</v>
      </c>
      <c r="B488">
        <v>129763761</v>
      </c>
      <c r="C488">
        <v>129763732</v>
      </c>
      <c r="D488">
        <v>37393656</v>
      </c>
      <c r="E488">
        <v>1</v>
      </c>
      <c r="F488">
        <v>1</v>
      </c>
      <c r="G488">
        <v>37345137</v>
      </c>
      <c r="H488">
        <v>3</v>
      </c>
      <c r="I488" t="s">
        <v>1315</v>
      </c>
      <c r="J488" t="s">
        <v>1316</v>
      </c>
      <c r="K488" t="s">
        <v>1317</v>
      </c>
      <c r="L488">
        <v>1339</v>
      </c>
      <c r="N488">
        <v>1007</v>
      </c>
      <c r="O488" t="s">
        <v>94</v>
      </c>
      <c r="P488" t="s">
        <v>94</v>
      </c>
      <c r="Q488">
        <v>1</v>
      </c>
      <c r="X488">
        <v>0.04</v>
      </c>
      <c r="Y488">
        <v>1828.56</v>
      </c>
      <c r="Z488">
        <v>0</v>
      </c>
      <c r="AA488">
        <v>0</v>
      </c>
      <c r="AB488">
        <v>0</v>
      </c>
      <c r="AC488">
        <v>0</v>
      </c>
      <c r="AD488">
        <v>1</v>
      </c>
      <c r="AE488">
        <v>0</v>
      </c>
      <c r="AF488" t="s">
        <v>3</v>
      </c>
      <c r="AG488">
        <v>0.04</v>
      </c>
      <c r="AH488">
        <v>2</v>
      </c>
      <c r="AI488">
        <v>129763743</v>
      </c>
      <c r="AJ488">
        <v>481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</row>
    <row r="489" spans="1:44" x14ac:dyDescent="0.2">
      <c r="A489">
        <f>ROW(Source!A510)</f>
        <v>510</v>
      </c>
      <c r="B489">
        <v>129763762</v>
      </c>
      <c r="C489">
        <v>129763732</v>
      </c>
      <c r="D489">
        <v>37393683</v>
      </c>
      <c r="E489">
        <v>1</v>
      </c>
      <c r="F489">
        <v>1</v>
      </c>
      <c r="G489">
        <v>37345137</v>
      </c>
      <c r="H489">
        <v>3</v>
      </c>
      <c r="I489" t="s">
        <v>1318</v>
      </c>
      <c r="J489" t="s">
        <v>1319</v>
      </c>
      <c r="K489" t="s">
        <v>1320</v>
      </c>
      <c r="L489">
        <v>1348</v>
      </c>
      <c r="N489">
        <v>1009</v>
      </c>
      <c r="O489" t="s">
        <v>114</v>
      </c>
      <c r="P489" t="s">
        <v>114</v>
      </c>
      <c r="Q489">
        <v>1000</v>
      </c>
      <c r="X489">
        <v>0.01</v>
      </c>
      <c r="Y489">
        <v>1260.72</v>
      </c>
      <c r="Z489">
        <v>0</v>
      </c>
      <c r="AA489">
        <v>0</v>
      </c>
      <c r="AB489">
        <v>0</v>
      </c>
      <c r="AC489">
        <v>0</v>
      </c>
      <c r="AD489">
        <v>1</v>
      </c>
      <c r="AE489">
        <v>0</v>
      </c>
      <c r="AF489" t="s">
        <v>3</v>
      </c>
      <c r="AG489">
        <v>0.01</v>
      </c>
      <c r="AH489">
        <v>2</v>
      </c>
      <c r="AI489">
        <v>129763744</v>
      </c>
      <c r="AJ489">
        <v>482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</row>
    <row r="490" spans="1:44" x14ac:dyDescent="0.2">
      <c r="A490">
        <f>ROW(Source!A510)</f>
        <v>510</v>
      </c>
      <c r="B490">
        <v>129763763</v>
      </c>
      <c r="C490">
        <v>129763732</v>
      </c>
      <c r="D490">
        <v>37394035</v>
      </c>
      <c r="E490">
        <v>1</v>
      </c>
      <c r="F490">
        <v>1</v>
      </c>
      <c r="G490">
        <v>37345137</v>
      </c>
      <c r="H490">
        <v>3</v>
      </c>
      <c r="I490" t="s">
        <v>1321</v>
      </c>
      <c r="J490" t="s">
        <v>1322</v>
      </c>
      <c r="K490" t="s">
        <v>1323</v>
      </c>
      <c r="L490">
        <v>1327</v>
      </c>
      <c r="N490">
        <v>1005</v>
      </c>
      <c r="O490" t="s">
        <v>258</v>
      </c>
      <c r="P490" t="s">
        <v>258</v>
      </c>
      <c r="Q490">
        <v>1</v>
      </c>
      <c r="X490">
        <v>30</v>
      </c>
      <c r="Y490">
        <v>7.39</v>
      </c>
      <c r="Z490">
        <v>0</v>
      </c>
      <c r="AA490">
        <v>0</v>
      </c>
      <c r="AB490">
        <v>0</v>
      </c>
      <c r="AC490">
        <v>0</v>
      </c>
      <c r="AD490">
        <v>1</v>
      </c>
      <c r="AE490">
        <v>0</v>
      </c>
      <c r="AF490" t="s">
        <v>3</v>
      </c>
      <c r="AG490">
        <v>30</v>
      </c>
      <c r="AH490">
        <v>2</v>
      </c>
      <c r="AI490">
        <v>129763745</v>
      </c>
      <c r="AJ490">
        <v>483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</row>
    <row r="491" spans="1:44" x14ac:dyDescent="0.2">
      <c r="A491">
        <f>ROW(Source!A510)</f>
        <v>510</v>
      </c>
      <c r="B491">
        <v>129763764</v>
      </c>
      <c r="C491">
        <v>129763732</v>
      </c>
      <c r="D491">
        <v>37417373</v>
      </c>
      <c r="E491">
        <v>1</v>
      </c>
      <c r="F491">
        <v>1</v>
      </c>
      <c r="G491">
        <v>37345137</v>
      </c>
      <c r="H491">
        <v>3</v>
      </c>
      <c r="I491" t="s">
        <v>1324</v>
      </c>
      <c r="J491" t="s">
        <v>1325</v>
      </c>
      <c r="K491" t="s">
        <v>1326</v>
      </c>
      <c r="L491">
        <v>1327</v>
      </c>
      <c r="N491">
        <v>1005</v>
      </c>
      <c r="O491" t="s">
        <v>258</v>
      </c>
      <c r="P491" t="s">
        <v>258</v>
      </c>
      <c r="Q491">
        <v>1</v>
      </c>
      <c r="X491">
        <v>3.6</v>
      </c>
      <c r="Y491">
        <v>90.15</v>
      </c>
      <c r="Z491">
        <v>0</v>
      </c>
      <c r="AA491">
        <v>0</v>
      </c>
      <c r="AB491">
        <v>0</v>
      </c>
      <c r="AC491">
        <v>0</v>
      </c>
      <c r="AD491">
        <v>1</v>
      </c>
      <c r="AE491">
        <v>0</v>
      </c>
      <c r="AF491" t="s">
        <v>3</v>
      </c>
      <c r="AG491">
        <v>3.6</v>
      </c>
      <c r="AH491">
        <v>2</v>
      </c>
      <c r="AI491">
        <v>129763746</v>
      </c>
      <c r="AJ491">
        <v>487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</row>
    <row r="492" spans="1:44" x14ac:dyDescent="0.2">
      <c r="A492">
        <f>ROW(Source!A510)</f>
        <v>510</v>
      </c>
      <c r="B492">
        <v>129763765</v>
      </c>
      <c r="C492">
        <v>129763732</v>
      </c>
      <c r="D492">
        <v>90300495</v>
      </c>
      <c r="E492">
        <v>37345137</v>
      </c>
      <c r="F492">
        <v>1</v>
      </c>
      <c r="G492">
        <v>37345137</v>
      </c>
      <c r="H492">
        <v>3</v>
      </c>
      <c r="I492" t="s">
        <v>1493</v>
      </c>
      <c r="J492" t="s">
        <v>3</v>
      </c>
      <c r="K492" t="s">
        <v>1494</v>
      </c>
      <c r="L492">
        <v>1339</v>
      </c>
      <c r="N492">
        <v>1007</v>
      </c>
      <c r="O492" t="s">
        <v>94</v>
      </c>
      <c r="P492" t="s">
        <v>94</v>
      </c>
      <c r="Q492">
        <v>1</v>
      </c>
      <c r="X492">
        <v>101.5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 t="s">
        <v>3</v>
      </c>
      <c r="AG492">
        <v>101.5</v>
      </c>
      <c r="AH492">
        <v>3</v>
      </c>
      <c r="AI492">
        <v>-1</v>
      </c>
      <c r="AJ492" t="s">
        <v>3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</row>
    <row r="493" spans="1:44" x14ac:dyDescent="0.2">
      <c r="A493">
        <f>ROW(Source!A511)</f>
        <v>511</v>
      </c>
      <c r="B493">
        <v>129763750</v>
      </c>
      <c r="C493">
        <v>129763732</v>
      </c>
      <c r="D493">
        <v>37345142</v>
      </c>
      <c r="E493">
        <v>37345137</v>
      </c>
      <c r="F493">
        <v>1</v>
      </c>
      <c r="G493">
        <v>37345137</v>
      </c>
      <c r="H493">
        <v>1</v>
      </c>
      <c r="I493" t="s">
        <v>1096</v>
      </c>
      <c r="J493" t="s">
        <v>3</v>
      </c>
      <c r="K493" t="s">
        <v>1097</v>
      </c>
      <c r="L493">
        <v>1191</v>
      </c>
      <c r="N493">
        <v>1013</v>
      </c>
      <c r="O493" t="s">
        <v>1098</v>
      </c>
      <c r="P493" t="s">
        <v>1098</v>
      </c>
      <c r="Q493">
        <v>1</v>
      </c>
      <c r="X493">
        <v>179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1</v>
      </c>
      <c r="AE493">
        <v>1</v>
      </c>
      <c r="AF493" t="s">
        <v>87</v>
      </c>
      <c r="AG493">
        <v>205.85</v>
      </c>
      <c r="AH493">
        <v>2</v>
      </c>
      <c r="AI493">
        <v>129763733</v>
      </c>
      <c r="AJ493">
        <v>488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</row>
    <row r="494" spans="1:44" x14ac:dyDescent="0.2">
      <c r="A494">
        <f>ROW(Source!A511)</f>
        <v>511</v>
      </c>
      <c r="B494">
        <v>129763751</v>
      </c>
      <c r="C494">
        <v>129763732</v>
      </c>
      <c r="D494">
        <v>37418162</v>
      </c>
      <c r="E494">
        <v>1</v>
      </c>
      <c r="F494">
        <v>1</v>
      </c>
      <c r="G494">
        <v>37345137</v>
      </c>
      <c r="H494">
        <v>2</v>
      </c>
      <c r="I494" t="s">
        <v>1174</v>
      </c>
      <c r="J494" t="s">
        <v>1175</v>
      </c>
      <c r="K494" t="s">
        <v>1176</v>
      </c>
      <c r="L494">
        <v>1367</v>
      </c>
      <c r="N494">
        <v>1011</v>
      </c>
      <c r="O494" t="s">
        <v>1102</v>
      </c>
      <c r="P494" t="s">
        <v>1102</v>
      </c>
      <c r="Q494">
        <v>1</v>
      </c>
      <c r="X494">
        <v>120</v>
      </c>
      <c r="Y494">
        <v>0</v>
      </c>
      <c r="Z494">
        <v>6.15</v>
      </c>
      <c r="AA494">
        <v>0.02</v>
      </c>
      <c r="AB494">
        <v>0</v>
      </c>
      <c r="AC494">
        <v>0</v>
      </c>
      <c r="AD494">
        <v>1</v>
      </c>
      <c r="AE494">
        <v>0</v>
      </c>
      <c r="AF494" t="s">
        <v>86</v>
      </c>
      <c r="AG494">
        <v>150</v>
      </c>
      <c r="AH494">
        <v>2</v>
      </c>
      <c r="AI494">
        <v>129763734</v>
      </c>
      <c r="AJ494">
        <v>489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</row>
    <row r="495" spans="1:44" x14ac:dyDescent="0.2">
      <c r="A495">
        <f>ROW(Source!A511)</f>
        <v>511</v>
      </c>
      <c r="B495">
        <v>129763752</v>
      </c>
      <c r="C495">
        <v>129763732</v>
      </c>
      <c r="D495">
        <v>37418445</v>
      </c>
      <c r="E495">
        <v>1</v>
      </c>
      <c r="F495">
        <v>1</v>
      </c>
      <c r="G495">
        <v>37345137</v>
      </c>
      <c r="H495">
        <v>2</v>
      </c>
      <c r="I495" t="s">
        <v>1189</v>
      </c>
      <c r="J495" t="s">
        <v>1190</v>
      </c>
      <c r="K495" t="s">
        <v>1191</v>
      </c>
      <c r="L495">
        <v>1367</v>
      </c>
      <c r="N495">
        <v>1011</v>
      </c>
      <c r="O495" t="s">
        <v>1102</v>
      </c>
      <c r="P495" t="s">
        <v>1102</v>
      </c>
      <c r="Q495">
        <v>1</v>
      </c>
      <c r="X495">
        <v>1.35</v>
      </c>
      <c r="Y495">
        <v>0</v>
      </c>
      <c r="Z495">
        <v>76.81</v>
      </c>
      <c r="AA495">
        <v>14.36</v>
      </c>
      <c r="AB495">
        <v>0</v>
      </c>
      <c r="AC495">
        <v>0</v>
      </c>
      <c r="AD495">
        <v>1</v>
      </c>
      <c r="AE495">
        <v>0</v>
      </c>
      <c r="AF495" t="s">
        <v>86</v>
      </c>
      <c r="AG495">
        <v>1.6875</v>
      </c>
      <c r="AH495">
        <v>2</v>
      </c>
      <c r="AI495">
        <v>129763735</v>
      </c>
      <c r="AJ495">
        <v>490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</row>
    <row r="496" spans="1:44" x14ac:dyDescent="0.2">
      <c r="A496">
        <f>ROW(Source!A511)</f>
        <v>511</v>
      </c>
      <c r="B496">
        <v>129763754</v>
      </c>
      <c r="C496">
        <v>129763732</v>
      </c>
      <c r="D496">
        <v>37418498</v>
      </c>
      <c r="E496">
        <v>1</v>
      </c>
      <c r="F496">
        <v>1</v>
      </c>
      <c r="G496">
        <v>37345137</v>
      </c>
      <c r="H496">
        <v>2</v>
      </c>
      <c r="I496" t="s">
        <v>1306</v>
      </c>
      <c r="J496" t="s">
        <v>1307</v>
      </c>
      <c r="K496" t="s">
        <v>1308</v>
      </c>
      <c r="L496">
        <v>1367</v>
      </c>
      <c r="N496">
        <v>1011</v>
      </c>
      <c r="O496" t="s">
        <v>1102</v>
      </c>
      <c r="P496" t="s">
        <v>1102</v>
      </c>
      <c r="Q496">
        <v>1</v>
      </c>
      <c r="X496">
        <v>0.1</v>
      </c>
      <c r="Y496">
        <v>0</v>
      </c>
      <c r="Z496">
        <v>0.53</v>
      </c>
      <c r="AA496">
        <v>0.04</v>
      </c>
      <c r="AB496">
        <v>0</v>
      </c>
      <c r="AC496">
        <v>0</v>
      </c>
      <c r="AD496">
        <v>1</v>
      </c>
      <c r="AE496">
        <v>0</v>
      </c>
      <c r="AF496" t="s">
        <v>86</v>
      </c>
      <c r="AG496">
        <v>0.125</v>
      </c>
      <c r="AH496">
        <v>2</v>
      </c>
      <c r="AI496">
        <v>129763737</v>
      </c>
      <c r="AJ496">
        <v>491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</row>
    <row r="497" spans="1:44" x14ac:dyDescent="0.2">
      <c r="A497">
        <f>ROW(Source!A511)</f>
        <v>511</v>
      </c>
      <c r="B497">
        <v>129763753</v>
      </c>
      <c r="C497">
        <v>129763732</v>
      </c>
      <c r="D497">
        <v>37417692</v>
      </c>
      <c r="E497">
        <v>1</v>
      </c>
      <c r="F497">
        <v>1</v>
      </c>
      <c r="G497">
        <v>37345137</v>
      </c>
      <c r="H497">
        <v>2</v>
      </c>
      <c r="I497" t="s">
        <v>1127</v>
      </c>
      <c r="J497" t="s">
        <v>1128</v>
      </c>
      <c r="K497" t="s">
        <v>1129</v>
      </c>
      <c r="L497">
        <v>1367</v>
      </c>
      <c r="N497">
        <v>1011</v>
      </c>
      <c r="O497" t="s">
        <v>1102</v>
      </c>
      <c r="P497" t="s">
        <v>1102</v>
      </c>
      <c r="Q497">
        <v>1</v>
      </c>
      <c r="X497">
        <v>0.9</v>
      </c>
      <c r="Y497">
        <v>0</v>
      </c>
      <c r="Z497">
        <v>190.93</v>
      </c>
      <c r="AA497">
        <v>18.149999999999999</v>
      </c>
      <c r="AB497">
        <v>0</v>
      </c>
      <c r="AC497">
        <v>0</v>
      </c>
      <c r="AD497">
        <v>1</v>
      </c>
      <c r="AE497">
        <v>0</v>
      </c>
      <c r="AF497" t="s">
        <v>86</v>
      </c>
      <c r="AG497">
        <v>1.125</v>
      </c>
      <c r="AH497">
        <v>2</v>
      </c>
      <c r="AI497">
        <v>129763736</v>
      </c>
      <c r="AJ497">
        <v>492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</row>
    <row r="498" spans="1:44" x14ac:dyDescent="0.2">
      <c r="A498">
        <f>ROW(Source!A511)</f>
        <v>511</v>
      </c>
      <c r="B498">
        <v>129763755</v>
      </c>
      <c r="C498">
        <v>129763732</v>
      </c>
      <c r="D498">
        <v>37417785</v>
      </c>
      <c r="E498">
        <v>1</v>
      </c>
      <c r="F498">
        <v>1</v>
      </c>
      <c r="G498">
        <v>37345137</v>
      </c>
      <c r="H498">
        <v>2</v>
      </c>
      <c r="I498" t="s">
        <v>1309</v>
      </c>
      <c r="J498" t="s">
        <v>1310</v>
      </c>
      <c r="K498" t="s">
        <v>1311</v>
      </c>
      <c r="L498">
        <v>1367</v>
      </c>
      <c r="N498">
        <v>1011</v>
      </c>
      <c r="O498" t="s">
        <v>1102</v>
      </c>
      <c r="P498" t="s">
        <v>1102</v>
      </c>
      <c r="Q498">
        <v>1</v>
      </c>
      <c r="X498">
        <v>0.25</v>
      </c>
      <c r="Y498">
        <v>0</v>
      </c>
      <c r="Z498">
        <v>73</v>
      </c>
      <c r="AA498">
        <v>16.899999999999999</v>
      </c>
      <c r="AB498">
        <v>0</v>
      </c>
      <c r="AC498">
        <v>0</v>
      </c>
      <c r="AD498">
        <v>1</v>
      </c>
      <c r="AE498">
        <v>0</v>
      </c>
      <c r="AF498" t="s">
        <v>86</v>
      </c>
      <c r="AG498">
        <v>0.3125</v>
      </c>
      <c r="AH498">
        <v>2</v>
      </c>
      <c r="AI498">
        <v>129763738</v>
      </c>
      <c r="AJ498">
        <v>493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</row>
    <row r="499" spans="1:44" x14ac:dyDescent="0.2">
      <c r="A499">
        <f>ROW(Source!A511)</f>
        <v>511</v>
      </c>
      <c r="B499">
        <v>129763756</v>
      </c>
      <c r="C499">
        <v>129763732</v>
      </c>
      <c r="D499">
        <v>37417976</v>
      </c>
      <c r="E499">
        <v>1</v>
      </c>
      <c r="F499">
        <v>1</v>
      </c>
      <c r="G499">
        <v>37345137</v>
      </c>
      <c r="H499">
        <v>2</v>
      </c>
      <c r="I499" t="s">
        <v>1312</v>
      </c>
      <c r="J499" t="s">
        <v>1313</v>
      </c>
      <c r="K499" t="s">
        <v>1314</v>
      </c>
      <c r="L499">
        <v>1367</v>
      </c>
      <c r="N499">
        <v>1011</v>
      </c>
      <c r="O499" t="s">
        <v>1102</v>
      </c>
      <c r="P499" t="s">
        <v>1102</v>
      </c>
      <c r="Q499">
        <v>1</v>
      </c>
      <c r="X499">
        <v>9</v>
      </c>
      <c r="Y499">
        <v>0</v>
      </c>
      <c r="Z499">
        <v>2.06</v>
      </c>
      <c r="AA499">
        <v>0.09</v>
      </c>
      <c r="AB499">
        <v>0</v>
      </c>
      <c r="AC499">
        <v>0</v>
      </c>
      <c r="AD499">
        <v>1</v>
      </c>
      <c r="AE499">
        <v>0</v>
      </c>
      <c r="AF499" t="s">
        <v>86</v>
      </c>
      <c r="AG499">
        <v>11.25</v>
      </c>
      <c r="AH499">
        <v>2</v>
      </c>
      <c r="AI499">
        <v>129763739</v>
      </c>
      <c r="AJ499">
        <v>494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</row>
    <row r="500" spans="1:44" x14ac:dyDescent="0.2">
      <c r="A500">
        <f>ROW(Source!A511)</f>
        <v>511</v>
      </c>
      <c r="B500">
        <v>129763757</v>
      </c>
      <c r="C500">
        <v>129763732</v>
      </c>
      <c r="D500">
        <v>37358131</v>
      </c>
      <c r="E500">
        <v>37345137</v>
      </c>
      <c r="F500">
        <v>1</v>
      </c>
      <c r="G500">
        <v>37345137</v>
      </c>
      <c r="H500">
        <v>3</v>
      </c>
      <c r="I500" t="s">
        <v>1480</v>
      </c>
      <c r="J500" t="s">
        <v>3</v>
      </c>
      <c r="K500" t="s">
        <v>1492</v>
      </c>
      <c r="L500">
        <v>1348</v>
      </c>
      <c r="N500">
        <v>1009</v>
      </c>
      <c r="O500" t="s">
        <v>114</v>
      </c>
      <c r="P500" t="s">
        <v>114</v>
      </c>
      <c r="Q500">
        <v>1000</v>
      </c>
      <c r="X500">
        <v>8.1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 t="s">
        <v>3</v>
      </c>
      <c r="AG500">
        <v>8.1</v>
      </c>
      <c r="AH500">
        <v>3</v>
      </c>
      <c r="AI500">
        <v>-1</v>
      </c>
      <c r="AJ500" t="s">
        <v>3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</row>
    <row r="501" spans="1:44" x14ac:dyDescent="0.2">
      <c r="A501">
        <f>ROW(Source!A511)</f>
        <v>511</v>
      </c>
      <c r="B501">
        <v>129763758</v>
      </c>
      <c r="C501">
        <v>129763732</v>
      </c>
      <c r="D501">
        <v>37393552</v>
      </c>
      <c r="E501">
        <v>1</v>
      </c>
      <c r="F501">
        <v>1</v>
      </c>
      <c r="G501">
        <v>37345137</v>
      </c>
      <c r="H501">
        <v>3</v>
      </c>
      <c r="I501" t="s">
        <v>348</v>
      </c>
      <c r="J501" t="s">
        <v>350</v>
      </c>
      <c r="K501" t="s">
        <v>349</v>
      </c>
      <c r="L501">
        <v>1339</v>
      </c>
      <c r="N501">
        <v>1007</v>
      </c>
      <c r="O501" t="s">
        <v>94</v>
      </c>
      <c r="P501" t="s">
        <v>94</v>
      </c>
      <c r="Q501">
        <v>1</v>
      </c>
      <c r="X501">
        <v>0.73</v>
      </c>
      <c r="Y501">
        <v>7.07</v>
      </c>
      <c r="Z501">
        <v>0</v>
      </c>
      <c r="AA501">
        <v>0</v>
      </c>
      <c r="AB501">
        <v>0</v>
      </c>
      <c r="AC501">
        <v>0</v>
      </c>
      <c r="AD501">
        <v>1</v>
      </c>
      <c r="AE501">
        <v>0</v>
      </c>
      <c r="AF501" t="s">
        <v>3</v>
      </c>
      <c r="AG501">
        <v>0.73</v>
      </c>
      <c r="AH501">
        <v>2</v>
      </c>
      <c r="AI501">
        <v>129763740</v>
      </c>
      <c r="AJ501">
        <v>495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</row>
    <row r="502" spans="1:44" x14ac:dyDescent="0.2">
      <c r="A502">
        <f>ROW(Source!A511)</f>
        <v>511</v>
      </c>
      <c r="B502">
        <v>129763759</v>
      </c>
      <c r="C502">
        <v>129763732</v>
      </c>
      <c r="D502">
        <v>37393565</v>
      </c>
      <c r="E502">
        <v>1</v>
      </c>
      <c r="F502">
        <v>1</v>
      </c>
      <c r="G502">
        <v>37345137</v>
      </c>
      <c r="H502">
        <v>3</v>
      </c>
      <c r="I502" t="s">
        <v>1198</v>
      </c>
      <c r="J502" t="s">
        <v>1199</v>
      </c>
      <c r="K502" t="s">
        <v>1200</v>
      </c>
      <c r="L502">
        <v>1348</v>
      </c>
      <c r="N502">
        <v>1009</v>
      </c>
      <c r="O502" t="s">
        <v>114</v>
      </c>
      <c r="P502" t="s">
        <v>114</v>
      </c>
      <c r="Q502">
        <v>1000</v>
      </c>
      <c r="X502">
        <v>2E-3</v>
      </c>
      <c r="Y502">
        <v>6521.42</v>
      </c>
      <c r="Z502">
        <v>0</v>
      </c>
      <c r="AA502">
        <v>0</v>
      </c>
      <c r="AB502">
        <v>0</v>
      </c>
      <c r="AC502">
        <v>0</v>
      </c>
      <c r="AD502">
        <v>1</v>
      </c>
      <c r="AE502">
        <v>0</v>
      </c>
      <c r="AF502" t="s">
        <v>3</v>
      </c>
      <c r="AG502">
        <v>2E-3</v>
      </c>
      <c r="AH502">
        <v>2</v>
      </c>
      <c r="AI502">
        <v>129763741</v>
      </c>
      <c r="AJ502">
        <v>496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</row>
    <row r="503" spans="1:44" x14ac:dyDescent="0.2">
      <c r="A503">
        <f>ROW(Source!A511)</f>
        <v>511</v>
      </c>
      <c r="B503">
        <v>129763760</v>
      </c>
      <c r="C503">
        <v>129763732</v>
      </c>
      <c r="D503">
        <v>37394864</v>
      </c>
      <c r="E503">
        <v>1</v>
      </c>
      <c r="F503">
        <v>1</v>
      </c>
      <c r="G503">
        <v>37345137</v>
      </c>
      <c r="H503">
        <v>3</v>
      </c>
      <c r="I503" t="s">
        <v>1147</v>
      </c>
      <c r="J503" t="s">
        <v>1148</v>
      </c>
      <c r="K503" t="s">
        <v>1149</v>
      </c>
      <c r="L503">
        <v>1348</v>
      </c>
      <c r="N503">
        <v>1009</v>
      </c>
      <c r="O503" t="s">
        <v>114</v>
      </c>
      <c r="P503" t="s">
        <v>114</v>
      </c>
      <c r="Q503">
        <v>1000</v>
      </c>
      <c r="X503">
        <v>0.16</v>
      </c>
      <c r="Y503">
        <v>7191.81</v>
      </c>
      <c r="Z503">
        <v>0</v>
      </c>
      <c r="AA503">
        <v>0</v>
      </c>
      <c r="AB503">
        <v>0</v>
      </c>
      <c r="AC503">
        <v>0</v>
      </c>
      <c r="AD503">
        <v>1</v>
      </c>
      <c r="AE503">
        <v>0</v>
      </c>
      <c r="AF503" t="s">
        <v>3</v>
      </c>
      <c r="AG503">
        <v>0.16</v>
      </c>
      <c r="AH503">
        <v>2</v>
      </c>
      <c r="AI503">
        <v>129763742</v>
      </c>
      <c r="AJ503">
        <v>497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</row>
    <row r="504" spans="1:44" x14ac:dyDescent="0.2">
      <c r="A504">
        <f>ROW(Source!A511)</f>
        <v>511</v>
      </c>
      <c r="B504">
        <v>129763761</v>
      </c>
      <c r="C504">
        <v>129763732</v>
      </c>
      <c r="D504">
        <v>37393656</v>
      </c>
      <c r="E504">
        <v>1</v>
      </c>
      <c r="F504">
        <v>1</v>
      </c>
      <c r="G504">
        <v>37345137</v>
      </c>
      <c r="H504">
        <v>3</v>
      </c>
      <c r="I504" t="s">
        <v>1315</v>
      </c>
      <c r="J504" t="s">
        <v>1316</v>
      </c>
      <c r="K504" t="s">
        <v>1317</v>
      </c>
      <c r="L504">
        <v>1339</v>
      </c>
      <c r="N504">
        <v>1007</v>
      </c>
      <c r="O504" t="s">
        <v>94</v>
      </c>
      <c r="P504" t="s">
        <v>94</v>
      </c>
      <c r="Q504">
        <v>1</v>
      </c>
      <c r="X504">
        <v>0.04</v>
      </c>
      <c r="Y504">
        <v>1828.56</v>
      </c>
      <c r="Z504">
        <v>0</v>
      </c>
      <c r="AA504">
        <v>0</v>
      </c>
      <c r="AB504">
        <v>0</v>
      </c>
      <c r="AC504">
        <v>0</v>
      </c>
      <c r="AD504">
        <v>1</v>
      </c>
      <c r="AE504">
        <v>0</v>
      </c>
      <c r="AF504" t="s">
        <v>3</v>
      </c>
      <c r="AG504">
        <v>0.04</v>
      </c>
      <c r="AH504">
        <v>2</v>
      </c>
      <c r="AI504">
        <v>129763743</v>
      </c>
      <c r="AJ504">
        <v>498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</row>
    <row r="505" spans="1:44" x14ac:dyDescent="0.2">
      <c r="A505">
        <f>ROW(Source!A511)</f>
        <v>511</v>
      </c>
      <c r="B505">
        <v>129763762</v>
      </c>
      <c r="C505">
        <v>129763732</v>
      </c>
      <c r="D505">
        <v>37393683</v>
      </c>
      <c r="E505">
        <v>1</v>
      </c>
      <c r="F505">
        <v>1</v>
      </c>
      <c r="G505">
        <v>37345137</v>
      </c>
      <c r="H505">
        <v>3</v>
      </c>
      <c r="I505" t="s">
        <v>1318</v>
      </c>
      <c r="J505" t="s">
        <v>1319</v>
      </c>
      <c r="K505" t="s">
        <v>1320</v>
      </c>
      <c r="L505">
        <v>1348</v>
      </c>
      <c r="N505">
        <v>1009</v>
      </c>
      <c r="O505" t="s">
        <v>114</v>
      </c>
      <c r="P505" t="s">
        <v>114</v>
      </c>
      <c r="Q505">
        <v>1000</v>
      </c>
      <c r="X505">
        <v>0.01</v>
      </c>
      <c r="Y505">
        <v>1260.72</v>
      </c>
      <c r="Z505">
        <v>0</v>
      </c>
      <c r="AA505">
        <v>0</v>
      </c>
      <c r="AB505">
        <v>0</v>
      </c>
      <c r="AC505">
        <v>0</v>
      </c>
      <c r="AD505">
        <v>1</v>
      </c>
      <c r="AE505">
        <v>0</v>
      </c>
      <c r="AF505" t="s">
        <v>3</v>
      </c>
      <c r="AG505">
        <v>0.01</v>
      </c>
      <c r="AH505">
        <v>2</v>
      </c>
      <c r="AI505">
        <v>129763744</v>
      </c>
      <c r="AJ505">
        <v>499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</row>
    <row r="506" spans="1:44" x14ac:dyDescent="0.2">
      <c r="A506">
        <f>ROW(Source!A511)</f>
        <v>511</v>
      </c>
      <c r="B506">
        <v>129763763</v>
      </c>
      <c r="C506">
        <v>129763732</v>
      </c>
      <c r="D506">
        <v>37394035</v>
      </c>
      <c r="E506">
        <v>1</v>
      </c>
      <c r="F506">
        <v>1</v>
      </c>
      <c r="G506">
        <v>37345137</v>
      </c>
      <c r="H506">
        <v>3</v>
      </c>
      <c r="I506" t="s">
        <v>1321</v>
      </c>
      <c r="J506" t="s">
        <v>1322</v>
      </c>
      <c r="K506" t="s">
        <v>1323</v>
      </c>
      <c r="L506">
        <v>1327</v>
      </c>
      <c r="N506">
        <v>1005</v>
      </c>
      <c r="O506" t="s">
        <v>258</v>
      </c>
      <c r="P506" t="s">
        <v>258</v>
      </c>
      <c r="Q506">
        <v>1</v>
      </c>
      <c r="X506">
        <v>30</v>
      </c>
      <c r="Y506">
        <v>7.39</v>
      </c>
      <c r="Z506">
        <v>0</v>
      </c>
      <c r="AA506">
        <v>0</v>
      </c>
      <c r="AB506">
        <v>0</v>
      </c>
      <c r="AC506">
        <v>0</v>
      </c>
      <c r="AD506">
        <v>1</v>
      </c>
      <c r="AE506">
        <v>0</v>
      </c>
      <c r="AF506" t="s">
        <v>3</v>
      </c>
      <c r="AG506">
        <v>30</v>
      </c>
      <c r="AH506">
        <v>2</v>
      </c>
      <c r="AI506">
        <v>129763745</v>
      </c>
      <c r="AJ506">
        <v>500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</row>
    <row r="507" spans="1:44" x14ac:dyDescent="0.2">
      <c r="A507">
        <f>ROW(Source!A511)</f>
        <v>511</v>
      </c>
      <c r="B507">
        <v>129763764</v>
      </c>
      <c r="C507">
        <v>129763732</v>
      </c>
      <c r="D507">
        <v>37417373</v>
      </c>
      <c r="E507">
        <v>1</v>
      </c>
      <c r="F507">
        <v>1</v>
      </c>
      <c r="G507">
        <v>37345137</v>
      </c>
      <c r="H507">
        <v>3</v>
      </c>
      <c r="I507" t="s">
        <v>1324</v>
      </c>
      <c r="J507" t="s">
        <v>1325</v>
      </c>
      <c r="K507" t="s">
        <v>1326</v>
      </c>
      <c r="L507">
        <v>1327</v>
      </c>
      <c r="N507">
        <v>1005</v>
      </c>
      <c r="O507" t="s">
        <v>258</v>
      </c>
      <c r="P507" t="s">
        <v>258</v>
      </c>
      <c r="Q507">
        <v>1</v>
      </c>
      <c r="X507">
        <v>3.6</v>
      </c>
      <c r="Y507">
        <v>90.15</v>
      </c>
      <c r="Z507">
        <v>0</v>
      </c>
      <c r="AA507">
        <v>0</v>
      </c>
      <c r="AB507">
        <v>0</v>
      </c>
      <c r="AC507">
        <v>0</v>
      </c>
      <c r="AD507">
        <v>1</v>
      </c>
      <c r="AE507">
        <v>0</v>
      </c>
      <c r="AF507" t="s">
        <v>3</v>
      </c>
      <c r="AG507">
        <v>3.6</v>
      </c>
      <c r="AH507">
        <v>2</v>
      </c>
      <c r="AI507">
        <v>129763746</v>
      </c>
      <c r="AJ507">
        <v>504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</row>
    <row r="508" spans="1:44" x14ac:dyDescent="0.2">
      <c r="A508">
        <f>ROW(Source!A511)</f>
        <v>511</v>
      </c>
      <c r="B508">
        <v>129763765</v>
      </c>
      <c r="C508">
        <v>129763732</v>
      </c>
      <c r="D508">
        <v>90300495</v>
      </c>
      <c r="E508">
        <v>37345137</v>
      </c>
      <c r="F508">
        <v>1</v>
      </c>
      <c r="G508">
        <v>37345137</v>
      </c>
      <c r="H508">
        <v>3</v>
      </c>
      <c r="I508" t="s">
        <v>1493</v>
      </c>
      <c r="J508" t="s">
        <v>3</v>
      </c>
      <c r="K508" t="s">
        <v>1494</v>
      </c>
      <c r="L508">
        <v>1339</v>
      </c>
      <c r="N508">
        <v>1007</v>
      </c>
      <c r="O508" t="s">
        <v>94</v>
      </c>
      <c r="P508" t="s">
        <v>94</v>
      </c>
      <c r="Q508">
        <v>1</v>
      </c>
      <c r="X508">
        <v>101.5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 t="s">
        <v>3</v>
      </c>
      <c r="AG508">
        <v>101.5</v>
      </c>
      <c r="AH508">
        <v>3</v>
      </c>
      <c r="AI508">
        <v>-1</v>
      </c>
      <c r="AJ508" t="s">
        <v>3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</row>
    <row r="509" spans="1:44" x14ac:dyDescent="0.2">
      <c r="A509">
        <f>ROW(Source!A518)</f>
        <v>518</v>
      </c>
      <c r="B509">
        <v>129763775</v>
      </c>
      <c r="C509">
        <v>129763769</v>
      </c>
      <c r="D509">
        <v>37345142</v>
      </c>
      <c r="E509">
        <v>37345137</v>
      </c>
      <c r="F509">
        <v>1</v>
      </c>
      <c r="G509">
        <v>37345137</v>
      </c>
      <c r="H509">
        <v>1</v>
      </c>
      <c r="I509" t="s">
        <v>1096</v>
      </c>
      <c r="J509" t="s">
        <v>3</v>
      </c>
      <c r="K509" t="s">
        <v>1097</v>
      </c>
      <c r="L509">
        <v>1191</v>
      </c>
      <c r="N509">
        <v>1013</v>
      </c>
      <c r="O509" t="s">
        <v>1098</v>
      </c>
      <c r="P509" t="s">
        <v>1098</v>
      </c>
      <c r="Q509">
        <v>1</v>
      </c>
      <c r="X509">
        <v>76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1</v>
      </c>
      <c r="AE509">
        <v>1</v>
      </c>
      <c r="AF509" t="s">
        <v>87</v>
      </c>
      <c r="AG509">
        <v>87.399999999999991</v>
      </c>
      <c r="AH509">
        <v>2</v>
      </c>
      <c r="AI509">
        <v>129763770</v>
      </c>
      <c r="AJ509">
        <v>505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</row>
    <row r="510" spans="1:44" x14ac:dyDescent="0.2">
      <c r="A510">
        <f>ROW(Source!A518)</f>
        <v>518</v>
      </c>
      <c r="B510">
        <v>129763776</v>
      </c>
      <c r="C510">
        <v>129763769</v>
      </c>
      <c r="D510">
        <v>37417800</v>
      </c>
      <c r="E510">
        <v>1</v>
      </c>
      <c r="F510">
        <v>1</v>
      </c>
      <c r="G510">
        <v>37345137</v>
      </c>
      <c r="H510">
        <v>2</v>
      </c>
      <c r="I510" t="s">
        <v>1150</v>
      </c>
      <c r="J510" t="s">
        <v>1151</v>
      </c>
      <c r="K510" t="s">
        <v>1152</v>
      </c>
      <c r="L510">
        <v>1367</v>
      </c>
      <c r="N510">
        <v>1011</v>
      </c>
      <c r="O510" t="s">
        <v>1102</v>
      </c>
      <c r="P510" t="s">
        <v>1102</v>
      </c>
      <c r="Q510">
        <v>1</v>
      </c>
      <c r="X510">
        <v>15.2</v>
      </c>
      <c r="Y510">
        <v>0</v>
      </c>
      <c r="Z510">
        <v>2.78</v>
      </c>
      <c r="AA510">
        <v>0.19</v>
      </c>
      <c r="AB510">
        <v>0</v>
      </c>
      <c r="AC510">
        <v>0</v>
      </c>
      <c r="AD510">
        <v>1</v>
      </c>
      <c r="AE510">
        <v>0</v>
      </c>
      <c r="AF510" t="s">
        <v>86</v>
      </c>
      <c r="AG510">
        <v>19</v>
      </c>
      <c r="AH510">
        <v>2</v>
      </c>
      <c r="AI510">
        <v>129763771</v>
      </c>
      <c r="AJ510">
        <v>506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</row>
    <row r="511" spans="1:44" x14ac:dyDescent="0.2">
      <c r="A511">
        <f>ROW(Source!A518)</f>
        <v>518</v>
      </c>
      <c r="B511">
        <v>129763777</v>
      </c>
      <c r="C511">
        <v>129763769</v>
      </c>
      <c r="D511">
        <v>37394864</v>
      </c>
      <c r="E511">
        <v>1</v>
      </c>
      <c r="F511">
        <v>1</v>
      </c>
      <c r="G511">
        <v>37345137</v>
      </c>
      <c r="H511">
        <v>3</v>
      </c>
      <c r="I511" t="s">
        <v>1147</v>
      </c>
      <c r="J511" t="s">
        <v>1148</v>
      </c>
      <c r="K511" t="s">
        <v>1149</v>
      </c>
      <c r="L511">
        <v>1348</v>
      </c>
      <c r="N511">
        <v>1009</v>
      </c>
      <c r="O511" t="s">
        <v>114</v>
      </c>
      <c r="P511" t="s">
        <v>114</v>
      </c>
      <c r="Q511">
        <v>1000</v>
      </c>
      <c r="X511">
        <v>1.4E-3</v>
      </c>
      <c r="Y511">
        <v>7191.81</v>
      </c>
      <c r="Z511">
        <v>0</v>
      </c>
      <c r="AA511">
        <v>0</v>
      </c>
      <c r="AB511">
        <v>0</v>
      </c>
      <c r="AC511">
        <v>0</v>
      </c>
      <c r="AD511">
        <v>1</v>
      </c>
      <c r="AE511">
        <v>0</v>
      </c>
      <c r="AF511" t="s">
        <v>3</v>
      </c>
      <c r="AG511">
        <v>1.4E-3</v>
      </c>
      <c r="AH511">
        <v>2</v>
      </c>
      <c r="AI511">
        <v>129763772</v>
      </c>
      <c r="AJ511">
        <v>508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</row>
    <row r="512" spans="1:44" x14ac:dyDescent="0.2">
      <c r="A512">
        <f>ROW(Source!A518)</f>
        <v>518</v>
      </c>
      <c r="B512">
        <v>129763778</v>
      </c>
      <c r="C512">
        <v>129763769</v>
      </c>
      <c r="D512">
        <v>126078584</v>
      </c>
      <c r="E512">
        <v>37345137</v>
      </c>
      <c r="F512">
        <v>1</v>
      </c>
      <c r="G512">
        <v>37345137</v>
      </c>
      <c r="H512">
        <v>3</v>
      </c>
      <c r="I512" t="s">
        <v>1426</v>
      </c>
      <c r="J512" t="s">
        <v>3</v>
      </c>
      <c r="K512" t="s">
        <v>1427</v>
      </c>
      <c r="L512">
        <v>1348</v>
      </c>
      <c r="N512">
        <v>1009</v>
      </c>
      <c r="O512" t="s">
        <v>114</v>
      </c>
      <c r="P512" t="s">
        <v>114</v>
      </c>
      <c r="Q512">
        <v>1000</v>
      </c>
      <c r="X512">
        <v>3.3E-3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 t="s">
        <v>3</v>
      </c>
      <c r="AG512">
        <v>3.3E-3</v>
      </c>
      <c r="AH512">
        <v>3</v>
      </c>
      <c r="AI512">
        <v>-1</v>
      </c>
      <c r="AJ512" t="s">
        <v>3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</row>
    <row r="513" spans="1:44" x14ac:dyDescent="0.2">
      <c r="A513">
        <f>ROW(Source!A518)</f>
        <v>518</v>
      </c>
      <c r="B513">
        <v>129763779</v>
      </c>
      <c r="C513">
        <v>129763769</v>
      </c>
      <c r="D513">
        <v>37358260</v>
      </c>
      <c r="E513">
        <v>37345137</v>
      </c>
      <c r="F513">
        <v>1</v>
      </c>
      <c r="G513">
        <v>37345137</v>
      </c>
      <c r="H513">
        <v>3</v>
      </c>
      <c r="I513" t="s">
        <v>1428</v>
      </c>
      <c r="J513" t="s">
        <v>3</v>
      </c>
      <c r="K513" t="s">
        <v>1429</v>
      </c>
      <c r="L513">
        <v>1348</v>
      </c>
      <c r="N513">
        <v>1009</v>
      </c>
      <c r="O513" t="s">
        <v>114</v>
      </c>
      <c r="P513" t="s">
        <v>114</v>
      </c>
      <c r="Q513">
        <v>1000</v>
      </c>
      <c r="X513">
        <v>1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 t="s">
        <v>3</v>
      </c>
      <c r="AG513">
        <v>1</v>
      </c>
      <c r="AH513">
        <v>3</v>
      </c>
      <c r="AI513">
        <v>-1</v>
      </c>
      <c r="AJ513" t="s">
        <v>3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</row>
    <row r="514" spans="1:44" x14ac:dyDescent="0.2">
      <c r="A514">
        <f>ROW(Source!A518)</f>
        <v>518</v>
      </c>
      <c r="B514">
        <v>129763780</v>
      </c>
      <c r="C514">
        <v>129763769</v>
      </c>
      <c r="D514">
        <v>37367082</v>
      </c>
      <c r="E514">
        <v>37345137</v>
      </c>
      <c r="F514">
        <v>1</v>
      </c>
      <c r="G514">
        <v>37345137</v>
      </c>
      <c r="H514">
        <v>3</v>
      </c>
      <c r="I514" t="s">
        <v>1136</v>
      </c>
      <c r="J514" t="s">
        <v>3</v>
      </c>
      <c r="K514" t="s">
        <v>1137</v>
      </c>
      <c r="L514">
        <v>1344</v>
      </c>
      <c r="N514">
        <v>1008</v>
      </c>
      <c r="O514" t="s">
        <v>1138</v>
      </c>
      <c r="P514" t="s">
        <v>1138</v>
      </c>
      <c r="Q514">
        <v>1</v>
      </c>
      <c r="X514">
        <v>39.479999999999997</v>
      </c>
      <c r="Y514">
        <v>1</v>
      </c>
      <c r="Z514">
        <v>0</v>
      </c>
      <c r="AA514">
        <v>0</v>
      </c>
      <c r="AB514">
        <v>0</v>
      </c>
      <c r="AC514">
        <v>0</v>
      </c>
      <c r="AD514">
        <v>1</v>
      </c>
      <c r="AE514">
        <v>0</v>
      </c>
      <c r="AF514" t="s">
        <v>3</v>
      </c>
      <c r="AG514">
        <v>39.479999999999997</v>
      </c>
      <c r="AH514">
        <v>2</v>
      </c>
      <c r="AI514">
        <v>129763774</v>
      </c>
      <c r="AJ514">
        <v>509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</row>
    <row r="515" spans="1:44" x14ac:dyDescent="0.2">
      <c r="A515">
        <f>ROW(Source!A519)</f>
        <v>519</v>
      </c>
      <c r="B515">
        <v>129763775</v>
      </c>
      <c r="C515">
        <v>129763769</v>
      </c>
      <c r="D515">
        <v>37345142</v>
      </c>
      <c r="E515">
        <v>37345137</v>
      </c>
      <c r="F515">
        <v>1</v>
      </c>
      <c r="G515">
        <v>37345137</v>
      </c>
      <c r="H515">
        <v>1</v>
      </c>
      <c r="I515" t="s">
        <v>1096</v>
      </c>
      <c r="J515" t="s">
        <v>3</v>
      </c>
      <c r="K515" t="s">
        <v>1097</v>
      </c>
      <c r="L515">
        <v>1191</v>
      </c>
      <c r="N515">
        <v>1013</v>
      </c>
      <c r="O515" t="s">
        <v>1098</v>
      </c>
      <c r="P515" t="s">
        <v>1098</v>
      </c>
      <c r="Q515">
        <v>1</v>
      </c>
      <c r="X515">
        <v>76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1</v>
      </c>
      <c r="AE515">
        <v>1</v>
      </c>
      <c r="AF515" t="s">
        <v>87</v>
      </c>
      <c r="AG515">
        <v>87.399999999999991</v>
      </c>
      <c r="AH515">
        <v>2</v>
      </c>
      <c r="AI515">
        <v>129763770</v>
      </c>
      <c r="AJ515">
        <v>510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</row>
    <row r="516" spans="1:44" x14ac:dyDescent="0.2">
      <c r="A516">
        <f>ROW(Source!A519)</f>
        <v>519</v>
      </c>
      <c r="B516">
        <v>129763776</v>
      </c>
      <c r="C516">
        <v>129763769</v>
      </c>
      <c r="D516">
        <v>37417800</v>
      </c>
      <c r="E516">
        <v>1</v>
      </c>
      <c r="F516">
        <v>1</v>
      </c>
      <c r="G516">
        <v>37345137</v>
      </c>
      <c r="H516">
        <v>2</v>
      </c>
      <c r="I516" t="s">
        <v>1150</v>
      </c>
      <c r="J516" t="s">
        <v>1151</v>
      </c>
      <c r="K516" t="s">
        <v>1152</v>
      </c>
      <c r="L516">
        <v>1367</v>
      </c>
      <c r="N516">
        <v>1011</v>
      </c>
      <c r="O516" t="s">
        <v>1102</v>
      </c>
      <c r="P516" t="s">
        <v>1102</v>
      </c>
      <c r="Q516">
        <v>1</v>
      </c>
      <c r="X516">
        <v>15.2</v>
      </c>
      <c r="Y516">
        <v>0</v>
      </c>
      <c r="Z516">
        <v>2.78</v>
      </c>
      <c r="AA516">
        <v>0.19</v>
      </c>
      <c r="AB516">
        <v>0</v>
      </c>
      <c r="AC516">
        <v>0</v>
      </c>
      <c r="AD516">
        <v>1</v>
      </c>
      <c r="AE516">
        <v>0</v>
      </c>
      <c r="AF516" t="s">
        <v>86</v>
      </c>
      <c r="AG516">
        <v>19</v>
      </c>
      <c r="AH516">
        <v>2</v>
      </c>
      <c r="AI516">
        <v>129763771</v>
      </c>
      <c r="AJ516">
        <v>511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</row>
    <row r="517" spans="1:44" x14ac:dyDescent="0.2">
      <c r="A517">
        <f>ROW(Source!A519)</f>
        <v>519</v>
      </c>
      <c r="B517">
        <v>129763777</v>
      </c>
      <c r="C517">
        <v>129763769</v>
      </c>
      <c r="D517">
        <v>37394864</v>
      </c>
      <c r="E517">
        <v>1</v>
      </c>
      <c r="F517">
        <v>1</v>
      </c>
      <c r="G517">
        <v>37345137</v>
      </c>
      <c r="H517">
        <v>3</v>
      </c>
      <c r="I517" t="s">
        <v>1147</v>
      </c>
      <c r="J517" t="s">
        <v>1148</v>
      </c>
      <c r="K517" t="s">
        <v>1149</v>
      </c>
      <c r="L517">
        <v>1348</v>
      </c>
      <c r="N517">
        <v>1009</v>
      </c>
      <c r="O517" t="s">
        <v>114</v>
      </c>
      <c r="P517" t="s">
        <v>114</v>
      </c>
      <c r="Q517">
        <v>1000</v>
      </c>
      <c r="X517">
        <v>1.4E-3</v>
      </c>
      <c r="Y517">
        <v>7191.81</v>
      </c>
      <c r="Z517">
        <v>0</v>
      </c>
      <c r="AA517">
        <v>0</v>
      </c>
      <c r="AB517">
        <v>0</v>
      </c>
      <c r="AC517">
        <v>0</v>
      </c>
      <c r="AD517">
        <v>1</v>
      </c>
      <c r="AE517">
        <v>0</v>
      </c>
      <c r="AF517" t="s">
        <v>3</v>
      </c>
      <c r="AG517">
        <v>1.4E-3</v>
      </c>
      <c r="AH517">
        <v>2</v>
      </c>
      <c r="AI517">
        <v>129763772</v>
      </c>
      <c r="AJ517">
        <v>513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</row>
    <row r="518" spans="1:44" x14ac:dyDescent="0.2">
      <c r="A518">
        <f>ROW(Source!A519)</f>
        <v>519</v>
      </c>
      <c r="B518">
        <v>129763778</v>
      </c>
      <c r="C518">
        <v>129763769</v>
      </c>
      <c r="D518">
        <v>126078584</v>
      </c>
      <c r="E518">
        <v>37345137</v>
      </c>
      <c r="F518">
        <v>1</v>
      </c>
      <c r="G518">
        <v>37345137</v>
      </c>
      <c r="H518">
        <v>3</v>
      </c>
      <c r="I518" t="s">
        <v>1426</v>
      </c>
      <c r="J518" t="s">
        <v>3</v>
      </c>
      <c r="K518" t="s">
        <v>1427</v>
      </c>
      <c r="L518">
        <v>1348</v>
      </c>
      <c r="N518">
        <v>1009</v>
      </c>
      <c r="O518" t="s">
        <v>114</v>
      </c>
      <c r="P518" t="s">
        <v>114</v>
      </c>
      <c r="Q518">
        <v>1000</v>
      </c>
      <c r="X518">
        <v>3.3E-3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 t="s">
        <v>3</v>
      </c>
      <c r="AG518">
        <v>3.3E-3</v>
      </c>
      <c r="AH518">
        <v>3</v>
      </c>
      <c r="AI518">
        <v>-1</v>
      </c>
      <c r="AJ518" t="s">
        <v>3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</row>
    <row r="519" spans="1:44" x14ac:dyDescent="0.2">
      <c r="A519">
        <f>ROW(Source!A519)</f>
        <v>519</v>
      </c>
      <c r="B519">
        <v>129763779</v>
      </c>
      <c r="C519">
        <v>129763769</v>
      </c>
      <c r="D519">
        <v>37358260</v>
      </c>
      <c r="E519">
        <v>37345137</v>
      </c>
      <c r="F519">
        <v>1</v>
      </c>
      <c r="G519">
        <v>37345137</v>
      </c>
      <c r="H519">
        <v>3</v>
      </c>
      <c r="I519" t="s">
        <v>1428</v>
      </c>
      <c r="J519" t="s">
        <v>3</v>
      </c>
      <c r="K519" t="s">
        <v>1429</v>
      </c>
      <c r="L519">
        <v>1348</v>
      </c>
      <c r="N519">
        <v>1009</v>
      </c>
      <c r="O519" t="s">
        <v>114</v>
      </c>
      <c r="P519" t="s">
        <v>114</v>
      </c>
      <c r="Q519">
        <v>1000</v>
      </c>
      <c r="X519">
        <v>1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 t="s">
        <v>3</v>
      </c>
      <c r="AG519">
        <v>1</v>
      </c>
      <c r="AH519">
        <v>3</v>
      </c>
      <c r="AI519">
        <v>-1</v>
      </c>
      <c r="AJ519" t="s">
        <v>3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</row>
    <row r="520" spans="1:44" x14ac:dyDescent="0.2">
      <c r="A520">
        <f>ROW(Source!A519)</f>
        <v>519</v>
      </c>
      <c r="B520">
        <v>129763780</v>
      </c>
      <c r="C520">
        <v>129763769</v>
      </c>
      <c r="D520">
        <v>37367082</v>
      </c>
      <c r="E520">
        <v>37345137</v>
      </c>
      <c r="F520">
        <v>1</v>
      </c>
      <c r="G520">
        <v>37345137</v>
      </c>
      <c r="H520">
        <v>3</v>
      </c>
      <c r="I520" t="s">
        <v>1136</v>
      </c>
      <c r="J520" t="s">
        <v>3</v>
      </c>
      <c r="K520" t="s">
        <v>1137</v>
      </c>
      <c r="L520">
        <v>1344</v>
      </c>
      <c r="N520">
        <v>1008</v>
      </c>
      <c r="O520" t="s">
        <v>1138</v>
      </c>
      <c r="P520" t="s">
        <v>1138</v>
      </c>
      <c r="Q520">
        <v>1</v>
      </c>
      <c r="X520">
        <v>39.479999999999997</v>
      </c>
      <c r="Y520">
        <v>1</v>
      </c>
      <c r="Z520">
        <v>0</v>
      </c>
      <c r="AA520">
        <v>0</v>
      </c>
      <c r="AB520">
        <v>0</v>
      </c>
      <c r="AC520">
        <v>0</v>
      </c>
      <c r="AD520">
        <v>1</v>
      </c>
      <c r="AE520">
        <v>0</v>
      </c>
      <c r="AF520" t="s">
        <v>3</v>
      </c>
      <c r="AG520">
        <v>39.479999999999997</v>
      </c>
      <c r="AH520">
        <v>2</v>
      </c>
      <c r="AI520">
        <v>129763774</v>
      </c>
      <c r="AJ520">
        <v>514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</row>
    <row r="521" spans="1:44" x14ac:dyDescent="0.2">
      <c r="A521">
        <f>ROW(Source!A522)</f>
        <v>522</v>
      </c>
      <c r="B521">
        <v>129763798</v>
      </c>
      <c r="C521">
        <v>129763782</v>
      </c>
      <c r="D521">
        <v>37345142</v>
      </c>
      <c r="E521">
        <v>37345137</v>
      </c>
      <c r="F521">
        <v>1</v>
      </c>
      <c r="G521">
        <v>37345137</v>
      </c>
      <c r="H521">
        <v>1</v>
      </c>
      <c r="I521" t="s">
        <v>1096</v>
      </c>
      <c r="J521" t="s">
        <v>3</v>
      </c>
      <c r="K521" t="s">
        <v>1097</v>
      </c>
      <c r="L521">
        <v>1191</v>
      </c>
      <c r="N521">
        <v>1013</v>
      </c>
      <c r="O521" t="s">
        <v>1098</v>
      </c>
      <c r="P521" t="s">
        <v>1098</v>
      </c>
      <c r="Q521">
        <v>1</v>
      </c>
      <c r="X521">
        <v>35.9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1</v>
      </c>
      <c r="AE521">
        <v>1</v>
      </c>
      <c r="AF521" t="s">
        <v>87</v>
      </c>
      <c r="AG521">
        <v>41.284999999999997</v>
      </c>
      <c r="AH521">
        <v>2</v>
      </c>
      <c r="AI521">
        <v>129763783</v>
      </c>
      <c r="AJ521">
        <v>515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</row>
    <row r="522" spans="1:44" x14ac:dyDescent="0.2">
      <c r="A522">
        <f>ROW(Source!A522)</f>
        <v>522</v>
      </c>
      <c r="B522">
        <v>129763799</v>
      </c>
      <c r="C522">
        <v>129763782</v>
      </c>
      <c r="D522">
        <v>37418168</v>
      </c>
      <c r="E522">
        <v>1</v>
      </c>
      <c r="F522">
        <v>1</v>
      </c>
      <c r="G522">
        <v>37345137</v>
      </c>
      <c r="H522">
        <v>2</v>
      </c>
      <c r="I522" t="s">
        <v>1139</v>
      </c>
      <c r="J522" t="s">
        <v>1140</v>
      </c>
      <c r="K522" t="s">
        <v>1141</v>
      </c>
      <c r="L522">
        <v>1367</v>
      </c>
      <c r="N522">
        <v>1011</v>
      </c>
      <c r="O522" t="s">
        <v>1102</v>
      </c>
      <c r="P522" t="s">
        <v>1102</v>
      </c>
      <c r="Q522">
        <v>1</v>
      </c>
      <c r="X522">
        <v>0.34</v>
      </c>
      <c r="Y522">
        <v>0</v>
      </c>
      <c r="Z522">
        <v>6.39</v>
      </c>
      <c r="AA522">
        <v>0.32</v>
      </c>
      <c r="AB522">
        <v>0</v>
      </c>
      <c r="AC522">
        <v>0</v>
      </c>
      <c r="AD522">
        <v>1</v>
      </c>
      <c r="AE522">
        <v>0</v>
      </c>
      <c r="AF522" t="s">
        <v>86</v>
      </c>
      <c r="AG522">
        <v>0.42500000000000004</v>
      </c>
      <c r="AH522">
        <v>2</v>
      </c>
      <c r="AI522">
        <v>129763784</v>
      </c>
      <c r="AJ522">
        <v>516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</row>
    <row r="523" spans="1:44" x14ac:dyDescent="0.2">
      <c r="A523">
        <f>ROW(Source!A522)</f>
        <v>522</v>
      </c>
      <c r="B523">
        <v>129763801</v>
      </c>
      <c r="C523">
        <v>129763782</v>
      </c>
      <c r="D523">
        <v>37418517</v>
      </c>
      <c r="E523">
        <v>1</v>
      </c>
      <c r="F523">
        <v>1</v>
      </c>
      <c r="G523">
        <v>37345137</v>
      </c>
      <c r="H523">
        <v>2</v>
      </c>
      <c r="I523" t="s">
        <v>1142</v>
      </c>
      <c r="J523" t="s">
        <v>1143</v>
      </c>
      <c r="K523" t="s">
        <v>1144</v>
      </c>
      <c r="L523">
        <v>1367</v>
      </c>
      <c r="N523">
        <v>1011</v>
      </c>
      <c r="O523" t="s">
        <v>1102</v>
      </c>
      <c r="P523" t="s">
        <v>1102</v>
      </c>
      <c r="Q523">
        <v>1</v>
      </c>
      <c r="X523">
        <v>6.16</v>
      </c>
      <c r="Y523">
        <v>0</v>
      </c>
      <c r="Z523">
        <v>2.58</v>
      </c>
      <c r="AA523">
        <v>0.04</v>
      </c>
      <c r="AB523">
        <v>0</v>
      </c>
      <c r="AC523">
        <v>0</v>
      </c>
      <c r="AD523">
        <v>1</v>
      </c>
      <c r="AE523">
        <v>0</v>
      </c>
      <c r="AF523" t="s">
        <v>86</v>
      </c>
      <c r="AG523">
        <v>7.7</v>
      </c>
      <c r="AH523">
        <v>2</v>
      </c>
      <c r="AI523">
        <v>129763786</v>
      </c>
      <c r="AJ523">
        <v>517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</row>
    <row r="524" spans="1:44" x14ac:dyDescent="0.2">
      <c r="A524">
        <f>ROW(Source!A522)</f>
        <v>522</v>
      </c>
      <c r="B524">
        <v>129763800</v>
      </c>
      <c r="C524">
        <v>129763782</v>
      </c>
      <c r="D524">
        <v>37417692</v>
      </c>
      <c r="E524">
        <v>1</v>
      </c>
      <c r="F524">
        <v>1</v>
      </c>
      <c r="G524">
        <v>37345137</v>
      </c>
      <c r="H524">
        <v>2</v>
      </c>
      <c r="I524" t="s">
        <v>1127</v>
      </c>
      <c r="J524" t="s">
        <v>1128</v>
      </c>
      <c r="K524" t="s">
        <v>1129</v>
      </c>
      <c r="L524">
        <v>1367</v>
      </c>
      <c r="N524">
        <v>1011</v>
      </c>
      <c r="O524" t="s">
        <v>1102</v>
      </c>
      <c r="P524" t="s">
        <v>1102</v>
      </c>
      <c r="Q524">
        <v>1</v>
      </c>
      <c r="X524">
        <v>4.13</v>
      </c>
      <c r="Y524">
        <v>0</v>
      </c>
      <c r="Z524">
        <v>190.93</v>
      </c>
      <c r="AA524">
        <v>18.149999999999999</v>
      </c>
      <c r="AB524">
        <v>0</v>
      </c>
      <c r="AC524">
        <v>0</v>
      </c>
      <c r="AD524">
        <v>1</v>
      </c>
      <c r="AE524">
        <v>0</v>
      </c>
      <c r="AF524" t="s">
        <v>86</v>
      </c>
      <c r="AG524">
        <v>5.1624999999999996</v>
      </c>
      <c r="AH524">
        <v>2</v>
      </c>
      <c r="AI524">
        <v>129763785</v>
      </c>
      <c r="AJ524">
        <v>518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</row>
    <row r="525" spans="1:44" x14ac:dyDescent="0.2">
      <c r="A525">
        <f>ROW(Source!A522)</f>
        <v>522</v>
      </c>
      <c r="B525">
        <v>129763802</v>
      </c>
      <c r="C525">
        <v>129763782</v>
      </c>
      <c r="D525">
        <v>37417811</v>
      </c>
      <c r="E525">
        <v>1</v>
      </c>
      <c r="F525">
        <v>1</v>
      </c>
      <c r="G525">
        <v>37345137</v>
      </c>
      <c r="H525">
        <v>2</v>
      </c>
      <c r="I525" t="s">
        <v>1327</v>
      </c>
      <c r="J525" t="s">
        <v>1328</v>
      </c>
      <c r="K525" t="s">
        <v>1329</v>
      </c>
      <c r="L525">
        <v>1367</v>
      </c>
      <c r="N525">
        <v>1011</v>
      </c>
      <c r="O525" t="s">
        <v>1102</v>
      </c>
      <c r="P525" t="s">
        <v>1102</v>
      </c>
      <c r="Q525">
        <v>1</v>
      </c>
      <c r="X525">
        <v>3.17</v>
      </c>
      <c r="Y525">
        <v>0</v>
      </c>
      <c r="Z525">
        <v>0.8</v>
      </c>
      <c r="AA525">
        <v>0.09</v>
      </c>
      <c r="AB525">
        <v>0</v>
      </c>
      <c r="AC525">
        <v>0</v>
      </c>
      <c r="AD525">
        <v>1</v>
      </c>
      <c r="AE525">
        <v>0</v>
      </c>
      <c r="AF525" t="s">
        <v>86</v>
      </c>
      <c r="AG525">
        <v>3.9624999999999999</v>
      </c>
      <c r="AH525">
        <v>2</v>
      </c>
      <c r="AI525">
        <v>129763787</v>
      </c>
      <c r="AJ525">
        <v>519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</row>
    <row r="526" spans="1:44" x14ac:dyDescent="0.2">
      <c r="A526">
        <f>ROW(Source!A522)</f>
        <v>522</v>
      </c>
      <c r="B526">
        <v>129763803</v>
      </c>
      <c r="C526">
        <v>129763782</v>
      </c>
      <c r="D526">
        <v>37345890</v>
      </c>
      <c r="E526">
        <v>37345137</v>
      </c>
      <c r="F526">
        <v>1</v>
      </c>
      <c r="G526">
        <v>37345137</v>
      </c>
      <c r="H526">
        <v>2</v>
      </c>
      <c r="I526" t="s">
        <v>1145</v>
      </c>
      <c r="J526" t="s">
        <v>3</v>
      </c>
      <c r="K526" t="s">
        <v>1146</v>
      </c>
      <c r="L526">
        <v>1344</v>
      </c>
      <c r="N526">
        <v>1008</v>
      </c>
      <c r="O526" t="s">
        <v>1138</v>
      </c>
      <c r="P526" t="s">
        <v>1138</v>
      </c>
      <c r="Q526">
        <v>1</v>
      </c>
      <c r="X526">
        <v>37.450000000000003</v>
      </c>
      <c r="Y526">
        <v>0</v>
      </c>
      <c r="Z526">
        <v>1</v>
      </c>
      <c r="AA526">
        <v>0</v>
      </c>
      <c r="AB526">
        <v>0</v>
      </c>
      <c r="AC526">
        <v>0</v>
      </c>
      <c r="AD526">
        <v>1</v>
      </c>
      <c r="AE526">
        <v>0</v>
      </c>
      <c r="AF526" t="s">
        <v>86</v>
      </c>
      <c r="AG526">
        <v>46.8125</v>
      </c>
      <c r="AH526">
        <v>2</v>
      </c>
      <c r="AI526">
        <v>129763788</v>
      </c>
      <c r="AJ526">
        <v>520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</row>
    <row r="527" spans="1:44" x14ac:dyDescent="0.2">
      <c r="A527">
        <f>ROW(Source!A522)</f>
        <v>522</v>
      </c>
      <c r="B527">
        <v>129763804</v>
      </c>
      <c r="C527">
        <v>129763782</v>
      </c>
      <c r="D527">
        <v>37394864</v>
      </c>
      <c r="E527">
        <v>1</v>
      </c>
      <c r="F527">
        <v>1</v>
      </c>
      <c r="G527">
        <v>37345137</v>
      </c>
      <c r="H527">
        <v>3</v>
      </c>
      <c r="I527" t="s">
        <v>1147</v>
      </c>
      <c r="J527" t="s">
        <v>1148</v>
      </c>
      <c r="K527" t="s">
        <v>1149</v>
      </c>
      <c r="L527">
        <v>1348</v>
      </c>
      <c r="N527">
        <v>1009</v>
      </c>
      <c r="O527" t="s">
        <v>114</v>
      </c>
      <c r="P527" t="s">
        <v>114</v>
      </c>
      <c r="Q527">
        <v>1000</v>
      </c>
      <c r="X527">
        <v>4.0000000000000001E-3</v>
      </c>
      <c r="Y527">
        <v>7191.81</v>
      </c>
      <c r="Z527">
        <v>0</v>
      </c>
      <c r="AA527">
        <v>0</v>
      </c>
      <c r="AB527">
        <v>0</v>
      </c>
      <c r="AC527">
        <v>0</v>
      </c>
      <c r="AD527">
        <v>1</v>
      </c>
      <c r="AE527">
        <v>0</v>
      </c>
      <c r="AF527" t="s">
        <v>3</v>
      </c>
      <c r="AG527">
        <v>4.0000000000000001E-3</v>
      </c>
      <c r="AH527">
        <v>2</v>
      </c>
      <c r="AI527">
        <v>129763789</v>
      </c>
      <c r="AJ527">
        <v>524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</row>
    <row r="528" spans="1:44" x14ac:dyDescent="0.2">
      <c r="A528">
        <f>ROW(Source!A522)</f>
        <v>522</v>
      </c>
      <c r="B528">
        <v>129763805</v>
      </c>
      <c r="C528">
        <v>129763782</v>
      </c>
      <c r="D528">
        <v>37415049</v>
      </c>
      <c r="E528">
        <v>1</v>
      </c>
      <c r="F528">
        <v>1</v>
      </c>
      <c r="G528">
        <v>37345137</v>
      </c>
      <c r="H528">
        <v>3</v>
      </c>
      <c r="I528" t="s">
        <v>568</v>
      </c>
      <c r="J528" t="s">
        <v>570</v>
      </c>
      <c r="K528" t="s">
        <v>569</v>
      </c>
      <c r="L528">
        <v>1348</v>
      </c>
      <c r="N528">
        <v>1009</v>
      </c>
      <c r="O528" t="s">
        <v>114</v>
      </c>
      <c r="P528" t="s">
        <v>114</v>
      </c>
      <c r="Q528">
        <v>1000</v>
      </c>
      <c r="X528">
        <v>1E-3</v>
      </c>
      <c r="Y528">
        <v>12654.07</v>
      </c>
      <c r="Z528">
        <v>0</v>
      </c>
      <c r="AA528">
        <v>0</v>
      </c>
      <c r="AB528">
        <v>0</v>
      </c>
      <c r="AC528">
        <v>0</v>
      </c>
      <c r="AD528">
        <v>1</v>
      </c>
      <c r="AE528">
        <v>0</v>
      </c>
      <c r="AF528" t="s">
        <v>3</v>
      </c>
      <c r="AG528">
        <v>1E-3</v>
      </c>
      <c r="AH528">
        <v>2</v>
      </c>
      <c r="AI528">
        <v>129763790</v>
      </c>
      <c r="AJ528">
        <v>527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</row>
    <row r="529" spans="1:44" x14ac:dyDescent="0.2">
      <c r="A529">
        <f>ROW(Source!A522)</f>
        <v>522</v>
      </c>
      <c r="B529">
        <v>129763806</v>
      </c>
      <c r="C529">
        <v>129763782</v>
      </c>
      <c r="D529">
        <v>126078584</v>
      </c>
      <c r="E529">
        <v>37345137</v>
      </c>
      <c r="F529">
        <v>1</v>
      </c>
      <c r="G529">
        <v>37345137</v>
      </c>
      <c r="H529">
        <v>3</v>
      </c>
      <c r="I529" t="s">
        <v>1426</v>
      </c>
      <c r="J529" t="s">
        <v>3</v>
      </c>
      <c r="K529" t="s">
        <v>1427</v>
      </c>
      <c r="L529">
        <v>1348</v>
      </c>
      <c r="N529">
        <v>1009</v>
      </c>
      <c r="O529" t="s">
        <v>114</v>
      </c>
      <c r="P529" t="s">
        <v>114</v>
      </c>
      <c r="Q529">
        <v>1000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 t="s">
        <v>3</v>
      </c>
      <c r="AG529">
        <v>0</v>
      </c>
      <c r="AH529">
        <v>3</v>
      </c>
      <c r="AI529">
        <v>-1</v>
      </c>
      <c r="AJ529" t="s">
        <v>3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</row>
    <row r="530" spans="1:44" x14ac:dyDescent="0.2">
      <c r="A530">
        <f>ROW(Source!A522)</f>
        <v>522</v>
      </c>
      <c r="B530">
        <v>129763807</v>
      </c>
      <c r="C530">
        <v>129763782</v>
      </c>
      <c r="D530">
        <v>37358825</v>
      </c>
      <c r="E530">
        <v>37345137</v>
      </c>
      <c r="F530">
        <v>1</v>
      </c>
      <c r="G530">
        <v>37345137</v>
      </c>
      <c r="H530">
        <v>3</v>
      </c>
      <c r="I530" t="s">
        <v>1495</v>
      </c>
      <c r="J530" t="s">
        <v>3</v>
      </c>
      <c r="K530" t="s">
        <v>1496</v>
      </c>
      <c r="L530">
        <v>1348</v>
      </c>
      <c r="N530">
        <v>1009</v>
      </c>
      <c r="O530" t="s">
        <v>114</v>
      </c>
      <c r="P530" t="s">
        <v>114</v>
      </c>
      <c r="Q530">
        <v>1000</v>
      </c>
      <c r="X530">
        <v>1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 t="s">
        <v>3</v>
      </c>
      <c r="AG530">
        <v>1</v>
      </c>
      <c r="AH530">
        <v>3</v>
      </c>
      <c r="AI530">
        <v>-1</v>
      </c>
      <c r="AJ530" t="s">
        <v>3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</row>
    <row r="531" spans="1:44" x14ac:dyDescent="0.2">
      <c r="A531">
        <f>ROW(Source!A522)</f>
        <v>522</v>
      </c>
      <c r="B531">
        <v>129763808</v>
      </c>
      <c r="C531">
        <v>129763782</v>
      </c>
      <c r="D531">
        <v>37367082</v>
      </c>
      <c r="E531">
        <v>37345137</v>
      </c>
      <c r="F531">
        <v>1</v>
      </c>
      <c r="G531">
        <v>37345137</v>
      </c>
      <c r="H531">
        <v>3</v>
      </c>
      <c r="I531" t="s">
        <v>1136</v>
      </c>
      <c r="J531" t="s">
        <v>3</v>
      </c>
      <c r="K531" t="s">
        <v>1137</v>
      </c>
      <c r="L531">
        <v>1344</v>
      </c>
      <c r="N531">
        <v>1008</v>
      </c>
      <c r="O531" t="s">
        <v>1138</v>
      </c>
      <c r="P531" t="s">
        <v>1138</v>
      </c>
      <c r="Q531">
        <v>1</v>
      </c>
      <c r="X531">
        <v>39.479999999999997</v>
      </c>
      <c r="Y531">
        <v>1</v>
      </c>
      <c r="Z531">
        <v>0</v>
      </c>
      <c r="AA531">
        <v>0</v>
      </c>
      <c r="AB531">
        <v>0</v>
      </c>
      <c r="AC531">
        <v>0</v>
      </c>
      <c r="AD531">
        <v>1</v>
      </c>
      <c r="AE531">
        <v>0</v>
      </c>
      <c r="AF531" t="s">
        <v>3</v>
      </c>
      <c r="AG531">
        <v>39.479999999999997</v>
      </c>
      <c r="AH531">
        <v>2</v>
      </c>
      <c r="AI531">
        <v>129763791</v>
      </c>
      <c r="AJ531">
        <v>529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</row>
    <row r="532" spans="1:44" x14ac:dyDescent="0.2">
      <c r="A532">
        <f>ROW(Source!A523)</f>
        <v>523</v>
      </c>
      <c r="B532">
        <v>129763798</v>
      </c>
      <c r="C532">
        <v>129763782</v>
      </c>
      <c r="D532">
        <v>37345142</v>
      </c>
      <c r="E532">
        <v>37345137</v>
      </c>
      <c r="F532">
        <v>1</v>
      </c>
      <c r="G532">
        <v>37345137</v>
      </c>
      <c r="H532">
        <v>1</v>
      </c>
      <c r="I532" t="s">
        <v>1096</v>
      </c>
      <c r="J532" t="s">
        <v>3</v>
      </c>
      <c r="K532" t="s">
        <v>1097</v>
      </c>
      <c r="L532">
        <v>1191</v>
      </c>
      <c r="N532">
        <v>1013</v>
      </c>
      <c r="O532" t="s">
        <v>1098</v>
      </c>
      <c r="P532" t="s">
        <v>1098</v>
      </c>
      <c r="Q532">
        <v>1</v>
      </c>
      <c r="X532">
        <v>35.9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1</v>
      </c>
      <c r="AE532">
        <v>1</v>
      </c>
      <c r="AF532" t="s">
        <v>87</v>
      </c>
      <c r="AG532">
        <v>41.284999999999997</v>
      </c>
      <c r="AH532">
        <v>2</v>
      </c>
      <c r="AI532">
        <v>129763783</v>
      </c>
      <c r="AJ532">
        <v>530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</row>
    <row r="533" spans="1:44" x14ac:dyDescent="0.2">
      <c r="A533">
        <f>ROW(Source!A523)</f>
        <v>523</v>
      </c>
      <c r="B533">
        <v>129763799</v>
      </c>
      <c r="C533">
        <v>129763782</v>
      </c>
      <c r="D533">
        <v>37418168</v>
      </c>
      <c r="E533">
        <v>1</v>
      </c>
      <c r="F533">
        <v>1</v>
      </c>
      <c r="G533">
        <v>37345137</v>
      </c>
      <c r="H533">
        <v>2</v>
      </c>
      <c r="I533" t="s">
        <v>1139</v>
      </c>
      <c r="J533" t="s">
        <v>1140</v>
      </c>
      <c r="K533" t="s">
        <v>1141</v>
      </c>
      <c r="L533">
        <v>1367</v>
      </c>
      <c r="N533">
        <v>1011</v>
      </c>
      <c r="O533" t="s">
        <v>1102</v>
      </c>
      <c r="P533" t="s">
        <v>1102</v>
      </c>
      <c r="Q533">
        <v>1</v>
      </c>
      <c r="X533">
        <v>0.34</v>
      </c>
      <c r="Y533">
        <v>0</v>
      </c>
      <c r="Z533">
        <v>6.39</v>
      </c>
      <c r="AA533">
        <v>0.32</v>
      </c>
      <c r="AB533">
        <v>0</v>
      </c>
      <c r="AC533">
        <v>0</v>
      </c>
      <c r="AD533">
        <v>1</v>
      </c>
      <c r="AE533">
        <v>0</v>
      </c>
      <c r="AF533" t="s">
        <v>86</v>
      </c>
      <c r="AG533">
        <v>0.42500000000000004</v>
      </c>
      <c r="AH533">
        <v>2</v>
      </c>
      <c r="AI533">
        <v>129763784</v>
      </c>
      <c r="AJ533">
        <v>531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</row>
    <row r="534" spans="1:44" x14ac:dyDescent="0.2">
      <c r="A534">
        <f>ROW(Source!A523)</f>
        <v>523</v>
      </c>
      <c r="B534">
        <v>129763801</v>
      </c>
      <c r="C534">
        <v>129763782</v>
      </c>
      <c r="D534">
        <v>37418517</v>
      </c>
      <c r="E534">
        <v>1</v>
      </c>
      <c r="F534">
        <v>1</v>
      </c>
      <c r="G534">
        <v>37345137</v>
      </c>
      <c r="H534">
        <v>2</v>
      </c>
      <c r="I534" t="s">
        <v>1142</v>
      </c>
      <c r="J534" t="s">
        <v>1143</v>
      </c>
      <c r="K534" t="s">
        <v>1144</v>
      </c>
      <c r="L534">
        <v>1367</v>
      </c>
      <c r="N534">
        <v>1011</v>
      </c>
      <c r="O534" t="s">
        <v>1102</v>
      </c>
      <c r="P534" t="s">
        <v>1102</v>
      </c>
      <c r="Q534">
        <v>1</v>
      </c>
      <c r="X534">
        <v>6.16</v>
      </c>
      <c r="Y534">
        <v>0</v>
      </c>
      <c r="Z534">
        <v>2.58</v>
      </c>
      <c r="AA534">
        <v>0.04</v>
      </c>
      <c r="AB534">
        <v>0</v>
      </c>
      <c r="AC534">
        <v>0</v>
      </c>
      <c r="AD534">
        <v>1</v>
      </c>
      <c r="AE534">
        <v>0</v>
      </c>
      <c r="AF534" t="s">
        <v>86</v>
      </c>
      <c r="AG534">
        <v>7.7</v>
      </c>
      <c r="AH534">
        <v>2</v>
      </c>
      <c r="AI534">
        <v>129763786</v>
      </c>
      <c r="AJ534">
        <v>532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</row>
    <row r="535" spans="1:44" x14ac:dyDescent="0.2">
      <c r="A535">
        <f>ROW(Source!A523)</f>
        <v>523</v>
      </c>
      <c r="B535">
        <v>129763800</v>
      </c>
      <c r="C535">
        <v>129763782</v>
      </c>
      <c r="D535">
        <v>37417692</v>
      </c>
      <c r="E535">
        <v>1</v>
      </c>
      <c r="F535">
        <v>1</v>
      </c>
      <c r="G535">
        <v>37345137</v>
      </c>
      <c r="H535">
        <v>2</v>
      </c>
      <c r="I535" t="s">
        <v>1127</v>
      </c>
      <c r="J535" t="s">
        <v>1128</v>
      </c>
      <c r="K535" t="s">
        <v>1129</v>
      </c>
      <c r="L535">
        <v>1367</v>
      </c>
      <c r="N535">
        <v>1011</v>
      </c>
      <c r="O535" t="s">
        <v>1102</v>
      </c>
      <c r="P535" t="s">
        <v>1102</v>
      </c>
      <c r="Q535">
        <v>1</v>
      </c>
      <c r="X535">
        <v>4.13</v>
      </c>
      <c r="Y535">
        <v>0</v>
      </c>
      <c r="Z535">
        <v>190.93</v>
      </c>
      <c r="AA535">
        <v>18.149999999999999</v>
      </c>
      <c r="AB535">
        <v>0</v>
      </c>
      <c r="AC535">
        <v>0</v>
      </c>
      <c r="AD535">
        <v>1</v>
      </c>
      <c r="AE535">
        <v>0</v>
      </c>
      <c r="AF535" t="s">
        <v>86</v>
      </c>
      <c r="AG535">
        <v>5.1624999999999996</v>
      </c>
      <c r="AH535">
        <v>2</v>
      </c>
      <c r="AI535">
        <v>129763785</v>
      </c>
      <c r="AJ535">
        <v>533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</row>
    <row r="536" spans="1:44" x14ac:dyDescent="0.2">
      <c r="A536">
        <f>ROW(Source!A523)</f>
        <v>523</v>
      </c>
      <c r="B536">
        <v>129763802</v>
      </c>
      <c r="C536">
        <v>129763782</v>
      </c>
      <c r="D536">
        <v>37417811</v>
      </c>
      <c r="E536">
        <v>1</v>
      </c>
      <c r="F536">
        <v>1</v>
      </c>
      <c r="G536">
        <v>37345137</v>
      </c>
      <c r="H536">
        <v>2</v>
      </c>
      <c r="I536" t="s">
        <v>1327</v>
      </c>
      <c r="J536" t="s">
        <v>1328</v>
      </c>
      <c r="K536" t="s">
        <v>1329</v>
      </c>
      <c r="L536">
        <v>1367</v>
      </c>
      <c r="N536">
        <v>1011</v>
      </c>
      <c r="O536" t="s">
        <v>1102</v>
      </c>
      <c r="P536" t="s">
        <v>1102</v>
      </c>
      <c r="Q536">
        <v>1</v>
      </c>
      <c r="X536">
        <v>3.17</v>
      </c>
      <c r="Y536">
        <v>0</v>
      </c>
      <c r="Z536">
        <v>0.8</v>
      </c>
      <c r="AA536">
        <v>0.09</v>
      </c>
      <c r="AB536">
        <v>0</v>
      </c>
      <c r="AC536">
        <v>0</v>
      </c>
      <c r="AD536">
        <v>1</v>
      </c>
      <c r="AE536">
        <v>0</v>
      </c>
      <c r="AF536" t="s">
        <v>86</v>
      </c>
      <c r="AG536">
        <v>3.9624999999999999</v>
      </c>
      <c r="AH536">
        <v>2</v>
      </c>
      <c r="AI536">
        <v>129763787</v>
      </c>
      <c r="AJ536">
        <v>534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</row>
    <row r="537" spans="1:44" x14ac:dyDescent="0.2">
      <c r="A537">
        <f>ROW(Source!A523)</f>
        <v>523</v>
      </c>
      <c r="B537">
        <v>129763803</v>
      </c>
      <c r="C537">
        <v>129763782</v>
      </c>
      <c r="D537">
        <v>37345890</v>
      </c>
      <c r="E537">
        <v>37345137</v>
      </c>
      <c r="F537">
        <v>1</v>
      </c>
      <c r="G537">
        <v>37345137</v>
      </c>
      <c r="H537">
        <v>2</v>
      </c>
      <c r="I537" t="s">
        <v>1145</v>
      </c>
      <c r="J537" t="s">
        <v>3</v>
      </c>
      <c r="K537" t="s">
        <v>1146</v>
      </c>
      <c r="L537">
        <v>1344</v>
      </c>
      <c r="N537">
        <v>1008</v>
      </c>
      <c r="O537" t="s">
        <v>1138</v>
      </c>
      <c r="P537" t="s">
        <v>1138</v>
      </c>
      <c r="Q537">
        <v>1</v>
      </c>
      <c r="X537">
        <v>37.450000000000003</v>
      </c>
      <c r="Y537">
        <v>0</v>
      </c>
      <c r="Z537">
        <v>1</v>
      </c>
      <c r="AA537">
        <v>0</v>
      </c>
      <c r="AB537">
        <v>0</v>
      </c>
      <c r="AC537">
        <v>0</v>
      </c>
      <c r="AD537">
        <v>1</v>
      </c>
      <c r="AE537">
        <v>0</v>
      </c>
      <c r="AF537" t="s">
        <v>86</v>
      </c>
      <c r="AG537">
        <v>46.8125</v>
      </c>
      <c r="AH537">
        <v>2</v>
      </c>
      <c r="AI537">
        <v>129763788</v>
      </c>
      <c r="AJ537">
        <v>535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</row>
    <row r="538" spans="1:44" x14ac:dyDescent="0.2">
      <c r="A538">
        <f>ROW(Source!A523)</f>
        <v>523</v>
      </c>
      <c r="B538">
        <v>129763804</v>
      </c>
      <c r="C538">
        <v>129763782</v>
      </c>
      <c r="D538">
        <v>37394864</v>
      </c>
      <c r="E538">
        <v>1</v>
      </c>
      <c r="F538">
        <v>1</v>
      </c>
      <c r="G538">
        <v>37345137</v>
      </c>
      <c r="H538">
        <v>3</v>
      </c>
      <c r="I538" t="s">
        <v>1147</v>
      </c>
      <c r="J538" t="s">
        <v>1148</v>
      </c>
      <c r="K538" t="s">
        <v>1149</v>
      </c>
      <c r="L538">
        <v>1348</v>
      </c>
      <c r="N538">
        <v>1009</v>
      </c>
      <c r="O538" t="s">
        <v>114</v>
      </c>
      <c r="P538" t="s">
        <v>114</v>
      </c>
      <c r="Q538">
        <v>1000</v>
      </c>
      <c r="X538">
        <v>4.0000000000000001E-3</v>
      </c>
      <c r="Y538">
        <v>7191.81</v>
      </c>
      <c r="Z538">
        <v>0</v>
      </c>
      <c r="AA538">
        <v>0</v>
      </c>
      <c r="AB538">
        <v>0</v>
      </c>
      <c r="AC538">
        <v>0</v>
      </c>
      <c r="AD538">
        <v>1</v>
      </c>
      <c r="AE538">
        <v>0</v>
      </c>
      <c r="AF538" t="s">
        <v>3</v>
      </c>
      <c r="AG538">
        <v>4.0000000000000001E-3</v>
      </c>
      <c r="AH538">
        <v>2</v>
      </c>
      <c r="AI538">
        <v>129763789</v>
      </c>
      <c r="AJ538">
        <v>539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</row>
    <row r="539" spans="1:44" x14ac:dyDescent="0.2">
      <c r="A539">
        <f>ROW(Source!A523)</f>
        <v>523</v>
      </c>
      <c r="B539">
        <v>129763805</v>
      </c>
      <c r="C539">
        <v>129763782</v>
      </c>
      <c r="D539">
        <v>37415049</v>
      </c>
      <c r="E539">
        <v>1</v>
      </c>
      <c r="F539">
        <v>1</v>
      </c>
      <c r="G539">
        <v>37345137</v>
      </c>
      <c r="H539">
        <v>3</v>
      </c>
      <c r="I539" t="s">
        <v>568</v>
      </c>
      <c r="J539" t="s">
        <v>570</v>
      </c>
      <c r="K539" t="s">
        <v>569</v>
      </c>
      <c r="L539">
        <v>1348</v>
      </c>
      <c r="N539">
        <v>1009</v>
      </c>
      <c r="O539" t="s">
        <v>114</v>
      </c>
      <c r="P539" t="s">
        <v>114</v>
      </c>
      <c r="Q539">
        <v>1000</v>
      </c>
      <c r="X539">
        <v>1E-3</v>
      </c>
      <c r="Y539">
        <v>12654.07</v>
      </c>
      <c r="Z539">
        <v>0</v>
      </c>
      <c r="AA539">
        <v>0</v>
      </c>
      <c r="AB539">
        <v>0</v>
      </c>
      <c r="AC539">
        <v>0</v>
      </c>
      <c r="AD539">
        <v>1</v>
      </c>
      <c r="AE539">
        <v>0</v>
      </c>
      <c r="AF539" t="s">
        <v>3</v>
      </c>
      <c r="AG539">
        <v>1E-3</v>
      </c>
      <c r="AH539">
        <v>2</v>
      </c>
      <c r="AI539">
        <v>129763790</v>
      </c>
      <c r="AJ539">
        <v>542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</row>
    <row r="540" spans="1:44" x14ac:dyDescent="0.2">
      <c r="A540">
        <f>ROW(Source!A523)</f>
        <v>523</v>
      </c>
      <c r="B540">
        <v>129763806</v>
      </c>
      <c r="C540">
        <v>129763782</v>
      </c>
      <c r="D540">
        <v>126078584</v>
      </c>
      <c r="E540">
        <v>37345137</v>
      </c>
      <c r="F540">
        <v>1</v>
      </c>
      <c r="G540">
        <v>37345137</v>
      </c>
      <c r="H540">
        <v>3</v>
      </c>
      <c r="I540" t="s">
        <v>1426</v>
      </c>
      <c r="J540" t="s">
        <v>3</v>
      </c>
      <c r="K540" t="s">
        <v>1427</v>
      </c>
      <c r="L540">
        <v>1348</v>
      </c>
      <c r="N540">
        <v>1009</v>
      </c>
      <c r="O540" t="s">
        <v>114</v>
      </c>
      <c r="P540" t="s">
        <v>114</v>
      </c>
      <c r="Q540">
        <v>1000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 t="s">
        <v>3</v>
      </c>
      <c r="AG540">
        <v>0</v>
      </c>
      <c r="AH540">
        <v>3</v>
      </c>
      <c r="AI540">
        <v>-1</v>
      </c>
      <c r="AJ540" t="s">
        <v>3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</row>
    <row r="541" spans="1:44" x14ac:dyDescent="0.2">
      <c r="A541">
        <f>ROW(Source!A523)</f>
        <v>523</v>
      </c>
      <c r="B541">
        <v>129763807</v>
      </c>
      <c r="C541">
        <v>129763782</v>
      </c>
      <c r="D541">
        <v>37358825</v>
      </c>
      <c r="E541">
        <v>37345137</v>
      </c>
      <c r="F541">
        <v>1</v>
      </c>
      <c r="G541">
        <v>37345137</v>
      </c>
      <c r="H541">
        <v>3</v>
      </c>
      <c r="I541" t="s">
        <v>1495</v>
      </c>
      <c r="J541" t="s">
        <v>3</v>
      </c>
      <c r="K541" t="s">
        <v>1496</v>
      </c>
      <c r="L541">
        <v>1348</v>
      </c>
      <c r="N541">
        <v>1009</v>
      </c>
      <c r="O541" t="s">
        <v>114</v>
      </c>
      <c r="P541" t="s">
        <v>114</v>
      </c>
      <c r="Q541">
        <v>1000</v>
      </c>
      <c r="X541">
        <v>1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 t="s">
        <v>3</v>
      </c>
      <c r="AG541">
        <v>1</v>
      </c>
      <c r="AH541">
        <v>3</v>
      </c>
      <c r="AI541">
        <v>-1</v>
      </c>
      <c r="AJ541" t="s">
        <v>3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</row>
    <row r="542" spans="1:44" x14ac:dyDescent="0.2">
      <c r="A542">
        <f>ROW(Source!A523)</f>
        <v>523</v>
      </c>
      <c r="B542">
        <v>129763808</v>
      </c>
      <c r="C542">
        <v>129763782</v>
      </c>
      <c r="D542">
        <v>37367082</v>
      </c>
      <c r="E542">
        <v>37345137</v>
      </c>
      <c r="F542">
        <v>1</v>
      </c>
      <c r="G542">
        <v>37345137</v>
      </c>
      <c r="H542">
        <v>3</v>
      </c>
      <c r="I542" t="s">
        <v>1136</v>
      </c>
      <c r="J542" t="s">
        <v>3</v>
      </c>
      <c r="K542" t="s">
        <v>1137</v>
      </c>
      <c r="L542">
        <v>1344</v>
      </c>
      <c r="N542">
        <v>1008</v>
      </c>
      <c r="O542" t="s">
        <v>1138</v>
      </c>
      <c r="P542" t="s">
        <v>1138</v>
      </c>
      <c r="Q542">
        <v>1</v>
      </c>
      <c r="X542">
        <v>39.479999999999997</v>
      </c>
      <c r="Y542">
        <v>1</v>
      </c>
      <c r="Z542">
        <v>0</v>
      </c>
      <c r="AA542">
        <v>0</v>
      </c>
      <c r="AB542">
        <v>0</v>
      </c>
      <c r="AC542">
        <v>0</v>
      </c>
      <c r="AD542">
        <v>1</v>
      </c>
      <c r="AE542">
        <v>0</v>
      </c>
      <c r="AF542" t="s">
        <v>3</v>
      </c>
      <c r="AG542">
        <v>39.479999999999997</v>
      </c>
      <c r="AH542">
        <v>2</v>
      </c>
      <c r="AI542">
        <v>129763791</v>
      </c>
      <c r="AJ542">
        <v>544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</row>
    <row r="543" spans="1:44" x14ac:dyDescent="0.2">
      <c r="A543">
        <f>ROW(Source!A538)</f>
        <v>538</v>
      </c>
      <c r="B543">
        <v>129763831</v>
      </c>
      <c r="C543">
        <v>129763816</v>
      </c>
      <c r="D543">
        <v>37345142</v>
      </c>
      <c r="E543">
        <v>37345137</v>
      </c>
      <c r="F543">
        <v>1</v>
      </c>
      <c r="G543">
        <v>37345137</v>
      </c>
      <c r="H543">
        <v>1</v>
      </c>
      <c r="I543" t="s">
        <v>1096</v>
      </c>
      <c r="J543" t="s">
        <v>3</v>
      </c>
      <c r="K543" t="s">
        <v>1097</v>
      </c>
      <c r="L543">
        <v>1191</v>
      </c>
      <c r="N543">
        <v>1013</v>
      </c>
      <c r="O543" t="s">
        <v>1098</v>
      </c>
      <c r="P543" t="s">
        <v>1098</v>
      </c>
      <c r="Q543">
        <v>1</v>
      </c>
      <c r="X543">
        <v>91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1</v>
      </c>
      <c r="AE543">
        <v>1</v>
      </c>
      <c r="AF543" t="s">
        <v>87</v>
      </c>
      <c r="AG543">
        <v>104.64999999999999</v>
      </c>
      <c r="AH543">
        <v>2</v>
      </c>
      <c r="AI543">
        <v>129763817</v>
      </c>
      <c r="AJ543">
        <v>545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</row>
    <row r="544" spans="1:44" x14ac:dyDescent="0.2">
      <c r="A544">
        <f>ROW(Source!A538)</f>
        <v>538</v>
      </c>
      <c r="B544">
        <v>129763832</v>
      </c>
      <c r="C544">
        <v>129763816</v>
      </c>
      <c r="D544">
        <v>37418162</v>
      </c>
      <c r="E544">
        <v>1</v>
      </c>
      <c r="F544">
        <v>1</v>
      </c>
      <c r="G544">
        <v>37345137</v>
      </c>
      <c r="H544">
        <v>2</v>
      </c>
      <c r="I544" t="s">
        <v>1174</v>
      </c>
      <c r="J544" t="s">
        <v>1175</v>
      </c>
      <c r="K544" t="s">
        <v>1176</v>
      </c>
      <c r="L544">
        <v>1367</v>
      </c>
      <c r="N544">
        <v>1011</v>
      </c>
      <c r="O544" t="s">
        <v>1102</v>
      </c>
      <c r="P544" t="s">
        <v>1102</v>
      </c>
      <c r="Q544">
        <v>1</v>
      </c>
      <c r="X544">
        <v>27.3</v>
      </c>
      <c r="Y544">
        <v>0</v>
      </c>
      <c r="Z544">
        <v>6.15</v>
      </c>
      <c r="AA544">
        <v>0.02</v>
      </c>
      <c r="AB544">
        <v>0</v>
      </c>
      <c r="AC544">
        <v>0</v>
      </c>
      <c r="AD544">
        <v>1</v>
      </c>
      <c r="AE544">
        <v>0</v>
      </c>
      <c r="AF544" t="s">
        <v>86</v>
      </c>
      <c r="AG544">
        <v>34.125</v>
      </c>
      <c r="AH544">
        <v>2</v>
      </c>
      <c r="AI544">
        <v>129763818</v>
      </c>
      <c r="AJ544">
        <v>546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</row>
    <row r="545" spans="1:44" x14ac:dyDescent="0.2">
      <c r="A545">
        <f>ROW(Source!A538)</f>
        <v>538</v>
      </c>
      <c r="B545">
        <v>129763833</v>
      </c>
      <c r="C545">
        <v>129763816</v>
      </c>
      <c r="D545">
        <v>37418164</v>
      </c>
      <c r="E545">
        <v>1</v>
      </c>
      <c r="F545">
        <v>1</v>
      </c>
      <c r="G545">
        <v>37345137</v>
      </c>
      <c r="H545">
        <v>2</v>
      </c>
      <c r="I545" t="s">
        <v>1294</v>
      </c>
      <c r="J545" t="s">
        <v>1295</v>
      </c>
      <c r="K545" t="s">
        <v>1296</v>
      </c>
      <c r="L545">
        <v>1367</v>
      </c>
      <c r="N545">
        <v>1011</v>
      </c>
      <c r="O545" t="s">
        <v>1102</v>
      </c>
      <c r="P545" t="s">
        <v>1102</v>
      </c>
      <c r="Q545">
        <v>1</v>
      </c>
      <c r="X545">
        <v>1</v>
      </c>
      <c r="Y545">
        <v>0</v>
      </c>
      <c r="Z545">
        <v>1.0900000000000001</v>
      </c>
      <c r="AA545">
        <v>0.09</v>
      </c>
      <c r="AB545">
        <v>0</v>
      </c>
      <c r="AC545">
        <v>0</v>
      </c>
      <c r="AD545">
        <v>1</v>
      </c>
      <c r="AE545">
        <v>0</v>
      </c>
      <c r="AF545" t="s">
        <v>86</v>
      </c>
      <c r="AG545">
        <v>1.25</v>
      </c>
      <c r="AH545">
        <v>2</v>
      </c>
      <c r="AI545">
        <v>129763819</v>
      </c>
      <c r="AJ545">
        <v>547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</row>
    <row r="546" spans="1:44" x14ac:dyDescent="0.2">
      <c r="A546">
        <f>ROW(Source!A538)</f>
        <v>538</v>
      </c>
      <c r="B546">
        <v>129763834</v>
      </c>
      <c r="C546">
        <v>129763816</v>
      </c>
      <c r="D546">
        <v>37418491</v>
      </c>
      <c r="E546">
        <v>1</v>
      </c>
      <c r="F546">
        <v>1</v>
      </c>
      <c r="G546">
        <v>37345137</v>
      </c>
      <c r="H546">
        <v>2</v>
      </c>
      <c r="I546" t="s">
        <v>1177</v>
      </c>
      <c r="J546" t="s">
        <v>1178</v>
      </c>
      <c r="K546" t="s">
        <v>1179</v>
      </c>
      <c r="L546">
        <v>1367</v>
      </c>
      <c r="N546">
        <v>1011</v>
      </c>
      <c r="O546" t="s">
        <v>1102</v>
      </c>
      <c r="P546" t="s">
        <v>1102</v>
      </c>
      <c r="Q546">
        <v>1</v>
      </c>
      <c r="X546">
        <v>1.1000000000000001</v>
      </c>
      <c r="Y546">
        <v>0</v>
      </c>
      <c r="Z546">
        <v>0.44</v>
      </c>
      <c r="AA546">
        <v>0</v>
      </c>
      <c r="AB546">
        <v>0</v>
      </c>
      <c r="AC546">
        <v>0</v>
      </c>
      <c r="AD546">
        <v>1</v>
      </c>
      <c r="AE546">
        <v>0</v>
      </c>
      <c r="AF546" t="s">
        <v>86</v>
      </c>
      <c r="AG546">
        <v>1.375</v>
      </c>
      <c r="AH546">
        <v>2</v>
      </c>
      <c r="AI546">
        <v>129763820</v>
      </c>
      <c r="AJ546">
        <v>548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</row>
    <row r="547" spans="1:44" x14ac:dyDescent="0.2">
      <c r="A547">
        <f>ROW(Source!A538)</f>
        <v>538</v>
      </c>
      <c r="B547">
        <v>129763835</v>
      </c>
      <c r="C547">
        <v>129763816</v>
      </c>
      <c r="D547">
        <v>37418479</v>
      </c>
      <c r="E547">
        <v>1</v>
      </c>
      <c r="F547">
        <v>1</v>
      </c>
      <c r="G547">
        <v>37345137</v>
      </c>
      <c r="H547">
        <v>2</v>
      </c>
      <c r="I547" t="s">
        <v>1183</v>
      </c>
      <c r="J547" t="s">
        <v>1184</v>
      </c>
      <c r="K547" t="s">
        <v>1185</v>
      </c>
      <c r="L547">
        <v>1367</v>
      </c>
      <c r="N547">
        <v>1011</v>
      </c>
      <c r="O547" t="s">
        <v>1102</v>
      </c>
      <c r="P547" t="s">
        <v>1102</v>
      </c>
      <c r="Q547">
        <v>1</v>
      </c>
      <c r="X547">
        <v>0.3</v>
      </c>
      <c r="Y547">
        <v>0</v>
      </c>
      <c r="Z547">
        <v>2.36</v>
      </c>
      <c r="AA547">
        <v>0.1</v>
      </c>
      <c r="AB547">
        <v>0</v>
      </c>
      <c r="AC547">
        <v>0</v>
      </c>
      <c r="AD547">
        <v>1</v>
      </c>
      <c r="AE547">
        <v>0</v>
      </c>
      <c r="AF547" t="s">
        <v>86</v>
      </c>
      <c r="AG547">
        <v>0.375</v>
      </c>
      <c r="AH547">
        <v>2</v>
      </c>
      <c r="AI547">
        <v>129763821</v>
      </c>
      <c r="AJ547">
        <v>549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</row>
    <row r="548" spans="1:44" x14ac:dyDescent="0.2">
      <c r="A548">
        <f>ROW(Source!A538)</f>
        <v>538</v>
      </c>
      <c r="B548">
        <v>129763836</v>
      </c>
      <c r="C548">
        <v>129763816</v>
      </c>
      <c r="D548">
        <v>37418532</v>
      </c>
      <c r="E548">
        <v>1</v>
      </c>
      <c r="F548">
        <v>1</v>
      </c>
      <c r="G548">
        <v>37345137</v>
      </c>
      <c r="H548">
        <v>2</v>
      </c>
      <c r="I548" t="s">
        <v>1297</v>
      </c>
      <c r="J548" t="s">
        <v>1298</v>
      </c>
      <c r="K548" t="s">
        <v>1299</v>
      </c>
      <c r="L548">
        <v>1367</v>
      </c>
      <c r="N548">
        <v>1011</v>
      </c>
      <c r="O548" t="s">
        <v>1102</v>
      </c>
      <c r="P548" t="s">
        <v>1102</v>
      </c>
      <c r="Q548">
        <v>1</v>
      </c>
      <c r="X548">
        <v>0.84</v>
      </c>
      <c r="Y548">
        <v>0</v>
      </c>
      <c r="Z548">
        <v>18.309999999999999</v>
      </c>
      <c r="AA548">
        <v>13.46</v>
      </c>
      <c r="AB548">
        <v>0</v>
      </c>
      <c r="AC548">
        <v>0</v>
      </c>
      <c r="AD548">
        <v>1</v>
      </c>
      <c r="AE548">
        <v>0</v>
      </c>
      <c r="AF548" t="s">
        <v>86</v>
      </c>
      <c r="AG548">
        <v>1.05</v>
      </c>
      <c r="AH548">
        <v>2</v>
      </c>
      <c r="AI548">
        <v>129763822</v>
      </c>
      <c r="AJ548">
        <v>550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</row>
    <row r="549" spans="1:44" x14ac:dyDescent="0.2">
      <c r="A549">
        <f>ROW(Source!A538)</f>
        <v>538</v>
      </c>
      <c r="B549">
        <v>129763837</v>
      </c>
      <c r="C549">
        <v>129763816</v>
      </c>
      <c r="D549">
        <v>37345890</v>
      </c>
      <c r="E549">
        <v>37345137</v>
      </c>
      <c r="F549">
        <v>1</v>
      </c>
      <c r="G549">
        <v>37345137</v>
      </c>
      <c r="H549">
        <v>2</v>
      </c>
      <c r="I549" t="s">
        <v>1145</v>
      </c>
      <c r="J549" t="s">
        <v>3</v>
      </c>
      <c r="K549" t="s">
        <v>1146</v>
      </c>
      <c r="L549">
        <v>1344</v>
      </c>
      <c r="N549">
        <v>1008</v>
      </c>
      <c r="O549" t="s">
        <v>1138</v>
      </c>
      <c r="P549" t="s">
        <v>1138</v>
      </c>
      <c r="Q549">
        <v>1</v>
      </c>
      <c r="X549">
        <v>37.229999999999997</v>
      </c>
      <c r="Y549">
        <v>0</v>
      </c>
      <c r="Z549">
        <v>1</v>
      </c>
      <c r="AA549">
        <v>0</v>
      </c>
      <c r="AB549">
        <v>0</v>
      </c>
      <c r="AC549">
        <v>0</v>
      </c>
      <c r="AD549">
        <v>1</v>
      </c>
      <c r="AE549">
        <v>0</v>
      </c>
      <c r="AF549" t="s">
        <v>86</v>
      </c>
      <c r="AG549">
        <v>46.537499999999994</v>
      </c>
      <c r="AH549">
        <v>2</v>
      </c>
      <c r="AI549">
        <v>129763823</v>
      </c>
      <c r="AJ549">
        <v>551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</row>
    <row r="550" spans="1:44" x14ac:dyDescent="0.2">
      <c r="A550">
        <f>ROW(Source!A538)</f>
        <v>538</v>
      </c>
      <c r="B550">
        <v>129763838</v>
      </c>
      <c r="C550">
        <v>129763816</v>
      </c>
      <c r="D550">
        <v>37367713</v>
      </c>
      <c r="E550">
        <v>37345137</v>
      </c>
      <c r="F550">
        <v>1</v>
      </c>
      <c r="G550">
        <v>37345137</v>
      </c>
      <c r="H550">
        <v>3</v>
      </c>
      <c r="I550" t="s">
        <v>1484</v>
      </c>
      <c r="J550" t="s">
        <v>3</v>
      </c>
      <c r="K550" t="s">
        <v>1485</v>
      </c>
      <c r="L550">
        <v>1339</v>
      </c>
      <c r="N550">
        <v>1007</v>
      </c>
      <c r="O550" t="s">
        <v>94</v>
      </c>
      <c r="P550" t="s">
        <v>94</v>
      </c>
      <c r="Q550">
        <v>1</v>
      </c>
      <c r="X550">
        <v>0.5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 t="s">
        <v>3</v>
      </c>
      <c r="AG550">
        <v>0.5</v>
      </c>
      <c r="AH550">
        <v>3</v>
      </c>
      <c r="AI550">
        <v>-1</v>
      </c>
      <c r="AJ550" t="s">
        <v>3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</row>
    <row r="551" spans="1:44" x14ac:dyDescent="0.2">
      <c r="A551">
        <f>ROW(Source!A538)</f>
        <v>538</v>
      </c>
      <c r="B551">
        <v>129763839</v>
      </c>
      <c r="C551">
        <v>129763816</v>
      </c>
      <c r="D551">
        <v>37358131</v>
      </c>
      <c r="E551">
        <v>37345137</v>
      </c>
      <c r="F551">
        <v>1</v>
      </c>
      <c r="G551">
        <v>37345137</v>
      </c>
      <c r="H551">
        <v>3</v>
      </c>
      <c r="I551" t="s">
        <v>1480</v>
      </c>
      <c r="J551" t="s">
        <v>3</v>
      </c>
      <c r="K551" t="s">
        <v>1486</v>
      </c>
      <c r="L551">
        <v>1348</v>
      </c>
      <c r="N551">
        <v>1009</v>
      </c>
      <c r="O551" t="s">
        <v>114</v>
      </c>
      <c r="P551" t="s">
        <v>114</v>
      </c>
      <c r="Q551">
        <v>1000</v>
      </c>
      <c r="X551">
        <v>1.032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 t="s">
        <v>3</v>
      </c>
      <c r="AG551">
        <v>1.032</v>
      </c>
      <c r="AH551">
        <v>3</v>
      </c>
      <c r="AI551">
        <v>-1</v>
      </c>
      <c r="AJ551" t="s">
        <v>3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</row>
    <row r="552" spans="1:44" x14ac:dyDescent="0.2">
      <c r="A552">
        <f>ROW(Source!A538)</f>
        <v>538</v>
      </c>
      <c r="B552">
        <v>129763840</v>
      </c>
      <c r="C552">
        <v>129763816</v>
      </c>
      <c r="D552">
        <v>37394864</v>
      </c>
      <c r="E552">
        <v>1</v>
      </c>
      <c r="F552">
        <v>1</v>
      </c>
      <c r="G552">
        <v>37345137</v>
      </c>
      <c r="H552">
        <v>3</v>
      </c>
      <c r="I552" t="s">
        <v>1147</v>
      </c>
      <c r="J552" t="s">
        <v>1148</v>
      </c>
      <c r="K552" t="s">
        <v>1149</v>
      </c>
      <c r="L552">
        <v>1348</v>
      </c>
      <c r="N552">
        <v>1009</v>
      </c>
      <c r="O552" t="s">
        <v>114</v>
      </c>
      <c r="P552" t="s">
        <v>114</v>
      </c>
      <c r="Q552">
        <v>1000</v>
      </c>
      <c r="X552">
        <v>2.1499999999999998E-2</v>
      </c>
      <c r="Y552">
        <v>7191.81</v>
      </c>
      <c r="Z552">
        <v>0</v>
      </c>
      <c r="AA552">
        <v>0</v>
      </c>
      <c r="AB552">
        <v>0</v>
      </c>
      <c r="AC552">
        <v>0</v>
      </c>
      <c r="AD552">
        <v>1</v>
      </c>
      <c r="AE552">
        <v>0</v>
      </c>
      <c r="AF552" t="s">
        <v>3</v>
      </c>
      <c r="AG552">
        <v>2.1499999999999998E-2</v>
      </c>
      <c r="AH552">
        <v>2</v>
      </c>
      <c r="AI552">
        <v>129763825</v>
      </c>
      <c r="AJ552">
        <v>554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</row>
    <row r="553" spans="1:44" x14ac:dyDescent="0.2">
      <c r="A553">
        <f>ROW(Source!A538)</f>
        <v>538</v>
      </c>
      <c r="B553">
        <v>129763841</v>
      </c>
      <c r="C553">
        <v>129763816</v>
      </c>
      <c r="D553">
        <v>37359799</v>
      </c>
      <c r="E553">
        <v>37345137</v>
      </c>
      <c r="F553">
        <v>1</v>
      </c>
      <c r="G553">
        <v>37345137</v>
      </c>
      <c r="H553">
        <v>3</v>
      </c>
      <c r="I553" t="s">
        <v>1487</v>
      </c>
      <c r="J553" t="s">
        <v>3</v>
      </c>
      <c r="K553" t="s">
        <v>1488</v>
      </c>
      <c r="L553">
        <v>1339</v>
      </c>
      <c r="N553">
        <v>1007</v>
      </c>
      <c r="O553" t="s">
        <v>94</v>
      </c>
      <c r="P553" t="s">
        <v>94</v>
      </c>
      <c r="Q553">
        <v>1</v>
      </c>
      <c r="X553">
        <v>2.6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 t="s">
        <v>3</v>
      </c>
      <c r="AG553">
        <v>2.6</v>
      </c>
      <c r="AH553">
        <v>3</v>
      </c>
      <c r="AI553">
        <v>-1</v>
      </c>
      <c r="AJ553" t="s">
        <v>3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</row>
    <row r="554" spans="1:44" x14ac:dyDescent="0.2">
      <c r="A554">
        <f>ROW(Source!A539)</f>
        <v>539</v>
      </c>
      <c r="B554">
        <v>129763831</v>
      </c>
      <c r="C554">
        <v>129763816</v>
      </c>
      <c r="D554">
        <v>37345142</v>
      </c>
      <c r="E554">
        <v>37345137</v>
      </c>
      <c r="F554">
        <v>1</v>
      </c>
      <c r="G554">
        <v>37345137</v>
      </c>
      <c r="H554">
        <v>1</v>
      </c>
      <c r="I554" t="s">
        <v>1096</v>
      </c>
      <c r="J554" t="s">
        <v>3</v>
      </c>
      <c r="K554" t="s">
        <v>1097</v>
      </c>
      <c r="L554">
        <v>1191</v>
      </c>
      <c r="N554">
        <v>1013</v>
      </c>
      <c r="O554" t="s">
        <v>1098</v>
      </c>
      <c r="P554" t="s">
        <v>1098</v>
      </c>
      <c r="Q554">
        <v>1</v>
      </c>
      <c r="X554">
        <v>91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1</v>
      </c>
      <c r="AE554">
        <v>1</v>
      </c>
      <c r="AF554" t="s">
        <v>87</v>
      </c>
      <c r="AG554">
        <v>104.64999999999999</v>
      </c>
      <c r="AH554">
        <v>2</v>
      </c>
      <c r="AI554">
        <v>129763817</v>
      </c>
      <c r="AJ554">
        <v>560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</row>
    <row r="555" spans="1:44" x14ac:dyDescent="0.2">
      <c r="A555">
        <f>ROW(Source!A539)</f>
        <v>539</v>
      </c>
      <c r="B555">
        <v>129763832</v>
      </c>
      <c r="C555">
        <v>129763816</v>
      </c>
      <c r="D555">
        <v>37418162</v>
      </c>
      <c r="E555">
        <v>1</v>
      </c>
      <c r="F555">
        <v>1</v>
      </c>
      <c r="G555">
        <v>37345137</v>
      </c>
      <c r="H555">
        <v>2</v>
      </c>
      <c r="I555" t="s">
        <v>1174</v>
      </c>
      <c r="J555" t="s">
        <v>1175</v>
      </c>
      <c r="K555" t="s">
        <v>1176</v>
      </c>
      <c r="L555">
        <v>1367</v>
      </c>
      <c r="N555">
        <v>1011</v>
      </c>
      <c r="O555" t="s">
        <v>1102</v>
      </c>
      <c r="P555" t="s">
        <v>1102</v>
      </c>
      <c r="Q555">
        <v>1</v>
      </c>
      <c r="X555">
        <v>27.3</v>
      </c>
      <c r="Y555">
        <v>0</v>
      </c>
      <c r="Z555">
        <v>6.15</v>
      </c>
      <c r="AA555">
        <v>0.02</v>
      </c>
      <c r="AB555">
        <v>0</v>
      </c>
      <c r="AC555">
        <v>0</v>
      </c>
      <c r="AD555">
        <v>1</v>
      </c>
      <c r="AE555">
        <v>0</v>
      </c>
      <c r="AF555" t="s">
        <v>86</v>
      </c>
      <c r="AG555">
        <v>34.125</v>
      </c>
      <c r="AH555">
        <v>2</v>
      </c>
      <c r="AI555">
        <v>129763818</v>
      </c>
      <c r="AJ555">
        <v>561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</row>
    <row r="556" spans="1:44" x14ac:dyDescent="0.2">
      <c r="A556">
        <f>ROW(Source!A539)</f>
        <v>539</v>
      </c>
      <c r="B556">
        <v>129763833</v>
      </c>
      <c r="C556">
        <v>129763816</v>
      </c>
      <c r="D556">
        <v>37418164</v>
      </c>
      <c r="E556">
        <v>1</v>
      </c>
      <c r="F556">
        <v>1</v>
      </c>
      <c r="G556">
        <v>37345137</v>
      </c>
      <c r="H556">
        <v>2</v>
      </c>
      <c r="I556" t="s">
        <v>1294</v>
      </c>
      <c r="J556" t="s">
        <v>1295</v>
      </c>
      <c r="K556" t="s">
        <v>1296</v>
      </c>
      <c r="L556">
        <v>1367</v>
      </c>
      <c r="N556">
        <v>1011</v>
      </c>
      <c r="O556" t="s">
        <v>1102</v>
      </c>
      <c r="P556" t="s">
        <v>1102</v>
      </c>
      <c r="Q556">
        <v>1</v>
      </c>
      <c r="X556">
        <v>1</v>
      </c>
      <c r="Y556">
        <v>0</v>
      </c>
      <c r="Z556">
        <v>1.0900000000000001</v>
      </c>
      <c r="AA556">
        <v>0.09</v>
      </c>
      <c r="AB556">
        <v>0</v>
      </c>
      <c r="AC556">
        <v>0</v>
      </c>
      <c r="AD556">
        <v>1</v>
      </c>
      <c r="AE556">
        <v>0</v>
      </c>
      <c r="AF556" t="s">
        <v>86</v>
      </c>
      <c r="AG556">
        <v>1.25</v>
      </c>
      <c r="AH556">
        <v>2</v>
      </c>
      <c r="AI556">
        <v>129763819</v>
      </c>
      <c r="AJ556">
        <v>562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</row>
    <row r="557" spans="1:44" x14ac:dyDescent="0.2">
      <c r="A557">
        <f>ROW(Source!A539)</f>
        <v>539</v>
      </c>
      <c r="B557">
        <v>129763834</v>
      </c>
      <c r="C557">
        <v>129763816</v>
      </c>
      <c r="D557">
        <v>37418491</v>
      </c>
      <c r="E557">
        <v>1</v>
      </c>
      <c r="F557">
        <v>1</v>
      </c>
      <c r="G557">
        <v>37345137</v>
      </c>
      <c r="H557">
        <v>2</v>
      </c>
      <c r="I557" t="s">
        <v>1177</v>
      </c>
      <c r="J557" t="s">
        <v>1178</v>
      </c>
      <c r="K557" t="s">
        <v>1179</v>
      </c>
      <c r="L557">
        <v>1367</v>
      </c>
      <c r="N557">
        <v>1011</v>
      </c>
      <c r="O557" t="s">
        <v>1102</v>
      </c>
      <c r="P557" t="s">
        <v>1102</v>
      </c>
      <c r="Q557">
        <v>1</v>
      </c>
      <c r="X557">
        <v>1.1000000000000001</v>
      </c>
      <c r="Y557">
        <v>0</v>
      </c>
      <c r="Z557">
        <v>0.44</v>
      </c>
      <c r="AA557">
        <v>0</v>
      </c>
      <c r="AB557">
        <v>0</v>
      </c>
      <c r="AC557">
        <v>0</v>
      </c>
      <c r="AD557">
        <v>1</v>
      </c>
      <c r="AE557">
        <v>0</v>
      </c>
      <c r="AF557" t="s">
        <v>86</v>
      </c>
      <c r="AG557">
        <v>1.375</v>
      </c>
      <c r="AH557">
        <v>2</v>
      </c>
      <c r="AI557">
        <v>129763820</v>
      </c>
      <c r="AJ557">
        <v>563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</row>
    <row r="558" spans="1:44" x14ac:dyDescent="0.2">
      <c r="A558">
        <f>ROW(Source!A539)</f>
        <v>539</v>
      </c>
      <c r="B558">
        <v>129763835</v>
      </c>
      <c r="C558">
        <v>129763816</v>
      </c>
      <c r="D558">
        <v>37418479</v>
      </c>
      <c r="E558">
        <v>1</v>
      </c>
      <c r="F558">
        <v>1</v>
      </c>
      <c r="G558">
        <v>37345137</v>
      </c>
      <c r="H558">
        <v>2</v>
      </c>
      <c r="I558" t="s">
        <v>1183</v>
      </c>
      <c r="J558" t="s">
        <v>1184</v>
      </c>
      <c r="K558" t="s">
        <v>1185</v>
      </c>
      <c r="L558">
        <v>1367</v>
      </c>
      <c r="N558">
        <v>1011</v>
      </c>
      <c r="O558" t="s">
        <v>1102</v>
      </c>
      <c r="P558" t="s">
        <v>1102</v>
      </c>
      <c r="Q558">
        <v>1</v>
      </c>
      <c r="X558">
        <v>0.3</v>
      </c>
      <c r="Y558">
        <v>0</v>
      </c>
      <c r="Z558">
        <v>2.36</v>
      </c>
      <c r="AA558">
        <v>0.1</v>
      </c>
      <c r="AB558">
        <v>0</v>
      </c>
      <c r="AC558">
        <v>0</v>
      </c>
      <c r="AD558">
        <v>1</v>
      </c>
      <c r="AE558">
        <v>0</v>
      </c>
      <c r="AF558" t="s">
        <v>86</v>
      </c>
      <c r="AG558">
        <v>0.375</v>
      </c>
      <c r="AH558">
        <v>2</v>
      </c>
      <c r="AI558">
        <v>129763821</v>
      </c>
      <c r="AJ558">
        <v>564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</row>
    <row r="559" spans="1:44" x14ac:dyDescent="0.2">
      <c r="A559">
        <f>ROW(Source!A539)</f>
        <v>539</v>
      </c>
      <c r="B559">
        <v>129763836</v>
      </c>
      <c r="C559">
        <v>129763816</v>
      </c>
      <c r="D559">
        <v>37418532</v>
      </c>
      <c r="E559">
        <v>1</v>
      </c>
      <c r="F559">
        <v>1</v>
      </c>
      <c r="G559">
        <v>37345137</v>
      </c>
      <c r="H559">
        <v>2</v>
      </c>
      <c r="I559" t="s">
        <v>1297</v>
      </c>
      <c r="J559" t="s">
        <v>1298</v>
      </c>
      <c r="K559" t="s">
        <v>1299</v>
      </c>
      <c r="L559">
        <v>1367</v>
      </c>
      <c r="N559">
        <v>1011</v>
      </c>
      <c r="O559" t="s">
        <v>1102</v>
      </c>
      <c r="P559" t="s">
        <v>1102</v>
      </c>
      <c r="Q559">
        <v>1</v>
      </c>
      <c r="X559">
        <v>0.84</v>
      </c>
      <c r="Y559">
        <v>0</v>
      </c>
      <c r="Z559">
        <v>18.309999999999999</v>
      </c>
      <c r="AA559">
        <v>13.46</v>
      </c>
      <c r="AB559">
        <v>0</v>
      </c>
      <c r="AC559">
        <v>0</v>
      </c>
      <c r="AD559">
        <v>1</v>
      </c>
      <c r="AE559">
        <v>0</v>
      </c>
      <c r="AF559" t="s">
        <v>86</v>
      </c>
      <c r="AG559">
        <v>1.05</v>
      </c>
      <c r="AH559">
        <v>2</v>
      </c>
      <c r="AI559">
        <v>129763822</v>
      </c>
      <c r="AJ559">
        <v>565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</row>
    <row r="560" spans="1:44" x14ac:dyDescent="0.2">
      <c r="A560">
        <f>ROW(Source!A539)</f>
        <v>539</v>
      </c>
      <c r="B560">
        <v>129763837</v>
      </c>
      <c r="C560">
        <v>129763816</v>
      </c>
      <c r="D560">
        <v>37345890</v>
      </c>
      <c r="E560">
        <v>37345137</v>
      </c>
      <c r="F560">
        <v>1</v>
      </c>
      <c r="G560">
        <v>37345137</v>
      </c>
      <c r="H560">
        <v>2</v>
      </c>
      <c r="I560" t="s">
        <v>1145</v>
      </c>
      <c r="J560" t="s">
        <v>3</v>
      </c>
      <c r="K560" t="s">
        <v>1146</v>
      </c>
      <c r="L560">
        <v>1344</v>
      </c>
      <c r="N560">
        <v>1008</v>
      </c>
      <c r="O560" t="s">
        <v>1138</v>
      </c>
      <c r="P560" t="s">
        <v>1138</v>
      </c>
      <c r="Q560">
        <v>1</v>
      </c>
      <c r="X560">
        <v>37.229999999999997</v>
      </c>
      <c r="Y560">
        <v>0</v>
      </c>
      <c r="Z560">
        <v>1</v>
      </c>
      <c r="AA560">
        <v>0</v>
      </c>
      <c r="AB560">
        <v>0</v>
      </c>
      <c r="AC560">
        <v>0</v>
      </c>
      <c r="AD560">
        <v>1</v>
      </c>
      <c r="AE560">
        <v>0</v>
      </c>
      <c r="AF560" t="s">
        <v>86</v>
      </c>
      <c r="AG560">
        <v>46.537499999999994</v>
      </c>
      <c r="AH560">
        <v>2</v>
      </c>
      <c r="AI560">
        <v>129763823</v>
      </c>
      <c r="AJ560">
        <v>566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</row>
    <row r="561" spans="1:44" x14ac:dyDescent="0.2">
      <c r="A561">
        <f>ROW(Source!A539)</f>
        <v>539</v>
      </c>
      <c r="B561">
        <v>129763838</v>
      </c>
      <c r="C561">
        <v>129763816</v>
      </c>
      <c r="D561">
        <v>37367713</v>
      </c>
      <c r="E561">
        <v>37345137</v>
      </c>
      <c r="F561">
        <v>1</v>
      </c>
      <c r="G561">
        <v>37345137</v>
      </c>
      <c r="H561">
        <v>3</v>
      </c>
      <c r="I561" t="s">
        <v>1484</v>
      </c>
      <c r="J561" t="s">
        <v>3</v>
      </c>
      <c r="K561" t="s">
        <v>1485</v>
      </c>
      <c r="L561">
        <v>1339</v>
      </c>
      <c r="N561">
        <v>1007</v>
      </c>
      <c r="O561" t="s">
        <v>94</v>
      </c>
      <c r="P561" t="s">
        <v>94</v>
      </c>
      <c r="Q561">
        <v>1</v>
      </c>
      <c r="X561">
        <v>0.5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 t="s">
        <v>3</v>
      </c>
      <c r="AG561">
        <v>0.5</v>
      </c>
      <c r="AH561">
        <v>3</v>
      </c>
      <c r="AI561">
        <v>-1</v>
      </c>
      <c r="AJ561" t="s">
        <v>3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</row>
    <row r="562" spans="1:44" x14ac:dyDescent="0.2">
      <c r="A562">
        <f>ROW(Source!A539)</f>
        <v>539</v>
      </c>
      <c r="B562">
        <v>129763839</v>
      </c>
      <c r="C562">
        <v>129763816</v>
      </c>
      <c r="D562">
        <v>37358131</v>
      </c>
      <c r="E562">
        <v>37345137</v>
      </c>
      <c r="F562">
        <v>1</v>
      </c>
      <c r="G562">
        <v>37345137</v>
      </c>
      <c r="H562">
        <v>3</v>
      </c>
      <c r="I562" t="s">
        <v>1480</v>
      </c>
      <c r="J562" t="s">
        <v>3</v>
      </c>
      <c r="K562" t="s">
        <v>1486</v>
      </c>
      <c r="L562">
        <v>1348</v>
      </c>
      <c r="N562">
        <v>1009</v>
      </c>
      <c r="O562" t="s">
        <v>114</v>
      </c>
      <c r="P562" t="s">
        <v>114</v>
      </c>
      <c r="Q562">
        <v>1000</v>
      </c>
      <c r="X562">
        <v>1.032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 t="s">
        <v>3</v>
      </c>
      <c r="AG562">
        <v>1.032</v>
      </c>
      <c r="AH562">
        <v>3</v>
      </c>
      <c r="AI562">
        <v>-1</v>
      </c>
      <c r="AJ562" t="s">
        <v>3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</row>
    <row r="563" spans="1:44" x14ac:dyDescent="0.2">
      <c r="A563">
        <f>ROW(Source!A539)</f>
        <v>539</v>
      </c>
      <c r="B563">
        <v>129763840</v>
      </c>
      <c r="C563">
        <v>129763816</v>
      </c>
      <c r="D563">
        <v>37394864</v>
      </c>
      <c r="E563">
        <v>1</v>
      </c>
      <c r="F563">
        <v>1</v>
      </c>
      <c r="G563">
        <v>37345137</v>
      </c>
      <c r="H563">
        <v>3</v>
      </c>
      <c r="I563" t="s">
        <v>1147</v>
      </c>
      <c r="J563" t="s">
        <v>1148</v>
      </c>
      <c r="K563" t="s">
        <v>1149</v>
      </c>
      <c r="L563">
        <v>1348</v>
      </c>
      <c r="N563">
        <v>1009</v>
      </c>
      <c r="O563" t="s">
        <v>114</v>
      </c>
      <c r="P563" t="s">
        <v>114</v>
      </c>
      <c r="Q563">
        <v>1000</v>
      </c>
      <c r="X563">
        <v>2.1499999999999998E-2</v>
      </c>
      <c r="Y563">
        <v>7191.81</v>
      </c>
      <c r="Z563">
        <v>0</v>
      </c>
      <c r="AA563">
        <v>0</v>
      </c>
      <c r="AB563">
        <v>0</v>
      </c>
      <c r="AC563">
        <v>0</v>
      </c>
      <c r="AD563">
        <v>1</v>
      </c>
      <c r="AE563">
        <v>0</v>
      </c>
      <c r="AF563" t="s">
        <v>3</v>
      </c>
      <c r="AG563">
        <v>2.1499999999999998E-2</v>
      </c>
      <c r="AH563">
        <v>2</v>
      </c>
      <c r="AI563">
        <v>129763825</v>
      </c>
      <c r="AJ563">
        <v>569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</row>
    <row r="564" spans="1:44" x14ac:dyDescent="0.2">
      <c r="A564">
        <f>ROW(Source!A539)</f>
        <v>539</v>
      </c>
      <c r="B564">
        <v>129763841</v>
      </c>
      <c r="C564">
        <v>129763816</v>
      </c>
      <c r="D564">
        <v>37359799</v>
      </c>
      <c r="E564">
        <v>37345137</v>
      </c>
      <c r="F564">
        <v>1</v>
      </c>
      <c r="G564">
        <v>37345137</v>
      </c>
      <c r="H564">
        <v>3</v>
      </c>
      <c r="I564" t="s">
        <v>1487</v>
      </c>
      <c r="J564" t="s">
        <v>3</v>
      </c>
      <c r="K564" t="s">
        <v>1488</v>
      </c>
      <c r="L564">
        <v>1339</v>
      </c>
      <c r="N564">
        <v>1007</v>
      </c>
      <c r="O564" t="s">
        <v>94</v>
      </c>
      <c r="P564" t="s">
        <v>94</v>
      </c>
      <c r="Q564">
        <v>1</v>
      </c>
      <c r="X564">
        <v>2.6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 t="s">
        <v>3</v>
      </c>
      <c r="AG564">
        <v>2.6</v>
      </c>
      <c r="AH564">
        <v>3</v>
      </c>
      <c r="AI564">
        <v>-1</v>
      </c>
      <c r="AJ564" t="s">
        <v>3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</row>
    <row r="565" spans="1:44" x14ac:dyDescent="0.2">
      <c r="A565">
        <f>ROW(Source!A554)</f>
        <v>554</v>
      </c>
      <c r="B565">
        <v>129763854</v>
      </c>
      <c r="C565">
        <v>129763848</v>
      </c>
      <c r="D565">
        <v>37345142</v>
      </c>
      <c r="E565">
        <v>37345137</v>
      </c>
      <c r="F565">
        <v>1</v>
      </c>
      <c r="G565">
        <v>37345137</v>
      </c>
      <c r="H565">
        <v>1</v>
      </c>
      <c r="I565" t="s">
        <v>1096</v>
      </c>
      <c r="J565" t="s">
        <v>3</v>
      </c>
      <c r="K565" t="s">
        <v>1097</v>
      </c>
      <c r="L565">
        <v>1191</v>
      </c>
      <c r="N565">
        <v>1013</v>
      </c>
      <c r="O565" t="s">
        <v>1098</v>
      </c>
      <c r="P565" t="s">
        <v>1098</v>
      </c>
      <c r="Q565">
        <v>1</v>
      </c>
      <c r="X565">
        <v>76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1</v>
      </c>
      <c r="AE565">
        <v>1</v>
      </c>
      <c r="AF565" t="s">
        <v>87</v>
      </c>
      <c r="AG565">
        <v>87.399999999999991</v>
      </c>
      <c r="AH565">
        <v>2</v>
      </c>
      <c r="AI565">
        <v>129763849</v>
      </c>
      <c r="AJ565">
        <v>575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</row>
    <row r="566" spans="1:44" x14ac:dyDescent="0.2">
      <c r="A566">
        <f>ROW(Source!A554)</f>
        <v>554</v>
      </c>
      <c r="B566">
        <v>129763855</v>
      </c>
      <c r="C566">
        <v>129763848</v>
      </c>
      <c r="D566">
        <v>37417800</v>
      </c>
      <c r="E566">
        <v>1</v>
      </c>
      <c r="F566">
        <v>1</v>
      </c>
      <c r="G566">
        <v>37345137</v>
      </c>
      <c r="H566">
        <v>2</v>
      </c>
      <c r="I566" t="s">
        <v>1150</v>
      </c>
      <c r="J566" t="s">
        <v>1151</v>
      </c>
      <c r="K566" t="s">
        <v>1152</v>
      </c>
      <c r="L566">
        <v>1367</v>
      </c>
      <c r="N566">
        <v>1011</v>
      </c>
      <c r="O566" t="s">
        <v>1102</v>
      </c>
      <c r="P566" t="s">
        <v>1102</v>
      </c>
      <c r="Q566">
        <v>1</v>
      </c>
      <c r="X566">
        <v>15.2</v>
      </c>
      <c r="Y566">
        <v>0</v>
      </c>
      <c r="Z566">
        <v>2.78</v>
      </c>
      <c r="AA566">
        <v>0.19</v>
      </c>
      <c r="AB566">
        <v>0</v>
      </c>
      <c r="AC566">
        <v>0</v>
      </c>
      <c r="AD566">
        <v>1</v>
      </c>
      <c r="AE566">
        <v>0</v>
      </c>
      <c r="AF566" t="s">
        <v>86</v>
      </c>
      <c r="AG566">
        <v>19</v>
      </c>
      <c r="AH566">
        <v>2</v>
      </c>
      <c r="AI566">
        <v>129763850</v>
      </c>
      <c r="AJ566">
        <v>576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</row>
    <row r="567" spans="1:44" x14ac:dyDescent="0.2">
      <c r="A567">
        <f>ROW(Source!A554)</f>
        <v>554</v>
      </c>
      <c r="B567">
        <v>129763856</v>
      </c>
      <c r="C567">
        <v>129763848</v>
      </c>
      <c r="D567">
        <v>37394864</v>
      </c>
      <c r="E567">
        <v>1</v>
      </c>
      <c r="F567">
        <v>1</v>
      </c>
      <c r="G567">
        <v>37345137</v>
      </c>
      <c r="H567">
        <v>3</v>
      </c>
      <c r="I567" t="s">
        <v>1147</v>
      </c>
      <c r="J567" t="s">
        <v>1148</v>
      </c>
      <c r="K567" t="s">
        <v>1149</v>
      </c>
      <c r="L567">
        <v>1348</v>
      </c>
      <c r="N567">
        <v>1009</v>
      </c>
      <c r="O567" t="s">
        <v>114</v>
      </c>
      <c r="P567" t="s">
        <v>114</v>
      </c>
      <c r="Q567">
        <v>1000</v>
      </c>
      <c r="X567">
        <v>1.4E-3</v>
      </c>
      <c r="Y567">
        <v>7191.81</v>
      </c>
      <c r="Z567">
        <v>0</v>
      </c>
      <c r="AA567">
        <v>0</v>
      </c>
      <c r="AB567">
        <v>0</v>
      </c>
      <c r="AC567">
        <v>0</v>
      </c>
      <c r="AD567">
        <v>1</v>
      </c>
      <c r="AE567">
        <v>0</v>
      </c>
      <c r="AF567" t="s">
        <v>3</v>
      </c>
      <c r="AG567">
        <v>1.4E-3</v>
      </c>
      <c r="AH567">
        <v>2</v>
      </c>
      <c r="AI567">
        <v>129763851</v>
      </c>
      <c r="AJ567">
        <v>577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</row>
    <row r="568" spans="1:44" x14ac:dyDescent="0.2">
      <c r="A568">
        <f>ROW(Source!A554)</f>
        <v>554</v>
      </c>
      <c r="B568">
        <v>129763857</v>
      </c>
      <c r="C568">
        <v>129763848</v>
      </c>
      <c r="D568">
        <v>126078584</v>
      </c>
      <c r="E568">
        <v>37345137</v>
      </c>
      <c r="F568">
        <v>1</v>
      </c>
      <c r="G568">
        <v>37345137</v>
      </c>
      <c r="H568">
        <v>3</v>
      </c>
      <c r="I568" t="s">
        <v>1426</v>
      </c>
      <c r="J568" t="s">
        <v>3</v>
      </c>
      <c r="K568" t="s">
        <v>1427</v>
      </c>
      <c r="L568">
        <v>1348</v>
      </c>
      <c r="N568">
        <v>1009</v>
      </c>
      <c r="O568" t="s">
        <v>114</v>
      </c>
      <c r="P568" t="s">
        <v>114</v>
      </c>
      <c r="Q568">
        <v>1000</v>
      </c>
      <c r="X568">
        <v>3.3E-3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 t="s">
        <v>3</v>
      </c>
      <c r="AG568">
        <v>3.3E-3</v>
      </c>
      <c r="AH568">
        <v>3</v>
      </c>
      <c r="AI568">
        <v>-1</v>
      </c>
      <c r="AJ568" t="s">
        <v>3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</row>
    <row r="569" spans="1:44" x14ac:dyDescent="0.2">
      <c r="A569">
        <f>ROW(Source!A554)</f>
        <v>554</v>
      </c>
      <c r="B569">
        <v>129763858</v>
      </c>
      <c r="C569">
        <v>129763848</v>
      </c>
      <c r="D569">
        <v>37358260</v>
      </c>
      <c r="E569">
        <v>37345137</v>
      </c>
      <c r="F569">
        <v>1</v>
      </c>
      <c r="G569">
        <v>37345137</v>
      </c>
      <c r="H569">
        <v>3</v>
      </c>
      <c r="I569" t="s">
        <v>1428</v>
      </c>
      <c r="J569" t="s">
        <v>3</v>
      </c>
      <c r="K569" t="s">
        <v>1429</v>
      </c>
      <c r="L569">
        <v>1348</v>
      </c>
      <c r="N569">
        <v>1009</v>
      </c>
      <c r="O569" t="s">
        <v>114</v>
      </c>
      <c r="P569" t="s">
        <v>114</v>
      </c>
      <c r="Q569">
        <v>1000</v>
      </c>
      <c r="X569">
        <v>1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 t="s">
        <v>3</v>
      </c>
      <c r="AG569">
        <v>1</v>
      </c>
      <c r="AH569">
        <v>3</v>
      </c>
      <c r="AI569">
        <v>-1</v>
      </c>
      <c r="AJ569" t="s">
        <v>3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</row>
    <row r="570" spans="1:44" x14ac:dyDescent="0.2">
      <c r="A570">
        <f>ROW(Source!A554)</f>
        <v>554</v>
      </c>
      <c r="B570">
        <v>129763859</v>
      </c>
      <c r="C570">
        <v>129763848</v>
      </c>
      <c r="D570">
        <v>37367082</v>
      </c>
      <c r="E570">
        <v>37345137</v>
      </c>
      <c r="F570">
        <v>1</v>
      </c>
      <c r="G570">
        <v>37345137</v>
      </c>
      <c r="H570">
        <v>3</v>
      </c>
      <c r="I570" t="s">
        <v>1136</v>
      </c>
      <c r="J570" t="s">
        <v>3</v>
      </c>
      <c r="K570" t="s">
        <v>1137</v>
      </c>
      <c r="L570">
        <v>1344</v>
      </c>
      <c r="N570">
        <v>1008</v>
      </c>
      <c r="O570" t="s">
        <v>1138</v>
      </c>
      <c r="P570" t="s">
        <v>1138</v>
      </c>
      <c r="Q570">
        <v>1</v>
      </c>
      <c r="X570">
        <v>39.479999999999997</v>
      </c>
      <c r="Y570">
        <v>1</v>
      </c>
      <c r="Z570">
        <v>0</v>
      </c>
      <c r="AA570">
        <v>0</v>
      </c>
      <c r="AB570">
        <v>0</v>
      </c>
      <c r="AC570">
        <v>0</v>
      </c>
      <c r="AD570">
        <v>1</v>
      </c>
      <c r="AE570">
        <v>0</v>
      </c>
      <c r="AF570" t="s">
        <v>3</v>
      </c>
      <c r="AG570">
        <v>39.479999999999997</v>
      </c>
      <c r="AH570">
        <v>2</v>
      </c>
      <c r="AI570">
        <v>129763853</v>
      </c>
      <c r="AJ570">
        <v>579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</row>
    <row r="571" spans="1:44" x14ac:dyDescent="0.2">
      <c r="A571">
        <f>ROW(Source!A555)</f>
        <v>555</v>
      </c>
      <c r="B571">
        <v>129763854</v>
      </c>
      <c r="C571">
        <v>129763848</v>
      </c>
      <c r="D571">
        <v>37345142</v>
      </c>
      <c r="E571">
        <v>37345137</v>
      </c>
      <c r="F571">
        <v>1</v>
      </c>
      <c r="G571">
        <v>37345137</v>
      </c>
      <c r="H571">
        <v>1</v>
      </c>
      <c r="I571" t="s">
        <v>1096</v>
      </c>
      <c r="J571" t="s">
        <v>3</v>
      </c>
      <c r="K571" t="s">
        <v>1097</v>
      </c>
      <c r="L571">
        <v>1191</v>
      </c>
      <c r="N571">
        <v>1013</v>
      </c>
      <c r="O571" t="s">
        <v>1098</v>
      </c>
      <c r="P571" t="s">
        <v>1098</v>
      </c>
      <c r="Q571">
        <v>1</v>
      </c>
      <c r="X571">
        <v>76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1</v>
      </c>
      <c r="AE571">
        <v>1</v>
      </c>
      <c r="AF571" t="s">
        <v>87</v>
      </c>
      <c r="AG571">
        <v>87.399999999999991</v>
      </c>
      <c r="AH571">
        <v>2</v>
      </c>
      <c r="AI571">
        <v>129763849</v>
      </c>
      <c r="AJ571">
        <v>580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</row>
    <row r="572" spans="1:44" x14ac:dyDescent="0.2">
      <c r="A572">
        <f>ROW(Source!A555)</f>
        <v>555</v>
      </c>
      <c r="B572">
        <v>129763855</v>
      </c>
      <c r="C572">
        <v>129763848</v>
      </c>
      <c r="D572">
        <v>37417800</v>
      </c>
      <c r="E572">
        <v>1</v>
      </c>
      <c r="F572">
        <v>1</v>
      </c>
      <c r="G572">
        <v>37345137</v>
      </c>
      <c r="H572">
        <v>2</v>
      </c>
      <c r="I572" t="s">
        <v>1150</v>
      </c>
      <c r="J572" t="s">
        <v>1151</v>
      </c>
      <c r="K572" t="s">
        <v>1152</v>
      </c>
      <c r="L572">
        <v>1367</v>
      </c>
      <c r="N572">
        <v>1011</v>
      </c>
      <c r="O572" t="s">
        <v>1102</v>
      </c>
      <c r="P572" t="s">
        <v>1102</v>
      </c>
      <c r="Q572">
        <v>1</v>
      </c>
      <c r="X572">
        <v>15.2</v>
      </c>
      <c r="Y572">
        <v>0</v>
      </c>
      <c r="Z572">
        <v>2.78</v>
      </c>
      <c r="AA572">
        <v>0.19</v>
      </c>
      <c r="AB572">
        <v>0</v>
      </c>
      <c r="AC572">
        <v>0</v>
      </c>
      <c r="AD572">
        <v>1</v>
      </c>
      <c r="AE572">
        <v>0</v>
      </c>
      <c r="AF572" t="s">
        <v>86</v>
      </c>
      <c r="AG572">
        <v>19</v>
      </c>
      <c r="AH572">
        <v>2</v>
      </c>
      <c r="AI572">
        <v>129763850</v>
      </c>
      <c r="AJ572">
        <v>581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</row>
    <row r="573" spans="1:44" x14ac:dyDescent="0.2">
      <c r="A573">
        <f>ROW(Source!A555)</f>
        <v>555</v>
      </c>
      <c r="B573">
        <v>129763856</v>
      </c>
      <c r="C573">
        <v>129763848</v>
      </c>
      <c r="D573">
        <v>37394864</v>
      </c>
      <c r="E573">
        <v>1</v>
      </c>
      <c r="F573">
        <v>1</v>
      </c>
      <c r="G573">
        <v>37345137</v>
      </c>
      <c r="H573">
        <v>3</v>
      </c>
      <c r="I573" t="s">
        <v>1147</v>
      </c>
      <c r="J573" t="s">
        <v>1148</v>
      </c>
      <c r="K573" t="s">
        <v>1149</v>
      </c>
      <c r="L573">
        <v>1348</v>
      </c>
      <c r="N573">
        <v>1009</v>
      </c>
      <c r="O573" t="s">
        <v>114</v>
      </c>
      <c r="P573" t="s">
        <v>114</v>
      </c>
      <c r="Q573">
        <v>1000</v>
      </c>
      <c r="X573">
        <v>1.4E-3</v>
      </c>
      <c r="Y573">
        <v>7191.81</v>
      </c>
      <c r="Z573">
        <v>0</v>
      </c>
      <c r="AA573">
        <v>0</v>
      </c>
      <c r="AB573">
        <v>0</v>
      </c>
      <c r="AC573">
        <v>0</v>
      </c>
      <c r="AD573">
        <v>1</v>
      </c>
      <c r="AE573">
        <v>0</v>
      </c>
      <c r="AF573" t="s">
        <v>3</v>
      </c>
      <c r="AG573">
        <v>1.4E-3</v>
      </c>
      <c r="AH573">
        <v>2</v>
      </c>
      <c r="AI573">
        <v>129763851</v>
      </c>
      <c r="AJ573">
        <v>582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</row>
    <row r="574" spans="1:44" x14ac:dyDescent="0.2">
      <c r="A574">
        <f>ROW(Source!A555)</f>
        <v>555</v>
      </c>
      <c r="B574">
        <v>129763857</v>
      </c>
      <c r="C574">
        <v>129763848</v>
      </c>
      <c r="D574">
        <v>126078584</v>
      </c>
      <c r="E574">
        <v>37345137</v>
      </c>
      <c r="F574">
        <v>1</v>
      </c>
      <c r="G574">
        <v>37345137</v>
      </c>
      <c r="H574">
        <v>3</v>
      </c>
      <c r="I574" t="s">
        <v>1426</v>
      </c>
      <c r="J574" t="s">
        <v>3</v>
      </c>
      <c r="K574" t="s">
        <v>1427</v>
      </c>
      <c r="L574">
        <v>1348</v>
      </c>
      <c r="N574">
        <v>1009</v>
      </c>
      <c r="O574" t="s">
        <v>114</v>
      </c>
      <c r="P574" t="s">
        <v>114</v>
      </c>
      <c r="Q574">
        <v>1000</v>
      </c>
      <c r="X574">
        <v>3.3E-3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 t="s">
        <v>3</v>
      </c>
      <c r="AG574">
        <v>3.3E-3</v>
      </c>
      <c r="AH574">
        <v>3</v>
      </c>
      <c r="AI574">
        <v>-1</v>
      </c>
      <c r="AJ574" t="s">
        <v>3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</row>
    <row r="575" spans="1:44" x14ac:dyDescent="0.2">
      <c r="A575">
        <f>ROW(Source!A555)</f>
        <v>555</v>
      </c>
      <c r="B575">
        <v>129763858</v>
      </c>
      <c r="C575">
        <v>129763848</v>
      </c>
      <c r="D575">
        <v>37358260</v>
      </c>
      <c r="E575">
        <v>37345137</v>
      </c>
      <c r="F575">
        <v>1</v>
      </c>
      <c r="G575">
        <v>37345137</v>
      </c>
      <c r="H575">
        <v>3</v>
      </c>
      <c r="I575" t="s">
        <v>1428</v>
      </c>
      <c r="J575" t="s">
        <v>3</v>
      </c>
      <c r="K575" t="s">
        <v>1429</v>
      </c>
      <c r="L575">
        <v>1348</v>
      </c>
      <c r="N575">
        <v>1009</v>
      </c>
      <c r="O575" t="s">
        <v>114</v>
      </c>
      <c r="P575" t="s">
        <v>114</v>
      </c>
      <c r="Q575">
        <v>1000</v>
      </c>
      <c r="X575">
        <v>1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 t="s">
        <v>3</v>
      </c>
      <c r="AG575">
        <v>1</v>
      </c>
      <c r="AH575">
        <v>3</v>
      </c>
      <c r="AI575">
        <v>-1</v>
      </c>
      <c r="AJ575" t="s">
        <v>3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</row>
    <row r="576" spans="1:44" x14ac:dyDescent="0.2">
      <c r="A576">
        <f>ROW(Source!A555)</f>
        <v>555</v>
      </c>
      <c r="B576">
        <v>129763859</v>
      </c>
      <c r="C576">
        <v>129763848</v>
      </c>
      <c r="D576">
        <v>37367082</v>
      </c>
      <c r="E576">
        <v>37345137</v>
      </c>
      <c r="F576">
        <v>1</v>
      </c>
      <c r="G576">
        <v>37345137</v>
      </c>
      <c r="H576">
        <v>3</v>
      </c>
      <c r="I576" t="s">
        <v>1136</v>
      </c>
      <c r="J576" t="s">
        <v>3</v>
      </c>
      <c r="K576" t="s">
        <v>1137</v>
      </c>
      <c r="L576">
        <v>1344</v>
      </c>
      <c r="N576">
        <v>1008</v>
      </c>
      <c r="O576" t="s">
        <v>1138</v>
      </c>
      <c r="P576" t="s">
        <v>1138</v>
      </c>
      <c r="Q576">
        <v>1</v>
      </c>
      <c r="X576">
        <v>39.479999999999997</v>
      </c>
      <c r="Y576">
        <v>1</v>
      </c>
      <c r="Z576">
        <v>0</v>
      </c>
      <c r="AA576">
        <v>0</v>
      </c>
      <c r="AB576">
        <v>0</v>
      </c>
      <c r="AC576">
        <v>0</v>
      </c>
      <c r="AD576">
        <v>1</v>
      </c>
      <c r="AE576">
        <v>0</v>
      </c>
      <c r="AF576" t="s">
        <v>3</v>
      </c>
      <c r="AG576">
        <v>39.479999999999997</v>
      </c>
      <c r="AH576">
        <v>2</v>
      </c>
      <c r="AI576">
        <v>129763853</v>
      </c>
      <c r="AJ576">
        <v>584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</row>
    <row r="577" spans="1:44" x14ac:dyDescent="0.2">
      <c r="A577">
        <f>ROW(Source!A558)</f>
        <v>558</v>
      </c>
      <c r="B577">
        <v>129763868</v>
      </c>
      <c r="C577">
        <v>129763861</v>
      </c>
      <c r="D577">
        <v>37345142</v>
      </c>
      <c r="E577">
        <v>37345137</v>
      </c>
      <c r="F577">
        <v>1</v>
      </c>
      <c r="G577">
        <v>37345137</v>
      </c>
      <c r="H577">
        <v>1</v>
      </c>
      <c r="I577" t="s">
        <v>1096</v>
      </c>
      <c r="J577" t="s">
        <v>3</v>
      </c>
      <c r="K577" t="s">
        <v>1097</v>
      </c>
      <c r="L577">
        <v>1191</v>
      </c>
      <c r="N577">
        <v>1013</v>
      </c>
      <c r="O577" t="s">
        <v>1098</v>
      </c>
      <c r="P577" t="s">
        <v>1098</v>
      </c>
      <c r="Q577">
        <v>1</v>
      </c>
      <c r="X577">
        <v>0.78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1</v>
      </c>
      <c r="AE577">
        <v>1</v>
      </c>
      <c r="AF577" t="s">
        <v>87</v>
      </c>
      <c r="AG577">
        <v>0.89699999999999991</v>
      </c>
      <c r="AH577">
        <v>2</v>
      </c>
      <c r="AI577">
        <v>129763862</v>
      </c>
      <c r="AJ577">
        <v>585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</row>
    <row r="578" spans="1:44" x14ac:dyDescent="0.2">
      <c r="A578">
        <f>ROW(Source!A558)</f>
        <v>558</v>
      </c>
      <c r="B578">
        <v>129763869</v>
      </c>
      <c r="C578">
        <v>129763861</v>
      </c>
      <c r="D578">
        <v>37418063</v>
      </c>
      <c r="E578">
        <v>1</v>
      </c>
      <c r="F578">
        <v>1</v>
      </c>
      <c r="G578">
        <v>37345137</v>
      </c>
      <c r="H578">
        <v>2</v>
      </c>
      <c r="I578" t="s">
        <v>1153</v>
      </c>
      <c r="J578" t="s">
        <v>1154</v>
      </c>
      <c r="K578" t="s">
        <v>1155</v>
      </c>
      <c r="L578">
        <v>1367</v>
      </c>
      <c r="N578">
        <v>1011</v>
      </c>
      <c r="O578" t="s">
        <v>1102</v>
      </c>
      <c r="P578" t="s">
        <v>1102</v>
      </c>
      <c r="Q578">
        <v>1</v>
      </c>
      <c r="X578">
        <v>0.18</v>
      </c>
      <c r="Y578">
        <v>0</v>
      </c>
      <c r="Z578">
        <v>41.62</v>
      </c>
      <c r="AA578">
        <v>13.33</v>
      </c>
      <c r="AB578">
        <v>0</v>
      </c>
      <c r="AC578">
        <v>0</v>
      </c>
      <c r="AD578">
        <v>1</v>
      </c>
      <c r="AE578">
        <v>0</v>
      </c>
      <c r="AF578" t="s">
        <v>86</v>
      </c>
      <c r="AG578">
        <v>0.22499999999999998</v>
      </c>
      <c r="AH578">
        <v>2</v>
      </c>
      <c r="AI578">
        <v>129763863</v>
      </c>
      <c r="AJ578">
        <v>586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</row>
    <row r="579" spans="1:44" x14ac:dyDescent="0.2">
      <c r="A579">
        <f>ROW(Source!A558)</f>
        <v>558</v>
      </c>
      <c r="B579">
        <v>129763870</v>
      </c>
      <c r="C579">
        <v>129763861</v>
      </c>
      <c r="D579">
        <v>37418474</v>
      </c>
      <c r="E579">
        <v>1</v>
      </c>
      <c r="F579">
        <v>1</v>
      </c>
      <c r="G579">
        <v>37345137</v>
      </c>
      <c r="H579">
        <v>2</v>
      </c>
      <c r="I579" t="s">
        <v>1300</v>
      </c>
      <c r="J579" t="s">
        <v>1301</v>
      </c>
      <c r="K579" t="s">
        <v>1302</v>
      </c>
      <c r="L579">
        <v>1367</v>
      </c>
      <c r="N579">
        <v>1011</v>
      </c>
      <c r="O579" t="s">
        <v>1102</v>
      </c>
      <c r="P579" t="s">
        <v>1102</v>
      </c>
      <c r="Q579">
        <v>1</v>
      </c>
      <c r="X579">
        <v>0.36</v>
      </c>
      <c r="Y579">
        <v>0</v>
      </c>
      <c r="Z579">
        <v>0.56000000000000005</v>
      </c>
      <c r="AA579">
        <v>0.09</v>
      </c>
      <c r="AB579">
        <v>0</v>
      </c>
      <c r="AC579">
        <v>0</v>
      </c>
      <c r="AD579">
        <v>1</v>
      </c>
      <c r="AE579">
        <v>0</v>
      </c>
      <c r="AF579" t="s">
        <v>86</v>
      </c>
      <c r="AG579">
        <v>0.44999999999999996</v>
      </c>
      <c r="AH579">
        <v>2</v>
      </c>
      <c r="AI579">
        <v>129763864</v>
      </c>
      <c r="AJ579">
        <v>587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</row>
    <row r="580" spans="1:44" x14ac:dyDescent="0.2">
      <c r="A580">
        <f>ROW(Source!A558)</f>
        <v>558</v>
      </c>
      <c r="B580">
        <v>129763871</v>
      </c>
      <c r="C580">
        <v>129763861</v>
      </c>
      <c r="D580">
        <v>37417781</v>
      </c>
      <c r="E580">
        <v>1</v>
      </c>
      <c r="F580">
        <v>1</v>
      </c>
      <c r="G580">
        <v>37345137</v>
      </c>
      <c r="H580">
        <v>2</v>
      </c>
      <c r="I580" t="s">
        <v>1303</v>
      </c>
      <c r="J580" t="s">
        <v>1304</v>
      </c>
      <c r="K580" t="s">
        <v>1305</v>
      </c>
      <c r="L580">
        <v>1367</v>
      </c>
      <c r="N580">
        <v>1011</v>
      </c>
      <c r="O580" t="s">
        <v>1102</v>
      </c>
      <c r="P580" t="s">
        <v>1102</v>
      </c>
      <c r="Q580">
        <v>1</v>
      </c>
      <c r="X580">
        <v>7.0000000000000007E-2</v>
      </c>
      <c r="Y580">
        <v>0</v>
      </c>
      <c r="Z580">
        <v>106.74</v>
      </c>
      <c r="AA580">
        <v>19.2</v>
      </c>
      <c r="AB580">
        <v>0</v>
      </c>
      <c r="AC580">
        <v>0</v>
      </c>
      <c r="AD580">
        <v>1</v>
      </c>
      <c r="AE580">
        <v>0</v>
      </c>
      <c r="AF580" t="s">
        <v>86</v>
      </c>
      <c r="AG580">
        <v>8.7500000000000008E-2</v>
      </c>
      <c r="AH580">
        <v>2</v>
      </c>
      <c r="AI580">
        <v>129763865</v>
      </c>
      <c r="AJ580">
        <v>588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</row>
    <row r="581" spans="1:44" x14ac:dyDescent="0.2">
      <c r="A581">
        <f>ROW(Source!A558)</f>
        <v>558</v>
      </c>
      <c r="B581">
        <v>129763872</v>
      </c>
      <c r="C581">
        <v>129763861</v>
      </c>
      <c r="D581">
        <v>37393552</v>
      </c>
      <c r="E581">
        <v>1</v>
      </c>
      <c r="F581">
        <v>1</v>
      </c>
      <c r="G581">
        <v>37345137</v>
      </c>
      <c r="H581">
        <v>3</v>
      </c>
      <c r="I581" t="s">
        <v>348</v>
      </c>
      <c r="J581" t="s">
        <v>350</v>
      </c>
      <c r="K581" t="s">
        <v>349</v>
      </c>
      <c r="L581">
        <v>1339</v>
      </c>
      <c r="N581">
        <v>1007</v>
      </c>
      <c r="O581" t="s">
        <v>94</v>
      </c>
      <c r="P581" t="s">
        <v>94</v>
      </c>
      <c r="Q581">
        <v>1</v>
      </c>
      <c r="X581">
        <v>0.15</v>
      </c>
      <c r="Y581">
        <v>7.07</v>
      </c>
      <c r="Z581">
        <v>0</v>
      </c>
      <c r="AA581">
        <v>0</v>
      </c>
      <c r="AB581">
        <v>0</v>
      </c>
      <c r="AC581">
        <v>0</v>
      </c>
      <c r="AD581">
        <v>1</v>
      </c>
      <c r="AE581">
        <v>0</v>
      </c>
      <c r="AF581" t="s">
        <v>3</v>
      </c>
      <c r="AG581">
        <v>0.15</v>
      </c>
      <c r="AH581">
        <v>2</v>
      </c>
      <c r="AI581">
        <v>129763866</v>
      </c>
      <c r="AJ581">
        <v>589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</row>
    <row r="582" spans="1:44" x14ac:dyDescent="0.2">
      <c r="A582">
        <f>ROW(Source!A558)</f>
        <v>558</v>
      </c>
      <c r="B582">
        <v>129763873</v>
      </c>
      <c r="C582">
        <v>129763861</v>
      </c>
      <c r="D582">
        <v>37358338</v>
      </c>
      <c r="E582">
        <v>37345137</v>
      </c>
      <c r="F582">
        <v>1</v>
      </c>
      <c r="G582">
        <v>37345137</v>
      </c>
      <c r="H582">
        <v>3</v>
      </c>
      <c r="I582" t="s">
        <v>1416</v>
      </c>
      <c r="J582" t="s">
        <v>3</v>
      </c>
      <c r="K582" t="s">
        <v>1489</v>
      </c>
      <c r="L582">
        <v>1339</v>
      </c>
      <c r="N582">
        <v>1007</v>
      </c>
      <c r="O582" t="s">
        <v>94</v>
      </c>
      <c r="P582" t="s">
        <v>94</v>
      </c>
      <c r="Q582">
        <v>1</v>
      </c>
      <c r="X582">
        <v>1.1000000000000001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 t="s">
        <v>3</v>
      </c>
      <c r="AG582">
        <v>1.1000000000000001</v>
      </c>
      <c r="AH582">
        <v>3</v>
      </c>
      <c r="AI582">
        <v>-1</v>
      </c>
      <c r="AJ582" t="s">
        <v>3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</row>
    <row r="583" spans="1:44" x14ac:dyDescent="0.2">
      <c r="A583">
        <f>ROW(Source!A559)</f>
        <v>559</v>
      </c>
      <c r="B583">
        <v>129763868</v>
      </c>
      <c r="C583">
        <v>129763861</v>
      </c>
      <c r="D583">
        <v>37345142</v>
      </c>
      <c r="E583">
        <v>37345137</v>
      </c>
      <c r="F583">
        <v>1</v>
      </c>
      <c r="G583">
        <v>37345137</v>
      </c>
      <c r="H583">
        <v>1</v>
      </c>
      <c r="I583" t="s">
        <v>1096</v>
      </c>
      <c r="J583" t="s">
        <v>3</v>
      </c>
      <c r="K583" t="s">
        <v>1097</v>
      </c>
      <c r="L583">
        <v>1191</v>
      </c>
      <c r="N583">
        <v>1013</v>
      </c>
      <c r="O583" t="s">
        <v>1098</v>
      </c>
      <c r="P583" t="s">
        <v>1098</v>
      </c>
      <c r="Q583">
        <v>1</v>
      </c>
      <c r="X583">
        <v>0.78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1</v>
      </c>
      <c r="AE583">
        <v>1</v>
      </c>
      <c r="AF583" t="s">
        <v>87</v>
      </c>
      <c r="AG583">
        <v>0.89699999999999991</v>
      </c>
      <c r="AH583">
        <v>2</v>
      </c>
      <c r="AI583">
        <v>129763862</v>
      </c>
      <c r="AJ583">
        <v>591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</row>
    <row r="584" spans="1:44" x14ac:dyDescent="0.2">
      <c r="A584">
        <f>ROW(Source!A559)</f>
        <v>559</v>
      </c>
      <c r="B584">
        <v>129763869</v>
      </c>
      <c r="C584">
        <v>129763861</v>
      </c>
      <c r="D584">
        <v>37418063</v>
      </c>
      <c r="E584">
        <v>1</v>
      </c>
      <c r="F584">
        <v>1</v>
      </c>
      <c r="G584">
        <v>37345137</v>
      </c>
      <c r="H584">
        <v>2</v>
      </c>
      <c r="I584" t="s">
        <v>1153</v>
      </c>
      <c r="J584" t="s">
        <v>1154</v>
      </c>
      <c r="K584" t="s">
        <v>1155</v>
      </c>
      <c r="L584">
        <v>1367</v>
      </c>
      <c r="N584">
        <v>1011</v>
      </c>
      <c r="O584" t="s">
        <v>1102</v>
      </c>
      <c r="P584" t="s">
        <v>1102</v>
      </c>
      <c r="Q584">
        <v>1</v>
      </c>
      <c r="X584">
        <v>0.18</v>
      </c>
      <c r="Y584">
        <v>0</v>
      </c>
      <c r="Z584">
        <v>41.62</v>
      </c>
      <c r="AA584">
        <v>13.33</v>
      </c>
      <c r="AB584">
        <v>0</v>
      </c>
      <c r="AC584">
        <v>0</v>
      </c>
      <c r="AD584">
        <v>1</v>
      </c>
      <c r="AE584">
        <v>0</v>
      </c>
      <c r="AF584" t="s">
        <v>86</v>
      </c>
      <c r="AG584">
        <v>0.22499999999999998</v>
      </c>
      <c r="AH584">
        <v>2</v>
      </c>
      <c r="AI584">
        <v>129763863</v>
      </c>
      <c r="AJ584">
        <v>592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</row>
    <row r="585" spans="1:44" x14ac:dyDescent="0.2">
      <c r="A585">
        <f>ROW(Source!A559)</f>
        <v>559</v>
      </c>
      <c r="B585">
        <v>129763870</v>
      </c>
      <c r="C585">
        <v>129763861</v>
      </c>
      <c r="D585">
        <v>37418474</v>
      </c>
      <c r="E585">
        <v>1</v>
      </c>
      <c r="F585">
        <v>1</v>
      </c>
      <c r="G585">
        <v>37345137</v>
      </c>
      <c r="H585">
        <v>2</v>
      </c>
      <c r="I585" t="s">
        <v>1300</v>
      </c>
      <c r="J585" t="s">
        <v>1301</v>
      </c>
      <c r="K585" t="s">
        <v>1302</v>
      </c>
      <c r="L585">
        <v>1367</v>
      </c>
      <c r="N585">
        <v>1011</v>
      </c>
      <c r="O585" t="s">
        <v>1102</v>
      </c>
      <c r="P585" t="s">
        <v>1102</v>
      </c>
      <c r="Q585">
        <v>1</v>
      </c>
      <c r="X585">
        <v>0.36</v>
      </c>
      <c r="Y585">
        <v>0</v>
      </c>
      <c r="Z585">
        <v>0.56000000000000005</v>
      </c>
      <c r="AA585">
        <v>0.09</v>
      </c>
      <c r="AB585">
        <v>0</v>
      </c>
      <c r="AC585">
        <v>0</v>
      </c>
      <c r="AD585">
        <v>1</v>
      </c>
      <c r="AE585">
        <v>0</v>
      </c>
      <c r="AF585" t="s">
        <v>86</v>
      </c>
      <c r="AG585">
        <v>0.44999999999999996</v>
      </c>
      <c r="AH585">
        <v>2</v>
      </c>
      <c r="AI585">
        <v>129763864</v>
      </c>
      <c r="AJ585">
        <v>593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</row>
    <row r="586" spans="1:44" x14ac:dyDescent="0.2">
      <c r="A586">
        <f>ROW(Source!A559)</f>
        <v>559</v>
      </c>
      <c r="B586">
        <v>129763871</v>
      </c>
      <c r="C586">
        <v>129763861</v>
      </c>
      <c r="D586">
        <v>37417781</v>
      </c>
      <c r="E586">
        <v>1</v>
      </c>
      <c r="F586">
        <v>1</v>
      </c>
      <c r="G586">
        <v>37345137</v>
      </c>
      <c r="H586">
        <v>2</v>
      </c>
      <c r="I586" t="s">
        <v>1303</v>
      </c>
      <c r="J586" t="s">
        <v>1304</v>
      </c>
      <c r="K586" t="s">
        <v>1305</v>
      </c>
      <c r="L586">
        <v>1367</v>
      </c>
      <c r="N586">
        <v>1011</v>
      </c>
      <c r="O586" t="s">
        <v>1102</v>
      </c>
      <c r="P586" t="s">
        <v>1102</v>
      </c>
      <c r="Q586">
        <v>1</v>
      </c>
      <c r="X586">
        <v>7.0000000000000007E-2</v>
      </c>
      <c r="Y586">
        <v>0</v>
      </c>
      <c r="Z586">
        <v>106.74</v>
      </c>
      <c r="AA586">
        <v>19.2</v>
      </c>
      <c r="AB586">
        <v>0</v>
      </c>
      <c r="AC586">
        <v>0</v>
      </c>
      <c r="AD586">
        <v>1</v>
      </c>
      <c r="AE586">
        <v>0</v>
      </c>
      <c r="AF586" t="s">
        <v>86</v>
      </c>
      <c r="AG586">
        <v>8.7500000000000008E-2</v>
      </c>
      <c r="AH586">
        <v>2</v>
      </c>
      <c r="AI586">
        <v>129763865</v>
      </c>
      <c r="AJ586">
        <v>594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</row>
    <row r="587" spans="1:44" x14ac:dyDescent="0.2">
      <c r="A587">
        <f>ROW(Source!A559)</f>
        <v>559</v>
      </c>
      <c r="B587">
        <v>129763872</v>
      </c>
      <c r="C587">
        <v>129763861</v>
      </c>
      <c r="D587">
        <v>37393552</v>
      </c>
      <c r="E587">
        <v>1</v>
      </c>
      <c r="F587">
        <v>1</v>
      </c>
      <c r="G587">
        <v>37345137</v>
      </c>
      <c r="H587">
        <v>3</v>
      </c>
      <c r="I587" t="s">
        <v>348</v>
      </c>
      <c r="J587" t="s">
        <v>350</v>
      </c>
      <c r="K587" t="s">
        <v>349</v>
      </c>
      <c r="L587">
        <v>1339</v>
      </c>
      <c r="N587">
        <v>1007</v>
      </c>
      <c r="O587" t="s">
        <v>94</v>
      </c>
      <c r="P587" t="s">
        <v>94</v>
      </c>
      <c r="Q587">
        <v>1</v>
      </c>
      <c r="X587">
        <v>0.15</v>
      </c>
      <c r="Y587">
        <v>7.07</v>
      </c>
      <c r="Z587">
        <v>0</v>
      </c>
      <c r="AA587">
        <v>0</v>
      </c>
      <c r="AB587">
        <v>0</v>
      </c>
      <c r="AC587">
        <v>0</v>
      </c>
      <c r="AD587">
        <v>1</v>
      </c>
      <c r="AE587">
        <v>0</v>
      </c>
      <c r="AF587" t="s">
        <v>3</v>
      </c>
      <c r="AG587">
        <v>0.15</v>
      </c>
      <c r="AH587">
        <v>2</v>
      </c>
      <c r="AI587">
        <v>129763866</v>
      </c>
      <c r="AJ587">
        <v>595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</row>
    <row r="588" spans="1:44" x14ac:dyDescent="0.2">
      <c r="A588">
        <f>ROW(Source!A559)</f>
        <v>559</v>
      </c>
      <c r="B588">
        <v>129763873</v>
      </c>
      <c r="C588">
        <v>129763861</v>
      </c>
      <c r="D588">
        <v>37358338</v>
      </c>
      <c r="E588">
        <v>37345137</v>
      </c>
      <c r="F588">
        <v>1</v>
      </c>
      <c r="G588">
        <v>37345137</v>
      </c>
      <c r="H588">
        <v>3</v>
      </c>
      <c r="I588" t="s">
        <v>1416</v>
      </c>
      <c r="J588" t="s">
        <v>3</v>
      </c>
      <c r="K588" t="s">
        <v>1489</v>
      </c>
      <c r="L588">
        <v>1339</v>
      </c>
      <c r="N588">
        <v>1007</v>
      </c>
      <c r="O588" t="s">
        <v>94</v>
      </c>
      <c r="P588" t="s">
        <v>94</v>
      </c>
      <c r="Q588">
        <v>1</v>
      </c>
      <c r="X588">
        <v>1.1000000000000001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 t="s">
        <v>3</v>
      </c>
      <c r="AG588">
        <v>1.1000000000000001</v>
      </c>
      <c r="AH588">
        <v>3</v>
      </c>
      <c r="AI588">
        <v>-1</v>
      </c>
      <c r="AJ588" t="s">
        <v>3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</row>
    <row r="589" spans="1:44" x14ac:dyDescent="0.2">
      <c r="A589">
        <f>ROW(Source!A562)</f>
        <v>562</v>
      </c>
      <c r="B589">
        <v>129763882</v>
      </c>
      <c r="C589">
        <v>129763875</v>
      </c>
      <c r="D589">
        <v>37345142</v>
      </c>
      <c r="E589">
        <v>37345137</v>
      </c>
      <c r="F589">
        <v>1</v>
      </c>
      <c r="G589">
        <v>37345137</v>
      </c>
      <c r="H589">
        <v>1</v>
      </c>
      <c r="I589" t="s">
        <v>1096</v>
      </c>
      <c r="J589" t="s">
        <v>3</v>
      </c>
      <c r="K589" t="s">
        <v>1097</v>
      </c>
      <c r="L589">
        <v>1191</v>
      </c>
      <c r="N589">
        <v>1013</v>
      </c>
      <c r="O589" t="s">
        <v>1098</v>
      </c>
      <c r="P589" t="s">
        <v>1098</v>
      </c>
      <c r="Q589">
        <v>1</v>
      </c>
      <c r="X589">
        <v>0.85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1</v>
      </c>
      <c r="AE589">
        <v>1</v>
      </c>
      <c r="AF589" t="s">
        <v>87</v>
      </c>
      <c r="AG589">
        <v>0.97749999999999992</v>
      </c>
      <c r="AH589">
        <v>2</v>
      </c>
      <c r="AI589">
        <v>129763876</v>
      </c>
      <c r="AJ589">
        <v>597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</row>
    <row r="590" spans="1:44" x14ac:dyDescent="0.2">
      <c r="A590">
        <f>ROW(Source!A562)</f>
        <v>562</v>
      </c>
      <c r="B590">
        <v>129763883</v>
      </c>
      <c r="C590">
        <v>129763875</v>
      </c>
      <c r="D590">
        <v>37418063</v>
      </c>
      <c r="E590">
        <v>1</v>
      </c>
      <c r="F590">
        <v>1</v>
      </c>
      <c r="G590">
        <v>37345137</v>
      </c>
      <c r="H590">
        <v>2</v>
      </c>
      <c r="I590" t="s">
        <v>1153</v>
      </c>
      <c r="J590" t="s">
        <v>1154</v>
      </c>
      <c r="K590" t="s">
        <v>1155</v>
      </c>
      <c r="L590">
        <v>1367</v>
      </c>
      <c r="N590">
        <v>1011</v>
      </c>
      <c r="O590" t="s">
        <v>1102</v>
      </c>
      <c r="P590" t="s">
        <v>1102</v>
      </c>
      <c r="Q590">
        <v>1</v>
      </c>
      <c r="X590">
        <v>0.2</v>
      </c>
      <c r="Y590">
        <v>0</v>
      </c>
      <c r="Z590">
        <v>41.62</v>
      </c>
      <c r="AA590">
        <v>13.33</v>
      </c>
      <c r="AB590">
        <v>0</v>
      </c>
      <c r="AC590">
        <v>0</v>
      </c>
      <c r="AD590">
        <v>1</v>
      </c>
      <c r="AE590">
        <v>0</v>
      </c>
      <c r="AF590" t="s">
        <v>86</v>
      </c>
      <c r="AG590">
        <v>0.25</v>
      </c>
      <c r="AH590">
        <v>2</v>
      </c>
      <c r="AI590">
        <v>129763877</v>
      </c>
      <c r="AJ590">
        <v>598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</row>
    <row r="591" spans="1:44" x14ac:dyDescent="0.2">
      <c r="A591">
        <f>ROW(Source!A562)</f>
        <v>562</v>
      </c>
      <c r="B591">
        <v>129763884</v>
      </c>
      <c r="C591">
        <v>129763875</v>
      </c>
      <c r="D591">
        <v>37418474</v>
      </c>
      <c r="E591">
        <v>1</v>
      </c>
      <c r="F591">
        <v>1</v>
      </c>
      <c r="G591">
        <v>37345137</v>
      </c>
      <c r="H591">
        <v>2</v>
      </c>
      <c r="I591" t="s">
        <v>1300</v>
      </c>
      <c r="J591" t="s">
        <v>1301</v>
      </c>
      <c r="K591" t="s">
        <v>1302</v>
      </c>
      <c r="L591">
        <v>1367</v>
      </c>
      <c r="N591">
        <v>1011</v>
      </c>
      <c r="O591" t="s">
        <v>1102</v>
      </c>
      <c r="P591" t="s">
        <v>1102</v>
      </c>
      <c r="Q591">
        <v>1</v>
      </c>
      <c r="X591">
        <v>0.4</v>
      </c>
      <c r="Y591">
        <v>0</v>
      </c>
      <c r="Z591">
        <v>0.56000000000000005</v>
      </c>
      <c r="AA591">
        <v>0.09</v>
      </c>
      <c r="AB591">
        <v>0</v>
      </c>
      <c r="AC591">
        <v>0</v>
      </c>
      <c r="AD591">
        <v>1</v>
      </c>
      <c r="AE591">
        <v>0</v>
      </c>
      <c r="AF591" t="s">
        <v>86</v>
      </c>
      <c r="AG591">
        <v>0.5</v>
      </c>
      <c r="AH591">
        <v>2</v>
      </c>
      <c r="AI591">
        <v>129763878</v>
      </c>
      <c r="AJ591">
        <v>599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</row>
    <row r="592" spans="1:44" x14ac:dyDescent="0.2">
      <c r="A592">
        <f>ROW(Source!A562)</f>
        <v>562</v>
      </c>
      <c r="B592">
        <v>129763885</v>
      </c>
      <c r="C592">
        <v>129763875</v>
      </c>
      <c r="D592">
        <v>37417781</v>
      </c>
      <c r="E592">
        <v>1</v>
      </c>
      <c r="F592">
        <v>1</v>
      </c>
      <c r="G592">
        <v>37345137</v>
      </c>
      <c r="H592">
        <v>2</v>
      </c>
      <c r="I592" t="s">
        <v>1303</v>
      </c>
      <c r="J592" t="s">
        <v>1304</v>
      </c>
      <c r="K592" t="s">
        <v>1305</v>
      </c>
      <c r="L592">
        <v>1367</v>
      </c>
      <c r="N592">
        <v>1011</v>
      </c>
      <c r="O592" t="s">
        <v>1102</v>
      </c>
      <c r="P592" t="s">
        <v>1102</v>
      </c>
      <c r="Q592">
        <v>1</v>
      </c>
      <c r="X592">
        <v>7.0000000000000007E-2</v>
      </c>
      <c r="Y592">
        <v>0</v>
      </c>
      <c r="Z592">
        <v>106.74</v>
      </c>
      <c r="AA592">
        <v>19.2</v>
      </c>
      <c r="AB592">
        <v>0</v>
      </c>
      <c r="AC592">
        <v>0</v>
      </c>
      <c r="AD592">
        <v>1</v>
      </c>
      <c r="AE592">
        <v>0</v>
      </c>
      <c r="AF592" t="s">
        <v>86</v>
      </c>
      <c r="AG592">
        <v>8.7500000000000008E-2</v>
      </c>
      <c r="AH592">
        <v>2</v>
      </c>
      <c r="AI592">
        <v>129763879</v>
      </c>
      <c r="AJ592">
        <v>600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</row>
    <row r="593" spans="1:44" x14ac:dyDescent="0.2">
      <c r="A593">
        <f>ROW(Source!A562)</f>
        <v>562</v>
      </c>
      <c r="B593">
        <v>129763886</v>
      </c>
      <c r="C593">
        <v>129763875</v>
      </c>
      <c r="D593">
        <v>37393552</v>
      </c>
      <c r="E593">
        <v>1</v>
      </c>
      <c r="F593">
        <v>1</v>
      </c>
      <c r="G593">
        <v>37345137</v>
      </c>
      <c r="H593">
        <v>3</v>
      </c>
      <c r="I593" t="s">
        <v>348</v>
      </c>
      <c r="J593" t="s">
        <v>350</v>
      </c>
      <c r="K593" t="s">
        <v>349</v>
      </c>
      <c r="L593">
        <v>1339</v>
      </c>
      <c r="N593">
        <v>1007</v>
      </c>
      <c r="O593" t="s">
        <v>94</v>
      </c>
      <c r="P593" t="s">
        <v>94</v>
      </c>
      <c r="Q593">
        <v>1</v>
      </c>
      <c r="X593">
        <v>0.15</v>
      </c>
      <c r="Y593">
        <v>7.07</v>
      </c>
      <c r="Z593">
        <v>0</v>
      </c>
      <c r="AA593">
        <v>0</v>
      </c>
      <c r="AB593">
        <v>0</v>
      </c>
      <c r="AC593">
        <v>0</v>
      </c>
      <c r="AD593">
        <v>1</v>
      </c>
      <c r="AE593">
        <v>0</v>
      </c>
      <c r="AF593" t="s">
        <v>3</v>
      </c>
      <c r="AG593">
        <v>0.15</v>
      </c>
      <c r="AH593">
        <v>2</v>
      </c>
      <c r="AI593">
        <v>129763880</v>
      </c>
      <c r="AJ593">
        <v>601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</row>
    <row r="594" spans="1:44" x14ac:dyDescent="0.2">
      <c r="A594">
        <f>ROW(Source!A562)</f>
        <v>562</v>
      </c>
      <c r="B594">
        <v>129763887</v>
      </c>
      <c r="C594">
        <v>129763875</v>
      </c>
      <c r="D594">
        <v>37358347</v>
      </c>
      <c r="E594">
        <v>37345137</v>
      </c>
      <c r="F594">
        <v>1</v>
      </c>
      <c r="G594">
        <v>37345137</v>
      </c>
      <c r="H594">
        <v>3</v>
      </c>
      <c r="I594" t="s">
        <v>1490</v>
      </c>
      <c r="J594" t="s">
        <v>3</v>
      </c>
      <c r="K594" t="s">
        <v>1491</v>
      </c>
      <c r="L594">
        <v>1339</v>
      </c>
      <c r="N594">
        <v>1007</v>
      </c>
      <c r="O594" t="s">
        <v>94</v>
      </c>
      <c r="P594" t="s">
        <v>94</v>
      </c>
      <c r="Q594">
        <v>1</v>
      </c>
      <c r="X594">
        <v>1.1499999999999999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 t="s">
        <v>3</v>
      </c>
      <c r="AG594">
        <v>1.1499999999999999</v>
      </c>
      <c r="AH594">
        <v>3</v>
      </c>
      <c r="AI594">
        <v>-1</v>
      </c>
      <c r="AJ594" t="s">
        <v>3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</row>
    <row r="595" spans="1:44" x14ac:dyDescent="0.2">
      <c r="A595">
        <f>ROW(Source!A563)</f>
        <v>563</v>
      </c>
      <c r="B595">
        <v>129763882</v>
      </c>
      <c r="C595">
        <v>129763875</v>
      </c>
      <c r="D595">
        <v>37345142</v>
      </c>
      <c r="E595">
        <v>37345137</v>
      </c>
      <c r="F595">
        <v>1</v>
      </c>
      <c r="G595">
        <v>37345137</v>
      </c>
      <c r="H595">
        <v>1</v>
      </c>
      <c r="I595" t="s">
        <v>1096</v>
      </c>
      <c r="J595" t="s">
        <v>3</v>
      </c>
      <c r="K595" t="s">
        <v>1097</v>
      </c>
      <c r="L595">
        <v>1191</v>
      </c>
      <c r="N595">
        <v>1013</v>
      </c>
      <c r="O595" t="s">
        <v>1098</v>
      </c>
      <c r="P595" t="s">
        <v>1098</v>
      </c>
      <c r="Q595">
        <v>1</v>
      </c>
      <c r="X595">
        <v>0.85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1</v>
      </c>
      <c r="AE595">
        <v>1</v>
      </c>
      <c r="AF595" t="s">
        <v>87</v>
      </c>
      <c r="AG595">
        <v>0.97749999999999992</v>
      </c>
      <c r="AH595">
        <v>2</v>
      </c>
      <c r="AI595">
        <v>129763876</v>
      </c>
      <c r="AJ595">
        <v>603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</row>
    <row r="596" spans="1:44" x14ac:dyDescent="0.2">
      <c r="A596">
        <f>ROW(Source!A563)</f>
        <v>563</v>
      </c>
      <c r="B596">
        <v>129763883</v>
      </c>
      <c r="C596">
        <v>129763875</v>
      </c>
      <c r="D596">
        <v>37418063</v>
      </c>
      <c r="E596">
        <v>1</v>
      </c>
      <c r="F596">
        <v>1</v>
      </c>
      <c r="G596">
        <v>37345137</v>
      </c>
      <c r="H596">
        <v>2</v>
      </c>
      <c r="I596" t="s">
        <v>1153</v>
      </c>
      <c r="J596" t="s">
        <v>1154</v>
      </c>
      <c r="K596" t="s">
        <v>1155</v>
      </c>
      <c r="L596">
        <v>1367</v>
      </c>
      <c r="N596">
        <v>1011</v>
      </c>
      <c r="O596" t="s">
        <v>1102</v>
      </c>
      <c r="P596" t="s">
        <v>1102</v>
      </c>
      <c r="Q596">
        <v>1</v>
      </c>
      <c r="X596">
        <v>0.2</v>
      </c>
      <c r="Y596">
        <v>0</v>
      </c>
      <c r="Z596">
        <v>41.62</v>
      </c>
      <c r="AA596">
        <v>13.33</v>
      </c>
      <c r="AB596">
        <v>0</v>
      </c>
      <c r="AC596">
        <v>0</v>
      </c>
      <c r="AD596">
        <v>1</v>
      </c>
      <c r="AE596">
        <v>0</v>
      </c>
      <c r="AF596" t="s">
        <v>86</v>
      </c>
      <c r="AG596">
        <v>0.25</v>
      </c>
      <c r="AH596">
        <v>2</v>
      </c>
      <c r="AI596">
        <v>129763877</v>
      </c>
      <c r="AJ596">
        <v>604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</row>
    <row r="597" spans="1:44" x14ac:dyDescent="0.2">
      <c r="A597">
        <f>ROW(Source!A563)</f>
        <v>563</v>
      </c>
      <c r="B597">
        <v>129763884</v>
      </c>
      <c r="C597">
        <v>129763875</v>
      </c>
      <c r="D597">
        <v>37418474</v>
      </c>
      <c r="E597">
        <v>1</v>
      </c>
      <c r="F597">
        <v>1</v>
      </c>
      <c r="G597">
        <v>37345137</v>
      </c>
      <c r="H597">
        <v>2</v>
      </c>
      <c r="I597" t="s">
        <v>1300</v>
      </c>
      <c r="J597" t="s">
        <v>1301</v>
      </c>
      <c r="K597" t="s">
        <v>1302</v>
      </c>
      <c r="L597">
        <v>1367</v>
      </c>
      <c r="N597">
        <v>1011</v>
      </c>
      <c r="O597" t="s">
        <v>1102</v>
      </c>
      <c r="P597" t="s">
        <v>1102</v>
      </c>
      <c r="Q597">
        <v>1</v>
      </c>
      <c r="X597">
        <v>0.4</v>
      </c>
      <c r="Y597">
        <v>0</v>
      </c>
      <c r="Z597">
        <v>0.56000000000000005</v>
      </c>
      <c r="AA597">
        <v>0.09</v>
      </c>
      <c r="AB597">
        <v>0</v>
      </c>
      <c r="AC597">
        <v>0</v>
      </c>
      <c r="AD597">
        <v>1</v>
      </c>
      <c r="AE597">
        <v>0</v>
      </c>
      <c r="AF597" t="s">
        <v>86</v>
      </c>
      <c r="AG597">
        <v>0.5</v>
      </c>
      <c r="AH597">
        <v>2</v>
      </c>
      <c r="AI597">
        <v>129763878</v>
      </c>
      <c r="AJ597">
        <v>605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</row>
    <row r="598" spans="1:44" x14ac:dyDescent="0.2">
      <c r="A598">
        <f>ROW(Source!A563)</f>
        <v>563</v>
      </c>
      <c r="B598">
        <v>129763885</v>
      </c>
      <c r="C598">
        <v>129763875</v>
      </c>
      <c r="D598">
        <v>37417781</v>
      </c>
      <c r="E598">
        <v>1</v>
      </c>
      <c r="F598">
        <v>1</v>
      </c>
      <c r="G598">
        <v>37345137</v>
      </c>
      <c r="H598">
        <v>2</v>
      </c>
      <c r="I598" t="s">
        <v>1303</v>
      </c>
      <c r="J598" t="s">
        <v>1304</v>
      </c>
      <c r="K598" t="s">
        <v>1305</v>
      </c>
      <c r="L598">
        <v>1367</v>
      </c>
      <c r="N598">
        <v>1011</v>
      </c>
      <c r="O598" t="s">
        <v>1102</v>
      </c>
      <c r="P598" t="s">
        <v>1102</v>
      </c>
      <c r="Q598">
        <v>1</v>
      </c>
      <c r="X598">
        <v>7.0000000000000007E-2</v>
      </c>
      <c r="Y598">
        <v>0</v>
      </c>
      <c r="Z598">
        <v>106.74</v>
      </c>
      <c r="AA598">
        <v>19.2</v>
      </c>
      <c r="AB598">
        <v>0</v>
      </c>
      <c r="AC598">
        <v>0</v>
      </c>
      <c r="AD598">
        <v>1</v>
      </c>
      <c r="AE598">
        <v>0</v>
      </c>
      <c r="AF598" t="s">
        <v>86</v>
      </c>
      <c r="AG598">
        <v>8.7500000000000008E-2</v>
      </c>
      <c r="AH598">
        <v>2</v>
      </c>
      <c r="AI598">
        <v>129763879</v>
      </c>
      <c r="AJ598">
        <v>606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</row>
    <row r="599" spans="1:44" x14ac:dyDescent="0.2">
      <c r="A599">
        <f>ROW(Source!A563)</f>
        <v>563</v>
      </c>
      <c r="B599">
        <v>129763886</v>
      </c>
      <c r="C599">
        <v>129763875</v>
      </c>
      <c r="D599">
        <v>37393552</v>
      </c>
      <c r="E599">
        <v>1</v>
      </c>
      <c r="F599">
        <v>1</v>
      </c>
      <c r="G599">
        <v>37345137</v>
      </c>
      <c r="H599">
        <v>3</v>
      </c>
      <c r="I599" t="s">
        <v>348</v>
      </c>
      <c r="J599" t="s">
        <v>350</v>
      </c>
      <c r="K599" t="s">
        <v>349</v>
      </c>
      <c r="L599">
        <v>1339</v>
      </c>
      <c r="N599">
        <v>1007</v>
      </c>
      <c r="O599" t="s">
        <v>94</v>
      </c>
      <c r="P599" t="s">
        <v>94</v>
      </c>
      <c r="Q599">
        <v>1</v>
      </c>
      <c r="X599">
        <v>0.15</v>
      </c>
      <c r="Y599">
        <v>7.07</v>
      </c>
      <c r="Z599">
        <v>0</v>
      </c>
      <c r="AA599">
        <v>0</v>
      </c>
      <c r="AB599">
        <v>0</v>
      </c>
      <c r="AC599">
        <v>0</v>
      </c>
      <c r="AD599">
        <v>1</v>
      </c>
      <c r="AE599">
        <v>0</v>
      </c>
      <c r="AF599" t="s">
        <v>3</v>
      </c>
      <c r="AG599">
        <v>0.15</v>
      </c>
      <c r="AH599">
        <v>2</v>
      </c>
      <c r="AI599">
        <v>129763880</v>
      </c>
      <c r="AJ599">
        <v>607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</row>
    <row r="600" spans="1:44" x14ac:dyDescent="0.2">
      <c r="A600">
        <f>ROW(Source!A563)</f>
        <v>563</v>
      </c>
      <c r="B600">
        <v>129763887</v>
      </c>
      <c r="C600">
        <v>129763875</v>
      </c>
      <c r="D600">
        <v>37358347</v>
      </c>
      <c r="E600">
        <v>37345137</v>
      </c>
      <c r="F600">
        <v>1</v>
      </c>
      <c r="G600">
        <v>37345137</v>
      </c>
      <c r="H600">
        <v>3</v>
      </c>
      <c r="I600" t="s">
        <v>1490</v>
      </c>
      <c r="J600" t="s">
        <v>3</v>
      </c>
      <c r="K600" t="s">
        <v>1491</v>
      </c>
      <c r="L600">
        <v>1339</v>
      </c>
      <c r="N600">
        <v>1007</v>
      </c>
      <c r="O600" t="s">
        <v>94</v>
      </c>
      <c r="P600" t="s">
        <v>94</v>
      </c>
      <c r="Q600">
        <v>1</v>
      </c>
      <c r="X600">
        <v>1.1499999999999999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 t="s">
        <v>3</v>
      </c>
      <c r="AG600">
        <v>1.1499999999999999</v>
      </c>
      <c r="AH600">
        <v>3</v>
      </c>
      <c r="AI600">
        <v>-1</v>
      </c>
      <c r="AJ600" t="s">
        <v>3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</row>
    <row r="601" spans="1:44" x14ac:dyDescent="0.2">
      <c r="A601">
        <f>ROW(Source!A566)</f>
        <v>566</v>
      </c>
      <c r="B601">
        <v>129763906</v>
      </c>
      <c r="C601">
        <v>129763889</v>
      </c>
      <c r="D601">
        <v>37345142</v>
      </c>
      <c r="E601">
        <v>37345137</v>
      </c>
      <c r="F601">
        <v>1</v>
      </c>
      <c r="G601">
        <v>37345137</v>
      </c>
      <c r="H601">
        <v>1</v>
      </c>
      <c r="I601" t="s">
        <v>1096</v>
      </c>
      <c r="J601" t="s">
        <v>3</v>
      </c>
      <c r="K601" t="s">
        <v>1097</v>
      </c>
      <c r="L601">
        <v>1191</v>
      </c>
      <c r="N601">
        <v>1013</v>
      </c>
      <c r="O601" t="s">
        <v>1098</v>
      </c>
      <c r="P601" t="s">
        <v>1098</v>
      </c>
      <c r="Q601">
        <v>1</v>
      </c>
      <c r="X601">
        <v>179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1</v>
      </c>
      <c r="AE601">
        <v>1</v>
      </c>
      <c r="AF601" t="s">
        <v>87</v>
      </c>
      <c r="AG601">
        <v>205.85</v>
      </c>
      <c r="AH601">
        <v>2</v>
      </c>
      <c r="AI601">
        <v>129763890</v>
      </c>
      <c r="AJ601">
        <v>609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</row>
    <row r="602" spans="1:44" x14ac:dyDescent="0.2">
      <c r="A602">
        <f>ROW(Source!A566)</f>
        <v>566</v>
      </c>
      <c r="B602">
        <v>129763907</v>
      </c>
      <c r="C602">
        <v>129763889</v>
      </c>
      <c r="D602">
        <v>37418162</v>
      </c>
      <c r="E602">
        <v>1</v>
      </c>
      <c r="F602">
        <v>1</v>
      </c>
      <c r="G602">
        <v>37345137</v>
      </c>
      <c r="H602">
        <v>2</v>
      </c>
      <c r="I602" t="s">
        <v>1174</v>
      </c>
      <c r="J602" t="s">
        <v>1175</v>
      </c>
      <c r="K602" t="s">
        <v>1176</v>
      </c>
      <c r="L602">
        <v>1367</v>
      </c>
      <c r="N602">
        <v>1011</v>
      </c>
      <c r="O602" t="s">
        <v>1102</v>
      </c>
      <c r="P602" t="s">
        <v>1102</v>
      </c>
      <c r="Q602">
        <v>1</v>
      </c>
      <c r="X602">
        <v>120</v>
      </c>
      <c r="Y602">
        <v>0</v>
      </c>
      <c r="Z602">
        <v>6.15</v>
      </c>
      <c r="AA602">
        <v>0.02</v>
      </c>
      <c r="AB602">
        <v>0</v>
      </c>
      <c r="AC602">
        <v>0</v>
      </c>
      <c r="AD602">
        <v>1</v>
      </c>
      <c r="AE602">
        <v>0</v>
      </c>
      <c r="AF602" t="s">
        <v>86</v>
      </c>
      <c r="AG602">
        <v>150</v>
      </c>
      <c r="AH602">
        <v>2</v>
      </c>
      <c r="AI602">
        <v>129763891</v>
      </c>
      <c r="AJ602">
        <v>610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</row>
    <row r="603" spans="1:44" x14ac:dyDescent="0.2">
      <c r="A603">
        <f>ROW(Source!A566)</f>
        <v>566</v>
      </c>
      <c r="B603">
        <v>129763908</v>
      </c>
      <c r="C603">
        <v>129763889</v>
      </c>
      <c r="D603">
        <v>37418445</v>
      </c>
      <c r="E603">
        <v>1</v>
      </c>
      <c r="F603">
        <v>1</v>
      </c>
      <c r="G603">
        <v>37345137</v>
      </c>
      <c r="H603">
        <v>2</v>
      </c>
      <c r="I603" t="s">
        <v>1189</v>
      </c>
      <c r="J603" t="s">
        <v>1190</v>
      </c>
      <c r="K603" t="s">
        <v>1191</v>
      </c>
      <c r="L603">
        <v>1367</v>
      </c>
      <c r="N603">
        <v>1011</v>
      </c>
      <c r="O603" t="s">
        <v>1102</v>
      </c>
      <c r="P603" t="s">
        <v>1102</v>
      </c>
      <c r="Q603">
        <v>1</v>
      </c>
      <c r="X603">
        <v>1.35</v>
      </c>
      <c r="Y603">
        <v>0</v>
      </c>
      <c r="Z603">
        <v>76.81</v>
      </c>
      <c r="AA603">
        <v>14.36</v>
      </c>
      <c r="AB603">
        <v>0</v>
      </c>
      <c r="AC603">
        <v>0</v>
      </c>
      <c r="AD603">
        <v>1</v>
      </c>
      <c r="AE603">
        <v>0</v>
      </c>
      <c r="AF603" t="s">
        <v>86</v>
      </c>
      <c r="AG603">
        <v>1.6875</v>
      </c>
      <c r="AH603">
        <v>2</v>
      </c>
      <c r="AI603">
        <v>129763892</v>
      </c>
      <c r="AJ603">
        <v>611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</row>
    <row r="604" spans="1:44" x14ac:dyDescent="0.2">
      <c r="A604">
        <f>ROW(Source!A566)</f>
        <v>566</v>
      </c>
      <c r="B604">
        <v>129763910</v>
      </c>
      <c r="C604">
        <v>129763889</v>
      </c>
      <c r="D604">
        <v>37418498</v>
      </c>
      <c r="E604">
        <v>1</v>
      </c>
      <c r="F604">
        <v>1</v>
      </c>
      <c r="G604">
        <v>37345137</v>
      </c>
      <c r="H604">
        <v>2</v>
      </c>
      <c r="I604" t="s">
        <v>1306</v>
      </c>
      <c r="J604" t="s">
        <v>1307</v>
      </c>
      <c r="K604" t="s">
        <v>1308</v>
      </c>
      <c r="L604">
        <v>1367</v>
      </c>
      <c r="N604">
        <v>1011</v>
      </c>
      <c r="O604" t="s">
        <v>1102</v>
      </c>
      <c r="P604" t="s">
        <v>1102</v>
      </c>
      <c r="Q604">
        <v>1</v>
      </c>
      <c r="X604">
        <v>0.1</v>
      </c>
      <c r="Y604">
        <v>0</v>
      </c>
      <c r="Z604">
        <v>0.53</v>
      </c>
      <c r="AA604">
        <v>0.04</v>
      </c>
      <c r="AB604">
        <v>0</v>
      </c>
      <c r="AC604">
        <v>0</v>
      </c>
      <c r="AD604">
        <v>1</v>
      </c>
      <c r="AE604">
        <v>0</v>
      </c>
      <c r="AF604" t="s">
        <v>86</v>
      </c>
      <c r="AG604">
        <v>0.125</v>
      </c>
      <c r="AH604">
        <v>2</v>
      </c>
      <c r="AI604">
        <v>129763894</v>
      </c>
      <c r="AJ604">
        <v>612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</row>
    <row r="605" spans="1:44" x14ac:dyDescent="0.2">
      <c r="A605">
        <f>ROW(Source!A566)</f>
        <v>566</v>
      </c>
      <c r="B605">
        <v>129763909</v>
      </c>
      <c r="C605">
        <v>129763889</v>
      </c>
      <c r="D605">
        <v>37417692</v>
      </c>
      <c r="E605">
        <v>1</v>
      </c>
      <c r="F605">
        <v>1</v>
      </c>
      <c r="G605">
        <v>37345137</v>
      </c>
      <c r="H605">
        <v>2</v>
      </c>
      <c r="I605" t="s">
        <v>1127</v>
      </c>
      <c r="J605" t="s">
        <v>1128</v>
      </c>
      <c r="K605" t="s">
        <v>1129</v>
      </c>
      <c r="L605">
        <v>1367</v>
      </c>
      <c r="N605">
        <v>1011</v>
      </c>
      <c r="O605" t="s">
        <v>1102</v>
      </c>
      <c r="P605" t="s">
        <v>1102</v>
      </c>
      <c r="Q605">
        <v>1</v>
      </c>
      <c r="X605">
        <v>0.9</v>
      </c>
      <c r="Y605">
        <v>0</v>
      </c>
      <c r="Z605">
        <v>190.93</v>
      </c>
      <c r="AA605">
        <v>18.149999999999999</v>
      </c>
      <c r="AB605">
        <v>0</v>
      </c>
      <c r="AC605">
        <v>0</v>
      </c>
      <c r="AD605">
        <v>1</v>
      </c>
      <c r="AE605">
        <v>0</v>
      </c>
      <c r="AF605" t="s">
        <v>86</v>
      </c>
      <c r="AG605">
        <v>1.125</v>
      </c>
      <c r="AH605">
        <v>2</v>
      </c>
      <c r="AI605">
        <v>129763893</v>
      </c>
      <c r="AJ605">
        <v>613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</row>
    <row r="606" spans="1:44" x14ac:dyDescent="0.2">
      <c r="A606">
        <f>ROW(Source!A566)</f>
        <v>566</v>
      </c>
      <c r="B606">
        <v>129763911</v>
      </c>
      <c r="C606">
        <v>129763889</v>
      </c>
      <c r="D606">
        <v>37417785</v>
      </c>
      <c r="E606">
        <v>1</v>
      </c>
      <c r="F606">
        <v>1</v>
      </c>
      <c r="G606">
        <v>37345137</v>
      </c>
      <c r="H606">
        <v>2</v>
      </c>
      <c r="I606" t="s">
        <v>1309</v>
      </c>
      <c r="J606" t="s">
        <v>1310</v>
      </c>
      <c r="K606" t="s">
        <v>1311</v>
      </c>
      <c r="L606">
        <v>1367</v>
      </c>
      <c r="N606">
        <v>1011</v>
      </c>
      <c r="O606" t="s">
        <v>1102</v>
      </c>
      <c r="P606" t="s">
        <v>1102</v>
      </c>
      <c r="Q606">
        <v>1</v>
      </c>
      <c r="X606">
        <v>0.25</v>
      </c>
      <c r="Y606">
        <v>0</v>
      </c>
      <c r="Z606">
        <v>73</v>
      </c>
      <c r="AA606">
        <v>16.899999999999999</v>
      </c>
      <c r="AB606">
        <v>0</v>
      </c>
      <c r="AC606">
        <v>0</v>
      </c>
      <c r="AD606">
        <v>1</v>
      </c>
      <c r="AE606">
        <v>0</v>
      </c>
      <c r="AF606" t="s">
        <v>86</v>
      </c>
      <c r="AG606">
        <v>0.3125</v>
      </c>
      <c r="AH606">
        <v>2</v>
      </c>
      <c r="AI606">
        <v>129763895</v>
      </c>
      <c r="AJ606">
        <v>614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</row>
    <row r="607" spans="1:44" x14ac:dyDescent="0.2">
      <c r="A607">
        <f>ROW(Source!A566)</f>
        <v>566</v>
      </c>
      <c r="B607">
        <v>129763912</v>
      </c>
      <c r="C607">
        <v>129763889</v>
      </c>
      <c r="D607">
        <v>37417976</v>
      </c>
      <c r="E607">
        <v>1</v>
      </c>
      <c r="F607">
        <v>1</v>
      </c>
      <c r="G607">
        <v>37345137</v>
      </c>
      <c r="H607">
        <v>2</v>
      </c>
      <c r="I607" t="s">
        <v>1312</v>
      </c>
      <c r="J607" t="s">
        <v>1313</v>
      </c>
      <c r="K607" t="s">
        <v>1314</v>
      </c>
      <c r="L607">
        <v>1367</v>
      </c>
      <c r="N607">
        <v>1011</v>
      </c>
      <c r="O607" t="s">
        <v>1102</v>
      </c>
      <c r="P607" t="s">
        <v>1102</v>
      </c>
      <c r="Q607">
        <v>1</v>
      </c>
      <c r="X607">
        <v>9</v>
      </c>
      <c r="Y607">
        <v>0</v>
      </c>
      <c r="Z607">
        <v>2.06</v>
      </c>
      <c r="AA607">
        <v>0.09</v>
      </c>
      <c r="AB607">
        <v>0</v>
      </c>
      <c r="AC607">
        <v>0</v>
      </c>
      <c r="AD607">
        <v>1</v>
      </c>
      <c r="AE607">
        <v>0</v>
      </c>
      <c r="AF607" t="s">
        <v>86</v>
      </c>
      <c r="AG607">
        <v>11.25</v>
      </c>
      <c r="AH607">
        <v>2</v>
      </c>
      <c r="AI607">
        <v>129763896</v>
      </c>
      <c r="AJ607">
        <v>615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</row>
    <row r="608" spans="1:44" x14ac:dyDescent="0.2">
      <c r="A608">
        <f>ROW(Source!A566)</f>
        <v>566</v>
      </c>
      <c r="B608">
        <v>129763913</v>
      </c>
      <c r="C608">
        <v>129763889</v>
      </c>
      <c r="D608">
        <v>37358131</v>
      </c>
      <c r="E608">
        <v>37345137</v>
      </c>
      <c r="F608">
        <v>1</v>
      </c>
      <c r="G608">
        <v>37345137</v>
      </c>
      <c r="H608">
        <v>3</v>
      </c>
      <c r="I608" t="s">
        <v>1480</v>
      </c>
      <c r="J608" t="s">
        <v>3</v>
      </c>
      <c r="K608" t="s">
        <v>1492</v>
      </c>
      <c r="L608">
        <v>1348</v>
      </c>
      <c r="N608">
        <v>1009</v>
      </c>
      <c r="O608" t="s">
        <v>114</v>
      </c>
      <c r="P608" t="s">
        <v>114</v>
      </c>
      <c r="Q608">
        <v>1000</v>
      </c>
      <c r="X608">
        <v>8.1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 t="s">
        <v>3</v>
      </c>
      <c r="AG608">
        <v>8.1</v>
      </c>
      <c r="AH608">
        <v>3</v>
      </c>
      <c r="AI608">
        <v>-1</v>
      </c>
      <c r="AJ608" t="s">
        <v>3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</row>
    <row r="609" spans="1:44" x14ac:dyDescent="0.2">
      <c r="A609">
        <f>ROW(Source!A566)</f>
        <v>566</v>
      </c>
      <c r="B609">
        <v>129763914</v>
      </c>
      <c r="C609">
        <v>129763889</v>
      </c>
      <c r="D609">
        <v>37393552</v>
      </c>
      <c r="E609">
        <v>1</v>
      </c>
      <c r="F609">
        <v>1</v>
      </c>
      <c r="G609">
        <v>37345137</v>
      </c>
      <c r="H609">
        <v>3</v>
      </c>
      <c r="I609" t="s">
        <v>348</v>
      </c>
      <c r="J609" t="s">
        <v>350</v>
      </c>
      <c r="K609" t="s">
        <v>349</v>
      </c>
      <c r="L609">
        <v>1339</v>
      </c>
      <c r="N609">
        <v>1007</v>
      </c>
      <c r="O609" t="s">
        <v>94</v>
      </c>
      <c r="P609" t="s">
        <v>94</v>
      </c>
      <c r="Q609">
        <v>1</v>
      </c>
      <c r="X609">
        <v>0.73</v>
      </c>
      <c r="Y609">
        <v>7.07</v>
      </c>
      <c r="Z609">
        <v>0</v>
      </c>
      <c r="AA609">
        <v>0</v>
      </c>
      <c r="AB609">
        <v>0</v>
      </c>
      <c r="AC609">
        <v>0</v>
      </c>
      <c r="AD609">
        <v>1</v>
      </c>
      <c r="AE609">
        <v>0</v>
      </c>
      <c r="AF609" t="s">
        <v>3</v>
      </c>
      <c r="AG609">
        <v>0.73</v>
      </c>
      <c r="AH609">
        <v>2</v>
      </c>
      <c r="AI609">
        <v>129763898</v>
      </c>
      <c r="AJ609">
        <v>616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</row>
    <row r="610" spans="1:44" x14ac:dyDescent="0.2">
      <c r="A610">
        <f>ROW(Source!A566)</f>
        <v>566</v>
      </c>
      <c r="B610">
        <v>129763915</v>
      </c>
      <c r="C610">
        <v>129763889</v>
      </c>
      <c r="D610">
        <v>37393565</v>
      </c>
      <c r="E610">
        <v>1</v>
      </c>
      <c r="F610">
        <v>1</v>
      </c>
      <c r="G610">
        <v>37345137</v>
      </c>
      <c r="H610">
        <v>3</v>
      </c>
      <c r="I610" t="s">
        <v>1198</v>
      </c>
      <c r="J610" t="s">
        <v>1199</v>
      </c>
      <c r="K610" t="s">
        <v>1200</v>
      </c>
      <c r="L610">
        <v>1348</v>
      </c>
      <c r="N610">
        <v>1009</v>
      </c>
      <c r="O610" t="s">
        <v>114</v>
      </c>
      <c r="P610" t="s">
        <v>114</v>
      </c>
      <c r="Q610">
        <v>1000</v>
      </c>
      <c r="X610">
        <v>2E-3</v>
      </c>
      <c r="Y610">
        <v>6521.42</v>
      </c>
      <c r="Z610">
        <v>0</v>
      </c>
      <c r="AA610">
        <v>0</v>
      </c>
      <c r="AB610">
        <v>0</v>
      </c>
      <c r="AC610">
        <v>0</v>
      </c>
      <c r="AD610">
        <v>1</v>
      </c>
      <c r="AE610">
        <v>0</v>
      </c>
      <c r="AF610" t="s">
        <v>3</v>
      </c>
      <c r="AG610">
        <v>2E-3</v>
      </c>
      <c r="AH610">
        <v>2</v>
      </c>
      <c r="AI610">
        <v>129763899</v>
      </c>
      <c r="AJ610">
        <v>617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</row>
    <row r="611" spans="1:44" x14ac:dyDescent="0.2">
      <c r="A611">
        <f>ROW(Source!A566)</f>
        <v>566</v>
      </c>
      <c r="B611">
        <v>129763916</v>
      </c>
      <c r="C611">
        <v>129763889</v>
      </c>
      <c r="D611">
        <v>37394864</v>
      </c>
      <c r="E611">
        <v>1</v>
      </c>
      <c r="F611">
        <v>1</v>
      </c>
      <c r="G611">
        <v>37345137</v>
      </c>
      <c r="H611">
        <v>3</v>
      </c>
      <c r="I611" t="s">
        <v>1147</v>
      </c>
      <c r="J611" t="s">
        <v>1148</v>
      </c>
      <c r="K611" t="s">
        <v>1149</v>
      </c>
      <c r="L611">
        <v>1348</v>
      </c>
      <c r="N611">
        <v>1009</v>
      </c>
      <c r="O611" t="s">
        <v>114</v>
      </c>
      <c r="P611" t="s">
        <v>114</v>
      </c>
      <c r="Q611">
        <v>1000</v>
      </c>
      <c r="X611">
        <v>0.16</v>
      </c>
      <c r="Y611">
        <v>7191.81</v>
      </c>
      <c r="Z611">
        <v>0</v>
      </c>
      <c r="AA611">
        <v>0</v>
      </c>
      <c r="AB611">
        <v>0</v>
      </c>
      <c r="AC611">
        <v>0</v>
      </c>
      <c r="AD611">
        <v>1</v>
      </c>
      <c r="AE611">
        <v>0</v>
      </c>
      <c r="AF611" t="s">
        <v>3</v>
      </c>
      <c r="AG611">
        <v>0.16</v>
      </c>
      <c r="AH611">
        <v>2</v>
      </c>
      <c r="AI611">
        <v>129763900</v>
      </c>
      <c r="AJ611">
        <v>618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</row>
    <row r="612" spans="1:44" x14ac:dyDescent="0.2">
      <c r="A612">
        <f>ROW(Source!A566)</f>
        <v>566</v>
      </c>
      <c r="B612">
        <v>129763917</v>
      </c>
      <c r="C612">
        <v>129763889</v>
      </c>
      <c r="D612">
        <v>37393656</v>
      </c>
      <c r="E612">
        <v>1</v>
      </c>
      <c r="F612">
        <v>1</v>
      </c>
      <c r="G612">
        <v>37345137</v>
      </c>
      <c r="H612">
        <v>3</v>
      </c>
      <c r="I612" t="s">
        <v>1315</v>
      </c>
      <c r="J612" t="s">
        <v>1316</v>
      </c>
      <c r="K612" t="s">
        <v>1317</v>
      </c>
      <c r="L612">
        <v>1339</v>
      </c>
      <c r="N612">
        <v>1007</v>
      </c>
      <c r="O612" t="s">
        <v>94</v>
      </c>
      <c r="P612" t="s">
        <v>94</v>
      </c>
      <c r="Q612">
        <v>1</v>
      </c>
      <c r="X612">
        <v>0.04</v>
      </c>
      <c r="Y612">
        <v>1828.56</v>
      </c>
      <c r="Z612">
        <v>0</v>
      </c>
      <c r="AA612">
        <v>0</v>
      </c>
      <c r="AB612">
        <v>0</v>
      </c>
      <c r="AC612">
        <v>0</v>
      </c>
      <c r="AD612">
        <v>1</v>
      </c>
      <c r="AE612">
        <v>0</v>
      </c>
      <c r="AF612" t="s">
        <v>3</v>
      </c>
      <c r="AG612">
        <v>0.04</v>
      </c>
      <c r="AH612">
        <v>2</v>
      </c>
      <c r="AI612">
        <v>129763901</v>
      </c>
      <c r="AJ612">
        <v>619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</row>
    <row r="613" spans="1:44" x14ac:dyDescent="0.2">
      <c r="A613">
        <f>ROW(Source!A566)</f>
        <v>566</v>
      </c>
      <c r="B613">
        <v>129763918</v>
      </c>
      <c r="C613">
        <v>129763889</v>
      </c>
      <c r="D613">
        <v>37393683</v>
      </c>
      <c r="E613">
        <v>1</v>
      </c>
      <c r="F613">
        <v>1</v>
      </c>
      <c r="G613">
        <v>37345137</v>
      </c>
      <c r="H613">
        <v>3</v>
      </c>
      <c r="I613" t="s">
        <v>1318</v>
      </c>
      <c r="J613" t="s">
        <v>1319</v>
      </c>
      <c r="K613" t="s">
        <v>1320</v>
      </c>
      <c r="L613">
        <v>1348</v>
      </c>
      <c r="N613">
        <v>1009</v>
      </c>
      <c r="O613" t="s">
        <v>114</v>
      </c>
      <c r="P613" t="s">
        <v>114</v>
      </c>
      <c r="Q613">
        <v>1000</v>
      </c>
      <c r="X613">
        <v>0.01</v>
      </c>
      <c r="Y613">
        <v>1260.72</v>
      </c>
      <c r="Z613">
        <v>0</v>
      </c>
      <c r="AA613">
        <v>0</v>
      </c>
      <c r="AB613">
        <v>0</v>
      </c>
      <c r="AC613">
        <v>0</v>
      </c>
      <c r="AD613">
        <v>1</v>
      </c>
      <c r="AE613">
        <v>0</v>
      </c>
      <c r="AF613" t="s">
        <v>3</v>
      </c>
      <c r="AG613">
        <v>0.01</v>
      </c>
      <c r="AH613">
        <v>2</v>
      </c>
      <c r="AI613">
        <v>129763902</v>
      </c>
      <c r="AJ613">
        <v>620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</row>
    <row r="614" spans="1:44" x14ac:dyDescent="0.2">
      <c r="A614">
        <f>ROW(Source!A566)</f>
        <v>566</v>
      </c>
      <c r="B614">
        <v>129763919</v>
      </c>
      <c r="C614">
        <v>129763889</v>
      </c>
      <c r="D614">
        <v>37394035</v>
      </c>
      <c r="E614">
        <v>1</v>
      </c>
      <c r="F614">
        <v>1</v>
      </c>
      <c r="G614">
        <v>37345137</v>
      </c>
      <c r="H614">
        <v>3</v>
      </c>
      <c r="I614" t="s">
        <v>1321</v>
      </c>
      <c r="J614" t="s">
        <v>1322</v>
      </c>
      <c r="K614" t="s">
        <v>1323</v>
      </c>
      <c r="L614">
        <v>1327</v>
      </c>
      <c r="N614">
        <v>1005</v>
      </c>
      <c r="O614" t="s">
        <v>258</v>
      </c>
      <c r="P614" t="s">
        <v>258</v>
      </c>
      <c r="Q614">
        <v>1</v>
      </c>
      <c r="X614">
        <v>30</v>
      </c>
      <c r="Y614">
        <v>7.39</v>
      </c>
      <c r="Z614">
        <v>0</v>
      </c>
      <c r="AA614">
        <v>0</v>
      </c>
      <c r="AB614">
        <v>0</v>
      </c>
      <c r="AC614">
        <v>0</v>
      </c>
      <c r="AD614">
        <v>1</v>
      </c>
      <c r="AE614">
        <v>0</v>
      </c>
      <c r="AF614" t="s">
        <v>3</v>
      </c>
      <c r="AG614">
        <v>30</v>
      </c>
      <c r="AH614">
        <v>2</v>
      </c>
      <c r="AI614">
        <v>129763903</v>
      </c>
      <c r="AJ614">
        <v>621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</row>
    <row r="615" spans="1:44" x14ac:dyDescent="0.2">
      <c r="A615">
        <f>ROW(Source!A566)</f>
        <v>566</v>
      </c>
      <c r="B615">
        <v>129763920</v>
      </c>
      <c r="C615">
        <v>129763889</v>
      </c>
      <c r="D615">
        <v>37417373</v>
      </c>
      <c r="E615">
        <v>1</v>
      </c>
      <c r="F615">
        <v>1</v>
      </c>
      <c r="G615">
        <v>37345137</v>
      </c>
      <c r="H615">
        <v>3</v>
      </c>
      <c r="I615" t="s">
        <v>1324</v>
      </c>
      <c r="J615" t="s">
        <v>1325</v>
      </c>
      <c r="K615" t="s">
        <v>1326</v>
      </c>
      <c r="L615">
        <v>1327</v>
      </c>
      <c r="N615">
        <v>1005</v>
      </c>
      <c r="O615" t="s">
        <v>258</v>
      </c>
      <c r="P615" t="s">
        <v>258</v>
      </c>
      <c r="Q615">
        <v>1</v>
      </c>
      <c r="X615">
        <v>3.6</v>
      </c>
      <c r="Y615">
        <v>90.15</v>
      </c>
      <c r="Z615">
        <v>0</v>
      </c>
      <c r="AA615">
        <v>0</v>
      </c>
      <c r="AB615">
        <v>0</v>
      </c>
      <c r="AC615">
        <v>0</v>
      </c>
      <c r="AD615">
        <v>1</v>
      </c>
      <c r="AE615">
        <v>0</v>
      </c>
      <c r="AF615" t="s">
        <v>3</v>
      </c>
      <c r="AG615">
        <v>3.6</v>
      </c>
      <c r="AH615">
        <v>2</v>
      </c>
      <c r="AI615">
        <v>129763904</v>
      </c>
      <c r="AJ615">
        <v>624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</row>
    <row r="616" spans="1:44" x14ac:dyDescent="0.2">
      <c r="A616">
        <f>ROW(Source!A566)</f>
        <v>566</v>
      </c>
      <c r="B616">
        <v>129763921</v>
      </c>
      <c r="C616">
        <v>129763889</v>
      </c>
      <c r="D616">
        <v>90300495</v>
      </c>
      <c r="E616">
        <v>37345137</v>
      </c>
      <c r="F616">
        <v>1</v>
      </c>
      <c r="G616">
        <v>37345137</v>
      </c>
      <c r="H616">
        <v>3</v>
      </c>
      <c r="I616" t="s">
        <v>1493</v>
      </c>
      <c r="J616" t="s">
        <v>3</v>
      </c>
      <c r="K616" t="s">
        <v>1494</v>
      </c>
      <c r="L616">
        <v>1339</v>
      </c>
      <c r="N616">
        <v>1007</v>
      </c>
      <c r="O616" t="s">
        <v>94</v>
      </c>
      <c r="P616" t="s">
        <v>94</v>
      </c>
      <c r="Q616">
        <v>1</v>
      </c>
      <c r="X616">
        <v>101.5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 t="s">
        <v>3</v>
      </c>
      <c r="AG616">
        <v>101.5</v>
      </c>
      <c r="AH616">
        <v>3</v>
      </c>
      <c r="AI616">
        <v>-1</v>
      </c>
      <c r="AJ616" t="s">
        <v>3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</row>
    <row r="617" spans="1:44" x14ac:dyDescent="0.2">
      <c r="A617">
        <f>ROW(Source!A567)</f>
        <v>567</v>
      </c>
      <c r="B617">
        <v>129763906</v>
      </c>
      <c r="C617">
        <v>129763889</v>
      </c>
      <c r="D617">
        <v>37345142</v>
      </c>
      <c r="E617">
        <v>37345137</v>
      </c>
      <c r="F617">
        <v>1</v>
      </c>
      <c r="G617">
        <v>37345137</v>
      </c>
      <c r="H617">
        <v>1</v>
      </c>
      <c r="I617" t="s">
        <v>1096</v>
      </c>
      <c r="J617" t="s">
        <v>3</v>
      </c>
      <c r="K617" t="s">
        <v>1097</v>
      </c>
      <c r="L617">
        <v>1191</v>
      </c>
      <c r="N617">
        <v>1013</v>
      </c>
      <c r="O617" t="s">
        <v>1098</v>
      </c>
      <c r="P617" t="s">
        <v>1098</v>
      </c>
      <c r="Q617">
        <v>1</v>
      </c>
      <c r="X617">
        <v>179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1</v>
      </c>
      <c r="AE617">
        <v>1</v>
      </c>
      <c r="AF617" t="s">
        <v>87</v>
      </c>
      <c r="AG617">
        <v>205.85</v>
      </c>
      <c r="AH617">
        <v>2</v>
      </c>
      <c r="AI617">
        <v>129763890</v>
      </c>
      <c r="AJ617">
        <v>625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</row>
    <row r="618" spans="1:44" x14ac:dyDescent="0.2">
      <c r="A618">
        <f>ROW(Source!A567)</f>
        <v>567</v>
      </c>
      <c r="B618">
        <v>129763907</v>
      </c>
      <c r="C618">
        <v>129763889</v>
      </c>
      <c r="D618">
        <v>37418162</v>
      </c>
      <c r="E618">
        <v>1</v>
      </c>
      <c r="F618">
        <v>1</v>
      </c>
      <c r="G618">
        <v>37345137</v>
      </c>
      <c r="H618">
        <v>2</v>
      </c>
      <c r="I618" t="s">
        <v>1174</v>
      </c>
      <c r="J618" t="s">
        <v>1175</v>
      </c>
      <c r="K618" t="s">
        <v>1176</v>
      </c>
      <c r="L618">
        <v>1367</v>
      </c>
      <c r="N618">
        <v>1011</v>
      </c>
      <c r="O618" t="s">
        <v>1102</v>
      </c>
      <c r="P618" t="s">
        <v>1102</v>
      </c>
      <c r="Q618">
        <v>1</v>
      </c>
      <c r="X618">
        <v>120</v>
      </c>
      <c r="Y618">
        <v>0</v>
      </c>
      <c r="Z618">
        <v>6.15</v>
      </c>
      <c r="AA618">
        <v>0.02</v>
      </c>
      <c r="AB618">
        <v>0</v>
      </c>
      <c r="AC618">
        <v>0</v>
      </c>
      <c r="AD618">
        <v>1</v>
      </c>
      <c r="AE618">
        <v>0</v>
      </c>
      <c r="AF618" t="s">
        <v>86</v>
      </c>
      <c r="AG618">
        <v>150</v>
      </c>
      <c r="AH618">
        <v>2</v>
      </c>
      <c r="AI618">
        <v>129763891</v>
      </c>
      <c r="AJ618">
        <v>626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</row>
    <row r="619" spans="1:44" x14ac:dyDescent="0.2">
      <c r="A619">
        <f>ROW(Source!A567)</f>
        <v>567</v>
      </c>
      <c r="B619">
        <v>129763908</v>
      </c>
      <c r="C619">
        <v>129763889</v>
      </c>
      <c r="D619">
        <v>37418445</v>
      </c>
      <c r="E619">
        <v>1</v>
      </c>
      <c r="F619">
        <v>1</v>
      </c>
      <c r="G619">
        <v>37345137</v>
      </c>
      <c r="H619">
        <v>2</v>
      </c>
      <c r="I619" t="s">
        <v>1189</v>
      </c>
      <c r="J619" t="s">
        <v>1190</v>
      </c>
      <c r="K619" t="s">
        <v>1191</v>
      </c>
      <c r="L619">
        <v>1367</v>
      </c>
      <c r="N619">
        <v>1011</v>
      </c>
      <c r="O619" t="s">
        <v>1102</v>
      </c>
      <c r="P619" t="s">
        <v>1102</v>
      </c>
      <c r="Q619">
        <v>1</v>
      </c>
      <c r="X619">
        <v>1.35</v>
      </c>
      <c r="Y619">
        <v>0</v>
      </c>
      <c r="Z619">
        <v>76.81</v>
      </c>
      <c r="AA619">
        <v>14.36</v>
      </c>
      <c r="AB619">
        <v>0</v>
      </c>
      <c r="AC619">
        <v>0</v>
      </c>
      <c r="AD619">
        <v>1</v>
      </c>
      <c r="AE619">
        <v>0</v>
      </c>
      <c r="AF619" t="s">
        <v>86</v>
      </c>
      <c r="AG619">
        <v>1.6875</v>
      </c>
      <c r="AH619">
        <v>2</v>
      </c>
      <c r="AI619">
        <v>129763892</v>
      </c>
      <c r="AJ619">
        <v>627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</row>
    <row r="620" spans="1:44" x14ac:dyDescent="0.2">
      <c r="A620">
        <f>ROW(Source!A567)</f>
        <v>567</v>
      </c>
      <c r="B620">
        <v>129763910</v>
      </c>
      <c r="C620">
        <v>129763889</v>
      </c>
      <c r="D620">
        <v>37418498</v>
      </c>
      <c r="E620">
        <v>1</v>
      </c>
      <c r="F620">
        <v>1</v>
      </c>
      <c r="G620">
        <v>37345137</v>
      </c>
      <c r="H620">
        <v>2</v>
      </c>
      <c r="I620" t="s">
        <v>1306</v>
      </c>
      <c r="J620" t="s">
        <v>1307</v>
      </c>
      <c r="K620" t="s">
        <v>1308</v>
      </c>
      <c r="L620">
        <v>1367</v>
      </c>
      <c r="N620">
        <v>1011</v>
      </c>
      <c r="O620" t="s">
        <v>1102</v>
      </c>
      <c r="P620" t="s">
        <v>1102</v>
      </c>
      <c r="Q620">
        <v>1</v>
      </c>
      <c r="X620">
        <v>0.1</v>
      </c>
      <c r="Y620">
        <v>0</v>
      </c>
      <c r="Z620">
        <v>0.53</v>
      </c>
      <c r="AA620">
        <v>0.04</v>
      </c>
      <c r="AB620">
        <v>0</v>
      </c>
      <c r="AC620">
        <v>0</v>
      </c>
      <c r="AD620">
        <v>1</v>
      </c>
      <c r="AE620">
        <v>0</v>
      </c>
      <c r="AF620" t="s">
        <v>86</v>
      </c>
      <c r="AG620">
        <v>0.125</v>
      </c>
      <c r="AH620">
        <v>2</v>
      </c>
      <c r="AI620">
        <v>129763894</v>
      </c>
      <c r="AJ620">
        <v>628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</row>
    <row r="621" spans="1:44" x14ac:dyDescent="0.2">
      <c r="A621">
        <f>ROW(Source!A567)</f>
        <v>567</v>
      </c>
      <c r="B621">
        <v>129763909</v>
      </c>
      <c r="C621">
        <v>129763889</v>
      </c>
      <c r="D621">
        <v>37417692</v>
      </c>
      <c r="E621">
        <v>1</v>
      </c>
      <c r="F621">
        <v>1</v>
      </c>
      <c r="G621">
        <v>37345137</v>
      </c>
      <c r="H621">
        <v>2</v>
      </c>
      <c r="I621" t="s">
        <v>1127</v>
      </c>
      <c r="J621" t="s">
        <v>1128</v>
      </c>
      <c r="K621" t="s">
        <v>1129</v>
      </c>
      <c r="L621">
        <v>1367</v>
      </c>
      <c r="N621">
        <v>1011</v>
      </c>
      <c r="O621" t="s">
        <v>1102</v>
      </c>
      <c r="P621" t="s">
        <v>1102</v>
      </c>
      <c r="Q621">
        <v>1</v>
      </c>
      <c r="X621">
        <v>0.9</v>
      </c>
      <c r="Y621">
        <v>0</v>
      </c>
      <c r="Z621">
        <v>190.93</v>
      </c>
      <c r="AA621">
        <v>18.149999999999999</v>
      </c>
      <c r="AB621">
        <v>0</v>
      </c>
      <c r="AC621">
        <v>0</v>
      </c>
      <c r="AD621">
        <v>1</v>
      </c>
      <c r="AE621">
        <v>0</v>
      </c>
      <c r="AF621" t="s">
        <v>86</v>
      </c>
      <c r="AG621">
        <v>1.125</v>
      </c>
      <c r="AH621">
        <v>2</v>
      </c>
      <c r="AI621">
        <v>129763893</v>
      </c>
      <c r="AJ621">
        <v>629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</row>
    <row r="622" spans="1:44" x14ac:dyDescent="0.2">
      <c r="A622">
        <f>ROW(Source!A567)</f>
        <v>567</v>
      </c>
      <c r="B622">
        <v>129763911</v>
      </c>
      <c r="C622">
        <v>129763889</v>
      </c>
      <c r="D622">
        <v>37417785</v>
      </c>
      <c r="E622">
        <v>1</v>
      </c>
      <c r="F622">
        <v>1</v>
      </c>
      <c r="G622">
        <v>37345137</v>
      </c>
      <c r="H622">
        <v>2</v>
      </c>
      <c r="I622" t="s">
        <v>1309</v>
      </c>
      <c r="J622" t="s">
        <v>1310</v>
      </c>
      <c r="K622" t="s">
        <v>1311</v>
      </c>
      <c r="L622">
        <v>1367</v>
      </c>
      <c r="N622">
        <v>1011</v>
      </c>
      <c r="O622" t="s">
        <v>1102</v>
      </c>
      <c r="P622" t="s">
        <v>1102</v>
      </c>
      <c r="Q622">
        <v>1</v>
      </c>
      <c r="X622">
        <v>0.25</v>
      </c>
      <c r="Y622">
        <v>0</v>
      </c>
      <c r="Z622">
        <v>73</v>
      </c>
      <c r="AA622">
        <v>16.899999999999999</v>
      </c>
      <c r="AB622">
        <v>0</v>
      </c>
      <c r="AC622">
        <v>0</v>
      </c>
      <c r="AD622">
        <v>1</v>
      </c>
      <c r="AE622">
        <v>0</v>
      </c>
      <c r="AF622" t="s">
        <v>86</v>
      </c>
      <c r="AG622">
        <v>0.3125</v>
      </c>
      <c r="AH622">
        <v>2</v>
      </c>
      <c r="AI622">
        <v>129763895</v>
      </c>
      <c r="AJ622">
        <v>630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</row>
    <row r="623" spans="1:44" x14ac:dyDescent="0.2">
      <c r="A623">
        <f>ROW(Source!A567)</f>
        <v>567</v>
      </c>
      <c r="B623">
        <v>129763912</v>
      </c>
      <c r="C623">
        <v>129763889</v>
      </c>
      <c r="D623">
        <v>37417976</v>
      </c>
      <c r="E623">
        <v>1</v>
      </c>
      <c r="F623">
        <v>1</v>
      </c>
      <c r="G623">
        <v>37345137</v>
      </c>
      <c r="H623">
        <v>2</v>
      </c>
      <c r="I623" t="s">
        <v>1312</v>
      </c>
      <c r="J623" t="s">
        <v>1313</v>
      </c>
      <c r="K623" t="s">
        <v>1314</v>
      </c>
      <c r="L623">
        <v>1367</v>
      </c>
      <c r="N623">
        <v>1011</v>
      </c>
      <c r="O623" t="s">
        <v>1102</v>
      </c>
      <c r="P623" t="s">
        <v>1102</v>
      </c>
      <c r="Q623">
        <v>1</v>
      </c>
      <c r="X623">
        <v>9</v>
      </c>
      <c r="Y623">
        <v>0</v>
      </c>
      <c r="Z623">
        <v>2.06</v>
      </c>
      <c r="AA623">
        <v>0.09</v>
      </c>
      <c r="AB623">
        <v>0</v>
      </c>
      <c r="AC623">
        <v>0</v>
      </c>
      <c r="AD623">
        <v>1</v>
      </c>
      <c r="AE623">
        <v>0</v>
      </c>
      <c r="AF623" t="s">
        <v>86</v>
      </c>
      <c r="AG623">
        <v>11.25</v>
      </c>
      <c r="AH623">
        <v>2</v>
      </c>
      <c r="AI623">
        <v>129763896</v>
      </c>
      <c r="AJ623">
        <v>631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</row>
    <row r="624" spans="1:44" x14ac:dyDescent="0.2">
      <c r="A624">
        <f>ROW(Source!A567)</f>
        <v>567</v>
      </c>
      <c r="B624">
        <v>129763913</v>
      </c>
      <c r="C624">
        <v>129763889</v>
      </c>
      <c r="D624">
        <v>37358131</v>
      </c>
      <c r="E624">
        <v>37345137</v>
      </c>
      <c r="F624">
        <v>1</v>
      </c>
      <c r="G624">
        <v>37345137</v>
      </c>
      <c r="H624">
        <v>3</v>
      </c>
      <c r="I624" t="s">
        <v>1480</v>
      </c>
      <c r="J624" t="s">
        <v>3</v>
      </c>
      <c r="K624" t="s">
        <v>1492</v>
      </c>
      <c r="L624">
        <v>1348</v>
      </c>
      <c r="N624">
        <v>1009</v>
      </c>
      <c r="O624" t="s">
        <v>114</v>
      </c>
      <c r="P624" t="s">
        <v>114</v>
      </c>
      <c r="Q624">
        <v>1000</v>
      </c>
      <c r="X624">
        <v>8.1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 t="s">
        <v>3</v>
      </c>
      <c r="AG624">
        <v>8.1</v>
      </c>
      <c r="AH624">
        <v>3</v>
      </c>
      <c r="AI624">
        <v>-1</v>
      </c>
      <c r="AJ624" t="s">
        <v>3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</row>
    <row r="625" spans="1:44" x14ac:dyDescent="0.2">
      <c r="A625">
        <f>ROW(Source!A567)</f>
        <v>567</v>
      </c>
      <c r="B625">
        <v>129763914</v>
      </c>
      <c r="C625">
        <v>129763889</v>
      </c>
      <c r="D625">
        <v>37393552</v>
      </c>
      <c r="E625">
        <v>1</v>
      </c>
      <c r="F625">
        <v>1</v>
      </c>
      <c r="G625">
        <v>37345137</v>
      </c>
      <c r="H625">
        <v>3</v>
      </c>
      <c r="I625" t="s">
        <v>348</v>
      </c>
      <c r="J625" t="s">
        <v>350</v>
      </c>
      <c r="K625" t="s">
        <v>349</v>
      </c>
      <c r="L625">
        <v>1339</v>
      </c>
      <c r="N625">
        <v>1007</v>
      </c>
      <c r="O625" t="s">
        <v>94</v>
      </c>
      <c r="P625" t="s">
        <v>94</v>
      </c>
      <c r="Q625">
        <v>1</v>
      </c>
      <c r="X625">
        <v>0.73</v>
      </c>
      <c r="Y625">
        <v>7.07</v>
      </c>
      <c r="Z625">
        <v>0</v>
      </c>
      <c r="AA625">
        <v>0</v>
      </c>
      <c r="AB625">
        <v>0</v>
      </c>
      <c r="AC625">
        <v>0</v>
      </c>
      <c r="AD625">
        <v>1</v>
      </c>
      <c r="AE625">
        <v>0</v>
      </c>
      <c r="AF625" t="s">
        <v>3</v>
      </c>
      <c r="AG625">
        <v>0.73</v>
      </c>
      <c r="AH625">
        <v>2</v>
      </c>
      <c r="AI625">
        <v>129763898</v>
      </c>
      <c r="AJ625">
        <v>632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</row>
    <row r="626" spans="1:44" x14ac:dyDescent="0.2">
      <c r="A626">
        <f>ROW(Source!A567)</f>
        <v>567</v>
      </c>
      <c r="B626">
        <v>129763915</v>
      </c>
      <c r="C626">
        <v>129763889</v>
      </c>
      <c r="D626">
        <v>37393565</v>
      </c>
      <c r="E626">
        <v>1</v>
      </c>
      <c r="F626">
        <v>1</v>
      </c>
      <c r="G626">
        <v>37345137</v>
      </c>
      <c r="H626">
        <v>3</v>
      </c>
      <c r="I626" t="s">
        <v>1198</v>
      </c>
      <c r="J626" t="s">
        <v>1199</v>
      </c>
      <c r="K626" t="s">
        <v>1200</v>
      </c>
      <c r="L626">
        <v>1348</v>
      </c>
      <c r="N626">
        <v>1009</v>
      </c>
      <c r="O626" t="s">
        <v>114</v>
      </c>
      <c r="P626" t="s">
        <v>114</v>
      </c>
      <c r="Q626">
        <v>1000</v>
      </c>
      <c r="X626">
        <v>2E-3</v>
      </c>
      <c r="Y626">
        <v>6521.42</v>
      </c>
      <c r="Z626">
        <v>0</v>
      </c>
      <c r="AA626">
        <v>0</v>
      </c>
      <c r="AB626">
        <v>0</v>
      </c>
      <c r="AC626">
        <v>0</v>
      </c>
      <c r="AD626">
        <v>1</v>
      </c>
      <c r="AE626">
        <v>0</v>
      </c>
      <c r="AF626" t="s">
        <v>3</v>
      </c>
      <c r="AG626">
        <v>2E-3</v>
      </c>
      <c r="AH626">
        <v>2</v>
      </c>
      <c r="AI626">
        <v>129763899</v>
      </c>
      <c r="AJ626">
        <v>633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</row>
    <row r="627" spans="1:44" x14ac:dyDescent="0.2">
      <c r="A627">
        <f>ROW(Source!A567)</f>
        <v>567</v>
      </c>
      <c r="B627">
        <v>129763916</v>
      </c>
      <c r="C627">
        <v>129763889</v>
      </c>
      <c r="D627">
        <v>37394864</v>
      </c>
      <c r="E627">
        <v>1</v>
      </c>
      <c r="F627">
        <v>1</v>
      </c>
      <c r="G627">
        <v>37345137</v>
      </c>
      <c r="H627">
        <v>3</v>
      </c>
      <c r="I627" t="s">
        <v>1147</v>
      </c>
      <c r="J627" t="s">
        <v>1148</v>
      </c>
      <c r="K627" t="s">
        <v>1149</v>
      </c>
      <c r="L627">
        <v>1348</v>
      </c>
      <c r="N627">
        <v>1009</v>
      </c>
      <c r="O627" t="s">
        <v>114</v>
      </c>
      <c r="P627" t="s">
        <v>114</v>
      </c>
      <c r="Q627">
        <v>1000</v>
      </c>
      <c r="X627">
        <v>0.16</v>
      </c>
      <c r="Y627">
        <v>7191.81</v>
      </c>
      <c r="Z627">
        <v>0</v>
      </c>
      <c r="AA627">
        <v>0</v>
      </c>
      <c r="AB627">
        <v>0</v>
      </c>
      <c r="AC627">
        <v>0</v>
      </c>
      <c r="AD627">
        <v>1</v>
      </c>
      <c r="AE627">
        <v>0</v>
      </c>
      <c r="AF627" t="s">
        <v>3</v>
      </c>
      <c r="AG627">
        <v>0.16</v>
      </c>
      <c r="AH627">
        <v>2</v>
      </c>
      <c r="AI627">
        <v>129763900</v>
      </c>
      <c r="AJ627">
        <v>634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</row>
    <row r="628" spans="1:44" x14ac:dyDescent="0.2">
      <c r="A628">
        <f>ROW(Source!A567)</f>
        <v>567</v>
      </c>
      <c r="B628">
        <v>129763917</v>
      </c>
      <c r="C628">
        <v>129763889</v>
      </c>
      <c r="D628">
        <v>37393656</v>
      </c>
      <c r="E628">
        <v>1</v>
      </c>
      <c r="F628">
        <v>1</v>
      </c>
      <c r="G628">
        <v>37345137</v>
      </c>
      <c r="H628">
        <v>3</v>
      </c>
      <c r="I628" t="s">
        <v>1315</v>
      </c>
      <c r="J628" t="s">
        <v>1316</v>
      </c>
      <c r="K628" t="s">
        <v>1317</v>
      </c>
      <c r="L628">
        <v>1339</v>
      </c>
      <c r="N628">
        <v>1007</v>
      </c>
      <c r="O628" t="s">
        <v>94</v>
      </c>
      <c r="P628" t="s">
        <v>94</v>
      </c>
      <c r="Q628">
        <v>1</v>
      </c>
      <c r="X628">
        <v>0.04</v>
      </c>
      <c r="Y628">
        <v>1828.56</v>
      </c>
      <c r="Z628">
        <v>0</v>
      </c>
      <c r="AA628">
        <v>0</v>
      </c>
      <c r="AB628">
        <v>0</v>
      </c>
      <c r="AC628">
        <v>0</v>
      </c>
      <c r="AD628">
        <v>1</v>
      </c>
      <c r="AE628">
        <v>0</v>
      </c>
      <c r="AF628" t="s">
        <v>3</v>
      </c>
      <c r="AG628">
        <v>0.04</v>
      </c>
      <c r="AH628">
        <v>2</v>
      </c>
      <c r="AI628">
        <v>129763901</v>
      </c>
      <c r="AJ628">
        <v>635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</row>
    <row r="629" spans="1:44" x14ac:dyDescent="0.2">
      <c r="A629">
        <f>ROW(Source!A567)</f>
        <v>567</v>
      </c>
      <c r="B629">
        <v>129763918</v>
      </c>
      <c r="C629">
        <v>129763889</v>
      </c>
      <c r="D629">
        <v>37393683</v>
      </c>
      <c r="E629">
        <v>1</v>
      </c>
      <c r="F629">
        <v>1</v>
      </c>
      <c r="G629">
        <v>37345137</v>
      </c>
      <c r="H629">
        <v>3</v>
      </c>
      <c r="I629" t="s">
        <v>1318</v>
      </c>
      <c r="J629" t="s">
        <v>1319</v>
      </c>
      <c r="K629" t="s">
        <v>1320</v>
      </c>
      <c r="L629">
        <v>1348</v>
      </c>
      <c r="N629">
        <v>1009</v>
      </c>
      <c r="O629" t="s">
        <v>114</v>
      </c>
      <c r="P629" t="s">
        <v>114</v>
      </c>
      <c r="Q629">
        <v>1000</v>
      </c>
      <c r="X629">
        <v>0.01</v>
      </c>
      <c r="Y629">
        <v>1260.72</v>
      </c>
      <c r="Z629">
        <v>0</v>
      </c>
      <c r="AA629">
        <v>0</v>
      </c>
      <c r="AB629">
        <v>0</v>
      </c>
      <c r="AC629">
        <v>0</v>
      </c>
      <c r="AD629">
        <v>1</v>
      </c>
      <c r="AE629">
        <v>0</v>
      </c>
      <c r="AF629" t="s">
        <v>3</v>
      </c>
      <c r="AG629">
        <v>0.01</v>
      </c>
      <c r="AH629">
        <v>2</v>
      </c>
      <c r="AI629">
        <v>129763902</v>
      </c>
      <c r="AJ629">
        <v>636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</row>
    <row r="630" spans="1:44" x14ac:dyDescent="0.2">
      <c r="A630">
        <f>ROW(Source!A567)</f>
        <v>567</v>
      </c>
      <c r="B630">
        <v>129763919</v>
      </c>
      <c r="C630">
        <v>129763889</v>
      </c>
      <c r="D630">
        <v>37394035</v>
      </c>
      <c r="E630">
        <v>1</v>
      </c>
      <c r="F630">
        <v>1</v>
      </c>
      <c r="G630">
        <v>37345137</v>
      </c>
      <c r="H630">
        <v>3</v>
      </c>
      <c r="I630" t="s">
        <v>1321</v>
      </c>
      <c r="J630" t="s">
        <v>1322</v>
      </c>
      <c r="K630" t="s">
        <v>1323</v>
      </c>
      <c r="L630">
        <v>1327</v>
      </c>
      <c r="N630">
        <v>1005</v>
      </c>
      <c r="O630" t="s">
        <v>258</v>
      </c>
      <c r="P630" t="s">
        <v>258</v>
      </c>
      <c r="Q630">
        <v>1</v>
      </c>
      <c r="X630">
        <v>30</v>
      </c>
      <c r="Y630">
        <v>7.39</v>
      </c>
      <c r="Z630">
        <v>0</v>
      </c>
      <c r="AA630">
        <v>0</v>
      </c>
      <c r="AB630">
        <v>0</v>
      </c>
      <c r="AC630">
        <v>0</v>
      </c>
      <c r="AD630">
        <v>1</v>
      </c>
      <c r="AE630">
        <v>0</v>
      </c>
      <c r="AF630" t="s">
        <v>3</v>
      </c>
      <c r="AG630">
        <v>30</v>
      </c>
      <c r="AH630">
        <v>2</v>
      </c>
      <c r="AI630">
        <v>129763903</v>
      </c>
      <c r="AJ630">
        <v>637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</row>
    <row r="631" spans="1:44" x14ac:dyDescent="0.2">
      <c r="A631">
        <f>ROW(Source!A567)</f>
        <v>567</v>
      </c>
      <c r="B631">
        <v>129763920</v>
      </c>
      <c r="C631">
        <v>129763889</v>
      </c>
      <c r="D631">
        <v>37417373</v>
      </c>
      <c r="E631">
        <v>1</v>
      </c>
      <c r="F631">
        <v>1</v>
      </c>
      <c r="G631">
        <v>37345137</v>
      </c>
      <c r="H631">
        <v>3</v>
      </c>
      <c r="I631" t="s">
        <v>1324</v>
      </c>
      <c r="J631" t="s">
        <v>1325</v>
      </c>
      <c r="K631" t="s">
        <v>1326</v>
      </c>
      <c r="L631">
        <v>1327</v>
      </c>
      <c r="N631">
        <v>1005</v>
      </c>
      <c r="O631" t="s">
        <v>258</v>
      </c>
      <c r="P631" t="s">
        <v>258</v>
      </c>
      <c r="Q631">
        <v>1</v>
      </c>
      <c r="X631">
        <v>3.6</v>
      </c>
      <c r="Y631">
        <v>90.15</v>
      </c>
      <c r="Z631">
        <v>0</v>
      </c>
      <c r="AA631">
        <v>0</v>
      </c>
      <c r="AB631">
        <v>0</v>
      </c>
      <c r="AC631">
        <v>0</v>
      </c>
      <c r="AD631">
        <v>1</v>
      </c>
      <c r="AE631">
        <v>0</v>
      </c>
      <c r="AF631" t="s">
        <v>3</v>
      </c>
      <c r="AG631">
        <v>3.6</v>
      </c>
      <c r="AH631">
        <v>2</v>
      </c>
      <c r="AI631">
        <v>129763904</v>
      </c>
      <c r="AJ631">
        <v>640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</row>
    <row r="632" spans="1:44" x14ac:dyDescent="0.2">
      <c r="A632">
        <f>ROW(Source!A567)</f>
        <v>567</v>
      </c>
      <c r="B632">
        <v>129763921</v>
      </c>
      <c r="C632">
        <v>129763889</v>
      </c>
      <c r="D632">
        <v>90300495</v>
      </c>
      <c r="E632">
        <v>37345137</v>
      </c>
      <c r="F632">
        <v>1</v>
      </c>
      <c r="G632">
        <v>37345137</v>
      </c>
      <c r="H632">
        <v>3</v>
      </c>
      <c r="I632" t="s">
        <v>1493</v>
      </c>
      <c r="J632" t="s">
        <v>3</v>
      </c>
      <c r="K632" t="s">
        <v>1494</v>
      </c>
      <c r="L632">
        <v>1339</v>
      </c>
      <c r="N632">
        <v>1007</v>
      </c>
      <c r="O632" t="s">
        <v>94</v>
      </c>
      <c r="P632" t="s">
        <v>94</v>
      </c>
      <c r="Q632">
        <v>1</v>
      </c>
      <c r="X632">
        <v>101.5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 t="s">
        <v>3</v>
      </c>
      <c r="AG632">
        <v>101.5</v>
      </c>
      <c r="AH632">
        <v>3</v>
      </c>
      <c r="AI632">
        <v>-1</v>
      </c>
      <c r="AJ632" t="s">
        <v>3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</row>
    <row r="633" spans="1:44" x14ac:dyDescent="0.2">
      <c r="A633">
        <f>ROW(Source!A572)</f>
        <v>572</v>
      </c>
      <c r="B633">
        <v>129763930</v>
      </c>
      <c r="C633">
        <v>129763924</v>
      </c>
      <c r="D633">
        <v>37345142</v>
      </c>
      <c r="E633">
        <v>37345137</v>
      </c>
      <c r="F633">
        <v>1</v>
      </c>
      <c r="G633">
        <v>37345137</v>
      </c>
      <c r="H633">
        <v>1</v>
      </c>
      <c r="I633" t="s">
        <v>1096</v>
      </c>
      <c r="J633" t="s">
        <v>3</v>
      </c>
      <c r="K633" t="s">
        <v>1097</v>
      </c>
      <c r="L633">
        <v>1191</v>
      </c>
      <c r="N633">
        <v>1013</v>
      </c>
      <c r="O633" t="s">
        <v>1098</v>
      </c>
      <c r="P633" t="s">
        <v>1098</v>
      </c>
      <c r="Q633">
        <v>1</v>
      </c>
      <c r="X633">
        <v>5.31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1</v>
      </c>
      <c r="AE633">
        <v>1</v>
      </c>
      <c r="AF633" t="s">
        <v>87</v>
      </c>
      <c r="AG633">
        <v>6.1064999999999987</v>
      </c>
      <c r="AH633">
        <v>2</v>
      </c>
      <c r="AI633">
        <v>129763925</v>
      </c>
      <c r="AJ633">
        <v>641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</row>
    <row r="634" spans="1:44" x14ac:dyDescent="0.2">
      <c r="A634">
        <f>ROW(Source!A572)</f>
        <v>572</v>
      </c>
      <c r="B634">
        <v>129763931</v>
      </c>
      <c r="C634">
        <v>129763924</v>
      </c>
      <c r="D634">
        <v>37418071</v>
      </c>
      <c r="E634">
        <v>1</v>
      </c>
      <c r="F634">
        <v>1</v>
      </c>
      <c r="G634">
        <v>37345137</v>
      </c>
      <c r="H634">
        <v>2</v>
      </c>
      <c r="I634" t="s">
        <v>1330</v>
      </c>
      <c r="J634" t="s">
        <v>1331</v>
      </c>
      <c r="K634" t="s">
        <v>1332</v>
      </c>
      <c r="L634">
        <v>1367</v>
      </c>
      <c r="N634">
        <v>1011</v>
      </c>
      <c r="O634" t="s">
        <v>1102</v>
      </c>
      <c r="P634" t="s">
        <v>1102</v>
      </c>
      <c r="Q634">
        <v>1</v>
      </c>
      <c r="X634">
        <v>1.1200000000000001</v>
      </c>
      <c r="Y634">
        <v>0</v>
      </c>
      <c r="Z634">
        <v>17.32</v>
      </c>
      <c r="AA634">
        <v>1.36</v>
      </c>
      <c r="AB634">
        <v>0</v>
      </c>
      <c r="AC634">
        <v>0</v>
      </c>
      <c r="AD634">
        <v>1</v>
      </c>
      <c r="AE634">
        <v>0</v>
      </c>
      <c r="AF634" t="s">
        <v>86</v>
      </c>
      <c r="AG634">
        <v>1.4000000000000001</v>
      </c>
      <c r="AH634">
        <v>2</v>
      </c>
      <c r="AI634">
        <v>129763926</v>
      </c>
      <c r="AJ634">
        <v>642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</row>
    <row r="635" spans="1:44" x14ac:dyDescent="0.2">
      <c r="A635">
        <f>ROW(Source!A572)</f>
        <v>572</v>
      </c>
      <c r="B635">
        <v>129763932</v>
      </c>
      <c r="C635">
        <v>129763924</v>
      </c>
      <c r="D635">
        <v>37345890</v>
      </c>
      <c r="E635">
        <v>37345137</v>
      </c>
      <c r="F635">
        <v>1</v>
      </c>
      <c r="G635">
        <v>37345137</v>
      </c>
      <c r="H635">
        <v>2</v>
      </c>
      <c r="I635" t="s">
        <v>1145</v>
      </c>
      <c r="J635" t="s">
        <v>3</v>
      </c>
      <c r="K635" t="s">
        <v>1146</v>
      </c>
      <c r="L635">
        <v>1344</v>
      </c>
      <c r="N635">
        <v>1008</v>
      </c>
      <c r="O635" t="s">
        <v>1138</v>
      </c>
      <c r="P635" t="s">
        <v>1138</v>
      </c>
      <c r="Q635">
        <v>1</v>
      </c>
      <c r="X635">
        <v>1.49</v>
      </c>
      <c r="Y635">
        <v>0</v>
      </c>
      <c r="Z635">
        <v>1</v>
      </c>
      <c r="AA635">
        <v>0</v>
      </c>
      <c r="AB635">
        <v>0</v>
      </c>
      <c r="AC635">
        <v>0</v>
      </c>
      <c r="AD635">
        <v>1</v>
      </c>
      <c r="AE635">
        <v>0</v>
      </c>
      <c r="AF635" t="s">
        <v>86</v>
      </c>
      <c r="AG635">
        <v>1.8625</v>
      </c>
      <c r="AH635">
        <v>2</v>
      </c>
      <c r="AI635">
        <v>129763927</v>
      </c>
      <c r="AJ635">
        <v>643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</row>
    <row r="636" spans="1:44" x14ac:dyDescent="0.2">
      <c r="A636">
        <f>ROW(Source!A572)</f>
        <v>572</v>
      </c>
      <c r="B636">
        <v>129763933</v>
      </c>
      <c r="C636">
        <v>129763924</v>
      </c>
      <c r="D636">
        <v>37393894</v>
      </c>
      <c r="E636">
        <v>1</v>
      </c>
      <c r="F636">
        <v>1</v>
      </c>
      <c r="G636">
        <v>37345137</v>
      </c>
      <c r="H636">
        <v>3</v>
      </c>
      <c r="I636" t="s">
        <v>1333</v>
      </c>
      <c r="J636" t="s">
        <v>1334</v>
      </c>
      <c r="K636" t="s">
        <v>1335</v>
      </c>
      <c r="L636">
        <v>1348</v>
      </c>
      <c r="N636">
        <v>1009</v>
      </c>
      <c r="O636" t="s">
        <v>114</v>
      </c>
      <c r="P636" t="s">
        <v>114</v>
      </c>
      <c r="Q636">
        <v>1000</v>
      </c>
      <c r="X636">
        <v>1.5E-3</v>
      </c>
      <c r="Y636">
        <v>6303.6</v>
      </c>
      <c r="Z636">
        <v>0</v>
      </c>
      <c r="AA636">
        <v>0</v>
      </c>
      <c r="AB636">
        <v>0</v>
      </c>
      <c r="AC636">
        <v>0</v>
      </c>
      <c r="AD636">
        <v>1</v>
      </c>
      <c r="AE636">
        <v>0</v>
      </c>
      <c r="AF636" t="s">
        <v>3</v>
      </c>
      <c r="AG636">
        <v>1.5E-3</v>
      </c>
      <c r="AH636">
        <v>2</v>
      </c>
      <c r="AI636">
        <v>129763928</v>
      </c>
      <c r="AJ636">
        <v>645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</row>
    <row r="637" spans="1:44" x14ac:dyDescent="0.2">
      <c r="A637">
        <f>ROW(Source!A572)</f>
        <v>572</v>
      </c>
      <c r="B637">
        <v>129763934</v>
      </c>
      <c r="C637">
        <v>129763924</v>
      </c>
      <c r="D637">
        <v>93541384</v>
      </c>
      <c r="E637">
        <v>37345137</v>
      </c>
      <c r="F637">
        <v>1</v>
      </c>
      <c r="G637">
        <v>37345137</v>
      </c>
      <c r="H637">
        <v>3</v>
      </c>
      <c r="I637" t="s">
        <v>1497</v>
      </c>
      <c r="J637" t="s">
        <v>3</v>
      </c>
      <c r="K637" t="s">
        <v>1498</v>
      </c>
      <c r="L637">
        <v>1348</v>
      </c>
      <c r="N637">
        <v>1009</v>
      </c>
      <c r="O637" t="s">
        <v>114</v>
      </c>
      <c r="P637" t="s">
        <v>114</v>
      </c>
      <c r="Q637">
        <v>1000</v>
      </c>
      <c r="X637">
        <v>8.9999999999999993E-3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 t="s">
        <v>3</v>
      </c>
      <c r="AG637">
        <v>8.9999999999999993E-3</v>
      </c>
      <c r="AH637">
        <v>3</v>
      </c>
      <c r="AI637">
        <v>-1</v>
      </c>
      <c r="AJ637" t="s">
        <v>3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</row>
    <row r="638" spans="1:44" x14ac:dyDescent="0.2">
      <c r="A638">
        <f>ROW(Source!A573)</f>
        <v>573</v>
      </c>
      <c r="B638">
        <v>129763930</v>
      </c>
      <c r="C638">
        <v>129763924</v>
      </c>
      <c r="D638">
        <v>37345142</v>
      </c>
      <c r="E638">
        <v>37345137</v>
      </c>
      <c r="F638">
        <v>1</v>
      </c>
      <c r="G638">
        <v>37345137</v>
      </c>
      <c r="H638">
        <v>1</v>
      </c>
      <c r="I638" t="s">
        <v>1096</v>
      </c>
      <c r="J638" t="s">
        <v>3</v>
      </c>
      <c r="K638" t="s">
        <v>1097</v>
      </c>
      <c r="L638">
        <v>1191</v>
      </c>
      <c r="N638">
        <v>1013</v>
      </c>
      <c r="O638" t="s">
        <v>1098</v>
      </c>
      <c r="P638" t="s">
        <v>1098</v>
      </c>
      <c r="Q638">
        <v>1</v>
      </c>
      <c r="X638">
        <v>5.31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1</v>
      </c>
      <c r="AE638">
        <v>1</v>
      </c>
      <c r="AF638" t="s">
        <v>87</v>
      </c>
      <c r="AG638">
        <v>6.1064999999999987</v>
      </c>
      <c r="AH638">
        <v>2</v>
      </c>
      <c r="AI638">
        <v>129763925</v>
      </c>
      <c r="AJ638">
        <v>646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</row>
    <row r="639" spans="1:44" x14ac:dyDescent="0.2">
      <c r="A639">
        <f>ROW(Source!A573)</f>
        <v>573</v>
      </c>
      <c r="B639">
        <v>129763931</v>
      </c>
      <c r="C639">
        <v>129763924</v>
      </c>
      <c r="D639">
        <v>37418071</v>
      </c>
      <c r="E639">
        <v>1</v>
      </c>
      <c r="F639">
        <v>1</v>
      </c>
      <c r="G639">
        <v>37345137</v>
      </c>
      <c r="H639">
        <v>2</v>
      </c>
      <c r="I639" t="s">
        <v>1330</v>
      </c>
      <c r="J639" t="s">
        <v>1331</v>
      </c>
      <c r="K639" t="s">
        <v>1332</v>
      </c>
      <c r="L639">
        <v>1367</v>
      </c>
      <c r="N639">
        <v>1011</v>
      </c>
      <c r="O639" t="s">
        <v>1102</v>
      </c>
      <c r="P639" t="s">
        <v>1102</v>
      </c>
      <c r="Q639">
        <v>1</v>
      </c>
      <c r="X639">
        <v>1.1200000000000001</v>
      </c>
      <c r="Y639">
        <v>0</v>
      </c>
      <c r="Z639">
        <v>17.32</v>
      </c>
      <c r="AA639">
        <v>1.36</v>
      </c>
      <c r="AB639">
        <v>0</v>
      </c>
      <c r="AC639">
        <v>0</v>
      </c>
      <c r="AD639">
        <v>1</v>
      </c>
      <c r="AE639">
        <v>0</v>
      </c>
      <c r="AF639" t="s">
        <v>86</v>
      </c>
      <c r="AG639">
        <v>1.4000000000000001</v>
      </c>
      <c r="AH639">
        <v>2</v>
      </c>
      <c r="AI639">
        <v>129763926</v>
      </c>
      <c r="AJ639">
        <v>647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</row>
    <row r="640" spans="1:44" x14ac:dyDescent="0.2">
      <c r="A640">
        <f>ROW(Source!A573)</f>
        <v>573</v>
      </c>
      <c r="B640">
        <v>129763932</v>
      </c>
      <c r="C640">
        <v>129763924</v>
      </c>
      <c r="D640">
        <v>37345890</v>
      </c>
      <c r="E640">
        <v>37345137</v>
      </c>
      <c r="F640">
        <v>1</v>
      </c>
      <c r="G640">
        <v>37345137</v>
      </c>
      <c r="H640">
        <v>2</v>
      </c>
      <c r="I640" t="s">
        <v>1145</v>
      </c>
      <c r="J640" t="s">
        <v>3</v>
      </c>
      <c r="K640" t="s">
        <v>1146</v>
      </c>
      <c r="L640">
        <v>1344</v>
      </c>
      <c r="N640">
        <v>1008</v>
      </c>
      <c r="O640" t="s">
        <v>1138</v>
      </c>
      <c r="P640" t="s">
        <v>1138</v>
      </c>
      <c r="Q640">
        <v>1</v>
      </c>
      <c r="X640">
        <v>1.49</v>
      </c>
      <c r="Y640">
        <v>0</v>
      </c>
      <c r="Z640">
        <v>1</v>
      </c>
      <c r="AA640">
        <v>0</v>
      </c>
      <c r="AB640">
        <v>0</v>
      </c>
      <c r="AC640">
        <v>0</v>
      </c>
      <c r="AD640">
        <v>1</v>
      </c>
      <c r="AE640">
        <v>0</v>
      </c>
      <c r="AF640" t="s">
        <v>86</v>
      </c>
      <c r="AG640">
        <v>1.8625</v>
      </c>
      <c r="AH640">
        <v>2</v>
      </c>
      <c r="AI640">
        <v>129763927</v>
      </c>
      <c r="AJ640">
        <v>648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</row>
    <row r="641" spans="1:44" x14ac:dyDescent="0.2">
      <c r="A641">
        <f>ROW(Source!A573)</f>
        <v>573</v>
      </c>
      <c r="B641">
        <v>129763933</v>
      </c>
      <c r="C641">
        <v>129763924</v>
      </c>
      <c r="D641">
        <v>37393894</v>
      </c>
      <c r="E641">
        <v>1</v>
      </c>
      <c r="F641">
        <v>1</v>
      </c>
      <c r="G641">
        <v>37345137</v>
      </c>
      <c r="H641">
        <v>3</v>
      </c>
      <c r="I641" t="s">
        <v>1333</v>
      </c>
      <c r="J641" t="s">
        <v>1334</v>
      </c>
      <c r="K641" t="s">
        <v>1335</v>
      </c>
      <c r="L641">
        <v>1348</v>
      </c>
      <c r="N641">
        <v>1009</v>
      </c>
      <c r="O641" t="s">
        <v>114</v>
      </c>
      <c r="P641" t="s">
        <v>114</v>
      </c>
      <c r="Q641">
        <v>1000</v>
      </c>
      <c r="X641">
        <v>1.5E-3</v>
      </c>
      <c r="Y641">
        <v>6303.6</v>
      </c>
      <c r="Z641">
        <v>0</v>
      </c>
      <c r="AA641">
        <v>0</v>
      </c>
      <c r="AB641">
        <v>0</v>
      </c>
      <c r="AC641">
        <v>0</v>
      </c>
      <c r="AD641">
        <v>1</v>
      </c>
      <c r="AE641">
        <v>0</v>
      </c>
      <c r="AF641" t="s">
        <v>3</v>
      </c>
      <c r="AG641">
        <v>1.5E-3</v>
      </c>
      <c r="AH641">
        <v>2</v>
      </c>
      <c r="AI641">
        <v>129763928</v>
      </c>
      <c r="AJ641">
        <v>650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</row>
    <row r="642" spans="1:44" x14ac:dyDescent="0.2">
      <c r="A642">
        <f>ROW(Source!A573)</f>
        <v>573</v>
      </c>
      <c r="B642">
        <v>129763934</v>
      </c>
      <c r="C642">
        <v>129763924</v>
      </c>
      <c r="D642">
        <v>93541384</v>
      </c>
      <c r="E642">
        <v>37345137</v>
      </c>
      <c r="F642">
        <v>1</v>
      </c>
      <c r="G642">
        <v>37345137</v>
      </c>
      <c r="H642">
        <v>3</v>
      </c>
      <c r="I642" t="s">
        <v>1497</v>
      </c>
      <c r="J642" t="s">
        <v>3</v>
      </c>
      <c r="K642" t="s">
        <v>1498</v>
      </c>
      <c r="L642">
        <v>1348</v>
      </c>
      <c r="N642">
        <v>1009</v>
      </c>
      <c r="O642" t="s">
        <v>114</v>
      </c>
      <c r="P642" t="s">
        <v>114</v>
      </c>
      <c r="Q642">
        <v>1000</v>
      </c>
      <c r="X642">
        <v>8.9999999999999993E-3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 t="s">
        <v>3</v>
      </c>
      <c r="AG642">
        <v>8.9999999999999993E-3</v>
      </c>
      <c r="AH642">
        <v>3</v>
      </c>
      <c r="AI642">
        <v>-1</v>
      </c>
      <c r="AJ642" t="s">
        <v>3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</row>
    <row r="643" spans="1:44" x14ac:dyDescent="0.2">
      <c r="A643">
        <f>ROW(Source!A576)</f>
        <v>576</v>
      </c>
      <c r="B643">
        <v>129763942</v>
      </c>
      <c r="C643">
        <v>129763936</v>
      </c>
      <c r="D643">
        <v>37345142</v>
      </c>
      <c r="E643">
        <v>37345137</v>
      </c>
      <c r="F643">
        <v>1</v>
      </c>
      <c r="G643">
        <v>37345137</v>
      </c>
      <c r="H643">
        <v>1</v>
      </c>
      <c r="I643" t="s">
        <v>1096</v>
      </c>
      <c r="J643" t="s">
        <v>3</v>
      </c>
      <c r="K643" t="s">
        <v>1097</v>
      </c>
      <c r="L643">
        <v>1191</v>
      </c>
      <c r="N643">
        <v>1013</v>
      </c>
      <c r="O643" t="s">
        <v>1098</v>
      </c>
      <c r="P643" t="s">
        <v>1098</v>
      </c>
      <c r="Q643">
        <v>1</v>
      </c>
      <c r="X643">
        <v>2.13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1</v>
      </c>
      <c r="AE643">
        <v>1</v>
      </c>
      <c r="AF643" t="s">
        <v>87</v>
      </c>
      <c r="AG643">
        <v>2.4494999999999996</v>
      </c>
      <c r="AH643">
        <v>2</v>
      </c>
      <c r="AI643">
        <v>129763937</v>
      </c>
      <c r="AJ643">
        <v>651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</row>
    <row r="644" spans="1:44" x14ac:dyDescent="0.2">
      <c r="A644">
        <f>ROW(Source!A576)</f>
        <v>576</v>
      </c>
      <c r="B644">
        <v>129763943</v>
      </c>
      <c r="C644">
        <v>129763936</v>
      </c>
      <c r="D644">
        <v>37418445</v>
      </c>
      <c r="E644">
        <v>1</v>
      </c>
      <c r="F644">
        <v>1</v>
      </c>
      <c r="G644">
        <v>37345137</v>
      </c>
      <c r="H644">
        <v>2</v>
      </c>
      <c r="I644" t="s">
        <v>1189</v>
      </c>
      <c r="J644" t="s">
        <v>1190</v>
      </c>
      <c r="K644" t="s">
        <v>1191</v>
      </c>
      <c r="L644">
        <v>1367</v>
      </c>
      <c r="N644">
        <v>1011</v>
      </c>
      <c r="O644" t="s">
        <v>1102</v>
      </c>
      <c r="P644" t="s">
        <v>1102</v>
      </c>
      <c r="Q644">
        <v>1</v>
      </c>
      <c r="X644">
        <v>0.01</v>
      </c>
      <c r="Y644">
        <v>0</v>
      </c>
      <c r="Z644">
        <v>76.81</v>
      </c>
      <c r="AA644">
        <v>14.36</v>
      </c>
      <c r="AB644">
        <v>0</v>
      </c>
      <c r="AC644">
        <v>0</v>
      </c>
      <c r="AD644">
        <v>1</v>
      </c>
      <c r="AE644">
        <v>0</v>
      </c>
      <c r="AF644" t="s">
        <v>86</v>
      </c>
      <c r="AG644">
        <v>1.2500000000000001E-2</v>
      </c>
      <c r="AH644">
        <v>2</v>
      </c>
      <c r="AI644">
        <v>129763938</v>
      </c>
      <c r="AJ644">
        <v>652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</row>
    <row r="645" spans="1:44" x14ac:dyDescent="0.2">
      <c r="A645">
        <f>ROW(Source!A576)</f>
        <v>576</v>
      </c>
      <c r="B645">
        <v>129763944</v>
      </c>
      <c r="C645">
        <v>129763936</v>
      </c>
      <c r="D645">
        <v>37417785</v>
      </c>
      <c r="E645">
        <v>1</v>
      </c>
      <c r="F645">
        <v>1</v>
      </c>
      <c r="G645">
        <v>37345137</v>
      </c>
      <c r="H645">
        <v>2</v>
      </c>
      <c r="I645" t="s">
        <v>1309</v>
      </c>
      <c r="J645" t="s">
        <v>1310</v>
      </c>
      <c r="K645" t="s">
        <v>1311</v>
      </c>
      <c r="L645">
        <v>1367</v>
      </c>
      <c r="N645">
        <v>1011</v>
      </c>
      <c r="O645" t="s">
        <v>1102</v>
      </c>
      <c r="P645" t="s">
        <v>1102</v>
      </c>
      <c r="Q645">
        <v>1</v>
      </c>
      <c r="X645">
        <v>0.01</v>
      </c>
      <c r="Y645">
        <v>0</v>
      </c>
      <c r="Z645">
        <v>73</v>
      </c>
      <c r="AA645">
        <v>16.899999999999999</v>
      </c>
      <c r="AB645">
        <v>0</v>
      </c>
      <c r="AC645">
        <v>0</v>
      </c>
      <c r="AD645">
        <v>1</v>
      </c>
      <c r="AE645">
        <v>0</v>
      </c>
      <c r="AF645" t="s">
        <v>86</v>
      </c>
      <c r="AG645">
        <v>1.2500000000000001E-2</v>
      </c>
      <c r="AH645">
        <v>2</v>
      </c>
      <c r="AI645">
        <v>129763939</v>
      </c>
      <c r="AJ645">
        <v>653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</row>
    <row r="646" spans="1:44" x14ac:dyDescent="0.2">
      <c r="A646">
        <f>ROW(Source!A576)</f>
        <v>576</v>
      </c>
      <c r="B646">
        <v>129763945</v>
      </c>
      <c r="C646">
        <v>129763936</v>
      </c>
      <c r="D646">
        <v>37394875</v>
      </c>
      <c r="E646">
        <v>1</v>
      </c>
      <c r="F646">
        <v>1</v>
      </c>
      <c r="G646">
        <v>37345137</v>
      </c>
      <c r="H646">
        <v>3</v>
      </c>
      <c r="I646" t="s">
        <v>1336</v>
      </c>
      <c r="J646" t="s">
        <v>1337</v>
      </c>
      <c r="K646" t="s">
        <v>1338</v>
      </c>
      <c r="L646">
        <v>1346</v>
      </c>
      <c r="N646">
        <v>1009</v>
      </c>
      <c r="O646" t="s">
        <v>369</v>
      </c>
      <c r="P646" t="s">
        <v>369</v>
      </c>
      <c r="Q646">
        <v>1</v>
      </c>
      <c r="X646">
        <v>9</v>
      </c>
      <c r="Y646">
        <v>29.9</v>
      </c>
      <c r="Z646">
        <v>0</v>
      </c>
      <c r="AA646">
        <v>0</v>
      </c>
      <c r="AB646">
        <v>0</v>
      </c>
      <c r="AC646">
        <v>0</v>
      </c>
      <c r="AD646">
        <v>1</v>
      </c>
      <c r="AE646">
        <v>0</v>
      </c>
      <c r="AF646" t="s">
        <v>3</v>
      </c>
      <c r="AG646">
        <v>9</v>
      </c>
      <c r="AH646">
        <v>2</v>
      </c>
      <c r="AI646">
        <v>129763940</v>
      </c>
      <c r="AJ646">
        <v>654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</row>
    <row r="647" spans="1:44" x14ac:dyDescent="0.2">
      <c r="A647">
        <f>ROW(Source!A576)</f>
        <v>576</v>
      </c>
      <c r="B647">
        <v>129763946</v>
      </c>
      <c r="C647">
        <v>129763936</v>
      </c>
      <c r="D647">
        <v>37394322</v>
      </c>
      <c r="E647">
        <v>1</v>
      </c>
      <c r="F647">
        <v>1</v>
      </c>
      <c r="G647">
        <v>37345137</v>
      </c>
      <c r="H647">
        <v>3</v>
      </c>
      <c r="I647" t="s">
        <v>1339</v>
      </c>
      <c r="J647" t="s">
        <v>1340</v>
      </c>
      <c r="K647" t="s">
        <v>1341</v>
      </c>
      <c r="L647">
        <v>1348</v>
      </c>
      <c r="N647">
        <v>1009</v>
      </c>
      <c r="O647" t="s">
        <v>114</v>
      </c>
      <c r="P647" t="s">
        <v>114</v>
      </c>
      <c r="Q647">
        <v>1000</v>
      </c>
      <c r="X647">
        <v>1.48E-3</v>
      </c>
      <c r="Y647">
        <v>12534.98</v>
      </c>
      <c r="Z647">
        <v>0</v>
      </c>
      <c r="AA647">
        <v>0</v>
      </c>
      <c r="AB647">
        <v>0</v>
      </c>
      <c r="AC647">
        <v>0</v>
      </c>
      <c r="AD647">
        <v>1</v>
      </c>
      <c r="AE647">
        <v>0</v>
      </c>
      <c r="AF647" t="s">
        <v>3</v>
      </c>
      <c r="AG647">
        <v>1.48E-3</v>
      </c>
      <c r="AH647">
        <v>2</v>
      </c>
      <c r="AI647">
        <v>129763941</v>
      </c>
      <c r="AJ647">
        <v>655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</row>
    <row r="648" spans="1:44" x14ac:dyDescent="0.2">
      <c r="A648">
        <f>ROW(Source!A577)</f>
        <v>577</v>
      </c>
      <c r="B648">
        <v>129763942</v>
      </c>
      <c r="C648">
        <v>129763936</v>
      </c>
      <c r="D648">
        <v>37345142</v>
      </c>
      <c r="E648">
        <v>37345137</v>
      </c>
      <c r="F648">
        <v>1</v>
      </c>
      <c r="G648">
        <v>37345137</v>
      </c>
      <c r="H648">
        <v>1</v>
      </c>
      <c r="I648" t="s">
        <v>1096</v>
      </c>
      <c r="J648" t="s">
        <v>3</v>
      </c>
      <c r="K648" t="s">
        <v>1097</v>
      </c>
      <c r="L648">
        <v>1191</v>
      </c>
      <c r="N648">
        <v>1013</v>
      </c>
      <c r="O648" t="s">
        <v>1098</v>
      </c>
      <c r="P648" t="s">
        <v>1098</v>
      </c>
      <c r="Q648">
        <v>1</v>
      </c>
      <c r="X648">
        <v>2.13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1</v>
      </c>
      <c r="AE648">
        <v>1</v>
      </c>
      <c r="AF648" t="s">
        <v>87</v>
      </c>
      <c r="AG648">
        <v>2.4494999999999996</v>
      </c>
      <c r="AH648">
        <v>2</v>
      </c>
      <c r="AI648">
        <v>129763937</v>
      </c>
      <c r="AJ648">
        <v>656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</row>
    <row r="649" spans="1:44" x14ac:dyDescent="0.2">
      <c r="A649">
        <f>ROW(Source!A577)</f>
        <v>577</v>
      </c>
      <c r="B649">
        <v>129763943</v>
      </c>
      <c r="C649">
        <v>129763936</v>
      </c>
      <c r="D649">
        <v>37418445</v>
      </c>
      <c r="E649">
        <v>1</v>
      </c>
      <c r="F649">
        <v>1</v>
      </c>
      <c r="G649">
        <v>37345137</v>
      </c>
      <c r="H649">
        <v>2</v>
      </c>
      <c r="I649" t="s">
        <v>1189</v>
      </c>
      <c r="J649" t="s">
        <v>1190</v>
      </c>
      <c r="K649" t="s">
        <v>1191</v>
      </c>
      <c r="L649">
        <v>1367</v>
      </c>
      <c r="N649">
        <v>1011</v>
      </c>
      <c r="O649" t="s">
        <v>1102</v>
      </c>
      <c r="P649" t="s">
        <v>1102</v>
      </c>
      <c r="Q649">
        <v>1</v>
      </c>
      <c r="X649">
        <v>0.01</v>
      </c>
      <c r="Y649">
        <v>0</v>
      </c>
      <c r="Z649">
        <v>76.81</v>
      </c>
      <c r="AA649">
        <v>14.36</v>
      </c>
      <c r="AB649">
        <v>0</v>
      </c>
      <c r="AC649">
        <v>0</v>
      </c>
      <c r="AD649">
        <v>1</v>
      </c>
      <c r="AE649">
        <v>0</v>
      </c>
      <c r="AF649" t="s">
        <v>86</v>
      </c>
      <c r="AG649">
        <v>1.2500000000000001E-2</v>
      </c>
      <c r="AH649">
        <v>2</v>
      </c>
      <c r="AI649">
        <v>129763938</v>
      </c>
      <c r="AJ649">
        <v>657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</row>
    <row r="650" spans="1:44" x14ac:dyDescent="0.2">
      <c r="A650">
        <f>ROW(Source!A577)</f>
        <v>577</v>
      </c>
      <c r="B650">
        <v>129763944</v>
      </c>
      <c r="C650">
        <v>129763936</v>
      </c>
      <c r="D650">
        <v>37417785</v>
      </c>
      <c r="E650">
        <v>1</v>
      </c>
      <c r="F650">
        <v>1</v>
      </c>
      <c r="G650">
        <v>37345137</v>
      </c>
      <c r="H650">
        <v>2</v>
      </c>
      <c r="I650" t="s">
        <v>1309</v>
      </c>
      <c r="J650" t="s">
        <v>1310</v>
      </c>
      <c r="K650" t="s">
        <v>1311</v>
      </c>
      <c r="L650">
        <v>1367</v>
      </c>
      <c r="N650">
        <v>1011</v>
      </c>
      <c r="O650" t="s">
        <v>1102</v>
      </c>
      <c r="P650" t="s">
        <v>1102</v>
      </c>
      <c r="Q650">
        <v>1</v>
      </c>
      <c r="X650">
        <v>0.01</v>
      </c>
      <c r="Y650">
        <v>0</v>
      </c>
      <c r="Z650">
        <v>73</v>
      </c>
      <c r="AA650">
        <v>16.899999999999999</v>
      </c>
      <c r="AB650">
        <v>0</v>
      </c>
      <c r="AC650">
        <v>0</v>
      </c>
      <c r="AD650">
        <v>1</v>
      </c>
      <c r="AE650">
        <v>0</v>
      </c>
      <c r="AF650" t="s">
        <v>86</v>
      </c>
      <c r="AG650">
        <v>1.2500000000000001E-2</v>
      </c>
      <c r="AH650">
        <v>2</v>
      </c>
      <c r="AI650">
        <v>129763939</v>
      </c>
      <c r="AJ650">
        <v>658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</row>
    <row r="651" spans="1:44" x14ac:dyDescent="0.2">
      <c r="A651">
        <f>ROW(Source!A577)</f>
        <v>577</v>
      </c>
      <c r="B651">
        <v>129763945</v>
      </c>
      <c r="C651">
        <v>129763936</v>
      </c>
      <c r="D651">
        <v>37394875</v>
      </c>
      <c r="E651">
        <v>1</v>
      </c>
      <c r="F651">
        <v>1</v>
      </c>
      <c r="G651">
        <v>37345137</v>
      </c>
      <c r="H651">
        <v>3</v>
      </c>
      <c r="I651" t="s">
        <v>1336</v>
      </c>
      <c r="J651" t="s">
        <v>1337</v>
      </c>
      <c r="K651" t="s">
        <v>1338</v>
      </c>
      <c r="L651">
        <v>1346</v>
      </c>
      <c r="N651">
        <v>1009</v>
      </c>
      <c r="O651" t="s">
        <v>369</v>
      </c>
      <c r="P651" t="s">
        <v>369</v>
      </c>
      <c r="Q651">
        <v>1</v>
      </c>
      <c r="X651">
        <v>9</v>
      </c>
      <c r="Y651">
        <v>29.9</v>
      </c>
      <c r="Z651">
        <v>0</v>
      </c>
      <c r="AA651">
        <v>0</v>
      </c>
      <c r="AB651">
        <v>0</v>
      </c>
      <c r="AC651">
        <v>0</v>
      </c>
      <c r="AD651">
        <v>1</v>
      </c>
      <c r="AE651">
        <v>0</v>
      </c>
      <c r="AF651" t="s">
        <v>3</v>
      </c>
      <c r="AG651">
        <v>9</v>
      </c>
      <c r="AH651">
        <v>2</v>
      </c>
      <c r="AI651">
        <v>129763940</v>
      </c>
      <c r="AJ651">
        <v>659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</row>
    <row r="652" spans="1:44" x14ac:dyDescent="0.2">
      <c r="A652">
        <f>ROW(Source!A577)</f>
        <v>577</v>
      </c>
      <c r="B652">
        <v>129763946</v>
      </c>
      <c r="C652">
        <v>129763936</v>
      </c>
      <c r="D652">
        <v>37394322</v>
      </c>
      <c r="E652">
        <v>1</v>
      </c>
      <c r="F652">
        <v>1</v>
      </c>
      <c r="G652">
        <v>37345137</v>
      </c>
      <c r="H652">
        <v>3</v>
      </c>
      <c r="I652" t="s">
        <v>1339</v>
      </c>
      <c r="J652" t="s">
        <v>1340</v>
      </c>
      <c r="K652" t="s">
        <v>1341</v>
      </c>
      <c r="L652">
        <v>1348</v>
      </c>
      <c r="N652">
        <v>1009</v>
      </c>
      <c r="O652" t="s">
        <v>114</v>
      </c>
      <c r="P652" t="s">
        <v>114</v>
      </c>
      <c r="Q652">
        <v>1000</v>
      </c>
      <c r="X652">
        <v>1.48E-3</v>
      </c>
      <c r="Y652">
        <v>12534.98</v>
      </c>
      <c r="Z652">
        <v>0</v>
      </c>
      <c r="AA652">
        <v>0</v>
      </c>
      <c r="AB652">
        <v>0</v>
      </c>
      <c r="AC652">
        <v>0</v>
      </c>
      <c r="AD652">
        <v>1</v>
      </c>
      <c r="AE652">
        <v>0</v>
      </c>
      <c r="AF652" t="s">
        <v>3</v>
      </c>
      <c r="AG652">
        <v>1.48E-3</v>
      </c>
      <c r="AH652">
        <v>2</v>
      </c>
      <c r="AI652">
        <v>129763941</v>
      </c>
      <c r="AJ652">
        <v>660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</row>
    <row r="653" spans="1:44" x14ac:dyDescent="0.2">
      <c r="A653">
        <f>ROW(Source!A647)</f>
        <v>647</v>
      </c>
      <c r="B653">
        <v>129763949</v>
      </c>
      <c r="C653">
        <v>129763947</v>
      </c>
      <c r="D653">
        <v>37345142</v>
      </c>
      <c r="E653">
        <v>37345137</v>
      </c>
      <c r="F653">
        <v>1</v>
      </c>
      <c r="G653">
        <v>37345137</v>
      </c>
      <c r="H653">
        <v>1</v>
      </c>
      <c r="I653" t="s">
        <v>1096</v>
      </c>
      <c r="J653" t="s">
        <v>3</v>
      </c>
      <c r="K653" t="s">
        <v>1097</v>
      </c>
      <c r="L653">
        <v>1191</v>
      </c>
      <c r="N653">
        <v>1013</v>
      </c>
      <c r="O653" t="s">
        <v>1098</v>
      </c>
      <c r="P653" t="s">
        <v>1098</v>
      </c>
      <c r="Q653">
        <v>1</v>
      </c>
      <c r="X653">
        <v>25.56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1</v>
      </c>
      <c r="AE653">
        <v>1</v>
      </c>
      <c r="AF653" t="s">
        <v>3</v>
      </c>
      <c r="AG653">
        <v>25.56</v>
      </c>
      <c r="AH653">
        <v>2</v>
      </c>
      <c r="AI653">
        <v>129763948</v>
      </c>
      <c r="AJ653">
        <v>661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</row>
    <row r="654" spans="1:44" x14ac:dyDescent="0.2">
      <c r="A654">
        <f>ROW(Source!A648)</f>
        <v>648</v>
      </c>
      <c r="B654">
        <v>129763949</v>
      </c>
      <c r="C654">
        <v>129763947</v>
      </c>
      <c r="D654">
        <v>37345142</v>
      </c>
      <c r="E654">
        <v>37345137</v>
      </c>
      <c r="F654">
        <v>1</v>
      </c>
      <c r="G654">
        <v>37345137</v>
      </c>
      <c r="H654">
        <v>1</v>
      </c>
      <c r="I654" t="s">
        <v>1096</v>
      </c>
      <c r="J654" t="s">
        <v>3</v>
      </c>
      <c r="K654" t="s">
        <v>1097</v>
      </c>
      <c r="L654">
        <v>1191</v>
      </c>
      <c r="N654">
        <v>1013</v>
      </c>
      <c r="O654" t="s">
        <v>1098</v>
      </c>
      <c r="P654" t="s">
        <v>1098</v>
      </c>
      <c r="Q654">
        <v>1</v>
      </c>
      <c r="X654">
        <v>25.56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1</v>
      </c>
      <c r="AE654">
        <v>1</v>
      </c>
      <c r="AF654" t="s">
        <v>3</v>
      </c>
      <c r="AG654">
        <v>25.56</v>
      </c>
      <c r="AH654">
        <v>2</v>
      </c>
      <c r="AI654">
        <v>129763948</v>
      </c>
      <c r="AJ654">
        <v>662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</row>
    <row r="655" spans="1:44" x14ac:dyDescent="0.2">
      <c r="A655">
        <f>ROW(Source!A649)</f>
        <v>649</v>
      </c>
      <c r="B655">
        <v>129763952</v>
      </c>
      <c r="C655">
        <v>129763950</v>
      </c>
      <c r="D655">
        <v>37345142</v>
      </c>
      <c r="E655">
        <v>37345137</v>
      </c>
      <c r="F655">
        <v>1</v>
      </c>
      <c r="G655">
        <v>37345137</v>
      </c>
      <c r="H655">
        <v>1</v>
      </c>
      <c r="I655" t="s">
        <v>1096</v>
      </c>
      <c r="J655" t="s">
        <v>3</v>
      </c>
      <c r="K655" t="s">
        <v>1097</v>
      </c>
      <c r="L655">
        <v>1191</v>
      </c>
      <c r="N655">
        <v>1013</v>
      </c>
      <c r="O655" t="s">
        <v>1098</v>
      </c>
      <c r="P655" t="s">
        <v>1098</v>
      </c>
      <c r="Q655">
        <v>1</v>
      </c>
      <c r="X655">
        <v>1.35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1</v>
      </c>
      <c r="AE655">
        <v>1</v>
      </c>
      <c r="AF655" t="s">
        <v>3</v>
      </c>
      <c r="AG655">
        <v>1.35</v>
      </c>
      <c r="AH655">
        <v>2</v>
      </c>
      <c r="AI655">
        <v>129763951</v>
      </c>
      <c r="AJ655">
        <v>663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</row>
    <row r="656" spans="1:44" x14ac:dyDescent="0.2">
      <c r="A656">
        <f>ROW(Source!A650)</f>
        <v>650</v>
      </c>
      <c r="B656">
        <v>129763952</v>
      </c>
      <c r="C656">
        <v>129763950</v>
      </c>
      <c r="D656">
        <v>37345142</v>
      </c>
      <c r="E656">
        <v>37345137</v>
      </c>
      <c r="F656">
        <v>1</v>
      </c>
      <c r="G656">
        <v>37345137</v>
      </c>
      <c r="H656">
        <v>1</v>
      </c>
      <c r="I656" t="s">
        <v>1096</v>
      </c>
      <c r="J656" t="s">
        <v>3</v>
      </c>
      <c r="K656" t="s">
        <v>1097</v>
      </c>
      <c r="L656">
        <v>1191</v>
      </c>
      <c r="N656">
        <v>1013</v>
      </c>
      <c r="O656" t="s">
        <v>1098</v>
      </c>
      <c r="P656" t="s">
        <v>1098</v>
      </c>
      <c r="Q656">
        <v>1</v>
      </c>
      <c r="X656">
        <v>1.35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1</v>
      </c>
      <c r="AE656">
        <v>1</v>
      </c>
      <c r="AF656" t="s">
        <v>3</v>
      </c>
      <c r="AG656">
        <v>1.35</v>
      </c>
      <c r="AH656">
        <v>2</v>
      </c>
      <c r="AI656">
        <v>129763951</v>
      </c>
      <c r="AJ656">
        <v>664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</row>
    <row r="657" spans="1:44" x14ac:dyDescent="0.2">
      <c r="A657">
        <f>ROW(Source!A651)</f>
        <v>651</v>
      </c>
      <c r="B657">
        <v>129763956</v>
      </c>
      <c r="C657">
        <v>129763953</v>
      </c>
      <c r="D657">
        <v>37345142</v>
      </c>
      <c r="E657">
        <v>37345137</v>
      </c>
      <c r="F657">
        <v>1</v>
      </c>
      <c r="G657">
        <v>37345137</v>
      </c>
      <c r="H657">
        <v>1</v>
      </c>
      <c r="I657" t="s">
        <v>1096</v>
      </c>
      <c r="J657" t="s">
        <v>3</v>
      </c>
      <c r="K657" t="s">
        <v>1097</v>
      </c>
      <c r="L657">
        <v>1191</v>
      </c>
      <c r="N657">
        <v>1013</v>
      </c>
      <c r="O657" t="s">
        <v>1098</v>
      </c>
      <c r="P657" t="s">
        <v>1098</v>
      </c>
      <c r="Q657">
        <v>1</v>
      </c>
      <c r="X657">
        <v>9.3000000000000007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1</v>
      </c>
      <c r="AE657">
        <v>1</v>
      </c>
      <c r="AF657" t="s">
        <v>3</v>
      </c>
      <c r="AG657">
        <v>9.3000000000000007</v>
      </c>
      <c r="AH657">
        <v>2</v>
      </c>
      <c r="AI657">
        <v>129763954</v>
      </c>
      <c r="AJ657">
        <v>665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</row>
    <row r="658" spans="1:44" x14ac:dyDescent="0.2">
      <c r="A658">
        <f>ROW(Source!A651)</f>
        <v>651</v>
      </c>
      <c r="B658">
        <v>129763957</v>
      </c>
      <c r="C658">
        <v>129763953</v>
      </c>
      <c r="D658">
        <v>37367069</v>
      </c>
      <c r="E658">
        <v>37345137</v>
      </c>
      <c r="F658">
        <v>1</v>
      </c>
      <c r="G658">
        <v>37345137</v>
      </c>
      <c r="H658">
        <v>3</v>
      </c>
      <c r="I658" t="s">
        <v>1342</v>
      </c>
      <c r="J658" t="s">
        <v>3</v>
      </c>
      <c r="K658" t="s">
        <v>1343</v>
      </c>
      <c r="L658">
        <v>1348</v>
      </c>
      <c r="N658">
        <v>1009</v>
      </c>
      <c r="O658" t="s">
        <v>114</v>
      </c>
      <c r="P658" t="s">
        <v>114</v>
      </c>
      <c r="Q658">
        <v>1000</v>
      </c>
      <c r="X658">
        <v>1E-3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1</v>
      </c>
      <c r="AE658">
        <v>0</v>
      </c>
      <c r="AF658" t="s">
        <v>3</v>
      </c>
      <c r="AG658">
        <v>1E-3</v>
      </c>
      <c r="AH658">
        <v>2</v>
      </c>
      <c r="AI658">
        <v>129763955</v>
      </c>
      <c r="AJ658">
        <v>666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</row>
    <row r="659" spans="1:44" x14ac:dyDescent="0.2">
      <c r="A659">
        <f>ROW(Source!A652)</f>
        <v>652</v>
      </c>
      <c r="B659">
        <v>129763956</v>
      </c>
      <c r="C659">
        <v>129763953</v>
      </c>
      <c r="D659">
        <v>37345142</v>
      </c>
      <c r="E659">
        <v>37345137</v>
      </c>
      <c r="F659">
        <v>1</v>
      </c>
      <c r="G659">
        <v>37345137</v>
      </c>
      <c r="H659">
        <v>1</v>
      </c>
      <c r="I659" t="s">
        <v>1096</v>
      </c>
      <c r="J659" t="s">
        <v>3</v>
      </c>
      <c r="K659" t="s">
        <v>1097</v>
      </c>
      <c r="L659">
        <v>1191</v>
      </c>
      <c r="N659">
        <v>1013</v>
      </c>
      <c r="O659" t="s">
        <v>1098</v>
      </c>
      <c r="P659" t="s">
        <v>1098</v>
      </c>
      <c r="Q659">
        <v>1</v>
      </c>
      <c r="X659">
        <v>9.3000000000000007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1</v>
      </c>
      <c r="AE659">
        <v>1</v>
      </c>
      <c r="AF659" t="s">
        <v>3</v>
      </c>
      <c r="AG659">
        <v>9.3000000000000007</v>
      </c>
      <c r="AH659">
        <v>2</v>
      </c>
      <c r="AI659">
        <v>129763954</v>
      </c>
      <c r="AJ659">
        <v>667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</row>
    <row r="660" spans="1:44" x14ac:dyDescent="0.2">
      <c r="A660">
        <f>ROW(Source!A652)</f>
        <v>652</v>
      </c>
      <c r="B660">
        <v>129763957</v>
      </c>
      <c r="C660">
        <v>129763953</v>
      </c>
      <c r="D660">
        <v>37367069</v>
      </c>
      <c r="E660">
        <v>37345137</v>
      </c>
      <c r="F660">
        <v>1</v>
      </c>
      <c r="G660">
        <v>37345137</v>
      </c>
      <c r="H660">
        <v>3</v>
      </c>
      <c r="I660" t="s">
        <v>1342</v>
      </c>
      <c r="J660" t="s">
        <v>3</v>
      </c>
      <c r="K660" t="s">
        <v>1343</v>
      </c>
      <c r="L660">
        <v>1348</v>
      </c>
      <c r="N660">
        <v>1009</v>
      </c>
      <c r="O660" t="s">
        <v>114</v>
      </c>
      <c r="P660" t="s">
        <v>114</v>
      </c>
      <c r="Q660">
        <v>1000</v>
      </c>
      <c r="X660">
        <v>1E-3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1</v>
      </c>
      <c r="AE660">
        <v>0</v>
      </c>
      <c r="AF660" t="s">
        <v>3</v>
      </c>
      <c r="AG660">
        <v>1E-3</v>
      </c>
      <c r="AH660">
        <v>2</v>
      </c>
      <c r="AI660">
        <v>129763955</v>
      </c>
      <c r="AJ660">
        <v>668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</row>
    <row r="661" spans="1:44" x14ac:dyDescent="0.2">
      <c r="A661">
        <f>ROW(Source!A653)</f>
        <v>653</v>
      </c>
      <c r="B661">
        <v>129763960</v>
      </c>
      <c r="C661">
        <v>129763958</v>
      </c>
      <c r="D661">
        <v>37345142</v>
      </c>
      <c r="E661">
        <v>37345137</v>
      </c>
      <c r="F661">
        <v>1</v>
      </c>
      <c r="G661">
        <v>37345137</v>
      </c>
      <c r="H661">
        <v>1</v>
      </c>
      <c r="I661" t="s">
        <v>1096</v>
      </c>
      <c r="J661" t="s">
        <v>3</v>
      </c>
      <c r="K661" t="s">
        <v>1097</v>
      </c>
      <c r="L661">
        <v>1191</v>
      </c>
      <c r="N661">
        <v>1013</v>
      </c>
      <c r="O661" t="s">
        <v>1098</v>
      </c>
      <c r="P661" t="s">
        <v>1098</v>
      </c>
      <c r="Q661">
        <v>1</v>
      </c>
      <c r="X661">
        <v>1.03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1</v>
      </c>
      <c r="AE661">
        <v>1</v>
      </c>
      <c r="AF661" t="s">
        <v>3</v>
      </c>
      <c r="AG661">
        <v>1.03</v>
      </c>
      <c r="AH661">
        <v>2</v>
      </c>
      <c r="AI661">
        <v>129763959</v>
      </c>
      <c r="AJ661">
        <v>669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</row>
    <row r="662" spans="1:44" x14ac:dyDescent="0.2">
      <c r="A662">
        <f>ROW(Source!A654)</f>
        <v>654</v>
      </c>
      <c r="B662">
        <v>129763960</v>
      </c>
      <c r="C662">
        <v>129763958</v>
      </c>
      <c r="D662">
        <v>37345142</v>
      </c>
      <c r="E662">
        <v>37345137</v>
      </c>
      <c r="F662">
        <v>1</v>
      </c>
      <c r="G662">
        <v>37345137</v>
      </c>
      <c r="H662">
        <v>1</v>
      </c>
      <c r="I662" t="s">
        <v>1096</v>
      </c>
      <c r="J662" t="s">
        <v>3</v>
      </c>
      <c r="K662" t="s">
        <v>1097</v>
      </c>
      <c r="L662">
        <v>1191</v>
      </c>
      <c r="N662">
        <v>1013</v>
      </c>
      <c r="O662" t="s">
        <v>1098</v>
      </c>
      <c r="P662" t="s">
        <v>1098</v>
      </c>
      <c r="Q662">
        <v>1</v>
      </c>
      <c r="X662">
        <v>1.03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1</v>
      </c>
      <c r="AE662">
        <v>1</v>
      </c>
      <c r="AF662" t="s">
        <v>3</v>
      </c>
      <c r="AG662">
        <v>1.03</v>
      </c>
      <c r="AH662">
        <v>2</v>
      </c>
      <c r="AI662">
        <v>129763959</v>
      </c>
      <c r="AJ662">
        <v>670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</row>
    <row r="663" spans="1:44" x14ac:dyDescent="0.2">
      <c r="A663">
        <f>ROW(Source!A655)</f>
        <v>655</v>
      </c>
      <c r="B663">
        <v>129763963</v>
      </c>
      <c r="C663">
        <v>129763961</v>
      </c>
      <c r="D663">
        <v>37345142</v>
      </c>
      <c r="E663">
        <v>37345137</v>
      </c>
      <c r="F663">
        <v>1</v>
      </c>
      <c r="G663">
        <v>37345137</v>
      </c>
      <c r="H663">
        <v>1</v>
      </c>
      <c r="I663" t="s">
        <v>1096</v>
      </c>
      <c r="J663" t="s">
        <v>3</v>
      </c>
      <c r="K663" t="s">
        <v>1097</v>
      </c>
      <c r="L663">
        <v>1191</v>
      </c>
      <c r="N663">
        <v>1013</v>
      </c>
      <c r="O663" t="s">
        <v>1098</v>
      </c>
      <c r="P663" t="s">
        <v>1098</v>
      </c>
      <c r="Q663">
        <v>1</v>
      </c>
      <c r="X663">
        <v>7.92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1</v>
      </c>
      <c r="AE663">
        <v>1</v>
      </c>
      <c r="AF663" t="s">
        <v>3</v>
      </c>
      <c r="AG663">
        <v>7.92</v>
      </c>
      <c r="AH663">
        <v>2</v>
      </c>
      <c r="AI663">
        <v>129763962</v>
      </c>
      <c r="AJ663">
        <v>671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</row>
    <row r="664" spans="1:44" x14ac:dyDescent="0.2">
      <c r="A664">
        <f>ROW(Source!A656)</f>
        <v>656</v>
      </c>
      <c r="B664">
        <v>129763963</v>
      </c>
      <c r="C664">
        <v>129763961</v>
      </c>
      <c r="D664">
        <v>37345142</v>
      </c>
      <c r="E664">
        <v>37345137</v>
      </c>
      <c r="F664">
        <v>1</v>
      </c>
      <c r="G664">
        <v>37345137</v>
      </c>
      <c r="H664">
        <v>1</v>
      </c>
      <c r="I664" t="s">
        <v>1096</v>
      </c>
      <c r="J664" t="s">
        <v>3</v>
      </c>
      <c r="K664" t="s">
        <v>1097</v>
      </c>
      <c r="L664">
        <v>1191</v>
      </c>
      <c r="N664">
        <v>1013</v>
      </c>
      <c r="O664" t="s">
        <v>1098</v>
      </c>
      <c r="P664" t="s">
        <v>1098</v>
      </c>
      <c r="Q664">
        <v>1</v>
      </c>
      <c r="X664">
        <v>7.92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1</v>
      </c>
      <c r="AE664">
        <v>1</v>
      </c>
      <c r="AF664" t="s">
        <v>3</v>
      </c>
      <c r="AG664">
        <v>7.92</v>
      </c>
      <c r="AH664">
        <v>2</v>
      </c>
      <c r="AI664">
        <v>129763962</v>
      </c>
      <c r="AJ664">
        <v>672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</row>
    <row r="665" spans="1:44" x14ac:dyDescent="0.2">
      <c r="A665">
        <f>ROW(Source!A657)</f>
        <v>657</v>
      </c>
      <c r="B665">
        <v>129763966</v>
      </c>
      <c r="C665">
        <v>129763964</v>
      </c>
      <c r="D665">
        <v>37345142</v>
      </c>
      <c r="E665">
        <v>37345137</v>
      </c>
      <c r="F665">
        <v>1</v>
      </c>
      <c r="G665">
        <v>37345137</v>
      </c>
      <c r="H665">
        <v>1</v>
      </c>
      <c r="I665" t="s">
        <v>1096</v>
      </c>
      <c r="J665" t="s">
        <v>3</v>
      </c>
      <c r="K665" t="s">
        <v>1097</v>
      </c>
      <c r="L665">
        <v>1191</v>
      </c>
      <c r="N665">
        <v>1013</v>
      </c>
      <c r="O665" t="s">
        <v>1098</v>
      </c>
      <c r="P665" t="s">
        <v>1098</v>
      </c>
      <c r="Q665">
        <v>1</v>
      </c>
      <c r="X665">
        <v>2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1</v>
      </c>
      <c r="AE665">
        <v>1</v>
      </c>
      <c r="AF665" t="s">
        <v>3</v>
      </c>
      <c r="AG665">
        <v>2</v>
      </c>
      <c r="AH665">
        <v>2</v>
      </c>
      <c r="AI665">
        <v>129763965</v>
      </c>
      <c r="AJ665">
        <v>673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</row>
    <row r="666" spans="1:44" x14ac:dyDescent="0.2">
      <c r="A666">
        <f>ROW(Source!A658)</f>
        <v>658</v>
      </c>
      <c r="B666">
        <v>129763966</v>
      </c>
      <c r="C666">
        <v>129763964</v>
      </c>
      <c r="D666">
        <v>37345142</v>
      </c>
      <c r="E666">
        <v>37345137</v>
      </c>
      <c r="F666">
        <v>1</v>
      </c>
      <c r="G666">
        <v>37345137</v>
      </c>
      <c r="H666">
        <v>1</v>
      </c>
      <c r="I666" t="s">
        <v>1096</v>
      </c>
      <c r="J666" t="s">
        <v>3</v>
      </c>
      <c r="K666" t="s">
        <v>1097</v>
      </c>
      <c r="L666">
        <v>1191</v>
      </c>
      <c r="N666">
        <v>1013</v>
      </c>
      <c r="O666" t="s">
        <v>1098</v>
      </c>
      <c r="P666" t="s">
        <v>1098</v>
      </c>
      <c r="Q666">
        <v>1</v>
      </c>
      <c r="X666">
        <v>2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1</v>
      </c>
      <c r="AE666">
        <v>1</v>
      </c>
      <c r="AF666" t="s">
        <v>3</v>
      </c>
      <c r="AG666">
        <v>2</v>
      </c>
      <c r="AH666">
        <v>2</v>
      </c>
      <c r="AI666">
        <v>129763965</v>
      </c>
      <c r="AJ666">
        <v>674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</row>
    <row r="667" spans="1:44" x14ac:dyDescent="0.2">
      <c r="A667">
        <f>ROW(Source!A659)</f>
        <v>659</v>
      </c>
      <c r="B667">
        <v>129763972</v>
      </c>
      <c r="C667">
        <v>129763967</v>
      </c>
      <c r="D667">
        <v>37345142</v>
      </c>
      <c r="E667">
        <v>37345137</v>
      </c>
      <c r="F667">
        <v>1</v>
      </c>
      <c r="G667">
        <v>37345137</v>
      </c>
      <c r="H667">
        <v>1</v>
      </c>
      <c r="I667" t="s">
        <v>1096</v>
      </c>
      <c r="J667" t="s">
        <v>3</v>
      </c>
      <c r="K667" t="s">
        <v>1097</v>
      </c>
      <c r="L667">
        <v>1191</v>
      </c>
      <c r="N667">
        <v>1013</v>
      </c>
      <c r="O667" t="s">
        <v>1098</v>
      </c>
      <c r="P667" t="s">
        <v>1098</v>
      </c>
      <c r="Q667">
        <v>1</v>
      </c>
      <c r="X667">
        <v>0.09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1</v>
      </c>
      <c r="AE667">
        <v>1</v>
      </c>
      <c r="AF667" t="s">
        <v>87</v>
      </c>
      <c r="AG667">
        <v>0.10349999999999999</v>
      </c>
      <c r="AH667">
        <v>2</v>
      </c>
      <c r="AI667">
        <v>129763968</v>
      </c>
      <c r="AJ667">
        <v>675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</row>
    <row r="668" spans="1:44" x14ac:dyDescent="0.2">
      <c r="A668">
        <f>ROW(Source!A659)</f>
        <v>659</v>
      </c>
      <c r="B668">
        <v>129763973</v>
      </c>
      <c r="C668">
        <v>129763967</v>
      </c>
      <c r="D668">
        <v>37394909</v>
      </c>
      <c r="E668">
        <v>1</v>
      </c>
      <c r="F668">
        <v>1</v>
      </c>
      <c r="G668">
        <v>37345137</v>
      </c>
      <c r="H668">
        <v>3</v>
      </c>
      <c r="I668" t="s">
        <v>1344</v>
      </c>
      <c r="J668" t="s">
        <v>1345</v>
      </c>
      <c r="K668" t="s">
        <v>1346</v>
      </c>
      <c r="L668">
        <v>1348</v>
      </c>
      <c r="N668">
        <v>1009</v>
      </c>
      <c r="O668" t="s">
        <v>114</v>
      </c>
      <c r="P668" t="s">
        <v>114</v>
      </c>
      <c r="Q668">
        <v>1000</v>
      </c>
      <c r="X668">
        <v>1.0000000000000001E-5</v>
      </c>
      <c r="Y668">
        <v>16744.32</v>
      </c>
      <c r="Z668">
        <v>0</v>
      </c>
      <c r="AA668">
        <v>0</v>
      </c>
      <c r="AB668">
        <v>0</v>
      </c>
      <c r="AC668">
        <v>0</v>
      </c>
      <c r="AD668">
        <v>1</v>
      </c>
      <c r="AE668">
        <v>0</v>
      </c>
      <c r="AF668" t="s">
        <v>3</v>
      </c>
      <c r="AG668">
        <v>1.0000000000000001E-5</v>
      </c>
      <c r="AH668">
        <v>2</v>
      </c>
      <c r="AI668">
        <v>129763969</v>
      </c>
      <c r="AJ668">
        <v>676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</row>
    <row r="669" spans="1:44" x14ac:dyDescent="0.2">
      <c r="A669">
        <f>ROW(Source!A659)</f>
        <v>659</v>
      </c>
      <c r="B669">
        <v>129763974</v>
      </c>
      <c r="C669">
        <v>129763967</v>
      </c>
      <c r="D669">
        <v>37360357</v>
      </c>
      <c r="E669">
        <v>37345137</v>
      </c>
      <c r="F669">
        <v>1</v>
      </c>
      <c r="G669">
        <v>37345137</v>
      </c>
      <c r="H669">
        <v>3</v>
      </c>
      <c r="I669" t="s">
        <v>1499</v>
      </c>
      <c r="J669" t="s">
        <v>3</v>
      </c>
      <c r="K669" t="s">
        <v>1500</v>
      </c>
      <c r="L669">
        <v>1354</v>
      </c>
      <c r="N669">
        <v>1010</v>
      </c>
      <c r="O669" t="s">
        <v>250</v>
      </c>
      <c r="P669" t="s">
        <v>250</v>
      </c>
      <c r="Q669">
        <v>1</v>
      </c>
      <c r="X669">
        <v>1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 t="s">
        <v>3</v>
      </c>
      <c r="AG669">
        <v>1</v>
      </c>
      <c r="AH669">
        <v>3</v>
      </c>
      <c r="AI669">
        <v>-1</v>
      </c>
      <c r="AJ669" t="s">
        <v>3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</row>
    <row r="670" spans="1:44" x14ac:dyDescent="0.2">
      <c r="A670">
        <f>ROW(Source!A660)</f>
        <v>660</v>
      </c>
      <c r="B670">
        <v>129763972</v>
      </c>
      <c r="C670">
        <v>129763967</v>
      </c>
      <c r="D670">
        <v>37345142</v>
      </c>
      <c r="E670">
        <v>37345137</v>
      </c>
      <c r="F670">
        <v>1</v>
      </c>
      <c r="G670">
        <v>37345137</v>
      </c>
      <c r="H670">
        <v>1</v>
      </c>
      <c r="I670" t="s">
        <v>1096</v>
      </c>
      <c r="J670" t="s">
        <v>3</v>
      </c>
      <c r="K670" t="s">
        <v>1097</v>
      </c>
      <c r="L670">
        <v>1191</v>
      </c>
      <c r="N670">
        <v>1013</v>
      </c>
      <c r="O670" t="s">
        <v>1098</v>
      </c>
      <c r="P670" t="s">
        <v>1098</v>
      </c>
      <c r="Q670">
        <v>1</v>
      </c>
      <c r="X670">
        <v>0.09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1</v>
      </c>
      <c r="AE670">
        <v>1</v>
      </c>
      <c r="AF670" t="s">
        <v>87</v>
      </c>
      <c r="AG670">
        <v>0.10349999999999999</v>
      </c>
      <c r="AH670">
        <v>2</v>
      </c>
      <c r="AI670">
        <v>129763968</v>
      </c>
      <c r="AJ670">
        <v>679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</row>
    <row r="671" spans="1:44" x14ac:dyDescent="0.2">
      <c r="A671">
        <f>ROW(Source!A660)</f>
        <v>660</v>
      </c>
      <c r="B671">
        <v>129763973</v>
      </c>
      <c r="C671">
        <v>129763967</v>
      </c>
      <c r="D671">
        <v>37394909</v>
      </c>
      <c r="E671">
        <v>1</v>
      </c>
      <c r="F671">
        <v>1</v>
      </c>
      <c r="G671">
        <v>37345137</v>
      </c>
      <c r="H671">
        <v>3</v>
      </c>
      <c r="I671" t="s">
        <v>1344</v>
      </c>
      <c r="J671" t="s">
        <v>1345</v>
      </c>
      <c r="K671" t="s">
        <v>1346</v>
      </c>
      <c r="L671">
        <v>1348</v>
      </c>
      <c r="N671">
        <v>1009</v>
      </c>
      <c r="O671" t="s">
        <v>114</v>
      </c>
      <c r="P671" t="s">
        <v>114</v>
      </c>
      <c r="Q671">
        <v>1000</v>
      </c>
      <c r="X671">
        <v>1.0000000000000001E-5</v>
      </c>
      <c r="Y671">
        <v>16744.32</v>
      </c>
      <c r="Z671">
        <v>0</v>
      </c>
      <c r="AA671">
        <v>0</v>
      </c>
      <c r="AB671">
        <v>0</v>
      </c>
      <c r="AC671">
        <v>0</v>
      </c>
      <c r="AD671">
        <v>1</v>
      </c>
      <c r="AE671">
        <v>0</v>
      </c>
      <c r="AF671" t="s">
        <v>3</v>
      </c>
      <c r="AG671">
        <v>1.0000000000000001E-5</v>
      </c>
      <c r="AH671">
        <v>2</v>
      </c>
      <c r="AI671">
        <v>129763969</v>
      </c>
      <c r="AJ671">
        <v>680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</row>
    <row r="672" spans="1:44" x14ac:dyDescent="0.2">
      <c r="A672">
        <f>ROW(Source!A660)</f>
        <v>660</v>
      </c>
      <c r="B672">
        <v>129763974</v>
      </c>
      <c r="C672">
        <v>129763967</v>
      </c>
      <c r="D672">
        <v>37360357</v>
      </c>
      <c r="E672">
        <v>37345137</v>
      </c>
      <c r="F672">
        <v>1</v>
      </c>
      <c r="G672">
        <v>37345137</v>
      </c>
      <c r="H672">
        <v>3</v>
      </c>
      <c r="I672" t="s">
        <v>1499</v>
      </c>
      <c r="J672" t="s">
        <v>3</v>
      </c>
      <c r="K672" t="s">
        <v>1500</v>
      </c>
      <c r="L672">
        <v>1354</v>
      </c>
      <c r="N672">
        <v>1010</v>
      </c>
      <c r="O672" t="s">
        <v>250</v>
      </c>
      <c r="P672" t="s">
        <v>250</v>
      </c>
      <c r="Q672">
        <v>1</v>
      </c>
      <c r="X672">
        <v>1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 t="s">
        <v>3</v>
      </c>
      <c r="AG672">
        <v>1</v>
      </c>
      <c r="AH672">
        <v>3</v>
      </c>
      <c r="AI672">
        <v>-1</v>
      </c>
      <c r="AJ672" t="s">
        <v>3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</row>
    <row r="673" spans="1:44" x14ac:dyDescent="0.2">
      <c r="A673">
        <f>ROW(Source!A665)</f>
        <v>665</v>
      </c>
      <c r="B673">
        <v>129763979</v>
      </c>
      <c r="C673">
        <v>129763977</v>
      </c>
      <c r="D673">
        <v>37345142</v>
      </c>
      <c r="E673">
        <v>37345137</v>
      </c>
      <c r="F673">
        <v>1</v>
      </c>
      <c r="G673">
        <v>37345137</v>
      </c>
      <c r="H673">
        <v>1</v>
      </c>
      <c r="I673" t="s">
        <v>1096</v>
      </c>
      <c r="J673" t="s">
        <v>3</v>
      </c>
      <c r="K673" t="s">
        <v>1097</v>
      </c>
      <c r="L673">
        <v>1191</v>
      </c>
      <c r="N673">
        <v>1013</v>
      </c>
      <c r="O673" t="s">
        <v>1098</v>
      </c>
      <c r="P673" t="s">
        <v>1098</v>
      </c>
      <c r="Q673">
        <v>1</v>
      </c>
      <c r="X673">
        <v>84.67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1</v>
      </c>
      <c r="AE673">
        <v>1</v>
      </c>
      <c r="AF673" t="s">
        <v>3</v>
      </c>
      <c r="AG673">
        <v>84.67</v>
      </c>
      <c r="AH673">
        <v>2</v>
      </c>
      <c r="AI673">
        <v>129763978</v>
      </c>
      <c r="AJ673">
        <v>683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</row>
    <row r="674" spans="1:44" x14ac:dyDescent="0.2">
      <c r="A674">
        <f>ROW(Source!A666)</f>
        <v>666</v>
      </c>
      <c r="B674">
        <v>129763979</v>
      </c>
      <c r="C674">
        <v>129763977</v>
      </c>
      <c r="D674">
        <v>37345142</v>
      </c>
      <c r="E674">
        <v>37345137</v>
      </c>
      <c r="F674">
        <v>1</v>
      </c>
      <c r="G674">
        <v>37345137</v>
      </c>
      <c r="H674">
        <v>1</v>
      </c>
      <c r="I674" t="s">
        <v>1096</v>
      </c>
      <c r="J674" t="s">
        <v>3</v>
      </c>
      <c r="K674" t="s">
        <v>1097</v>
      </c>
      <c r="L674">
        <v>1191</v>
      </c>
      <c r="N674">
        <v>1013</v>
      </c>
      <c r="O674" t="s">
        <v>1098</v>
      </c>
      <c r="P674" t="s">
        <v>1098</v>
      </c>
      <c r="Q674">
        <v>1</v>
      </c>
      <c r="X674">
        <v>84.67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1</v>
      </c>
      <c r="AE674">
        <v>1</v>
      </c>
      <c r="AF674" t="s">
        <v>3</v>
      </c>
      <c r="AG674">
        <v>84.67</v>
      </c>
      <c r="AH674">
        <v>2</v>
      </c>
      <c r="AI674">
        <v>129763978</v>
      </c>
      <c r="AJ674">
        <v>684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</row>
    <row r="675" spans="1:44" x14ac:dyDescent="0.2">
      <c r="A675">
        <f>ROW(Source!A667)</f>
        <v>667</v>
      </c>
      <c r="B675">
        <v>129763982</v>
      </c>
      <c r="C675">
        <v>129763980</v>
      </c>
      <c r="D675">
        <v>37345142</v>
      </c>
      <c r="E675">
        <v>37345137</v>
      </c>
      <c r="F675">
        <v>1</v>
      </c>
      <c r="G675">
        <v>37345137</v>
      </c>
      <c r="H675">
        <v>1</v>
      </c>
      <c r="I675" t="s">
        <v>1096</v>
      </c>
      <c r="J675" t="s">
        <v>3</v>
      </c>
      <c r="K675" t="s">
        <v>1097</v>
      </c>
      <c r="L675">
        <v>1191</v>
      </c>
      <c r="N675">
        <v>1013</v>
      </c>
      <c r="O675" t="s">
        <v>1098</v>
      </c>
      <c r="P675" t="s">
        <v>1098</v>
      </c>
      <c r="Q675">
        <v>1</v>
      </c>
      <c r="X675">
        <v>1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1</v>
      </c>
      <c r="AE675">
        <v>1</v>
      </c>
      <c r="AF675" t="s">
        <v>3</v>
      </c>
      <c r="AG675">
        <v>1</v>
      </c>
      <c r="AH675">
        <v>2</v>
      </c>
      <c r="AI675">
        <v>129763981</v>
      </c>
      <c r="AJ675">
        <v>685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</row>
    <row r="676" spans="1:44" x14ac:dyDescent="0.2">
      <c r="A676">
        <f>ROW(Source!A668)</f>
        <v>668</v>
      </c>
      <c r="B676">
        <v>129763982</v>
      </c>
      <c r="C676">
        <v>129763980</v>
      </c>
      <c r="D676">
        <v>37345142</v>
      </c>
      <c r="E676">
        <v>37345137</v>
      </c>
      <c r="F676">
        <v>1</v>
      </c>
      <c r="G676">
        <v>37345137</v>
      </c>
      <c r="H676">
        <v>1</v>
      </c>
      <c r="I676" t="s">
        <v>1096</v>
      </c>
      <c r="J676" t="s">
        <v>3</v>
      </c>
      <c r="K676" t="s">
        <v>1097</v>
      </c>
      <c r="L676">
        <v>1191</v>
      </c>
      <c r="N676">
        <v>1013</v>
      </c>
      <c r="O676" t="s">
        <v>1098</v>
      </c>
      <c r="P676" t="s">
        <v>1098</v>
      </c>
      <c r="Q676">
        <v>1</v>
      </c>
      <c r="X676">
        <v>1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1</v>
      </c>
      <c r="AE676">
        <v>1</v>
      </c>
      <c r="AF676" t="s">
        <v>3</v>
      </c>
      <c r="AG676">
        <v>1</v>
      </c>
      <c r="AH676">
        <v>2</v>
      </c>
      <c r="AI676">
        <v>129763981</v>
      </c>
      <c r="AJ676">
        <v>686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</row>
    <row r="677" spans="1:44" x14ac:dyDescent="0.2">
      <c r="A677">
        <f>ROW(Source!A669)</f>
        <v>669</v>
      </c>
      <c r="B677">
        <v>129763987</v>
      </c>
      <c r="C677">
        <v>129763983</v>
      </c>
      <c r="D677">
        <v>37345142</v>
      </c>
      <c r="E677">
        <v>37345137</v>
      </c>
      <c r="F677">
        <v>1</v>
      </c>
      <c r="G677">
        <v>37345137</v>
      </c>
      <c r="H677">
        <v>1</v>
      </c>
      <c r="I677" t="s">
        <v>1096</v>
      </c>
      <c r="J677" t="s">
        <v>3</v>
      </c>
      <c r="K677" t="s">
        <v>1097</v>
      </c>
      <c r="L677">
        <v>1191</v>
      </c>
      <c r="N677">
        <v>1013</v>
      </c>
      <c r="O677" t="s">
        <v>1098</v>
      </c>
      <c r="P677" t="s">
        <v>1098</v>
      </c>
      <c r="Q677">
        <v>1</v>
      </c>
      <c r="X677">
        <v>0.09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1</v>
      </c>
      <c r="AE677">
        <v>1</v>
      </c>
      <c r="AF677" t="s">
        <v>87</v>
      </c>
      <c r="AG677">
        <v>0.10349999999999999</v>
      </c>
      <c r="AH677">
        <v>2</v>
      </c>
      <c r="AI677">
        <v>129763984</v>
      </c>
      <c r="AJ677">
        <v>687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</row>
    <row r="678" spans="1:44" x14ac:dyDescent="0.2">
      <c r="A678">
        <f>ROW(Source!A669)</f>
        <v>669</v>
      </c>
      <c r="B678">
        <v>129763988</v>
      </c>
      <c r="C678">
        <v>129763983</v>
      </c>
      <c r="D678">
        <v>37394909</v>
      </c>
      <c r="E678">
        <v>1</v>
      </c>
      <c r="F678">
        <v>1</v>
      </c>
      <c r="G678">
        <v>37345137</v>
      </c>
      <c r="H678">
        <v>3</v>
      </c>
      <c r="I678" t="s">
        <v>1344</v>
      </c>
      <c r="J678" t="s">
        <v>1345</v>
      </c>
      <c r="K678" t="s">
        <v>1346</v>
      </c>
      <c r="L678">
        <v>1348</v>
      </c>
      <c r="N678">
        <v>1009</v>
      </c>
      <c r="O678" t="s">
        <v>114</v>
      </c>
      <c r="P678" t="s">
        <v>114</v>
      </c>
      <c r="Q678">
        <v>1000</v>
      </c>
      <c r="X678">
        <v>1.0000000000000001E-5</v>
      </c>
      <c r="Y678">
        <v>16744.32</v>
      </c>
      <c r="Z678">
        <v>0</v>
      </c>
      <c r="AA678">
        <v>0</v>
      </c>
      <c r="AB678">
        <v>0</v>
      </c>
      <c r="AC678">
        <v>0</v>
      </c>
      <c r="AD678">
        <v>1</v>
      </c>
      <c r="AE678">
        <v>0</v>
      </c>
      <c r="AF678" t="s">
        <v>3</v>
      </c>
      <c r="AG678">
        <v>1.0000000000000001E-5</v>
      </c>
      <c r="AH678">
        <v>2</v>
      </c>
      <c r="AI678">
        <v>129763985</v>
      </c>
      <c r="AJ678">
        <v>688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</row>
    <row r="679" spans="1:44" x14ac:dyDescent="0.2">
      <c r="A679">
        <f>ROW(Source!A669)</f>
        <v>669</v>
      </c>
      <c r="B679">
        <v>129763989</v>
      </c>
      <c r="C679">
        <v>129763983</v>
      </c>
      <c r="D679">
        <v>37360357</v>
      </c>
      <c r="E679">
        <v>37345137</v>
      </c>
      <c r="F679">
        <v>1</v>
      </c>
      <c r="G679">
        <v>37345137</v>
      </c>
      <c r="H679">
        <v>3</v>
      </c>
      <c r="I679" t="s">
        <v>1499</v>
      </c>
      <c r="J679" t="s">
        <v>3</v>
      </c>
      <c r="K679" t="s">
        <v>1500</v>
      </c>
      <c r="L679">
        <v>1354</v>
      </c>
      <c r="N679">
        <v>1010</v>
      </c>
      <c r="O679" t="s">
        <v>250</v>
      </c>
      <c r="P679" t="s">
        <v>250</v>
      </c>
      <c r="Q679">
        <v>1</v>
      </c>
      <c r="X679">
        <v>1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 t="s">
        <v>3</v>
      </c>
      <c r="AG679">
        <v>1</v>
      </c>
      <c r="AH679">
        <v>3</v>
      </c>
      <c r="AI679">
        <v>-1</v>
      </c>
      <c r="AJ679" t="s">
        <v>3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</row>
    <row r="680" spans="1:44" x14ac:dyDescent="0.2">
      <c r="A680">
        <f>ROW(Source!A670)</f>
        <v>670</v>
      </c>
      <c r="B680">
        <v>129763987</v>
      </c>
      <c r="C680">
        <v>129763983</v>
      </c>
      <c r="D680">
        <v>37345142</v>
      </c>
      <c r="E680">
        <v>37345137</v>
      </c>
      <c r="F680">
        <v>1</v>
      </c>
      <c r="G680">
        <v>37345137</v>
      </c>
      <c r="H680">
        <v>1</v>
      </c>
      <c r="I680" t="s">
        <v>1096</v>
      </c>
      <c r="J680" t="s">
        <v>3</v>
      </c>
      <c r="K680" t="s">
        <v>1097</v>
      </c>
      <c r="L680">
        <v>1191</v>
      </c>
      <c r="N680">
        <v>1013</v>
      </c>
      <c r="O680" t="s">
        <v>1098</v>
      </c>
      <c r="P680" t="s">
        <v>1098</v>
      </c>
      <c r="Q680">
        <v>1</v>
      </c>
      <c r="X680">
        <v>0.09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1</v>
      </c>
      <c r="AE680">
        <v>1</v>
      </c>
      <c r="AF680" t="s">
        <v>87</v>
      </c>
      <c r="AG680">
        <v>0.10349999999999999</v>
      </c>
      <c r="AH680">
        <v>2</v>
      </c>
      <c r="AI680">
        <v>129763984</v>
      </c>
      <c r="AJ680">
        <v>690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</row>
    <row r="681" spans="1:44" x14ac:dyDescent="0.2">
      <c r="A681">
        <f>ROW(Source!A670)</f>
        <v>670</v>
      </c>
      <c r="B681">
        <v>129763988</v>
      </c>
      <c r="C681">
        <v>129763983</v>
      </c>
      <c r="D681">
        <v>37394909</v>
      </c>
      <c r="E681">
        <v>1</v>
      </c>
      <c r="F681">
        <v>1</v>
      </c>
      <c r="G681">
        <v>37345137</v>
      </c>
      <c r="H681">
        <v>3</v>
      </c>
      <c r="I681" t="s">
        <v>1344</v>
      </c>
      <c r="J681" t="s">
        <v>1345</v>
      </c>
      <c r="K681" t="s">
        <v>1346</v>
      </c>
      <c r="L681">
        <v>1348</v>
      </c>
      <c r="N681">
        <v>1009</v>
      </c>
      <c r="O681" t="s">
        <v>114</v>
      </c>
      <c r="P681" t="s">
        <v>114</v>
      </c>
      <c r="Q681">
        <v>1000</v>
      </c>
      <c r="X681">
        <v>1.0000000000000001E-5</v>
      </c>
      <c r="Y681">
        <v>16744.32</v>
      </c>
      <c r="Z681">
        <v>0</v>
      </c>
      <c r="AA681">
        <v>0</v>
      </c>
      <c r="AB681">
        <v>0</v>
      </c>
      <c r="AC681">
        <v>0</v>
      </c>
      <c r="AD681">
        <v>1</v>
      </c>
      <c r="AE681">
        <v>0</v>
      </c>
      <c r="AF681" t="s">
        <v>3</v>
      </c>
      <c r="AG681">
        <v>1.0000000000000001E-5</v>
      </c>
      <c r="AH681">
        <v>2</v>
      </c>
      <c r="AI681">
        <v>129763985</v>
      </c>
      <c r="AJ681">
        <v>691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</row>
    <row r="682" spans="1:44" x14ac:dyDescent="0.2">
      <c r="A682">
        <f>ROW(Source!A670)</f>
        <v>670</v>
      </c>
      <c r="B682">
        <v>129763989</v>
      </c>
      <c r="C682">
        <v>129763983</v>
      </c>
      <c r="D682">
        <v>37360357</v>
      </c>
      <c r="E682">
        <v>37345137</v>
      </c>
      <c r="F682">
        <v>1</v>
      </c>
      <c r="G682">
        <v>37345137</v>
      </c>
      <c r="H682">
        <v>3</v>
      </c>
      <c r="I682" t="s">
        <v>1499</v>
      </c>
      <c r="J682" t="s">
        <v>3</v>
      </c>
      <c r="K682" t="s">
        <v>1500</v>
      </c>
      <c r="L682">
        <v>1354</v>
      </c>
      <c r="N682">
        <v>1010</v>
      </c>
      <c r="O682" t="s">
        <v>250</v>
      </c>
      <c r="P682" t="s">
        <v>250</v>
      </c>
      <c r="Q682">
        <v>1</v>
      </c>
      <c r="X682">
        <v>1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 t="s">
        <v>3</v>
      </c>
      <c r="AG682">
        <v>1</v>
      </c>
      <c r="AH682">
        <v>3</v>
      </c>
      <c r="AI682">
        <v>-1</v>
      </c>
      <c r="AJ682" t="s">
        <v>3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</row>
    <row r="683" spans="1:44" x14ac:dyDescent="0.2">
      <c r="A683">
        <f>ROW(Source!A673)</f>
        <v>673</v>
      </c>
      <c r="B683">
        <v>129763994</v>
      </c>
      <c r="C683">
        <v>129763991</v>
      </c>
      <c r="D683">
        <v>37345142</v>
      </c>
      <c r="E683">
        <v>37345137</v>
      </c>
      <c r="F683">
        <v>1</v>
      </c>
      <c r="G683">
        <v>37345137</v>
      </c>
      <c r="H683">
        <v>1</v>
      </c>
      <c r="I683" t="s">
        <v>1096</v>
      </c>
      <c r="J683" t="s">
        <v>3</v>
      </c>
      <c r="K683" t="s">
        <v>1097</v>
      </c>
      <c r="L683">
        <v>1191</v>
      </c>
      <c r="N683">
        <v>1013</v>
      </c>
      <c r="O683" t="s">
        <v>1098</v>
      </c>
      <c r="P683" t="s">
        <v>1098</v>
      </c>
      <c r="Q683">
        <v>1</v>
      </c>
      <c r="X683">
        <v>9.3000000000000007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1</v>
      </c>
      <c r="AE683">
        <v>1</v>
      </c>
      <c r="AF683" t="s">
        <v>3</v>
      </c>
      <c r="AG683">
        <v>9.3000000000000007</v>
      </c>
      <c r="AH683">
        <v>2</v>
      </c>
      <c r="AI683">
        <v>129763992</v>
      </c>
      <c r="AJ683">
        <v>693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</row>
    <row r="684" spans="1:44" x14ac:dyDescent="0.2">
      <c r="A684">
        <f>ROW(Source!A673)</f>
        <v>673</v>
      </c>
      <c r="B684">
        <v>129763995</v>
      </c>
      <c r="C684">
        <v>129763991</v>
      </c>
      <c r="D684">
        <v>37367069</v>
      </c>
      <c r="E684">
        <v>37345137</v>
      </c>
      <c r="F684">
        <v>1</v>
      </c>
      <c r="G684">
        <v>37345137</v>
      </c>
      <c r="H684">
        <v>3</v>
      </c>
      <c r="I684" t="s">
        <v>1342</v>
      </c>
      <c r="J684" t="s">
        <v>3</v>
      </c>
      <c r="K684" t="s">
        <v>1343</v>
      </c>
      <c r="L684">
        <v>1348</v>
      </c>
      <c r="N684">
        <v>1009</v>
      </c>
      <c r="O684" t="s">
        <v>114</v>
      </c>
      <c r="P684" t="s">
        <v>114</v>
      </c>
      <c r="Q684">
        <v>1000</v>
      </c>
      <c r="X684">
        <v>1E-3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1</v>
      </c>
      <c r="AE684">
        <v>0</v>
      </c>
      <c r="AF684" t="s">
        <v>3</v>
      </c>
      <c r="AG684">
        <v>1E-3</v>
      </c>
      <c r="AH684">
        <v>2</v>
      </c>
      <c r="AI684">
        <v>129763993</v>
      </c>
      <c r="AJ684">
        <v>694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</row>
    <row r="685" spans="1:44" x14ac:dyDescent="0.2">
      <c r="A685">
        <f>ROW(Source!A674)</f>
        <v>674</v>
      </c>
      <c r="B685">
        <v>129763994</v>
      </c>
      <c r="C685">
        <v>129763991</v>
      </c>
      <c r="D685">
        <v>37345142</v>
      </c>
      <c r="E685">
        <v>37345137</v>
      </c>
      <c r="F685">
        <v>1</v>
      </c>
      <c r="G685">
        <v>37345137</v>
      </c>
      <c r="H685">
        <v>1</v>
      </c>
      <c r="I685" t="s">
        <v>1096</v>
      </c>
      <c r="J685" t="s">
        <v>3</v>
      </c>
      <c r="K685" t="s">
        <v>1097</v>
      </c>
      <c r="L685">
        <v>1191</v>
      </c>
      <c r="N685">
        <v>1013</v>
      </c>
      <c r="O685" t="s">
        <v>1098</v>
      </c>
      <c r="P685" t="s">
        <v>1098</v>
      </c>
      <c r="Q685">
        <v>1</v>
      </c>
      <c r="X685">
        <v>9.3000000000000007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1</v>
      </c>
      <c r="AE685">
        <v>1</v>
      </c>
      <c r="AF685" t="s">
        <v>3</v>
      </c>
      <c r="AG685">
        <v>9.3000000000000007</v>
      </c>
      <c r="AH685">
        <v>2</v>
      </c>
      <c r="AI685">
        <v>129763992</v>
      </c>
      <c r="AJ685">
        <v>695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</row>
    <row r="686" spans="1:44" x14ac:dyDescent="0.2">
      <c r="A686">
        <f>ROW(Source!A674)</f>
        <v>674</v>
      </c>
      <c r="B686">
        <v>129763995</v>
      </c>
      <c r="C686">
        <v>129763991</v>
      </c>
      <c r="D686">
        <v>37367069</v>
      </c>
      <c r="E686">
        <v>37345137</v>
      </c>
      <c r="F686">
        <v>1</v>
      </c>
      <c r="G686">
        <v>37345137</v>
      </c>
      <c r="H686">
        <v>3</v>
      </c>
      <c r="I686" t="s">
        <v>1342</v>
      </c>
      <c r="J686" t="s">
        <v>3</v>
      </c>
      <c r="K686" t="s">
        <v>1343</v>
      </c>
      <c r="L686">
        <v>1348</v>
      </c>
      <c r="N686">
        <v>1009</v>
      </c>
      <c r="O686" t="s">
        <v>114</v>
      </c>
      <c r="P686" t="s">
        <v>114</v>
      </c>
      <c r="Q686">
        <v>1000</v>
      </c>
      <c r="X686">
        <v>1E-3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1</v>
      </c>
      <c r="AE686">
        <v>0</v>
      </c>
      <c r="AF686" t="s">
        <v>3</v>
      </c>
      <c r="AG686">
        <v>1E-3</v>
      </c>
      <c r="AH686">
        <v>2</v>
      </c>
      <c r="AI686">
        <v>129763993</v>
      </c>
      <c r="AJ686">
        <v>696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</row>
    <row r="687" spans="1:44" x14ac:dyDescent="0.2">
      <c r="A687">
        <f>ROW(Source!A675)</f>
        <v>675</v>
      </c>
      <c r="B687">
        <v>129763999</v>
      </c>
      <c r="C687">
        <v>129763996</v>
      </c>
      <c r="D687">
        <v>37345142</v>
      </c>
      <c r="E687">
        <v>37345137</v>
      </c>
      <c r="F687">
        <v>1</v>
      </c>
      <c r="G687">
        <v>37345137</v>
      </c>
      <c r="H687">
        <v>1</v>
      </c>
      <c r="I687" t="s">
        <v>1096</v>
      </c>
      <c r="J687" t="s">
        <v>3</v>
      </c>
      <c r="K687" t="s">
        <v>1097</v>
      </c>
      <c r="L687">
        <v>1191</v>
      </c>
      <c r="N687">
        <v>1013</v>
      </c>
      <c r="O687" t="s">
        <v>1098</v>
      </c>
      <c r="P687" t="s">
        <v>1098</v>
      </c>
      <c r="Q687">
        <v>1</v>
      </c>
      <c r="X687">
        <v>2.9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1</v>
      </c>
      <c r="AE687">
        <v>1</v>
      </c>
      <c r="AF687" t="s">
        <v>3</v>
      </c>
      <c r="AG687">
        <v>2.9</v>
      </c>
      <c r="AH687">
        <v>2</v>
      </c>
      <c r="AI687">
        <v>129763997</v>
      </c>
      <c r="AJ687">
        <v>697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</row>
    <row r="688" spans="1:44" x14ac:dyDescent="0.2">
      <c r="A688">
        <f>ROW(Source!A676)</f>
        <v>676</v>
      </c>
      <c r="B688">
        <v>129763999</v>
      </c>
      <c r="C688">
        <v>129763996</v>
      </c>
      <c r="D688">
        <v>37345142</v>
      </c>
      <c r="E688">
        <v>37345137</v>
      </c>
      <c r="F688">
        <v>1</v>
      </c>
      <c r="G688">
        <v>37345137</v>
      </c>
      <c r="H688">
        <v>1</v>
      </c>
      <c r="I688" t="s">
        <v>1096</v>
      </c>
      <c r="J688" t="s">
        <v>3</v>
      </c>
      <c r="K688" t="s">
        <v>1097</v>
      </c>
      <c r="L688">
        <v>1191</v>
      </c>
      <c r="N688">
        <v>1013</v>
      </c>
      <c r="O688" t="s">
        <v>1098</v>
      </c>
      <c r="P688" t="s">
        <v>1098</v>
      </c>
      <c r="Q688">
        <v>1</v>
      </c>
      <c r="X688">
        <v>2.9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1</v>
      </c>
      <c r="AE688">
        <v>1</v>
      </c>
      <c r="AF688" t="s">
        <v>3</v>
      </c>
      <c r="AG688">
        <v>2.9</v>
      </c>
      <c r="AH688">
        <v>2</v>
      </c>
      <c r="AI688">
        <v>129763997</v>
      </c>
      <c r="AJ688">
        <v>699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</row>
    <row r="689" spans="1:44" x14ac:dyDescent="0.2">
      <c r="A689">
        <f>ROW(Source!A679)</f>
        <v>679</v>
      </c>
      <c r="B689">
        <v>129764004</v>
      </c>
      <c r="C689">
        <v>129764001</v>
      </c>
      <c r="D689">
        <v>37345142</v>
      </c>
      <c r="E689">
        <v>37345137</v>
      </c>
      <c r="F689">
        <v>1</v>
      </c>
      <c r="G689">
        <v>37345137</v>
      </c>
      <c r="H689">
        <v>1</v>
      </c>
      <c r="I689" t="s">
        <v>1096</v>
      </c>
      <c r="J689" t="s">
        <v>3</v>
      </c>
      <c r="K689" t="s">
        <v>1097</v>
      </c>
      <c r="L689">
        <v>1191</v>
      </c>
      <c r="N689">
        <v>1013</v>
      </c>
      <c r="O689" t="s">
        <v>1098</v>
      </c>
      <c r="P689" t="s">
        <v>1098</v>
      </c>
      <c r="Q689">
        <v>1</v>
      </c>
      <c r="X689">
        <v>40.67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1</v>
      </c>
      <c r="AE689">
        <v>1</v>
      </c>
      <c r="AF689" t="s">
        <v>3</v>
      </c>
      <c r="AG689">
        <v>40.67</v>
      </c>
      <c r="AH689">
        <v>2</v>
      </c>
      <c r="AI689">
        <v>129764002</v>
      </c>
      <c r="AJ689">
        <v>701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</row>
    <row r="690" spans="1:44" x14ac:dyDescent="0.2">
      <c r="A690">
        <f>ROW(Source!A679)</f>
        <v>679</v>
      </c>
      <c r="B690">
        <v>129764005</v>
      </c>
      <c r="C690">
        <v>129764001</v>
      </c>
      <c r="D690">
        <v>37358415</v>
      </c>
      <c r="E690">
        <v>37345137</v>
      </c>
      <c r="F690">
        <v>1</v>
      </c>
      <c r="G690">
        <v>37345137</v>
      </c>
      <c r="H690">
        <v>3</v>
      </c>
      <c r="I690" t="s">
        <v>1501</v>
      </c>
      <c r="J690" t="s">
        <v>3</v>
      </c>
      <c r="K690" t="s">
        <v>1502</v>
      </c>
      <c r="L690">
        <v>1301</v>
      </c>
      <c r="N690">
        <v>1003</v>
      </c>
      <c r="O690" t="s">
        <v>270</v>
      </c>
      <c r="P690" t="s">
        <v>270</v>
      </c>
      <c r="Q690">
        <v>1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0</v>
      </c>
      <c r="AE690">
        <v>0</v>
      </c>
      <c r="AF690" t="s">
        <v>3</v>
      </c>
      <c r="AG690">
        <v>0</v>
      </c>
      <c r="AH690">
        <v>3</v>
      </c>
      <c r="AI690">
        <v>-1</v>
      </c>
      <c r="AJ690" t="s">
        <v>3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</row>
    <row r="691" spans="1:44" x14ac:dyDescent="0.2">
      <c r="A691">
        <f>ROW(Source!A679)</f>
        <v>679</v>
      </c>
      <c r="B691">
        <v>129764006</v>
      </c>
      <c r="C691">
        <v>129764001</v>
      </c>
      <c r="D691">
        <v>37358415</v>
      </c>
      <c r="E691">
        <v>37345137</v>
      </c>
      <c r="F691">
        <v>1</v>
      </c>
      <c r="G691">
        <v>37345137</v>
      </c>
      <c r="H691">
        <v>3</v>
      </c>
      <c r="I691" t="s">
        <v>1501</v>
      </c>
      <c r="J691" t="s">
        <v>3</v>
      </c>
      <c r="K691" t="s">
        <v>1503</v>
      </c>
      <c r="L691">
        <v>1301</v>
      </c>
      <c r="N691">
        <v>1003</v>
      </c>
      <c r="O691" t="s">
        <v>270</v>
      </c>
      <c r="P691" t="s">
        <v>270</v>
      </c>
      <c r="Q691">
        <v>1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 t="s">
        <v>3</v>
      </c>
      <c r="AG691">
        <v>0</v>
      </c>
      <c r="AH691">
        <v>3</v>
      </c>
      <c r="AI691">
        <v>-1</v>
      </c>
      <c r="AJ691" t="s">
        <v>3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</row>
    <row r="692" spans="1:44" x14ac:dyDescent="0.2">
      <c r="A692">
        <f>ROW(Source!A679)</f>
        <v>679</v>
      </c>
      <c r="B692">
        <v>129764007</v>
      </c>
      <c r="C692">
        <v>129764001</v>
      </c>
      <c r="D692">
        <v>37358415</v>
      </c>
      <c r="E692">
        <v>37345137</v>
      </c>
      <c r="F692">
        <v>1</v>
      </c>
      <c r="G692">
        <v>37345137</v>
      </c>
      <c r="H692">
        <v>3</v>
      </c>
      <c r="I692" t="s">
        <v>1501</v>
      </c>
      <c r="J692" t="s">
        <v>3</v>
      </c>
      <c r="K692" t="s">
        <v>1504</v>
      </c>
      <c r="L692">
        <v>1354</v>
      </c>
      <c r="N692">
        <v>1010</v>
      </c>
      <c r="O692" t="s">
        <v>250</v>
      </c>
      <c r="P692" t="s">
        <v>250</v>
      </c>
      <c r="Q692">
        <v>1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 t="s">
        <v>3</v>
      </c>
      <c r="AG692">
        <v>0</v>
      </c>
      <c r="AH692">
        <v>3</v>
      </c>
      <c r="AI692">
        <v>-1</v>
      </c>
      <c r="AJ692" t="s">
        <v>3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</row>
    <row r="693" spans="1:44" x14ac:dyDescent="0.2">
      <c r="A693">
        <f>ROW(Source!A679)</f>
        <v>679</v>
      </c>
      <c r="B693">
        <v>129764008</v>
      </c>
      <c r="C693">
        <v>129764001</v>
      </c>
      <c r="D693">
        <v>37358415</v>
      </c>
      <c r="E693">
        <v>37345137</v>
      </c>
      <c r="F693">
        <v>1</v>
      </c>
      <c r="G693">
        <v>37345137</v>
      </c>
      <c r="H693">
        <v>3</v>
      </c>
      <c r="I693" t="s">
        <v>1501</v>
      </c>
      <c r="J693" t="s">
        <v>3</v>
      </c>
      <c r="K693" t="s">
        <v>1505</v>
      </c>
      <c r="L693">
        <v>1354</v>
      </c>
      <c r="N693">
        <v>1010</v>
      </c>
      <c r="O693" t="s">
        <v>250</v>
      </c>
      <c r="P693" t="s">
        <v>250</v>
      </c>
      <c r="Q693">
        <v>1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 t="s">
        <v>3</v>
      </c>
      <c r="AG693">
        <v>0</v>
      </c>
      <c r="AH693">
        <v>3</v>
      </c>
      <c r="AI693">
        <v>-1</v>
      </c>
      <c r="AJ693" t="s">
        <v>3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</row>
    <row r="694" spans="1:44" x14ac:dyDescent="0.2">
      <c r="A694">
        <f>ROW(Source!A679)</f>
        <v>679</v>
      </c>
      <c r="B694">
        <v>129764009</v>
      </c>
      <c r="C694">
        <v>129764001</v>
      </c>
      <c r="D694">
        <v>37358415</v>
      </c>
      <c r="E694">
        <v>37345137</v>
      </c>
      <c r="F694">
        <v>1</v>
      </c>
      <c r="G694">
        <v>37345137</v>
      </c>
      <c r="H694">
        <v>3</v>
      </c>
      <c r="I694" t="s">
        <v>1501</v>
      </c>
      <c r="J694" t="s">
        <v>3</v>
      </c>
      <c r="K694" t="s">
        <v>1506</v>
      </c>
      <c r="L694">
        <v>1354</v>
      </c>
      <c r="N694">
        <v>1010</v>
      </c>
      <c r="O694" t="s">
        <v>250</v>
      </c>
      <c r="P694" t="s">
        <v>250</v>
      </c>
      <c r="Q694">
        <v>1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 t="s">
        <v>3</v>
      </c>
      <c r="AG694">
        <v>0</v>
      </c>
      <c r="AH694">
        <v>3</v>
      </c>
      <c r="AI694">
        <v>-1</v>
      </c>
      <c r="AJ694" t="s">
        <v>3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</row>
    <row r="695" spans="1:44" x14ac:dyDescent="0.2">
      <c r="A695">
        <f>ROW(Source!A679)</f>
        <v>679</v>
      </c>
      <c r="B695">
        <v>129764010</v>
      </c>
      <c r="C695">
        <v>129764001</v>
      </c>
      <c r="D695">
        <v>37358415</v>
      </c>
      <c r="E695">
        <v>37345137</v>
      </c>
      <c r="F695">
        <v>1</v>
      </c>
      <c r="G695">
        <v>37345137</v>
      </c>
      <c r="H695">
        <v>3</v>
      </c>
      <c r="I695" t="s">
        <v>1501</v>
      </c>
      <c r="J695" t="s">
        <v>3</v>
      </c>
      <c r="K695" t="s">
        <v>1507</v>
      </c>
      <c r="L695">
        <v>1354</v>
      </c>
      <c r="N695">
        <v>1010</v>
      </c>
      <c r="O695" t="s">
        <v>250</v>
      </c>
      <c r="P695" t="s">
        <v>250</v>
      </c>
      <c r="Q695">
        <v>1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 t="s">
        <v>3</v>
      </c>
      <c r="AG695">
        <v>0</v>
      </c>
      <c r="AH695">
        <v>3</v>
      </c>
      <c r="AI695">
        <v>-1</v>
      </c>
      <c r="AJ695" t="s">
        <v>3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</row>
    <row r="696" spans="1:44" x14ac:dyDescent="0.2">
      <c r="A696">
        <f>ROW(Source!A679)</f>
        <v>679</v>
      </c>
      <c r="B696">
        <v>129764011</v>
      </c>
      <c r="C696">
        <v>129764001</v>
      </c>
      <c r="D696">
        <v>37358415</v>
      </c>
      <c r="E696">
        <v>37345137</v>
      </c>
      <c r="F696">
        <v>1</v>
      </c>
      <c r="G696">
        <v>37345137</v>
      </c>
      <c r="H696">
        <v>3</v>
      </c>
      <c r="I696" t="s">
        <v>1501</v>
      </c>
      <c r="J696" t="s">
        <v>3</v>
      </c>
      <c r="K696" t="s">
        <v>1508</v>
      </c>
      <c r="L696">
        <v>1354</v>
      </c>
      <c r="N696">
        <v>1010</v>
      </c>
      <c r="O696" t="s">
        <v>250</v>
      </c>
      <c r="P696" t="s">
        <v>250</v>
      </c>
      <c r="Q696">
        <v>1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 t="s">
        <v>3</v>
      </c>
      <c r="AG696">
        <v>0</v>
      </c>
      <c r="AH696">
        <v>3</v>
      </c>
      <c r="AI696">
        <v>-1</v>
      </c>
      <c r="AJ696" t="s">
        <v>3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</row>
    <row r="697" spans="1:44" x14ac:dyDescent="0.2">
      <c r="A697">
        <f>ROW(Source!A680)</f>
        <v>680</v>
      </c>
      <c r="B697">
        <v>129764004</v>
      </c>
      <c r="C697">
        <v>129764001</v>
      </c>
      <c r="D697">
        <v>37345142</v>
      </c>
      <c r="E697">
        <v>37345137</v>
      </c>
      <c r="F697">
        <v>1</v>
      </c>
      <c r="G697">
        <v>37345137</v>
      </c>
      <c r="H697">
        <v>1</v>
      </c>
      <c r="I697" t="s">
        <v>1096</v>
      </c>
      <c r="J697" t="s">
        <v>3</v>
      </c>
      <c r="K697" t="s">
        <v>1097</v>
      </c>
      <c r="L697">
        <v>1191</v>
      </c>
      <c r="N697">
        <v>1013</v>
      </c>
      <c r="O697" t="s">
        <v>1098</v>
      </c>
      <c r="P697" t="s">
        <v>1098</v>
      </c>
      <c r="Q697">
        <v>1</v>
      </c>
      <c r="X697">
        <v>40.67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1</v>
      </c>
      <c r="AE697">
        <v>1</v>
      </c>
      <c r="AF697" t="s">
        <v>3</v>
      </c>
      <c r="AG697">
        <v>40.67</v>
      </c>
      <c r="AH697">
        <v>2</v>
      </c>
      <c r="AI697">
        <v>129764002</v>
      </c>
      <c r="AJ697">
        <v>703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</row>
    <row r="698" spans="1:44" x14ac:dyDescent="0.2">
      <c r="A698">
        <f>ROW(Source!A680)</f>
        <v>680</v>
      </c>
      <c r="B698">
        <v>129764005</v>
      </c>
      <c r="C698">
        <v>129764001</v>
      </c>
      <c r="D698">
        <v>37358415</v>
      </c>
      <c r="E698">
        <v>37345137</v>
      </c>
      <c r="F698">
        <v>1</v>
      </c>
      <c r="G698">
        <v>37345137</v>
      </c>
      <c r="H698">
        <v>3</v>
      </c>
      <c r="I698" t="s">
        <v>1501</v>
      </c>
      <c r="J698" t="s">
        <v>3</v>
      </c>
      <c r="K698" t="s">
        <v>1502</v>
      </c>
      <c r="L698">
        <v>1301</v>
      </c>
      <c r="N698">
        <v>1003</v>
      </c>
      <c r="O698" t="s">
        <v>270</v>
      </c>
      <c r="P698" t="s">
        <v>270</v>
      </c>
      <c r="Q698">
        <v>1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 t="s">
        <v>3</v>
      </c>
      <c r="AG698">
        <v>0</v>
      </c>
      <c r="AH698">
        <v>3</v>
      </c>
      <c r="AI698">
        <v>-1</v>
      </c>
      <c r="AJ698" t="s">
        <v>3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</row>
    <row r="699" spans="1:44" x14ac:dyDescent="0.2">
      <c r="A699">
        <f>ROW(Source!A680)</f>
        <v>680</v>
      </c>
      <c r="B699">
        <v>129764006</v>
      </c>
      <c r="C699">
        <v>129764001</v>
      </c>
      <c r="D699">
        <v>37358415</v>
      </c>
      <c r="E699">
        <v>37345137</v>
      </c>
      <c r="F699">
        <v>1</v>
      </c>
      <c r="G699">
        <v>37345137</v>
      </c>
      <c r="H699">
        <v>3</v>
      </c>
      <c r="I699" t="s">
        <v>1501</v>
      </c>
      <c r="J699" t="s">
        <v>3</v>
      </c>
      <c r="K699" t="s">
        <v>1503</v>
      </c>
      <c r="L699">
        <v>1301</v>
      </c>
      <c r="N699">
        <v>1003</v>
      </c>
      <c r="O699" t="s">
        <v>270</v>
      </c>
      <c r="P699" t="s">
        <v>270</v>
      </c>
      <c r="Q699">
        <v>1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0</v>
      </c>
      <c r="AF699" t="s">
        <v>3</v>
      </c>
      <c r="AG699">
        <v>0</v>
      </c>
      <c r="AH699">
        <v>3</v>
      </c>
      <c r="AI699">
        <v>-1</v>
      </c>
      <c r="AJ699" t="s">
        <v>3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</row>
    <row r="700" spans="1:44" x14ac:dyDescent="0.2">
      <c r="A700">
        <f>ROW(Source!A680)</f>
        <v>680</v>
      </c>
      <c r="B700">
        <v>129764007</v>
      </c>
      <c r="C700">
        <v>129764001</v>
      </c>
      <c r="D700">
        <v>37358415</v>
      </c>
      <c r="E700">
        <v>37345137</v>
      </c>
      <c r="F700">
        <v>1</v>
      </c>
      <c r="G700">
        <v>37345137</v>
      </c>
      <c r="H700">
        <v>3</v>
      </c>
      <c r="I700" t="s">
        <v>1501</v>
      </c>
      <c r="J700" t="s">
        <v>3</v>
      </c>
      <c r="K700" t="s">
        <v>1504</v>
      </c>
      <c r="L700">
        <v>1354</v>
      </c>
      <c r="N700">
        <v>1010</v>
      </c>
      <c r="O700" t="s">
        <v>250</v>
      </c>
      <c r="P700" t="s">
        <v>250</v>
      </c>
      <c r="Q700">
        <v>1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 t="s">
        <v>3</v>
      </c>
      <c r="AG700">
        <v>0</v>
      </c>
      <c r="AH700">
        <v>3</v>
      </c>
      <c r="AI700">
        <v>-1</v>
      </c>
      <c r="AJ700" t="s">
        <v>3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</row>
    <row r="701" spans="1:44" x14ac:dyDescent="0.2">
      <c r="A701">
        <f>ROW(Source!A680)</f>
        <v>680</v>
      </c>
      <c r="B701">
        <v>129764008</v>
      </c>
      <c r="C701">
        <v>129764001</v>
      </c>
      <c r="D701">
        <v>37358415</v>
      </c>
      <c r="E701">
        <v>37345137</v>
      </c>
      <c r="F701">
        <v>1</v>
      </c>
      <c r="G701">
        <v>37345137</v>
      </c>
      <c r="H701">
        <v>3</v>
      </c>
      <c r="I701" t="s">
        <v>1501</v>
      </c>
      <c r="J701" t="s">
        <v>3</v>
      </c>
      <c r="K701" t="s">
        <v>1505</v>
      </c>
      <c r="L701">
        <v>1354</v>
      </c>
      <c r="N701">
        <v>1010</v>
      </c>
      <c r="O701" t="s">
        <v>250</v>
      </c>
      <c r="P701" t="s">
        <v>250</v>
      </c>
      <c r="Q701">
        <v>1</v>
      </c>
      <c r="X701">
        <v>0</v>
      </c>
      <c r="Y701">
        <v>0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0</v>
      </c>
      <c r="AF701" t="s">
        <v>3</v>
      </c>
      <c r="AG701">
        <v>0</v>
      </c>
      <c r="AH701">
        <v>3</v>
      </c>
      <c r="AI701">
        <v>-1</v>
      </c>
      <c r="AJ701" t="s">
        <v>3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</row>
    <row r="702" spans="1:44" x14ac:dyDescent="0.2">
      <c r="A702">
        <f>ROW(Source!A680)</f>
        <v>680</v>
      </c>
      <c r="B702">
        <v>129764009</v>
      </c>
      <c r="C702">
        <v>129764001</v>
      </c>
      <c r="D702">
        <v>37358415</v>
      </c>
      <c r="E702">
        <v>37345137</v>
      </c>
      <c r="F702">
        <v>1</v>
      </c>
      <c r="G702">
        <v>37345137</v>
      </c>
      <c r="H702">
        <v>3</v>
      </c>
      <c r="I702" t="s">
        <v>1501</v>
      </c>
      <c r="J702" t="s">
        <v>3</v>
      </c>
      <c r="K702" t="s">
        <v>1506</v>
      </c>
      <c r="L702">
        <v>1354</v>
      </c>
      <c r="N702">
        <v>1010</v>
      </c>
      <c r="O702" t="s">
        <v>250</v>
      </c>
      <c r="P702" t="s">
        <v>250</v>
      </c>
      <c r="Q702">
        <v>1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 t="s">
        <v>3</v>
      </c>
      <c r="AG702">
        <v>0</v>
      </c>
      <c r="AH702">
        <v>3</v>
      </c>
      <c r="AI702">
        <v>-1</v>
      </c>
      <c r="AJ702" t="s">
        <v>3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</row>
    <row r="703" spans="1:44" x14ac:dyDescent="0.2">
      <c r="A703">
        <f>ROW(Source!A680)</f>
        <v>680</v>
      </c>
      <c r="B703">
        <v>129764010</v>
      </c>
      <c r="C703">
        <v>129764001</v>
      </c>
      <c r="D703">
        <v>37358415</v>
      </c>
      <c r="E703">
        <v>37345137</v>
      </c>
      <c r="F703">
        <v>1</v>
      </c>
      <c r="G703">
        <v>37345137</v>
      </c>
      <c r="H703">
        <v>3</v>
      </c>
      <c r="I703" t="s">
        <v>1501</v>
      </c>
      <c r="J703" t="s">
        <v>3</v>
      </c>
      <c r="K703" t="s">
        <v>1507</v>
      </c>
      <c r="L703">
        <v>1354</v>
      </c>
      <c r="N703">
        <v>1010</v>
      </c>
      <c r="O703" t="s">
        <v>250</v>
      </c>
      <c r="P703" t="s">
        <v>250</v>
      </c>
      <c r="Q703">
        <v>1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0</v>
      </c>
      <c r="AF703" t="s">
        <v>3</v>
      </c>
      <c r="AG703">
        <v>0</v>
      </c>
      <c r="AH703">
        <v>3</v>
      </c>
      <c r="AI703">
        <v>-1</v>
      </c>
      <c r="AJ703" t="s">
        <v>3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</row>
    <row r="704" spans="1:44" x14ac:dyDescent="0.2">
      <c r="A704">
        <f>ROW(Source!A680)</f>
        <v>680</v>
      </c>
      <c r="B704">
        <v>129764011</v>
      </c>
      <c r="C704">
        <v>129764001</v>
      </c>
      <c r="D704">
        <v>37358415</v>
      </c>
      <c r="E704">
        <v>37345137</v>
      </c>
      <c r="F704">
        <v>1</v>
      </c>
      <c r="G704">
        <v>37345137</v>
      </c>
      <c r="H704">
        <v>3</v>
      </c>
      <c r="I704" t="s">
        <v>1501</v>
      </c>
      <c r="J704" t="s">
        <v>3</v>
      </c>
      <c r="K704" t="s">
        <v>1508</v>
      </c>
      <c r="L704">
        <v>1354</v>
      </c>
      <c r="N704">
        <v>1010</v>
      </c>
      <c r="O704" t="s">
        <v>250</v>
      </c>
      <c r="P704" t="s">
        <v>250</v>
      </c>
      <c r="Q704">
        <v>1</v>
      </c>
      <c r="X704">
        <v>0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0</v>
      </c>
      <c r="AF704" t="s">
        <v>3</v>
      </c>
      <c r="AG704">
        <v>0</v>
      </c>
      <c r="AH704">
        <v>3</v>
      </c>
      <c r="AI704">
        <v>-1</v>
      </c>
      <c r="AJ704" t="s">
        <v>3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</row>
    <row r="705" spans="1:44" x14ac:dyDescent="0.2">
      <c r="A705">
        <f>ROW(Source!A683)</f>
        <v>683</v>
      </c>
      <c r="B705">
        <v>129764016</v>
      </c>
      <c r="C705">
        <v>129764013</v>
      </c>
      <c r="D705">
        <v>37345142</v>
      </c>
      <c r="E705">
        <v>37345137</v>
      </c>
      <c r="F705">
        <v>1</v>
      </c>
      <c r="G705">
        <v>37345137</v>
      </c>
      <c r="H705">
        <v>1</v>
      </c>
      <c r="I705" t="s">
        <v>1096</v>
      </c>
      <c r="J705" t="s">
        <v>3</v>
      </c>
      <c r="K705" t="s">
        <v>1097</v>
      </c>
      <c r="L705">
        <v>1191</v>
      </c>
      <c r="N705">
        <v>1013</v>
      </c>
      <c r="O705" t="s">
        <v>1098</v>
      </c>
      <c r="P705" t="s">
        <v>1098</v>
      </c>
      <c r="Q705">
        <v>1</v>
      </c>
      <c r="X705">
        <v>20.7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1</v>
      </c>
      <c r="AE705">
        <v>1</v>
      </c>
      <c r="AF705" t="s">
        <v>3</v>
      </c>
      <c r="AG705">
        <v>20.7</v>
      </c>
      <c r="AH705">
        <v>2</v>
      </c>
      <c r="AI705">
        <v>129764014</v>
      </c>
      <c r="AJ705">
        <v>705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</row>
    <row r="706" spans="1:44" x14ac:dyDescent="0.2">
      <c r="A706">
        <f>ROW(Source!A684)</f>
        <v>684</v>
      </c>
      <c r="B706">
        <v>129764016</v>
      </c>
      <c r="C706">
        <v>129764013</v>
      </c>
      <c r="D706">
        <v>37345142</v>
      </c>
      <c r="E706">
        <v>37345137</v>
      </c>
      <c r="F706">
        <v>1</v>
      </c>
      <c r="G706">
        <v>37345137</v>
      </c>
      <c r="H706">
        <v>1</v>
      </c>
      <c r="I706" t="s">
        <v>1096</v>
      </c>
      <c r="J706" t="s">
        <v>3</v>
      </c>
      <c r="K706" t="s">
        <v>1097</v>
      </c>
      <c r="L706">
        <v>1191</v>
      </c>
      <c r="N706">
        <v>1013</v>
      </c>
      <c r="O706" t="s">
        <v>1098</v>
      </c>
      <c r="P706" t="s">
        <v>1098</v>
      </c>
      <c r="Q706">
        <v>1</v>
      </c>
      <c r="X706">
        <v>20.7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1</v>
      </c>
      <c r="AE706">
        <v>1</v>
      </c>
      <c r="AF706" t="s">
        <v>3</v>
      </c>
      <c r="AG706">
        <v>20.7</v>
      </c>
      <c r="AH706">
        <v>2</v>
      </c>
      <c r="AI706">
        <v>129764014</v>
      </c>
      <c r="AJ706">
        <v>707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</row>
    <row r="707" spans="1:44" x14ac:dyDescent="0.2">
      <c r="A707">
        <f>ROW(Source!A687)</f>
        <v>687</v>
      </c>
      <c r="B707">
        <v>129764021</v>
      </c>
      <c r="C707">
        <v>129764018</v>
      </c>
      <c r="D707">
        <v>37345142</v>
      </c>
      <c r="E707">
        <v>37345137</v>
      </c>
      <c r="F707">
        <v>1</v>
      </c>
      <c r="G707">
        <v>37345137</v>
      </c>
      <c r="H707">
        <v>1</v>
      </c>
      <c r="I707" t="s">
        <v>1096</v>
      </c>
      <c r="J707" t="s">
        <v>3</v>
      </c>
      <c r="K707" t="s">
        <v>1097</v>
      </c>
      <c r="L707">
        <v>1191</v>
      </c>
      <c r="N707">
        <v>1013</v>
      </c>
      <c r="O707" t="s">
        <v>1098</v>
      </c>
      <c r="P707" t="s">
        <v>1098</v>
      </c>
      <c r="Q707">
        <v>1</v>
      </c>
      <c r="X707">
        <v>29.9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1</v>
      </c>
      <c r="AE707">
        <v>1</v>
      </c>
      <c r="AF707" t="s">
        <v>3</v>
      </c>
      <c r="AG707">
        <v>29.9</v>
      </c>
      <c r="AH707">
        <v>2</v>
      </c>
      <c r="AI707">
        <v>129764019</v>
      </c>
      <c r="AJ707">
        <v>709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</row>
    <row r="708" spans="1:44" x14ac:dyDescent="0.2">
      <c r="A708">
        <f>ROW(Source!A688)</f>
        <v>688</v>
      </c>
      <c r="B708">
        <v>129764021</v>
      </c>
      <c r="C708">
        <v>129764018</v>
      </c>
      <c r="D708">
        <v>37345142</v>
      </c>
      <c r="E708">
        <v>37345137</v>
      </c>
      <c r="F708">
        <v>1</v>
      </c>
      <c r="G708">
        <v>37345137</v>
      </c>
      <c r="H708">
        <v>1</v>
      </c>
      <c r="I708" t="s">
        <v>1096</v>
      </c>
      <c r="J708" t="s">
        <v>3</v>
      </c>
      <c r="K708" t="s">
        <v>1097</v>
      </c>
      <c r="L708">
        <v>1191</v>
      </c>
      <c r="N708">
        <v>1013</v>
      </c>
      <c r="O708" t="s">
        <v>1098</v>
      </c>
      <c r="P708" t="s">
        <v>1098</v>
      </c>
      <c r="Q708">
        <v>1</v>
      </c>
      <c r="X708">
        <v>29.9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1</v>
      </c>
      <c r="AE708">
        <v>1</v>
      </c>
      <c r="AF708" t="s">
        <v>3</v>
      </c>
      <c r="AG708">
        <v>29.9</v>
      </c>
      <c r="AH708">
        <v>2</v>
      </c>
      <c r="AI708">
        <v>129764019</v>
      </c>
      <c r="AJ708">
        <v>711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</row>
    <row r="709" spans="1:44" x14ac:dyDescent="0.2">
      <c r="A709">
        <f>ROW(Source!A691)</f>
        <v>691</v>
      </c>
      <c r="B709">
        <v>129764027</v>
      </c>
      <c r="C709">
        <v>129764023</v>
      </c>
      <c r="D709">
        <v>37345142</v>
      </c>
      <c r="E709">
        <v>37345137</v>
      </c>
      <c r="F709">
        <v>1</v>
      </c>
      <c r="G709">
        <v>37345137</v>
      </c>
      <c r="H709">
        <v>1</v>
      </c>
      <c r="I709" t="s">
        <v>1096</v>
      </c>
      <c r="J709" t="s">
        <v>3</v>
      </c>
      <c r="K709" t="s">
        <v>1097</v>
      </c>
      <c r="L709">
        <v>1191</v>
      </c>
      <c r="N709">
        <v>1013</v>
      </c>
      <c r="O709" t="s">
        <v>1098</v>
      </c>
      <c r="P709" t="s">
        <v>1098</v>
      </c>
      <c r="Q709">
        <v>1</v>
      </c>
      <c r="X709">
        <v>3.09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1</v>
      </c>
      <c r="AE709">
        <v>1</v>
      </c>
      <c r="AF709" t="s">
        <v>3</v>
      </c>
      <c r="AG709">
        <v>3.09</v>
      </c>
      <c r="AH709">
        <v>2</v>
      </c>
      <c r="AI709">
        <v>129764024</v>
      </c>
      <c r="AJ709">
        <v>713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</row>
    <row r="710" spans="1:44" x14ac:dyDescent="0.2">
      <c r="A710">
        <f>ROW(Source!A692)</f>
        <v>692</v>
      </c>
      <c r="B710">
        <v>129764027</v>
      </c>
      <c r="C710">
        <v>129764023</v>
      </c>
      <c r="D710">
        <v>37345142</v>
      </c>
      <c r="E710">
        <v>37345137</v>
      </c>
      <c r="F710">
        <v>1</v>
      </c>
      <c r="G710">
        <v>37345137</v>
      </c>
      <c r="H710">
        <v>1</v>
      </c>
      <c r="I710" t="s">
        <v>1096</v>
      </c>
      <c r="J710" t="s">
        <v>3</v>
      </c>
      <c r="K710" t="s">
        <v>1097</v>
      </c>
      <c r="L710">
        <v>1191</v>
      </c>
      <c r="N710">
        <v>1013</v>
      </c>
      <c r="O710" t="s">
        <v>1098</v>
      </c>
      <c r="P710" t="s">
        <v>1098</v>
      </c>
      <c r="Q710">
        <v>1</v>
      </c>
      <c r="X710">
        <v>3.09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1</v>
      </c>
      <c r="AE710">
        <v>1</v>
      </c>
      <c r="AF710" t="s">
        <v>3</v>
      </c>
      <c r="AG710">
        <v>3.09</v>
      </c>
      <c r="AH710">
        <v>2</v>
      </c>
      <c r="AI710">
        <v>129764024</v>
      </c>
      <c r="AJ710">
        <v>716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</row>
    <row r="711" spans="1:44" x14ac:dyDescent="0.2">
      <c r="A711">
        <f>ROW(Source!A697)</f>
        <v>697</v>
      </c>
      <c r="B711">
        <v>129764033</v>
      </c>
      <c r="C711">
        <v>129764030</v>
      </c>
      <c r="D711">
        <v>37345142</v>
      </c>
      <c r="E711">
        <v>37345137</v>
      </c>
      <c r="F711">
        <v>1</v>
      </c>
      <c r="G711">
        <v>37345137</v>
      </c>
      <c r="H711">
        <v>1</v>
      </c>
      <c r="I711" t="s">
        <v>1096</v>
      </c>
      <c r="J711" t="s">
        <v>3</v>
      </c>
      <c r="K711" t="s">
        <v>1097</v>
      </c>
      <c r="L711">
        <v>1191</v>
      </c>
      <c r="N711">
        <v>1013</v>
      </c>
      <c r="O711" t="s">
        <v>1098</v>
      </c>
      <c r="P711" t="s">
        <v>1098</v>
      </c>
      <c r="Q711">
        <v>1</v>
      </c>
      <c r="X711">
        <v>6.18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1</v>
      </c>
      <c r="AE711">
        <v>1</v>
      </c>
      <c r="AF711" t="s">
        <v>3</v>
      </c>
      <c r="AG711">
        <v>6.18</v>
      </c>
      <c r="AH711">
        <v>2</v>
      </c>
      <c r="AI711">
        <v>129764031</v>
      </c>
      <c r="AJ711">
        <v>719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</row>
    <row r="712" spans="1:44" x14ac:dyDescent="0.2">
      <c r="A712">
        <f>ROW(Source!A698)</f>
        <v>698</v>
      </c>
      <c r="B712">
        <v>129764033</v>
      </c>
      <c r="C712">
        <v>129764030</v>
      </c>
      <c r="D712">
        <v>37345142</v>
      </c>
      <c r="E712">
        <v>37345137</v>
      </c>
      <c r="F712">
        <v>1</v>
      </c>
      <c r="G712">
        <v>37345137</v>
      </c>
      <c r="H712">
        <v>1</v>
      </c>
      <c r="I712" t="s">
        <v>1096</v>
      </c>
      <c r="J712" t="s">
        <v>3</v>
      </c>
      <c r="K712" t="s">
        <v>1097</v>
      </c>
      <c r="L712">
        <v>1191</v>
      </c>
      <c r="N712">
        <v>1013</v>
      </c>
      <c r="O712" t="s">
        <v>1098</v>
      </c>
      <c r="P712" t="s">
        <v>1098</v>
      </c>
      <c r="Q712">
        <v>1</v>
      </c>
      <c r="X712">
        <v>6.18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1</v>
      </c>
      <c r="AE712">
        <v>1</v>
      </c>
      <c r="AF712" t="s">
        <v>3</v>
      </c>
      <c r="AG712">
        <v>6.18</v>
      </c>
      <c r="AH712">
        <v>2</v>
      </c>
      <c r="AI712">
        <v>129764031</v>
      </c>
      <c r="AJ712">
        <v>721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</row>
    <row r="713" spans="1:44" x14ac:dyDescent="0.2">
      <c r="A713">
        <f>ROW(Source!A827)</f>
        <v>827</v>
      </c>
      <c r="B713">
        <v>129764048</v>
      </c>
      <c r="C713">
        <v>129764046</v>
      </c>
      <c r="D713">
        <v>37345142</v>
      </c>
      <c r="E713">
        <v>37345137</v>
      </c>
      <c r="F713">
        <v>1</v>
      </c>
      <c r="G713">
        <v>37345137</v>
      </c>
      <c r="H713">
        <v>1</v>
      </c>
      <c r="I713" t="s">
        <v>1096</v>
      </c>
      <c r="J713" t="s">
        <v>3</v>
      </c>
      <c r="K713" t="s">
        <v>1097</v>
      </c>
      <c r="L713">
        <v>1191</v>
      </c>
      <c r="N713">
        <v>1013</v>
      </c>
      <c r="O713" t="s">
        <v>1098</v>
      </c>
      <c r="P713" t="s">
        <v>1098</v>
      </c>
      <c r="Q713">
        <v>1</v>
      </c>
      <c r="X713">
        <v>6.32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1</v>
      </c>
      <c r="AE713">
        <v>1</v>
      </c>
      <c r="AF713" t="s">
        <v>3</v>
      </c>
      <c r="AG713">
        <v>6.32</v>
      </c>
      <c r="AH713">
        <v>2</v>
      </c>
      <c r="AI713">
        <v>129764047</v>
      </c>
      <c r="AJ713">
        <v>723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</row>
    <row r="714" spans="1:44" x14ac:dyDescent="0.2">
      <c r="A714">
        <f>ROW(Source!A828)</f>
        <v>828</v>
      </c>
      <c r="B714">
        <v>129764048</v>
      </c>
      <c r="C714">
        <v>129764046</v>
      </c>
      <c r="D714">
        <v>37345142</v>
      </c>
      <c r="E714">
        <v>37345137</v>
      </c>
      <c r="F714">
        <v>1</v>
      </c>
      <c r="G714">
        <v>37345137</v>
      </c>
      <c r="H714">
        <v>1</v>
      </c>
      <c r="I714" t="s">
        <v>1096</v>
      </c>
      <c r="J714" t="s">
        <v>3</v>
      </c>
      <c r="K714" t="s">
        <v>1097</v>
      </c>
      <c r="L714">
        <v>1191</v>
      </c>
      <c r="N714">
        <v>1013</v>
      </c>
      <c r="O714" t="s">
        <v>1098</v>
      </c>
      <c r="P714" t="s">
        <v>1098</v>
      </c>
      <c r="Q714">
        <v>1</v>
      </c>
      <c r="X714">
        <v>6.32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1</v>
      </c>
      <c r="AE714">
        <v>1</v>
      </c>
      <c r="AF714" t="s">
        <v>3</v>
      </c>
      <c r="AG714">
        <v>6.32</v>
      </c>
      <c r="AH714">
        <v>2</v>
      </c>
      <c r="AI714">
        <v>129764047</v>
      </c>
      <c r="AJ714">
        <v>724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</row>
    <row r="715" spans="1:44" x14ac:dyDescent="0.2">
      <c r="A715">
        <f>ROW(Source!A829)</f>
        <v>829</v>
      </c>
      <c r="B715">
        <v>129764051</v>
      </c>
      <c r="C715">
        <v>129764049</v>
      </c>
      <c r="D715">
        <v>37345142</v>
      </c>
      <c r="E715">
        <v>37345137</v>
      </c>
      <c r="F715">
        <v>1</v>
      </c>
      <c r="G715">
        <v>37345137</v>
      </c>
      <c r="H715">
        <v>1</v>
      </c>
      <c r="I715" t="s">
        <v>1096</v>
      </c>
      <c r="J715" t="s">
        <v>3</v>
      </c>
      <c r="K715" t="s">
        <v>1097</v>
      </c>
      <c r="L715">
        <v>1191</v>
      </c>
      <c r="N715">
        <v>1013</v>
      </c>
      <c r="O715" t="s">
        <v>1098</v>
      </c>
      <c r="P715" t="s">
        <v>1098</v>
      </c>
      <c r="Q715">
        <v>1</v>
      </c>
      <c r="X715">
        <v>9.64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1</v>
      </c>
      <c r="AE715">
        <v>1</v>
      </c>
      <c r="AF715" t="s">
        <v>3</v>
      </c>
      <c r="AG715">
        <v>9.64</v>
      </c>
      <c r="AH715">
        <v>2</v>
      </c>
      <c r="AI715">
        <v>129764050</v>
      </c>
      <c r="AJ715">
        <v>725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</row>
    <row r="716" spans="1:44" x14ac:dyDescent="0.2">
      <c r="A716">
        <f>ROW(Source!A830)</f>
        <v>830</v>
      </c>
      <c r="B716">
        <v>129764051</v>
      </c>
      <c r="C716">
        <v>129764049</v>
      </c>
      <c r="D716">
        <v>37345142</v>
      </c>
      <c r="E716">
        <v>37345137</v>
      </c>
      <c r="F716">
        <v>1</v>
      </c>
      <c r="G716">
        <v>37345137</v>
      </c>
      <c r="H716">
        <v>1</v>
      </c>
      <c r="I716" t="s">
        <v>1096</v>
      </c>
      <c r="J716" t="s">
        <v>3</v>
      </c>
      <c r="K716" t="s">
        <v>1097</v>
      </c>
      <c r="L716">
        <v>1191</v>
      </c>
      <c r="N716">
        <v>1013</v>
      </c>
      <c r="O716" t="s">
        <v>1098</v>
      </c>
      <c r="P716" t="s">
        <v>1098</v>
      </c>
      <c r="Q716">
        <v>1</v>
      </c>
      <c r="X716">
        <v>9.64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1</v>
      </c>
      <c r="AE716">
        <v>1</v>
      </c>
      <c r="AF716" t="s">
        <v>3</v>
      </c>
      <c r="AG716">
        <v>9.64</v>
      </c>
      <c r="AH716">
        <v>2</v>
      </c>
      <c r="AI716">
        <v>129764050</v>
      </c>
      <c r="AJ716">
        <v>726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</row>
    <row r="717" spans="1:44" x14ac:dyDescent="0.2">
      <c r="A717">
        <f>ROW(Source!A866)</f>
        <v>866</v>
      </c>
      <c r="B717">
        <v>129764055</v>
      </c>
      <c r="C717">
        <v>129764052</v>
      </c>
      <c r="D717">
        <v>37345142</v>
      </c>
      <c r="E717">
        <v>37345137</v>
      </c>
      <c r="F717">
        <v>1</v>
      </c>
      <c r="G717">
        <v>37345137</v>
      </c>
      <c r="H717">
        <v>1</v>
      </c>
      <c r="I717" t="s">
        <v>1096</v>
      </c>
      <c r="J717" t="s">
        <v>3</v>
      </c>
      <c r="K717" t="s">
        <v>1097</v>
      </c>
      <c r="L717">
        <v>1191</v>
      </c>
      <c r="N717">
        <v>1013</v>
      </c>
      <c r="O717" t="s">
        <v>1098</v>
      </c>
      <c r="P717" t="s">
        <v>1098</v>
      </c>
      <c r="Q717">
        <v>1</v>
      </c>
      <c r="X717">
        <v>1.34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1</v>
      </c>
      <c r="AE717">
        <v>1</v>
      </c>
      <c r="AF717" t="s">
        <v>743</v>
      </c>
      <c r="AG717">
        <v>1.0720000000000001</v>
      </c>
      <c r="AH717">
        <v>2</v>
      </c>
      <c r="AI717">
        <v>129764053</v>
      </c>
      <c r="AJ717">
        <v>727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</row>
    <row r="718" spans="1:44" x14ac:dyDescent="0.2">
      <c r="A718">
        <f>ROW(Source!A867)</f>
        <v>867</v>
      </c>
      <c r="B718">
        <v>129764055</v>
      </c>
      <c r="C718">
        <v>129764052</v>
      </c>
      <c r="D718">
        <v>37345142</v>
      </c>
      <c r="E718">
        <v>37345137</v>
      </c>
      <c r="F718">
        <v>1</v>
      </c>
      <c r="G718">
        <v>37345137</v>
      </c>
      <c r="H718">
        <v>1</v>
      </c>
      <c r="I718" t="s">
        <v>1096</v>
      </c>
      <c r="J718" t="s">
        <v>3</v>
      </c>
      <c r="K718" t="s">
        <v>1097</v>
      </c>
      <c r="L718">
        <v>1191</v>
      </c>
      <c r="N718">
        <v>1013</v>
      </c>
      <c r="O718" t="s">
        <v>1098</v>
      </c>
      <c r="P718" t="s">
        <v>1098</v>
      </c>
      <c r="Q718">
        <v>1</v>
      </c>
      <c r="X718">
        <v>1.34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1</v>
      </c>
      <c r="AE718">
        <v>1</v>
      </c>
      <c r="AF718" t="s">
        <v>743</v>
      </c>
      <c r="AG718">
        <v>1.0720000000000001</v>
      </c>
      <c r="AH718">
        <v>2</v>
      </c>
      <c r="AI718">
        <v>129764053</v>
      </c>
      <c r="AJ718">
        <v>729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</row>
    <row r="719" spans="1:44" x14ac:dyDescent="0.2">
      <c r="A719">
        <f>ROW(Source!A870)</f>
        <v>870</v>
      </c>
      <c r="B719">
        <v>129764062</v>
      </c>
      <c r="C719">
        <v>129764057</v>
      </c>
      <c r="D719">
        <v>37345142</v>
      </c>
      <c r="E719">
        <v>37345137</v>
      </c>
      <c r="F719">
        <v>1</v>
      </c>
      <c r="G719">
        <v>37345137</v>
      </c>
      <c r="H719">
        <v>1</v>
      </c>
      <c r="I719" t="s">
        <v>1096</v>
      </c>
      <c r="J719" t="s">
        <v>3</v>
      </c>
      <c r="K719" t="s">
        <v>1097</v>
      </c>
      <c r="L719">
        <v>1191</v>
      </c>
      <c r="N719">
        <v>1013</v>
      </c>
      <c r="O719" t="s">
        <v>1098</v>
      </c>
      <c r="P719" t="s">
        <v>1098</v>
      </c>
      <c r="Q719">
        <v>1</v>
      </c>
      <c r="X719">
        <v>127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1</v>
      </c>
      <c r="AE719">
        <v>1</v>
      </c>
      <c r="AF719" t="s">
        <v>3</v>
      </c>
      <c r="AG719">
        <v>127</v>
      </c>
      <c r="AH719">
        <v>2</v>
      </c>
      <c r="AI719">
        <v>129764058</v>
      </c>
      <c r="AJ719">
        <v>731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</row>
    <row r="720" spans="1:44" x14ac:dyDescent="0.2">
      <c r="A720">
        <f>ROW(Source!A871)</f>
        <v>871</v>
      </c>
      <c r="B720">
        <v>129764062</v>
      </c>
      <c r="C720">
        <v>129764057</v>
      </c>
      <c r="D720">
        <v>37345142</v>
      </c>
      <c r="E720">
        <v>37345137</v>
      </c>
      <c r="F720">
        <v>1</v>
      </c>
      <c r="G720">
        <v>37345137</v>
      </c>
      <c r="H720">
        <v>1</v>
      </c>
      <c r="I720" t="s">
        <v>1096</v>
      </c>
      <c r="J720" t="s">
        <v>3</v>
      </c>
      <c r="K720" t="s">
        <v>1097</v>
      </c>
      <c r="L720">
        <v>1191</v>
      </c>
      <c r="N720">
        <v>1013</v>
      </c>
      <c r="O720" t="s">
        <v>1098</v>
      </c>
      <c r="P720" t="s">
        <v>1098</v>
      </c>
      <c r="Q720">
        <v>1</v>
      </c>
      <c r="X720">
        <v>127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1</v>
      </c>
      <c r="AE720">
        <v>1</v>
      </c>
      <c r="AF720" t="s">
        <v>3</v>
      </c>
      <c r="AG720">
        <v>127</v>
      </c>
      <c r="AH720">
        <v>2</v>
      </c>
      <c r="AI720">
        <v>129764058</v>
      </c>
      <c r="AJ720">
        <v>735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</row>
    <row r="721" spans="1:44" x14ac:dyDescent="0.2">
      <c r="A721">
        <f>ROW(Source!A878)</f>
        <v>878</v>
      </c>
      <c r="B721">
        <v>129764070</v>
      </c>
      <c r="C721">
        <v>129764066</v>
      </c>
      <c r="D721">
        <v>37345142</v>
      </c>
      <c r="E721">
        <v>37345137</v>
      </c>
      <c r="F721">
        <v>1</v>
      </c>
      <c r="G721">
        <v>37345137</v>
      </c>
      <c r="H721">
        <v>1</v>
      </c>
      <c r="I721" t="s">
        <v>1096</v>
      </c>
      <c r="J721" t="s">
        <v>3</v>
      </c>
      <c r="K721" t="s">
        <v>1097</v>
      </c>
      <c r="L721">
        <v>1191</v>
      </c>
      <c r="N721">
        <v>1013</v>
      </c>
      <c r="O721" t="s">
        <v>1098</v>
      </c>
      <c r="P721" t="s">
        <v>1098</v>
      </c>
      <c r="Q721">
        <v>1</v>
      </c>
      <c r="X721">
        <v>84.67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1</v>
      </c>
      <c r="AE721">
        <v>1</v>
      </c>
      <c r="AF721" t="s">
        <v>3</v>
      </c>
      <c r="AG721">
        <v>84.67</v>
      </c>
      <c r="AH721">
        <v>2</v>
      </c>
      <c r="AI721">
        <v>129764067</v>
      </c>
      <c r="AJ721">
        <v>739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</row>
    <row r="722" spans="1:44" x14ac:dyDescent="0.2">
      <c r="A722">
        <f>ROW(Source!A879)</f>
        <v>879</v>
      </c>
      <c r="B722">
        <v>129764070</v>
      </c>
      <c r="C722">
        <v>129764066</v>
      </c>
      <c r="D722">
        <v>37345142</v>
      </c>
      <c r="E722">
        <v>37345137</v>
      </c>
      <c r="F722">
        <v>1</v>
      </c>
      <c r="G722">
        <v>37345137</v>
      </c>
      <c r="H722">
        <v>1</v>
      </c>
      <c r="I722" t="s">
        <v>1096</v>
      </c>
      <c r="J722" t="s">
        <v>3</v>
      </c>
      <c r="K722" t="s">
        <v>1097</v>
      </c>
      <c r="L722">
        <v>1191</v>
      </c>
      <c r="N722">
        <v>1013</v>
      </c>
      <c r="O722" t="s">
        <v>1098</v>
      </c>
      <c r="P722" t="s">
        <v>1098</v>
      </c>
      <c r="Q722">
        <v>1</v>
      </c>
      <c r="X722">
        <v>84.67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1</v>
      </c>
      <c r="AE722">
        <v>1</v>
      </c>
      <c r="AF722" t="s">
        <v>3</v>
      </c>
      <c r="AG722">
        <v>84.67</v>
      </c>
      <c r="AH722">
        <v>2</v>
      </c>
      <c r="AI722">
        <v>129764067</v>
      </c>
      <c r="AJ722">
        <v>742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</row>
    <row r="723" spans="1:44" x14ac:dyDescent="0.2">
      <c r="A723">
        <f>ROW(Source!A884)</f>
        <v>884</v>
      </c>
      <c r="B723">
        <v>129764077</v>
      </c>
      <c r="C723">
        <v>129764073</v>
      </c>
      <c r="D723">
        <v>37345142</v>
      </c>
      <c r="E723">
        <v>37345137</v>
      </c>
      <c r="F723">
        <v>1</v>
      </c>
      <c r="G723">
        <v>37345137</v>
      </c>
      <c r="H723">
        <v>1</v>
      </c>
      <c r="I723" t="s">
        <v>1096</v>
      </c>
      <c r="J723" t="s">
        <v>3</v>
      </c>
      <c r="K723" t="s">
        <v>1097</v>
      </c>
      <c r="L723">
        <v>1191</v>
      </c>
      <c r="N723">
        <v>1013</v>
      </c>
      <c r="O723" t="s">
        <v>1098</v>
      </c>
      <c r="P723" t="s">
        <v>1098</v>
      </c>
      <c r="Q723">
        <v>1</v>
      </c>
      <c r="X723">
        <v>0.5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1</v>
      </c>
      <c r="AE723">
        <v>1</v>
      </c>
      <c r="AF723" t="s">
        <v>3</v>
      </c>
      <c r="AG723">
        <v>0.5</v>
      </c>
      <c r="AH723">
        <v>2</v>
      </c>
      <c r="AI723">
        <v>129764074</v>
      </c>
      <c r="AJ723">
        <v>745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</row>
    <row r="724" spans="1:44" x14ac:dyDescent="0.2">
      <c r="A724">
        <f>ROW(Source!A884)</f>
        <v>884</v>
      </c>
      <c r="B724">
        <v>129764078</v>
      </c>
      <c r="C724">
        <v>129764073</v>
      </c>
      <c r="D724">
        <v>37367069</v>
      </c>
      <c r="E724">
        <v>37345137</v>
      </c>
      <c r="F724">
        <v>1</v>
      </c>
      <c r="G724">
        <v>37345137</v>
      </c>
      <c r="H724">
        <v>3</v>
      </c>
      <c r="I724" t="s">
        <v>1342</v>
      </c>
      <c r="J724" t="s">
        <v>3</v>
      </c>
      <c r="K724" t="s">
        <v>1343</v>
      </c>
      <c r="L724">
        <v>1348</v>
      </c>
      <c r="N724">
        <v>1009</v>
      </c>
      <c r="O724" t="s">
        <v>114</v>
      </c>
      <c r="P724" t="s">
        <v>114</v>
      </c>
      <c r="Q724">
        <v>1000</v>
      </c>
      <c r="X724">
        <v>1E-3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1</v>
      </c>
      <c r="AE724">
        <v>0</v>
      </c>
      <c r="AF724" t="s">
        <v>3</v>
      </c>
      <c r="AG724">
        <v>1E-3</v>
      </c>
      <c r="AH724">
        <v>2</v>
      </c>
      <c r="AI724">
        <v>129764075</v>
      </c>
      <c r="AJ724">
        <v>746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</row>
    <row r="725" spans="1:44" x14ac:dyDescent="0.2">
      <c r="A725">
        <f>ROW(Source!A885)</f>
        <v>885</v>
      </c>
      <c r="B725">
        <v>129764077</v>
      </c>
      <c r="C725">
        <v>129764073</v>
      </c>
      <c r="D725">
        <v>37345142</v>
      </c>
      <c r="E725">
        <v>37345137</v>
      </c>
      <c r="F725">
        <v>1</v>
      </c>
      <c r="G725">
        <v>37345137</v>
      </c>
      <c r="H725">
        <v>1</v>
      </c>
      <c r="I725" t="s">
        <v>1096</v>
      </c>
      <c r="J725" t="s">
        <v>3</v>
      </c>
      <c r="K725" t="s">
        <v>1097</v>
      </c>
      <c r="L725">
        <v>1191</v>
      </c>
      <c r="N725">
        <v>1013</v>
      </c>
      <c r="O725" t="s">
        <v>1098</v>
      </c>
      <c r="P725" t="s">
        <v>1098</v>
      </c>
      <c r="Q725">
        <v>1</v>
      </c>
      <c r="X725">
        <v>0.5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1</v>
      </c>
      <c r="AE725">
        <v>1</v>
      </c>
      <c r="AF725" t="s">
        <v>3</v>
      </c>
      <c r="AG725">
        <v>0.5</v>
      </c>
      <c r="AH725">
        <v>2</v>
      </c>
      <c r="AI725">
        <v>129764074</v>
      </c>
      <c r="AJ725">
        <v>748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</row>
    <row r="726" spans="1:44" x14ac:dyDescent="0.2">
      <c r="A726">
        <f>ROW(Source!A885)</f>
        <v>885</v>
      </c>
      <c r="B726">
        <v>129764078</v>
      </c>
      <c r="C726">
        <v>129764073</v>
      </c>
      <c r="D726">
        <v>37367069</v>
      </c>
      <c r="E726">
        <v>37345137</v>
      </c>
      <c r="F726">
        <v>1</v>
      </c>
      <c r="G726">
        <v>37345137</v>
      </c>
      <c r="H726">
        <v>3</v>
      </c>
      <c r="I726" t="s">
        <v>1342</v>
      </c>
      <c r="J726" t="s">
        <v>3</v>
      </c>
      <c r="K726" t="s">
        <v>1343</v>
      </c>
      <c r="L726">
        <v>1348</v>
      </c>
      <c r="N726">
        <v>1009</v>
      </c>
      <c r="O726" t="s">
        <v>114</v>
      </c>
      <c r="P726" t="s">
        <v>114</v>
      </c>
      <c r="Q726">
        <v>1000</v>
      </c>
      <c r="X726">
        <v>1E-3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1</v>
      </c>
      <c r="AE726">
        <v>0</v>
      </c>
      <c r="AF726" t="s">
        <v>3</v>
      </c>
      <c r="AG726">
        <v>1E-3</v>
      </c>
      <c r="AH726">
        <v>2</v>
      </c>
      <c r="AI726">
        <v>129764075</v>
      </c>
      <c r="AJ726">
        <v>749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</row>
    <row r="727" spans="1:44" x14ac:dyDescent="0.2">
      <c r="A727">
        <f>ROW(Source!A888)</f>
        <v>888</v>
      </c>
      <c r="B727">
        <v>129764085</v>
      </c>
      <c r="C727">
        <v>129764080</v>
      </c>
      <c r="D727">
        <v>37345142</v>
      </c>
      <c r="E727">
        <v>37345137</v>
      </c>
      <c r="F727">
        <v>1</v>
      </c>
      <c r="G727">
        <v>37345137</v>
      </c>
      <c r="H727">
        <v>1</v>
      </c>
      <c r="I727" t="s">
        <v>1096</v>
      </c>
      <c r="J727" t="s">
        <v>3</v>
      </c>
      <c r="K727" t="s">
        <v>1097</v>
      </c>
      <c r="L727">
        <v>1191</v>
      </c>
      <c r="N727">
        <v>1013</v>
      </c>
      <c r="O727" t="s">
        <v>1098</v>
      </c>
      <c r="P727" t="s">
        <v>1098</v>
      </c>
      <c r="Q727">
        <v>1</v>
      </c>
      <c r="X727">
        <v>40.67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1</v>
      </c>
      <c r="AE727">
        <v>1</v>
      </c>
      <c r="AF727" t="s">
        <v>3</v>
      </c>
      <c r="AG727">
        <v>40.67</v>
      </c>
      <c r="AH727">
        <v>2</v>
      </c>
      <c r="AI727">
        <v>129764081</v>
      </c>
      <c r="AJ727">
        <v>751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</row>
    <row r="728" spans="1:44" x14ac:dyDescent="0.2">
      <c r="A728">
        <f>ROW(Source!A888)</f>
        <v>888</v>
      </c>
      <c r="B728">
        <v>129764086</v>
      </c>
      <c r="C728">
        <v>129764080</v>
      </c>
      <c r="D728">
        <v>37358415</v>
      </c>
      <c r="E728">
        <v>37345137</v>
      </c>
      <c r="F728">
        <v>1</v>
      </c>
      <c r="G728">
        <v>37345137</v>
      </c>
      <c r="H728">
        <v>3</v>
      </c>
      <c r="I728" t="s">
        <v>1501</v>
      </c>
      <c r="J728" t="s">
        <v>3</v>
      </c>
      <c r="K728" t="s">
        <v>1502</v>
      </c>
      <c r="L728">
        <v>1301</v>
      </c>
      <c r="N728">
        <v>1003</v>
      </c>
      <c r="O728" t="s">
        <v>270</v>
      </c>
      <c r="P728" t="s">
        <v>270</v>
      </c>
      <c r="Q728">
        <v>1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 t="s">
        <v>3</v>
      </c>
      <c r="AG728">
        <v>0</v>
      </c>
      <c r="AH728">
        <v>3</v>
      </c>
      <c r="AI728">
        <v>-1</v>
      </c>
      <c r="AJ728" t="s">
        <v>3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</row>
    <row r="729" spans="1:44" x14ac:dyDescent="0.2">
      <c r="A729">
        <f>ROW(Source!A888)</f>
        <v>888</v>
      </c>
      <c r="B729">
        <v>129764087</v>
      </c>
      <c r="C729">
        <v>129764080</v>
      </c>
      <c r="D729">
        <v>37358415</v>
      </c>
      <c r="E729">
        <v>37345137</v>
      </c>
      <c r="F729">
        <v>1</v>
      </c>
      <c r="G729">
        <v>37345137</v>
      </c>
      <c r="H729">
        <v>3</v>
      </c>
      <c r="I729" t="s">
        <v>1501</v>
      </c>
      <c r="J729" t="s">
        <v>3</v>
      </c>
      <c r="K729" t="s">
        <v>1503</v>
      </c>
      <c r="L729">
        <v>1301</v>
      </c>
      <c r="N729">
        <v>1003</v>
      </c>
      <c r="O729" t="s">
        <v>270</v>
      </c>
      <c r="P729" t="s">
        <v>270</v>
      </c>
      <c r="Q729">
        <v>1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 t="s">
        <v>3</v>
      </c>
      <c r="AG729">
        <v>0</v>
      </c>
      <c r="AH729">
        <v>3</v>
      </c>
      <c r="AI729">
        <v>-1</v>
      </c>
      <c r="AJ729" t="s">
        <v>3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</row>
    <row r="730" spans="1:44" x14ac:dyDescent="0.2">
      <c r="A730">
        <f>ROW(Source!A888)</f>
        <v>888</v>
      </c>
      <c r="B730">
        <v>129764088</v>
      </c>
      <c r="C730">
        <v>129764080</v>
      </c>
      <c r="D730">
        <v>37358415</v>
      </c>
      <c r="E730">
        <v>37345137</v>
      </c>
      <c r="F730">
        <v>1</v>
      </c>
      <c r="G730">
        <v>37345137</v>
      </c>
      <c r="H730">
        <v>3</v>
      </c>
      <c r="I730" t="s">
        <v>1501</v>
      </c>
      <c r="J730" t="s">
        <v>3</v>
      </c>
      <c r="K730" t="s">
        <v>1504</v>
      </c>
      <c r="L730">
        <v>1354</v>
      </c>
      <c r="N730">
        <v>1010</v>
      </c>
      <c r="O730" t="s">
        <v>250</v>
      </c>
      <c r="P730" t="s">
        <v>250</v>
      </c>
      <c r="Q730">
        <v>1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 t="s">
        <v>3</v>
      </c>
      <c r="AG730">
        <v>0</v>
      </c>
      <c r="AH730">
        <v>3</v>
      </c>
      <c r="AI730">
        <v>-1</v>
      </c>
      <c r="AJ730" t="s">
        <v>3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</row>
    <row r="731" spans="1:44" x14ac:dyDescent="0.2">
      <c r="A731">
        <f>ROW(Source!A888)</f>
        <v>888</v>
      </c>
      <c r="B731">
        <v>129764089</v>
      </c>
      <c r="C731">
        <v>129764080</v>
      </c>
      <c r="D731">
        <v>37358415</v>
      </c>
      <c r="E731">
        <v>37345137</v>
      </c>
      <c r="F731">
        <v>1</v>
      </c>
      <c r="G731">
        <v>37345137</v>
      </c>
      <c r="H731">
        <v>3</v>
      </c>
      <c r="I731" t="s">
        <v>1501</v>
      </c>
      <c r="J731" t="s">
        <v>3</v>
      </c>
      <c r="K731" t="s">
        <v>1505</v>
      </c>
      <c r="L731">
        <v>1354</v>
      </c>
      <c r="N731">
        <v>1010</v>
      </c>
      <c r="O731" t="s">
        <v>250</v>
      </c>
      <c r="P731" t="s">
        <v>250</v>
      </c>
      <c r="Q731">
        <v>1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 t="s">
        <v>3</v>
      </c>
      <c r="AG731">
        <v>0</v>
      </c>
      <c r="AH731">
        <v>3</v>
      </c>
      <c r="AI731">
        <v>-1</v>
      </c>
      <c r="AJ731" t="s">
        <v>3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</row>
    <row r="732" spans="1:44" x14ac:dyDescent="0.2">
      <c r="A732">
        <f>ROW(Source!A888)</f>
        <v>888</v>
      </c>
      <c r="B732">
        <v>129764090</v>
      </c>
      <c r="C732">
        <v>129764080</v>
      </c>
      <c r="D732">
        <v>37358415</v>
      </c>
      <c r="E732">
        <v>37345137</v>
      </c>
      <c r="F732">
        <v>1</v>
      </c>
      <c r="G732">
        <v>37345137</v>
      </c>
      <c r="H732">
        <v>3</v>
      </c>
      <c r="I732" t="s">
        <v>1501</v>
      </c>
      <c r="J732" t="s">
        <v>3</v>
      </c>
      <c r="K732" t="s">
        <v>1506</v>
      </c>
      <c r="L732">
        <v>1354</v>
      </c>
      <c r="N732">
        <v>1010</v>
      </c>
      <c r="O732" t="s">
        <v>250</v>
      </c>
      <c r="P732" t="s">
        <v>250</v>
      </c>
      <c r="Q732">
        <v>1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 t="s">
        <v>3</v>
      </c>
      <c r="AG732">
        <v>0</v>
      </c>
      <c r="AH732">
        <v>3</v>
      </c>
      <c r="AI732">
        <v>-1</v>
      </c>
      <c r="AJ732" t="s">
        <v>3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</row>
    <row r="733" spans="1:44" x14ac:dyDescent="0.2">
      <c r="A733">
        <f>ROW(Source!A888)</f>
        <v>888</v>
      </c>
      <c r="B733">
        <v>129764091</v>
      </c>
      <c r="C733">
        <v>129764080</v>
      </c>
      <c r="D733">
        <v>37358415</v>
      </c>
      <c r="E733">
        <v>37345137</v>
      </c>
      <c r="F733">
        <v>1</v>
      </c>
      <c r="G733">
        <v>37345137</v>
      </c>
      <c r="H733">
        <v>3</v>
      </c>
      <c r="I733" t="s">
        <v>1501</v>
      </c>
      <c r="J733" t="s">
        <v>3</v>
      </c>
      <c r="K733" t="s">
        <v>1507</v>
      </c>
      <c r="L733">
        <v>1354</v>
      </c>
      <c r="N733">
        <v>1010</v>
      </c>
      <c r="O733" t="s">
        <v>250</v>
      </c>
      <c r="P733" t="s">
        <v>250</v>
      </c>
      <c r="Q733">
        <v>1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 t="s">
        <v>3</v>
      </c>
      <c r="AG733">
        <v>0</v>
      </c>
      <c r="AH733">
        <v>3</v>
      </c>
      <c r="AI733">
        <v>-1</v>
      </c>
      <c r="AJ733" t="s">
        <v>3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</row>
    <row r="734" spans="1:44" x14ac:dyDescent="0.2">
      <c r="A734">
        <f>ROW(Source!A888)</f>
        <v>888</v>
      </c>
      <c r="B734">
        <v>129764092</v>
      </c>
      <c r="C734">
        <v>129764080</v>
      </c>
      <c r="D734">
        <v>37358415</v>
      </c>
      <c r="E734">
        <v>37345137</v>
      </c>
      <c r="F734">
        <v>1</v>
      </c>
      <c r="G734">
        <v>37345137</v>
      </c>
      <c r="H734">
        <v>3</v>
      </c>
      <c r="I734" t="s">
        <v>1501</v>
      </c>
      <c r="J734" t="s">
        <v>3</v>
      </c>
      <c r="K734" t="s">
        <v>1508</v>
      </c>
      <c r="L734">
        <v>1354</v>
      </c>
      <c r="N734">
        <v>1010</v>
      </c>
      <c r="O734" t="s">
        <v>250</v>
      </c>
      <c r="P734" t="s">
        <v>250</v>
      </c>
      <c r="Q734">
        <v>1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 t="s">
        <v>3</v>
      </c>
      <c r="AG734">
        <v>0</v>
      </c>
      <c r="AH734">
        <v>3</v>
      </c>
      <c r="AI734">
        <v>-1</v>
      </c>
      <c r="AJ734" t="s">
        <v>3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</row>
    <row r="735" spans="1:44" x14ac:dyDescent="0.2">
      <c r="A735">
        <f>ROW(Source!A889)</f>
        <v>889</v>
      </c>
      <c r="B735">
        <v>129764085</v>
      </c>
      <c r="C735">
        <v>129764080</v>
      </c>
      <c r="D735">
        <v>37345142</v>
      </c>
      <c r="E735">
        <v>37345137</v>
      </c>
      <c r="F735">
        <v>1</v>
      </c>
      <c r="G735">
        <v>37345137</v>
      </c>
      <c r="H735">
        <v>1</v>
      </c>
      <c r="I735" t="s">
        <v>1096</v>
      </c>
      <c r="J735" t="s">
        <v>3</v>
      </c>
      <c r="K735" t="s">
        <v>1097</v>
      </c>
      <c r="L735">
        <v>1191</v>
      </c>
      <c r="N735">
        <v>1013</v>
      </c>
      <c r="O735" t="s">
        <v>1098</v>
      </c>
      <c r="P735" t="s">
        <v>1098</v>
      </c>
      <c r="Q735">
        <v>1</v>
      </c>
      <c r="X735">
        <v>40.67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1</v>
      </c>
      <c r="AE735">
        <v>1</v>
      </c>
      <c r="AF735" t="s">
        <v>3</v>
      </c>
      <c r="AG735">
        <v>40.67</v>
      </c>
      <c r="AH735">
        <v>2</v>
      </c>
      <c r="AI735">
        <v>129764081</v>
      </c>
      <c r="AJ735">
        <v>755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</row>
    <row r="736" spans="1:44" x14ac:dyDescent="0.2">
      <c r="A736">
        <f>ROW(Source!A889)</f>
        <v>889</v>
      </c>
      <c r="B736">
        <v>129764086</v>
      </c>
      <c r="C736">
        <v>129764080</v>
      </c>
      <c r="D736">
        <v>37358415</v>
      </c>
      <c r="E736">
        <v>37345137</v>
      </c>
      <c r="F736">
        <v>1</v>
      </c>
      <c r="G736">
        <v>37345137</v>
      </c>
      <c r="H736">
        <v>3</v>
      </c>
      <c r="I736" t="s">
        <v>1501</v>
      </c>
      <c r="J736" t="s">
        <v>3</v>
      </c>
      <c r="K736" t="s">
        <v>1502</v>
      </c>
      <c r="L736">
        <v>1301</v>
      </c>
      <c r="N736">
        <v>1003</v>
      </c>
      <c r="O736" t="s">
        <v>270</v>
      </c>
      <c r="P736" t="s">
        <v>270</v>
      </c>
      <c r="Q736">
        <v>1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 t="s">
        <v>3</v>
      </c>
      <c r="AG736">
        <v>0</v>
      </c>
      <c r="AH736">
        <v>3</v>
      </c>
      <c r="AI736">
        <v>-1</v>
      </c>
      <c r="AJ736" t="s">
        <v>3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</row>
    <row r="737" spans="1:44" x14ac:dyDescent="0.2">
      <c r="A737">
        <f>ROW(Source!A889)</f>
        <v>889</v>
      </c>
      <c r="B737">
        <v>129764087</v>
      </c>
      <c r="C737">
        <v>129764080</v>
      </c>
      <c r="D737">
        <v>37358415</v>
      </c>
      <c r="E737">
        <v>37345137</v>
      </c>
      <c r="F737">
        <v>1</v>
      </c>
      <c r="G737">
        <v>37345137</v>
      </c>
      <c r="H737">
        <v>3</v>
      </c>
      <c r="I737" t="s">
        <v>1501</v>
      </c>
      <c r="J737" t="s">
        <v>3</v>
      </c>
      <c r="K737" t="s">
        <v>1503</v>
      </c>
      <c r="L737">
        <v>1301</v>
      </c>
      <c r="N737">
        <v>1003</v>
      </c>
      <c r="O737" t="s">
        <v>270</v>
      </c>
      <c r="P737" t="s">
        <v>270</v>
      </c>
      <c r="Q737">
        <v>1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 t="s">
        <v>3</v>
      </c>
      <c r="AG737">
        <v>0</v>
      </c>
      <c r="AH737">
        <v>3</v>
      </c>
      <c r="AI737">
        <v>-1</v>
      </c>
      <c r="AJ737" t="s">
        <v>3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</row>
    <row r="738" spans="1:44" x14ac:dyDescent="0.2">
      <c r="A738">
        <f>ROW(Source!A889)</f>
        <v>889</v>
      </c>
      <c r="B738">
        <v>129764088</v>
      </c>
      <c r="C738">
        <v>129764080</v>
      </c>
      <c r="D738">
        <v>37358415</v>
      </c>
      <c r="E738">
        <v>37345137</v>
      </c>
      <c r="F738">
        <v>1</v>
      </c>
      <c r="G738">
        <v>37345137</v>
      </c>
      <c r="H738">
        <v>3</v>
      </c>
      <c r="I738" t="s">
        <v>1501</v>
      </c>
      <c r="J738" t="s">
        <v>3</v>
      </c>
      <c r="K738" t="s">
        <v>1504</v>
      </c>
      <c r="L738">
        <v>1354</v>
      </c>
      <c r="N738">
        <v>1010</v>
      </c>
      <c r="O738" t="s">
        <v>250</v>
      </c>
      <c r="P738" t="s">
        <v>250</v>
      </c>
      <c r="Q738">
        <v>1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 t="s">
        <v>3</v>
      </c>
      <c r="AG738">
        <v>0</v>
      </c>
      <c r="AH738">
        <v>3</v>
      </c>
      <c r="AI738">
        <v>-1</v>
      </c>
      <c r="AJ738" t="s">
        <v>3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</row>
    <row r="739" spans="1:44" x14ac:dyDescent="0.2">
      <c r="A739">
        <f>ROW(Source!A889)</f>
        <v>889</v>
      </c>
      <c r="B739">
        <v>129764089</v>
      </c>
      <c r="C739">
        <v>129764080</v>
      </c>
      <c r="D739">
        <v>37358415</v>
      </c>
      <c r="E739">
        <v>37345137</v>
      </c>
      <c r="F739">
        <v>1</v>
      </c>
      <c r="G739">
        <v>37345137</v>
      </c>
      <c r="H739">
        <v>3</v>
      </c>
      <c r="I739" t="s">
        <v>1501</v>
      </c>
      <c r="J739" t="s">
        <v>3</v>
      </c>
      <c r="K739" t="s">
        <v>1505</v>
      </c>
      <c r="L739">
        <v>1354</v>
      </c>
      <c r="N739">
        <v>1010</v>
      </c>
      <c r="O739" t="s">
        <v>250</v>
      </c>
      <c r="P739" t="s">
        <v>250</v>
      </c>
      <c r="Q739">
        <v>1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 t="s">
        <v>3</v>
      </c>
      <c r="AG739">
        <v>0</v>
      </c>
      <c r="AH739">
        <v>3</v>
      </c>
      <c r="AI739">
        <v>-1</v>
      </c>
      <c r="AJ739" t="s">
        <v>3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</row>
    <row r="740" spans="1:44" x14ac:dyDescent="0.2">
      <c r="A740">
        <f>ROW(Source!A889)</f>
        <v>889</v>
      </c>
      <c r="B740">
        <v>129764090</v>
      </c>
      <c r="C740">
        <v>129764080</v>
      </c>
      <c r="D740">
        <v>37358415</v>
      </c>
      <c r="E740">
        <v>37345137</v>
      </c>
      <c r="F740">
        <v>1</v>
      </c>
      <c r="G740">
        <v>37345137</v>
      </c>
      <c r="H740">
        <v>3</v>
      </c>
      <c r="I740" t="s">
        <v>1501</v>
      </c>
      <c r="J740" t="s">
        <v>3</v>
      </c>
      <c r="K740" t="s">
        <v>1506</v>
      </c>
      <c r="L740">
        <v>1354</v>
      </c>
      <c r="N740">
        <v>1010</v>
      </c>
      <c r="O740" t="s">
        <v>250</v>
      </c>
      <c r="P740" t="s">
        <v>250</v>
      </c>
      <c r="Q740">
        <v>1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 t="s">
        <v>3</v>
      </c>
      <c r="AG740">
        <v>0</v>
      </c>
      <c r="AH740">
        <v>3</v>
      </c>
      <c r="AI740">
        <v>-1</v>
      </c>
      <c r="AJ740" t="s">
        <v>3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</row>
    <row r="741" spans="1:44" x14ac:dyDescent="0.2">
      <c r="A741">
        <f>ROW(Source!A889)</f>
        <v>889</v>
      </c>
      <c r="B741">
        <v>129764091</v>
      </c>
      <c r="C741">
        <v>129764080</v>
      </c>
      <c r="D741">
        <v>37358415</v>
      </c>
      <c r="E741">
        <v>37345137</v>
      </c>
      <c r="F741">
        <v>1</v>
      </c>
      <c r="G741">
        <v>37345137</v>
      </c>
      <c r="H741">
        <v>3</v>
      </c>
      <c r="I741" t="s">
        <v>1501</v>
      </c>
      <c r="J741" t="s">
        <v>3</v>
      </c>
      <c r="K741" t="s">
        <v>1507</v>
      </c>
      <c r="L741">
        <v>1354</v>
      </c>
      <c r="N741">
        <v>1010</v>
      </c>
      <c r="O741" t="s">
        <v>250</v>
      </c>
      <c r="P741" t="s">
        <v>250</v>
      </c>
      <c r="Q741">
        <v>1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 t="s">
        <v>3</v>
      </c>
      <c r="AG741">
        <v>0</v>
      </c>
      <c r="AH741">
        <v>3</v>
      </c>
      <c r="AI741">
        <v>-1</v>
      </c>
      <c r="AJ741" t="s">
        <v>3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</row>
    <row r="742" spans="1:44" x14ac:dyDescent="0.2">
      <c r="A742">
        <f>ROW(Source!A889)</f>
        <v>889</v>
      </c>
      <c r="B742">
        <v>129764092</v>
      </c>
      <c r="C742">
        <v>129764080</v>
      </c>
      <c r="D742">
        <v>37358415</v>
      </c>
      <c r="E742">
        <v>37345137</v>
      </c>
      <c r="F742">
        <v>1</v>
      </c>
      <c r="G742">
        <v>37345137</v>
      </c>
      <c r="H742">
        <v>3</v>
      </c>
      <c r="I742" t="s">
        <v>1501</v>
      </c>
      <c r="J742" t="s">
        <v>3</v>
      </c>
      <c r="K742" t="s">
        <v>1508</v>
      </c>
      <c r="L742">
        <v>1354</v>
      </c>
      <c r="N742">
        <v>1010</v>
      </c>
      <c r="O742" t="s">
        <v>250</v>
      </c>
      <c r="P742" t="s">
        <v>250</v>
      </c>
      <c r="Q742">
        <v>1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 t="s">
        <v>3</v>
      </c>
      <c r="AG742">
        <v>0</v>
      </c>
      <c r="AH742">
        <v>3</v>
      </c>
      <c r="AI742">
        <v>-1</v>
      </c>
      <c r="AJ742" t="s">
        <v>3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</row>
    <row r="743" spans="1:44" x14ac:dyDescent="0.2">
      <c r="A743">
        <f>ROW(Source!A896)</f>
        <v>896</v>
      </c>
      <c r="B743">
        <v>129764099</v>
      </c>
      <c r="C743">
        <v>129764096</v>
      </c>
      <c r="D743">
        <v>37345142</v>
      </c>
      <c r="E743">
        <v>37345137</v>
      </c>
      <c r="F743">
        <v>1</v>
      </c>
      <c r="G743">
        <v>37345137</v>
      </c>
      <c r="H743">
        <v>1</v>
      </c>
      <c r="I743" t="s">
        <v>1096</v>
      </c>
      <c r="J743" t="s">
        <v>3</v>
      </c>
      <c r="K743" t="s">
        <v>1097</v>
      </c>
      <c r="L743">
        <v>1191</v>
      </c>
      <c r="N743">
        <v>1013</v>
      </c>
      <c r="O743" t="s">
        <v>1098</v>
      </c>
      <c r="P743" t="s">
        <v>1098</v>
      </c>
      <c r="Q743">
        <v>1</v>
      </c>
      <c r="X743">
        <v>20.7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1</v>
      </c>
      <c r="AE743">
        <v>1</v>
      </c>
      <c r="AF743" t="s">
        <v>3</v>
      </c>
      <c r="AG743">
        <v>20.7</v>
      </c>
      <c r="AH743">
        <v>2</v>
      </c>
      <c r="AI743">
        <v>129764097</v>
      </c>
      <c r="AJ743">
        <v>759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</row>
    <row r="744" spans="1:44" x14ac:dyDescent="0.2">
      <c r="A744">
        <f>ROW(Source!A897)</f>
        <v>897</v>
      </c>
      <c r="B744">
        <v>129764099</v>
      </c>
      <c r="C744">
        <v>129764096</v>
      </c>
      <c r="D744">
        <v>37345142</v>
      </c>
      <c r="E744">
        <v>37345137</v>
      </c>
      <c r="F744">
        <v>1</v>
      </c>
      <c r="G744">
        <v>37345137</v>
      </c>
      <c r="H744">
        <v>1</v>
      </c>
      <c r="I744" t="s">
        <v>1096</v>
      </c>
      <c r="J744" t="s">
        <v>3</v>
      </c>
      <c r="K744" t="s">
        <v>1097</v>
      </c>
      <c r="L744">
        <v>1191</v>
      </c>
      <c r="N744">
        <v>1013</v>
      </c>
      <c r="O744" t="s">
        <v>1098</v>
      </c>
      <c r="P744" t="s">
        <v>1098</v>
      </c>
      <c r="Q744">
        <v>1</v>
      </c>
      <c r="X744">
        <v>20.7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1</v>
      </c>
      <c r="AE744">
        <v>1</v>
      </c>
      <c r="AF744" t="s">
        <v>3</v>
      </c>
      <c r="AG744">
        <v>20.7</v>
      </c>
      <c r="AH744">
        <v>2</v>
      </c>
      <c r="AI744">
        <v>129764097</v>
      </c>
      <c r="AJ744">
        <v>761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</row>
    <row r="745" spans="1:44" x14ac:dyDescent="0.2">
      <c r="A745">
        <f>ROW(Source!A900)</f>
        <v>900</v>
      </c>
      <c r="B745">
        <v>129764104</v>
      </c>
      <c r="C745">
        <v>129764101</v>
      </c>
      <c r="D745">
        <v>37345142</v>
      </c>
      <c r="E745">
        <v>37345137</v>
      </c>
      <c r="F745">
        <v>1</v>
      </c>
      <c r="G745">
        <v>37345137</v>
      </c>
      <c r="H745">
        <v>1</v>
      </c>
      <c r="I745" t="s">
        <v>1096</v>
      </c>
      <c r="J745" t="s">
        <v>3</v>
      </c>
      <c r="K745" t="s">
        <v>1097</v>
      </c>
      <c r="L745">
        <v>1191</v>
      </c>
      <c r="N745">
        <v>1013</v>
      </c>
      <c r="O745" t="s">
        <v>1098</v>
      </c>
      <c r="P745" t="s">
        <v>1098</v>
      </c>
      <c r="Q745">
        <v>1</v>
      </c>
      <c r="X745">
        <v>29.9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1</v>
      </c>
      <c r="AE745">
        <v>1</v>
      </c>
      <c r="AF745" t="s">
        <v>3</v>
      </c>
      <c r="AG745">
        <v>29.9</v>
      </c>
      <c r="AH745">
        <v>2</v>
      </c>
      <c r="AI745">
        <v>129764102</v>
      </c>
      <c r="AJ745">
        <v>763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</row>
    <row r="746" spans="1:44" x14ac:dyDescent="0.2">
      <c r="A746">
        <f>ROW(Source!A901)</f>
        <v>901</v>
      </c>
      <c r="B746">
        <v>129764104</v>
      </c>
      <c r="C746">
        <v>129764101</v>
      </c>
      <c r="D746">
        <v>37345142</v>
      </c>
      <c r="E746">
        <v>37345137</v>
      </c>
      <c r="F746">
        <v>1</v>
      </c>
      <c r="G746">
        <v>37345137</v>
      </c>
      <c r="H746">
        <v>1</v>
      </c>
      <c r="I746" t="s">
        <v>1096</v>
      </c>
      <c r="J746" t="s">
        <v>3</v>
      </c>
      <c r="K746" t="s">
        <v>1097</v>
      </c>
      <c r="L746">
        <v>1191</v>
      </c>
      <c r="N746">
        <v>1013</v>
      </c>
      <c r="O746" t="s">
        <v>1098</v>
      </c>
      <c r="P746" t="s">
        <v>1098</v>
      </c>
      <c r="Q746">
        <v>1</v>
      </c>
      <c r="X746">
        <v>29.9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1</v>
      </c>
      <c r="AE746">
        <v>1</v>
      </c>
      <c r="AF746" t="s">
        <v>3</v>
      </c>
      <c r="AG746">
        <v>29.9</v>
      </c>
      <c r="AH746">
        <v>2</v>
      </c>
      <c r="AI746">
        <v>129764102</v>
      </c>
      <c r="AJ746">
        <v>765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</row>
    <row r="747" spans="1:44" x14ac:dyDescent="0.2">
      <c r="A747">
        <f>ROW(Source!A904)</f>
        <v>904</v>
      </c>
      <c r="B747">
        <v>129764109</v>
      </c>
      <c r="C747">
        <v>129764106</v>
      </c>
      <c r="D747">
        <v>37345142</v>
      </c>
      <c r="E747">
        <v>37345137</v>
      </c>
      <c r="F747">
        <v>1</v>
      </c>
      <c r="G747">
        <v>37345137</v>
      </c>
      <c r="H747">
        <v>1</v>
      </c>
      <c r="I747" t="s">
        <v>1096</v>
      </c>
      <c r="J747" t="s">
        <v>3</v>
      </c>
      <c r="K747" t="s">
        <v>1097</v>
      </c>
      <c r="L747">
        <v>1191</v>
      </c>
      <c r="N747">
        <v>1013</v>
      </c>
      <c r="O747" t="s">
        <v>1098</v>
      </c>
      <c r="P747" t="s">
        <v>1098</v>
      </c>
      <c r="Q747">
        <v>1</v>
      </c>
      <c r="X747">
        <v>6.18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1</v>
      </c>
      <c r="AE747">
        <v>1</v>
      </c>
      <c r="AF747" t="s">
        <v>3</v>
      </c>
      <c r="AG747">
        <v>6.18</v>
      </c>
      <c r="AH747">
        <v>2</v>
      </c>
      <c r="AI747">
        <v>129764107</v>
      </c>
      <c r="AJ747">
        <v>767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</row>
    <row r="748" spans="1:44" x14ac:dyDescent="0.2">
      <c r="A748">
        <f>ROW(Source!A905)</f>
        <v>905</v>
      </c>
      <c r="B748">
        <v>129764109</v>
      </c>
      <c r="C748">
        <v>129764106</v>
      </c>
      <c r="D748">
        <v>37345142</v>
      </c>
      <c r="E748">
        <v>37345137</v>
      </c>
      <c r="F748">
        <v>1</v>
      </c>
      <c r="G748">
        <v>37345137</v>
      </c>
      <c r="H748">
        <v>1</v>
      </c>
      <c r="I748" t="s">
        <v>1096</v>
      </c>
      <c r="J748" t="s">
        <v>3</v>
      </c>
      <c r="K748" t="s">
        <v>1097</v>
      </c>
      <c r="L748">
        <v>1191</v>
      </c>
      <c r="N748">
        <v>1013</v>
      </c>
      <c r="O748" t="s">
        <v>1098</v>
      </c>
      <c r="P748" t="s">
        <v>1098</v>
      </c>
      <c r="Q748">
        <v>1</v>
      </c>
      <c r="X748">
        <v>6.18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1</v>
      </c>
      <c r="AE748">
        <v>1</v>
      </c>
      <c r="AF748" t="s">
        <v>3</v>
      </c>
      <c r="AG748">
        <v>6.18</v>
      </c>
      <c r="AH748">
        <v>2</v>
      </c>
      <c r="AI748">
        <v>129764107</v>
      </c>
      <c r="AJ748">
        <v>769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</row>
    <row r="749" spans="1:44" x14ac:dyDescent="0.2">
      <c r="A749">
        <f>ROW(Source!A908)</f>
        <v>908</v>
      </c>
      <c r="B749">
        <v>129764117</v>
      </c>
      <c r="C749">
        <v>129764111</v>
      </c>
      <c r="D749">
        <v>37345142</v>
      </c>
      <c r="E749">
        <v>37345137</v>
      </c>
      <c r="F749">
        <v>1</v>
      </c>
      <c r="G749">
        <v>37345137</v>
      </c>
      <c r="H749">
        <v>1</v>
      </c>
      <c r="I749" t="s">
        <v>1096</v>
      </c>
      <c r="J749" t="s">
        <v>3</v>
      </c>
      <c r="K749" t="s">
        <v>1097</v>
      </c>
      <c r="L749">
        <v>1191</v>
      </c>
      <c r="N749">
        <v>1013</v>
      </c>
      <c r="O749" t="s">
        <v>1098</v>
      </c>
      <c r="P749" t="s">
        <v>1098</v>
      </c>
      <c r="Q749">
        <v>1</v>
      </c>
      <c r="X749">
        <v>3.09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1</v>
      </c>
      <c r="AE749">
        <v>1</v>
      </c>
      <c r="AF749" t="s">
        <v>3</v>
      </c>
      <c r="AG749">
        <v>3.09</v>
      </c>
      <c r="AH749">
        <v>2</v>
      </c>
      <c r="AI749">
        <v>129764112</v>
      </c>
      <c r="AJ749">
        <v>771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</row>
    <row r="750" spans="1:44" x14ac:dyDescent="0.2">
      <c r="A750">
        <f>ROW(Source!A909)</f>
        <v>909</v>
      </c>
      <c r="B750">
        <v>129764117</v>
      </c>
      <c r="C750">
        <v>129764111</v>
      </c>
      <c r="D750">
        <v>37345142</v>
      </c>
      <c r="E750">
        <v>37345137</v>
      </c>
      <c r="F750">
        <v>1</v>
      </c>
      <c r="G750">
        <v>37345137</v>
      </c>
      <c r="H750">
        <v>1</v>
      </c>
      <c r="I750" t="s">
        <v>1096</v>
      </c>
      <c r="J750" t="s">
        <v>3</v>
      </c>
      <c r="K750" t="s">
        <v>1097</v>
      </c>
      <c r="L750">
        <v>1191</v>
      </c>
      <c r="N750">
        <v>1013</v>
      </c>
      <c r="O750" t="s">
        <v>1098</v>
      </c>
      <c r="P750" t="s">
        <v>1098</v>
      </c>
      <c r="Q750">
        <v>1</v>
      </c>
      <c r="X750">
        <v>3.09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1</v>
      </c>
      <c r="AE750">
        <v>1</v>
      </c>
      <c r="AF750" t="s">
        <v>3</v>
      </c>
      <c r="AG750">
        <v>3.09</v>
      </c>
      <c r="AH750">
        <v>2</v>
      </c>
      <c r="AI750">
        <v>129764112</v>
      </c>
      <c r="AJ750">
        <v>776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</row>
    <row r="751" spans="1:44" x14ac:dyDescent="0.2">
      <c r="A751">
        <f>ROW(Source!A918)</f>
        <v>918</v>
      </c>
      <c r="B751">
        <v>129764125</v>
      </c>
      <c r="C751">
        <v>129764122</v>
      </c>
      <c r="D751">
        <v>37345142</v>
      </c>
      <c r="E751">
        <v>37345137</v>
      </c>
      <c r="F751">
        <v>1</v>
      </c>
      <c r="G751">
        <v>37345137</v>
      </c>
      <c r="H751">
        <v>1</v>
      </c>
      <c r="I751" t="s">
        <v>1096</v>
      </c>
      <c r="J751" t="s">
        <v>3</v>
      </c>
      <c r="K751" t="s">
        <v>1097</v>
      </c>
      <c r="L751">
        <v>1191</v>
      </c>
      <c r="N751">
        <v>1013</v>
      </c>
      <c r="O751" t="s">
        <v>1098</v>
      </c>
      <c r="P751" t="s">
        <v>1098</v>
      </c>
      <c r="Q751">
        <v>1</v>
      </c>
      <c r="X751">
        <v>4.12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1</v>
      </c>
      <c r="AE751">
        <v>1</v>
      </c>
      <c r="AF751" t="s">
        <v>3</v>
      </c>
      <c r="AG751">
        <v>4.12</v>
      </c>
      <c r="AH751">
        <v>2</v>
      </c>
      <c r="AI751">
        <v>129764123</v>
      </c>
      <c r="AJ751">
        <v>781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</row>
    <row r="752" spans="1:44" x14ac:dyDescent="0.2">
      <c r="A752">
        <f>ROW(Source!A919)</f>
        <v>919</v>
      </c>
      <c r="B752">
        <v>129764125</v>
      </c>
      <c r="C752">
        <v>129764122</v>
      </c>
      <c r="D752">
        <v>37345142</v>
      </c>
      <c r="E752">
        <v>37345137</v>
      </c>
      <c r="F752">
        <v>1</v>
      </c>
      <c r="G752">
        <v>37345137</v>
      </c>
      <c r="H752">
        <v>1</v>
      </c>
      <c r="I752" t="s">
        <v>1096</v>
      </c>
      <c r="J752" t="s">
        <v>3</v>
      </c>
      <c r="K752" t="s">
        <v>1097</v>
      </c>
      <c r="L752">
        <v>1191</v>
      </c>
      <c r="N752">
        <v>1013</v>
      </c>
      <c r="O752" t="s">
        <v>1098</v>
      </c>
      <c r="P752" t="s">
        <v>1098</v>
      </c>
      <c r="Q752">
        <v>1</v>
      </c>
      <c r="X752">
        <v>4.12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1</v>
      </c>
      <c r="AE752">
        <v>1</v>
      </c>
      <c r="AF752" t="s">
        <v>3</v>
      </c>
      <c r="AG752">
        <v>4.12</v>
      </c>
      <c r="AH752">
        <v>2</v>
      </c>
      <c r="AI752">
        <v>129764123</v>
      </c>
      <c r="AJ752">
        <v>783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</row>
    <row r="753" spans="1:44" x14ac:dyDescent="0.2">
      <c r="A753">
        <f>ROW(Source!A922)</f>
        <v>922</v>
      </c>
      <c r="B753">
        <v>129764130</v>
      </c>
      <c r="C753">
        <v>129764127</v>
      </c>
      <c r="D753">
        <v>37345142</v>
      </c>
      <c r="E753">
        <v>37345137</v>
      </c>
      <c r="F753">
        <v>1</v>
      </c>
      <c r="G753">
        <v>37345137</v>
      </c>
      <c r="H753">
        <v>1</v>
      </c>
      <c r="I753" t="s">
        <v>1096</v>
      </c>
      <c r="J753" t="s">
        <v>3</v>
      </c>
      <c r="K753" t="s">
        <v>1097</v>
      </c>
      <c r="L753">
        <v>1191</v>
      </c>
      <c r="N753">
        <v>1013</v>
      </c>
      <c r="O753" t="s">
        <v>1098</v>
      </c>
      <c r="P753" t="s">
        <v>1098</v>
      </c>
      <c r="Q753">
        <v>1</v>
      </c>
      <c r="X753">
        <v>37.229999999999997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1</v>
      </c>
      <c r="AE753">
        <v>1</v>
      </c>
      <c r="AF753" t="s">
        <v>3</v>
      </c>
      <c r="AG753">
        <v>37.229999999999997</v>
      </c>
      <c r="AH753">
        <v>2</v>
      </c>
      <c r="AI753">
        <v>129764128</v>
      </c>
      <c r="AJ753">
        <v>785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</row>
    <row r="754" spans="1:44" x14ac:dyDescent="0.2">
      <c r="A754">
        <f>ROW(Source!A923)</f>
        <v>923</v>
      </c>
      <c r="B754">
        <v>129764130</v>
      </c>
      <c r="C754">
        <v>129764127</v>
      </c>
      <c r="D754">
        <v>37345142</v>
      </c>
      <c r="E754">
        <v>37345137</v>
      </c>
      <c r="F754">
        <v>1</v>
      </c>
      <c r="G754">
        <v>37345137</v>
      </c>
      <c r="H754">
        <v>1</v>
      </c>
      <c r="I754" t="s">
        <v>1096</v>
      </c>
      <c r="J754" t="s">
        <v>3</v>
      </c>
      <c r="K754" t="s">
        <v>1097</v>
      </c>
      <c r="L754">
        <v>1191</v>
      </c>
      <c r="N754">
        <v>1013</v>
      </c>
      <c r="O754" t="s">
        <v>1098</v>
      </c>
      <c r="P754" t="s">
        <v>1098</v>
      </c>
      <c r="Q754">
        <v>1</v>
      </c>
      <c r="X754">
        <v>37.229999999999997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1</v>
      </c>
      <c r="AE754">
        <v>1</v>
      </c>
      <c r="AF754" t="s">
        <v>3</v>
      </c>
      <c r="AG754">
        <v>37.229999999999997</v>
      </c>
      <c r="AH754">
        <v>2</v>
      </c>
      <c r="AI754">
        <v>129764128</v>
      </c>
      <c r="AJ754">
        <v>787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</row>
    <row r="755" spans="1:44" x14ac:dyDescent="0.2">
      <c r="A755">
        <f>ROW(Source!A926)</f>
        <v>926</v>
      </c>
      <c r="B755">
        <v>129764135</v>
      </c>
      <c r="C755">
        <v>129764132</v>
      </c>
      <c r="D755">
        <v>37345142</v>
      </c>
      <c r="E755">
        <v>37345137</v>
      </c>
      <c r="F755">
        <v>1</v>
      </c>
      <c r="G755">
        <v>37345137</v>
      </c>
      <c r="H755">
        <v>1</v>
      </c>
      <c r="I755" t="s">
        <v>1096</v>
      </c>
      <c r="J755" t="s">
        <v>3</v>
      </c>
      <c r="K755" t="s">
        <v>1097</v>
      </c>
      <c r="L755">
        <v>1191</v>
      </c>
      <c r="N755">
        <v>1013</v>
      </c>
      <c r="O755" t="s">
        <v>1098</v>
      </c>
      <c r="P755" t="s">
        <v>1098</v>
      </c>
      <c r="Q755">
        <v>1</v>
      </c>
      <c r="X755">
        <v>34.1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1</v>
      </c>
      <c r="AE755">
        <v>1</v>
      </c>
      <c r="AF755" t="s">
        <v>3</v>
      </c>
      <c r="AG755">
        <v>34.1</v>
      </c>
      <c r="AH755">
        <v>2</v>
      </c>
      <c r="AI755">
        <v>129764133</v>
      </c>
      <c r="AJ755">
        <v>789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</row>
    <row r="756" spans="1:44" x14ac:dyDescent="0.2">
      <c r="A756">
        <f>ROW(Source!A927)</f>
        <v>927</v>
      </c>
      <c r="B756">
        <v>129764135</v>
      </c>
      <c r="C756">
        <v>129764132</v>
      </c>
      <c r="D756">
        <v>37345142</v>
      </c>
      <c r="E756">
        <v>37345137</v>
      </c>
      <c r="F756">
        <v>1</v>
      </c>
      <c r="G756">
        <v>37345137</v>
      </c>
      <c r="H756">
        <v>1</v>
      </c>
      <c r="I756" t="s">
        <v>1096</v>
      </c>
      <c r="J756" t="s">
        <v>3</v>
      </c>
      <c r="K756" t="s">
        <v>1097</v>
      </c>
      <c r="L756">
        <v>1191</v>
      </c>
      <c r="N756">
        <v>1013</v>
      </c>
      <c r="O756" t="s">
        <v>1098</v>
      </c>
      <c r="P756" t="s">
        <v>1098</v>
      </c>
      <c r="Q756">
        <v>1</v>
      </c>
      <c r="X756">
        <v>34.1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1</v>
      </c>
      <c r="AE756">
        <v>1</v>
      </c>
      <c r="AF756" t="s">
        <v>3</v>
      </c>
      <c r="AG756">
        <v>34.1</v>
      </c>
      <c r="AH756">
        <v>2</v>
      </c>
      <c r="AI756">
        <v>129764133</v>
      </c>
      <c r="AJ756">
        <v>791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</row>
    <row r="757" spans="1:44" x14ac:dyDescent="0.2">
      <c r="A757">
        <f>ROW(Source!A999)</f>
        <v>999</v>
      </c>
      <c r="B757">
        <v>129764140</v>
      </c>
      <c r="C757">
        <v>129764137</v>
      </c>
      <c r="D757">
        <v>37345142</v>
      </c>
      <c r="E757">
        <v>37345137</v>
      </c>
      <c r="F757">
        <v>1</v>
      </c>
      <c r="G757">
        <v>37345137</v>
      </c>
      <c r="H757">
        <v>1</v>
      </c>
      <c r="I757" t="s">
        <v>1096</v>
      </c>
      <c r="J757" t="s">
        <v>3</v>
      </c>
      <c r="K757" t="s">
        <v>1097</v>
      </c>
      <c r="L757">
        <v>1191</v>
      </c>
      <c r="N757">
        <v>1013</v>
      </c>
      <c r="O757" t="s">
        <v>1098</v>
      </c>
      <c r="P757" t="s">
        <v>1098</v>
      </c>
      <c r="Q757">
        <v>1</v>
      </c>
      <c r="X757">
        <v>60.8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1</v>
      </c>
      <c r="AE757">
        <v>1</v>
      </c>
      <c r="AF757" t="s">
        <v>3</v>
      </c>
      <c r="AG757">
        <v>60.8</v>
      </c>
      <c r="AH757">
        <v>2</v>
      </c>
      <c r="AI757">
        <v>129764138</v>
      </c>
      <c r="AJ757">
        <v>793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</row>
    <row r="758" spans="1:44" x14ac:dyDescent="0.2">
      <c r="A758">
        <f>ROW(Source!A999)</f>
        <v>999</v>
      </c>
      <c r="B758">
        <v>129764141</v>
      </c>
      <c r="C758">
        <v>129764137</v>
      </c>
      <c r="D758">
        <v>37367068</v>
      </c>
      <c r="E758">
        <v>37345137</v>
      </c>
      <c r="F758">
        <v>1</v>
      </c>
      <c r="G758">
        <v>37345137</v>
      </c>
      <c r="H758">
        <v>3</v>
      </c>
      <c r="I758" t="s">
        <v>162</v>
      </c>
      <c r="J758" t="s">
        <v>3</v>
      </c>
      <c r="K758" t="s">
        <v>163</v>
      </c>
      <c r="L758">
        <v>1348</v>
      </c>
      <c r="N758">
        <v>1009</v>
      </c>
      <c r="O758" t="s">
        <v>114</v>
      </c>
      <c r="P758" t="s">
        <v>114</v>
      </c>
      <c r="Q758">
        <v>1000</v>
      </c>
      <c r="X758">
        <v>1.66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1</v>
      </c>
      <c r="AE758">
        <v>0</v>
      </c>
      <c r="AF758" t="s">
        <v>3</v>
      </c>
      <c r="AG758">
        <v>1.66</v>
      </c>
      <c r="AH758">
        <v>2</v>
      </c>
      <c r="AI758">
        <v>129764139</v>
      </c>
      <c r="AJ758">
        <v>794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</row>
    <row r="759" spans="1:44" x14ac:dyDescent="0.2">
      <c r="A759">
        <f>ROW(Source!A1000)</f>
        <v>1000</v>
      </c>
      <c r="B759">
        <v>129764140</v>
      </c>
      <c r="C759">
        <v>129764137</v>
      </c>
      <c r="D759">
        <v>37345142</v>
      </c>
      <c r="E759">
        <v>37345137</v>
      </c>
      <c r="F759">
        <v>1</v>
      </c>
      <c r="G759">
        <v>37345137</v>
      </c>
      <c r="H759">
        <v>1</v>
      </c>
      <c r="I759" t="s">
        <v>1096</v>
      </c>
      <c r="J759" t="s">
        <v>3</v>
      </c>
      <c r="K759" t="s">
        <v>1097</v>
      </c>
      <c r="L759">
        <v>1191</v>
      </c>
      <c r="N759">
        <v>1013</v>
      </c>
      <c r="O759" t="s">
        <v>1098</v>
      </c>
      <c r="P759" t="s">
        <v>1098</v>
      </c>
      <c r="Q759">
        <v>1</v>
      </c>
      <c r="X759">
        <v>60.8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1</v>
      </c>
      <c r="AE759">
        <v>1</v>
      </c>
      <c r="AF759" t="s">
        <v>3</v>
      </c>
      <c r="AG759">
        <v>60.8</v>
      </c>
      <c r="AH759">
        <v>2</v>
      </c>
      <c r="AI759">
        <v>129764138</v>
      </c>
      <c r="AJ759">
        <v>795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</row>
    <row r="760" spans="1:44" x14ac:dyDescent="0.2">
      <c r="A760">
        <f>ROW(Source!A1000)</f>
        <v>1000</v>
      </c>
      <c r="B760">
        <v>129764141</v>
      </c>
      <c r="C760">
        <v>129764137</v>
      </c>
      <c r="D760">
        <v>37367068</v>
      </c>
      <c r="E760">
        <v>37345137</v>
      </c>
      <c r="F760">
        <v>1</v>
      </c>
      <c r="G760">
        <v>37345137</v>
      </c>
      <c r="H760">
        <v>3</v>
      </c>
      <c r="I760" t="s">
        <v>162</v>
      </c>
      <c r="J760" t="s">
        <v>3</v>
      </c>
      <c r="K760" t="s">
        <v>163</v>
      </c>
      <c r="L760">
        <v>1348</v>
      </c>
      <c r="N760">
        <v>1009</v>
      </c>
      <c r="O760" t="s">
        <v>114</v>
      </c>
      <c r="P760" t="s">
        <v>114</v>
      </c>
      <c r="Q760">
        <v>1000</v>
      </c>
      <c r="X760">
        <v>1.66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1</v>
      </c>
      <c r="AE760">
        <v>0</v>
      </c>
      <c r="AF760" t="s">
        <v>3</v>
      </c>
      <c r="AG760">
        <v>1.66</v>
      </c>
      <c r="AH760">
        <v>2</v>
      </c>
      <c r="AI760">
        <v>129764139</v>
      </c>
      <c r="AJ760">
        <v>796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</row>
    <row r="761" spans="1:44" x14ac:dyDescent="0.2">
      <c r="A761">
        <f>ROW(Source!A1001)</f>
        <v>1001</v>
      </c>
      <c r="B761">
        <v>129764145</v>
      </c>
      <c r="C761">
        <v>129764142</v>
      </c>
      <c r="D761">
        <v>37345142</v>
      </c>
      <c r="E761">
        <v>37345137</v>
      </c>
      <c r="F761">
        <v>1</v>
      </c>
      <c r="G761">
        <v>37345137</v>
      </c>
      <c r="H761">
        <v>1</v>
      </c>
      <c r="I761" t="s">
        <v>1096</v>
      </c>
      <c r="J761" t="s">
        <v>3</v>
      </c>
      <c r="K761" t="s">
        <v>1097</v>
      </c>
      <c r="L761">
        <v>1191</v>
      </c>
      <c r="N761">
        <v>1013</v>
      </c>
      <c r="O761" t="s">
        <v>1098</v>
      </c>
      <c r="P761" t="s">
        <v>1098</v>
      </c>
      <c r="Q761">
        <v>1</v>
      </c>
      <c r="X761">
        <v>143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1</v>
      </c>
      <c r="AE761">
        <v>1</v>
      </c>
      <c r="AF761" t="s">
        <v>3</v>
      </c>
      <c r="AG761">
        <v>143</v>
      </c>
      <c r="AH761">
        <v>2</v>
      </c>
      <c r="AI761">
        <v>129764143</v>
      </c>
      <c r="AJ761">
        <v>797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</row>
    <row r="762" spans="1:44" x14ac:dyDescent="0.2">
      <c r="A762">
        <f>ROW(Source!A1001)</f>
        <v>1001</v>
      </c>
      <c r="B762">
        <v>129764146</v>
      </c>
      <c r="C762">
        <v>129764142</v>
      </c>
      <c r="D762">
        <v>37367068</v>
      </c>
      <c r="E762">
        <v>37345137</v>
      </c>
      <c r="F762">
        <v>1</v>
      </c>
      <c r="G762">
        <v>37345137</v>
      </c>
      <c r="H762">
        <v>3</v>
      </c>
      <c r="I762" t="s">
        <v>162</v>
      </c>
      <c r="J762" t="s">
        <v>3</v>
      </c>
      <c r="K762" t="s">
        <v>163</v>
      </c>
      <c r="L762">
        <v>1348</v>
      </c>
      <c r="N762">
        <v>1009</v>
      </c>
      <c r="O762" t="s">
        <v>114</v>
      </c>
      <c r="P762" t="s">
        <v>114</v>
      </c>
      <c r="Q762">
        <v>1000</v>
      </c>
      <c r="X762">
        <v>3.23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1</v>
      </c>
      <c r="AE762">
        <v>0</v>
      </c>
      <c r="AF762" t="s">
        <v>3</v>
      </c>
      <c r="AG762">
        <v>3.23</v>
      </c>
      <c r="AH762">
        <v>2</v>
      </c>
      <c r="AI762">
        <v>129764144</v>
      </c>
      <c r="AJ762">
        <v>798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</row>
    <row r="763" spans="1:44" x14ac:dyDescent="0.2">
      <c r="A763">
        <f>ROW(Source!A1002)</f>
        <v>1002</v>
      </c>
      <c r="B763">
        <v>129764145</v>
      </c>
      <c r="C763">
        <v>129764142</v>
      </c>
      <c r="D763">
        <v>37345142</v>
      </c>
      <c r="E763">
        <v>37345137</v>
      </c>
      <c r="F763">
        <v>1</v>
      </c>
      <c r="G763">
        <v>37345137</v>
      </c>
      <c r="H763">
        <v>1</v>
      </c>
      <c r="I763" t="s">
        <v>1096</v>
      </c>
      <c r="J763" t="s">
        <v>3</v>
      </c>
      <c r="K763" t="s">
        <v>1097</v>
      </c>
      <c r="L763">
        <v>1191</v>
      </c>
      <c r="N763">
        <v>1013</v>
      </c>
      <c r="O763" t="s">
        <v>1098</v>
      </c>
      <c r="P763" t="s">
        <v>1098</v>
      </c>
      <c r="Q763">
        <v>1</v>
      </c>
      <c r="X763">
        <v>143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1</v>
      </c>
      <c r="AE763">
        <v>1</v>
      </c>
      <c r="AF763" t="s">
        <v>3</v>
      </c>
      <c r="AG763">
        <v>143</v>
      </c>
      <c r="AH763">
        <v>2</v>
      </c>
      <c r="AI763">
        <v>129764143</v>
      </c>
      <c r="AJ763">
        <v>799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</row>
    <row r="764" spans="1:44" x14ac:dyDescent="0.2">
      <c r="A764">
        <f>ROW(Source!A1002)</f>
        <v>1002</v>
      </c>
      <c r="B764">
        <v>129764146</v>
      </c>
      <c r="C764">
        <v>129764142</v>
      </c>
      <c r="D764">
        <v>37367068</v>
      </c>
      <c r="E764">
        <v>37345137</v>
      </c>
      <c r="F764">
        <v>1</v>
      </c>
      <c r="G764">
        <v>37345137</v>
      </c>
      <c r="H764">
        <v>3</v>
      </c>
      <c r="I764" t="s">
        <v>162</v>
      </c>
      <c r="J764" t="s">
        <v>3</v>
      </c>
      <c r="K764" t="s">
        <v>163</v>
      </c>
      <c r="L764">
        <v>1348</v>
      </c>
      <c r="N764">
        <v>1009</v>
      </c>
      <c r="O764" t="s">
        <v>114</v>
      </c>
      <c r="P764" t="s">
        <v>114</v>
      </c>
      <c r="Q764">
        <v>1000</v>
      </c>
      <c r="X764">
        <v>3.23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1</v>
      </c>
      <c r="AE764">
        <v>0</v>
      </c>
      <c r="AF764" t="s">
        <v>3</v>
      </c>
      <c r="AG764">
        <v>3.23</v>
      </c>
      <c r="AH764">
        <v>2</v>
      </c>
      <c r="AI764">
        <v>129764144</v>
      </c>
      <c r="AJ764">
        <v>800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</row>
    <row r="765" spans="1:44" x14ac:dyDescent="0.2">
      <c r="A765">
        <f>ROW(Source!A1003)</f>
        <v>1003</v>
      </c>
      <c r="B765">
        <v>129764160</v>
      </c>
      <c r="C765">
        <v>129764147</v>
      </c>
      <c r="D765">
        <v>37345142</v>
      </c>
      <c r="E765">
        <v>37345137</v>
      </c>
      <c r="F765">
        <v>1</v>
      </c>
      <c r="G765">
        <v>37345137</v>
      </c>
      <c r="H765">
        <v>1</v>
      </c>
      <c r="I765" t="s">
        <v>1096</v>
      </c>
      <c r="J765" t="s">
        <v>3</v>
      </c>
      <c r="K765" t="s">
        <v>1097</v>
      </c>
      <c r="L765">
        <v>1191</v>
      </c>
      <c r="N765">
        <v>1013</v>
      </c>
      <c r="O765" t="s">
        <v>1098</v>
      </c>
      <c r="P765" t="s">
        <v>1098</v>
      </c>
      <c r="Q765">
        <v>1</v>
      </c>
      <c r="X765">
        <v>164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1</v>
      </c>
      <c r="AE765">
        <v>1</v>
      </c>
      <c r="AF765" t="s">
        <v>142</v>
      </c>
      <c r="AG765">
        <v>98.399999999999991</v>
      </c>
      <c r="AH765">
        <v>2</v>
      </c>
      <c r="AI765">
        <v>129764148</v>
      </c>
      <c r="AJ765">
        <v>801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</row>
    <row r="766" spans="1:44" x14ac:dyDescent="0.2">
      <c r="A766">
        <f>ROW(Source!A1003)</f>
        <v>1003</v>
      </c>
      <c r="B766">
        <v>129764161</v>
      </c>
      <c r="C766">
        <v>129764147</v>
      </c>
      <c r="D766">
        <v>41572463</v>
      </c>
      <c r="E766">
        <v>1</v>
      </c>
      <c r="F766">
        <v>1</v>
      </c>
      <c r="G766">
        <v>37345137</v>
      </c>
      <c r="H766">
        <v>2</v>
      </c>
      <c r="I766" t="s">
        <v>1347</v>
      </c>
      <c r="J766" t="s">
        <v>1348</v>
      </c>
      <c r="K766" t="s">
        <v>1349</v>
      </c>
      <c r="L766">
        <v>1367</v>
      </c>
      <c r="N766">
        <v>1011</v>
      </c>
      <c r="O766" t="s">
        <v>1102</v>
      </c>
      <c r="P766" t="s">
        <v>1102</v>
      </c>
      <c r="Q766">
        <v>1</v>
      </c>
      <c r="X766">
        <v>11.43</v>
      </c>
      <c r="Y766">
        <v>0</v>
      </c>
      <c r="Z766">
        <v>1.42</v>
      </c>
      <c r="AA766">
        <v>0.01</v>
      </c>
      <c r="AB766">
        <v>0</v>
      </c>
      <c r="AC766">
        <v>0</v>
      </c>
      <c r="AD766">
        <v>1</v>
      </c>
      <c r="AE766">
        <v>0</v>
      </c>
      <c r="AF766" t="s">
        <v>142</v>
      </c>
      <c r="AG766">
        <v>6.8579999999999997</v>
      </c>
      <c r="AH766">
        <v>2</v>
      </c>
      <c r="AI766">
        <v>129764149</v>
      </c>
      <c r="AJ766">
        <v>802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</row>
    <row r="767" spans="1:44" x14ac:dyDescent="0.2">
      <c r="A767">
        <f>ROW(Source!A1003)</f>
        <v>1003</v>
      </c>
      <c r="B767">
        <v>129764162</v>
      </c>
      <c r="C767">
        <v>129764147</v>
      </c>
      <c r="D767">
        <v>37418445</v>
      </c>
      <c r="E767">
        <v>1</v>
      </c>
      <c r="F767">
        <v>1</v>
      </c>
      <c r="G767">
        <v>37345137</v>
      </c>
      <c r="H767">
        <v>2</v>
      </c>
      <c r="I767" t="s">
        <v>1189</v>
      </c>
      <c r="J767" t="s">
        <v>1190</v>
      </c>
      <c r="K767" t="s">
        <v>1191</v>
      </c>
      <c r="L767">
        <v>1367</v>
      </c>
      <c r="N767">
        <v>1011</v>
      </c>
      <c r="O767" t="s">
        <v>1102</v>
      </c>
      <c r="P767" t="s">
        <v>1102</v>
      </c>
      <c r="Q767">
        <v>1</v>
      </c>
      <c r="X767">
        <v>0.2</v>
      </c>
      <c r="Y767">
        <v>0</v>
      </c>
      <c r="Z767">
        <v>76.81</v>
      </c>
      <c r="AA767">
        <v>14.36</v>
      </c>
      <c r="AB767">
        <v>0</v>
      </c>
      <c r="AC767">
        <v>0</v>
      </c>
      <c r="AD767">
        <v>1</v>
      </c>
      <c r="AE767">
        <v>0</v>
      </c>
      <c r="AF767" t="s">
        <v>142</v>
      </c>
      <c r="AG767">
        <v>0.12</v>
      </c>
      <c r="AH767">
        <v>2</v>
      </c>
      <c r="AI767">
        <v>129764150</v>
      </c>
      <c r="AJ767">
        <v>803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</row>
    <row r="768" spans="1:44" x14ac:dyDescent="0.2">
      <c r="A768">
        <f>ROW(Source!A1003)</f>
        <v>1003</v>
      </c>
      <c r="B768">
        <v>129764163</v>
      </c>
      <c r="C768">
        <v>129764147</v>
      </c>
      <c r="D768">
        <v>37417692</v>
      </c>
      <c r="E768">
        <v>1</v>
      </c>
      <c r="F768">
        <v>1</v>
      </c>
      <c r="G768">
        <v>37345137</v>
      </c>
      <c r="H768">
        <v>2</v>
      </c>
      <c r="I768" t="s">
        <v>1127</v>
      </c>
      <c r="J768" t="s">
        <v>1128</v>
      </c>
      <c r="K768" t="s">
        <v>1129</v>
      </c>
      <c r="L768">
        <v>1367</v>
      </c>
      <c r="N768">
        <v>1011</v>
      </c>
      <c r="O768" t="s">
        <v>1102</v>
      </c>
      <c r="P768" t="s">
        <v>1102</v>
      </c>
      <c r="Q768">
        <v>1</v>
      </c>
      <c r="X768">
        <v>0.03</v>
      </c>
      <c r="Y768">
        <v>0</v>
      </c>
      <c r="Z768">
        <v>190.93</v>
      </c>
      <c r="AA768">
        <v>18.149999999999999</v>
      </c>
      <c r="AB768">
        <v>0</v>
      </c>
      <c r="AC768">
        <v>0</v>
      </c>
      <c r="AD768">
        <v>1</v>
      </c>
      <c r="AE768">
        <v>0</v>
      </c>
      <c r="AF768" t="s">
        <v>142</v>
      </c>
      <c r="AG768">
        <v>1.7999999999999999E-2</v>
      </c>
      <c r="AH768">
        <v>2</v>
      </c>
      <c r="AI768">
        <v>129764151</v>
      </c>
      <c r="AJ768">
        <v>804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</row>
    <row r="769" spans="1:44" x14ac:dyDescent="0.2">
      <c r="A769">
        <f>ROW(Source!A1003)</f>
        <v>1003</v>
      </c>
      <c r="B769">
        <v>129764164</v>
      </c>
      <c r="C769">
        <v>129764147</v>
      </c>
      <c r="D769">
        <v>37393552</v>
      </c>
      <c r="E769">
        <v>1</v>
      </c>
      <c r="F769">
        <v>1</v>
      </c>
      <c r="G769">
        <v>37345137</v>
      </c>
      <c r="H769">
        <v>3</v>
      </c>
      <c r="I769" t="s">
        <v>348</v>
      </c>
      <c r="J769" t="s">
        <v>350</v>
      </c>
      <c r="K769" t="s">
        <v>349</v>
      </c>
      <c r="L769">
        <v>1339</v>
      </c>
      <c r="N769">
        <v>1007</v>
      </c>
      <c r="O769" t="s">
        <v>94</v>
      </c>
      <c r="P769" t="s">
        <v>94</v>
      </c>
      <c r="Q769">
        <v>1</v>
      </c>
      <c r="X769">
        <v>6.3E-2</v>
      </c>
      <c r="Y769">
        <v>7.07</v>
      </c>
      <c r="Z769">
        <v>0</v>
      </c>
      <c r="AA769">
        <v>0</v>
      </c>
      <c r="AB769">
        <v>0</v>
      </c>
      <c r="AC769">
        <v>0</v>
      </c>
      <c r="AD769">
        <v>1</v>
      </c>
      <c r="AE769">
        <v>0</v>
      </c>
      <c r="AF769" t="s">
        <v>823</v>
      </c>
      <c r="AG769">
        <v>0</v>
      </c>
      <c r="AH769">
        <v>2</v>
      </c>
      <c r="AI769">
        <v>129764152</v>
      </c>
      <c r="AJ769">
        <v>805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</row>
    <row r="770" spans="1:44" x14ac:dyDescent="0.2">
      <c r="A770">
        <f>ROW(Source!A1003)</f>
        <v>1003</v>
      </c>
      <c r="B770">
        <v>129764165</v>
      </c>
      <c r="C770">
        <v>129764147</v>
      </c>
      <c r="D770">
        <v>37394915</v>
      </c>
      <c r="E770">
        <v>1</v>
      </c>
      <c r="F770">
        <v>1</v>
      </c>
      <c r="G770">
        <v>37345137</v>
      </c>
      <c r="H770">
        <v>3</v>
      </c>
      <c r="I770" t="s">
        <v>1350</v>
      </c>
      <c r="J770" t="s">
        <v>1351</v>
      </c>
      <c r="K770" t="s">
        <v>1352</v>
      </c>
      <c r="L770">
        <v>1355</v>
      </c>
      <c r="N770">
        <v>1010</v>
      </c>
      <c r="O770" t="s">
        <v>551</v>
      </c>
      <c r="P770" t="s">
        <v>551</v>
      </c>
      <c r="Q770">
        <v>100</v>
      </c>
      <c r="X770">
        <v>1</v>
      </c>
      <c r="Y770">
        <v>180.35</v>
      </c>
      <c r="Z770">
        <v>0</v>
      </c>
      <c r="AA770">
        <v>0</v>
      </c>
      <c r="AB770">
        <v>0</v>
      </c>
      <c r="AC770">
        <v>0</v>
      </c>
      <c r="AD770">
        <v>1</v>
      </c>
      <c r="AE770">
        <v>0</v>
      </c>
      <c r="AF770" t="s">
        <v>823</v>
      </c>
      <c r="AG770">
        <v>0</v>
      </c>
      <c r="AH770">
        <v>2</v>
      </c>
      <c r="AI770">
        <v>129764153</v>
      </c>
      <c r="AJ770">
        <v>806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</row>
    <row r="771" spans="1:44" x14ac:dyDescent="0.2">
      <c r="A771">
        <f>ROW(Source!A1003)</f>
        <v>1003</v>
      </c>
      <c r="B771">
        <v>129764166</v>
      </c>
      <c r="C771">
        <v>129764147</v>
      </c>
      <c r="D771">
        <v>37393665</v>
      </c>
      <c r="E771">
        <v>1</v>
      </c>
      <c r="F771">
        <v>1</v>
      </c>
      <c r="G771">
        <v>37345137</v>
      </c>
      <c r="H771">
        <v>3</v>
      </c>
      <c r="I771" t="s">
        <v>1353</v>
      </c>
      <c r="J771" t="s">
        <v>1354</v>
      </c>
      <c r="K771" t="s">
        <v>1355</v>
      </c>
      <c r="L771">
        <v>1348</v>
      </c>
      <c r="N771">
        <v>1009</v>
      </c>
      <c r="O771" t="s">
        <v>114</v>
      </c>
      <c r="P771" t="s">
        <v>114</v>
      </c>
      <c r="Q771">
        <v>1000</v>
      </c>
      <c r="X771">
        <v>8.4999999999999995E-4</v>
      </c>
      <c r="Y771">
        <v>20166.439999999999</v>
      </c>
      <c r="Z771">
        <v>0</v>
      </c>
      <c r="AA771">
        <v>0</v>
      </c>
      <c r="AB771">
        <v>0</v>
      </c>
      <c r="AC771">
        <v>0</v>
      </c>
      <c r="AD771">
        <v>1</v>
      </c>
      <c r="AE771">
        <v>0</v>
      </c>
      <c r="AF771" t="s">
        <v>823</v>
      </c>
      <c r="AG771">
        <v>0</v>
      </c>
      <c r="AH771">
        <v>2</v>
      </c>
      <c r="AI771">
        <v>129764154</v>
      </c>
      <c r="AJ771">
        <v>807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</row>
    <row r="772" spans="1:44" x14ac:dyDescent="0.2">
      <c r="A772">
        <f>ROW(Source!A1003)</f>
        <v>1003</v>
      </c>
      <c r="B772">
        <v>129764167</v>
      </c>
      <c r="C772">
        <v>129764147</v>
      </c>
      <c r="D772">
        <v>37395753</v>
      </c>
      <c r="E772">
        <v>1</v>
      </c>
      <c r="F772">
        <v>1</v>
      </c>
      <c r="G772">
        <v>37345137</v>
      </c>
      <c r="H772">
        <v>3</v>
      </c>
      <c r="I772" t="s">
        <v>1356</v>
      </c>
      <c r="J772" t="s">
        <v>1357</v>
      </c>
      <c r="K772" t="s">
        <v>1358</v>
      </c>
      <c r="L772">
        <v>1346</v>
      </c>
      <c r="N772">
        <v>1009</v>
      </c>
      <c r="O772" t="s">
        <v>369</v>
      </c>
      <c r="P772" t="s">
        <v>369</v>
      </c>
      <c r="Q772">
        <v>1</v>
      </c>
      <c r="X772">
        <v>0.25</v>
      </c>
      <c r="Y772">
        <v>16.22</v>
      </c>
      <c r="Z772">
        <v>0</v>
      </c>
      <c r="AA772">
        <v>0</v>
      </c>
      <c r="AB772">
        <v>0</v>
      </c>
      <c r="AC772">
        <v>0</v>
      </c>
      <c r="AD772">
        <v>1</v>
      </c>
      <c r="AE772">
        <v>0</v>
      </c>
      <c r="AF772" t="s">
        <v>823</v>
      </c>
      <c r="AG772">
        <v>0</v>
      </c>
      <c r="AH772">
        <v>2</v>
      </c>
      <c r="AI772">
        <v>129764155</v>
      </c>
      <c r="AJ772">
        <v>808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</row>
    <row r="773" spans="1:44" x14ac:dyDescent="0.2">
      <c r="A773">
        <f>ROW(Source!A1003)</f>
        <v>1003</v>
      </c>
      <c r="B773">
        <v>129764168</v>
      </c>
      <c r="C773">
        <v>129764147</v>
      </c>
      <c r="D773">
        <v>37393685</v>
      </c>
      <c r="E773">
        <v>1</v>
      </c>
      <c r="F773">
        <v>1</v>
      </c>
      <c r="G773">
        <v>37345137</v>
      </c>
      <c r="H773">
        <v>3</v>
      </c>
      <c r="I773" t="s">
        <v>1359</v>
      </c>
      <c r="J773" t="s">
        <v>1360</v>
      </c>
      <c r="K773" t="s">
        <v>1361</v>
      </c>
      <c r="L773">
        <v>1348</v>
      </c>
      <c r="N773">
        <v>1009</v>
      </c>
      <c r="O773" t="s">
        <v>114</v>
      </c>
      <c r="P773" t="s">
        <v>114</v>
      </c>
      <c r="Q773">
        <v>1000</v>
      </c>
      <c r="X773">
        <v>1.5999999999999999E-6</v>
      </c>
      <c r="Y773">
        <v>3246.35</v>
      </c>
      <c r="Z773">
        <v>0</v>
      </c>
      <c r="AA773">
        <v>0</v>
      </c>
      <c r="AB773">
        <v>0</v>
      </c>
      <c r="AC773">
        <v>0</v>
      </c>
      <c r="AD773">
        <v>1</v>
      </c>
      <c r="AE773">
        <v>0</v>
      </c>
      <c r="AF773" t="s">
        <v>823</v>
      </c>
      <c r="AG773">
        <v>0</v>
      </c>
      <c r="AH773">
        <v>2</v>
      </c>
      <c r="AI773">
        <v>129764156</v>
      </c>
      <c r="AJ773">
        <v>809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</row>
    <row r="774" spans="1:44" x14ac:dyDescent="0.2">
      <c r="A774">
        <f>ROW(Source!A1003)</f>
        <v>1003</v>
      </c>
      <c r="B774">
        <v>129764169</v>
      </c>
      <c r="C774">
        <v>129764147</v>
      </c>
      <c r="D774">
        <v>37395903</v>
      </c>
      <c r="E774">
        <v>1</v>
      </c>
      <c r="F774">
        <v>1</v>
      </c>
      <c r="G774">
        <v>37345137</v>
      </c>
      <c r="H774">
        <v>3</v>
      </c>
      <c r="I774" t="s">
        <v>1362</v>
      </c>
      <c r="J774" t="s">
        <v>1363</v>
      </c>
      <c r="K774" t="s">
        <v>1364</v>
      </c>
      <c r="L774">
        <v>1346</v>
      </c>
      <c r="N774">
        <v>1009</v>
      </c>
      <c r="O774" t="s">
        <v>369</v>
      </c>
      <c r="P774" t="s">
        <v>369</v>
      </c>
      <c r="Q774">
        <v>1</v>
      </c>
      <c r="X774">
        <v>0.55000000000000004</v>
      </c>
      <c r="Y774">
        <v>45.16</v>
      </c>
      <c r="Z774">
        <v>0</v>
      </c>
      <c r="AA774">
        <v>0</v>
      </c>
      <c r="AB774">
        <v>0</v>
      </c>
      <c r="AC774">
        <v>0</v>
      </c>
      <c r="AD774">
        <v>1</v>
      </c>
      <c r="AE774">
        <v>0</v>
      </c>
      <c r="AF774" t="s">
        <v>823</v>
      </c>
      <c r="AG774">
        <v>0</v>
      </c>
      <c r="AH774">
        <v>2</v>
      </c>
      <c r="AI774">
        <v>129764157</v>
      </c>
      <c r="AJ774">
        <v>810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</row>
    <row r="775" spans="1:44" x14ac:dyDescent="0.2">
      <c r="A775">
        <f>ROW(Source!A1003)</f>
        <v>1003</v>
      </c>
      <c r="B775">
        <v>129764170</v>
      </c>
      <c r="C775">
        <v>129764147</v>
      </c>
      <c r="D775">
        <v>37393818</v>
      </c>
      <c r="E775">
        <v>1</v>
      </c>
      <c r="F775">
        <v>1</v>
      </c>
      <c r="G775">
        <v>37345137</v>
      </c>
      <c r="H775">
        <v>3</v>
      </c>
      <c r="I775" t="s">
        <v>1365</v>
      </c>
      <c r="J775" t="s">
        <v>1366</v>
      </c>
      <c r="K775" t="s">
        <v>1367</v>
      </c>
      <c r="L775">
        <v>1346</v>
      </c>
      <c r="N775">
        <v>1009</v>
      </c>
      <c r="O775" t="s">
        <v>369</v>
      </c>
      <c r="P775" t="s">
        <v>369</v>
      </c>
      <c r="Q775">
        <v>1</v>
      </c>
      <c r="X775">
        <v>0.25</v>
      </c>
      <c r="Y775">
        <v>43.74</v>
      </c>
      <c r="Z775">
        <v>0</v>
      </c>
      <c r="AA775">
        <v>0</v>
      </c>
      <c r="AB775">
        <v>0</v>
      </c>
      <c r="AC775">
        <v>0</v>
      </c>
      <c r="AD775">
        <v>1</v>
      </c>
      <c r="AE775">
        <v>0</v>
      </c>
      <c r="AF775" t="s">
        <v>823</v>
      </c>
      <c r="AG775">
        <v>0</v>
      </c>
      <c r="AH775">
        <v>2</v>
      </c>
      <c r="AI775">
        <v>129764158</v>
      </c>
      <c r="AJ775">
        <v>811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</row>
    <row r="776" spans="1:44" x14ac:dyDescent="0.2">
      <c r="A776">
        <f>ROW(Source!A1003)</f>
        <v>1003</v>
      </c>
      <c r="B776">
        <v>129764171</v>
      </c>
      <c r="C776">
        <v>129764147</v>
      </c>
      <c r="D776">
        <v>37360556</v>
      </c>
      <c r="E776">
        <v>37345137</v>
      </c>
      <c r="F776">
        <v>1</v>
      </c>
      <c r="G776">
        <v>37345137</v>
      </c>
      <c r="H776">
        <v>3</v>
      </c>
      <c r="I776" t="s">
        <v>1509</v>
      </c>
      <c r="J776" t="s">
        <v>3</v>
      </c>
      <c r="K776" t="s">
        <v>1510</v>
      </c>
      <c r="L776">
        <v>1346</v>
      </c>
      <c r="N776">
        <v>1009</v>
      </c>
      <c r="O776" t="s">
        <v>369</v>
      </c>
      <c r="P776" t="s">
        <v>369</v>
      </c>
      <c r="Q776">
        <v>1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 t="s">
        <v>823</v>
      </c>
      <c r="AG776">
        <v>0</v>
      </c>
      <c r="AH776">
        <v>3</v>
      </c>
      <c r="AI776">
        <v>-1</v>
      </c>
      <c r="AJ776" t="s">
        <v>3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</row>
    <row r="777" spans="1:44" x14ac:dyDescent="0.2">
      <c r="A777">
        <f>ROW(Source!A1003)</f>
        <v>1003</v>
      </c>
      <c r="B777">
        <v>129764172</v>
      </c>
      <c r="C777">
        <v>129764147</v>
      </c>
      <c r="D777">
        <v>126078673</v>
      </c>
      <c r="E777">
        <v>37345137</v>
      </c>
      <c r="F777">
        <v>1</v>
      </c>
      <c r="G777">
        <v>37345137</v>
      </c>
      <c r="H777">
        <v>3</v>
      </c>
      <c r="I777" t="s">
        <v>1511</v>
      </c>
      <c r="J777" t="s">
        <v>3</v>
      </c>
      <c r="K777" t="s">
        <v>1512</v>
      </c>
      <c r="L777">
        <v>1301</v>
      </c>
      <c r="N777">
        <v>1003</v>
      </c>
      <c r="O777" t="s">
        <v>270</v>
      </c>
      <c r="P777" t="s">
        <v>270</v>
      </c>
      <c r="Q777">
        <v>1</v>
      </c>
      <c r="X777">
        <v>89.9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 t="s">
        <v>823</v>
      </c>
      <c r="AG777">
        <v>0</v>
      </c>
      <c r="AH777">
        <v>3</v>
      </c>
      <c r="AI777">
        <v>-1</v>
      </c>
      <c r="AJ777" t="s">
        <v>3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</row>
    <row r="778" spans="1:44" x14ac:dyDescent="0.2">
      <c r="A778">
        <f>ROW(Source!A1003)</f>
        <v>1003</v>
      </c>
      <c r="B778">
        <v>129764173</v>
      </c>
      <c r="C778">
        <v>129764147</v>
      </c>
      <c r="D778">
        <v>126078674</v>
      </c>
      <c r="E778">
        <v>37345137</v>
      </c>
      <c r="F778">
        <v>1</v>
      </c>
      <c r="G778">
        <v>37345137</v>
      </c>
      <c r="H778">
        <v>3</v>
      </c>
      <c r="I778" t="s">
        <v>1513</v>
      </c>
      <c r="J778" t="s">
        <v>3</v>
      </c>
      <c r="K778" t="s">
        <v>1514</v>
      </c>
      <c r="L778">
        <v>1354</v>
      </c>
      <c r="N778">
        <v>1010</v>
      </c>
      <c r="O778" t="s">
        <v>250</v>
      </c>
      <c r="P778" t="s">
        <v>250</v>
      </c>
      <c r="Q778">
        <v>1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 t="s">
        <v>823</v>
      </c>
      <c r="AG778">
        <v>0</v>
      </c>
      <c r="AH778">
        <v>3</v>
      </c>
      <c r="AI778">
        <v>-1</v>
      </c>
      <c r="AJ778" t="s">
        <v>3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</row>
    <row r="779" spans="1:44" x14ac:dyDescent="0.2">
      <c r="A779">
        <f>ROW(Source!A1003)</f>
        <v>1003</v>
      </c>
      <c r="B779">
        <v>129764174</v>
      </c>
      <c r="C779">
        <v>129764147</v>
      </c>
      <c r="D779">
        <v>37360473</v>
      </c>
      <c r="E779">
        <v>37345137</v>
      </c>
      <c r="F779">
        <v>1</v>
      </c>
      <c r="G779">
        <v>37345137</v>
      </c>
      <c r="H779">
        <v>3</v>
      </c>
      <c r="I779" t="s">
        <v>1515</v>
      </c>
      <c r="J779" t="s">
        <v>3</v>
      </c>
      <c r="K779" t="s">
        <v>1516</v>
      </c>
      <c r="L779">
        <v>1354</v>
      </c>
      <c r="N779">
        <v>1010</v>
      </c>
      <c r="O779" t="s">
        <v>250</v>
      </c>
      <c r="P779" t="s">
        <v>250</v>
      </c>
      <c r="Q779">
        <v>1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 t="s">
        <v>823</v>
      </c>
      <c r="AG779">
        <v>0</v>
      </c>
      <c r="AH779">
        <v>3</v>
      </c>
      <c r="AI779">
        <v>-1</v>
      </c>
      <c r="AJ779" t="s">
        <v>3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</row>
    <row r="780" spans="1:44" x14ac:dyDescent="0.2">
      <c r="A780">
        <f>ROW(Source!A1003)</f>
        <v>1003</v>
      </c>
      <c r="B780">
        <v>129764175</v>
      </c>
      <c r="C780">
        <v>129764147</v>
      </c>
      <c r="D780">
        <v>37367082</v>
      </c>
      <c r="E780">
        <v>37345137</v>
      </c>
      <c r="F780">
        <v>1</v>
      </c>
      <c r="G780">
        <v>37345137</v>
      </c>
      <c r="H780">
        <v>3</v>
      </c>
      <c r="I780" t="s">
        <v>1136</v>
      </c>
      <c r="J780" t="s">
        <v>3</v>
      </c>
      <c r="K780" t="s">
        <v>1137</v>
      </c>
      <c r="L780">
        <v>1344</v>
      </c>
      <c r="N780">
        <v>1008</v>
      </c>
      <c r="O780" t="s">
        <v>1138</v>
      </c>
      <c r="P780" t="s">
        <v>1138</v>
      </c>
      <c r="Q780">
        <v>1</v>
      </c>
      <c r="X780">
        <v>0.04</v>
      </c>
      <c r="Y780">
        <v>1</v>
      </c>
      <c r="Z780">
        <v>0</v>
      </c>
      <c r="AA780">
        <v>0</v>
      </c>
      <c r="AB780">
        <v>0</v>
      </c>
      <c r="AC780">
        <v>0</v>
      </c>
      <c r="AD780">
        <v>1</v>
      </c>
      <c r="AE780">
        <v>0</v>
      </c>
      <c r="AF780" t="s">
        <v>823</v>
      </c>
      <c r="AG780">
        <v>0</v>
      </c>
      <c r="AH780">
        <v>2</v>
      </c>
      <c r="AI780">
        <v>129764159</v>
      </c>
      <c r="AJ780">
        <v>812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</row>
    <row r="781" spans="1:44" x14ac:dyDescent="0.2">
      <c r="A781">
        <f>ROW(Source!A1004)</f>
        <v>1004</v>
      </c>
      <c r="B781">
        <v>129764160</v>
      </c>
      <c r="C781">
        <v>129764147</v>
      </c>
      <c r="D781">
        <v>37345142</v>
      </c>
      <c r="E781">
        <v>37345137</v>
      </c>
      <c r="F781">
        <v>1</v>
      </c>
      <c r="G781">
        <v>37345137</v>
      </c>
      <c r="H781">
        <v>1</v>
      </c>
      <c r="I781" t="s">
        <v>1096</v>
      </c>
      <c r="J781" t="s">
        <v>3</v>
      </c>
      <c r="K781" t="s">
        <v>1097</v>
      </c>
      <c r="L781">
        <v>1191</v>
      </c>
      <c r="N781">
        <v>1013</v>
      </c>
      <c r="O781" t="s">
        <v>1098</v>
      </c>
      <c r="P781" t="s">
        <v>1098</v>
      </c>
      <c r="Q781">
        <v>1</v>
      </c>
      <c r="X781">
        <v>164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1</v>
      </c>
      <c r="AE781">
        <v>1</v>
      </c>
      <c r="AF781" t="s">
        <v>142</v>
      </c>
      <c r="AG781">
        <v>98.399999999999991</v>
      </c>
      <c r="AH781">
        <v>2</v>
      </c>
      <c r="AI781">
        <v>129764148</v>
      </c>
      <c r="AJ781">
        <v>813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</row>
    <row r="782" spans="1:44" x14ac:dyDescent="0.2">
      <c r="A782">
        <f>ROW(Source!A1004)</f>
        <v>1004</v>
      </c>
      <c r="B782">
        <v>129764161</v>
      </c>
      <c r="C782">
        <v>129764147</v>
      </c>
      <c r="D782">
        <v>41572463</v>
      </c>
      <c r="E782">
        <v>1</v>
      </c>
      <c r="F782">
        <v>1</v>
      </c>
      <c r="G782">
        <v>37345137</v>
      </c>
      <c r="H782">
        <v>2</v>
      </c>
      <c r="I782" t="s">
        <v>1347</v>
      </c>
      <c r="J782" t="s">
        <v>1348</v>
      </c>
      <c r="K782" t="s">
        <v>1349</v>
      </c>
      <c r="L782">
        <v>1367</v>
      </c>
      <c r="N782">
        <v>1011</v>
      </c>
      <c r="O782" t="s">
        <v>1102</v>
      </c>
      <c r="P782" t="s">
        <v>1102</v>
      </c>
      <c r="Q782">
        <v>1</v>
      </c>
      <c r="X782">
        <v>11.43</v>
      </c>
      <c r="Y782">
        <v>0</v>
      </c>
      <c r="Z782">
        <v>1.42</v>
      </c>
      <c r="AA782">
        <v>0.01</v>
      </c>
      <c r="AB782">
        <v>0</v>
      </c>
      <c r="AC782">
        <v>0</v>
      </c>
      <c r="AD782">
        <v>1</v>
      </c>
      <c r="AE782">
        <v>0</v>
      </c>
      <c r="AF782" t="s">
        <v>142</v>
      </c>
      <c r="AG782">
        <v>6.8579999999999997</v>
      </c>
      <c r="AH782">
        <v>2</v>
      </c>
      <c r="AI782">
        <v>129764149</v>
      </c>
      <c r="AJ782">
        <v>814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</row>
    <row r="783" spans="1:44" x14ac:dyDescent="0.2">
      <c r="A783">
        <f>ROW(Source!A1004)</f>
        <v>1004</v>
      </c>
      <c r="B783">
        <v>129764162</v>
      </c>
      <c r="C783">
        <v>129764147</v>
      </c>
      <c r="D783">
        <v>37418445</v>
      </c>
      <c r="E783">
        <v>1</v>
      </c>
      <c r="F783">
        <v>1</v>
      </c>
      <c r="G783">
        <v>37345137</v>
      </c>
      <c r="H783">
        <v>2</v>
      </c>
      <c r="I783" t="s">
        <v>1189</v>
      </c>
      <c r="J783" t="s">
        <v>1190</v>
      </c>
      <c r="K783" t="s">
        <v>1191</v>
      </c>
      <c r="L783">
        <v>1367</v>
      </c>
      <c r="N783">
        <v>1011</v>
      </c>
      <c r="O783" t="s">
        <v>1102</v>
      </c>
      <c r="P783" t="s">
        <v>1102</v>
      </c>
      <c r="Q783">
        <v>1</v>
      </c>
      <c r="X783">
        <v>0.2</v>
      </c>
      <c r="Y783">
        <v>0</v>
      </c>
      <c r="Z783">
        <v>76.81</v>
      </c>
      <c r="AA783">
        <v>14.36</v>
      </c>
      <c r="AB783">
        <v>0</v>
      </c>
      <c r="AC783">
        <v>0</v>
      </c>
      <c r="AD783">
        <v>1</v>
      </c>
      <c r="AE783">
        <v>0</v>
      </c>
      <c r="AF783" t="s">
        <v>142</v>
      </c>
      <c r="AG783">
        <v>0.12</v>
      </c>
      <c r="AH783">
        <v>2</v>
      </c>
      <c r="AI783">
        <v>129764150</v>
      </c>
      <c r="AJ783">
        <v>815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</row>
    <row r="784" spans="1:44" x14ac:dyDescent="0.2">
      <c r="A784">
        <f>ROW(Source!A1004)</f>
        <v>1004</v>
      </c>
      <c r="B784">
        <v>129764163</v>
      </c>
      <c r="C784">
        <v>129764147</v>
      </c>
      <c r="D784">
        <v>37417692</v>
      </c>
      <c r="E784">
        <v>1</v>
      </c>
      <c r="F784">
        <v>1</v>
      </c>
      <c r="G784">
        <v>37345137</v>
      </c>
      <c r="H784">
        <v>2</v>
      </c>
      <c r="I784" t="s">
        <v>1127</v>
      </c>
      <c r="J784" t="s">
        <v>1128</v>
      </c>
      <c r="K784" t="s">
        <v>1129</v>
      </c>
      <c r="L784">
        <v>1367</v>
      </c>
      <c r="N784">
        <v>1011</v>
      </c>
      <c r="O784" t="s">
        <v>1102</v>
      </c>
      <c r="P784" t="s">
        <v>1102</v>
      </c>
      <c r="Q784">
        <v>1</v>
      </c>
      <c r="X784">
        <v>0.03</v>
      </c>
      <c r="Y784">
        <v>0</v>
      </c>
      <c r="Z784">
        <v>190.93</v>
      </c>
      <c r="AA784">
        <v>18.149999999999999</v>
      </c>
      <c r="AB784">
        <v>0</v>
      </c>
      <c r="AC784">
        <v>0</v>
      </c>
      <c r="AD784">
        <v>1</v>
      </c>
      <c r="AE784">
        <v>0</v>
      </c>
      <c r="AF784" t="s">
        <v>142</v>
      </c>
      <c r="AG784">
        <v>1.7999999999999999E-2</v>
      </c>
      <c r="AH784">
        <v>2</v>
      </c>
      <c r="AI784">
        <v>129764151</v>
      </c>
      <c r="AJ784">
        <v>816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</row>
    <row r="785" spans="1:44" x14ac:dyDescent="0.2">
      <c r="A785">
        <f>ROW(Source!A1004)</f>
        <v>1004</v>
      </c>
      <c r="B785">
        <v>129764164</v>
      </c>
      <c r="C785">
        <v>129764147</v>
      </c>
      <c r="D785">
        <v>37393552</v>
      </c>
      <c r="E785">
        <v>1</v>
      </c>
      <c r="F785">
        <v>1</v>
      </c>
      <c r="G785">
        <v>37345137</v>
      </c>
      <c r="H785">
        <v>3</v>
      </c>
      <c r="I785" t="s">
        <v>348</v>
      </c>
      <c r="J785" t="s">
        <v>350</v>
      </c>
      <c r="K785" t="s">
        <v>349</v>
      </c>
      <c r="L785">
        <v>1339</v>
      </c>
      <c r="N785">
        <v>1007</v>
      </c>
      <c r="O785" t="s">
        <v>94</v>
      </c>
      <c r="P785" t="s">
        <v>94</v>
      </c>
      <c r="Q785">
        <v>1</v>
      </c>
      <c r="X785">
        <v>6.3E-2</v>
      </c>
      <c r="Y785">
        <v>7.07</v>
      </c>
      <c r="Z785">
        <v>0</v>
      </c>
      <c r="AA785">
        <v>0</v>
      </c>
      <c r="AB785">
        <v>0</v>
      </c>
      <c r="AC785">
        <v>0</v>
      </c>
      <c r="AD785">
        <v>1</v>
      </c>
      <c r="AE785">
        <v>0</v>
      </c>
      <c r="AF785" t="s">
        <v>823</v>
      </c>
      <c r="AG785">
        <v>0</v>
      </c>
      <c r="AH785">
        <v>2</v>
      </c>
      <c r="AI785">
        <v>129764152</v>
      </c>
      <c r="AJ785">
        <v>817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</row>
    <row r="786" spans="1:44" x14ac:dyDescent="0.2">
      <c r="A786">
        <f>ROW(Source!A1004)</f>
        <v>1004</v>
      </c>
      <c r="B786">
        <v>129764165</v>
      </c>
      <c r="C786">
        <v>129764147</v>
      </c>
      <c r="D786">
        <v>37394915</v>
      </c>
      <c r="E786">
        <v>1</v>
      </c>
      <c r="F786">
        <v>1</v>
      </c>
      <c r="G786">
        <v>37345137</v>
      </c>
      <c r="H786">
        <v>3</v>
      </c>
      <c r="I786" t="s">
        <v>1350</v>
      </c>
      <c r="J786" t="s">
        <v>1351</v>
      </c>
      <c r="K786" t="s">
        <v>1352</v>
      </c>
      <c r="L786">
        <v>1355</v>
      </c>
      <c r="N786">
        <v>1010</v>
      </c>
      <c r="O786" t="s">
        <v>551</v>
      </c>
      <c r="P786" t="s">
        <v>551</v>
      </c>
      <c r="Q786">
        <v>100</v>
      </c>
      <c r="X786">
        <v>1</v>
      </c>
      <c r="Y786">
        <v>180.35</v>
      </c>
      <c r="Z786">
        <v>0</v>
      </c>
      <c r="AA786">
        <v>0</v>
      </c>
      <c r="AB786">
        <v>0</v>
      </c>
      <c r="AC786">
        <v>0</v>
      </c>
      <c r="AD786">
        <v>1</v>
      </c>
      <c r="AE786">
        <v>0</v>
      </c>
      <c r="AF786" t="s">
        <v>823</v>
      </c>
      <c r="AG786">
        <v>0</v>
      </c>
      <c r="AH786">
        <v>2</v>
      </c>
      <c r="AI786">
        <v>129764153</v>
      </c>
      <c r="AJ786">
        <v>818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</row>
    <row r="787" spans="1:44" x14ac:dyDescent="0.2">
      <c r="A787">
        <f>ROW(Source!A1004)</f>
        <v>1004</v>
      </c>
      <c r="B787">
        <v>129764166</v>
      </c>
      <c r="C787">
        <v>129764147</v>
      </c>
      <c r="D787">
        <v>37393665</v>
      </c>
      <c r="E787">
        <v>1</v>
      </c>
      <c r="F787">
        <v>1</v>
      </c>
      <c r="G787">
        <v>37345137</v>
      </c>
      <c r="H787">
        <v>3</v>
      </c>
      <c r="I787" t="s">
        <v>1353</v>
      </c>
      <c r="J787" t="s">
        <v>1354</v>
      </c>
      <c r="K787" t="s">
        <v>1355</v>
      </c>
      <c r="L787">
        <v>1348</v>
      </c>
      <c r="N787">
        <v>1009</v>
      </c>
      <c r="O787" t="s">
        <v>114</v>
      </c>
      <c r="P787" t="s">
        <v>114</v>
      </c>
      <c r="Q787">
        <v>1000</v>
      </c>
      <c r="X787">
        <v>8.4999999999999995E-4</v>
      </c>
      <c r="Y787">
        <v>20166.439999999999</v>
      </c>
      <c r="Z787">
        <v>0</v>
      </c>
      <c r="AA787">
        <v>0</v>
      </c>
      <c r="AB787">
        <v>0</v>
      </c>
      <c r="AC787">
        <v>0</v>
      </c>
      <c r="AD787">
        <v>1</v>
      </c>
      <c r="AE787">
        <v>0</v>
      </c>
      <c r="AF787" t="s">
        <v>823</v>
      </c>
      <c r="AG787">
        <v>0</v>
      </c>
      <c r="AH787">
        <v>2</v>
      </c>
      <c r="AI787">
        <v>129764154</v>
      </c>
      <c r="AJ787">
        <v>819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</row>
    <row r="788" spans="1:44" x14ac:dyDescent="0.2">
      <c r="A788">
        <f>ROW(Source!A1004)</f>
        <v>1004</v>
      </c>
      <c r="B788">
        <v>129764167</v>
      </c>
      <c r="C788">
        <v>129764147</v>
      </c>
      <c r="D788">
        <v>37395753</v>
      </c>
      <c r="E788">
        <v>1</v>
      </c>
      <c r="F788">
        <v>1</v>
      </c>
      <c r="G788">
        <v>37345137</v>
      </c>
      <c r="H788">
        <v>3</v>
      </c>
      <c r="I788" t="s">
        <v>1356</v>
      </c>
      <c r="J788" t="s">
        <v>1357</v>
      </c>
      <c r="K788" t="s">
        <v>1358</v>
      </c>
      <c r="L788">
        <v>1346</v>
      </c>
      <c r="N788">
        <v>1009</v>
      </c>
      <c r="O788" t="s">
        <v>369</v>
      </c>
      <c r="P788" t="s">
        <v>369</v>
      </c>
      <c r="Q788">
        <v>1</v>
      </c>
      <c r="X788">
        <v>0.25</v>
      </c>
      <c r="Y788">
        <v>16.22</v>
      </c>
      <c r="Z788">
        <v>0</v>
      </c>
      <c r="AA788">
        <v>0</v>
      </c>
      <c r="AB788">
        <v>0</v>
      </c>
      <c r="AC788">
        <v>0</v>
      </c>
      <c r="AD788">
        <v>1</v>
      </c>
      <c r="AE788">
        <v>0</v>
      </c>
      <c r="AF788" t="s">
        <v>823</v>
      </c>
      <c r="AG788">
        <v>0</v>
      </c>
      <c r="AH788">
        <v>2</v>
      </c>
      <c r="AI788">
        <v>129764155</v>
      </c>
      <c r="AJ788">
        <v>820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</row>
    <row r="789" spans="1:44" x14ac:dyDescent="0.2">
      <c r="A789">
        <f>ROW(Source!A1004)</f>
        <v>1004</v>
      </c>
      <c r="B789">
        <v>129764168</v>
      </c>
      <c r="C789">
        <v>129764147</v>
      </c>
      <c r="D789">
        <v>37393685</v>
      </c>
      <c r="E789">
        <v>1</v>
      </c>
      <c r="F789">
        <v>1</v>
      </c>
      <c r="G789">
        <v>37345137</v>
      </c>
      <c r="H789">
        <v>3</v>
      </c>
      <c r="I789" t="s">
        <v>1359</v>
      </c>
      <c r="J789" t="s">
        <v>1360</v>
      </c>
      <c r="K789" t="s">
        <v>1361</v>
      </c>
      <c r="L789">
        <v>1348</v>
      </c>
      <c r="N789">
        <v>1009</v>
      </c>
      <c r="O789" t="s">
        <v>114</v>
      </c>
      <c r="P789" t="s">
        <v>114</v>
      </c>
      <c r="Q789">
        <v>1000</v>
      </c>
      <c r="X789">
        <v>1.5999999999999999E-6</v>
      </c>
      <c r="Y789">
        <v>3246.35</v>
      </c>
      <c r="Z789">
        <v>0</v>
      </c>
      <c r="AA789">
        <v>0</v>
      </c>
      <c r="AB789">
        <v>0</v>
      </c>
      <c r="AC789">
        <v>0</v>
      </c>
      <c r="AD789">
        <v>1</v>
      </c>
      <c r="AE789">
        <v>0</v>
      </c>
      <c r="AF789" t="s">
        <v>823</v>
      </c>
      <c r="AG789">
        <v>0</v>
      </c>
      <c r="AH789">
        <v>2</v>
      </c>
      <c r="AI789">
        <v>129764156</v>
      </c>
      <c r="AJ789">
        <v>821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</row>
    <row r="790" spans="1:44" x14ac:dyDescent="0.2">
      <c r="A790">
        <f>ROW(Source!A1004)</f>
        <v>1004</v>
      </c>
      <c r="B790">
        <v>129764169</v>
      </c>
      <c r="C790">
        <v>129764147</v>
      </c>
      <c r="D790">
        <v>37395903</v>
      </c>
      <c r="E790">
        <v>1</v>
      </c>
      <c r="F790">
        <v>1</v>
      </c>
      <c r="G790">
        <v>37345137</v>
      </c>
      <c r="H790">
        <v>3</v>
      </c>
      <c r="I790" t="s">
        <v>1362</v>
      </c>
      <c r="J790" t="s">
        <v>1363</v>
      </c>
      <c r="K790" t="s">
        <v>1364</v>
      </c>
      <c r="L790">
        <v>1346</v>
      </c>
      <c r="N790">
        <v>1009</v>
      </c>
      <c r="O790" t="s">
        <v>369</v>
      </c>
      <c r="P790" t="s">
        <v>369</v>
      </c>
      <c r="Q790">
        <v>1</v>
      </c>
      <c r="X790">
        <v>0.55000000000000004</v>
      </c>
      <c r="Y790">
        <v>45.16</v>
      </c>
      <c r="Z790">
        <v>0</v>
      </c>
      <c r="AA790">
        <v>0</v>
      </c>
      <c r="AB790">
        <v>0</v>
      </c>
      <c r="AC790">
        <v>0</v>
      </c>
      <c r="AD790">
        <v>1</v>
      </c>
      <c r="AE790">
        <v>0</v>
      </c>
      <c r="AF790" t="s">
        <v>823</v>
      </c>
      <c r="AG790">
        <v>0</v>
      </c>
      <c r="AH790">
        <v>2</v>
      </c>
      <c r="AI790">
        <v>129764157</v>
      </c>
      <c r="AJ790">
        <v>822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</row>
    <row r="791" spans="1:44" x14ac:dyDescent="0.2">
      <c r="A791">
        <f>ROW(Source!A1004)</f>
        <v>1004</v>
      </c>
      <c r="B791">
        <v>129764170</v>
      </c>
      <c r="C791">
        <v>129764147</v>
      </c>
      <c r="D791">
        <v>37393818</v>
      </c>
      <c r="E791">
        <v>1</v>
      </c>
      <c r="F791">
        <v>1</v>
      </c>
      <c r="G791">
        <v>37345137</v>
      </c>
      <c r="H791">
        <v>3</v>
      </c>
      <c r="I791" t="s">
        <v>1365</v>
      </c>
      <c r="J791" t="s">
        <v>1366</v>
      </c>
      <c r="K791" t="s">
        <v>1367</v>
      </c>
      <c r="L791">
        <v>1346</v>
      </c>
      <c r="N791">
        <v>1009</v>
      </c>
      <c r="O791" t="s">
        <v>369</v>
      </c>
      <c r="P791" t="s">
        <v>369</v>
      </c>
      <c r="Q791">
        <v>1</v>
      </c>
      <c r="X791">
        <v>0.25</v>
      </c>
      <c r="Y791">
        <v>43.74</v>
      </c>
      <c r="Z791">
        <v>0</v>
      </c>
      <c r="AA791">
        <v>0</v>
      </c>
      <c r="AB791">
        <v>0</v>
      </c>
      <c r="AC791">
        <v>0</v>
      </c>
      <c r="AD791">
        <v>1</v>
      </c>
      <c r="AE791">
        <v>0</v>
      </c>
      <c r="AF791" t="s">
        <v>823</v>
      </c>
      <c r="AG791">
        <v>0</v>
      </c>
      <c r="AH791">
        <v>2</v>
      </c>
      <c r="AI791">
        <v>129764158</v>
      </c>
      <c r="AJ791">
        <v>823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</row>
    <row r="792" spans="1:44" x14ac:dyDescent="0.2">
      <c r="A792">
        <f>ROW(Source!A1004)</f>
        <v>1004</v>
      </c>
      <c r="B792">
        <v>129764171</v>
      </c>
      <c r="C792">
        <v>129764147</v>
      </c>
      <c r="D792">
        <v>37360556</v>
      </c>
      <c r="E792">
        <v>37345137</v>
      </c>
      <c r="F792">
        <v>1</v>
      </c>
      <c r="G792">
        <v>37345137</v>
      </c>
      <c r="H792">
        <v>3</v>
      </c>
      <c r="I792" t="s">
        <v>1509</v>
      </c>
      <c r="J792" t="s">
        <v>3</v>
      </c>
      <c r="K792" t="s">
        <v>1510</v>
      </c>
      <c r="L792">
        <v>1346</v>
      </c>
      <c r="N792">
        <v>1009</v>
      </c>
      <c r="O792" t="s">
        <v>369</v>
      </c>
      <c r="P792" t="s">
        <v>369</v>
      </c>
      <c r="Q792">
        <v>1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 t="s">
        <v>823</v>
      </c>
      <c r="AG792">
        <v>0</v>
      </c>
      <c r="AH792">
        <v>3</v>
      </c>
      <c r="AI792">
        <v>-1</v>
      </c>
      <c r="AJ792" t="s">
        <v>3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</row>
    <row r="793" spans="1:44" x14ac:dyDescent="0.2">
      <c r="A793">
        <f>ROW(Source!A1004)</f>
        <v>1004</v>
      </c>
      <c r="B793">
        <v>129764172</v>
      </c>
      <c r="C793">
        <v>129764147</v>
      </c>
      <c r="D793">
        <v>126078673</v>
      </c>
      <c r="E793">
        <v>37345137</v>
      </c>
      <c r="F793">
        <v>1</v>
      </c>
      <c r="G793">
        <v>37345137</v>
      </c>
      <c r="H793">
        <v>3</v>
      </c>
      <c r="I793" t="s">
        <v>1511</v>
      </c>
      <c r="J793" t="s">
        <v>3</v>
      </c>
      <c r="K793" t="s">
        <v>1512</v>
      </c>
      <c r="L793">
        <v>1301</v>
      </c>
      <c r="N793">
        <v>1003</v>
      </c>
      <c r="O793" t="s">
        <v>270</v>
      </c>
      <c r="P793" t="s">
        <v>270</v>
      </c>
      <c r="Q793">
        <v>1</v>
      </c>
      <c r="X793">
        <v>89.9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 t="s">
        <v>823</v>
      </c>
      <c r="AG793">
        <v>0</v>
      </c>
      <c r="AH793">
        <v>3</v>
      </c>
      <c r="AI793">
        <v>-1</v>
      </c>
      <c r="AJ793" t="s">
        <v>3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</row>
    <row r="794" spans="1:44" x14ac:dyDescent="0.2">
      <c r="A794">
        <f>ROW(Source!A1004)</f>
        <v>1004</v>
      </c>
      <c r="B794">
        <v>129764173</v>
      </c>
      <c r="C794">
        <v>129764147</v>
      </c>
      <c r="D794">
        <v>126078674</v>
      </c>
      <c r="E794">
        <v>37345137</v>
      </c>
      <c r="F794">
        <v>1</v>
      </c>
      <c r="G794">
        <v>37345137</v>
      </c>
      <c r="H794">
        <v>3</v>
      </c>
      <c r="I794" t="s">
        <v>1513</v>
      </c>
      <c r="J794" t="s">
        <v>3</v>
      </c>
      <c r="K794" t="s">
        <v>1514</v>
      </c>
      <c r="L794">
        <v>1354</v>
      </c>
      <c r="N794">
        <v>1010</v>
      </c>
      <c r="O794" t="s">
        <v>250</v>
      </c>
      <c r="P794" t="s">
        <v>250</v>
      </c>
      <c r="Q794">
        <v>1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 t="s">
        <v>823</v>
      </c>
      <c r="AG794">
        <v>0</v>
      </c>
      <c r="AH794">
        <v>3</v>
      </c>
      <c r="AI794">
        <v>-1</v>
      </c>
      <c r="AJ794" t="s">
        <v>3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</row>
    <row r="795" spans="1:44" x14ac:dyDescent="0.2">
      <c r="A795">
        <f>ROW(Source!A1004)</f>
        <v>1004</v>
      </c>
      <c r="B795">
        <v>129764174</v>
      </c>
      <c r="C795">
        <v>129764147</v>
      </c>
      <c r="D795">
        <v>37360473</v>
      </c>
      <c r="E795">
        <v>37345137</v>
      </c>
      <c r="F795">
        <v>1</v>
      </c>
      <c r="G795">
        <v>37345137</v>
      </c>
      <c r="H795">
        <v>3</v>
      </c>
      <c r="I795" t="s">
        <v>1515</v>
      </c>
      <c r="J795" t="s">
        <v>3</v>
      </c>
      <c r="K795" t="s">
        <v>1516</v>
      </c>
      <c r="L795">
        <v>1354</v>
      </c>
      <c r="N795">
        <v>1010</v>
      </c>
      <c r="O795" t="s">
        <v>250</v>
      </c>
      <c r="P795" t="s">
        <v>250</v>
      </c>
      <c r="Q795">
        <v>1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 t="s">
        <v>823</v>
      </c>
      <c r="AG795">
        <v>0</v>
      </c>
      <c r="AH795">
        <v>3</v>
      </c>
      <c r="AI795">
        <v>-1</v>
      </c>
      <c r="AJ795" t="s">
        <v>3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</row>
    <row r="796" spans="1:44" x14ac:dyDescent="0.2">
      <c r="A796">
        <f>ROW(Source!A1004)</f>
        <v>1004</v>
      </c>
      <c r="B796">
        <v>129764175</v>
      </c>
      <c r="C796">
        <v>129764147</v>
      </c>
      <c r="D796">
        <v>37367082</v>
      </c>
      <c r="E796">
        <v>37345137</v>
      </c>
      <c r="F796">
        <v>1</v>
      </c>
      <c r="G796">
        <v>37345137</v>
      </c>
      <c r="H796">
        <v>3</v>
      </c>
      <c r="I796" t="s">
        <v>1136</v>
      </c>
      <c r="J796" t="s">
        <v>3</v>
      </c>
      <c r="K796" t="s">
        <v>1137</v>
      </c>
      <c r="L796">
        <v>1344</v>
      </c>
      <c r="N796">
        <v>1008</v>
      </c>
      <c r="O796" t="s">
        <v>1138</v>
      </c>
      <c r="P796" t="s">
        <v>1138</v>
      </c>
      <c r="Q796">
        <v>1</v>
      </c>
      <c r="X796">
        <v>0.04</v>
      </c>
      <c r="Y796">
        <v>1</v>
      </c>
      <c r="Z796">
        <v>0</v>
      </c>
      <c r="AA796">
        <v>0</v>
      </c>
      <c r="AB796">
        <v>0</v>
      </c>
      <c r="AC796">
        <v>0</v>
      </c>
      <c r="AD796">
        <v>1</v>
      </c>
      <c r="AE796">
        <v>0</v>
      </c>
      <c r="AF796" t="s">
        <v>823</v>
      </c>
      <c r="AG796">
        <v>0</v>
      </c>
      <c r="AH796">
        <v>2</v>
      </c>
      <c r="AI796">
        <v>129764159</v>
      </c>
      <c r="AJ796">
        <v>824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</row>
    <row r="797" spans="1:44" x14ac:dyDescent="0.2">
      <c r="A797">
        <f>ROW(Source!A1005)</f>
        <v>1005</v>
      </c>
      <c r="B797">
        <v>129764180</v>
      </c>
      <c r="C797">
        <v>129764176</v>
      </c>
      <c r="D797">
        <v>37345142</v>
      </c>
      <c r="E797">
        <v>37345137</v>
      </c>
      <c r="F797">
        <v>1</v>
      </c>
      <c r="G797">
        <v>37345137</v>
      </c>
      <c r="H797">
        <v>1</v>
      </c>
      <c r="I797" t="s">
        <v>1096</v>
      </c>
      <c r="J797" t="s">
        <v>3</v>
      </c>
      <c r="K797" t="s">
        <v>1097</v>
      </c>
      <c r="L797">
        <v>1191</v>
      </c>
      <c r="N797">
        <v>1013</v>
      </c>
      <c r="O797" t="s">
        <v>1098</v>
      </c>
      <c r="P797" t="s">
        <v>1098</v>
      </c>
      <c r="Q797">
        <v>1</v>
      </c>
      <c r="X797">
        <v>56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1</v>
      </c>
      <c r="AE797">
        <v>1</v>
      </c>
      <c r="AF797" t="s">
        <v>142</v>
      </c>
      <c r="AG797">
        <v>33.6</v>
      </c>
      <c r="AH797">
        <v>2</v>
      </c>
      <c r="AI797">
        <v>129764177</v>
      </c>
      <c r="AJ797">
        <v>825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</row>
    <row r="798" spans="1:44" x14ac:dyDescent="0.2">
      <c r="A798">
        <f>ROW(Source!A1005)</f>
        <v>1005</v>
      </c>
      <c r="B798">
        <v>129764181</v>
      </c>
      <c r="C798">
        <v>129764176</v>
      </c>
      <c r="D798">
        <v>37345890</v>
      </c>
      <c r="E798">
        <v>37345137</v>
      </c>
      <c r="F798">
        <v>1</v>
      </c>
      <c r="G798">
        <v>37345137</v>
      </c>
      <c r="H798">
        <v>2</v>
      </c>
      <c r="I798" t="s">
        <v>1145</v>
      </c>
      <c r="J798" t="s">
        <v>3</v>
      </c>
      <c r="K798" t="s">
        <v>1146</v>
      </c>
      <c r="L798">
        <v>1344</v>
      </c>
      <c r="N798">
        <v>1008</v>
      </c>
      <c r="O798" t="s">
        <v>1138</v>
      </c>
      <c r="P798" t="s">
        <v>1138</v>
      </c>
      <c r="Q798">
        <v>1</v>
      </c>
      <c r="X798">
        <v>16.93</v>
      </c>
      <c r="Y798">
        <v>0</v>
      </c>
      <c r="Z798">
        <v>1</v>
      </c>
      <c r="AA798">
        <v>0</v>
      </c>
      <c r="AB798">
        <v>0</v>
      </c>
      <c r="AC798">
        <v>0</v>
      </c>
      <c r="AD798">
        <v>1</v>
      </c>
      <c r="AE798">
        <v>0</v>
      </c>
      <c r="AF798" t="s">
        <v>142</v>
      </c>
      <c r="AG798">
        <v>10.157999999999999</v>
      </c>
      <c r="AH798">
        <v>2</v>
      </c>
      <c r="AI798">
        <v>129764178</v>
      </c>
      <c r="AJ798">
        <v>826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</row>
    <row r="799" spans="1:44" x14ac:dyDescent="0.2">
      <c r="A799">
        <f>ROW(Source!A1005)</f>
        <v>1005</v>
      </c>
      <c r="B799">
        <v>129764182</v>
      </c>
      <c r="C799">
        <v>129764176</v>
      </c>
      <c r="D799">
        <v>37360556</v>
      </c>
      <c r="E799">
        <v>37345137</v>
      </c>
      <c r="F799">
        <v>1</v>
      </c>
      <c r="G799">
        <v>37345137</v>
      </c>
      <c r="H799">
        <v>3</v>
      </c>
      <c r="I799" t="s">
        <v>1509</v>
      </c>
      <c r="J799" t="s">
        <v>3</v>
      </c>
      <c r="K799" t="s">
        <v>1510</v>
      </c>
      <c r="L799">
        <v>1346</v>
      </c>
      <c r="N799">
        <v>1009</v>
      </c>
      <c r="O799" t="s">
        <v>369</v>
      </c>
      <c r="P799" t="s">
        <v>369</v>
      </c>
      <c r="Q799">
        <v>1</v>
      </c>
      <c r="X799">
        <v>0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 t="s">
        <v>823</v>
      </c>
      <c r="AG799">
        <v>0</v>
      </c>
      <c r="AH799">
        <v>3</v>
      </c>
      <c r="AI799">
        <v>-1</v>
      </c>
      <c r="AJ799" t="s">
        <v>3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</row>
    <row r="800" spans="1:44" x14ac:dyDescent="0.2">
      <c r="A800">
        <f>ROW(Source!A1005)</f>
        <v>1005</v>
      </c>
      <c r="B800">
        <v>129764183</v>
      </c>
      <c r="C800">
        <v>129764176</v>
      </c>
      <c r="D800">
        <v>37360865</v>
      </c>
      <c r="E800">
        <v>37345137</v>
      </c>
      <c r="F800">
        <v>1</v>
      </c>
      <c r="G800">
        <v>37345137</v>
      </c>
      <c r="H800">
        <v>3</v>
      </c>
      <c r="I800" t="s">
        <v>1517</v>
      </c>
      <c r="J800" t="s">
        <v>3</v>
      </c>
      <c r="K800" t="s">
        <v>1518</v>
      </c>
      <c r="L800">
        <v>1301</v>
      </c>
      <c r="N800">
        <v>1003</v>
      </c>
      <c r="O800" t="s">
        <v>270</v>
      </c>
      <c r="P800" t="s">
        <v>270</v>
      </c>
      <c r="Q800">
        <v>1</v>
      </c>
      <c r="X800">
        <v>99.8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0</v>
      </c>
      <c r="AF800" t="s">
        <v>823</v>
      </c>
      <c r="AG800">
        <v>0</v>
      </c>
      <c r="AH800">
        <v>3</v>
      </c>
      <c r="AI800">
        <v>-1</v>
      </c>
      <c r="AJ800" t="s">
        <v>3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</row>
    <row r="801" spans="1:44" x14ac:dyDescent="0.2">
      <c r="A801">
        <f>ROW(Source!A1005)</f>
        <v>1005</v>
      </c>
      <c r="B801">
        <v>129764184</v>
      </c>
      <c r="C801">
        <v>129764176</v>
      </c>
      <c r="D801">
        <v>37360473</v>
      </c>
      <c r="E801">
        <v>37345137</v>
      </c>
      <c r="F801">
        <v>1</v>
      </c>
      <c r="G801">
        <v>37345137</v>
      </c>
      <c r="H801">
        <v>3</v>
      </c>
      <c r="I801" t="s">
        <v>1515</v>
      </c>
      <c r="J801" t="s">
        <v>3</v>
      </c>
      <c r="K801" t="s">
        <v>1516</v>
      </c>
      <c r="L801">
        <v>1354</v>
      </c>
      <c r="N801">
        <v>1010</v>
      </c>
      <c r="O801" t="s">
        <v>250</v>
      </c>
      <c r="P801" t="s">
        <v>250</v>
      </c>
      <c r="Q801">
        <v>1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 t="s">
        <v>823</v>
      </c>
      <c r="AG801">
        <v>0</v>
      </c>
      <c r="AH801">
        <v>3</v>
      </c>
      <c r="AI801">
        <v>-1</v>
      </c>
      <c r="AJ801" t="s">
        <v>3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</row>
    <row r="802" spans="1:44" x14ac:dyDescent="0.2">
      <c r="A802">
        <f>ROW(Source!A1005)</f>
        <v>1005</v>
      </c>
      <c r="B802">
        <v>129764185</v>
      </c>
      <c r="C802">
        <v>129764176</v>
      </c>
      <c r="D802">
        <v>37367082</v>
      </c>
      <c r="E802">
        <v>37345137</v>
      </c>
      <c r="F802">
        <v>1</v>
      </c>
      <c r="G802">
        <v>37345137</v>
      </c>
      <c r="H802">
        <v>3</v>
      </c>
      <c r="I802" t="s">
        <v>1136</v>
      </c>
      <c r="J802" t="s">
        <v>3</v>
      </c>
      <c r="K802" t="s">
        <v>1137</v>
      </c>
      <c r="L802">
        <v>1344</v>
      </c>
      <c r="N802">
        <v>1008</v>
      </c>
      <c r="O802" t="s">
        <v>1138</v>
      </c>
      <c r="P802" t="s">
        <v>1138</v>
      </c>
      <c r="Q802">
        <v>1</v>
      </c>
      <c r="X802">
        <v>252.56</v>
      </c>
      <c r="Y802">
        <v>1</v>
      </c>
      <c r="Z802">
        <v>0</v>
      </c>
      <c r="AA802">
        <v>0</v>
      </c>
      <c r="AB802">
        <v>0</v>
      </c>
      <c r="AC802">
        <v>0</v>
      </c>
      <c r="AD802">
        <v>1</v>
      </c>
      <c r="AE802">
        <v>0</v>
      </c>
      <c r="AF802" t="s">
        <v>823</v>
      </c>
      <c r="AG802">
        <v>0</v>
      </c>
      <c r="AH802">
        <v>2</v>
      </c>
      <c r="AI802">
        <v>129764179</v>
      </c>
      <c r="AJ802">
        <v>827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</row>
    <row r="803" spans="1:44" x14ac:dyDescent="0.2">
      <c r="A803">
        <f>ROW(Source!A1006)</f>
        <v>1006</v>
      </c>
      <c r="B803">
        <v>129764180</v>
      </c>
      <c r="C803">
        <v>129764176</v>
      </c>
      <c r="D803">
        <v>37345142</v>
      </c>
      <c r="E803">
        <v>37345137</v>
      </c>
      <c r="F803">
        <v>1</v>
      </c>
      <c r="G803">
        <v>37345137</v>
      </c>
      <c r="H803">
        <v>1</v>
      </c>
      <c r="I803" t="s">
        <v>1096</v>
      </c>
      <c r="J803" t="s">
        <v>3</v>
      </c>
      <c r="K803" t="s">
        <v>1097</v>
      </c>
      <c r="L803">
        <v>1191</v>
      </c>
      <c r="N803">
        <v>1013</v>
      </c>
      <c r="O803" t="s">
        <v>1098</v>
      </c>
      <c r="P803" t="s">
        <v>1098</v>
      </c>
      <c r="Q803">
        <v>1</v>
      </c>
      <c r="X803">
        <v>56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1</v>
      </c>
      <c r="AE803">
        <v>1</v>
      </c>
      <c r="AF803" t="s">
        <v>142</v>
      </c>
      <c r="AG803">
        <v>33.6</v>
      </c>
      <c r="AH803">
        <v>2</v>
      </c>
      <c r="AI803">
        <v>129764177</v>
      </c>
      <c r="AJ803">
        <v>828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</row>
    <row r="804" spans="1:44" x14ac:dyDescent="0.2">
      <c r="A804">
        <f>ROW(Source!A1006)</f>
        <v>1006</v>
      </c>
      <c r="B804">
        <v>129764181</v>
      </c>
      <c r="C804">
        <v>129764176</v>
      </c>
      <c r="D804">
        <v>37345890</v>
      </c>
      <c r="E804">
        <v>37345137</v>
      </c>
      <c r="F804">
        <v>1</v>
      </c>
      <c r="G804">
        <v>37345137</v>
      </c>
      <c r="H804">
        <v>2</v>
      </c>
      <c r="I804" t="s">
        <v>1145</v>
      </c>
      <c r="J804" t="s">
        <v>3</v>
      </c>
      <c r="K804" t="s">
        <v>1146</v>
      </c>
      <c r="L804">
        <v>1344</v>
      </c>
      <c r="N804">
        <v>1008</v>
      </c>
      <c r="O804" t="s">
        <v>1138</v>
      </c>
      <c r="P804" t="s">
        <v>1138</v>
      </c>
      <c r="Q804">
        <v>1</v>
      </c>
      <c r="X804">
        <v>16.93</v>
      </c>
      <c r="Y804">
        <v>0</v>
      </c>
      <c r="Z804">
        <v>1</v>
      </c>
      <c r="AA804">
        <v>0</v>
      </c>
      <c r="AB804">
        <v>0</v>
      </c>
      <c r="AC804">
        <v>0</v>
      </c>
      <c r="AD804">
        <v>1</v>
      </c>
      <c r="AE804">
        <v>0</v>
      </c>
      <c r="AF804" t="s">
        <v>142</v>
      </c>
      <c r="AG804">
        <v>10.157999999999999</v>
      </c>
      <c r="AH804">
        <v>2</v>
      </c>
      <c r="AI804">
        <v>129764178</v>
      </c>
      <c r="AJ804">
        <v>829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</row>
    <row r="805" spans="1:44" x14ac:dyDescent="0.2">
      <c r="A805">
        <f>ROW(Source!A1006)</f>
        <v>1006</v>
      </c>
      <c r="B805">
        <v>129764182</v>
      </c>
      <c r="C805">
        <v>129764176</v>
      </c>
      <c r="D805">
        <v>37360556</v>
      </c>
      <c r="E805">
        <v>37345137</v>
      </c>
      <c r="F805">
        <v>1</v>
      </c>
      <c r="G805">
        <v>37345137</v>
      </c>
      <c r="H805">
        <v>3</v>
      </c>
      <c r="I805" t="s">
        <v>1509</v>
      </c>
      <c r="J805" t="s">
        <v>3</v>
      </c>
      <c r="K805" t="s">
        <v>1510</v>
      </c>
      <c r="L805">
        <v>1346</v>
      </c>
      <c r="N805">
        <v>1009</v>
      </c>
      <c r="O805" t="s">
        <v>369</v>
      </c>
      <c r="P805" t="s">
        <v>369</v>
      </c>
      <c r="Q805">
        <v>1</v>
      </c>
      <c r="X805">
        <v>0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0</v>
      </c>
      <c r="AF805" t="s">
        <v>823</v>
      </c>
      <c r="AG805">
        <v>0</v>
      </c>
      <c r="AH805">
        <v>3</v>
      </c>
      <c r="AI805">
        <v>-1</v>
      </c>
      <c r="AJ805" t="s">
        <v>3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</row>
    <row r="806" spans="1:44" x14ac:dyDescent="0.2">
      <c r="A806">
        <f>ROW(Source!A1006)</f>
        <v>1006</v>
      </c>
      <c r="B806">
        <v>129764183</v>
      </c>
      <c r="C806">
        <v>129764176</v>
      </c>
      <c r="D806">
        <v>37360865</v>
      </c>
      <c r="E806">
        <v>37345137</v>
      </c>
      <c r="F806">
        <v>1</v>
      </c>
      <c r="G806">
        <v>37345137</v>
      </c>
      <c r="H806">
        <v>3</v>
      </c>
      <c r="I806" t="s">
        <v>1517</v>
      </c>
      <c r="J806" t="s">
        <v>3</v>
      </c>
      <c r="K806" t="s">
        <v>1518</v>
      </c>
      <c r="L806">
        <v>1301</v>
      </c>
      <c r="N806">
        <v>1003</v>
      </c>
      <c r="O806" t="s">
        <v>270</v>
      </c>
      <c r="P806" t="s">
        <v>270</v>
      </c>
      <c r="Q806">
        <v>1</v>
      </c>
      <c r="X806">
        <v>99.8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0</v>
      </c>
      <c r="AF806" t="s">
        <v>823</v>
      </c>
      <c r="AG806">
        <v>0</v>
      </c>
      <c r="AH806">
        <v>3</v>
      </c>
      <c r="AI806">
        <v>-1</v>
      </c>
      <c r="AJ806" t="s">
        <v>3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</row>
    <row r="807" spans="1:44" x14ac:dyDescent="0.2">
      <c r="A807">
        <f>ROW(Source!A1006)</f>
        <v>1006</v>
      </c>
      <c r="B807">
        <v>129764184</v>
      </c>
      <c r="C807">
        <v>129764176</v>
      </c>
      <c r="D807">
        <v>37360473</v>
      </c>
      <c r="E807">
        <v>37345137</v>
      </c>
      <c r="F807">
        <v>1</v>
      </c>
      <c r="G807">
        <v>37345137</v>
      </c>
      <c r="H807">
        <v>3</v>
      </c>
      <c r="I807" t="s">
        <v>1515</v>
      </c>
      <c r="J807" t="s">
        <v>3</v>
      </c>
      <c r="K807" t="s">
        <v>1516</v>
      </c>
      <c r="L807">
        <v>1354</v>
      </c>
      <c r="N807">
        <v>1010</v>
      </c>
      <c r="O807" t="s">
        <v>250</v>
      </c>
      <c r="P807" t="s">
        <v>250</v>
      </c>
      <c r="Q807">
        <v>1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 t="s">
        <v>823</v>
      </c>
      <c r="AG807">
        <v>0</v>
      </c>
      <c r="AH807">
        <v>3</v>
      </c>
      <c r="AI807">
        <v>-1</v>
      </c>
      <c r="AJ807" t="s">
        <v>3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</row>
    <row r="808" spans="1:44" x14ac:dyDescent="0.2">
      <c r="A808">
        <f>ROW(Source!A1006)</f>
        <v>1006</v>
      </c>
      <c r="B808">
        <v>129764185</v>
      </c>
      <c r="C808">
        <v>129764176</v>
      </c>
      <c r="D808">
        <v>37367082</v>
      </c>
      <c r="E808">
        <v>37345137</v>
      </c>
      <c r="F808">
        <v>1</v>
      </c>
      <c r="G808">
        <v>37345137</v>
      </c>
      <c r="H808">
        <v>3</v>
      </c>
      <c r="I808" t="s">
        <v>1136</v>
      </c>
      <c r="J808" t="s">
        <v>3</v>
      </c>
      <c r="K808" t="s">
        <v>1137</v>
      </c>
      <c r="L808">
        <v>1344</v>
      </c>
      <c r="N808">
        <v>1008</v>
      </c>
      <c r="O808" t="s">
        <v>1138</v>
      </c>
      <c r="P808" t="s">
        <v>1138</v>
      </c>
      <c r="Q808">
        <v>1</v>
      </c>
      <c r="X808">
        <v>252.56</v>
      </c>
      <c r="Y808">
        <v>1</v>
      </c>
      <c r="Z808">
        <v>0</v>
      </c>
      <c r="AA808">
        <v>0</v>
      </c>
      <c r="AB808">
        <v>0</v>
      </c>
      <c r="AC808">
        <v>0</v>
      </c>
      <c r="AD808">
        <v>1</v>
      </c>
      <c r="AE808">
        <v>0</v>
      </c>
      <c r="AF808" t="s">
        <v>823</v>
      </c>
      <c r="AG808">
        <v>0</v>
      </c>
      <c r="AH808">
        <v>2</v>
      </c>
      <c r="AI808">
        <v>129764179</v>
      </c>
      <c r="AJ808">
        <v>830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</row>
    <row r="809" spans="1:44" x14ac:dyDescent="0.2">
      <c r="A809">
        <f>ROW(Source!A1042)</f>
        <v>1042</v>
      </c>
      <c r="B809">
        <v>129764208</v>
      </c>
      <c r="C809">
        <v>129764186</v>
      </c>
      <c r="D809">
        <v>37345142</v>
      </c>
      <c r="E809">
        <v>37345137</v>
      </c>
      <c r="F809">
        <v>1</v>
      </c>
      <c r="G809">
        <v>37345137</v>
      </c>
      <c r="H809">
        <v>1</v>
      </c>
      <c r="I809" t="s">
        <v>1096</v>
      </c>
      <c r="J809" t="s">
        <v>3</v>
      </c>
      <c r="K809" t="s">
        <v>1097</v>
      </c>
      <c r="L809">
        <v>1191</v>
      </c>
      <c r="N809">
        <v>1013</v>
      </c>
      <c r="O809" t="s">
        <v>1098</v>
      </c>
      <c r="P809" t="s">
        <v>1098</v>
      </c>
      <c r="Q809">
        <v>1</v>
      </c>
      <c r="X809">
        <v>164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1</v>
      </c>
      <c r="AE809">
        <v>1</v>
      </c>
      <c r="AF809" t="s">
        <v>87</v>
      </c>
      <c r="AG809">
        <v>188.6</v>
      </c>
      <c r="AH809">
        <v>2</v>
      </c>
      <c r="AI809">
        <v>129764187</v>
      </c>
      <c r="AJ809">
        <v>831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</row>
    <row r="810" spans="1:44" x14ac:dyDescent="0.2">
      <c r="A810">
        <f>ROW(Source!A1042)</f>
        <v>1042</v>
      </c>
      <c r="B810">
        <v>129764209</v>
      </c>
      <c r="C810">
        <v>129764186</v>
      </c>
      <c r="D810">
        <v>41572463</v>
      </c>
      <c r="E810">
        <v>1</v>
      </c>
      <c r="F810">
        <v>1</v>
      </c>
      <c r="G810">
        <v>37345137</v>
      </c>
      <c r="H810">
        <v>2</v>
      </c>
      <c r="I810" t="s">
        <v>1347</v>
      </c>
      <c r="J810" t="s">
        <v>1348</v>
      </c>
      <c r="K810" t="s">
        <v>1349</v>
      </c>
      <c r="L810">
        <v>1367</v>
      </c>
      <c r="N810">
        <v>1011</v>
      </c>
      <c r="O810" t="s">
        <v>1102</v>
      </c>
      <c r="P810" t="s">
        <v>1102</v>
      </c>
      <c r="Q810">
        <v>1</v>
      </c>
      <c r="X810">
        <v>11.43</v>
      </c>
      <c r="Y810">
        <v>0</v>
      </c>
      <c r="Z810">
        <v>1.42</v>
      </c>
      <c r="AA810">
        <v>0.01</v>
      </c>
      <c r="AB810">
        <v>0</v>
      </c>
      <c r="AC810">
        <v>0</v>
      </c>
      <c r="AD810">
        <v>1</v>
      </c>
      <c r="AE810">
        <v>0</v>
      </c>
      <c r="AF810" t="s">
        <v>86</v>
      </c>
      <c r="AG810">
        <v>14.2875</v>
      </c>
      <c r="AH810">
        <v>2</v>
      </c>
      <c r="AI810">
        <v>129764188</v>
      </c>
      <c r="AJ810">
        <v>832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</row>
    <row r="811" spans="1:44" x14ac:dyDescent="0.2">
      <c r="A811">
        <f>ROW(Source!A1042)</f>
        <v>1042</v>
      </c>
      <c r="B811">
        <v>129764210</v>
      </c>
      <c r="C811">
        <v>129764186</v>
      </c>
      <c r="D811">
        <v>37418445</v>
      </c>
      <c r="E811">
        <v>1</v>
      </c>
      <c r="F811">
        <v>1</v>
      </c>
      <c r="G811">
        <v>37345137</v>
      </c>
      <c r="H811">
        <v>2</v>
      </c>
      <c r="I811" t="s">
        <v>1189</v>
      </c>
      <c r="J811" t="s">
        <v>1190</v>
      </c>
      <c r="K811" t="s">
        <v>1191</v>
      </c>
      <c r="L811">
        <v>1367</v>
      </c>
      <c r="N811">
        <v>1011</v>
      </c>
      <c r="O811" t="s">
        <v>1102</v>
      </c>
      <c r="P811" t="s">
        <v>1102</v>
      </c>
      <c r="Q811">
        <v>1</v>
      </c>
      <c r="X811">
        <v>0.2</v>
      </c>
      <c r="Y811">
        <v>0</v>
      </c>
      <c r="Z811">
        <v>76.81</v>
      </c>
      <c r="AA811">
        <v>14.36</v>
      </c>
      <c r="AB811">
        <v>0</v>
      </c>
      <c r="AC811">
        <v>0</v>
      </c>
      <c r="AD811">
        <v>1</v>
      </c>
      <c r="AE811">
        <v>0</v>
      </c>
      <c r="AF811" t="s">
        <v>86</v>
      </c>
      <c r="AG811">
        <v>0.25</v>
      </c>
      <c r="AH811">
        <v>2</v>
      </c>
      <c r="AI811">
        <v>129764189</v>
      </c>
      <c r="AJ811">
        <v>833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</row>
    <row r="812" spans="1:44" x14ac:dyDescent="0.2">
      <c r="A812">
        <f>ROW(Source!A1042)</f>
        <v>1042</v>
      </c>
      <c r="B812">
        <v>129764211</v>
      </c>
      <c r="C812">
        <v>129764186</v>
      </c>
      <c r="D812">
        <v>37417692</v>
      </c>
      <c r="E812">
        <v>1</v>
      </c>
      <c r="F812">
        <v>1</v>
      </c>
      <c r="G812">
        <v>37345137</v>
      </c>
      <c r="H812">
        <v>2</v>
      </c>
      <c r="I812" t="s">
        <v>1127</v>
      </c>
      <c r="J812" t="s">
        <v>1128</v>
      </c>
      <c r="K812" t="s">
        <v>1129</v>
      </c>
      <c r="L812">
        <v>1367</v>
      </c>
      <c r="N812">
        <v>1011</v>
      </c>
      <c r="O812" t="s">
        <v>1102</v>
      </c>
      <c r="P812" t="s">
        <v>1102</v>
      </c>
      <c r="Q812">
        <v>1</v>
      </c>
      <c r="X812">
        <v>0.03</v>
      </c>
      <c r="Y812">
        <v>0</v>
      </c>
      <c r="Z812">
        <v>190.93</v>
      </c>
      <c r="AA812">
        <v>18.149999999999999</v>
      </c>
      <c r="AB812">
        <v>0</v>
      </c>
      <c r="AC812">
        <v>0</v>
      </c>
      <c r="AD812">
        <v>1</v>
      </c>
      <c r="AE812">
        <v>0</v>
      </c>
      <c r="AF812" t="s">
        <v>86</v>
      </c>
      <c r="AG812">
        <v>3.7499999999999999E-2</v>
      </c>
      <c r="AH812">
        <v>2</v>
      </c>
      <c r="AI812">
        <v>129764190</v>
      </c>
      <c r="AJ812">
        <v>834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</row>
    <row r="813" spans="1:44" x14ac:dyDescent="0.2">
      <c r="A813">
        <f>ROW(Source!A1042)</f>
        <v>1042</v>
      </c>
      <c r="B813">
        <v>129764212</v>
      </c>
      <c r="C813">
        <v>129764186</v>
      </c>
      <c r="D813">
        <v>37393552</v>
      </c>
      <c r="E813">
        <v>1</v>
      </c>
      <c r="F813">
        <v>1</v>
      </c>
      <c r="G813">
        <v>37345137</v>
      </c>
      <c r="H813">
        <v>3</v>
      </c>
      <c r="I813" t="s">
        <v>348</v>
      </c>
      <c r="J813" t="s">
        <v>350</v>
      </c>
      <c r="K813" t="s">
        <v>349</v>
      </c>
      <c r="L813">
        <v>1339</v>
      </c>
      <c r="N813">
        <v>1007</v>
      </c>
      <c r="O813" t="s">
        <v>94</v>
      </c>
      <c r="P813" t="s">
        <v>94</v>
      </c>
      <c r="Q813">
        <v>1</v>
      </c>
      <c r="X813">
        <v>6.3E-2</v>
      </c>
      <c r="Y813">
        <v>7.07</v>
      </c>
      <c r="Z813">
        <v>0</v>
      </c>
      <c r="AA813">
        <v>0</v>
      </c>
      <c r="AB813">
        <v>0</v>
      </c>
      <c r="AC813">
        <v>0</v>
      </c>
      <c r="AD813">
        <v>1</v>
      </c>
      <c r="AE813">
        <v>0</v>
      </c>
      <c r="AF813" t="s">
        <v>3</v>
      </c>
      <c r="AG813">
        <v>6.3E-2</v>
      </c>
      <c r="AH813">
        <v>2</v>
      </c>
      <c r="AI813">
        <v>129764191</v>
      </c>
      <c r="AJ813">
        <v>835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</row>
    <row r="814" spans="1:44" x14ac:dyDescent="0.2">
      <c r="A814">
        <f>ROW(Source!A1042)</f>
        <v>1042</v>
      </c>
      <c r="B814">
        <v>129764213</v>
      </c>
      <c r="C814">
        <v>129764186</v>
      </c>
      <c r="D814">
        <v>37394915</v>
      </c>
      <c r="E814">
        <v>1</v>
      </c>
      <c r="F814">
        <v>1</v>
      </c>
      <c r="G814">
        <v>37345137</v>
      </c>
      <c r="H814">
        <v>3</v>
      </c>
      <c r="I814" t="s">
        <v>1350</v>
      </c>
      <c r="J814" t="s">
        <v>1351</v>
      </c>
      <c r="K814" t="s">
        <v>1352</v>
      </c>
      <c r="L814">
        <v>1355</v>
      </c>
      <c r="N814">
        <v>1010</v>
      </c>
      <c r="O814" t="s">
        <v>551</v>
      </c>
      <c r="P814" t="s">
        <v>551</v>
      </c>
      <c r="Q814">
        <v>100</v>
      </c>
      <c r="X814">
        <v>1</v>
      </c>
      <c r="Y814">
        <v>180.35</v>
      </c>
      <c r="Z814">
        <v>0</v>
      </c>
      <c r="AA814">
        <v>0</v>
      </c>
      <c r="AB814">
        <v>0</v>
      </c>
      <c r="AC814">
        <v>0</v>
      </c>
      <c r="AD814">
        <v>1</v>
      </c>
      <c r="AE814">
        <v>0</v>
      </c>
      <c r="AF814" t="s">
        <v>3</v>
      </c>
      <c r="AG814">
        <v>1</v>
      </c>
      <c r="AH814">
        <v>2</v>
      </c>
      <c r="AI814">
        <v>129764192</v>
      </c>
      <c r="AJ814">
        <v>836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</row>
    <row r="815" spans="1:44" x14ac:dyDescent="0.2">
      <c r="A815">
        <f>ROW(Source!A1042)</f>
        <v>1042</v>
      </c>
      <c r="B815">
        <v>129764214</v>
      </c>
      <c r="C815">
        <v>129764186</v>
      </c>
      <c r="D815">
        <v>37393665</v>
      </c>
      <c r="E815">
        <v>1</v>
      </c>
      <c r="F815">
        <v>1</v>
      </c>
      <c r="G815">
        <v>37345137</v>
      </c>
      <c r="H815">
        <v>3</v>
      </c>
      <c r="I815" t="s">
        <v>1353</v>
      </c>
      <c r="J815" t="s">
        <v>1354</v>
      </c>
      <c r="K815" t="s">
        <v>1355</v>
      </c>
      <c r="L815">
        <v>1348</v>
      </c>
      <c r="N815">
        <v>1009</v>
      </c>
      <c r="O815" t="s">
        <v>114</v>
      </c>
      <c r="P815" t="s">
        <v>114</v>
      </c>
      <c r="Q815">
        <v>1000</v>
      </c>
      <c r="X815">
        <v>8.4999999999999995E-4</v>
      </c>
      <c r="Y815">
        <v>20166.439999999999</v>
      </c>
      <c r="Z815">
        <v>0</v>
      </c>
      <c r="AA815">
        <v>0</v>
      </c>
      <c r="AB815">
        <v>0</v>
      </c>
      <c r="AC815">
        <v>0</v>
      </c>
      <c r="AD815">
        <v>1</v>
      </c>
      <c r="AE815">
        <v>0</v>
      </c>
      <c r="AF815" t="s">
        <v>3</v>
      </c>
      <c r="AG815">
        <v>8.4999999999999995E-4</v>
      </c>
      <c r="AH815">
        <v>2</v>
      </c>
      <c r="AI815">
        <v>129764193</v>
      </c>
      <c r="AJ815">
        <v>837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</row>
    <row r="816" spans="1:44" x14ac:dyDescent="0.2">
      <c r="A816">
        <f>ROW(Source!A1042)</f>
        <v>1042</v>
      </c>
      <c r="B816">
        <v>129764215</v>
      </c>
      <c r="C816">
        <v>129764186</v>
      </c>
      <c r="D816">
        <v>37395753</v>
      </c>
      <c r="E816">
        <v>1</v>
      </c>
      <c r="F816">
        <v>1</v>
      </c>
      <c r="G816">
        <v>37345137</v>
      </c>
      <c r="H816">
        <v>3</v>
      </c>
      <c r="I816" t="s">
        <v>1356</v>
      </c>
      <c r="J816" t="s">
        <v>1357</v>
      </c>
      <c r="K816" t="s">
        <v>1358</v>
      </c>
      <c r="L816">
        <v>1346</v>
      </c>
      <c r="N816">
        <v>1009</v>
      </c>
      <c r="O816" t="s">
        <v>369</v>
      </c>
      <c r="P816" t="s">
        <v>369</v>
      </c>
      <c r="Q816">
        <v>1</v>
      </c>
      <c r="X816">
        <v>0.25</v>
      </c>
      <c r="Y816">
        <v>16.22</v>
      </c>
      <c r="Z816">
        <v>0</v>
      </c>
      <c r="AA816">
        <v>0</v>
      </c>
      <c r="AB816">
        <v>0</v>
      </c>
      <c r="AC816">
        <v>0</v>
      </c>
      <c r="AD816">
        <v>1</v>
      </c>
      <c r="AE816">
        <v>0</v>
      </c>
      <c r="AF816" t="s">
        <v>3</v>
      </c>
      <c r="AG816">
        <v>0.25</v>
      </c>
      <c r="AH816">
        <v>2</v>
      </c>
      <c r="AI816">
        <v>129764194</v>
      </c>
      <c r="AJ816">
        <v>838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</row>
    <row r="817" spans="1:44" x14ac:dyDescent="0.2">
      <c r="A817">
        <f>ROW(Source!A1042)</f>
        <v>1042</v>
      </c>
      <c r="B817">
        <v>129764216</v>
      </c>
      <c r="C817">
        <v>129764186</v>
      </c>
      <c r="D817">
        <v>37393685</v>
      </c>
      <c r="E817">
        <v>1</v>
      </c>
      <c r="F817">
        <v>1</v>
      </c>
      <c r="G817">
        <v>37345137</v>
      </c>
      <c r="H817">
        <v>3</v>
      </c>
      <c r="I817" t="s">
        <v>1359</v>
      </c>
      <c r="J817" t="s">
        <v>1360</v>
      </c>
      <c r="K817" t="s">
        <v>1361</v>
      </c>
      <c r="L817">
        <v>1348</v>
      </c>
      <c r="N817">
        <v>1009</v>
      </c>
      <c r="O817" t="s">
        <v>114</v>
      </c>
      <c r="P817" t="s">
        <v>114</v>
      </c>
      <c r="Q817">
        <v>1000</v>
      </c>
      <c r="X817">
        <v>1.5999999999999999E-6</v>
      </c>
      <c r="Y817">
        <v>3246.35</v>
      </c>
      <c r="Z817">
        <v>0</v>
      </c>
      <c r="AA817">
        <v>0</v>
      </c>
      <c r="AB817">
        <v>0</v>
      </c>
      <c r="AC817">
        <v>0</v>
      </c>
      <c r="AD817">
        <v>1</v>
      </c>
      <c r="AE817">
        <v>0</v>
      </c>
      <c r="AF817" t="s">
        <v>3</v>
      </c>
      <c r="AG817">
        <v>1.5999999999999999E-6</v>
      </c>
      <c r="AH817">
        <v>2</v>
      </c>
      <c r="AI817">
        <v>129764195</v>
      </c>
      <c r="AJ817">
        <v>839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</row>
    <row r="818" spans="1:44" x14ac:dyDescent="0.2">
      <c r="A818">
        <f>ROW(Source!A1042)</f>
        <v>1042</v>
      </c>
      <c r="B818">
        <v>129764217</v>
      </c>
      <c r="C818">
        <v>129764186</v>
      </c>
      <c r="D818">
        <v>37395903</v>
      </c>
      <c r="E818">
        <v>1</v>
      </c>
      <c r="F818">
        <v>1</v>
      </c>
      <c r="G818">
        <v>37345137</v>
      </c>
      <c r="H818">
        <v>3</v>
      </c>
      <c r="I818" t="s">
        <v>1362</v>
      </c>
      <c r="J818" t="s">
        <v>1363</v>
      </c>
      <c r="K818" t="s">
        <v>1364</v>
      </c>
      <c r="L818">
        <v>1346</v>
      </c>
      <c r="N818">
        <v>1009</v>
      </c>
      <c r="O818" t="s">
        <v>369</v>
      </c>
      <c r="P818" t="s">
        <v>369</v>
      </c>
      <c r="Q818">
        <v>1</v>
      </c>
      <c r="X818">
        <v>0.55000000000000004</v>
      </c>
      <c r="Y818">
        <v>45.16</v>
      </c>
      <c r="Z818">
        <v>0</v>
      </c>
      <c r="AA818">
        <v>0</v>
      </c>
      <c r="AB818">
        <v>0</v>
      </c>
      <c r="AC818">
        <v>0</v>
      </c>
      <c r="AD818">
        <v>1</v>
      </c>
      <c r="AE818">
        <v>0</v>
      </c>
      <c r="AF818" t="s">
        <v>3</v>
      </c>
      <c r="AG818">
        <v>0.55000000000000004</v>
      </c>
      <c r="AH818">
        <v>2</v>
      </c>
      <c r="AI818">
        <v>129764196</v>
      </c>
      <c r="AJ818">
        <v>840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</row>
    <row r="819" spans="1:44" x14ac:dyDescent="0.2">
      <c r="A819">
        <f>ROW(Source!A1042)</f>
        <v>1042</v>
      </c>
      <c r="B819">
        <v>129764218</v>
      </c>
      <c r="C819">
        <v>129764186</v>
      </c>
      <c r="D819">
        <v>37393818</v>
      </c>
      <c r="E819">
        <v>1</v>
      </c>
      <c r="F819">
        <v>1</v>
      </c>
      <c r="G819">
        <v>37345137</v>
      </c>
      <c r="H819">
        <v>3</v>
      </c>
      <c r="I819" t="s">
        <v>1365</v>
      </c>
      <c r="J819" t="s">
        <v>1366</v>
      </c>
      <c r="K819" t="s">
        <v>1367</v>
      </c>
      <c r="L819">
        <v>1346</v>
      </c>
      <c r="N819">
        <v>1009</v>
      </c>
      <c r="O819" t="s">
        <v>369</v>
      </c>
      <c r="P819" t="s">
        <v>369</v>
      </c>
      <c r="Q819">
        <v>1</v>
      </c>
      <c r="X819">
        <v>0.25</v>
      </c>
      <c r="Y819">
        <v>43.74</v>
      </c>
      <c r="Z819">
        <v>0</v>
      </c>
      <c r="AA819">
        <v>0</v>
      </c>
      <c r="AB819">
        <v>0</v>
      </c>
      <c r="AC819">
        <v>0</v>
      </c>
      <c r="AD819">
        <v>1</v>
      </c>
      <c r="AE819">
        <v>0</v>
      </c>
      <c r="AF819" t="s">
        <v>3</v>
      </c>
      <c r="AG819">
        <v>0.25</v>
      </c>
      <c r="AH819">
        <v>2</v>
      </c>
      <c r="AI819">
        <v>129764197</v>
      </c>
      <c r="AJ819">
        <v>841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</row>
    <row r="820" spans="1:44" x14ac:dyDescent="0.2">
      <c r="A820">
        <f>ROW(Source!A1042)</f>
        <v>1042</v>
      </c>
      <c r="B820">
        <v>129764219</v>
      </c>
      <c r="C820">
        <v>129764186</v>
      </c>
      <c r="D820">
        <v>37360556</v>
      </c>
      <c r="E820">
        <v>37345137</v>
      </c>
      <c r="F820">
        <v>1</v>
      </c>
      <c r="G820">
        <v>37345137</v>
      </c>
      <c r="H820">
        <v>3</v>
      </c>
      <c r="I820" t="s">
        <v>1509</v>
      </c>
      <c r="J820" t="s">
        <v>3</v>
      </c>
      <c r="K820" t="s">
        <v>1510</v>
      </c>
      <c r="L820">
        <v>1346</v>
      </c>
      <c r="N820">
        <v>1009</v>
      </c>
      <c r="O820" t="s">
        <v>369</v>
      </c>
      <c r="P820" t="s">
        <v>369</v>
      </c>
      <c r="Q820">
        <v>1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 t="s">
        <v>3</v>
      </c>
      <c r="AG820">
        <v>0</v>
      </c>
      <c r="AH820">
        <v>3</v>
      </c>
      <c r="AI820">
        <v>-1</v>
      </c>
      <c r="AJ820" t="s">
        <v>3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</row>
    <row r="821" spans="1:44" x14ac:dyDescent="0.2">
      <c r="A821">
        <f>ROW(Source!A1042)</f>
        <v>1042</v>
      </c>
      <c r="B821">
        <v>129764220</v>
      </c>
      <c r="C821">
        <v>129764186</v>
      </c>
      <c r="D821">
        <v>126078673</v>
      </c>
      <c r="E821">
        <v>37345137</v>
      </c>
      <c r="F821">
        <v>1</v>
      </c>
      <c r="G821">
        <v>37345137</v>
      </c>
      <c r="H821">
        <v>3</v>
      </c>
      <c r="I821" t="s">
        <v>1511</v>
      </c>
      <c r="J821" t="s">
        <v>3</v>
      </c>
      <c r="K821" t="s">
        <v>1512</v>
      </c>
      <c r="L821">
        <v>1301</v>
      </c>
      <c r="N821">
        <v>1003</v>
      </c>
      <c r="O821" t="s">
        <v>270</v>
      </c>
      <c r="P821" t="s">
        <v>270</v>
      </c>
      <c r="Q821">
        <v>1</v>
      </c>
      <c r="X821">
        <v>89.9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0</v>
      </c>
      <c r="AF821" t="s">
        <v>3</v>
      </c>
      <c r="AG821">
        <v>89.9</v>
      </c>
      <c r="AH821">
        <v>3</v>
      </c>
      <c r="AI821">
        <v>-1</v>
      </c>
      <c r="AJ821" t="s">
        <v>3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</row>
    <row r="822" spans="1:44" x14ac:dyDescent="0.2">
      <c r="A822">
        <f>ROW(Source!A1042)</f>
        <v>1042</v>
      </c>
      <c r="B822">
        <v>129764221</v>
      </c>
      <c r="C822">
        <v>129764186</v>
      </c>
      <c r="D822">
        <v>126078674</v>
      </c>
      <c r="E822">
        <v>37345137</v>
      </c>
      <c r="F822">
        <v>1</v>
      </c>
      <c r="G822">
        <v>37345137</v>
      </c>
      <c r="H822">
        <v>3</v>
      </c>
      <c r="I822" t="s">
        <v>1513</v>
      </c>
      <c r="J822" t="s">
        <v>3</v>
      </c>
      <c r="K822" t="s">
        <v>1514</v>
      </c>
      <c r="L822">
        <v>1354</v>
      </c>
      <c r="N822">
        <v>1010</v>
      </c>
      <c r="O822" t="s">
        <v>250</v>
      </c>
      <c r="P822" t="s">
        <v>250</v>
      </c>
      <c r="Q822">
        <v>1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 t="s">
        <v>3</v>
      </c>
      <c r="AG822">
        <v>0</v>
      </c>
      <c r="AH822">
        <v>3</v>
      </c>
      <c r="AI822">
        <v>-1</v>
      </c>
      <c r="AJ822" t="s">
        <v>3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</row>
    <row r="823" spans="1:44" x14ac:dyDescent="0.2">
      <c r="A823">
        <f>ROW(Source!A1042)</f>
        <v>1042</v>
      </c>
      <c r="B823">
        <v>129764222</v>
      </c>
      <c r="C823">
        <v>129764186</v>
      </c>
      <c r="D823">
        <v>37360473</v>
      </c>
      <c r="E823">
        <v>37345137</v>
      </c>
      <c r="F823">
        <v>1</v>
      </c>
      <c r="G823">
        <v>37345137</v>
      </c>
      <c r="H823">
        <v>3</v>
      </c>
      <c r="I823" t="s">
        <v>1515</v>
      </c>
      <c r="J823" t="s">
        <v>3</v>
      </c>
      <c r="K823" t="s">
        <v>1516</v>
      </c>
      <c r="L823">
        <v>1354</v>
      </c>
      <c r="N823">
        <v>1010</v>
      </c>
      <c r="O823" t="s">
        <v>250</v>
      </c>
      <c r="P823" t="s">
        <v>250</v>
      </c>
      <c r="Q823">
        <v>1</v>
      </c>
      <c r="X823">
        <v>0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0</v>
      </c>
      <c r="AE823">
        <v>0</v>
      </c>
      <c r="AF823" t="s">
        <v>3</v>
      </c>
      <c r="AG823">
        <v>0</v>
      </c>
      <c r="AH823">
        <v>3</v>
      </c>
      <c r="AI823">
        <v>-1</v>
      </c>
      <c r="AJ823" t="s">
        <v>3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</row>
    <row r="824" spans="1:44" x14ac:dyDescent="0.2">
      <c r="A824">
        <f>ROW(Source!A1042)</f>
        <v>1042</v>
      </c>
      <c r="B824">
        <v>129764223</v>
      </c>
      <c r="C824">
        <v>129764186</v>
      </c>
      <c r="D824">
        <v>37367082</v>
      </c>
      <c r="E824">
        <v>37345137</v>
      </c>
      <c r="F824">
        <v>1</v>
      </c>
      <c r="G824">
        <v>37345137</v>
      </c>
      <c r="H824">
        <v>3</v>
      </c>
      <c r="I824" t="s">
        <v>1136</v>
      </c>
      <c r="J824" t="s">
        <v>3</v>
      </c>
      <c r="K824" t="s">
        <v>1137</v>
      </c>
      <c r="L824">
        <v>1344</v>
      </c>
      <c r="N824">
        <v>1008</v>
      </c>
      <c r="O824" t="s">
        <v>1138</v>
      </c>
      <c r="P824" t="s">
        <v>1138</v>
      </c>
      <c r="Q824">
        <v>1</v>
      </c>
      <c r="X824">
        <v>0.04</v>
      </c>
      <c r="Y824">
        <v>1</v>
      </c>
      <c r="Z824">
        <v>0</v>
      </c>
      <c r="AA824">
        <v>0</v>
      </c>
      <c r="AB824">
        <v>0</v>
      </c>
      <c r="AC824">
        <v>0</v>
      </c>
      <c r="AD824">
        <v>1</v>
      </c>
      <c r="AE824">
        <v>0</v>
      </c>
      <c r="AF824" t="s">
        <v>3</v>
      </c>
      <c r="AG824">
        <v>0.04</v>
      </c>
      <c r="AH824">
        <v>2</v>
      </c>
      <c r="AI824">
        <v>129764198</v>
      </c>
      <c r="AJ824">
        <v>851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</row>
    <row r="825" spans="1:44" x14ac:dyDescent="0.2">
      <c r="A825">
        <f>ROW(Source!A1043)</f>
        <v>1043</v>
      </c>
      <c r="B825">
        <v>129764208</v>
      </c>
      <c r="C825">
        <v>129764186</v>
      </c>
      <c r="D825">
        <v>37345142</v>
      </c>
      <c r="E825">
        <v>37345137</v>
      </c>
      <c r="F825">
        <v>1</v>
      </c>
      <c r="G825">
        <v>37345137</v>
      </c>
      <c r="H825">
        <v>1</v>
      </c>
      <c r="I825" t="s">
        <v>1096</v>
      </c>
      <c r="J825" t="s">
        <v>3</v>
      </c>
      <c r="K825" t="s">
        <v>1097</v>
      </c>
      <c r="L825">
        <v>1191</v>
      </c>
      <c r="N825">
        <v>1013</v>
      </c>
      <c r="O825" t="s">
        <v>1098</v>
      </c>
      <c r="P825" t="s">
        <v>1098</v>
      </c>
      <c r="Q825">
        <v>1</v>
      </c>
      <c r="X825">
        <v>164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1</v>
      </c>
      <c r="AE825">
        <v>1</v>
      </c>
      <c r="AF825" t="s">
        <v>87</v>
      </c>
      <c r="AG825">
        <v>188.6</v>
      </c>
      <c r="AH825">
        <v>2</v>
      </c>
      <c r="AI825">
        <v>129764187</v>
      </c>
      <c r="AJ825">
        <v>852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</row>
    <row r="826" spans="1:44" x14ac:dyDescent="0.2">
      <c r="A826">
        <f>ROW(Source!A1043)</f>
        <v>1043</v>
      </c>
      <c r="B826">
        <v>129764209</v>
      </c>
      <c r="C826">
        <v>129764186</v>
      </c>
      <c r="D826">
        <v>41572463</v>
      </c>
      <c r="E826">
        <v>1</v>
      </c>
      <c r="F826">
        <v>1</v>
      </c>
      <c r="G826">
        <v>37345137</v>
      </c>
      <c r="H826">
        <v>2</v>
      </c>
      <c r="I826" t="s">
        <v>1347</v>
      </c>
      <c r="J826" t="s">
        <v>1348</v>
      </c>
      <c r="K826" t="s">
        <v>1349</v>
      </c>
      <c r="L826">
        <v>1367</v>
      </c>
      <c r="N826">
        <v>1011</v>
      </c>
      <c r="O826" t="s">
        <v>1102</v>
      </c>
      <c r="P826" t="s">
        <v>1102</v>
      </c>
      <c r="Q826">
        <v>1</v>
      </c>
      <c r="X826">
        <v>11.43</v>
      </c>
      <c r="Y826">
        <v>0</v>
      </c>
      <c r="Z826">
        <v>1.42</v>
      </c>
      <c r="AA826">
        <v>0.01</v>
      </c>
      <c r="AB826">
        <v>0</v>
      </c>
      <c r="AC826">
        <v>0</v>
      </c>
      <c r="AD826">
        <v>1</v>
      </c>
      <c r="AE826">
        <v>0</v>
      </c>
      <c r="AF826" t="s">
        <v>86</v>
      </c>
      <c r="AG826">
        <v>14.2875</v>
      </c>
      <c r="AH826">
        <v>2</v>
      </c>
      <c r="AI826">
        <v>129764188</v>
      </c>
      <c r="AJ826">
        <v>853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</row>
    <row r="827" spans="1:44" x14ac:dyDescent="0.2">
      <c r="A827">
        <f>ROW(Source!A1043)</f>
        <v>1043</v>
      </c>
      <c r="B827">
        <v>129764210</v>
      </c>
      <c r="C827">
        <v>129764186</v>
      </c>
      <c r="D827">
        <v>37418445</v>
      </c>
      <c r="E827">
        <v>1</v>
      </c>
      <c r="F827">
        <v>1</v>
      </c>
      <c r="G827">
        <v>37345137</v>
      </c>
      <c r="H827">
        <v>2</v>
      </c>
      <c r="I827" t="s">
        <v>1189</v>
      </c>
      <c r="J827" t="s">
        <v>1190</v>
      </c>
      <c r="K827" t="s">
        <v>1191</v>
      </c>
      <c r="L827">
        <v>1367</v>
      </c>
      <c r="N827">
        <v>1011</v>
      </c>
      <c r="O827" t="s">
        <v>1102</v>
      </c>
      <c r="P827" t="s">
        <v>1102</v>
      </c>
      <c r="Q827">
        <v>1</v>
      </c>
      <c r="X827">
        <v>0.2</v>
      </c>
      <c r="Y827">
        <v>0</v>
      </c>
      <c r="Z827">
        <v>76.81</v>
      </c>
      <c r="AA827">
        <v>14.36</v>
      </c>
      <c r="AB827">
        <v>0</v>
      </c>
      <c r="AC827">
        <v>0</v>
      </c>
      <c r="AD827">
        <v>1</v>
      </c>
      <c r="AE827">
        <v>0</v>
      </c>
      <c r="AF827" t="s">
        <v>86</v>
      </c>
      <c r="AG827">
        <v>0.25</v>
      </c>
      <c r="AH827">
        <v>2</v>
      </c>
      <c r="AI827">
        <v>129764189</v>
      </c>
      <c r="AJ827">
        <v>854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</row>
    <row r="828" spans="1:44" x14ac:dyDescent="0.2">
      <c r="A828">
        <f>ROW(Source!A1043)</f>
        <v>1043</v>
      </c>
      <c r="B828">
        <v>129764211</v>
      </c>
      <c r="C828">
        <v>129764186</v>
      </c>
      <c r="D828">
        <v>37417692</v>
      </c>
      <c r="E828">
        <v>1</v>
      </c>
      <c r="F828">
        <v>1</v>
      </c>
      <c r="G828">
        <v>37345137</v>
      </c>
      <c r="H828">
        <v>2</v>
      </c>
      <c r="I828" t="s">
        <v>1127</v>
      </c>
      <c r="J828" t="s">
        <v>1128</v>
      </c>
      <c r="K828" t="s">
        <v>1129</v>
      </c>
      <c r="L828">
        <v>1367</v>
      </c>
      <c r="N828">
        <v>1011</v>
      </c>
      <c r="O828" t="s">
        <v>1102</v>
      </c>
      <c r="P828" t="s">
        <v>1102</v>
      </c>
      <c r="Q828">
        <v>1</v>
      </c>
      <c r="X828">
        <v>0.03</v>
      </c>
      <c r="Y828">
        <v>0</v>
      </c>
      <c r="Z828">
        <v>190.93</v>
      </c>
      <c r="AA828">
        <v>18.149999999999999</v>
      </c>
      <c r="AB828">
        <v>0</v>
      </c>
      <c r="AC828">
        <v>0</v>
      </c>
      <c r="AD828">
        <v>1</v>
      </c>
      <c r="AE828">
        <v>0</v>
      </c>
      <c r="AF828" t="s">
        <v>86</v>
      </c>
      <c r="AG828">
        <v>3.7499999999999999E-2</v>
      </c>
      <c r="AH828">
        <v>2</v>
      </c>
      <c r="AI828">
        <v>129764190</v>
      </c>
      <c r="AJ828">
        <v>855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</row>
    <row r="829" spans="1:44" x14ac:dyDescent="0.2">
      <c r="A829">
        <f>ROW(Source!A1043)</f>
        <v>1043</v>
      </c>
      <c r="B829">
        <v>129764212</v>
      </c>
      <c r="C829">
        <v>129764186</v>
      </c>
      <c r="D829">
        <v>37393552</v>
      </c>
      <c r="E829">
        <v>1</v>
      </c>
      <c r="F829">
        <v>1</v>
      </c>
      <c r="G829">
        <v>37345137</v>
      </c>
      <c r="H829">
        <v>3</v>
      </c>
      <c r="I829" t="s">
        <v>348</v>
      </c>
      <c r="J829" t="s">
        <v>350</v>
      </c>
      <c r="K829" t="s">
        <v>349</v>
      </c>
      <c r="L829">
        <v>1339</v>
      </c>
      <c r="N829">
        <v>1007</v>
      </c>
      <c r="O829" t="s">
        <v>94</v>
      </c>
      <c r="P829" t="s">
        <v>94</v>
      </c>
      <c r="Q829">
        <v>1</v>
      </c>
      <c r="X829">
        <v>6.3E-2</v>
      </c>
      <c r="Y829">
        <v>7.07</v>
      </c>
      <c r="Z829">
        <v>0</v>
      </c>
      <c r="AA829">
        <v>0</v>
      </c>
      <c r="AB829">
        <v>0</v>
      </c>
      <c r="AC829">
        <v>0</v>
      </c>
      <c r="AD829">
        <v>1</v>
      </c>
      <c r="AE829">
        <v>0</v>
      </c>
      <c r="AF829" t="s">
        <v>3</v>
      </c>
      <c r="AG829">
        <v>6.3E-2</v>
      </c>
      <c r="AH829">
        <v>2</v>
      </c>
      <c r="AI829">
        <v>129764191</v>
      </c>
      <c r="AJ829">
        <v>856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</row>
    <row r="830" spans="1:44" x14ac:dyDescent="0.2">
      <c r="A830">
        <f>ROW(Source!A1043)</f>
        <v>1043</v>
      </c>
      <c r="B830">
        <v>129764213</v>
      </c>
      <c r="C830">
        <v>129764186</v>
      </c>
      <c r="D830">
        <v>37394915</v>
      </c>
      <c r="E830">
        <v>1</v>
      </c>
      <c r="F830">
        <v>1</v>
      </c>
      <c r="G830">
        <v>37345137</v>
      </c>
      <c r="H830">
        <v>3</v>
      </c>
      <c r="I830" t="s">
        <v>1350</v>
      </c>
      <c r="J830" t="s">
        <v>1351</v>
      </c>
      <c r="K830" t="s">
        <v>1352</v>
      </c>
      <c r="L830">
        <v>1355</v>
      </c>
      <c r="N830">
        <v>1010</v>
      </c>
      <c r="O830" t="s">
        <v>551</v>
      </c>
      <c r="P830" t="s">
        <v>551</v>
      </c>
      <c r="Q830">
        <v>100</v>
      </c>
      <c r="X830">
        <v>1</v>
      </c>
      <c r="Y830">
        <v>180.35</v>
      </c>
      <c r="Z830">
        <v>0</v>
      </c>
      <c r="AA830">
        <v>0</v>
      </c>
      <c r="AB830">
        <v>0</v>
      </c>
      <c r="AC830">
        <v>0</v>
      </c>
      <c r="AD830">
        <v>1</v>
      </c>
      <c r="AE830">
        <v>0</v>
      </c>
      <c r="AF830" t="s">
        <v>3</v>
      </c>
      <c r="AG830">
        <v>1</v>
      </c>
      <c r="AH830">
        <v>2</v>
      </c>
      <c r="AI830">
        <v>129764192</v>
      </c>
      <c r="AJ830">
        <v>857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</row>
    <row r="831" spans="1:44" x14ac:dyDescent="0.2">
      <c r="A831">
        <f>ROW(Source!A1043)</f>
        <v>1043</v>
      </c>
      <c r="B831">
        <v>129764214</v>
      </c>
      <c r="C831">
        <v>129764186</v>
      </c>
      <c r="D831">
        <v>37393665</v>
      </c>
      <c r="E831">
        <v>1</v>
      </c>
      <c r="F831">
        <v>1</v>
      </c>
      <c r="G831">
        <v>37345137</v>
      </c>
      <c r="H831">
        <v>3</v>
      </c>
      <c r="I831" t="s">
        <v>1353</v>
      </c>
      <c r="J831" t="s">
        <v>1354</v>
      </c>
      <c r="K831" t="s">
        <v>1355</v>
      </c>
      <c r="L831">
        <v>1348</v>
      </c>
      <c r="N831">
        <v>1009</v>
      </c>
      <c r="O831" t="s">
        <v>114</v>
      </c>
      <c r="P831" t="s">
        <v>114</v>
      </c>
      <c r="Q831">
        <v>1000</v>
      </c>
      <c r="X831">
        <v>8.4999999999999995E-4</v>
      </c>
      <c r="Y831">
        <v>20166.439999999999</v>
      </c>
      <c r="Z831">
        <v>0</v>
      </c>
      <c r="AA831">
        <v>0</v>
      </c>
      <c r="AB831">
        <v>0</v>
      </c>
      <c r="AC831">
        <v>0</v>
      </c>
      <c r="AD831">
        <v>1</v>
      </c>
      <c r="AE831">
        <v>0</v>
      </c>
      <c r="AF831" t="s">
        <v>3</v>
      </c>
      <c r="AG831">
        <v>8.4999999999999995E-4</v>
      </c>
      <c r="AH831">
        <v>2</v>
      </c>
      <c r="AI831">
        <v>129764193</v>
      </c>
      <c r="AJ831">
        <v>858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</row>
    <row r="832" spans="1:44" x14ac:dyDescent="0.2">
      <c r="A832">
        <f>ROW(Source!A1043)</f>
        <v>1043</v>
      </c>
      <c r="B832">
        <v>129764215</v>
      </c>
      <c r="C832">
        <v>129764186</v>
      </c>
      <c r="D832">
        <v>37395753</v>
      </c>
      <c r="E832">
        <v>1</v>
      </c>
      <c r="F832">
        <v>1</v>
      </c>
      <c r="G832">
        <v>37345137</v>
      </c>
      <c r="H832">
        <v>3</v>
      </c>
      <c r="I832" t="s">
        <v>1356</v>
      </c>
      <c r="J832" t="s">
        <v>1357</v>
      </c>
      <c r="K832" t="s">
        <v>1358</v>
      </c>
      <c r="L832">
        <v>1346</v>
      </c>
      <c r="N832">
        <v>1009</v>
      </c>
      <c r="O832" t="s">
        <v>369</v>
      </c>
      <c r="P832" t="s">
        <v>369</v>
      </c>
      <c r="Q832">
        <v>1</v>
      </c>
      <c r="X832">
        <v>0.25</v>
      </c>
      <c r="Y832">
        <v>16.22</v>
      </c>
      <c r="Z832">
        <v>0</v>
      </c>
      <c r="AA832">
        <v>0</v>
      </c>
      <c r="AB832">
        <v>0</v>
      </c>
      <c r="AC832">
        <v>0</v>
      </c>
      <c r="AD832">
        <v>1</v>
      </c>
      <c r="AE832">
        <v>0</v>
      </c>
      <c r="AF832" t="s">
        <v>3</v>
      </c>
      <c r="AG832">
        <v>0.25</v>
      </c>
      <c r="AH832">
        <v>2</v>
      </c>
      <c r="AI832">
        <v>129764194</v>
      </c>
      <c r="AJ832">
        <v>859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</row>
    <row r="833" spans="1:44" x14ac:dyDescent="0.2">
      <c r="A833">
        <f>ROW(Source!A1043)</f>
        <v>1043</v>
      </c>
      <c r="B833">
        <v>129764216</v>
      </c>
      <c r="C833">
        <v>129764186</v>
      </c>
      <c r="D833">
        <v>37393685</v>
      </c>
      <c r="E833">
        <v>1</v>
      </c>
      <c r="F833">
        <v>1</v>
      </c>
      <c r="G833">
        <v>37345137</v>
      </c>
      <c r="H833">
        <v>3</v>
      </c>
      <c r="I833" t="s">
        <v>1359</v>
      </c>
      <c r="J833" t="s">
        <v>1360</v>
      </c>
      <c r="K833" t="s">
        <v>1361</v>
      </c>
      <c r="L833">
        <v>1348</v>
      </c>
      <c r="N833">
        <v>1009</v>
      </c>
      <c r="O833" t="s">
        <v>114</v>
      </c>
      <c r="P833" t="s">
        <v>114</v>
      </c>
      <c r="Q833">
        <v>1000</v>
      </c>
      <c r="X833">
        <v>1.5999999999999999E-6</v>
      </c>
      <c r="Y833">
        <v>3246.35</v>
      </c>
      <c r="Z833">
        <v>0</v>
      </c>
      <c r="AA833">
        <v>0</v>
      </c>
      <c r="AB833">
        <v>0</v>
      </c>
      <c r="AC833">
        <v>0</v>
      </c>
      <c r="AD833">
        <v>1</v>
      </c>
      <c r="AE833">
        <v>0</v>
      </c>
      <c r="AF833" t="s">
        <v>3</v>
      </c>
      <c r="AG833">
        <v>1.5999999999999999E-6</v>
      </c>
      <c r="AH833">
        <v>2</v>
      </c>
      <c r="AI833">
        <v>129764195</v>
      </c>
      <c r="AJ833">
        <v>860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</row>
    <row r="834" spans="1:44" x14ac:dyDescent="0.2">
      <c r="A834">
        <f>ROW(Source!A1043)</f>
        <v>1043</v>
      </c>
      <c r="B834">
        <v>129764217</v>
      </c>
      <c r="C834">
        <v>129764186</v>
      </c>
      <c r="D834">
        <v>37395903</v>
      </c>
      <c r="E834">
        <v>1</v>
      </c>
      <c r="F834">
        <v>1</v>
      </c>
      <c r="G834">
        <v>37345137</v>
      </c>
      <c r="H834">
        <v>3</v>
      </c>
      <c r="I834" t="s">
        <v>1362</v>
      </c>
      <c r="J834" t="s">
        <v>1363</v>
      </c>
      <c r="K834" t="s">
        <v>1364</v>
      </c>
      <c r="L834">
        <v>1346</v>
      </c>
      <c r="N834">
        <v>1009</v>
      </c>
      <c r="O834" t="s">
        <v>369</v>
      </c>
      <c r="P834" t="s">
        <v>369</v>
      </c>
      <c r="Q834">
        <v>1</v>
      </c>
      <c r="X834">
        <v>0.55000000000000004</v>
      </c>
      <c r="Y834">
        <v>45.16</v>
      </c>
      <c r="Z834">
        <v>0</v>
      </c>
      <c r="AA834">
        <v>0</v>
      </c>
      <c r="AB834">
        <v>0</v>
      </c>
      <c r="AC834">
        <v>0</v>
      </c>
      <c r="AD834">
        <v>1</v>
      </c>
      <c r="AE834">
        <v>0</v>
      </c>
      <c r="AF834" t="s">
        <v>3</v>
      </c>
      <c r="AG834">
        <v>0.55000000000000004</v>
      </c>
      <c r="AH834">
        <v>2</v>
      </c>
      <c r="AI834">
        <v>129764196</v>
      </c>
      <c r="AJ834">
        <v>861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</row>
    <row r="835" spans="1:44" x14ac:dyDescent="0.2">
      <c r="A835">
        <f>ROW(Source!A1043)</f>
        <v>1043</v>
      </c>
      <c r="B835">
        <v>129764218</v>
      </c>
      <c r="C835">
        <v>129764186</v>
      </c>
      <c r="D835">
        <v>37393818</v>
      </c>
      <c r="E835">
        <v>1</v>
      </c>
      <c r="F835">
        <v>1</v>
      </c>
      <c r="G835">
        <v>37345137</v>
      </c>
      <c r="H835">
        <v>3</v>
      </c>
      <c r="I835" t="s">
        <v>1365</v>
      </c>
      <c r="J835" t="s">
        <v>1366</v>
      </c>
      <c r="K835" t="s">
        <v>1367</v>
      </c>
      <c r="L835">
        <v>1346</v>
      </c>
      <c r="N835">
        <v>1009</v>
      </c>
      <c r="O835" t="s">
        <v>369</v>
      </c>
      <c r="P835" t="s">
        <v>369</v>
      </c>
      <c r="Q835">
        <v>1</v>
      </c>
      <c r="X835">
        <v>0.25</v>
      </c>
      <c r="Y835">
        <v>43.74</v>
      </c>
      <c r="Z835">
        <v>0</v>
      </c>
      <c r="AA835">
        <v>0</v>
      </c>
      <c r="AB835">
        <v>0</v>
      </c>
      <c r="AC835">
        <v>0</v>
      </c>
      <c r="AD835">
        <v>1</v>
      </c>
      <c r="AE835">
        <v>0</v>
      </c>
      <c r="AF835" t="s">
        <v>3</v>
      </c>
      <c r="AG835">
        <v>0.25</v>
      </c>
      <c r="AH835">
        <v>2</v>
      </c>
      <c r="AI835">
        <v>129764197</v>
      </c>
      <c r="AJ835">
        <v>862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</row>
    <row r="836" spans="1:44" x14ac:dyDescent="0.2">
      <c r="A836">
        <f>ROW(Source!A1043)</f>
        <v>1043</v>
      </c>
      <c r="B836">
        <v>129764219</v>
      </c>
      <c r="C836">
        <v>129764186</v>
      </c>
      <c r="D836">
        <v>37360556</v>
      </c>
      <c r="E836">
        <v>37345137</v>
      </c>
      <c r="F836">
        <v>1</v>
      </c>
      <c r="G836">
        <v>37345137</v>
      </c>
      <c r="H836">
        <v>3</v>
      </c>
      <c r="I836" t="s">
        <v>1509</v>
      </c>
      <c r="J836" t="s">
        <v>3</v>
      </c>
      <c r="K836" t="s">
        <v>1510</v>
      </c>
      <c r="L836">
        <v>1346</v>
      </c>
      <c r="N836">
        <v>1009</v>
      </c>
      <c r="O836" t="s">
        <v>369</v>
      </c>
      <c r="P836" t="s">
        <v>369</v>
      </c>
      <c r="Q836">
        <v>1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 t="s">
        <v>3</v>
      </c>
      <c r="AG836">
        <v>0</v>
      </c>
      <c r="AH836">
        <v>3</v>
      </c>
      <c r="AI836">
        <v>-1</v>
      </c>
      <c r="AJ836" t="s">
        <v>3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</row>
    <row r="837" spans="1:44" x14ac:dyDescent="0.2">
      <c r="A837">
        <f>ROW(Source!A1043)</f>
        <v>1043</v>
      </c>
      <c r="B837">
        <v>129764220</v>
      </c>
      <c r="C837">
        <v>129764186</v>
      </c>
      <c r="D837">
        <v>126078673</v>
      </c>
      <c r="E837">
        <v>37345137</v>
      </c>
      <c r="F837">
        <v>1</v>
      </c>
      <c r="G837">
        <v>37345137</v>
      </c>
      <c r="H837">
        <v>3</v>
      </c>
      <c r="I837" t="s">
        <v>1511</v>
      </c>
      <c r="J837" t="s">
        <v>3</v>
      </c>
      <c r="K837" t="s">
        <v>1512</v>
      </c>
      <c r="L837">
        <v>1301</v>
      </c>
      <c r="N837">
        <v>1003</v>
      </c>
      <c r="O837" t="s">
        <v>270</v>
      </c>
      <c r="P837" t="s">
        <v>270</v>
      </c>
      <c r="Q837">
        <v>1</v>
      </c>
      <c r="X837">
        <v>89.9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 t="s">
        <v>3</v>
      </c>
      <c r="AG837">
        <v>89.9</v>
      </c>
      <c r="AH837">
        <v>3</v>
      </c>
      <c r="AI837">
        <v>-1</v>
      </c>
      <c r="AJ837" t="s">
        <v>3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</row>
    <row r="838" spans="1:44" x14ac:dyDescent="0.2">
      <c r="A838">
        <f>ROW(Source!A1043)</f>
        <v>1043</v>
      </c>
      <c r="B838">
        <v>129764221</v>
      </c>
      <c r="C838">
        <v>129764186</v>
      </c>
      <c r="D838">
        <v>126078674</v>
      </c>
      <c r="E838">
        <v>37345137</v>
      </c>
      <c r="F838">
        <v>1</v>
      </c>
      <c r="G838">
        <v>37345137</v>
      </c>
      <c r="H838">
        <v>3</v>
      </c>
      <c r="I838" t="s">
        <v>1513</v>
      </c>
      <c r="J838" t="s">
        <v>3</v>
      </c>
      <c r="K838" t="s">
        <v>1514</v>
      </c>
      <c r="L838">
        <v>1354</v>
      </c>
      <c r="N838">
        <v>1010</v>
      </c>
      <c r="O838" t="s">
        <v>250</v>
      </c>
      <c r="P838" t="s">
        <v>250</v>
      </c>
      <c r="Q838">
        <v>1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 t="s">
        <v>3</v>
      </c>
      <c r="AG838">
        <v>0</v>
      </c>
      <c r="AH838">
        <v>3</v>
      </c>
      <c r="AI838">
        <v>-1</v>
      </c>
      <c r="AJ838" t="s">
        <v>3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</row>
    <row r="839" spans="1:44" x14ac:dyDescent="0.2">
      <c r="A839">
        <f>ROW(Source!A1043)</f>
        <v>1043</v>
      </c>
      <c r="B839">
        <v>129764222</v>
      </c>
      <c r="C839">
        <v>129764186</v>
      </c>
      <c r="D839">
        <v>37360473</v>
      </c>
      <c r="E839">
        <v>37345137</v>
      </c>
      <c r="F839">
        <v>1</v>
      </c>
      <c r="G839">
        <v>37345137</v>
      </c>
      <c r="H839">
        <v>3</v>
      </c>
      <c r="I839" t="s">
        <v>1515</v>
      </c>
      <c r="J839" t="s">
        <v>3</v>
      </c>
      <c r="K839" t="s">
        <v>1516</v>
      </c>
      <c r="L839">
        <v>1354</v>
      </c>
      <c r="N839">
        <v>1010</v>
      </c>
      <c r="O839" t="s">
        <v>250</v>
      </c>
      <c r="P839" t="s">
        <v>250</v>
      </c>
      <c r="Q839">
        <v>1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 t="s">
        <v>3</v>
      </c>
      <c r="AG839">
        <v>0</v>
      </c>
      <c r="AH839">
        <v>3</v>
      </c>
      <c r="AI839">
        <v>-1</v>
      </c>
      <c r="AJ839" t="s">
        <v>3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</row>
    <row r="840" spans="1:44" x14ac:dyDescent="0.2">
      <c r="A840">
        <f>ROW(Source!A1043)</f>
        <v>1043</v>
      </c>
      <c r="B840">
        <v>129764223</v>
      </c>
      <c r="C840">
        <v>129764186</v>
      </c>
      <c r="D840">
        <v>37367082</v>
      </c>
      <c r="E840">
        <v>37345137</v>
      </c>
      <c r="F840">
        <v>1</v>
      </c>
      <c r="G840">
        <v>37345137</v>
      </c>
      <c r="H840">
        <v>3</v>
      </c>
      <c r="I840" t="s">
        <v>1136</v>
      </c>
      <c r="J840" t="s">
        <v>3</v>
      </c>
      <c r="K840" t="s">
        <v>1137</v>
      </c>
      <c r="L840">
        <v>1344</v>
      </c>
      <c r="N840">
        <v>1008</v>
      </c>
      <c r="O840" t="s">
        <v>1138</v>
      </c>
      <c r="P840" t="s">
        <v>1138</v>
      </c>
      <c r="Q840">
        <v>1</v>
      </c>
      <c r="X840">
        <v>0.04</v>
      </c>
      <c r="Y840">
        <v>1</v>
      </c>
      <c r="Z840">
        <v>0</v>
      </c>
      <c r="AA840">
        <v>0</v>
      </c>
      <c r="AB840">
        <v>0</v>
      </c>
      <c r="AC840">
        <v>0</v>
      </c>
      <c r="AD840">
        <v>1</v>
      </c>
      <c r="AE840">
        <v>0</v>
      </c>
      <c r="AF840" t="s">
        <v>3</v>
      </c>
      <c r="AG840">
        <v>0.04</v>
      </c>
      <c r="AH840">
        <v>2</v>
      </c>
      <c r="AI840">
        <v>129764198</v>
      </c>
      <c r="AJ840">
        <v>872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</row>
    <row r="841" spans="1:44" x14ac:dyDescent="0.2">
      <c r="A841">
        <f>ROW(Source!A1062)</f>
        <v>1062</v>
      </c>
      <c r="B841">
        <v>129764242</v>
      </c>
      <c r="C841">
        <v>129764233</v>
      </c>
      <c r="D841">
        <v>37345142</v>
      </c>
      <c r="E841">
        <v>37345137</v>
      </c>
      <c r="F841">
        <v>1</v>
      </c>
      <c r="G841">
        <v>37345137</v>
      </c>
      <c r="H841">
        <v>1</v>
      </c>
      <c r="I841" t="s">
        <v>1096</v>
      </c>
      <c r="J841" t="s">
        <v>3</v>
      </c>
      <c r="K841" t="s">
        <v>1097</v>
      </c>
      <c r="L841">
        <v>1191</v>
      </c>
      <c r="N841">
        <v>1013</v>
      </c>
      <c r="O841" t="s">
        <v>1098</v>
      </c>
      <c r="P841" t="s">
        <v>1098</v>
      </c>
      <c r="Q841">
        <v>1</v>
      </c>
      <c r="X841">
        <v>2.2000000000000002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1</v>
      </c>
      <c r="AE841">
        <v>1</v>
      </c>
      <c r="AF841" t="s">
        <v>87</v>
      </c>
      <c r="AG841">
        <v>2.5299999999999998</v>
      </c>
      <c r="AH841">
        <v>2</v>
      </c>
      <c r="AI841">
        <v>129764234</v>
      </c>
      <c r="AJ841">
        <v>873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</row>
    <row r="842" spans="1:44" x14ac:dyDescent="0.2">
      <c r="A842">
        <f>ROW(Source!A1062)</f>
        <v>1062</v>
      </c>
      <c r="B842">
        <v>129764243</v>
      </c>
      <c r="C842">
        <v>129764233</v>
      </c>
      <c r="D842">
        <v>37345890</v>
      </c>
      <c r="E842">
        <v>37345137</v>
      </c>
      <c r="F842">
        <v>1</v>
      </c>
      <c r="G842">
        <v>37345137</v>
      </c>
      <c r="H842">
        <v>2</v>
      </c>
      <c r="I842" t="s">
        <v>1145</v>
      </c>
      <c r="J842" t="s">
        <v>3</v>
      </c>
      <c r="K842" t="s">
        <v>1146</v>
      </c>
      <c r="L842">
        <v>1344</v>
      </c>
      <c r="N842">
        <v>1008</v>
      </c>
      <c r="O842" t="s">
        <v>1138</v>
      </c>
      <c r="P842" t="s">
        <v>1138</v>
      </c>
      <c r="Q842">
        <v>1</v>
      </c>
      <c r="X842">
        <v>13.2</v>
      </c>
      <c r="Y842">
        <v>0</v>
      </c>
      <c r="Z842">
        <v>1</v>
      </c>
      <c r="AA842">
        <v>0</v>
      </c>
      <c r="AB842">
        <v>0</v>
      </c>
      <c r="AC842">
        <v>0</v>
      </c>
      <c r="AD842">
        <v>1</v>
      </c>
      <c r="AE842">
        <v>0</v>
      </c>
      <c r="AF842" t="s">
        <v>86</v>
      </c>
      <c r="AG842">
        <v>16.5</v>
      </c>
      <c r="AH842">
        <v>2</v>
      </c>
      <c r="AI842">
        <v>129764235</v>
      </c>
      <c r="AJ842">
        <v>874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</row>
    <row r="843" spans="1:44" x14ac:dyDescent="0.2">
      <c r="A843">
        <f>ROW(Source!A1062)</f>
        <v>1062</v>
      </c>
      <c r="B843">
        <v>129764244</v>
      </c>
      <c r="C843">
        <v>129764233</v>
      </c>
      <c r="D843">
        <v>37393825</v>
      </c>
      <c r="E843">
        <v>1</v>
      </c>
      <c r="F843">
        <v>1</v>
      </c>
      <c r="G843">
        <v>37345137</v>
      </c>
      <c r="H843">
        <v>3</v>
      </c>
      <c r="I843" t="s">
        <v>1368</v>
      </c>
      <c r="J843" t="s">
        <v>1369</v>
      </c>
      <c r="K843" t="s">
        <v>1370</v>
      </c>
      <c r="L843">
        <v>1354</v>
      </c>
      <c r="N843">
        <v>1010</v>
      </c>
      <c r="O843" t="s">
        <v>250</v>
      </c>
      <c r="P843" t="s">
        <v>250</v>
      </c>
      <c r="Q843">
        <v>1</v>
      </c>
      <c r="X843">
        <v>30</v>
      </c>
      <c r="Y843">
        <v>0.75</v>
      </c>
      <c r="Z843">
        <v>0</v>
      </c>
      <c r="AA843">
        <v>0</v>
      </c>
      <c r="AB843">
        <v>0</v>
      </c>
      <c r="AC843">
        <v>0</v>
      </c>
      <c r="AD843">
        <v>1</v>
      </c>
      <c r="AE843">
        <v>0</v>
      </c>
      <c r="AF843" t="s">
        <v>3</v>
      </c>
      <c r="AG843">
        <v>30</v>
      </c>
      <c r="AH843">
        <v>2</v>
      </c>
      <c r="AI843">
        <v>129764236</v>
      </c>
      <c r="AJ843">
        <v>877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</row>
    <row r="844" spans="1:44" x14ac:dyDescent="0.2">
      <c r="A844">
        <f>ROW(Source!A1062)</f>
        <v>1062</v>
      </c>
      <c r="B844">
        <v>129764245</v>
      </c>
      <c r="C844">
        <v>129764233</v>
      </c>
      <c r="D844">
        <v>37393880</v>
      </c>
      <c r="E844">
        <v>1</v>
      </c>
      <c r="F844">
        <v>1</v>
      </c>
      <c r="G844">
        <v>37345137</v>
      </c>
      <c r="H844">
        <v>3</v>
      </c>
      <c r="I844" t="s">
        <v>1371</v>
      </c>
      <c r="J844" t="s">
        <v>1372</v>
      </c>
      <c r="K844" t="s">
        <v>1373</v>
      </c>
      <c r="L844">
        <v>1296</v>
      </c>
      <c r="N844">
        <v>1002</v>
      </c>
      <c r="O844" t="s">
        <v>870</v>
      </c>
      <c r="P844" t="s">
        <v>870</v>
      </c>
      <c r="Q844">
        <v>1</v>
      </c>
      <c r="X844">
        <v>0.93</v>
      </c>
      <c r="Y844">
        <v>34.75</v>
      </c>
      <c r="Z844">
        <v>0</v>
      </c>
      <c r="AA844">
        <v>0</v>
      </c>
      <c r="AB844">
        <v>0</v>
      </c>
      <c r="AC844">
        <v>0</v>
      </c>
      <c r="AD844">
        <v>1</v>
      </c>
      <c r="AE844">
        <v>0</v>
      </c>
      <c r="AF844" t="s">
        <v>3</v>
      </c>
      <c r="AG844">
        <v>0.93</v>
      </c>
      <c r="AH844">
        <v>2</v>
      </c>
      <c r="AI844">
        <v>129764237</v>
      </c>
      <c r="AJ844">
        <v>878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</row>
    <row r="845" spans="1:44" x14ac:dyDescent="0.2">
      <c r="A845">
        <f>ROW(Source!A1062)</f>
        <v>1062</v>
      </c>
      <c r="B845">
        <v>129764246</v>
      </c>
      <c r="C845">
        <v>129764233</v>
      </c>
      <c r="D845">
        <v>126078672</v>
      </c>
      <c r="E845">
        <v>37345137</v>
      </c>
      <c r="F845">
        <v>1</v>
      </c>
      <c r="G845">
        <v>37345137</v>
      </c>
      <c r="H845">
        <v>3</v>
      </c>
      <c r="I845" t="s">
        <v>1519</v>
      </c>
      <c r="J845" t="s">
        <v>3</v>
      </c>
      <c r="K845" t="s">
        <v>1520</v>
      </c>
      <c r="L845">
        <v>1301</v>
      </c>
      <c r="N845">
        <v>1003</v>
      </c>
      <c r="O845" t="s">
        <v>270</v>
      </c>
      <c r="P845" t="s">
        <v>270</v>
      </c>
      <c r="Q845">
        <v>1</v>
      </c>
      <c r="X845">
        <v>15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0</v>
      </c>
      <c r="AE845">
        <v>0</v>
      </c>
      <c r="AF845" t="s">
        <v>3</v>
      </c>
      <c r="AG845">
        <v>15</v>
      </c>
      <c r="AH845">
        <v>3</v>
      </c>
      <c r="AI845">
        <v>-1</v>
      </c>
      <c r="AJ845" t="s">
        <v>3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</row>
    <row r="846" spans="1:44" x14ac:dyDescent="0.2">
      <c r="A846">
        <f>ROW(Source!A1062)</f>
        <v>1062</v>
      </c>
      <c r="B846">
        <v>129764247</v>
      </c>
      <c r="C846">
        <v>129764233</v>
      </c>
      <c r="D846">
        <v>37358527</v>
      </c>
      <c r="E846">
        <v>37345137</v>
      </c>
      <c r="F846">
        <v>1</v>
      </c>
      <c r="G846">
        <v>37345137</v>
      </c>
      <c r="H846">
        <v>3</v>
      </c>
      <c r="I846" t="s">
        <v>1521</v>
      </c>
      <c r="J846" t="s">
        <v>3</v>
      </c>
      <c r="K846" t="s">
        <v>1522</v>
      </c>
      <c r="L846">
        <v>1327</v>
      </c>
      <c r="N846">
        <v>1005</v>
      </c>
      <c r="O846" t="s">
        <v>258</v>
      </c>
      <c r="P846" t="s">
        <v>258</v>
      </c>
      <c r="Q846">
        <v>1</v>
      </c>
      <c r="X846">
        <v>0.25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 t="s">
        <v>3</v>
      </c>
      <c r="AG846">
        <v>0.25</v>
      </c>
      <c r="AH846">
        <v>3</v>
      </c>
      <c r="AI846">
        <v>-1</v>
      </c>
      <c r="AJ846" t="s">
        <v>3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</row>
    <row r="847" spans="1:44" x14ac:dyDescent="0.2">
      <c r="A847">
        <f>ROW(Source!A1062)</f>
        <v>1062</v>
      </c>
      <c r="B847">
        <v>129764248</v>
      </c>
      <c r="C847">
        <v>129764233</v>
      </c>
      <c r="D847">
        <v>37358653</v>
      </c>
      <c r="E847">
        <v>37345137</v>
      </c>
      <c r="F847">
        <v>1</v>
      </c>
      <c r="G847">
        <v>37345137</v>
      </c>
      <c r="H847">
        <v>3</v>
      </c>
      <c r="I847" t="s">
        <v>1523</v>
      </c>
      <c r="J847" t="s">
        <v>3</v>
      </c>
      <c r="K847" t="s">
        <v>1524</v>
      </c>
      <c r="L847">
        <v>1301</v>
      </c>
      <c r="N847">
        <v>1003</v>
      </c>
      <c r="O847" t="s">
        <v>270</v>
      </c>
      <c r="P847" t="s">
        <v>270</v>
      </c>
      <c r="Q847">
        <v>1</v>
      </c>
      <c r="X847">
        <v>10.5</v>
      </c>
      <c r="Y847">
        <v>0</v>
      </c>
      <c r="Z847">
        <v>0</v>
      </c>
      <c r="AA847">
        <v>0</v>
      </c>
      <c r="AB847">
        <v>0</v>
      </c>
      <c r="AC847">
        <v>0</v>
      </c>
      <c r="AD847">
        <v>0</v>
      </c>
      <c r="AE847">
        <v>0</v>
      </c>
      <c r="AF847" t="s">
        <v>3</v>
      </c>
      <c r="AG847">
        <v>10.5</v>
      </c>
      <c r="AH847">
        <v>3</v>
      </c>
      <c r="AI847">
        <v>-1</v>
      </c>
      <c r="AJ847" t="s">
        <v>3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</row>
    <row r="848" spans="1:44" x14ac:dyDescent="0.2">
      <c r="A848">
        <f>ROW(Source!A1062)</f>
        <v>1062</v>
      </c>
      <c r="B848">
        <v>129764249</v>
      </c>
      <c r="C848">
        <v>129764233</v>
      </c>
      <c r="D848">
        <v>37360014</v>
      </c>
      <c r="E848">
        <v>37345137</v>
      </c>
      <c r="F848">
        <v>1</v>
      </c>
      <c r="G848">
        <v>37345137</v>
      </c>
      <c r="H848">
        <v>3</v>
      </c>
      <c r="I848" t="s">
        <v>1525</v>
      </c>
      <c r="J848" t="s">
        <v>3</v>
      </c>
      <c r="K848" t="s">
        <v>1526</v>
      </c>
      <c r="L848">
        <v>1296</v>
      </c>
      <c r="N848">
        <v>1002</v>
      </c>
      <c r="O848" t="s">
        <v>870</v>
      </c>
      <c r="P848" t="s">
        <v>870</v>
      </c>
      <c r="Q848">
        <v>1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 t="s">
        <v>3</v>
      </c>
      <c r="AG848">
        <v>0</v>
      </c>
      <c r="AH848">
        <v>3</v>
      </c>
      <c r="AI848">
        <v>-1</v>
      </c>
      <c r="AJ848" t="s">
        <v>3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</row>
    <row r="849" spans="1:44" x14ac:dyDescent="0.2">
      <c r="A849">
        <f>ROW(Source!A1062)</f>
        <v>1062</v>
      </c>
      <c r="B849">
        <v>129764250</v>
      </c>
      <c r="C849">
        <v>129764233</v>
      </c>
      <c r="D849">
        <v>37367082</v>
      </c>
      <c r="E849">
        <v>37345137</v>
      </c>
      <c r="F849">
        <v>1</v>
      </c>
      <c r="G849">
        <v>37345137</v>
      </c>
      <c r="H849">
        <v>3</v>
      </c>
      <c r="I849" t="s">
        <v>1136</v>
      </c>
      <c r="J849" t="s">
        <v>3</v>
      </c>
      <c r="K849" t="s">
        <v>1137</v>
      </c>
      <c r="L849">
        <v>1344</v>
      </c>
      <c r="N849">
        <v>1008</v>
      </c>
      <c r="O849" t="s">
        <v>1138</v>
      </c>
      <c r="P849" t="s">
        <v>1138</v>
      </c>
      <c r="Q849">
        <v>1</v>
      </c>
      <c r="X849">
        <v>5</v>
      </c>
      <c r="Y849">
        <v>1</v>
      </c>
      <c r="Z849">
        <v>0</v>
      </c>
      <c r="AA849">
        <v>0</v>
      </c>
      <c r="AB849">
        <v>0</v>
      </c>
      <c r="AC849">
        <v>0</v>
      </c>
      <c r="AD849">
        <v>1</v>
      </c>
      <c r="AE849">
        <v>0</v>
      </c>
      <c r="AF849" t="s">
        <v>3</v>
      </c>
      <c r="AG849">
        <v>5</v>
      </c>
      <c r="AH849">
        <v>2</v>
      </c>
      <c r="AI849">
        <v>129764241</v>
      </c>
      <c r="AJ849">
        <v>880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</row>
    <row r="850" spans="1:44" x14ac:dyDescent="0.2">
      <c r="A850">
        <f>ROW(Source!A1063)</f>
        <v>1063</v>
      </c>
      <c r="B850">
        <v>129764242</v>
      </c>
      <c r="C850">
        <v>129764233</v>
      </c>
      <c r="D850">
        <v>37345142</v>
      </c>
      <c r="E850">
        <v>37345137</v>
      </c>
      <c r="F850">
        <v>1</v>
      </c>
      <c r="G850">
        <v>37345137</v>
      </c>
      <c r="H850">
        <v>1</v>
      </c>
      <c r="I850" t="s">
        <v>1096</v>
      </c>
      <c r="J850" t="s">
        <v>3</v>
      </c>
      <c r="K850" t="s">
        <v>1097</v>
      </c>
      <c r="L850">
        <v>1191</v>
      </c>
      <c r="N850">
        <v>1013</v>
      </c>
      <c r="O850" t="s">
        <v>1098</v>
      </c>
      <c r="P850" t="s">
        <v>1098</v>
      </c>
      <c r="Q850">
        <v>1</v>
      </c>
      <c r="X850">
        <v>2.2000000000000002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1</v>
      </c>
      <c r="AE850">
        <v>1</v>
      </c>
      <c r="AF850" t="s">
        <v>87</v>
      </c>
      <c r="AG850">
        <v>2.5299999999999998</v>
      </c>
      <c r="AH850">
        <v>2</v>
      </c>
      <c r="AI850">
        <v>129764234</v>
      </c>
      <c r="AJ850">
        <v>881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</row>
    <row r="851" spans="1:44" x14ac:dyDescent="0.2">
      <c r="A851">
        <f>ROW(Source!A1063)</f>
        <v>1063</v>
      </c>
      <c r="B851">
        <v>129764243</v>
      </c>
      <c r="C851">
        <v>129764233</v>
      </c>
      <c r="D851">
        <v>37345890</v>
      </c>
      <c r="E851">
        <v>37345137</v>
      </c>
      <c r="F851">
        <v>1</v>
      </c>
      <c r="G851">
        <v>37345137</v>
      </c>
      <c r="H851">
        <v>2</v>
      </c>
      <c r="I851" t="s">
        <v>1145</v>
      </c>
      <c r="J851" t="s">
        <v>3</v>
      </c>
      <c r="K851" t="s">
        <v>1146</v>
      </c>
      <c r="L851">
        <v>1344</v>
      </c>
      <c r="N851">
        <v>1008</v>
      </c>
      <c r="O851" t="s">
        <v>1138</v>
      </c>
      <c r="P851" t="s">
        <v>1138</v>
      </c>
      <c r="Q851">
        <v>1</v>
      </c>
      <c r="X851">
        <v>13.2</v>
      </c>
      <c r="Y851">
        <v>0</v>
      </c>
      <c r="Z851">
        <v>1</v>
      </c>
      <c r="AA851">
        <v>0</v>
      </c>
      <c r="AB851">
        <v>0</v>
      </c>
      <c r="AC851">
        <v>0</v>
      </c>
      <c r="AD851">
        <v>1</v>
      </c>
      <c r="AE851">
        <v>0</v>
      </c>
      <c r="AF851" t="s">
        <v>86</v>
      </c>
      <c r="AG851">
        <v>16.5</v>
      </c>
      <c r="AH851">
        <v>2</v>
      </c>
      <c r="AI851">
        <v>129764235</v>
      </c>
      <c r="AJ851">
        <v>882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</row>
    <row r="852" spans="1:44" x14ac:dyDescent="0.2">
      <c r="A852">
        <f>ROW(Source!A1063)</f>
        <v>1063</v>
      </c>
      <c r="B852">
        <v>129764244</v>
      </c>
      <c r="C852">
        <v>129764233</v>
      </c>
      <c r="D852">
        <v>37393825</v>
      </c>
      <c r="E852">
        <v>1</v>
      </c>
      <c r="F852">
        <v>1</v>
      </c>
      <c r="G852">
        <v>37345137</v>
      </c>
      <c r="H852">
        <v>3</v>
      </c>
      <c r="I852" t="s">
        <v>1368</v>
      </c>
      <c r="J852" t="s">
        <v>1369</v>
      </c>
      <c r="K852" t="s">
        <v>1370</v>
      </c>
      <c r="L852">
        <v>1354</v>
      </c>
      <c r="N852">
        <v>1010</v>
      </c>
      <c r="O852" t="s">
        <v>250</v>
      </c>
      <c r="P852" t="s">
        <v>250</v>
      </c>
      <c r="Q852">
        <v>1</v>
      </c>
      <c r="X852">
        <v>30</v>
      </c>
      <c r="Y852">
        <v>0.75</v>
      </c>
      <c r="Z852">
        <v>0</v>
      </c>
      <c r="AA852">
        <v>0</v>
      </c>
      <c r="AB852">
        <v>0</v>
      </c>
      <c r="AC852">
        <v>0</v>
      </c>
      <c r="AD852">
        <v>1</v>
      </c>
      <c r="AE852">
        <v>0</v>
      </c>
      <c r="AF852" t="s">
        <v>3</v>
      </c>
      <c r="AG852">
        <v>30</v>
      </c>
      <c r="AH852">
        <v>2</v>
      </c>
      <c r="AI852">
        <v>129764236</v>
      </c>
      <c r="AJ852">
        <v>885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</row>
    <row r="853" spans="1:44" x14ac:dyDescent="0.2">
      <c r="A853">
        <f>ROW(Source!A1063)</f>
        <v>1063</v>
      </c>
      <c r="B853">
        <v>129764245</v>
      </c>
      <c r="C853">
        <v>129764233</v>
      </c>
      <c r="D853">
        <v>37393880</v>
      </c>
      <c r="E853">
        <v>1</v>
      </c>
      <c r="F853">
        <v>1</v>
      </c>
      <c r="G853">
        <v>37345137</v>
      </c>
      <c r="H853">
        <v>3</v>
      </c>
      <c r="I853" t="s">
        <v>1371</v>
      </c>
      <c r="J853" t="s">
        <v>1372</v>
      </c>
      <c r="K853" t="s">
        <v>1373</v>
      </c>
      <c r="L853">
        <v>1296</v>
      </c>
      <c r="N853">
        <v>1002</v>
      </c>
      <c r="O853" t="s">
        <v>870</v>
      </c>
      <c r="P853" t="s">
        <v>870</v>
      </c>
      <c r="Q853">
        <v>1</v>
      </c>
      <c r="X853">
        <v>0.93</v>
      </c>
      <c r="Y853">
        <v>34.75</v>
      </c>
      <c r="Z853">
        <v>0</v>
      </c>
      <c r="AA853">
        <v>0</v>
      </c>
      <c r="AB853">
        <v>0</v>
      </c>
      <c r="AC853">
        <v>0</v>
      </c>
      <c r="AD853">
        <v>1</v>
      </c>
      <c r="AE853">
        <v>0</v>
      </c>
      <c r="AF853" t="s">
        <v>3</v>
      </c>
      <c r="AG853">
        <v>0.93</v>
      </c>
      <c r="AH853">
        <v>2</v>
      </c>
      <c r="AI853">
        <v>129764237</v>
      </c>
      <c r="AJ853">
        <v>886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</row>
    <row r="854" spans="1:44" x14ac:dyDescent="0.2">
      <c r="A854">
        <f>ROW(Source!A1063)</f>
        <v>1063</v>
      </c>
      <c r="B854">
        <v>129764246</v>
      </c>
      <c r="C854">
        <v>129764233</v>
      </c>
      <c r="D854">
        <v>126078672</v>
      </c>
      <c r="E854">
        <v>37345137</v>
      </c>
      <c r="F854">
        <v>1</v>
      </c>
      <c r="G854">
        <v>37345137</v>
      </c>
      <c r="H854">
        <v>3</v>
      </c>
      <c r="I854" t="s">
        <v>1519</v>
      </c>
      <c r="J854" t="s">
        <v>3</v>
      </c>
      <c r="K854" t="s">
        <v>1520</v>
      </c>
      <c r="L854">
        <v>1301</v>
      </c>
      <c r="N854">
        <v>1003</v>
      </c>
      <c r="O854" t="s">
        <v>270</v>
      </c>
      <c r="P854" t="s">
        <v>270</v>
      </c>
      <c r="Q854">
        <v>1</v>
      </c>
      <c r="X854">
        <v>15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0</v>
      </c>
      <c r="AF854" t="s">
        <v>3</v>
      </c>
      <c r="AG854">
        <v>15</v>
      </c>
      <c r="AH854">
        <v>3</v>
      </c>
      <c r="AI854">
        <v>-1</v>
      </c>
      <c r="AJ854" t="s">
        <v>3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</row>
    <row r="855" spans="1:44" x14ac:dyDescent="0.2">
      <c r="A855">
        <f>ROW(Source!A1063)</f>
        <v>1063</v>
      </c>
      <c r="B855">
        <v>129764247</v>
      </c>
      <c r="C855">
        <v>129764233</v>
      </c>
      <c r="D855">
        <v>37358527</v>
      </c>
      <c r="E855">
        <v>37345137</v>
      </c>
      <c r="F855">
        <v>1</v>
      </c>
      <c r="G855">
        <v>37345137</v>
      </c>
      <c r="H855">
        <v>3</v>
      </c>
      <c r="I855" t="s">
        <v>1521</v>
      </c>
      <c r="J855" t="s">
        <v>3</v>
      </c>
      <c r="K855" t="s">
        <v>1522</v>
      </c>
      <c r="L855">
        <v>1327</v>
      </c>
      <c r="N855">
        <v>1005</v>
      </c>
      <c r="O855" t="s">
        <v>258</v>
      </c>
      <c r="P855" t="s">
        <v>258</v>
      </c>
      <c r="Q855">
        <v>1</v>
      </c>
      <c r="X855">
        <v>0.25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0</v>
      </c>
      <c r="AE855">
        <v>0</v>
      </c>
      <c r="AF855" t="s">
        <v>3</v>
      </c>
      <c r="AG855">
        <v>0.25</v>
      </c>
      <c r="AH855">
        <v>3</v>
      </c>
      <c r="AI855">
        <v>-1</v>
      </c>
      <c r="AJ855" t="s">
        <v>3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</row>
    <row r="856" spans="1:44" x14ac:dyDescent="0.2">
      <c r="A856">
        <f>ROW(Source!A1063)</f>
        <v>1063</v>
      </c>
      <c r="B856">
        <v>129764248</v>
      </c>
      <c r="C856">
        <v>129764233</v>
      </c>
      <c r="D856">
        <v>37358653</v>
      </c>
      <c r="E856">
        <v>37345137</v>
      </c>
      <c r="F856">
        <v>1</v>
      </c>
      <c r="G856">
        <v>37345137</v>
      </c>
      <c r="H856">
        <v>3</v>
      </c>
      <c r="I856" t="s">
        <v>1523</v>
      </c>
      <c r="J856" t="s">
        <v>3</v>
      </c>
      <c r="K856" t="s">
        <v>1524</v>
      </c>
      <c r="L856">
        <v>1301</v>
      </c>
      <c r="N856">
        <v>1003</v>
      </c>
      <c r="O856" t="s">
        <v>270</v>
      </c>
      <c r="P856" t="s">
        <v>270</v>
      </c>
      <c r="Q856">
        <v>1</v>
      </c>
      <c r="X856">
        <v>10.5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 t="s">
        <v>3</v>
      </c>
      <c r="AG856">
        <v>10.5</v>
      </c>
      <c r="AH856">
        <v>3</v>
      </c>
      <c r="AI856">
        <v>-1</v>
      </c>
      <c r="AJ856" t="s">
        <v>3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</row>
    <row r="857" spans="1:44" x14ac:dyDescent="0.2">
      <c r="A857">
        <f>ROW(Source!A1063)</f>
        <v>1063</v>
      </c>
      <c r="B857">
        <v>129764249</v>
      </c>
      <c r="C857">
        <v>129764233</v>
      </c>
      <c r="D857">
        <v>37360014</v>
      </c>
      <c r="E857">
        <v>37345137</v>
      </c>
      <c r="F857">
        <v>1</v>
      </c>
      <c r="G857">
        <v>37345137</v>
      </c>
      <c r="H857">
        <v>3</v>
      </c>
      <c r="I857" t="s">
        <v>1525</v>
      </c>
      <c r="J857" t="s">
        <v>3</v>
      </c>
      <c r="K857" t="s">
        <v>1526</v>
      </c>
      <c r="L857">
        <v>1296</v>
      </c>
      <c r="N857">
        <v>1002</v>
      </c>
      <c r="O857" t="s">
        <v>870</v>
      </c>
      <c r="P857" t="s">
        <v>870</v>
      </c>
      <c r="Q857">
        <v>1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 t="s">
        <v>3</v>
      </c>
      <c r="AG857">
        <v>0</v>
      </c>
      <c r="AH857">
        <v>3</v>
      </c>
      <c r="AI857">
        <v>-1</v>
      </c>
      <c r="AJ857" t="s">
        <v>3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</row>
    <row r="858" spans="1:44" x14ac:dyDescent="0.2">
      <c r="A858">
        <f>ROW(Source!A1063)</f>
        <v>1063</v>
      </c>
      <c r="B858">
        <v>129764250</v>
      </c>
      <c r="C858">
        <v>129764233</v>
      </c>
      <c r="D858">
        <v>37367082</v>
      </c>
      <c r="E858">
        <v>37345137</v>
      </c>
      <c r="F858">
        <v>1</v>
      </c>
      <c r="G858">
        <v>37345137</v>
      </c>
      <c r="H858">
        <v>3</v>
      </c>
      <c r="I858" t="s">
        <v>1136</v>
      </c>
      <c r="J858" t="s">
        <v>3</v>
      </c>
      <c r="K858" t="s">
        <v>1137</v>
      </c>
      <c r="L858">
        <v>1344</v>
      </c>
      <c r="N858">
        <v>1008</v>
      </c>
      <c r="O858" t="s">
        <v>1138</v>
      </c>
      <c r="P858" t="s">
        <v>1138</v>
      </c>
      <c r="Q858">
        <v>1</v>
      </c>
      <c r="X858">
        <v>5</v>
      </c>
      <c r="Y858">
        <v>1</v>
      </c>
      <c r="Z858">
        <v>0</v>
      </c>
      <c r="AA858">
        <v>0</v>
      </c>
      <c r="AB858">
        <v>0</v>
      </c>
      <c r="AC858">
        <v>0</v>
      </c>
      <c r="AD858">
        <v>1</v>
      </c>
      <c r="AE858">
        <v>0</v>
      </c>
      <c r="AF858" t="s">
        <v>3</v>
      </c>
      <c r="AG858">
        <v>5</v>
      </c>
      <c r="AH858">
        <v>2</v>
      </c>
      <c r="AI858">
        <v>129764241</v>
      </c>
      <c r="AJ858">
        <v>888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</row>
    <row r="859" spans="1:44" x14ac:dyDescent="0.2">
      <c r="A859">
        <f>ROW(Source!A1070)</f>
        <v>1070</v>
      </c>
      <c r="B859">
        <v>129764258</v>
      </c>
      <c r="C859">
        <v>129764254</v>
      </c>
      <c r="D859">
        <v>37345142</v>
      </c>
      <c r="E859">
        <v>37345137</v>
      </c>
      <c r="F859">
        <v>1</v>
      </c>
      <c r="G859">
        <v>37345137</v>
      </c>
      <c r="H859">
        <v>1</v>
      </c>
      <c r="I859" t="s">
        <v>1096</v>
      </c>
      <c r="J859" t="s">
        <v>3</v>
      </c>
      <c r="K859" t="s">
        <v>1097</v>
      </c>
      <c r="L859">
        <v>1191</v>
      </c>
      <c r="N859">
        <v>1013</v>
      </c>
      <c r="O859" t="s">
        <v>1098</v>
      </c>
      <c r="P859" t="s">
        <v>1098</v>
      </c>
      <c r="Q859">
        <v>1</v>
      </c>
      <c r="X859">
        <v>33.700000000000003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1</v>
      </c>
      <c r="AE859">
        <v>1</v>
      </c>
      <c r="AF859" t="s">
        <v>87</v>
      </c>
      <c r="AG859">
        <v>38.755000000000003</v>
      </c>
      <c r="AH859">
        <v>2</v>
      </c>
      <c r="AI859">
        <v>129764255</v>
      </c>
      <c r="AJ859">
        <v>889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</row>
    <row r="860" spans="1:44" x14ac:dyDescent="0.2">
      <c r="A860">
        <f>ROW(Source!A1070)</f>
        <v>1070</v>
      </c>
      <c r="B860">
        <v>129764259</v>
      </c>
      <c r="C860">
        <v>129764254</v>
      </c>
      <c r="D860">
        <v>37359091</v>
      </c>
      <c r="E860">
        <v>37345137</v>
      </c>
      <c r="F860">
        <v>1</v>
      </c>
      <c r="G860">
        <v>37345137</v>
      </c>
      <c r="H860">
        <v>3</v>
      </c>
      <c r="I860" t="s">
        <v>1527</v>
      </c>
      <c r="J860" t="s">
        <v>3</v>
      </c>
      <c r="K860" t="s">
        <v>1528</v>
      </c>
      <c r="L860">
        <v>1301</v>
      </c>
      <c r="N860">
        <v>1003</v>
      </c>
      <c r="O860" t="s">
        <v>270</v>
      </c>
      <c r="P860" t="s">
        <v>270</v>
      </c>
      <c r="Q860">
        <v>1</v>
      </c>
      <c r="X860">
        <v>100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 t="s">
        <v>3</v>
      </c>
      <c r="AG860">
        <v>100</v>
      </c>
      <c r="AH860">
        <v>3</v>
      </c>
      <c r="AI860">
        <v>-1</v>
      </c>
      <c r="AJ860" t="s">
        <v>3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</row>
    <row r="861" spans="1:44" x14ac:dyDescent="0.2">
      <c r="A861">
        <f>ROW(Source!A1071)</f>
        <v>1071</v>
      </c>
      <c r="B861">
        <v>129764258</v>
      </c>
      <c r="C861">
        <v>129764254</v>
      </c>
      <c r="D861">
        <v>37345142</v>
      </c>
      <c r="E861">
        <v>37345137</v>
      </c>
      <c r="F861">
        <v>1</v>
      </c>
      <c r="G861">
        <v>37345137</v>
      </c>
      <c r="H861">
        <v>1</v>
      </c>
      <c r="I861" t="s">
        <v>1096</v>
      </c>
      <c r="J861" t="s">
        <v>3</v>
      </c>
      <c r="K861" t="s">
        <v>1097</v>
      </c>
      <c r="L861">
        <v>1191</v>
      </c>
      <c r="N861">
        <v>1013</v>
      </c>
      <c r="O861" t="s">
        <v>1098</v>
      </c>
      <c r="P861" t="s">
        <v>1098</v>
      </c>
      <c r="Q861">
        <v>1</v>
      </c>
      <c r="X861">
        <v>33.700000000000003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1</v>
      </c>
      <c r="AE861">
        <v>1</v>
      </c>
      <c r="AF861" t="s">
        <v>87</v>
      </c>
      <c r="AG861">
        <v>38.755000000000003</v>
      </c>
      <c r="AH861">
        <v>2</v>
      </c>
      <c r="AI861">
        <v>129764255</v>
      </c>
      <c r="AJ861">
        <v>892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</row>
    <row r="862" spans="1:44" x14ac:dyDescent="0.2">
      <c r="A862">
        <f>ROW(Source!A1071)</f>
        <v>1071</v>
      </c>
      <c r="B862">
        <v>129764259</v>
      </c>
      <c r="C862">
        <v>129764254</v>
      </c>
      <c r="D862">
        <v>37359091</v>
      </c>
      <c r="E862">
        <v>37345137</v>
      </c>
      <c r="F862">
        <v>1</v>
      </c>
      <c r="G862">
        <v>37345137</v>
      </c>
      <c r="H862">
        <v>3</v>
      </c>
      <c r="I862" t="s">
        <v>1527</v>
      </c>
      <c r="J862" t="s">
        <v>3</v>
      </c>
      <c r="K862" t="s">
        <v>1528</v>
      </c>
      <c r="L862">
        <v>1301</v>
      </c>
      <c r="N862">
        <v>1003</v>
      </c>
      <c r="O862" t="s">
        <v>270</v>
      </c>
      <c r="P862" t="s">
        <v>270</v>
      </c>
      <c r="Q862">
        <v>1</v>
      </c>
      <c r="X862">
        <v>100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0</v>
      </c>
      <c r="AE862">
        <v>0</v>
      </c>
      <c r="AF862" t="s">
        <v>3</v>
      </c>
      <c r="AG862">
        <v>100</v>
      </c>
      <c r="AH862">
        <v>3</v>
      </c>
      <c r="AI862">
        <v>-1</v>
      </c>
      <c r="AJ862" t="s">
        <v>3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</row>
    <row r="863" spans="1:44" x14ac:dyDescent="0.2">
      <c r="A863">
        <f>ROW(Source!A1076)</f>
        <v>1076</v>
      </c>
      <c r="B863">
        <v>129764276</v>
      </c>
      <c r="C863">
        <v>129764262</v>
      </c>
      <c r="D863">
        <v>37345142</v>
      </c>
      <c r="E863">
        <v>37345137</v>
      </c>
      <c r="F863">
        <v>1</v>
      </c>
      <c r="G863">
        <v>37345137</v>
      </c>
      <c r="H863">
        <v>1</v>
      </c>
      <c r="I863" t="s">
        <v>1096</v>
      </c>
      <c r="J863" t="s">
        <v>3</v>
      </c>
      <c r="K863" t="s">
        <v>1097</v>
      </c>
      <c r="L863">
        <v>1191</v>
      </c>
      <c r="N863">
        <v>1013</v>
      </c>
      <c r="O863" t="s">
        <v>1098</v>
      </c>
      <c r="P863" t="s">
        <v>1098</v>
      </c>
      <c r="Q863">
        <v>1</v>
      </c>
      <c r="X863">
        <v>43.3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1</v>
      </c>
      <c r="AE863">
        <v>1</v>
      </c>
      <c r="AF863" t="s">
        <v>87</v>
      </c>
      <c r="AG863">
        <v>49.794999999999995</v>
      </c>
      <c r="AH863">
        <v>2</v>
      </c>
      <c r="AI863">
        <v>129764263</v>
      </c>
      <c r="AJ863">
        <v>895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</row>
    <row r="864" spans="1:44" x14ac:dyDescent="0.2">
      <c r="A864">
        <f>ROW(Source!A1076)</f>
        <v>1076</v>
      </c>
      <c r="B864">
        <v>129764277</v>
      </c>
      <c r="C864">
        <v>129764262</v>
      </c>
      <c r="D864">
        <v>37418158</v>
      </c>
      <c r="E864">
        <v>1</v>
      </c>
      <c r="F864">
        <v>1</v>
      </c>
      <c r="G864">
        <v>37345137</v>
      </c>
      <c r="H864">
        <v>2</v>
      </c>
      <c r="I864" t="s">
        <v>1374</v>
      </c>
      <c r="J864" t="s">
        <v>1375</v>
      </c>
      <c r="K864" t="s">
        <v>1376</v>
      </c>
      <c r="L864">
        <v>1367</v>
      </c>
      <c r="N864">
        <v>1011</v>
      </c>
      <c r="O864" t="s">
        <v>1102</v>
      </c>
      <c r="P864" t="s">
        <v>1102</v>
      </c>
      <c r="Q864">
        <v>1</v>
      </c>
      <c r="X864">
        <v>1.69</v>
      </c>
      <c r="Y864">
        <v>0</v>
      </c>
      <c r="Z864">
        <v>4.8600000000000003</v>
      </c>
      <c r="AA864">
        <v>0</v>
      </c>
      <c r="AB864">
        <v>0</v>
      </c>
      <c r="AC864">
        <v>0</v>
      </c>
      <c r="AD864">
        <v>1</v>
      </c>
      <c r="AE864">
        <v>0</v>
      </c>
      <c r="AF864" t="s">
        <v>86</v>
      </c>
      <c r="AG864">
        <v>2.1124999999999998</v>
      </c>
      <c r="AH864">
        <v>2</v>
      </c>
      <c r="AI864">
        <v>129764264</v>
      </c>
      <c r="AJ864">
        <v>896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</row>
    <row r="865" spans="1:44" x14ac:dyDescent="0.2">
      <c r="A865">
        <f>ROW(Source!A1076)</f>
        <v>1076</v>
      </c>
      <c r="B865">
        <v>129764278</v>
      </c>
      <c r="C865">
        <v>129764262</v>
      </c>
      <c r="D865">
        <v>37418445</v>
      </c>
      <c r="E865">
        <v>1</v>
      </c>
      <c r="F865">
        <v>1</v>
      </c>
      <c r="G865">
        <v>37345137</v>
      </c>
      <c r="H865">
        <v>2</v>
      </c>
      <c r="I865" t="s">
        <v>1189</v>
      </c>
      <c r="J865" t="s">
        <v>1190</v>
      </c>
      <c r="K865" t="s">
        <v>1191</v>
      </c>
      <c r="L865">
        <v>1367</v>
      </c>
      <c r="N865">
        <v>1011</v>
      </c>
      <c r="O865" t="s">
        <v>1102</v>
      </c>
      <c r="P865" t="s">
        <v>1102</v>
      </c>
      <c r="Q865">
        <v>1</v>
      </c>
      <c r="X865">
        <v>0.79</v>
      </c>
      <c r="Y865">
        <v>0</v>
      </c>
      <c r="Z865">
        <v>76.81</v>
      </c>
      <c r="AA865">
        <v>14.36</v>
      </c>
      <c r="AB865">
        <v>0</v>
      </c>
      <c r="AC865">
        <v>0</v>
      </c>
      <c r="AD865">
        <v>1</v>
      </c>
      <c r="AE865">
        <v>0</v>
      </c>
      <c r="AF865" t="s">
        <v>86</v>
      </c>
      <c r="AG865">
        <v>0.98750000000000004</v>
      </c>
      <c r="AH865">
        <v>2</v>
      </c>
      <c r="AI865">
        <v>129764265</v>
      </c>
      <c r="AJ865">
        <v>897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</row>
    <row r="866" spans="1:44" x14ac:dyDescent="0.2">
      <c r="A866">
        <f>ROW(Source!A1076)</f>
        <v>1076</v>
      </c>
      <c r="B866">
        <v>129764279</v>
      </c>
      <c r="C866">
        <v>129764262</v>
      </c>
      <c r="D866">
        <v>37417692</v>
      </c>
      <c r="E866">
        <v>1</v>
      </c>
      <c r="F866">
        <v>1</v>
      </c>
      <c r="G866">
        <v>37345137</v>
      </c>
      <c r="H866">
        <v>2</v>
      </c>
      <c r="I866" t="s">
        <v>1127</v>
      </c>
      <c r="J866" t="s">
        <v>1128</v>
      </c>
      <c r="K866" t="s">
        <v>1129</v>
      </c>
      <c r="L866">
        <v>1367</v>
      </c>
      <c r="N866">
        <v>1011</v>
      </c>
      <c r="O866" t="s">
        <v>1102</v>
      </c>
      <c r="P866" t="s">
        <v>1102</v>
      </c>
      <c r="Q866">
        <v>1</v>
      </c>
      <c r="X866">
        <v>0.06</v>
      </c>
      <c r="Y866">
        <v>0</v>
      </c>
      <c r="Z866">
        <v>190.93</v>
      </c>
      <c r="AA866">
        <v>18.149999999999999</v>
      </c>
      <c r="AB866">
        <v>0</v>
      </c>
      <c r="AC866">
        <v>0</v>
      </c>
      <c r="AD866">
        <v>1</v>
      </c>
      <c r="AE866">
        <v>0</v>
      </c>
      <c r="AF866" t="s">
        <v>86</v>
      </c>
      <c r="AG866">
        <v>7.4999999999999997E-2</v>
      </c>
      <c r="AH866">
        <v>2</v>
      </c>
      <c r="AI866">
        <v>129764266</v>
      </c>
      <c r="AJ866">
        <v>898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</row>
    <row r="867" spans="1:44" x14ac:dyDescent="0.2">
      <c r="A867">
        <f>ROW(Source!A1076)</f>
        <v>1076</v>
      </c>
      <c r="B867">
        <v>129764280</v>
      </c>
      <c r="C867">
        <v>129764262</v>
      </c>
      <c r="D867">
        <v>37393552</v>
      </c>
      <c r="E867">
        <v>1</v>
      </c>
      <c r="F867">
        <v>1</v>
      </c>
      <c r="G867">
        <v>37345137</v>
      </c>
      <c r="H867">
        <v>3</v>
      </c>
      <c r="I867" t="s">
        <v>348</v>
      </c>
      <c r="J867" t="s">
        <v>350</v>
      </c>
      <c r="K867" t="s">
        <v>349</v>
      </c>
      <c r="L867">
        <v>1339</v>
      </c>
      <c r="N867">
        <v>1007</v>
      </c>
      <c r="O867" t="s">
        <v>94</v>
      </c>
      <c r="P867" t="s">
        <v>94</v>
      </c>
      <c r="Q867">
        <v>1</v>
      </c>
      <c r="X867">
        <v>0.36667</v>
      </c>
      <c r="Y867">
        <v>7.07</v>
      </c>
      <c r="Z867">
        <v>0</v>
      </c>
      <c r="AA867">
        <v>0</v>
      </c>
      <c r="AB867">
        <v>0</v>
      </c>
      <c r="AC867">
        <v>0</v>
      </c>
      <c r="AD867">
        <v>1</v>
      </c>
      <c r="AE867">
        <v>0</v>
      </c>
      <c r="AF867" t="s">
        <v>3</v>
      </c>
      <c r="AG867">
        <v>0.36667</v>
      </c>
      <c r="AH867">
        <v>2</v>
      </c>
      <c r="AI867">
        <v>129764267</v>
      </c>
      <c r="AJ867">
        <v>899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</row>
    <row r="868" spans="1:44" x14ac:dyDescent="0.2">
      <c r="A868">
        <f>ROW(Source!A1076)</f>
        <v>1076</v>
      </c>
      <c r="B868">
        <v>129764281</v>
      </c>
      <c r="C868">
        <v>129764262</v>
      </c>
      <c r="D868">
        <v>37395666</v>
      </c>
      <c r="E868">
        <v>1</v>
      </c>
      <c r="F868">
        <v>1</v>
      </c>
      <c r="G868">
        <v>37345137</v>
      </c>
      <c r="H868">
        <v>3</v>
      </c>
      <c r="I868" t="s">
        <v>1377</v>
      </c>
      <c r="J868" t="s">
        <v>1378</v>
      </c>
      <c r="K868" t="s">
        <v>1379</v>
      </c>
      <c r="L868">
        <v>1346</v>
      </c>
      <c r="N868">
        <v>1009</v>
      </c>
      <c r="O868" t="s">
        <v>369</v>
      </c>
      <c r="P868" t="s">
        <v>369</v>
      </c>
      <c r="Q868">
        <v>1</v>
      </c>
      <c r="X868">
        <v>0.02</v>
      </c>
      <c r="Y868">
        <v>38</v>
      </c>
      <c r="Z868">
        <v>0</v>
      </c>
      <c r="AA868">
        <v>0</v>
      </c>
      <c r="AB868">
        <v>0</v>
      </c>
      <c r="AC868">
        <v>0</v>
      </c>
      <c r="AD868">
        <v>1</v>
      </c>
      <c r="AE868">
        <v>0</v>
      </c>
      <c r="AF868" t="s">
        <v>3</v>
      </c>
      <c r="AG868">
        <v>0.02</v>
      </c>
      <c r="AH868">
        <v>2</v>
      </c>
      <c r="AI868">
        <v>129764268</v>
      </c>
      <c r="AJ868">
        <v>900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</row>
    <row r="869" spans="1:44" x14ac:dyDescent="0.2">
      <c r="A869">
        <f>ROW(Source!A1076)</f>
        <v>1076</v>
      </c>
      <c r="B869">
        <v>129764282</v>
      </c>
      <c r="C869">
        <v>129764262</v>
      </c>
      <c r="D869">
        <v>37393685</v>
      </c>
      <c r="E869">
        <v>1</v>
      </c>
      <c r="F869">
        <v>1</v>
      </c>
      <c r="G869">
        <v>37345137</v>
      </c>
      <c r="H869">
        <v>3</v>
      </c>
      <c r="I869" t="s">
        <v>1359</v>
      </c>
      <c r="J869" t="s">
        <v>1360</v>
      </c>
      <c r="K869" t="s">
        <v>1361</v>
      </c>
      <c r="L869">
        <v>1348</v>
      </c>
      <c r="N869">
        <v>1009</v>
      </c>
      <c r="O869" t="s">
        <v>114</v>
      </c>
      <c r="P869" t="s">
        <v>114</v>
      </c>
      <c r="Q869">
        <v>1000</v>
      </c>
      <c r="X869">
        <v>9.9000000000000001E-6</v>
      </c>
      <c r="Y869">
        <v>3246.35</v>
      </c>
      <c r="Z869">
        <v>0</v>
      </c>
      <c r="AA869">
        <v>0</v>
      </c>
      <c r="AB869">
        <v>0</v>
      </c>
      <c r="AC869">
        <v>0</v>
      </c>
      <c r="AD869">
        <v>1</v>
      </c>
      <c r="AE869">
        <v>0</v>
      </c>
      <c r="AF869" t="s">
        <v>3</v>
      </c>
      <c r="AG869">
        <v>9.9000000000000001E-6</v>
      </c>
      <c r="AH869">
        <v>2</v>
      </c>
      <c r="AI869">
        <v>129764269</v>
      </c>
      <c r="AJ869">
        <v>901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</row>
    <row r="870" spans="1:44" x14ac:dyDescent="0.2">
      <c r="A870">
        <f>ROW(Source!A1076)</f>
        <v>1076</v>
      </c>
      <c r="B870">
        <v>129764283</v>
      </c>
      <c r="C870">
        <v>129764262</v>
      </c>
      <c r="D870">
        <v>37393471</v>
      </c>
      <c r="E870">
        <v>1</v>
      </c>
      <c r="F870">
        <v>1</v>
      </c>
      <c r="G870">
        <v>37345137</v>
      </c>
      <c r="H870">
        <v>3</v>
      </c>
      <c r="I870" t="s">
        <v>1380</v>
      </c>
      <c r="J870" t="s">
        <v>1381</v>
      </c>
      <c r="K870" t="s">
        <v>1382</v>
      </c>
      <c r="L870">
        <v>1339</v>
      </c>
      <c r="N870">
        <v>1007</v>
      </c>
      <c r="O870" t="s">
        <v>94</v>
      </c>
      <c r="P870" t="s">
        <v>94</v>
      </c>
      <c r="Q870">
        <v>1</v>
      </c>
      <c r="X870">
        <v>0.38</v>
      </c>
      <c r="Y870">
        <v>53.57</v>
      </c>
      <c r="Z870">
        <v>0</v>
      </c>
      <c r="AA870">
        <v>0</v>
      </c>
      <c r="AB870">
        <v>0</v>
      </c>
      <c r="AC870">
        <v>0</v>
      </c>
      <c r="AD870">
        <v>1</v>
      </c>
      <c r="AE870">
        <v>0</v>
      </c>
      <c r="AF870" t="s">
        <v>3</v>
      </c>
      <c r="AG870">
        <v>0.38</v>
      </c>
      <c r="AH870">
        <v>2</v>
      </c>
      <c r="AI870">
        <v>129764270</v>
      </c>
      <c r="AJ870">
        <v>902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</row>
    <row r="871" spans="1:44" x14ac:dyDescent="0.2">
      <c r="A871">
        <f>ROW(Source!A1076)</f>
        <v>1076</v>
      </c>
      <c r="B871">
        <v>129764284</v>
      </c>
      <c r="C871">
        <v>129764262</v>
      </c>
      <c r="D871">
        <v>37393799</v>
      </c>
      <c r="E871">
        <v>1</v>
      </c>
      <c r="F871">
        <v>1</v>
      </c>
      <c r="G871">
        <v>37345137</v>
      </c>
      <c r="H871">
        <v>3</v>
      </c>
      <c r="I871" t="s">
        <v>590</v>
      </c>
      <c r="J871" t="s">
        <v>592</v>
      </c>
      <c r="K871" t="s">
        <v>591</v>
      </c>
      <c r="L871">
        <v>1339</v>
      </c>
      <c r="N871">
        <v>1007</v>
      </c>
      <c r="O871" t="s">
        <v>94</v>
      </c>
      <c r="P871" t="s">
        <v>94</v>
      </c>
      <c r="Q871">
        <v>1</v>
      </c>
      <c r="X871">
        <v>0.64600000000000002</v>
      </c>
      <c r="Y871">
        <v>5.91</v>
      </c>
      <c r="Z871">
        <v>0</v>
      </c>
      <c r="AA871">
        <v>0</v>
      </c>
      <c r="AB871">
        <v>0</v>
      </c>
      <c r="AC871">
        <v>0</v>
      </c>
      <c r="AD871">
        <v>1</v>
      </c>
      <c r="AE871">
        <v>0</v>
      </c>
      <c r="AF871" t="s">
        <v>3</v>
      </c>
      <c r="AG871">
        <v>0.64600000000000002</v>
      </c>
      <c r="AH871">
        <v>2</v>
      </c>
      <c r="AI871">
        <v>129764271</v>
      </c>
      <c r="AJ871">
        <v>903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</row>
    <row r="872" spans="1:44" x14ac:dyDescent="0.2">
      <c r="A872">
        <f>ROW(Source!A1076)</f>
        <v>1076</v>
      </c>
      <c r="B872">
        <v>129764285</v>
      </c>
      <c r="C872">
        <v>129764262</v>
      </c>
      <c r="D872">
        <v>37393883</v>
      </c>
      <c r="E872">
        <v>1</v>
      </c>
      <c r="F872">
        <v>1</v>
      </c>
      <c r="G872">
        <v>37345137</v>
      </c>
      <c r="H872">
        <v>3</v>
      </c>
      <c r="I872" t="s">
        <v>1383</v>
      </c>
      <c r="J872" t="s">
        <v>1384</v>
      </c>
      <c r="K872" t="s">
        <v>1385</v>
      </c>
      <c r="L872">
        <v>1348</v>
      </c>
      <c r="N872">
        <v>1009</v>
      </c>
      <c r="O872" t="s">
        <v>114</v>
      </c>
      <c r="P872" t="s">
        <v>114</v>
      </c>
      <c r="Q872">
        <v>1000</v>
      </c>
      <c r="X872">
        <v>1.0399999999999999E-3</v>
      </c>
      <c r="Y872">
        <v>16222.39</v>
      </c>
      <c r="Z872">
        <v>0</v>
      </c>
      <c r="AA872">
        <v>0</v>
      </c>
      <c r="AB872">
        <v>0</v>
      </c>
      <c r="AC872">
        <v>0</v>
      </c>
      <c r="AD872">
        <v>1</v>
      </c>
      <c r="AE872">
        <v>0</v>
      </c>
      <c r="AF872" t="s">
        <v>3</v>
      </c>
      <c r="AG872">
        <v>1.0399999999999999E-3</v>
      </c>
      <c r="AH872">
        <v>2</v>
      </c>
      <c r="AI872">
        <v>129764272</v>
      </c>
      <c r="AJ872">
        <v>904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</row>
    <row r="873" spans="1:44" x14ac:dyDescent="0.2">
      <c r="A873">
        <f>ROW(Source!A1076)</f>
        <v>1076</v>
      </c>
      <c r="B873">
        <v>129764286</v>
      </c>
      <c r="C873">
        <v>129764262</v>
      </c>
      <c r="D873">
        <v>37394085</v>
      </c>
      <c r="E873">
        <v>1</v>
      </c>
      <c r="F873">
        <v>1</v>
      </c>
      <c r="G873">
        <v>37345137</v>
      </c>
      <c r="H873">
        <v>3</v>
      </c>
      <c r="I873" t="s">
        <v>1386</v>
      </c>
      <c r="J873" t="s">
        <v>1387</v>
      </c>
      <c r="K873" t="s">
        <v>1388</v>
      </c>
      <c r="L873">
        <v>1346</v>
      </c>
      <c r="N873">
        <v>1009</v>
      </c>
      <c r="O873" t="s">
        <v>369</v>
      </c>
      <c r="P873" t="s">
        <v>369</v>
      </c>
      <c r="Q873">
        <v>1</v>
      </c>
      <c r="X873">
        <v>0.12</v>
      </c>
      <c r="Y873">
        <v>20.190000000000001</v>
      </c>
      <c r="Z873">
        <v>0</v>
      </c>
      <c r="AA873">
        <v>0</v>
      </c>
      <c r="AB873">
        <v>0</v>
      </c>
      <c r="AC873">
        <v>0</v>
      </c>
      <c r="AD873">
        <v>1</v>
      </c>
      <c r="AE873">
        <v>0</v>
      </c>
      <c r="AF873" t="s">
        <v>3</v>
      </c>
      <c r="AG873">
        <v>0.12</v>
      </c>
      <c r="AH873">
        <v>2</v>
      </c>
      <c r="AI873">
        <v>129764273</v>
      </c>
      <c r="AJ873">
        <v>905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</row>
    <row r="874" spans="1:44" x14ac:dyDescent="0.2">
      <c r="A874">
        <f>ROW(Source!A1076)</f>
        <v>1076</v>
      </c>
      <c r="B874">
        <v>129764287</v>
      </c>
      <c r="C874">
        <v>129764262</v>
      </c>
      <c r="D874">
        <v>37394293</v>
      </c>
      <c r="E874">
        <v>1</v>
      </c>
      <c r="F874">
        <v>1</v>
      </c>
      <c r="G874">
        <v>37345137</v>
      </c>
      <c r="H874">
        <v>3</v>
      </c>
      <c r="I874" t="s">
        <v>1389</v>
      </c>
      <c r="J874" t="s">
        <v>1390</v>
      </c>
      <c r="K874" t="s">
        <v>1391</v>
      </c>
      <c r="L874">
        <v>1348</v>
      </c>
      <c r="N874">
        <v>1009</v>
      </c>
      <c r="O874" t="s">
        <v>114</v>
      </c>
      <c r="P874" t="s">
        <v>114</v>
      </c>
      <c r="Q874">
        <v>1000</v>
      </c>
      <c r="X874">
        <v>4.0000000000000002E-4</v>
      </c>
      <c r="Y874">
        <v>35451.18</v>
      </c>
      <c r="Z874">
        <v>0</v>
      </c>
      <c r="AA874">
        <v>0</v>
      </c>
      <c r="AB874">
        <v>0</v>
      </c>
      <c r="AC874">
        <v>0</v>
      </c>
      <c r="AD874">
        <v>1</v>
      </c>
      <c r="AE874">
        <v>0</v>
      </c>
      <c r="AF874" t="s">
        <v>3</v>
      </c>
      <c r="AG874">
        <v>4.0000000000000002E-4</v>
      </c>
      <c r="AH874">
        <v>2</v>
      </c>
      <c r="AI874">
        <v>129764274</v>
      </c>
      <c r="AJ874">
        <v>906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</row>
    <row r="875" spans="1:44" x14ac:dyDescent="0.2">
      <c r="A875">
        <f>ROW(Source!A1076)</f>
        <v>1076</v>
      </c>
      <c r="B875">
        <v>129764288</v>
      </c>
      <c r="C875">
        <v>129764262</v>
      </c>
      <c r="D875">
        <v>37360556</v>
      </c>
      <c r="E875">
        <v>37345137</v>
      </c>
      <c r="F875">
        <v>1</v>
      </c>
      <c r="G875">
        <v>37345137</v>
      </c>
      <c r="H875">
        <v>3</v>
      </c>
      <c r="I875" t="s">
        <v>1509</v>
      </c>
      <c r="J875" t="s">
        <v>3</v>
      </c>
      <c r="K875" t="s">
        <v>1510</v>
      </c>
      <c r="L875">
        <v>1346</v>
      </c>
      <c r="N875">
        <v>1009</v>
      </c>
      <c r="O875" t="s">
        <v>369</v>
      </c>
      <c r="P875" t="s">
        <v>369</v>
      </c>
      <c r="Q875">
        <v>1</v>
      </c>
      <c r="X875">
        <v>0</v>
      </c>
      <c r="Y875">
        <v>0</v>
      </c>
      <c r="Z875">
        <v>0</v>
      </c>
      <c r="AA875">
        <v>0</v>
      </c>
      <c r="AB875">
        <v>0</v>
      </c>
      <c r="AC875">
        <v>0</v>
      </c>
      <c r="AD875">
        <v>0</v>
      </c>
      <c r="AE875">
        <v>0</v>
      </c>
      <c r="AF875" t="s">
        <v>3</v>
      </c>
      <c r="AG875">
        <v>0</v>
      </c>
      <c r="AH875">
        <v>3</v>
      </c>
      <c r="AI875">
        <v>-1</v>
      </c>
      <c r="AJ875" t="s">
        <v>3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</row>
    <row r="876" spans="1:44" x14ac:dyDescent="0.2">
      <c r="A876">
        <f>ROW(Source!A1076)</f>
        <v>1076</v>
      </c>
      <c r="B876">
        <v>129764289</v>
      </c>
      <c r="C876">
        <v>129764262</v>
      </c>
      <c r="D876">
        <v>37360473</v>
      </c>
      <c r="E876">
        <v>37345137</v>
      </c>
      <c r="F876">
        <v>1</v>
      </c>
      <c r="G876">
        <v>37345137</v>
      </c>
      <c r="H876">
        <v>3</v>
      </c>
      <c r="I876" t="s">
        <v>1515</v>
      </c>
      <c r="J876" t="s">
        <v>3</v>
      </c>
      <c r="K876" t="s">
        <v>1516</v>
      </c>
      <c r="L876">
        <v>1354</v>
      </c>
      <c r="N876">
        <v>1010</v>
      </c>
      <c r="O876" t="s">
        <v>250</v>
      </c>
      <c r="P876" t="s">
        <v>250</v>
      </c>
      <c r="Q876">
        <v>1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0</v>
      </c>
      <c r="AE876">
        <v>0</v>
      </c>
      <c r="AF876" t="s">
        <v>3</v>
      </c>
      <c r="AG876">
        <v>0</v>
      </c>
      <c r="AH876">
        <v>3</v>
      </c>
      <c r="AI876">
        <v>-1</v>
      </c>
      <c r="AJ876" t="s">
        <v>3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</row>
    <row r="877" spans="1:44" x14ac:dyDescent="0.2">
      <c r="A877">
        <f>ROW(Source!A1076)</f>
        <v>1076</v>
      </c>
      <c r="B877">
        <v>129764290</v>
      </c>
      <c r="C877">
        <v>129764262</v>
      </c>
      <c r="D877">
        <v>37360856</v>
      </c>
      <c r="E877">
        <v>37345137</v>
      </c>
      <c r="F877">
        <v>1</v>
      </c>
      <c r="G877">
        <v>37345137</v>
      </c>
      <c r="H877">
        <v>3</v>
      </c>
      <c r="I877" t="s">
        <v>1529</v>
      </c>
      <c r="J877" t="s">
        <v>3</v>
      </c>
      <c r="K877" t="s">
        <v>1530</v>
      </c>
      <c r="L877">
        <v>1301</v>
      </c>
      <c r="N877">
        <v>1003</v>
      </c>
      <c r="O877" t="s">
        <v>270</v>
      </c>
      <c r="P877" t="s">
        <v>270</v>
      </c>
      <c r="Q877">
        <v>1</v>
      </c>
      <c r="X877">
        <v>100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 t="s">
        <v>3</v>
      </c>
      <c r="AG877">
        <v>100</v>
      </c>
      <c r="AH877">
        <v>3</v>
      </c>
      <c r="AI877">
        <v>-1</v>
      </c>
      <c r="AJ877" t="s">
        <v>3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</row>
    <row r="878" spans="1:44" x14ac:dyDescent="0.2">
      <c r="A878">
        <f>ROW(Source!A1077)</f>
        <v>1077</v>
      </c>
      <c r="B878">
        <v>129764276</v>
      </c>
      <c r="C878">
        <v>129764262</v>
      </c>
      <c r="D878">
        <v>37345142</v>
      </c>
      <c r="E878">
        <v>37345137</v>
      </c>
      <c r="F878">
        <v>1</v>
      </c>
      <c r="G878">
        <v>37345137</v>
      </c>
      <c r="H878">
        <v>1</v>
      </c>
      <c r="I878" t="s">
        <v>1096</v>
      </c>
      <c r="J878" t="s">
        <v>3</v>
      </c>
      <c r="K878" t="s">
        <v>1097</v>
      </c>
      <c r="L878">
        <v>1191</v>
      </c>
      <c r="N878">
        <v>1013</v>
      </c>
      <c r="O878" t="s">
        <v>1098</v>
      </c>
      <c r="P878" t="s">
        <v>1098</v>
      </c>
      <c r="Q878">
        <v>1</v>
      </c>
      <c r="X878">
        <v>43.3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1</v>
      </c>
      <c r="AE878">
        <v>1</v>
      </c>
      <c r="AF878" t="s">
        <v>87</v>
      </c>
      <c r="AG878">
        <v>49.794999999999995</v>
      </c>
      <c r="AH878">
        <v>2</v>
      </c>
      <c r="AI878">
        <v>129764263</v>
      </c>
      <c r="AJ878">
        <v>908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</row>
    <row r="879" spans="1:44" x14ac:dyDescent="0.2">
      <c r="A879">
        <f>ROW(Source!A1077)</f>
        <v>1077</v>
      </c>
      <c r="B879">
        <v>129764277</v>
      </c>
      <c r="C879">
        <v>129764262</v>
      </c>
      <c r="D879">
        <v>37418158</v>
      </c>
      <c r="E879">
        <v>1</v>
      </c>
      <c r="F879">
        <v>1</v>
      </c>
      <c r="G879">
        <v>37345137</v>
      </c>
      <c r="H879">
        <v>2</v>
      </c>
      <c r="I879" t="s">
        <v>1374</v>
      </c>
      <c r="J879" t="s">
        <v>1375</v>
      </c>
      <c r="K879" t="s">
        <v>1376</v>
      </c>
      <c r="L879">
        <v>1367</v>
      </c>
      <c r="N879">
        <v>1011</v>
      </c>
      <c r="O879" t="s">
        <v>1102</v>
      </c>
      <c r="P879" t="s">
        <v>1102</v>
      </c>
      <c r="Q879">
        <v>1</v>
      </c>
      <c r="X879">
        <v>1.69</v>
      </c>
      <c r="Y879">
        <v>0</v>
      </c>
      <c r="Z879">
        <v>4.8600000000000003</v>
      </c>
      <c r="AA879">
        <v>0</v>
      </c>
      <c r="AB879">
        <v>0</v>
      </c>
      <c r="AC879">
        <v>0</v>
      </c>
      <c r="AD879">
        <v>1</v>
      </c>
      <c r="AE879">
        <v>0</v>
      </c>
      <c r="AF879" t="s">
        <v>86</v>
      </c>
      <c r="AG879">
        <v>2.1124999999999998</v>
      </c>
      <c r="AH879">
        <v>2</v>
      </c>
      <c r="AI879">
        <v>129764264</v>
      </c>
      <c r="AJ879">
        <v>909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</row>
    <row r="880" spans="1:44" x14ac:dyDescent="0.2">
      <c r="A880">
        <f>ROW(Source!A1077)</f>
        <v>1077</v>
      </c>
      <c r="B880">
        <v>129764278</v>
      </c>
      <c r="C880">
        <v>129764262</v>
      </c>
      <c r="D880">
        <v>37418445</v>
      </c>
      <c r="E880">
        <v>1</v>
      </c>
      <c r="F880">
        <v>1</v>
      </c>
      <c r="G880">
        <v>37345137</v>
      </c>
      <c r="H880">
        <v>2</v>
      </c>
      <c r="I880" t="s">
        <v>1189</v>
      </c>
      <c r="J880" t="s">
        <v>1190</v>
      </c>
      <c r="K880" t="s">
        <v>1191</v>
      </c>
      <c r="L880">
        <v>1367</v>
      </c>
      <c r="N880">
        <v>1011</v>
      </c>
      <c r="O880" t="s">
        <v>1102</v>
      </c>
      <c r="P880" t="s">
        <v>1102</v>
      </c>
      <c r="Q880">
        <v>1</v>
      </c>
      <c r="X880">
        <v>0.79</v>
      </c>
      <c r="Y880">
        <v>0</v>
      </c>
      <c r="Z880">
        <v>76.81</v>
      </c>
      <c r="AA880">
        <v>14.36</v>
      </c>
      <c r="AB880">
        <v>0</v>
      </c>
      <c r="AC880">
        <v>0</v>
      </c>
      <c r="AD880">
        <v>1</v>
      </c>
      <c r="AE880">
        <v>0</v>
      </c>
      <c r="AF880" t="s">
        <v>86</v>
      </c>
      <c r="AG880">
        <v>0.98750000000000004</v>
      </c>
      <c r="AH880">
        <v>2</v>
      </c>
      <c r="AI880">
        <v>129764265</v>
      </c>
      <c r="AJ880">
        <v>910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</row>
    <row r="881" spans="1:44" x14ac:dyDescent="0.2">
      <c r="A881">
        <f>ROW(Source!A1077)</f>
        <v>1077</v>
      </c>
      <c r="B881">
        <v>129764279</v>
      </c>
      <c r="C881">
        <v>129764262</v>
      </c>
      <c r="D881">
        <v>37417692</v>
      </c>
      <c r="E881">
        <v>1</v>
      </c>
      <c r="F881">
        <v>1</v>
      </c>
      <c r="G881">
        <v>37345137</v>
      </c>
      <c r="H881">
        <v>2</v>
      </c>
      <c r="I881" t="s">
        <v>1127</v>
      </c>
      <c r="J881" t="s">
        <v>1128</v>
      </c>
      <c r="K881" t="s">
        <v>1129</v>
      </c>
      <c r="L881">
        <v>1367</v>
      </c>
      <c r="N881">
        <v>1011</v>
      </c>
      <c r="O881" t="s">
        <v>1102</v>
      </c>
      <c r="P881" t="s">
        <v>1102</v>
      </c>
      <c r="Q881">
        <v>1</v>
      </c>
      <c r="X881">
        <v>0.06</v>
      </c>
      <c r="Y881">
        <v>0</v>
      </c>
      <c r="Z881">
        <v>190.93</v>
      </c>
      <c r="AA881">
        <v>18.149999999999999</v>
      </c>
      <c r="AB881">
        <v>0</v>
      </c>
      <c r="AC881">
        <v>0</v>
      </c>
      <c r="AD881">
        <v>1</v>
      </c>
      <c r="AE881">
        <v>0</v>
      </c>
      <c r="AF881" t="s">
        <v>86</v>
      </c>
      <c r="AG881">
        <v>7.4999999999999997E-2</v>
      </c>
      <c r="AH881">
        <v>2</v>
      </c>
      <c r="AI881">
        <v>129764266</v>
      </c>
      <c r="AJ881">
        <v>911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</row>
    <row r="882" spans="1:44" x14ac:dyDescent="0.2">
      <c r="A882">
        <f>ROW(Source!A1077)</f>
        <v>1077</v>
      </c>
      <c r="B882">
        <v>129764280</v>
      </c>
      <c r="C882">
        <v>129764262</v>
      </c>
      <c r="D882">
        <v>37393552</v>
      </c>
      <c r="E882">
        <v>1</v>
      </c>
      <c r="F882">
        <v>1</v>
      </c>
      <c r="G882">
        <v>37345137</v>
      </c>
      <c r="H882">
        <v>3</v>
      </c>
      <c r="I882" t="s">
        <v>348</v>
      </c>
      <c r="J882" t="s">
        <v>350</v>
      </c>
      <c r="K882" t="s">
        <v>349</v>
      </c>
      <c r="L882">
        <v>1339</v>
      </c>
      <c r="N882">
        <v>1007</v>
      </c>
      <c r="O882" t="s">
        <v>94</v>
      </c>
      <c r="P882" t="s">
        <v>94</v>
      </c>
      <c r="Q882">
        <v>1</v>
      </c>
      <c r="X882">
        <v>0.36667</v>
      </c>
      <c r="Y882">
        <v>7.07</v>
      </c>
      <c r="Z882">
        <v>0</v>
      </c>
      <c r="AA882">
        <v>0</v>
      </c>
      <c r="AB882">
        <v>0</v>
      </c>
      <c r="AC882">
        <v>0</v>
      </c>
      <c r="AD882">
        <v>1</v>
      </c>
      <c r="AE882">
        <v>0</v>
      </c>
      <c r="AF882" t="s">
        <v>3</v>
      </c>
      <c r="AG882">
        <v>0.36667</v>
      </c>
      <c r="AH882">
        <v>2</v>
      </c>
      <c r="AI882">
        <v>129764267</v>
      </c>
      <c r="AJ882">
        <v>912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</row>
    <row r="883" spans="1:44" x14ac:dyDescent="0.2">
      <c r="A883">
        <f>ROW(Source!A1077)</f>
        <v>1077</v>
      </c>
      <c r="B883">
        <v>129764281</v>
      </c>
      <c r="C883">
        <v>129764262</v>
      </c>
      <c r="D883">
        <v>37395666</v>
      </c>
      <c r="E883">
        <v>1</v>
      </c>
      <c r="F883">
        <v>1</v>
      </c>
      <c r="G883">
        <v>37345137</v>
      </c>
      <c r="H883">
        <v>3</v>
      </c>
      <c r="I883" t="s">
        <v>1377</v>
      </c>
      <c r="J883" t="s">
        <v>1378</v>
      </c>
      <c r="K883" t="s">
        <v>1379</v>
      </c>
      <c r="L883">
        <v>1346</v>
      </c>
      <c r="N883">
        <v>1009</v>
      </c>
      <c r="O883" t="s">
        <v>369</v>
      </c>
      <c r="P883" t="s">
        <v>369</v>
      </c>
      <c r="Q883">
        <v>1</v>
      </c>
      <c r="X883">
        <v>0.02</v>
      </c>
      <c r="Y883">
        <v>38</v>
      </c>
      <c r="Z883">
        <v>0</v>
      </c>
      <c r="AA883">
        <v>0</v>
      </c>
      <c r="AB883">
        <v>0</v>
      </c>
      <c r="AC883">
        <v>0</v>
      </c>
      <c r="AD883">
        <v>1</v>
      </c>
      <c r="AE883">
        <v>0</v>
      </c>
      <c r="AF883" t="s">
        <v>3</v>
      </c>
      <c r="AG883">
        <v>0.02</v>
      </c>
      <c r="AH883">
        <v>2</v>
      </c>
      <c r="AI883">
        <v>129764268</v>
      </c>
      <c r="AJ883">
        <v>913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</row>
    <row r="884" spans="1:44" x14ac:dyDescent="0.2">
      <c r="A884">
        <f>ROW(Source!A1077)</f>
        <v>1077</v>
      </c>
      <c r="B884">
        <v>129764282</v>
      </c>
      <c r="C884">
        <v>129764262</v>
      </c>
      <c r="D884">
        <v>37393685</v>
      </c>
      <c r="E884">
        <v>1</v>
      </c>
      <c r="F884">
        <v>1</v>
      </c>
      <c r="G884">
        <v>37345137</v>
      </c>
      <c r="H884">
        <v>3</v>
      </c>
      <c r="I884" t="s">
        <v>1359</v>
      </c>
      <c r="J884" t="s">
        <v>1360</v>
      </c>
      <c r="K884" t="s">
        <v>1361</v>
      </c>
      <c r="L884">
        <v>1348</v>
      </c>
      <c r="N884">
        <v>1009</v>
      </c>
      <c r="O884" t="s">
        <v>114</v>
      </c>
      <c r="P884" t="s">
        <v>114</v>
      </c>
      <c r="Q884">
        <v>1000</v>
      </c>
      <c r="X884">
        <v>9.9000000000000001E-6</v>
      </c>
      <c r="Y884">
        <v>3246.35</v>
      </c>
      <c r="Z884">
        <v>0</v>
      </c>
      <c r="AA884">
        <v>0</v>
      </c>
      <c r="AB884">
        <v>0</v>
      </c>
      <c r="AC884">
        <v>0</v>
      </c>
      <c r="AD884">
        <v>1</v>
      </c>
      <c r="AE884">
        <v>0</v>
      </c>
      <c r="AF884" t="s">
        <v>3</v>
      </c>
      <c r="AG884">
        <v>9.9000000000000001E-6</v>
      </c>
      <c r="AH884">
        <v>2</v>
      </c>
      <c r="AI884">
        <v>129764269</v>
      </c>
      <c r="AJ884">
        <v>914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</row>
    <row r="885" spans="1:44" x14ac:dyDescent="0.2">
      <c r="A885">
        <f>ROW(Source!A1077)</f>
        <v>1077</v>
      </c>
      <c r="B885">
        <v>129764283</v>
      </c>
      <c r="C885">
        <v>129764262</v>
      </c>
      <c r="D885">
        <v>37393471</v>
      </c>
      <c r="E885">
        <v>1</v>
      </c>
      <c r="F885">
        <v>1</v>
      </c>
      <c r="G885">
        <v>37345137</v>
      </c>
      <c r="H885">
        <v>3</v>
      </c>
      <c r="I885" t="s">
        <v>1380</v>
      </c>
      <c r="J885" t="s">
        <v>1381</v>
      </c>
      <c r="K885" t="s">
        <v>1382</v>
      </c>
      <c r="L885">
        <v>1339</v>
      </c>
      <c r="N885">
        <v>1007</v>
      </c>
      <c r="O885" t="s">
        <v>94</v>
      </c>
      <c r="P885" t="s">
        <v>94</v>
      </c>
      <c r="Q885">
        <v>1</v>
      </c>
      <c r="X885">
        <v>0.38</v>
      </c>
      <c r="Y885">
        <v>53.57</v>
      </c>
      <c r="Z885">
        <v>0</v>
      </c>
      <c r="AA885">
        <v>0</v>
      </c>
      <c r="AB885">
        <v>0</v>
      </c>
      <c r="AC885">
        <v>0</v>
      </c>
      <c r="AD885">
        <v>1</v>
      </c>
      <c r="AE885">
        <v>0</v>
      </c>
      <c r="AF885" t="s">
        <v>3</v>
      </c>
      <c r="AG885">
        <v>0.38</v>
      </c>
      <c r="AH885">
        <v>2</v>
      </c>
      <c r="AI885">
        <v>129764270</v>
      </c>
      <c r="AJ885">
        <v>915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</row>
    <row r="886" spans="1:44" x14ac:dyDescent="0.2">
      <c r="A886">
        <f>ROW(Source!A1077)</f>
        <v>1077</v>
      </c>
      <c r="B886">
        <v>129764284</v>
      </c>
      <c r="C886">
        <v>129764262</v>
      </c>
      <c r="D886">
        <v>37393799</v>
      </c>
      <c r="E886">
        <v>1</v>
      </c>
      <c r="F886">
        <v>1</v>
      </c>
      <c r="G886">
        <v>37345137</v>
      </c>
      <c r="H886">
        <v>3</v>
      </c>
      <c r="I886" t="s">
        <v>590</v>
      </c>
      <c r="J886" t="s">
        <v>592</v>
      </c>
      <c r="K886" t="s">
        <v>591</v>
      </c>
      <c r="L886">
        <v>1339</v>
      </c>
      <c r="N886">
        <v>1007</v>
      </c>
      <c r="O886" t="s">
        <v>94</v>
      </c>
      <c r="P886" t="s">
        <v>94</v>
      </c>
      <c r="Q886">
        <v>1</v>
      </c>
      <c r="X886">
        <v>0.64600000000000002</v>
      </c>
      <c r="Y886">
        <v>5.91</v>
      </c>
      <c r="Z886">
        <v>0</v>
      </c>
      <c r="AA886">
        <v>0</v>
      </c>
      <c r="AB886">
        <v>0</v>
      </c>
      <c r="AC886">
        <v>0</v>
      </c>
      <c r="AD886">
        <v>1</v>
      </c>
      <c r="AE886">
        <v>0</v>
      </c>
      <c r="AF886" t="s">
        <v>3</v>
      </c>
      <c r="AG886">
        <v>0.64600000000000002</v>
      </c>
      <c r="AH886">
        <v>2</v>
      </c>
      <c r="AI886">
        <v>129764271</v>
      </c>
      <c r="AJ886">
        <v>916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</row>
    <row r="887" spans="1:44" x14ac:dyDescent="0.2">
      <c r="A887">
        <f>ROW(Source!A1077)</f>
        <v>1077</v>
      </c>
      <c r="B887">
        <v>129764285</v>
      </c>
      <c r="C887">
        <v>129764262</v>
      </c>
      <c r="D887">
        <v>37393883</v>
      </c>
      <c r="E887">
        <v>1</v>
      </c>
      <c r="F887">
        <v>1</v>
      </c>
      <c r="G887">
        <v>37345137</v>
      </c>
      <c r="H887">
        <v>3</v>
      </c>
      <c r="I887" t="s">
        <v>1383</v>
      </c>
      <c r="J887" t="s">
        <v>1384</v>
      </c>
      <c r="K887" t="s">
        <v>1385</v>
      </c>
      <c r="L887">
        <v>1348</v>
      </c>
      <c r="N887">
        <v>1009</v>
      </c>
      <c r="O887" t="s">
        <v>114</v>
      </c>
      <c r="P887" t="s">
        <v>114</v>
      </c>
      <c r="Q887">
        <v>1000</v>
      </c>
      <c r="X887">
        <v>1.0399999999999999E-3</v>
      </c>
      <c r="Y887">
        <v>16222.39</v>
      </c>
      <c r="Z887">
        <v>0</v>
      </c>
      <c r="AA887">
        <v>0</v>
      </c>
      <c r="AB887">
        <v>0</v>
      </c>
      <c r="AC887">
        <v>0</v>
      </c>
      <c r="AD887">
        <v>1</v>
      </c>
      <c r="AE887">
        <v>0</v>
      </c>
      <c r="AF887" t="s">
        <v>3</v>
      </c>
      <c r="AG887">
        <v>1.0399999999999999E-3</v>
      </c>
      <c r="AH887">
        <v>2</v>
      </c>
      <c r="AI887">
        <v>129764272</v>
      </c>
      <c r="AJ887">
        <v>917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</row>
    <row r="888" spans="1:44" x14ac:dyDescent="0.2">
      <c r="A888">
        <f>ROW(Source!A1077)</f>
        <v>1077</v>
      </c>
      <c r="B888">
        <v>129764286</v>
      </c>
      <c r="C888">
        <v>129764262</v>
      </c>
      <c r="D888">
        <v>37394085</v>
      </c>
      <c r="E888">
        <v>1</v>
      </c>
      <c r="F888">
        <v>1</v>
      </c>
      <c r="G888">
        <v>37345137</v>
      </c>
      <c r="H888">
        <v>3</v>
      </c>
      <c r="I888" t="s">
        <v>1386</v>
      </c>
      <c r="J888" t="s">
        <v>1387</v>
      </c>
      <c r="K888" t="s">
        <v>1388</v>
      </c>
      <c r="L888">
        <v>1346</v>
      </c>
      <c r="N888">
        <v>1009</v>
      </c>
      <c r="O888" t="s">
        <v>369</v>
      </c>
      <c r="P888" t="s">
        <v>369</v>
      </c>
      <c r="Q888">
        <v>1</v>
      </c>
      <c r="X888">
        <v>0.12</v>
      </c>
      <c r="Y888">
        <v>20.190000000000001</v>
      </c>
      <c r="Z888">
        <v>0</v>
      </c>
      <c r="AA888">
        <v>0</v>
      </c>
      <c r="AB888">
        <v>0</v>
      </c>
      <c r="AC888">
        <v>0</v>
      </c>
      <c r="AD888">
        <v>1</v>
      </c>
      <c r="AE888">
        <v>0</v>
      </c>
      <c r="AF888" t="s">
        <v>3</v>
      </c>
      <c r="AG888">
        <v>0.12</v>
      </c>
      <c r="AH888">
        <v>2</v>
      </c>
      <c r="AI888">
        <v>129764273</v>
      </c>
      <c r="AJ888">
        <v>918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</row>
    <row r="889" spans="1:44" x14ac:dyDescent="0.2">
      <c r="A889">
        <f>ROW(Source!A1077)</f>
        <v>1077</v>
      </c>
      <c r="B889">
        <v>129764287</v>
      </c>
      <c r="C889">
        <v>129764262</v>
      </c>
      <c r="D889">
        <v>37394293</v>
      </c>
      <c r="E889">
        <v>1</v>
      </c>
      <c r="F889">
        <v>1</v>
      </c>
      <c r="G889">
        <v>37345137</v>
      </c>
      <c r="H889">
        <v>3</v>
      </c>
      <c r="I889" t="s">
        <v>1389</v>
      </c>
      <c r="J889" t="s">
        <v>1390</v>
      </c>
      <c r="K889" t="s">
        <v>1391</v>
      </c>
      <c r="L889">
        <v>1348</v>
      </c>
      <c r="N889">
        <v>1009</v>
      </c>
      <c r="O889" t="s">
        <v>114</v>
      </c>
      <c r="P889" t="s">
        <v>114</v>
      </c>
      <c r="Q889">
        <v>1000</v>
      </c>
      <c r="X889">
        <v>4.0000000000000002E-4</v>
      </c>
      <c r="Y889">
        <v>35451.18</v>
      </c>
      <c r="Z889">
        <v>0</v>
      </c>
      <c r="AA889">
        <v>0</v>
      </c>
      <c r="AB889">
        <v>0</v>
      </c>
      <c r="AC889">
        <v>0</v>
      </c>
      <c r="AD889">
        <v>1</v>
      </c>
      <c r="AE889">
        <v>0</v>
      </c>
      <c r="AF889" t="s">
        <v>3</v>
      </c>
      <c r="AG889">
        <v>4.0000000000000002E-4</v>
      </c>
      <c r="AH889">
        <v>2</v>
      </c>
      <c r="AI889">
        <v>129764274</v>
      </c>
      <c r="AJ889">
        <v>919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</row>
    <row r="890" spans="1:44" x14ac:dyDescent="0.2">
      <c r="A890">
        <f>ROW(Source!A1077)</f>
        <v>1077</v>
      </c>
      <c r="B890">
        <v>129764288</v>
      </c>
      <c r="C890">
        <v>129764262</v>
      </c>
      <c r="D890">
        <v>37360556</v>
      </c>
      <c r="E890">
        <v>37345137</v>
      </c>
      <c r="F890">
        <v>1</v>
      </c>
      <c r="G890">
        <v>37345137</v>
      </c>
      <c r="H890">
        <v>3</v>
      </c>
      <c r="I890" t="s">
        <v>1509</v>
      </c>
      <c r="J890" t="s">
        <v>3</v>
      </c>
      <c r="K890" t="s">
        <v>1510</v>
      </c>
      <c r="L890">
        <v>1346</v>
      </c>
      <c r="N890">
        <v>1009</v>
      </c>
      <c r="O890" t="s">
        <v>369</v>
      </c>
      <c r="P890" t="s">
        <v>369</v>
      </c>
      <c r="Q890">
        <v>1</v>
      </c>
      <c r="X890">
        <v>0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0</v>
      </c>
      <c r="AF890" t="s">
        <v>3</v>
      </c>
      <c r="AG890">
        <v>0</v>
      </c>
      <c r="AH890">
        <v>3</v>
      </c>
      <c r="AI890">
        <v>-1</v>
      </c>
      <c r="AJ890" t="s">
        <v>3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</row>
    <row r="891" spans="1:44" x14ac:dyDescent="0.2">
      <c r="A891">
        <f>ROW(Source!A1077)</f>
        <v>1077</v>
      </c>
      <c r="B891">
        <v>129764289</v>
      </c>
      <c r="C891">
        <v>129764262</v>
      </c>
      <c r="D891">
        <v>37360473</v>
      </c>
      <c r="E891">
        <v>37345137</v>
      </c>
      <c r="F891">
        <v>1</v>
      </c>
      <c r="G891">
        <v>37345137</v>
      </c>
      <c r="H891">
        <v>3</v>
      </c>
      <c r="I891" t="s">
        <v>1515</v>
      </c>
      <c r="J891" t="s">
        <v>3</v>
      </c>
      <c r="K891" t="s">
        <v>1516</v>
      </c>
      <c r="L891">
        <v>1354</v>
      </c>
      <c r="N891">
        <v>1010</v>
      </c>
      <c r="O891" t="s">
        <v>250</v>
      </c>
      <c r="P891" t="s">
        <v>250</v>
      </c>
      <c r="Q891">
        <v>1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0</v>
      </c>
      <c r="AE891">
        <v>0</v>
      </c>
      <c r="AF891" t="s">
        <v>3</v>
      </c>
      <c r="AG891">
        <v>0</v>
      </c>
      <c r="AH891">
        <v>3</v>
      </c>
      <c r="AI891">
        <v>-1</v>
      </c>
      <c r="AJ891" t="s">
        <v>3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</row>
    <row r="892" spans="1:44" x14ac:dyDescent="0.2">
      <c r="A892">
        <f>ROW(Source!A1077)</f>
        <v>1077</v>
      </c>
      <c r="B892">
        <v>129764290</v>
      </c>
      <c r="C892">
        <v>129764262</v>
      </c>
      <c r="D892">
        <v>37360856</v>
      </c>
      <c r="E892">
        <v>37345137</v>
      </c>
      <c r="F892">
        <v>1</v>
      </c>
      <c r="G892">
        <v>37345137</v>
      </c>
      <c r="H892">
        <v>3</v>
      </c>
      <c r="I892" t="s">
        <v>1529</v>
      </c>
      <c r="J892" t="s">
        <v>3</v>
      </c>
      <c r="K892" t="s">
        <v>1530</v>
      </c>
      <c r="L892">
        <v>1301</v>
      </c>
      <c r="N892">
        <v>1003</v>
      </c>
      <c r="O892" t="s">
        <v>270</v>
      </c>
      <c r="P892" t="s">
        <v>270</v>
      </c>
      <c r="Q892">
        <v>1</v>
      </c>
      <c r="X892">
        <v>100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 t="s">
        <v>3</v>
      </c>
      <c r="AG892">
        <v>100</v>
      </c>
      <c r="AH892">
        <v>3</v>
      </c>
      <c r="AI892">
        <v>-1</v>
      </c>
      <c r="AJ892" t="s">
        <v>3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</row>
    <row r="893" spans="1:44" x14ac:dyDescent="0.2">
      <c r="A893">
        <f>ROW(Source!A1080)</f>
        <v>1080</v>
      </c>
      <c r="B893">
        <v>129764304</v>
      </c>
      <c r="C893">
        <v>129764292</v>
      </c>
      <c r="D893">
        <v>37345142</v>
      </c>
      <c r="E893">
        <v>37345137</v>
      </c>
      <c r="F893">
        <v>1</v>
      </c>
      <c r="G893">
        <v>37345137</v>
      </c>
      <c r="H893">
        <v>1</v>
      </c>
      <c r="I893" t="s">
        <v>1096</v>
      </c>
      <c r="J893" t="s">
        <v>3</v>
      </c>
      <c r="K893" t="s">
        <v>1097</v>
      </c>
      <c r="L893">
        <v>1191</v>
      </c>
      <c r="N893">
        <v>1013</v>
      </c>
      <c r="O893" t="s">
        <v>1098</v>
      </c>
      <c r="P893" t="s">
        <v>1098</v>
      </c>
      <c r="Q893">
        <v>1</v>
      </c>
      <c r="X893">
        <v>55.5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1</v>
      </c>
      <c r="AE893">
        <v>1</v>
      </c>
      <c r="AF893" t="s">
        <v>87</v>
      </c>
      <c r="AG893">
        <v>63.824999999999996</v>
      </c>
      <c r="AH893">
        <v>2</v>
      </c>
      <c r="AI893">
        <v>129764293</v>
      </c>
      <c r="AJ893">
        <v>921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</row>
    <row r="894" spans="1:44" x14ac:dyDescent="0.2">
      <c r="A894">
        <f>ROW(Source!A1080)</f>
        <v>1080</v>
      </c>
      <c r="B894">
        <v>129764305</v>
      </c>
      <c r="C894">
        <v>129764292</v>
      </c>
      <c r="D894">
        <v>37418158</v>
      </c>
      <c r="E894">
        <v>1</v>
      </c>
      <c r="F894">
        <v>1</v>
      </c>
      <c r="G894">
        <v>37345137</v>
      </c>
      <c r="H894">
        <v>2</v>
      </c>
      <c r="I894" t="s">
        <v>1374</v>
      </c>
      <c r="J894" t="s">
        <v>1375</v>
      </c>
      <c r="K894" t="s">
        <v>1376</v>
      </c>
      <c r="L894">
        <v>1367</v>
      </c>
      <c r="N894">
        <v>1011</v>
      </c>
      <c r="O894" t="s">
        <v>1102</v>
      </c>
      <c r="P894" t="s">
        <v>1102</v>
      </c>
      <c r="Q894">
        <v>1</v>
      </c>
      <c r="X894">
        <v>3.5</v>
      </c>
      <c r="Y894">
        <v>0</v>
      </c>
      <c r="Z894">
        <v>4.8600000000000003</v>
      </c>
      <c r="AA894">
        <v>0</v>
      </c>
      <c r="AB894">
        <v>0</v>
      </c>
      <c r="AC894">
        <v>0</v>
      </c>
      <c r="AD894">
        <v>1</v>
      </c>
      <c r="AE894">
        <v>0</v>
      </c>
      <c r="AF894" t="s">
        <v>86</v>
      </c>
      <c r="AG894">
        <v>4.375</v>
      </c>
      <c r="AH894">
        <v>2</v>
      </c>
      <c r="AI894">
        <v>129764294</v>
      </c>
      <c r="AJ894">
        <v>922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</row>
    <row r="895" spans="1:44" x14ac:dyDescent="0.2">
      <c r="A895">
        <f>ROW(Source!A1080)</f>
        <v>1080</v>
      </c>
      <c r="B895">
        <v>129764306</v>
      </c>
      <c r="C895">
        <v>129764292</v>
      </c>
      <c r="D895">
        <v>37418445</v>
      </c>
      <c r="E895">
        <v>1</v>
      </c>
      <c r="F895">
        <v>1</v>
      </c>
      <c r="G895">
        <v>37345137</v>
      </c>
      <c r="H895">
        <v>2</v>
      </c>
      <c r="I895" t="s">
        <v>1189</v>
      </c>
      <c r="J895" t="s">
        <v>1190</v>
      </c>
      <c r="K895" t="s">
        <v>1191</v>
      </c>
      <c r="L895">
        <v>1367</v>
      </c>
      <c r="N895">
        <v>1011</v>
      </c>
      <c r="O895" t="s">
        <v>1102</v>
      </c>
      <c r="P895" t="s">
        <v>1102</v>
      </c>
      <c r="Q895">
        <v>1</v>
      </c>
      <c r="X895">
        <v>1.04</v>
      </c>
      <c r="Y895">
        <v>0</v>
      </c>
      <c r="Z895">
        <v>76.81</v>
      </c>
      <c r="AA895">
        <v>14.36</v>
      </c>
      <c r="AB895">
        <v>0</v>
      </c>
      <c r="AC895">
        <v>0</v>
      </c>
      <c r="AD895">
        <v>1</v>
      </c>
      <c r="AE895">
        <v>0</v>
      </c>
      <c r="AF895" t="s">
        <v>86</v>
      </c>
      <c r="AG895">
        <v>1.3</v>
      </c>
      <c r="AH895">
        <v>2</v>
      </c>
      <c r="AI895">
        <v>129764295</v>
      </c>
      <c r="AJ895">
        <v>923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</row>
    <row r="896" spans="1:44" x14ac:dyDescent="0.2">
      <c r="A896">
        <f>ROW(Source!A1080)</f>
        <v>1080</v>
      </c>
      <c r="B896">
        <v>129764307</v>
      </c>
      <c r="C896">
        <v>129764292</v>
      </c>
      <c r="D896">
        <v>37417692</v>
      </c>
      <c r="E896">
        <v>1</v>
      </c>
      <c r="F896">
        <v>1</v>
      </c>
      <c r="G896">
        <v>37345137</v>
      </c>
      <c r="H896">
        <v>2</v>
      </c>
      <c r="I896" t="s">
        <v>1127</v>
      </c>
      <c r="J896" t="s">
        <v>1128</v>
      </c>
      <c r="K896" t="s">
        <v>1129</v>
      </c>
      <c r="L896">
        <v>1367</v>
      </c>
      <c r="N896">
        <v>1011</v>
      </c>
      <c r="O896" t="s">
        <v>1102</v>
      </c>
      <c r="P896" t="s">
        <v>1102</v>
      </c>
      <c r="Q896">
        <v>1</v>
      </c>
      <c r="X896">
        <v>0.09</v>
      </c>
      <c r="Y896">
        <v>0</v>
      </c>
      <c r="Z896">
        <v>190.93</v>
      </c>
      <c r="AA896">
        <v>18.149999999999999</v>
      </c>
      <c r="AB896">
        <v>0</v>
      </c>
      <c r="AC896">
        <v>0</v>
      </c>
      <c r="AD896">
        <v>1</v>
      </c>
      <c r="AE896">
        <v>0</v>
      </c>
      <c r="AF896" t="s">
        <v>86</v>
      </c>
      <c r="AG896">
        <v>0.11249999999999999</v>
      </c>
      <c r="AH896">
        <v>2</v>
      </c>
      <c r="AI896">
        <v>129764296</v>
      </c>
      <c r="AJ896">
        <v>924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</row>
    <row r="897" spans="1:44" x14ac:dyDescent="0.2">
      <c r="A897">
        <f>ROW(Source!A1080)</f>
        <v>1080</v>
      </c>
      <c r="B897">
        <v>129764308</v>
      </c>
      <c r="C897">
        <v>129764292</v>
      </c>
      <c r="D897">
        <v>37393552</v>
      </c>
      <c r="E897">
        <v>1</v>
      </c>
      <c r="F897">
        <v>1</v>
      </c>
      <c r="G897">
        <v>37345137</v>
      </c>
      <c r="H897">
        <v>3</v>
      </c>
      <c r="I897" t="s">
        <v>348</v>
      </c>
      <c r="J897" t="s">
        <v>350</v>
      </c>
      <c r="K897" t="s">
        <v>349</v>
      </c>
      <c r="L897">
        <v>1339</v>
      </c>
      <c r="N897">
        <v>1007</v>
      </c>
      <c r="O897" t="s">
        <v>94</v>
      </c>
      <c r="P897" t="s">
        <v>94</v>
      </c>
      <c r="Q897">
        <v>1</v>
      </c>
      <c r="X897">
        <v>0.93733</v>
      </c>
      <c r="Y897">
        <v>7.07</v>
      </c>
      <c r="Z897">
        <v>0</v>
      </c>
      <c r="AA897">
        <v>0</v>
      </c>
      <c r="AB897">
        <v>0</v>
      </c>
      <c r="AC897">
        <v>0</v>
      </c>
      <c r="AD897">
        <v>1</v>
      </c>
      <c r="AE897">
        <v>0</v>
      </c>
      <c r="AF897" t="s">
        <v>3</v>
      </c>
      <c r="AG897">
        <v>0.93733</v>
      </c>
      <c r="AH897">
        <v>2</v>
      </c>
      <c r="AI897">
        <v>129764297</v>
      </c>
      <c r="AJ897">
        <v>925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</row>
    <row r="898" spans="1:44" x14ac:dyDescent="0.2">
      <c r="A898">
        <f>ROW(Source!A1080)</f>
        <v>1080</v>
      </c>
      <c r="B898">
        <v>129764309</v>
      </c>
      <c r="C898">
        <v>129764292</v>
      </c>
      <c r="D898">
        <v>37393685</v>
      </c>
      <c r="E898">
        <v>1</v>
      </c>
      <c r="F898">
        <v>1</v>
      </c>
      <c r="G898">
        <v>37345137</v>
      </c>
      <c r="H898">
        <v>3</v>
      </c>
      <c r="I898" t="s">
        <v>1359</v>
      </c>
      <c r="J898" t="s">
        <v>1360</v>
      </c>
      <c r="K898" t="s">
        <v>1361</v>
      </c>
      <c r="L898">
        <v>1348</v>
      </c>
      <c r="N898">
        <v>1009</v>
      </c>
      <c r="O898" t="s">
        <v>114</v>
      </c>
      <c r="P898" t="s">
        <v>114</v>
      </c>
      <c r="Q898">
        <v>1000</v>
      </c>
      <c r="X898">
        <v>2.51E-5</v>
      </c>
      <c r="Y898">
        <v>3246.35</v>
      </c>
      <c r="Z898">
        <v>0</v>
      </c>
      <c r="AA898">
        <v>0</v>
      </c>
      <c r="AB898">
        <v>0</v>
      </c>
      <c r="AC898">
        <v>0</v>
      </c>
      <c r="AD898">
        <v>1</v>
      </c>
      <c r="AE898">
        <v>0</v>
      </c>
      <c r="AF898" t="s">
        <v>3</v>
      </c>
      <c r="AG898">
        <v>2.51E-5</v>
      </c>
      <c r="AH898">
        <v>2</v>
      </c>
      <c r="AI898">
        <v>129764298</v>
      </c>
      <c r="AJ898">
        <v>926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</row>
    <row r="899" spans="1:44" x14ac:dyDescent="0.2">
      <c r="A899">
        <f>ROW(Source!A1080)</f>
        <v>1080</v>
      </c>
      <c r="B899">
        <v>129764310</v>
      </c>
      <c r="C899">
        <v>129764292</v>
      </c>
      <c r="D899">
        <v>37393471</v>
      </c>
      <c r="E899">
        <v>1</v>
      </c>
      <c r="F899">
        <v>1</v>
      </c>
      <c r="G899">
        <v>37345137</v>
      </c>
      <c r="H899">
        <v>3</v>
      </c>
      <c r="I899" t="s">
        <v>1380</v>
      </c>
      <c r="J899" t="s">
        <v>1381</v>
      </c>
      <c r="K899" t="s">
        <v>1382</v>
      </c>
      <c r="L899">
        <v>1339</v>
      </c>
      <c r="N899">
        <v>1007</v>
      </c>
      <c r="O899" t="s">
        <v>94</v>
      </c>
      <c r="P899" t="s">
        <v>94</v>
      </c>
      <c r="Q899">
        <v>1</v>
      </c>
      <c r="X899">
        <v>1.7</v>
      </c>
      <c r="Y899">
        <v>53.57</v>
      </c>
      <c r="Z899">
        <v>0</v>
      </c>
      <c r="AA899">
        <v>0</v>
      </c>
      <c r="AB899">
        <v>0</v>
      </c>
      <c r="AC899">
        <v>0</v>
      </c>
      <c r="AD899">
        <v>1</v>
      </c>
      <c r="AE899">
        <v>0</v>
      </c>
      <c r="AF899" t="s">
        <v>3</v>
      </c>
      <c r="AG899">
        <v>1.7</v>
      </c>
      <c r="AH899">
        <v>2</v>
      </c>
      <c r="AI899">
        <v>129764299</v>
      </c>
      <c r="AJ899">
        <v>927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</row>
    <row r="900" spans="1:44" x14ac:dyDescent="0.2">
      <c r="A900">
        <f>ROW(Source!A1080)</f>
        <v>1080</v>
      </c>
      <c r="B900">
        <v>129764311</v>
      </c>
      <c r="C900">
        <v>129764292</v>
      </c>
      <c r="D900">
        <v>37393799</v>
      </c>
      <c r="E900">
        <v>1</v>
      </c>
      <c r="F900">
        <v>1</v>
      </c>
      <c r="G900">
        <v>37345137</v>
      </c>
      <c r="H900">
        <v>3</v>
      </c>
      <c r="I900" t="s">
        <v>590</v>
      </c>
      <c r="J900" t="s">
        <v>592</v>
      </c>
      <c r="K900" t="s">
        <v>591</v>
      </c>
      <c r="L900">
        <v>1339</v>
      </c>
      <c r="N900">
        <v>1007</v>
      </c>
      <c r="O900" t="s">
        <v>94</v>
      </c>
      <c r="P900" t="s">
        <v>94</v>
      </c>
      <c r="Q900">
        <v>1</v>
      </c>
      <c r="X900">
        <v>1.68</v>
      </c>
      <c r="Y900">
        <v>5.91</v>
      </c>
      <c r="Z900">
        <v>0</v>
      </c>
      <c r="AA900">
        <v>0</v>
      </c>
      <c r="AB900">
        <v>0</v>
      </c>
      <c r="AC900">
        <v>0</v>
      </c>
      <c r="AD900">
        <v>1</v>
      </c>
      <c r="AE900">
        <v>0</v>
      </c>
      <c r="AF900" t="s">
        <v>3</v>
      </c>
      <c r="AG900">
        <v>1.68</v>
      </c>
      <c r="AH900">
        <v>2</v>
      </c>
      <c r="AI900">
        <v>129764300</v>
      </c>
      <c r="AJ900">
        <v>928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</row>
    <row r="901" spans="1:44" x14ac:dyDescent="0.2">
      <c r="A901">
        <f>ROW(Source!A1080)</f>
        <v>1080</v>
      </c>
      <c r="B901">
        <v>129764312</v>
      </c>
      <c r="C901">
        <v>129764292</v>
      </c>
      <c r="D901">
        <v>37394293</v>
      </c>
      <c r="E901">
        <v>1</v>
      </c>
      <c r="F901">
        <v>1</v>
      </c>
      <c r="G901">
        <v>37345137</v>
      </c>
      <c r="H901">
        <v>3</v>
      </c>
      <c r="I901" t="s">
        <v>1389</v>
      </c>
      <c r="J901" t="s">
        <v>1390</v>
      </c>
      <c r="K901" t="s">
        <v>1391</v>
      </c>
      <c r="L901">
        <v>1348</v>
      </c>
      <c r="N901">
        <v>1009</v>
      </c>
      <c r="O901" t="s">
        <v>114</v>
      </c>
      <c r="P901" t="s">
        <v>114</v>
      </c>
      <c r="Q901">
        <v>1000</v>
      </c>
      <c r="X901">
        <v>1E-3</v>
      </c>
      <c r="Y901">
        <v>35451.18</v>
      </c>
      <c r="Z901">
        <v>0</v>
      </c>
      <c r="AA901">
        <v>0</v>
      </c>
      <c r="AB901">
        <v>0</v>
      </c>
      <c r="AC901">
        <v>0</v>
      </c>
      <c r="AD901">
        <v>1</v>
      </c>
      <c r="AE901">
        <v>0</v>
      </c>
      <c r="AF901" t="s">
        <v>3</v>
      </c>
      <c r="AG901">
        <v>1E-3</v>
      </c>
      <c r="AH901">
        <v>2</v>
      </c>
      <c r="AI901">
        <v>129764301</v>
      </c>
      <c r="AJ901">
        <v>929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</row>
    <row r="902" spans="1:44" x14ac:dyDescent="0.2">
      <c r="A902">
        <f>ROW(Source!A1080)</f>
        <v>1080</v>
      </c>
      <c r="B902">
        <v>129764313</v>
      </c>
      <c r="C902">
        <v>129764292</v>
      </c>
      <c r="D902">
        <v>37412062</v>
      </c>
      <c r="E902">
        <v>1</v>
      </c>
      <c r="F902">
        <v>1</v>
      </c>
      <c r="G902">
        <v>37345137</v>
      </c>
      <c r="H902">
        <v>3</v>
      </c>
      <c r="I902" t="s">
        <v>1133</v>
      </c>
      <c r="J902" t="s">
        <v>1134</v>
      </c>
      <c r="K902" t="s">
        <v>1135</v>
      </c>
      <c r="L902">
        <v>1339</v>
      </c>
      <c r="N902">
        <v>1007</v>
      </c>
      <c r="O902" t="s">
        <v>94</v>
      </c>
      <c r="P902" t="s">
        <v>94</v>
      </c>
      <c r="Q902">
        <v>1</v>
      </c>
      <c r="X902">
        <v>7.0000000000000001E-3</v>
      </c>
      <c r="Y902">
        <v>451.14</v>
      </c>
      <c r="Z902">
        <v>0</v>
      </c>
      <c r="AA902">
        <v>0</v>
      </c>
      <c r="AB902">
        <v>0</v>
      </c>
      <c r="AC902">
        <v>0</v>
      </c>
      <c r="AD902">
        <v>1</v>
      </c>
      <c r="AE902">
        <v>0</v>
      </c>
      <c r="AF902" t="s">
        <v>3</v>
      </c>
      <c r="AG902">
        <v>7.0000000000000001E-3</v>
      </c>
      <c r="AH902">
        <v>2</v>
      </c>
      <c r="AI902">
        <v>129764302</v>
      </c>
      <c r="AJ902">
        <v>931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</row>
    <row r="903" spans="1:44" x14ac:dyDescent="0.2">
      <c r="A903">
        <f>ROW(Source!A1080)</f>
        <v>1080</v>
      </c>
      <c r="B903">
        <v>129764314</v>
      </c>
      <c r="C903">
        <v>129764292</v>
      </c>
      <c r="D903">
        <v>37360556</v>
      </c>
      <c r="E903">
        <v>37345137</v>
      </c>
      <c r="F903">
        <v>1</v>
      </c>
      <c r="G903">
        <v>37345137</v>
      </c>
      <c r="H903">
        <v>3</v>
      </c>
      <c r="I903" t="s">
        <v>1509</v>
      </c>
      <c r="J903" t="s">
        <v>3</v>
      </c>
      <c r="K903" t="s">
        <v>1510</v>
      </c>
      <c r="L903">
        <v>1346</v>
      </c>
      <c r="N903">
        <v>1009</v>
      </c>
      <c r="O903" t="s">
        <v>369</v>
      </c>
      <c r="P903" t="s">
        <v>369</v>
      </c>
      <c r="Q903">
        <v>1</v>
      </c>
      <c r="X903">
        <v>0</v>
      </c>
      <c r="Y903">
        <v>0</v>
      </c>
      <c r="Z903">
        <v>0</v>
      </c>
      <c r="AA903">
        <v>0</v>
      </c>
      <c r="AB903">
        <v>0</v>
      </c>
      <c r="AC903">
        <v>0</v>
      </c>
      <c r="AD903">
        <v>0</v>
      </c>
      <c r="AE903">
        <v>0</v>
      </c>
      <c r="AF903" t="s">
        <v>3</v>
      </c>
      <c r="AG903">
        <v>0</v>
      </c>
      <c r="AH903">
        <v>3</v>
      </c>
      <c r="AI903">
        <v>-1</v>
      </c>
      <c r="AJ903" t="s">
        <v>3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</row>
    <row r="904" spans="1:44" x14ac:dyDescent="0.2">
      <c r="A904">
        <f>ROW(Source!A1080)</f>
        <v>1080</v>
      </c>
      <c r="B904">
        <v>129764315</v>
      </c>
      <c r="C904">
        <v>129764292</v>
      </c>
      <c r="D904">
        <v>37360473</v>
      </c>
      <c r="E904">
        <v>37345137</v>
      </c>
      <c r="F904">
        <v>1</v>
      </c>
      <c r="G904">
        <v>37345137</v>
      </c>
      <c r="H904">
        <v>3</v>
      </c>
      <c r="I904" t="s">
        <v>1515</v>
      </c>
      <c r="J904" t="s">
        <v>3</v>
      </c>
      <c r="K904" t="s">
        <v>1516</v>
      </c>
      <c r="L904">
        <v>1354</v>
      </c>
      <c r="N904">
        <v>1010</v>
      </c>
      <c r="O904" t="s">
        <v>250</v>
      </c>
      <c r="P904" t="s">
        <v>250</v>
      </c>
      <c r="Q904">
        <v>1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 t="s">
        <v>3</v>
      </c>
      <c r="AG904">
        <v>0</v>
      </c>
      <c r="AH904">
        <v>3</v>
      </c>
      <c r="AI904">
        <v>-1</v>
      </c>
      <c r="AJ904" t="s">
        <v>3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</row>
    <row r="905" spans="1:44" x14ac:dyDescent="0.2">
      <c r="A905">
        <f>ROW(Source!A1080)</f>
        <v>1080</v>
      </c>
      <c r="B905">
        <v>129764316</v>
      </c>
      <c r="C905">
        <v>129764292</v>
      </c>
      <c r="D905">
        <v>37360856</v>
      </c>
      <c r="E905">
        <v>37345137</v>
      </c>
      <c r="F905">
        <v>1</v>
      </c>
      <c r="G905">
        <v>37345137</v>
      </c>
      <c r="H905">
        <v>3</v>
      </c>
      <c r="I905" t="s">
        <v>1529</v>
      </c>
      <c r="J905" t="s">
        <v>3</v>
      </c>
      <c r="K905" t="s">
        <v>1530</v>
      </c>
      <c r="L905">
        <v>1301</v>
      </c>
      <c r="N905">
        <v>1003</v>
      </c>
      <c r="O905" t="s">
        <v>270</v>
      </c>
      <c r="P905" t="s">
        <v>270</v>
      </c>
      <c r="Q905">
        <v>1</v>
      </c>
      <c r="X905">
        <v>100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 t="s">
        <v>3</v>
      </c>
      <c r="AG905">
        <v>100</v>
      </c>
      <c r="AH905">
        <v>3</v>
      </c>
      <c r="AI905">
        <v>-1</v>
      </c>
      <c r="AJ905" t="s">
        <v>3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</row>
    <row r="906" spans="1:44" x14ac:dyDescent="0.2">
      <c r="A906">
        <f>ROW(Source!A1081)</f>
        <v>1081</v>
      </c>
      <c r="B906">
        <v>129764304</v>
      </c>
      <c r="C906">
        <v>129764292</v>
      </c>
      <c r="D906">
        <v>37345142</v>
      </c>
      <c r="E906">
        <v>37345137</v>
      </c>
      <c r="F906">
        <v>1</v>
      </c>
      <c r="G906">
        <v>37345137</v>
      </c>
      <c r="H906">
        <v>1</v>
      </c>
      <c r="I906" t="s">
        <v>1096</v>
      </c>
      <c r="J906" t="s">
        <v>3</v>
      </c>
      <c r="K906" t="s">
        <v>1097</v>
      </c>
      <c r="L906">
        <v>1191</v>
      </c>
      <c r="N906">
        <v>1013</v>
      </c>
      <c r="O906" t="s">
        <v>1098</v>
      </c>
      <c r="P906" t="s">
        <v>1098</v>
      </c>
      <c r="Q906">
        <v>1</v>
      </c>
      <c r="X906">
        <v>55.5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1</v>
      </c>
      <c r="AE906">
        <v>1</v>
      </c>
      <c r="AF906" t="s">
        <v>87</v>
      </c>
      <c r="AG906">
        <v>63.824999999999996</v>
      </c>
      <c r="AH906">
        <v>2</v>
      </c>
      <c r="AI906">
        <v>129764293</v>
      </c>
      <c r="AJ906">
        <v>932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</row>
    <row r="907" spans="1:44" x14ac:dyDescent="0.2">
      <c r="A907">
        <f>ROW(Source!A1081)</f>
        <v>1081</v>
      </c>
      <c r="B907">
        <v>129764305</v>
      </c>
      <c r="C907">
        <v>129764292</v>
      </c>
      <c r="D907">
        <v>37418158</v>
      </c>
      <c r="E907">
        <v>1</v>
      </c>
      <c r="F907">
        <v>1</v>
      </c>
      <c r="G907">
        <v>37345137</v>
      </c>
      <c r="H907">
        <v>2</v>
      </c>
      <c r="I907" t="s">
        <v>1374</v>
      </c>
      <c r="J907" t="s">
        <v>1375</v>
      </c>
      <c r="K907" t="s">
        <v>1376</v>
      </c>
      <c r="L907">
        <v>1367</v>
      </c>
      <c r="N907">
        <v>1011</v>
      </c>
      <c r="O907" t="s">
        <v>1102</v>
      </c>
      <c r="P907" t="s">
        <v>1102</v>
      </c>
      <c r="Q907">
        <v>1</v>
      </c>
      <c r="X907">
        <v>3.5</v>
      </c>
      <c r="Y907">
        <v>0</v>
      </c>
      <c r="Z907">
        <v>4.8600000000000003</v>
      </c>
      <c r="AA907">
        <v>0</v>
      </c>
      <c r="AB907">
        <v>0</v>
      </c>
      <c r="AC907">
        <v>0</v>
      </c>
      <c r="AD907">
        <v>1</v>
      </c>
      <c r="AE907">
        <v>0</v>
      </c>
      <c r="AF907" t="s">
        <v>86</v>
      </c>
      <c r="AG907">
        <v>4.375</v>
      </c>
      <c r="AH907">
        <v>2</v>
      </c>
      <c r="AI907">
        <v>129764294</v>
      </c>
      <c r="AJ907">
        <v>933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</row>
    <row r="908" spans="1:44" x14ac:dyDescent="0.2">
      <c r="A908">
        <f>ROW(Source!A1081)</f>
        <v>1081</v>
      </c>
      <c r="B908">
        <v>129764306</v>
      </c>
      <c r="C908">
        <v>129764292</v>
      </c>
      <c r="D908">
        <v>37418445</v>
      </c>
      <c r="E908">
        <v>1</v>
      </c>
      <c r="F908">
        <v>1</v>
      </c>
      <c r="G908">
        <v>37345137</v>
      </c>
      <c r="H908">
        <v>2</v>
      </c>
      <c r="I908" t="s">
        <v>1189</v>
      </c>
      <c r="J908" t="s">
        <v>1190</v>
      </c>
      <c r="K908" t="s">
        <v>1191</v>
      </c>
      <c r="L908">
        <v>1367</v>
      </c>
      <c r="N908">
        <v>1011</v>
      </c>
      <c r="O908" t="s">
        <v>1102</v>
      </c>
      <c r="P908" t="s">
        <v>1102</v>
      </c>
      <c r="Q908">
        <v>1</v>
      </c>
      <c r="X908">
        <v>1.04</v>
      </c>
      <c r="Y908">
        <v>0</v>
      </c>
      <c r="Z908">
        <v>76.81</v>
      </c>
      <c r="AA908">
        <v>14.36</v>
      </c>
      <c r="AB908">
        <v>0</v>
      </c>
      <c r="AC908">
        <v>0</v>
      </c>
      <c r="AD908">
        <v>1</v>
      </c>
      <c r="AE908">
        <v>0</v>
      </c>
      <c r="AF908" t="s">
        <v>86</v>
      </c>
      <c r="AG908">
        <v>1.3</v>
      </c>
      <c r="AH908">
        <v>2</v>
      </c>
      <c r="AI908">
        <v>129764295</v>
      </c>
      <c r="AJ908">
        <v>934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</row>
    <row r="909" spans="1:44" x14ac:dyDescent="0.2">
      <c r="A909">
        <f>ROW(Source!A1081)</f>
        <v>1081</v>
      </c>
      <c r="B909">
        <v>129764307</v>
      </c>
      <c r="C909">
        <v>129764292</v>
      </c>
      <c r="D909">
        <v>37417692</v>
      </c>
      <c r="E909">
        <v>1</v>
      </c>
      <c r="F909">
        <v>1</v>
      </c>
      <c r="G909">
        <v>37345137</v>
      </c>
      <c r="H909">
        <v>2</v>
      </c>
      <c r="I909" t="s">
        <v>1127</v>
      </c>
      <c r="J909" t="s">
        <v>1128</v>
      </c>
      <c r="K909" t="s">
        <v>1129</v>
      </c>
      <c r="L909">
        <v>1367</v>
      </c>
      <c r="N909">
        <v>1011</v>
      </c>
      <c r="O909" t="s">
        <v>1102</v>
      </c>
      <c r="P909" t="s">
        <v>1102</v>
      </c>
      <c r="Q909">
        <v>1</v>
      </c>
      <c r="X909">
        <v>0.09</v>
      </c>
      <c r="Y909">
        <v>0</v>
      </c>
      <c r="Z909">
        <v>190.93</v>
      </c>
      <c r="AA909">
        <v>18.149999999999999</v>
      </c>
      <c r="AB909">
        <v>0</v>
      </c>
      <c r="AC909">
        <v>0</v>
      </c>
      <c r="AD909">
        <v>1</v>
      </c>
      <c r="AE909">
        <v>0</v>
      </c>
      <c r="AF909" t="s">
        <v>86</v>
      </c>
      <c r="AG909">
        <v>0.11249999999999999</v>
      </c>
      <c r="AH909">
        <v>2</v>
      </c>
      <c r="AI909">
        <v>129764296</v>
      </c>
      <c r="AJ909">
        <v>935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</row>
    <row r="910" spans="1:44" x14ac:dyDescent="0.2">
      <c r="A910">
        <f>ROW(Source!A1081)</f>
        <v>1081</v>
      </c>
      <c r="B910">
        <v>129764308</v>
      </c>
      <c r="C910">
        <v>129764292</v>
      </c>
      <c r="D910">
        <v>37393552</v>
      </c>
      <c r="E910">
        <v>1</v>
      </c>
      <c r="F910">
        <v>1</v>
      </c>
      <c r="G910">
        <v>37345137</v>
      </c>
      <c r="H910">
        <v>3</v>
      </c>
      <c r="I910" t="s">
        <v>348</v>
      </c>
      <c r="J910" t="s">
        <v>350</v>
      </c>
      <c r="K910" t="s">
        <v>349</v>
      </c>
      <c r="L910">
        <v>1339</v>
      </c>
      <c r="N910">
        <v>1007</v>
      </c>
      <c r="O910" t="s">
        <v>94</v>
      </c>
      <c r="P910" t="s">
        <v>94</v>
      </c>
      <c r="Q910">
        <v>1</v>
      </c>
      <c r="X910">
        <v>0.93733</v>
      </c>
      <c r="Y910">
        <v>7.07</v>
      </c>
      <c r="Z910">
        <v>0</v>
      </c>
      <c r="AA910">
        <v>0</v>
      </c>
      <c r="AB910">
        <v>0</v>
      </c>
      <c r="AC910">
        <v>0</v>
      </c>
      <c r="AD910">
        <v>1</v>
      </c>
      <c r="AE910">
        <v>0</v>
      </c>
      <c r="AF910" t="s">
        <v>3</v>
      </c>
      <c r="AG910">
        <v>0.93733</v>
      </c>
      <c r="AH910">
        <v>2</v>
      </c>
      <c r="AI910">
        <v>129764297</v>
      </c>
      <c r="AJ910">
        <v>936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</row>
    <row r="911" spans="1:44" x14ac:dyDescent="0.2">
      <c r="A911">
        <f>ROW(Source!A1081)</f>
        <v>1081</v>
      </c>
      <c r="B911">
        <v>129764309</v>
      </c>
      <c r="C911">
        <v>129764292</v>
      </c>
      <c r="D911">
        <v>37393685</v>
      </c>
      <c r="E911">
        <v>1</v>
      </c>
      <c r="F911">
        <v>1</v>
      </c>
      <c r="G911">
        <v>37345137</v>
      </c>
      <c r="H911">
        <v>3</v>
      </c>
      <c r="I911" t="s">
        <v>1359</v>
      </c>
      <c r="J911" t="s">
        <v>1360</v>
      </c>
      <c r="K911" t="s">
        <v>1361</v>
      </c>
      <c r="L911">
        <v>1348</v>
      </c>
      <c r="N911">
        <v>1009</v>
      </c>
      <c r="O911" t="s">
        <v>114</v>
      </c>
      <c r="P911" t="s">
        <v>114</v>
      </c>
      <c r="Q911">
        <v>1000</v>
      </c>
      <c r="X911">
        <v>2.51E-5</v>
      </c>
      <c r="Y911">
        <v>3246.35</v>
      </c>
      <c r="Z911">
        <v>0</v>
      </c>
      <c r="AA911">
        <v>0</v>
      </c>
      <c r="AB911">
        <v>0</v>
      </c>
      <c r="AC911">
        <v>0</v>
      </c>
      <c r="AD911">
        <v>1</v>
      </c>
      <c r="AE911">
        <v>0</v>
      </c>
      <c r="AF911" t="s">
        <v>3</v>
      </c>
      <c r="AG911">
        <v>2.51E-5</v>
      </c>
      <c r="AH911">
        <v>2</v>
      </c>
      <c r="AI911">
        <v>129764298</v>
      </c>
      <c r="AJ911">
        <v>937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</row>
    <row r="912" spans="1:44" x14ac:dyDescent="0.2">
      <c r="A912">
        <f>ROW(Source!A1081)</f>
        <v>1081</v>
      </c>
      <c r="B912">
        <v>129764310</v>
      </c>
      <c r="C912">
        <v>129764292</v>
      </c>
      <c r="D912">
        <v>37393471</v>
      </c>
      <c r="E912">
        <v>1</v>
      </c>
      <c r="F912">
        <v>1</v>
      </c>
      <c r="G912">
        <v>37345137</v>
      </c>
      <c r="H912">
        <v>3</v>
      </c>
      <c r="I912" t="s">
        <v>1380</v>
      </c>
      <c r="J912" t="s">
        <v>1381</v>
      </c>
      <c r="K912" t="s">
        <v>1382</v>
      </c>
      <c r="L912">
        <v>1339</v>
      </c>
      <c r="N912">
        <v>1007</v>
      </c>
      <c r="O912" t="s">
        <v>94</v>
      </c>
      <c r="P912" t="s">
        <v>94</v>
      </c>
      <c r="Q912">
        <v>1</v>
      </c>
      <c r="X912">
        <v>1.7</v>
      </c>
      <c r="Y912">
        <v>53.57</v>
      </c>
      <c r="Z912">
        <v>0</v>
      </c>
      <c r="AA912">
        <v>0</v>
      </c>
      <c r="AB912">
        <v>0</v>
      </c>
      <c r="AC912">
        <v>0</v>
      </c>
      <c r="AD912">
        <v>1</v>
      </c>
      <c r="AE912">
        <v>0</v>
      </c>
      <c r="AF912" t="s">
        <v>3</v>
      </c>
      <c r="AG912">
        <v>1.7</v>
      </c>
      <c r="AH912">
        <v>2</v>
      </c>
      <c r="AI912">
        <v>129764299</v>
      </c>
      <c r="AJ912">
        <v>938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</row>
    <row r="913" spans="1:44" x14ac:dyDescent="0.2">
      <c r="A913">
        <f>ROW(Source!A1081)</f>
        <v>1081</v>
      </c>
      <c r="B913">
        <v>129764311</v>
      </c>
      <c r="C913">
        <v>129764292</v>
      </c>
      <c r="D913">
        <v>37393799</v>
      </c>
      <c r="E913">
        <v>1</v>
      </c>
      <c r="F913">
        <v>1</v>
      </c>
      <c r="G913">
        <v>37345137</v>
      </c>
      <c r="H913">
        <v>3</v>
      </c>
      <c r="I913" t="s">
        <v>590</v>
      </c>
      <c r="J913" t="s">
        <v>592</v>
      </c>
      <c r="K913" t="s">
        <v>591</v>
      </c>
      <c r="L913">
        <v>1339</v>
      </c>
      <c r="N913">
        <v>1007</v>
      </c>
      <c r="O913" t="s">
        <v>94</v>
      </c>
      <c r="P913" t="s">
        <v>94</v>
      </c>
      <c r="Q913">
        <v>1</v>
      </c>
      <c r="X913">
        <v>1.68</v>
      </c>
      <c r="Y913">
        <v>5.91</v>
      </c>
      <c r="Z913">
        <v>0</v>
      </c>
      <c r="AA913">
        <v>0</v>
      </c>
      <c r="AB913">
        <v>0</v>
      </c>
      <c r="AC913">
        <v>0</v>
      </c>
      <c r="AD913">
        <v>1</v>
      </c>
      <c r="AE913">
        <v>0</v>
      </c>
      <c r="AF913" t="s">
        <v>3</v>
      </c>
      <c r="AG913">
        <v>1.68</v>
      </c>
      <c r="AH913">
        <v>2</v>
      </c>
      <c r="AI913">
        <v>129764300</v>
      </c>
      <c r="AJ913">
        <v>939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</row>
    <row r="914" spans="1:44" x14ac:dyDescent="0.2">
      <c r="A914">
        <f>ROW(Source!A1081)</f>
        <v>1081</v>
      </c>
      <c r="B914">
        <v>129764312</v>
      </c>
      <c r="C914">
        <v>129764292</v>
      </c>
      <c r="D914">
        <v>37394293</v>
      </c>
      <c r="E914">
        <v>1</v>
      </c>
      <c r="F914">
        <v>1</v>
      </c>
      <c r="G914">
        <v>37345137</v>
      </c>
      <c r="H914">
        <v>3</v>
      </c>
      <c r="I914" t="s">
        <v>1389</v>
      </c>
      <c r="J914" t="s">
        <v>1390</v>
      </c>
      <c r="K914" t="s">
        <v>1391</v>
      </c>
      <c r="L914">
        <v>1348</v>
      </c>
      <c r="N914">
        <v>1009</v>
      </c>
      <c r="O914" t="s">
        <v>114</v>
      </c>
      <c r="P914" t="s">
        <v>114</v>
      </c>
      <c r="Q914">
        <v>1000</v>
      </c>
      <c r="X914">
        <v>1E-3</v>
      </c>
      <c r="Y914">
        <v>35451.18</v>
      </c>
      <c r="Z914">
        <v>0</v>
      </c>
      <c r="AA914">
        <v>0</v>
      </c>
      <c r="AB914">
        <v>0</v>
      </c>
      <c r="AC914">
        <v>0</v>
      </c>
      <c r="AD914">
        <v>1</v>
      </c>
      <c r="AE914">
        <v>0</v>
      </c>
      <c r="AF914" t="s">
        <v>3</v>
      </c>
      <c r="AG914">
        <v>1E-3</v>
      </c>
      <c r="AH914">
        <v>2</v>
      </c>
      <c r="AI914">
        <v>129764301</v>
      </c>
      <c r="AJ914">
        <v>940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</row>
    <row r="915" spans="1:44" x14ac:dyDescent="0.2">
      <c r="A915">
        <f>ROW(Source!A1081)</f>
        <v>1081</v>
      </c>
      <c r="B915">
        <v>129764313</v>
      </c>
      <c r="C915">
        <v>129764292</v>
      </c>
      <c r="D915">
        <v>37412062</v>
      </c>
      <c r="E915">
        <v>1</v>
      </c>
      <c r="F915">
        <v>1</v>
      </c>
      <c r="G915">
        <v>37345137</v>
      </c>
      <c r="H915">
        <v>3</v>
      </c>
      <c r="I915" t="s">
        <v>1133</v>
      </c>
      <c r="J915" t="s">
        <v>1134</v>
      </c>
      <c r="K915" t="s">
        <v>1135</v>
      </c>
      <c r="L915">
        <v>1339</v>
      </c>
      <c r="N915">
        <v>1007</v>
      </c>
      <c r="O915" t="s">
        <v>94</v>
      </c>
      <c r="P915" t="s">
        <v>94</v>
      </c>
      <c r="Q915">
        <v>1</v>
      </c>
      <c r="X915">
        <v>7.0000000000000001E-3</v>
      </c>
      <c r="Y915">
        <v>451.14</v>
      </c>
      <c r="Z915">
        <v>0</v>
      </c>
      <c r="AA915">
        <v>0</v>
      </c>
      <c r="AB915">
        <v>0</v>
      </c>
      <c r="AC915">
        <v>0</v>
      </c>
      <c r="AD915">
        <v>1</v>
      </c>
      <c r="AE915">
        <v>0</v>
      </c>
      <c r="AF915" t="s">
        <v>3</v>
      </c>
      <c r="AG915">
        <v>7.0000000000000001E-3</v>
      </c>
      <c r="AH915">
        <v>2</v>
      </c>
      <c r="AI915">
        <v>129764302</v>
      </c>
      <c r="AJ915">
        <v>942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</row>
    <row r="916" spans="1:44" x14ac:dyDescent="0.2">
      <c r="A916">
        <f>ROW(Source!A1081)</f>
        <v>1081</v>
      </c>
      <c r="B916">
        <v>129764314</v>
      </c>
      <c r="C916">
        <v>129764292</v>
      </c>
      <c r="D916">
        <v>37360556</v>
      </c>
      <c r="E916">
        <v>37345137</v>
      </c>
      <c r="F916">
        <v>1</v>
      </c>
      <c r="G916">
        <v>37345137</v>
      </c>
      <c r="H916">
        <v>3</v>
      </c>
      <c r="I916" t="s">
        <v>1509</v>
      </c>
      <c r="J916" t="s">
        <v>3</v>
      </c>
      <c r="K916" t="s">
        <v>1510</v>
      </c>
      <c r="L916">
        <v>1346</v>
      </c>
      <c r="N916">
        <v>1009</v>
      </c>
      <c r="O916" t="s">
        <v>369</v>
      </c>
      <c r="P916" t="s">
        <v>369</v>
      </c>
      <c r="Q916">
        <v>1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 t="s">
        <v>3</v>
      </c>
      <c r="AG916">
        <v>0</v>
      </c>
      <c r="AH916">
        <v>3</v>
      </c>
      <c r="AI916">
        <v>-1</v>
      </c>
      <c r="AJ916" t="s">
        <v>3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</row>
    <row r="917" spans="1:44" x14ac:dyDescent="0.2">
      <c r="A917">
        <f>ROW(Source!A1081)</f>
        <v>1081</v>
      </c>
      <c r="B917">
        <v>129764315</v>
      </c>
      <c r="C917">
        <v>129764292</v>
      </c>
      <c r="D917">
        <v>37360473</v>
      </c>
      <c r="E917">
        <v>37345137</v>
      </c>
      <c r="F917">
        <v>1</v>
      </c>
      <c r="G917">
        <v>37345137</v>
      </c>
      <c r="H917">
        <v>3</v>
      </c>
      <c r="I917" t="s">
        <v>1515</v>
      </c>
      <c r="J917" t="s">
        <v>3</v>
      </c>
      <c r="K917" t="s">
        <v>1516</v>
      </c>
      <c r="L917">
        <v>1354</v>
      </c>
      <c r="N917">
        <v>1010</v>
      </c>
      <c r="O917" t="s">
        <v>250</v>
      </c>
      <c r="P917" t="s">
        <v>250</v>
      </c>
      <c r="Q917">
        <v>1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 t="s">
        <v>3</v>
      </c>
      <c r="AG917">
        <v>0</v>
      </c>
      <c r="AH917">
        <v>3</v>
      </c>
      <c r="AI917">
        <v>-1</v>
      </c>
      <c r="AJ917" t="s">
        <v>3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</row>
    <row r="918" spans="1:44" x14ac:dyDescent="0.2">
      <c r="A918">
        <f>ROW(Source!A1081)</f>
        <v>1081</v>
      </c>
      <c r="B918">
        <v>129764316</v>
      </c>
      <c r="C918">
        <v>129764292</v>
      </c>
      <c r="D918">
        <v>37360856</v>
      </c>
      <c r="E918">
        <v>37345137</v>
      </c>
      <c r="F918">
        <v>1</v>
      </c>
      <c r="G918">
        <v>37345137</v>
      </c>
      <c r="H918">
        <v>3</v>
      </c>
      <c r="I918" t="s">
        <v>1529</v>
      </c>
      <c r="J918" t="s">
        <v>3</v>
      </c>
      <c r="K918" t="s">
        <v>1530</v>
      </c>
      <c r="L918">
        <v>1301</v>
      </c>
      <c r="N918">
        <v>1003</v>
      </c>
      <c r="O918" t="s">
        <v>270</v>
      </c>
      <c r="P918" t="s">
        <v>270</v>
      </c>
      <c r="Q918">
        <v>1</v>
      </c>
      <c r="X918">
        <v>100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 t="s">
        <v>3</v>
      </c>
      <c r="AG918">
        <v>100</v>
      </c>
      <c r="AH918">
        <v>3</v>
      </c>
      <c r="AI918">
        <v>-1</v>
      </c>
      <c r="AJ918" t="s">
        <v>3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</row>
    <row r="919" spans="1:44" x14ac:dyDescent="0.2">
      <c r="A919">
        <f>ROW(Source!A1084)</f>
        <v>1084</v>
      </c>
      <c r="B919">
        <v>129764327</v>
      </c>
      <c r="C919">
        <v>129764318</v>
      </c>
      <c r="D919">
        <v>37345142</v>
      </c>
      <c r="E919">
        <v>37345137</v>
      </c>
      <c r="F919">
        <v>1</v>
      </c>
      <c r="G919">
        <v>37345137</v>
      </c>
      <c r="H919">
        <v>1</v>
      </c>
      <c r="I919" t="s">
        <v>1096</v>
      </c>
      <c r="J919" t="s">
        <v>3</v>
      </c>
      <c r="K919" t="s">
        <v>1097</v>
      </c>
      <c r="L919">
        <v>1191</v>
      </c>
      <c r="N919">
        <v>1013</v>
      </c>
      <c r="O919" t="s">
        <v>1098</v>
      </c>
      <c r="P919" t="s">
        <v>1098</v>
      </c>
      <c r="Q919">
        <v>1</v>
      </c>
      <c r="X919">
        <v>0.9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1</v>
      </c>
      <c r="AE919">
        <v>1</v>
      </c>
      <c r="AF919" t="s">
        <v>87</v>
      </c>
      <c r="AG919">
        <v>1.0349999999999999</v>
      </c>
      <c r="AH919">
        <v>2</v>
      </c>
      <c r="AI919">
        <v>129764319</v>
      </c>
      <c r="AJ919">
        <v>943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</row>
    <row r="920" spans="1:44" x14ac:dyDescent="0.2">
      <c r="A920">
        <f>ROW(Source!A1084)</f>
        <v>1084</v>
      </c>
      <c r="B920">
        <v>129764328</v>
      </c>
      <c r="C920">
        <v>129764318</v>
      </c>
      <c r="D920">
        <v>37345890</v>
      </c>
      <c r="E920">
        <v>37345137</v>
      </c>
      <c r="F920">
        <v>1</v>
      </c>
      <c r="G920">
        <v>37345137</v>
      </c>
      <c r="H920">
        <v>2</v>
      </c>
      <c r="I920" t="s">
        <v>1145</v>
      </c>
      <c r="J920" t="s">
        <v>3</v>
      </c>
      <c r="K920" t="s">
        <v>1146</v>
      </c>
      <c r="L920">
        <v>1344</v>
      </c>
      <c r="N920">
        <v>1008</v>
      </c>
      <c r="O920" t="s">
        <v>1138</v>
      </c>
      <c r="P920" t="s">
        <v>1138</v>
      </c>
      <c r="Q920">
        <v>1</v>
      </c>
      <c r="X920">
        <v>2.23</v>
      </c>
      <c r="Y920">
        <v>0</v>
      </c>
      <c r="Z920">
        <v>1</v>
      </c>
      <c r="AA920">
        <v>0</v>
      </c>
      <c r="AB920">
        <v>0</v>
      </c>
      <c r="AC920">
        <v>0</v>
      </c>
      <c r="AD920">
        <v>1</v>
      </c>
      <c r="AE920">
        <v>0</v>
      </c>
      <c r="AF920" t="s">
        <v>86</v>
      </c>
      <c r="AG920">
        <v>2.7875000000000001</v>
      </c>
      <c r="AH920">
        <v>2</v>
      </c>
      <c r="AI920">
        <v>129764320</v>
      </c>
      <c r="AJ920">
        <v>944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</row>
    <row r="921" spans="1:44" x14ac:dyDescent="0.2">
      <c r="A921">
        <f>ROW(Source!A1084)</f>
        <v>1084</v>
      </c>
      <c r="B921">
        <v>129764329</v>
      </c>
      <c r="C921">
        <v>129764318</v>
      </c>
      <c r="D921">
        <v>37403090</v>
      </c>
      <c r="E921">
        <v>1</v>
      </c>
      <c r="F921">
        <v>1</v>
      </c>
      <c r="G921">
        <v>37345137</v>
      </c>
      <c r="H921">
        <v>3</v>
      </c>
      <c r="I921" t="s">
        <v>1392</v>
      </c>
      <c r="J921" t="s">
        <v>1393</v>
      </c>
      <c r="K921" t="s">
        <v>1394</v>
      </c>
      <c r="L921">
        <v>1354</v>
      </c>
      <c r="N921">
        <v>1010</v>
      </c>
      <c r="O921" t="s">
        <v>250</v>
      </c>
      <c r="P921" t="s">
        <v>250</v>
      </c>
      <c r="Q921">
        <v>1</v>
      </c>
      <c r="X921">
        <v>1</v>
      </c>
      <c r="Y921">
        <v>62.05</v>
      </c>
      <c r="Z921">
        <v>0</v>
      </c>
      <c r="AA921">
        <v>0</v>
      </c>
      <c r="AB921">
        <v>0</v>
      </c>
      <c r="AC921">
        <v>0</v>
      </c>
      <c r="AD921">
        <v>1</v>
      </c>
      <c r="AE921">
        <v>0</v>
      </c>
      <c r="AF921" t="s">
        <v>3</v>
      </c>
      <c r="AG921">
        <v>1</v>
      </c>
      <c r="AH921">
        <v>2</v>
      </c>
      <c r="AI921">
        <v>129764321</v>
      </c>
      <c r="AJ921">
        <v>947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</row>
    <row r="922" spans="1:44" x14ac:dyDescent="0.2">
      <c r="A922">
        <f>ROW(Source!A1084)</f>
        <v>1084</v>
      </c>
      <c r="B922">
        <v>129764330</v>
      </c>
      <c r="C922">
        <v>129764318</v>
      </c>
      <c r="D922">
        <v>37403065</v>
      </c>
      <c r="E922">
        <v>1</v>
      </c>
      <c r="F922">
        <v>1</v>
      </c>
      <c r="G922">
        <v>37345137</v>
      </c>
      <c r="H922">
        <v>3</v>
      </c>
      <c r="I922" t="s">
        <v>1395</v>
      </c>
      <c r="J922" t="s">
        <v>1396</v>
      </c>
      <c r="K922" t="s">
        <v>1397</v>
      </c>
      <c r="L922">
        <v>1354</v>
      </c>
      <c r="N922">
        <v>1010</v>
      </c>
      <c r="O922" t="s">
        <v>250</v>
      </c>
      <c r="P922" t="s">
        <v>250</v>
      </c>
      <c r="Q922">
        <v>1</v>
      </c>
      <c r="X922">
        <v>3</v>
      </c>
      <c r="Y922">
        <v>46.87</v>
      </c>
      <c r="Z922">
        <v>0</v>
      </c>
      <c r="AA922">
        <v>0</v>
      </c>
      <c r="AB922">
        <v>0</v>
      </c>
      <c r="AC922">
        <v>0</v>
      </c>
      <c r="AD922">
        <v>1</v>
      </c>
      <c r="AE922">
        <v>0</v>
      </c>
      <c r="AF922" t="s">
        <v>3</v>
      </c>
      <c r="AG922">
        <v>3</v>
      </c>
      <c r="AH922">
        <v>2</v>
      </c>
      <c r="AI922">
        <v>129764322</v>
      </c>
      <c r="AJ922">
        <v>948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</row>
    <row r="923" spans="1:44" x14ac:dyDescent="0.2">
      <c r="A923">
        <f>ROW(Source!A1084)</f>
        <v>1084</v>
      </c>
      <c r="B923">
        <v>129764331</v>
      </c>
      <c r="C923">
        <v>129764318</v>
      </c>
      <c r="D923">
        <v>37360867</v>
      </c>
      <c r="E923">
        <v>37345137</v>
      </c>
      <c r="F923">
        <v>1</v>
      </c>
      <c r="G923">
        <v>37345137</v>
      </c>
      <c r="H923">
        <v>3</v>
      </c>
      <c r="I923" t="s">
        <v>1531</v>
      </c>
      <c r="J923" t="s">
        <v>3</v>
      </c>
      <c r="K923" t="s">
        <v>1532</v>
      </c>
      <c r="L923">
        <v>1354</v>
      </c>
      <c r="N923">
        <v>1010</v>
      </c>
      <c r="O923" t="s">
        <v>250</v>
      </c>
      <c r="P923" t="s">
        <v>250</v>
      </c>
      <c r="Q923">
        <v>1</v>
      </c>
      <c r="X923">
        <v>1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 t="s">
        <v>3</v>
      </c>
      <c r="AG923">
        <v>1</v>
      </c>
      <c r="AH923">
        <v>3</v>
      </c>
      <c r="AI923">
        <v>-1</v>
      </c>
      <c r="AJ923" t="s">
        <v>3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</row>
    <row r="924" spans="1:44" x14ac:dyDescent="0.2">
      <c r="A924">
        <f>ROW(Source!A1084)</f>
        <v>1084</v>
      </c>
      <c r="B924">
        <v>129764332</v>
      </c>
      <c r="C924">
        <v>129764318</v>
      </c>
      <c r="D924">
        <v>37360872</v>
      </c>
      <c r="E924">
        <v>37345137</v>
      </c>
      <c r="F924">
        <v>1</v>
      </c>
      <c r="G924">
        <v>37345137</v>
      </c>
      <c r="H924">
        <v>3</v>
      </c>
      <c r="I924" t="s">
        <v>1533</v>
      </c>
      <c r="J924" t="s">
        <v>3</v>
      </c>
      <c r="K924" t="s">
        <v>1534</v>
      </c>
      <c r="L924">
        <v>1301</v>
      </c>
      <c r="N924">
        <v>1003</v>
      </c>
      <c r="O924" t="s">
        <v>270</v>
      </c>
      <c r="P924" t="s">
        <v>270</v>
      </c>
      <c r="Q924">
        <v>1</v>
      </c>
      <c r="X924">
        <v>20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 t="s">
        <v>3</v>
      </c>
      <c r="AG924">
        <v>20</v>
      </c>
      <c r="AH924">
        <v>3</v>
      </c>
      <c r="AI924">
        <v>-1</v>
      </c>
      <c r="AJ924" t="s">
        <v>3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</row>
    <row r="925" spans="1:44" x14ac:dyDescent="0.2">
      <c r="A925">
        <f>ROW(Source!A1084)</f>
        <v>1084</v>
      </c>
      <c r="B925">
        <v>129764333</v>
      </c>
      <c r="C925">
        <v>129764318</v>
      </c>
      <c r="D925">
        <v>37367082</v>
      </c>
      <c r="E925">
        <v>37345137</v>
      </c>
      <c r="F925">
        <v>1</v>
      </c>
      <c r="G925">
        <v>37345137</v>
      </c>
      <c r="H925">
        <v>3</v>
      </c>
      <c r="I925" t="s">
        <v>1136</v>
      </c>
      <c r="J925" t="s">
        <v>3</v>
      </c>
      <c r="K925" t="s">
        <v>1137</v>
      </c>
      <c r="L925">
        <v>1344</v>
      </c>
      <c r="N925">
        <v>1008</v>
      </c>
      <c r="O925" t="s">
        <v>1138</v>
      </c>
      <c r="P925" t="s">
        <v>1138</v>
      </c>
      <c r="Q925">
        <v>1</v>
      </c>
      <c r="X925">
        <v>8.75</v>
      </c>
      <c r="Y925">
        <v>1</v>
      </c>
      <c r="Z925">
        <v>0</v>
      </c>
      <c r="AA925">
        <v>0</v>
      </c>
      <c r="AB925">
        <v>0</v>
      </c>
      <c r="AC925">
        <v>0</v>
      </c>
      <c r="AD925">
        <v>1</v>
      </c>
      <c r="AE925">
        <v>0</v>
      </c>
      <c r="AF925" t="s">
        <v>3</v>
      </c>
      <c r="AG925">
        <v>8.75</v>
      </c>
      <c r="AH925">
        <v>2</v>
      </c>
      <c r="AI925">
        <v>129764323</v>
      </c>
      <c r="AJ925">
        <v>950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</row>
    <row r="926" spans="1:44" x14ac:dyDescent="0.2">
      <c r="A926">
        <f>ROW(Source!A1085)</f>
        <v>1085</v>
      </c>
      <c r="B926">
        <v>129764327</v>
      </c>
      <c r="C926">
        <v>129764318</v>
      </c>
      <c r="D926">
        <v>37345142</v>
      </c>
      <c r="E926">
        <v>37345137</v>
      </c>
      <c r="F926">
        <v>1</v>
      </c>
      <c r="G926">
        <v>37345137</v>
      </c>
      <c r="H926">
        <v>1</v>
      </c>
      <c r="I926" t="s">
        <v>1096</v>
      </c>
      <c r="J926" t="s">
        <v>3</v>
      </c>
      <c r="K926" t="s">
        <v>1097</v>
      </c>
      <c r="L926">
        <v>1191</v>
      </c>
      <c r="N926">
        <v>1013</v>
      </c>
      <c r="O926" t="s">
        <v>1098</v>
      </c>
      <c r="P926" t="s">
        <v>1098</v>
      </c>
      <c r="Q926">
        <v>1</v>
      </c>
      <c r="X926">
        <v>0.9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1</v>
      </c>
      <c r="AE926">
        <v>1</v>
      </c>
      <c r="AF926" t="s">
        <v>87</v>
      </c>
      <c r="AG926">
        <v>1.0349999999999999</v>
      </c>
      <c r="AH926">
        <v>2</v>
      </c>
      <c r="AI926">
        <v>129764319</v>
      </c>
      <c r="AJ926">
        <v>951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</row>
    <row r="927" spans="1:44" x14ac:dyDescent="0.2">
      <c r="A927">
        <f>ROW(Source!A1085)</f>
        <v>1085</v>
      </c>
      <c r="B927">
        <v>129764328</v>
      </c>
      <c r="C927">
        <v>129764318</v>
      </c>
      <c r="D927">
        <v>37345890</v>
      </c>
      <c r="E927">
        <v>37345137</v>
      </c>
      <c r="F927">
        <v>1</v>
      </c>
      <c r="G927">
        <v>37345137</v>
      </c>
      <c r="H927">
        <v>2</v>
      </c>
      <c r="I927" t="s">
        <v>1145</v>
      </c>
      <c r="J927" t="s">
        <v>3</v>
      </c>
      <c r="K927" t="s">
        <v>1146</v>
      </c>
      <c r="L927">
        <v>1344</v>
      </c>
      <c r="N927">
        <v>1008</v>
      </c>
      <c r="O927" t="s">
        <v>1138</v>
      </c>
      <c r="P927" t="s">
        <v>1138</v>
      </c>
      <c r="Q927">
        <v>1</v>
      </c>
      <c r="X927">
        <v>2.23</v>
      </c>
      <c r="Y927">
        <v>0</v>
      </c>
      <c r="Z927">
        <v>1</v>
      </c>
      <c r="AA927">
        <v>0</v>
      </c>
      <c r="AB927">
        <v>0</v>
      </c>
      <c r="AC927">
        <v>0</v>
      </c>
      <c r="AD927">
        <v>1</v>
      </c>
      <c r="AE927">
        <v>0</v>
      </c>
      <c r="AF927" t="s">
        <v>86</v>
      </c>
      <c r="AG927">
        <v>2.7875000000000001</v>
      </c>
      <c r="AH927">
        <v>2</v>
      </c>
      <c r="AI927">
        <v>129764320</v>
      </c>
      <c r="AJ927">
        <v>952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</row>
    <row r="928" spans="1:44" x14ac:dyDescent="0.2">
      <c r="A928">
        <f>ROW(Source!A1085)</f>
        <v>1085</v>
      </c>
      <c r="B928">
        <v>129764329</v>
      </c>
      <c r="C928">
        <v>129764318</v>
      </c>
      <c r="D928">
        <v>37403090</v>
      </c>
      <c r="E928">
        <v>1</v>
      </c>
      <c r="F928">
        <v>1</v>
      </c>
      <c r="G928">
        <v>37345137</v>
      </c>
      <c r="H928">
        <v>3</v>
      </c>
      <c r="I928" t="s">
        <v>1392</v>
      </c>
      <c r="J928" t="s">
        <v>1393</v>
      </c>
      <c r="K928" t="s">
        <v>1394</v>
      </c>
      <c r="L928">
        <v>1354</v>
      </c>
      <c r="N928">
        <v>1010</v>
      </c>
      <c r="O928" t="s">
        <v>250</v>
      </c>
      <c r="P928" t="s">
        <v>250</v>
      </c>
      <c r="Q928">
        <v>1</v>
      </c>
      <c r="X928">
        <v>1</v>
      </c>
      <c r="Y928">
        <v>62.05</v>
      </c>
      <c r="Z928">
        <v>0</v>
      </c>
      <c r="AA928">
        <v>0</v>
      </c>
      <c r="AB928">
        <v>0</v>
      </c>
      <c r="AC928">
        <v>0</v>
      </c>
      <c r="AD928">
        <v>1</v>
      </c>
      <c r="AE928">
        <v>0</v>
      </c>
      <c r="AF928" t="s">
        <v>3</v>
      </c>
      <c r="AG928">
        <v>1</v>
      </c>
      <c r="AH928">
        <v>2</v>
      </c>
      <c r="AI928">
        <v>129764321</v>
      </c>
      <c r="AJ928">
        <v>955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</row>
    <row r="929" spans="1:44" x14ac:dyDescent="0.2">
      <c r="A929">
        <f>ROW(Source!A1085)</f>
        <v>1085</v>
      </c>
      <c r="B929">
        <v>129764330</v>
      </c>
      <c r="C929">
        <v>129764318</v>
      </c>
      <c r="D929">
        <v>37403065</v>
      </c>
      <c r="E929">
        <v>1</v>
      </c>
      <c r="F929">
        <v>1</v>
      </c>
      <c r="G929">
        <v>37345137</v>
      </c>
      <c r="H929">
        <v>3</v>
      </c>
      <c r="I929" t="s">
        <v>1395</v>
      </c>
      <c r="J929" t="s">
        <v>1396</v>
      </c>
      <c r="K929" t="s">
        <v>1397</v>
      </c>
      <c r="L929">
        <v>1354</v>
      </c>
      <c r="N929">
        <v>1010</v>
      </c>
      <c r="O929" t="s">
        <v>250</v>
      </c>
      <c r="P929" t="s">
        <v>250</v>
      </c>
      <c r="Q929">
        <v>1</v>
      </c>
      <c r="X929">
        <v>3</v>
      </c>
      <c r="Y929">
        <v>46.87</v>
      </c>
      <c r="Z929">
        <v>0</v>
      </c>
      <c r="AA929">
        <v>0</v>
      </c>
      <c r="AB929">
        <v>0</v>
      </c>
      <c r="AC929">
        <v>0</v>
      </c>
      <c r="AD929">
        <v>1</v>
      </c>
      <c r="AE929">
        <v>0</v>
      </c>
      <c r="AF929" t="s">
        <v>3</v>
      </c>
      <c r="AG929">
        <v>3</v>
      </c>
      <c r="AH929">
        <v>2</v>
      </c>
      <c r="AI929">
        <v>129764322</v>
      </c>
      <c r="AJ929">
        <v>956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</row>
    <row r="930" spans="1:44" x14ac:dyDescent="0.2">
      <c r="A930">
        <f>ROW(Source!A1085)</f>
        <v>1085</v>
      </c>
      <c r="B930">
        <v>129764331</v>
      </c>
      <c r="C930">
        <v>129764318</v>
      </c>
      <c r="D930">
        <v>37360867</v>
      </c>
      <c r="E930">
        <v>37345137</v>
      </c>
      <c r="F930">
        <v>1</v>
      </c>
      <c r="G930">
        <v>37345137</v>
      </c>
      <c r="H930">
        <v>3</v>
      </c>
      <c r="I930" t="s">
        <v>1531</v>
      </c>
      <c r="J930" t="s">
        <v>3</v>
      </c>
      <c r="K930" t="s">
        <v>1532</v>
      </c>
      <c r="L930">
        <v>1354</v>
      </c>
      <c r="N930">
        <v>1010</v>
      </c>
      <c r="O930" t="s">
        <v>250</v>
      </c>
      <c r="P930" t="s">
        <v>250</v>
      </c>
      <c r="Q930">
        <v>1</v>
      </c>
      <c r="X930">
        <v>1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 t="s">
        <v>3</v>
      </c>
      <c r="AG930">
        <v>1</v>
      </c>
      <c r="AH930">
        <v>3</v>
      </c>
      <c r="AI930">
        <v>-1</v>
      </c>
      <c r="AJ930" t="s">
        <v>3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</row>
    <row r="931" spans="1:44" x14ac:dyDescent="0.2">
      <c r="A931">
        <f>ROW(Source!A1085)</f>
        <v>1085</v>
      </c>
      <c r="B931">
        <v>129764332</v>
      </c>
      <c r="C931">
        <v>129764318</v>
      </c>
      <c r="D931">
        <v>37360872</v>
      </c>
      <c r="E931">
        <v>37345137</v>
      </c>
      <c r="F931">
        <v>1</v>
      </c>
      <c r="G931">
        <v>37345137</v>
      </c>
      <c r="H931">
        <v>3</v>
      </c>
      <c r="I931" t="s">
        <v>1533</v>
      </c>
      <c r="J931" t="s">
        <v>3</v>
      </c>
      <c r="K931" t="s">
        <v>1534</v>
      </c>
      <c r="L931">
        <v>1301</v>
      </c>
      <c r="N931">
        <v>1003</v>
      </c>
      <c r="O931" t="s">
        <v>270</v>
      </c>
      <c r="P931" t="s">
        <v>270</v>
      </c>
      <c r="Q931">
        <v>1</v>
      </c>
      <c r="X931">
        <v>20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 t="s">
        <v>3</v>
      </c>
      <c r="AG931">
        <v>20</v>
      </c>
      <c r="AH931">
        <v>3</v>
      </c>
      <c r="AI931">
        <v>-1</v>
      </c>
      <c r="AJ931" t="s">
        <v>3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</row>
    <row r="932" spans="1:44" x14ac:dyDescent="0.2">
      <c r="A932">
        <f>ROW(Source!A1085)</f>
        <v>1085</v>
      </c>
      <c r="B932">
        <v>129764333</v>
      </c>
      <c r="C932">
        <v>129764318</v>
      </c>
      <c r="D932">
        <v>37367082</v>
      </c>
      <c r="E932">
        <v>37345137</v>
      </c>
      <c r="F932">
        <v>1</v>
      </c>
      <c r="G932">
        <v>37345137</v>
      </c>
      <c r="H932">
        <v>3</v>
      </c>
      <c r="I932" t="s">
        <v>1136</v>
      </c>
      <c r="J932" t="s">
        <v>3</v>
      </c>
      <c r="K932" t="s">
        <v>1137</v>
      </c>
      <c r="L932">
        <v>1344</v>
      </c>
      <c r="N932">
        <v>1008</v>
      </c>
      <c r="O932" t="s">
        <v>1138</v>
      </c>
      <c r="P932" t="s">
        <v>1138</v>
      </c>
      <c r="Q932">
        <v>1</v>
      </c>
      <c r="X932">
        <v>8.75</v>
      </c>
      <c r="Y932">
        <v>1</v>
      </c>
      <c r="Z932">
        <v>0</v>
      </c>
      <c r="AA932">
        <v>0</v>
      </c>
      <c r="AB932">
        <v>0</v>
      </c>
      <c r="AC932">
        <v>0</v>
      </c>
      <c r="AD932">
        <v>1</v>
      </c>
      <c r="AE932">
        <v>0</v>
      </c>
      <c r="AF932" t="s">
        <v>3</v>
      </c>
      <c r="AG932">
        <v>8.75</v>
      </c>
      <c r="AH932">
        <v>2</v>
      </c>
      <c r="AI932">
        <v>129764323</v>
      </c>
      <c r="AJ932">
        <v>958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</row>
    <row r="933" spans="1:44" x14ac:dyDescent="0.2">
      <c r="A933">
        <f>ROW(Source!A1127)</f>
        <v>1127</v>
      </c>
      <c r="B933">
        <v>129764345</v>
      </c>
      <c r="C933">
        <v>129764337</v>
      </c>
      <c r="D933">
        <v>37345142</v>
      </c>
      <c r="E933">
        <v>37345137</v>
      </c>
      <c r="F933">
        <v>1</v>
      </c>
      <c r="G933">
        <v>37345137</v>
      </c>
      <c r="H933">
        <v>1</v>
      </c>
      <c r="I933" t="s">
        <v>1096</v>
      </c>
      <c r="J933" t="s">
        <v>3</v>
      </c>
      <c r="K933" t="s">
        <v>1097</v>
      </c>
      <c r="L933">
        <v>1191</v>
      </c>
      <c r="N933">
        <v>1013</v>
      </c>
      <c r="O933" t="s">
        <v>1098</v>
      </c>
      <c r="P933" t="s">
        <v>1098</v>
      </c>
      <c r="Q933">
        <v>1</v>
      </c>
      <c r="X933">
        <v>58.4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1</v>
      </c>
      <c r="AE933">
        <v>1</v>
      </c>
      <c r="AF933" t="s">
        <v>87</v>
      </c>
      <c r="AG933">
        <v>67.16</v>
      </c>
      <c r="AH933">
        <v>2</v>
      </c>
      <c r="AI933">
        <v>129764338</v>
      </c>
      <c r="AJ933">
        <v>959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</row>
    <row r="934" spans="1:44" x14ac:dyDescent="0.2">
      <c r="A934">
        <f>ROW(Source!A1127)</f>
        <v>1127</v>
      </c>
      <c r="B934">
        <v>129764346</v>
      </c>
      <c r="C934">
        <v>129764337</v>
      </c>
      <c r="D934">
        <v>37345890</v>
      </c>
      <c r="E934">
        <v>37345137</v>
      </c>
      <c r="F934">
        <v>1</v>
      </c>
      <c r="G934">
        <v>37345137</v>
      </c>
      <c r="H934">
        <v>2</v>
      </c>
      <c r="I934" t="s">
        <v>1145</v>
      </c>
      <c r="J934" t="s">
        <v>3</v>
      </c>
      <c r="K934" t="s">
        <v>1146</v>
      </c>
      <c r="L934">
        <v>1344</v>
      </c>
      <c r="N934">
        <v>1008</v>
      </c>
      <c r="O934" t="s">
        <v>1138</v>
      </c>
      <c r="P934" t="s">
        <v>1138</v>
      </c>
      <c r="Q934">
        <v>1</v>
      </c>
      <c r="X934">
        <v>8.4700000000000006</v>
      </c>
      <c r="Y934">
        <v>0</v>
      </c>
      <c r="Z934">
        <v>1</v>
      </c>
      <c r="AA934">
        <v>0</v>
      </c>
      <c r="AB934">
        <v>0</v>
      </c>
      <c r="AC934">
        <v>0</v>
      </c>
      <c r="AD934">
        <v>1</v>
      </c>
      <c r="AE934">
        <v>0</v>
      </c>
      <c r="AF934" t="s">
        <v>86</v>
      </c>
      <c r="AG934">
        <v>10.5875</v>
      </c>
      <c r="AH934">
        <v>2</v>
      </c>
      <c r="AI934">
        <v>129764339</v>
      </c>
      <c r="AJ934">
        <v>960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</row>
    <row r="935" spans="1:44" x14ac:dyDescent="0.2">
      <c r="A935">
        <f>ROW(Source!A1127)</f>
        <v>1127</v>
      </c>
      <c r="B935">
        <v>129764347</v>
      </c>
      <c r="C935">
        <v>129764337</v>
      </c>
      <c r="D935">
        <v>37360556</v>
      </c>
      <c r="E935">
        <v>37345137</v>
      </c>
      <c r="F935">
        <v>1</v>
      </c>
      <c r="G935">
        <v>37345137</v>
      </c>
      <c r="H935">
        <v>3</v>
      </c>
      <c r="I935" t="s">
        <v>1509</v>
      </c>
      <c r="J935" t="s">
        <v>3</v>
      </c>
      <c r="K935" t="s">
        <v>1510</v>
      </c>
      <c r="L935">
        <v>1346</v>
      </c>
      <c r="N935">
        <v>1009</v>
      </c>
      <c r="O935" t="s">
        <v>369</v>
      </c>
      <c r="P935" t="s">
        <v>369</v>
      </c>
      <c r="Q935">
        <v>1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 t="s">
        <v>3</v>
      </c>
      <c r="AG935">
        <v>0</v>
      </c>
      <c r="AH935">
        <v>3</v>
      </c>
      <c r="AI935">
        <v>-1</v>
      </c>
      <c r="AJ935" t="s">
        <v>3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</row>
    <row r="936" spans="1:44" x14ac:dyDescent="0.2">
      <c r="A936">
        <f>ROW(Source!A1127)</f>
        <v>1127</v>
      </c>
      <c r="B936">
        <v>129764348</v>
      </c>
      <c r="C936">
        <v>129764337</v>
      </c>
      <c r="D936">
        <v>37360865</v>
      </c>
      <c r="E936">
        <v>37345137</v>
      </c>
      <c r="F936">
        <v>1</v>
      </c>
      <c r="G936">
        <v>37345137</v>
      </c>
      <c r="H936">
        <v>3</v>
      </c>
      <c r="I936" t="s">
        <v>1517</v>
      </c>
      <c r="J936" t="s">
        <v>3</v>
      </c>
      <c r="K936" t="s">
        <v>1518</v>
      </c>
      <c r="L936">
        <v>1301</v>
      </c>
      <c r="N936">
        <v>1003</v>
      </c>
      <c r="O936" t="s">
        <v>270</v>
      </c>
      <c r="P936" t="s">
        <v>270</v>
      </c>
      <c r="Q936">
        <v>1</v>
      </c>
      <c r="X936">
        <v>99.8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 t="s">
        <v>3</v>
      </c>
      <c r="AG936">
        <v>99.8</v>
      </c>
      <c r="AH936">
        <v>3</v>
      </c>
      <c r="AI936">
        <v>-1</v>
      </c>
      <c r="AJ936" t="s">
        <v>3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</row>
    <row r="937" spans="1:44" x14ac:dyDescent="0.2">
      <c r="A937">
        <f>ROW(Source!A1127)</f>
        <v>1127</v>
      </c>
      <c r="B937">
        <v>129764349</v>
      </c>
      <c r="C937">
        <v>129764337</v>
      </c>
      <c r="D937">
        <v>37360473</v>
      </c>
      <c r="E937">
        <v>37345137</v>
      </c>
      <c r="F937">
        <v>1</v>
      </c>
      <c r="G937">
        <v>37345137</v>
      </c>
      <c r="H937">
        <v>3</v>
      </c>
      <c r="I937" t="s">
        <v>1515</v>
      </c>
      <c r="J937" t="s">
        <v>3</v>
      </c>
      <c r="K937" t="s">
        <v>1516</v>
      </c>
      <c r="L937">
        <v>1354</v>
      </c>
      <c r="N937">
        <v>1010</v>
      </c>
      <c r="O937" t="s">
        <v>250</v>
      </c>
      <c r="P937" t="s">
        <v>250</v>
      </c>
      <c r="Q937">
        <v>1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 t="s">
        <v>3</v>
      </c>
      <c r="AG937">
        <v>0</v>
      </c>
      <c r="AH937">
        <v>3</v>
      </c>
      <c r="AI937">
        <v>-1</v>
      </c>
      <c r="AJ937" t="s">
        <v>3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</row>
    <row r="938" spans="1:44" x14ac:dyDescent="0.2">
      <c r="A938">
        <f>ROW(Source!A1127)</f>
        <v>1127</v>
      </c>
      <c r="B938">
        <v>129764350</v>
      </c>
      <c r="C938">
        <v>129764337</v>
      </c>
      <c r="D938">
        <v>37367082</v>
      </c>
      <c r="E938">
        <v>37345137</v>
      </c>
      <c r="F938">
        <v>1</v>
      </c>
      <c r="G938">
        <v>37345137</v>
      </c>
      <c r="H938">
        <v>3</v>
      </c>
      <c r="I938" t="s">
        <v>1136</v>
      </c>
      <c r="J938" t="s">
        <v>3</v>
      </c>
      <c r="K938" t="s">
        <v>1137</v>
      </c>
      <c r="L938">
        <v>1344</v>
      </c>
      <c r="N938">
        <v>1008</v>
      </c>
      <c r="O938" t="s">
        <v>1138</v>
      </c>
      <c r="P938" t="s">
        <v>1138</v>
      </c>
      <c r="Q938">
        <v>1</v>
      </c>
      <c r="X938">
        <v>189.21</v>
      </c>
      <c r="Y938">
        <v>1</v>
      </c>
      <c r="Z938">
        <v>0</v>
      </c>
      <c r="AA938">
        <v>0</v>
      </c>
      <c r="AB938">
        <v>0</v>
      </c>
      <c r="AC938">
        <v>0</v>
      </c>
      <c r="AD938">
        <v>1</v>
      </c>
      <c r="AE938">
        <v>0</v>
      </c>
      <c r="AF938" t="s">
        <v>3</v>
      </c>
      <c r="AG938">
        <v>189.21</v>
      </c>
      <c r="AH938">
        <v>2</v>
      </c>
      <c r="AI938">
        <v>129764341</v>
      </c>
      <c r="AJ938">
        <v>964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</row>
    <row r="939" spans="1:44" x14ac:dyDescent="0.2">
      <c r="A939">
        <f>ROW(Source!A1128)</f>
        <v>1128</v>
      </c>
      <c r="B939">
        <v>129764345</v>
      </c>
      <c r="C939">
        <v>129764337</v>
      </c>
      <c r="D939">
        <v>37345142</v>
      </c>
      <c r="E939">
        <v>37345137</v>
      </c>
      <c r="F939">
        <v>1</v>
      </c>
      <c r="G939">
        <v>37345137</v>
      </c>
      <c r="H939">
        <v>1</v>
      </c>
      <c r="I939" t="s">
        <v>1096</v>
      </c>
      <c r="J939" t="s">
        <v>3</v>
      </c>
      <c r="K939" t="s">
        <v>1097</v>
      </c>
      <c r="L939">
        <v>1191</v>
      </c>
      <c r="N939">
        <v>1013</v>
      </c>
      <c r="O939" t="s">
        <v>1098</v>
      </c>
      <c r="P939" t="s">
        <v>1098</v>
      </c>
      <c r="Q939">
        <v>1</v>
      </c>
      <c r="X939">
        <v>58.4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1</v>
      </c>
      <c r="AE939">
        <v>1</v>
      </c>
      <c r="AF939" t="s">
        <v>87</v>
      </c>
      <c r="AG939">
        <v>67.16</v>
      </c>
      <c r="AH939">
        <v>2</v>
      </c>
      <c r="AI939">
        <v>129764338</v>
      </c>
      <c r="AJ939">
        <v>966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</row>
    <row r="940" spans="1:44" x14ac:dyDescent="0.2">
      <c r="A940">
        <f>ROW(Source!A1128)</f>
        <v>1128</v>
      </c>
      <c r="B940">
        <v>129764346</v>
      </c>
      <c r="C940">
        <v>129764337</v>
      </c>
      <c r="D940">
        <v>37345890</v>
      </c>
      <c r="E940">
        <v>37345137</v>
      </c>
      <c r="F940">
        <v>1</v>
      </c>
      <c r="G940">
        <v>37345137</v>
      </c>
      <c r="H940">
        <v>2</v>
      </c>
      <c r="I940" t="s">
        <v>1145</v>
      </c>
      <c r="J940" t="s">
        <v>3</v>
      </c>
      <c r="K940" t="s">
        <v>1146</v>
      </c>
      <c r="L940">
        <v>1344</v>
      </c>
      <c r="N940">
        <v>1008</v>
      </c>
      <c r="O940" t="s">
        <v>1138</v>
      </c>
      <c r="P940" t="s">
        <v>1138</v>
      </c>
      <c r="Q940">
        <v>1</v>
      </c>
      <c r="X940">
        <v>8.4700000000000006</v>
      </c>
      <c r="Y940">
        <v>0</v>
      </c>
      <c r="Z940">
        <v>1</v>
      </c>
      <c r="AA940">
        <v>0</v>
      </c>
      <c r="AB940">
        <v>0</v>
      </c>
      <c r="AC940">
        <v>0</v>
      </c>
      <c r="AD940">
        <v>1</v>
      </c>
      <c r="AE940">
        <v>0</v>
      </c>
      <c r="AF940" t="s">
        <v>86</v>
      </c>
      <c r="AG940">
        <v>10.5875</v>
      </c>
      <c r="AH940">
        <v>2</v>
      </c>
      <c r="AI940">
        <v>129764339</v>
      </c>
      <c r="AJ940">
        <v>967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</row>
    <row r="941" spans="1:44" x14ac:dyDescent="0.2">
      <c r="A941">
        <f>ROW(Source!A1128)</f>
        <v>1128</v>
      </c>
      <c r="B941">
        <v>129764347</v>
      </c>
      <c r="C941">
        <v>129764337</v>
      </c>
      <c r="D941">
        <v>37360556</v>
      </c>
      <c r="E941">
        <v>37345137</v>
      </c>
      <c r="F941">
        <v>1</v>
      </c>
      <c r="G941">
        <v>37345137</v>
      </c>
      <c r="H941">
        <v>3</v>
      </c>
      <c r="I941" t="s">
        <v>1509</v>
      </c>
      <c r="J941" t="s">
        <v>3</v>
      </c>
      <c r="K941" t="s">
        <v>1510</v>
      </c>
      <c r="L941">
        <v>1346</v>
      </c>
      <c r="N941">
        <v>1009</v>
      </c>
      <c r="O941" t="s">
        <v>369</v>
      </c>
      <c r="P941" t="s">
        <v>369</v>
      </c>
      <c r="Q941">
        <v>1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 t="s">
        <v>3</v>
      </c>
      <c r="AG941">
        <v>0</v>
      </c>
      <c r="AH941">
        <v>3</v>
      </c>
      <c r="AI941">
        <v>-1</v>
      </c>
      <c r="AJ941" t="s">
        <v>3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</row>
    <row r="942" spans="1:44" x14ac:dyDescent="0.2">
      <c r="A942">
        <f>ROW(Source!A1128)</f>
        <v>1128</v>
      </c>
      <c r="B942">
        <v>129764348</v>
      </c>
      <c r="C942">
        <v>129764337</v>
      </c>
      <c r="D942">
        <v>37360865</v>
      </c>
      <c r="E942">
        <v>37345137</v>
      </c>
      <c r="F942">
        <v>1</v>
      </c>
      <c r="G942">
        <v>37345137</v>
      </c>
      <c r="H942">
        <v>3</v>
      </c>
      <c r="I942" t="s">
        <v>1517</v>
      </c>
      <c r="J942" t="s">
        <v>3</v>
      </c>
      <c r="K942" t="s">
        <v>1518</v>
      </c>
      <c r="L942">
        <v>1301</v>
      </c>
      <c r="N942">
        <v>1003</v>
      </c>
      <c r="O942" t="s">
        <v>270</v>
      </c>
      <c r="P942" t="s">
        <v>270</v>
      </c>
      <c r="Q942">
        <v>1</v>
      </c>
      <c r="X942">
        <v>99.8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 t="s">
        <v>3</v>
      </c>
      <c r="AG942">
        <v>99.8</v>
      </c>
      <c r="AH942">
        <v>3</v>
      </c>
      <c r="AI942">
        <v>-1</v>
      </c>
      <c r="AJ942" t="s">
        <v>3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</row>
    <row r="943" spans="1:44" x14ac:dyDescent="0.2">
      <c r="A943">
        <f>ROW(Source!A1128)</f>
        <v>1128</v>
      </c>
      <c r="B943">
        <v>129764349</v>
      </c>
      <c r="C943">
        <v>129764337</v>
      </c>
      <c r="D943">
        <v>37360473</v>
      </c>
      <c r="E943">
        <v>37345137</v>
      </c>
      <c r="F943">
        <v>1</v>
      </c>
      <c r="G943">
        <v>37345137</v>
      </c>
      <c r="H943">
        <v>3</v>
      </c>
      <c r="I943" t="s">
        <v>1515</v>
      </c>
      <c r="J943" t="s">
        <v>3</v>
      </c>
      <c r="K943" t="s">
        <v>1516</v>
      </c>
      <c r="L943">
        <v>1354</v>
      </c>
      <c r="N943">
        <v>1010</v>
      </c>
      <c r="O943" t="s">
        <v>250</v>
      </c>
      <c r="P943" t="s">
        <v>250</v>
      </c>
      <c r="Q943">
        <v>1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 t="s">
        <v>3</v>
      </c>
      <c r="AG943">
        <v>0</v>
      </c>
      <c r="AH943">
        <v>3</v>
      </c>
      <c r="AI943">
        <v>-1</v>
      </c>
      <c r="AJ943" t="s">
        <v>3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</row>
    <row r="944" spans="1:44" x14ac:dyDescent="0.2">
      <c r="A944">
        <f>ROW(Source!A1128)</f>
        <v>1128</v>
      </c>
      <c r="B944">
        <v>129764350</v>
      </c>
      <c r="C944">
        <v>129764337</v>
      </c>
      <c r="D944">
        <v>37367082</v>
      </c>
      <c r="E944">
        <v>37345137</v>
      </c>
      <c r="F944">
        <v>1</v>
      </c>
      <c r="G944">
        <v>37345137</v>
      </c>
      <c r="H944">
        <v>3</v>
      </c>
      <c r="I944" t="s">
        <v>1136</v>
      </c>
      <c r="J944" t="s">
        <v>3</v>
      </c>
      <c r="K944" t="s">
        <v>1137</v>
      </c>
      <c r="L944">
        <v>1344</v>
      </c>
      <c r="N944">
        <v>1008</v>
      </c>
      <c r="O944" t="s">
        <v>1138</v>
      </c>
      <c r="P944" t="s">
        <v>1138</v>
      </c>
      <c r="Q944">
        <v>1</v>
      </c>
      <c r="X944">
        <v>189.21</v>
      </c>
      <c r="Y944">
        <v>1</v>
      </c>
      <c r="Z944">
        <v>0</v>
      </c>
      <c r="AA944">
        <v>0</v>
      </c>
      <c r="AB944">
        <v>0</v>
      </c>
      <c r="AC944">
        <v>0</v>
      </c>
      <c r="AD944">
        <v>1</v>
      </c>
      <c r="AE944">
        <v>0</v>
      </c>
      <c r="AF944" t="s">
        <v>3</v>
      </c>
      <c r="AG944">
        <v>189.21</v>
      </c>
      <c r="AH944">
        <v>2</v>
      </c>
      <c r="AI944">
        <v>129764341</v>
      </c>
      <c r="AJ944">
        <v>971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</row>
    <row r="945" spans="1:44" x14ac:dyDescent="0.2">
      <c r="A945">
        <f>ROW(Source!A1137)</f>
        <v>1137</v>
      </c>
      <c r="B945">
        <v>129764367</v>
      </c>
      <c r="C945">
        <v>129764355</v>
      </c>
      <c r="D945">
        <v>37345142</v>
      </c>
      <c r="E945">
        <v>37345137</v>
      </c>
      <c r="F945">
        <v>1</v>
      </c>
      <c r="G945">
        <v>37345137</v>
      </c>
      <c r="H945">
        <v>1</v>
      </c>
      <c r="I945" t="s">
        <v>1096</v>
      </c>
      <c r="J945" t="s">
        <v>3</v>
      </c>
      <c r="K945" t="s">
        <v>1097</v>
      </c>
      <c r="L945">
        <v>1191</v>
      </c>
      <c r="N945">
        <v>1013</v>
      </c>
      <c r="O945" t="s">
        <v>1098</v>
      </c>
      <c r="P945" t="s">
        <v>1098</v>
      </c>
      <c r="Q945">
        <v>1</v>
      </c>
      <c r="X945">
        <v>56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1</v>
      </c>
      <c r="AE945">
        <v>1</v>
      </c>
      <c r="AF945" t="s">
        <v>87</v>
      </c>
      <c r="AG945">
        <v>64.399999999999991</v>
      </c>
      <c r="AH945">
        <v>2</v>
      </c>
      <c r="AI945">
        <v>129764356</v>
      </c>
      <c r="AJ945">
        <v>973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</row>
    <row r="946" spans="1:44" x14ac:dyDescent="0.2">
      <c r="A946">
        <f>ROW(Source!A1137)</f>
        <v>1137</v>
      </c>
      <c r="B946">
        <v>129764368</v>
      </c>
      <c r="C946">
        <v>129764355</v>
      </c>
      <c r="D946">
        <v>37345890</v>
      </c>
      <c r="E946">
        <v>37345137</v>
      </c>
      <c r="F946">
        <v>1</v>
      </c>
      <c r="G946">
        <v>37345137</v>
      </c>
      <c r="H946">
        <v>2</v>
      </c>
      <c r="I946" t="s">
        <v>1145</v>
      </c>
      <c r="J946" t="s">
        <v>3</v>
      </c>
      <c r="K946" t="s">
        <v>1146</v>
      </c>
      <c r="L946">
        <v>1344</v>
      </c>
      <c r="N946">
        <v>1008</v>
      </c>
      <c r="O946" t="s">
        <v>1138</v>
      </c>
      <c r="P946" t="s">
        <v>1138</v>
      </c>
      <c r="Q946">
        <v>1</v>
      </c>
      <c r="X946">
        <v>16.93</v>
      </c>
      <c r="Y946">
        <v>0</v>
      </c>
      <c r="Z946">
        <v>1</v>
      </c>
      <c r="AA946">
        <v>0</v>
      </c>
      <c r="AB946">
        <v>0</v>
      </c>
      <c r="AC946">
        <v>0</v>
      </c>
      <c r="AD946">
        <v>1</v>
      </c>
      <c r="AE946">
        <v>0</v>
      </c>
      <c r="AF946" t="s">
        <v>86</v>
      </c>
      <c r="AG946">
        <v>21.162500000000001</v>
      </c>
      <c r="AH946">
        <v>2</v>
      </c>
      <c r="AI946">
        <v>129764357</v>
      </c>
      <c r="AJ946">
        <v>974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</row>
    <row r="947" spans="1:44" x14ac:dyDescent="0.2">
      <c r="A947">
        <f>ROW(Source!A1137)</f>
        <v>1137</v>
      </c>
      <c r="B947">
        <v>129764369</v>
      </c>
      <c r="C947">
        <v>129764355</v>
      </c>
      <c r="D947">
        <v>37360556</v>
      </c>
      <c r="E947">
        <v>37345137</v>
      </c>
      <c r="F947">
        <v>1</v>
      </c>
      <c r="G947">
        <v>37345137</v>
      </c>
      <c r="H947">
        <v>3</v>
      </c>
      <c r="I947" t="s">
        <v>1509</v>
      </c>
      <c r="J947" t="s">
        <v>3</v>
      </c>
      <c r="K947" t="s">
        <v>1510</v>
      </c>
      <c r="L947">
        <v>1346</v>
      </c>
      <c r="N947">
        <v>1009</v>
      </c>
      <c r="O947" t="s">
        <v>369</v>
      </c>
      <c r="P947" t="s">
        <v>369</v>
      </c>
      <c r="Q947">
        <v>1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 t="s">
        <v>3</v>
      </c>
      <c r="AG947">
        <v>0</v>
      </c>
      <c r="AH947">
        <v>3</v>
      </c>
      <c r="AI947">
        <v>-1</v>
      </c>
      <c r="AJ947" t="s">
        <v>3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</row>
    <row r="948" spans="1:44" x14ac:dyDescent="0.2">
      <c r="A948">
        <f>ROW(Source!A1137)</f>
        <v>1137</v>
      </c>
      <c r="B948">
        <v>129764370</v>
      </c>
      <c r="C948">
        <v>129764355</v>
      </c>
      <c r="D948">
        <v>37360865</v>
      </c>
      <c r="E948">
        <v>37345137</v>
      </c>
      <c r="F948">
        <v>1</v>
      </c>
      <c r="G948">
        <v>37345137</v>
      </c>
      <c r="H948">
        <v>3</v>
      </c>
      <c r="I948" t="s">
        <v>1517</v>
      </c>
      <c r="J948" t="s">
        <v>3</v>
      </c>
      <c r="K948" t="s">
        <v>1518</v>
      </c>
      <c r="L948">
        <v>1301</v>
      </c>
      <c r="N948">
        <v>1003</v>
      </c>
      <c r="O948" t="s">
        <v>270</v>
      </c>
      <c r="P948" t="s">
        <v>270</v>
      </c>
      <c r="Q948">
        <v>1</v>
      </c>
      <c r="X948">
        <v>99.8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 t="s">
        <v>3</v>
      </c>
      <c r="AG948">
        <v>99.8</v>
      </c>
      <c r="AH948">
        <v>3</v>
      </c>
      <c r="AI948">
        <v>-1</v>
      </c>
      <c r="AJ948" t="s">
        <v>3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</row>
    <row r="949" spans="1:44" x14ac:dyDescent="0.2">
      <c r="A949">
        <f>ROW(Source!A1137)</f>
        <v>1137</v>
      </c>
      <c r="B949">
        <v>129764371</v>
      </c>
      <c r="C949">
        <v>129764355</v>
      </c>
      <c r="D949">
        <v>37360473</v>
      </c>
      <c r="E949">
        <v>37345137</v>
      </c>
      <c r="F949">
        <v>1</v>
      </c>
      <c r="G949">
        <v>37345137</v>
      </c>
      <c r="H949">
        <v>3</v>
      </c>
      <c r="I949" t="s">
        <v>1515</v>
      </c>
      <c r="J949" t="s">
        <v>3</v>
      </c>
      <c r="K949" t="s">
        <v>1516</v>
      </c>
      <c r="L949">
        <v>1354</v>
      </c>
      <c r="N949">
        <v>1010</v>
      </c>
      <c r="O949" t="s">
        <v>250</v>
      </c>
      <c r="P949" t="s">
        <v>250</v>
      </c>
      <c r="Q949">
        <v>1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 t="s">
        <v>3</v>
      </c>
      <c r="AG949">
        <v>0</v>
      </c>
      <c r="AH949">
        <v>3</v>
      </c>
      <c r="AI949">
        <v>-1</v>
      </c>
      <c r="AJ949" t="s">
        <v>3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</row>
    <row r="950" spans="1:44" x14ac:dyDescent="0.2">
      <c r="A950">
        <f>ROW(Source!A1137)</f>
        <v>1137</v>
      </c>
      <c r="B950">
        <v>129764372</v>
      </c>
      <c r="C950">
        <v>129764355</v>
      </c>
      <c r="D950">
        <v>37367082</v>
      </c>
      <c r="E950">
        <v>37345137</v>
      </c>
      <c r="F950">
        <v>1</v>
      </c>
      <c r="G950">
        <v>37345137</v>
      </c>
      <c r="H950">
        <v>3</v>
      </c>
      <c r="I950" t="s">
        <v>1136</v>
      </c>
      <c r="J950" t="s">
        <v>3</v>
      </c>
      <c r="K950" t="s">
        <v>1137</v>
      </c>
      <c r="L950">
        <v>1344</v>
      </c>
      <c r="N950">
        <v>1008</v>
      </c>
      <c r="O950" t="s">
        <v>1138</v>
      </c>
      <c r="P950" t="s">
        <v>1138</v>
      </c>
      <c r="Q950">
        <v>1</v>
      </c>
      <c r="X950">
        <v>252.56</v>
      </c>
      <c r="Y950">
        <v>1</v>
      </c>
      <c r="Z950">
        <v>0</v>
      </c>
      <c r="AA950">
        <v>0</v>
      </c>
      <c r="AB950">
        <v>0</v>
      </c>
      <c r="AC950">
        <v>0</v>
      </c>
      <c r="AD950">
        <v>1</v>
      </c>
      <c r="AE950">
        <v>0</v>
      </c>
      <c r="AF950" t="s">
        <v>3</v>
      </c>
      <c r="AG950">
        <v>252.56</v>
      </c>
      <c r="AH950">
        <v>2</v>
      </c>
      <c r="AI950">
        <v>129764359</v>
      </c>
      <c r="AJ950">
        <v>981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</row>
    <row r="951" spans="1:44" x14ac:dyDescent="0.2">
      <c r="A951">
        <f>ROW(Source!A1138)</f>
        <v>1138</v>
      </c>
      <c r="B951">
        <v>129764367</v>
      </c>
      <c r="C951">
        <v>129764355</v>
      </c>
      <c r="D951">
        <v>37345142</v>
      </c>
      <c r="E951">
        <v>37345137</v>
      </c>
      <c r="F951">
        <v>1</v>
      </c>
      <c r="G951">
        <v>37345137</v>
      </c>
      <c r="H951">
        <v>1</v>
      </c>
      <c r="I951" t="s">
        <v>1096</v>
      </c>
      <c r="J951" t="s">
        <v>3</v>
      </c>
      <c r="K951" t="s">
        <v>1097</v>
      </c>
      <c r="L951">
        <v>1191</v>
      </c>
      <c r="N951">
        <v>1013</v>
      </c>
      <c r="O951" t="s">
        <v>1098</v>
      </c>
      <c r="P951" t="s">
        <v>1098</v>
      </c>
      <c r="Q951">
        <v>1</v>
      </c>
      <c r="X951">
        <v>56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1</v>
      </c>
      <c r="AE951">
        <v>1</v>
      </c>
      <c r="AF951" t="s">
        <v>87</v>
      </c>
      <c r="AG951">
        <v>64.399999999999991</v>
      </c>
      <c r="AH951">
        <v>2</v>
      </c>
      <c r="AI951">
        <v>129764356</v>
      </c>
      <c r="AJ951">
        <v>984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</row>
    <row r="952" spans="1:44" x14ac:dyDescent="0.2">
      <c r="A952">
        <f>ROW(Source!A1138)</f>
        <v>1138</v>
      </c>
      <c r="B952">
        <v>129764368</v>
      </c>
      <c r="C952">
        <v>129764355</v>
      </c>
      <c r="D952">
        <v>37345890</v>
      </c>
      <c r="E952">
        <v>37345137</v>
      </c>
      <c r="F952">
        <v>1</v>
      </c>
      <c r="G952">
        <v>37345137</v>
      </c>
      <c r="H952">
        <v>2</v>
      </c>
      <c r="I952" t="s">
        <v>1145</v>
      </c>
      <c r="J952" t="s">
        <v>3</v>
      </c>
      <c r="K952" t="s">
        <v>1146</v>
      </c>
      <c r="L952">
        <v>1344</v>
      </c>
      <c r="N952">
        <v>1008</v>
      </c>
      <c r="O952" t="s">
        <v>1138</v>
      </c>
      <c r="P952" t="s">
        <v>1138</v>
      </c>
      <c r="Q952">
        <v>1</v>
      </c>
      <c r="X952">
        <v>16.93</v>
      </c>
      <c r="Y952">
        <v>0</v>
      </c>
      <c r="Z952">
        <v>1</v>
      </c>
      <c r="AA952">
        <v>0</v>
      </c>
      <c r="AB952">
        <v>0</v>
      </c>
      <c r="AC952">
        <v>0</v>
      </c>
      <c r="AD952">
        <v>1</v>
      </c>
      <c r="AE952">
        <v>0</v>
      </c>
      <c r="AF952" t="s">
        <v>86</v>
      </c>
      <c r="AG952">
        <v>21.162500000000001</v>
      </c>
      <c r="AH952">
        <v>2</v>
      </c>
      <c r="AI952">
        <v>129764357</v>
      </c>
      <c r="AJ952">
        <v>985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</row>
    <row r="953" spans="1:44" x14ac:dyDescent="0.2">
      <c r="A953">
        <f>ROW(Source!A1138)</f>
        <v>1138</v>
      </c>
      <c r="B953">
        <v>129764369</v>
      </c>
      <c r="C953">
        <v>129764355</v>
      </c>
      <c r="D953">
        <v>37360556</v>
      </c>
      <c r="E953">
        <v>37345137</v>
      </c>
      <c r="F953">
        <v>1</v>
      </c>
      <c r="G953">
        <v>37345137</v>
      </c>
      <c r="H953">
        <v>3</v>
      </c>
      <c r="I953" t="s">
        <v>1509</v>
      </c>
      <c r="J953" t="s">
        <v>3</v>
      </c>
      <c r="K953" t="s">
        <v>1510</v>
      </c>
      <c r="L953">
        <v>1346</v>
      </c>
      <c r="N953">
        <v>1009</v>
      </c>
      <c r="O953" t="s">
        <v>369</v>
      </c>
      <c r="P953" t="s">
        <v>369</v>
      </c>
      <c r="Q953">
        <v>1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 t="s">
        <v>3</v>
      </c>
      <c r="AG953">
        <v>0</v>
      </c>
      <c r="AH953">
        <v>3</v>
      </c>
      <c r="AI953">
        <v>-1</v>
      </c>
      <c r="AJ953" t="s">
        <v>3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</row>
    <row r="954" spans="1:44" x14ac:dyDescent="0.2">
      <c r="A954">
        <f>ROW(Source!A1138)</f>
        <v>1138</v>
      </c>
      <c r="B954">
        <v>129764370</v>
      </c>
      <c r="C954">
        <v>129764355</v>
      </c>
      <c r="D954">
        <v>37360865</v>
      </c>
      <c r="E954">
        <v>37345137</v>
      </c>
      <c r="F954">
        <v>1</v>
      </c>
      <c r="G954">
        <v>37345137</v>
      </c>
      <c r="H954">
        <v>3</v>
      </c>
      <c r="I954" t="s">
        <v>1517</v>
      </c>
      <c r="J954" t="s">
        <v>3</v>
      </c>
      <c r="K954" t="s">
        <v>1518</v>
      </c>
      <c r="L954">
        <v>1301</v>
      </c>
      <c r="N954">
        <v>1003</v>
      </c>
      <c r="O954" t="s">
        <v>270</v>
      </c>
      <c r="P954" t="s">
        <v>270</v>
      </c>
      <c r="Q954">
        <v>1</v>
      </c>
      <c r="X954">
        <v>99.8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 t="s">
        <v>3</v>
      </c>
      <c r="AG954">
        <v>99.8</v>
      </c>
      <c r="AH954">
        <v>3</v>
      </c>
      <c r="AI954">
        <v>-1</v>
      </c>
      <c r="AJ954" t="s">
        <v>3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</row>
    <row r="955" spans="1:44" x14ac:dyDescent="0.2">
      <c r="A955">
        <f>ROW(Source!A1138)</f>
        <v>1138</v>
      </c>
      <c r="B955">
        <v>129764371</v>
      </c>
      <c r="C955">
        <v>129764355</v>
      </c>
      <c r="D955">
        <v>37360473</v>
      </c>
      <c r="E955">
        <v>37345137</v>
      </c>
      <c r="F955">
        <v>1</v>
      </c>
      <c r="G955">
        <v>37345137</v>
      </c>
      <c r="H955">
        <v>3</v>
      </c>
      <c r="I955" t="s">
        <v>1515</v>
      </c>
      <c r="J955" t="s">
        <v>3</v>
      </c>
      <c r="K955" t="s">
        <v>1516</v>
      </c>
      <c r="L955">
        <v>1354</v>
      </c>
      <c r="N955">
        <v>1010</v>
      </c>
      <c r="O955" t="s">
        <v>250</v>
      </c>
      <c r="P955" t="s">
        <v>250</v>
      </c>
      <c r="Q955">
        <v>1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 t="s">
        <v>3</v>
      </c>
      <c r="AG955">
        <v>0</v>
      </c>
      <c r="AH955">
        <v>3</v>
      </c>
      <c r="AI955">
        <v>-1</v>
      </c>
      <c r="AJ955" t="s">
        <v>3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</row>
    <row r="956" spans="1:44" x14ac:dyDescent="0.2">
      <c r="A956">
        <f>ROW(Source!A1138)</f>
        <v>1138</v>
      </c>
      <c r="B956">
        <v>129764372</v>
      </c>
      <c r="C956">
        <v>129764355</v>
      </c>
      <c r="D956">
        <v>37367082</v>
      </c>
      <c r="E956">
        <v>37345137</v>
      </c>
      <c r="F956">
        <v>1</v>
      </c>
      <c r="G956">
        <v>37345137</v>
      </c>
      <c r="H956">
        <v>3</v>
      </c>
      <c r="I956" t="s">
        <v>1136</v>
      </c>
      <c r="J956" t="s">
        <v>3</v>
      </c>
      <c r="K956" t="s">
        <v>1137</v>
      </c>
      <c r="L956">
        <v>1344</v>
      </c>
      <c r="N956">
        <v>1008</v>
      </c>
      <c r="O956" t="s">
        <v>1138</v>
      </c>
      <c r="P956" t="s">
        <v>1138</v>
      </c>
      <c r="Q956">
        <v>1</v>
      </c>
      <c r="X956">
        <v>252.56</v>
      </c>
      <c r="Y956">
        <v>1</v>
      </c>
      <c r="Z956">
        <v>0</v>
      </c>
      <c r="AA956">
        <v>0</v>
      </c>
      <c r="AB956">
        <v>0</v>
      </c>
      <c r="AC956">
        <v>0</v>
      </c>
      <c r="AD956">
        <v>1</v>
      </c>
      <c r="AE956">
        <v>0</v>
      </c>
      <c r="AF956" t="s">
        <v>3</v>
      </c>
      <c r="AG956">
        <v>252.56</v>
      </c>
      <c r="AH956">
        <v>2</v>
      </c>
      <c r="AI956">
        <v>129764359</v>
      </c>
      <c r="AJ956">
        <v>992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</row>
    <row r="957" spans="1:44" x14ac:dyDescent="0.2">
      <c r="A957">
        <f>ROW(Source!A1190)</f>
        <v>1190</v>
      </c>
      <c r="B957">
        <v>129764394</v>
      </c>
      <c r="C957">
        <v>129764381</v>
      </c>
      <c r="D957">
        <v>37345142</v>
      </c>
      <c r="E957">
        <v>37345137</v>
      </c>
      <c r="F957">
        <v>1</v>
      </c>
      <c r="G957">
        <v>37345137</v>
      </c>
      <c r="H957">
        <v>1</v>
      </c>
      <c r="I957" t="s">
        <v>1096</v>
      </c>
      <c r="J957" t="s">
        <v>3</v>
      </c>
      <c r="K957" t="s">
        <v>1097</v>
      </c>
      <c r="L957">
        <v>1191</v>
      </c>
      <c r="N957">
        <v>1013</v>
      </c>
      <c r="O957" t="s">
        <v>1098</v>
      </c>
      <c r="P957" t="s">
        <v>1098</v>
      </c>
      <c r="Q957">
        <v>1</v>
      </c>
      <c r="X957">
        <v>1.95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1</v>
      </c>
      <c r="AE957">
        <v>1</v>
      </c>
      <c r="AF957" t="s">
        <v>87</v>
      </c>
      <c r="AG957">
        <v>2.2424999999999997</v>
      </c>
      <c r="AH957">
        <v>2</v>
      </c>
      <c r="AI957">
        <v>129764382</v>
      </c>
      <c r="AJ957">
        <v>995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</row>
    <row r="958" spans="1:44" x14ac:dyDescent="0.2">
      <c r="A958">
        <f>ROW(Source!A1190)</f>
        <v>1190</v>
      </c>
      <c r="B958">
        <v>129764395</v>
      </c>
      <c r="C958">
        <v>129764381</v>
      </c>
      <c r="D958">
        <v>37418445</v>
      </c>
      <c r="E958">
        <v>1</v>
      </c>
      <c r="F958">
        <v>1</v>
      </c>
      <c r="G958">
        <v>37345137</v>
      </c>
      <c r="H958">
        <v>2</v>
      </c>
      <c r="I958" t="s">
        <v>1189</v>
      </c>
      <c r="J958" t="s">
        <v>1190</v>
      </c>
      <c r="K958" t="s">
        <v>1191</v>
      </c>
      <c r="L958">
        <v>1367</v>
      </c>
      <c r="N958">
        <v>1011</v>
      </c>
      <c r="O958" t="s">
        <v>1102</v>
      </c>
      <c r="P958" t="s">
        <v>1102</v>
      </c>
      <c r="Q958">
        <v>1</v>
      </c>
      <c r="X958">
        <v>0.02</v>
      </c>
      <c r="Y958">
        <v>0</v>
      </c>
      <c r="Z958">
        <v>76.81</v>
      </c>
      <c r="AA958">
        <v>14.36</v>
      </c>
      <c r="AB958">
        <v>0</v>
      </c>
      <c r="AC958">
        <v>0</v>
      </c>
      <c r="AD958">
        <v>1</v>
      </c>
      <c r="AE958">
        <v>0</v>
      </c>
      <c r="AF958" t="s">
        <v>86</v>
      </c>
      <c r="AG958">
        <v>2.5000000000000001E-2</v>
      </c>
      <c r="AH958">
        <v>2</v>
      </c>
      <c r="AI958">
        <v>129764383</v>
      </c>
      <c r="AJ958">
        <v>996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</row>
    <row r="959" spans="1:44" x14ac:dyDescent="0.2">
      <c r="A959">
        <f>ROW(Source!A1190)</f>
        <v>1190</v>
      </c>
      <c r="B959">
        <v>129764396</v>
      </c>
      <c r="C959">
        <v>129764381</v>
      </c>
      <c r="D959">
        <v>37418479</v>
      </c>
      <c r="E959">
        <v>1</v>
      </c>
      <c r="F959">
        <v>1</v>
      </c>
      <c r="G959">
        <v>37345137</v>
      </c>
      <c r="H959">
        <v>2</v>
      </c>
      <c r="I959" t="s">
        <v>1183</v>
      </c>
      <c r="J959" t="s">
        <v>1184</v>
      </c>
      <c r="K959" t="s">
        <v>1185</v>
      </c>
      <c r="L959">
        <v>1367</v>
      </c>
      <c r="N959">
        <v>1011</v>
      </c>
      <c r="O959" t="s">
        <v>1102</v>
      </c>
      <c r="P959" t="s">
        <v>1102</v>
      </c>
      <c r="Q959">
        <v>1</v>
      </c>
      <c r="X959">
        <v>0.02</v>
      </c>
      <c r="Y959">
        <v>0</v>
      </c>
      <c r="Z959">
        <v>2.36</v>
      </c>
      <c r="AA959">
        <v>0.1</v>
      </c>
      <c r="AB959">
        <v>0</v>
      </c>
      <c r="AC959">
        <v>0</v>
      </c>
      <c r="AD959">
        <v>1</v>
      </c>
      <c r="AE959">
        <v>0</v>
      </c>
      <c r="AF959" t="s">
        <v>86</v>
      </c>
      <c r="AG959">
        <v>2.5000000000000001E-2</v>
      </c>
      <c r="AH959">
        <v>2</v>
      </c>
      <c r="AI959">
        <v>129764384</v>
      </c>
      <c r="AJ959">
        <v>997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</row>
    <row r="960" spans="1:44" x14ac:dyDescent="0.2">
      <c r="A960">
        <f>ROW(Source!A1190)</f>
        <v>1190</v>
      </c>
      <c r="B960">
        <v>129764397</v>
      </c>
      <c r="C960">
        <v>129764381</v>
      </c>
      <c r="D960">
        <v>37345890</v>
      </c>
      <c r="E960">
        <v>37345137</v>
      </c>
      <c r="F960">
        <v>1</v>
      </c>
      <c r="G960">
        <v>37345137</v>
      </c>
      <c r="H960">
        <v>2</v>
      </c>
      <c r="I960" t="s">
        <v>1145</v>
      </c>
      <c r="J960" t="s">
        <v>3</v>
      </c>
      <c r="K960" t="s">
        <v>1146</v>
      </c>
      <c r="L960">
        <v>1344</v>
      </c>
      <c r="N960">
        <v>1008</v>
      </c>
      <c r="O960" t="s">
        <v>1138</v>
      </c>
      <c r="P960" t="s">
        <v>1138</v>
      </c>
      <c r="Q960">
        <v>1</v>
      </c>
      <c r="X960">
        <v>0.01</v>
      </c>
      <c r="Y960">
        <v>0</v>
      </c>
      <c r="Z960">
        <v>1</v>
      </c>
      <c r="AA960">
        <v>0</v>
      </c>
      <c r="AB960">
        <v>0</v>
      </c>
      <c r="AC960">
        <v>0</v>
      </c>
      <c r="AD960">
        <v>1</v>
      </c>
      <c r="AE960">
        <v>0</v>
      </c>
      <c r="AF960" t="s">
        <v>86</v>
      </c>
      <c r="AG960">
        <v>1.2500000000000001E-2</v>
      </c>
      <c r="AH960">
        <v>2</v>
      </c>
      <c r="AI960">
        <v>129764385</v>
      </c>
      <c r="AJ960">
        <v>998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</row>
    <row r="961" spans="1:44" x14ac:dyDescent="0.2">
      <c r="A961">
        <f>ROW(Source!A1190)</f>
        <v>1190</v>
      </c>
      <c r="B961">
        <v>129764398</v>
      </c>
      <c r="C961">
        <v>129764381</v>
      </c>
      <c r="D961">
        <v>37394800</v>
      </c>
      <c r="E961">
        <v>1</v>
      </c>
      <c r="F961">
        <v>1</v>
      </c>
      <c r="G961">
        <v>37345137</v>
      </c>
      <c r="H961">
        <v>3</v>
      </c>
      <c r="I961" t="s">
        <v>1398</v>
      </c>
      <c r="J961" t="s">
        <v>1399</v>
      </c>
      <c r="K961" t="s">
        <v>1400</v>
      </c>
      <c r="L961">
        <v>1348</v>
      </c>
      <c r="N961">
        <v>1009</v>
      </c>
      <c r="O961" t="s">
        <v>114</v>
      </c>
      <c r="P961" t="s">
        <v>114</v>
      </c>
      <c r="Q961">
        <v>1000</v>
      </c>
      <c r="X961">
        <v>6.9999999999999994E-5</v>
      </c>
      <c r="Y961">
        <v>17750.86</v>
      </c>
      <c r="Z961">
        <v>0</v>
      </c>
      <c r="AA961">
        <v>0</v>
      </c>
      <c r="AB961">
        <v>0</v>
      </c>
      <c r="AC961">
        <v>0</v>
      </c>
      <c r="AD961">
        <v>1</v>
      </c>
      <c r="AE961">
        <v>0</v>
      </c>
      <c r="AF961" t="s">
        <v>3</v>
      </c>
      <c r="AG961">
        <v>6.9999999999999994E-5</v>
      </c>
      <c r="AH961">
        <v>2</v>
      </c>
      <c r="AI961">
        <v>129764386</v>
      </c>
      <c r="AJ961">
        <v>999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</row>
    <row r="962" spans="1:44" x14ac:dyDescent="0.2">
      <c r="A962">
        <f>ROW(Source!A1190)</f>
        <v>1190</v>
      </c>
      <c r="B962">
        <v>129764399</v>
      </c>
      <c r="C962">
        <v>129764381</v>
      </c>
      <c r="D962">
        <v>37393667</v>
      </c>
      <c r="E962">
        <v>1</v>
      </c>
      <c r="F962">
        <v>1</v>
      </c>
      <c r="G962">
        <v>37345137</v>
      </c>
      <c r="H962">
        <v>3</v>
      </c>
      <c r="I962" t="s">
        <v>1401</v>
      </c>
      <c r="J962" t="s">
        <v>1402</v>
      </c>
      <c r="K962" t="s">
        <v>1403</v>
      </c>
      <c r="L962">
        <v>1354</v>
      </c>
      <c r="N962">
        <v>1010</v>
      </c>
      <c r="O962" t="s">
        <v>250</v>
      </c>
      <c r="P962" t="s">
        <v>250</v>
      </c>
      <c r="Q962">
        <v>1</v>
      </c>
      <c r="X962">
        <v>4</v>
      </c>
      <c r="Y962">
        <v>0.89</v>
      </c>
      <c r="Z962">
        <v>0</v>
      </c>
      <c r="AA962">
        <v>0</v>
      </c>
      <c r="AB962">
        <v>0</v>
      </c>
      <c r="AC962">
        <v>0</v>
      </c>
      <c r="AD962">
        <v>1</v>
      </c>
      <c r="AE962">
        <v>0</v>
      </c>
      <c r="AF962" t="s">
        <v>3</v>
      </c>
      <c r="AG962">
        <v>4</v>
      </c>
      <c r="AH962">
        <v>2</v>
      </c>
      <c r="AI962">
        <v>129764387</v>
      </c>
      <c r="AJ962">
        <v>1000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</row>
    <row r="963" spans="1:44" x14ac:dyDescent="0.2">
      <c r="A963">
        <f>ROW(Source!A1190)</f>
        <v>1190</v>
      </c>
      <c r="B963">
        <v>129764400</v>
      </c>
      <c r="C963">
        <v>129764381</v>
      </c>
      <c r="D963">
        <v>37395666</v>
      </c>
      <c r="E963">
        <v>1</v>
      </c>
      <c r="F963">
        <v>1</v>
      </c>
      <c r="G963">
        <v>37345137</v>
      </c>
      <c r="H963">
        <v>3</v>
      </c>
      <c r="I963" t="s">
        <v>1377</v>
      </c>
      <c r="J963" t="s">
        <v>1378</v>
      </c>
      <c r="K963" t="s">
        <v>1379</v>
      </c>
      <c r="L963">
        <v>1346</v>
      </c>
      <c r="N963">
        <v>1009</v>
      </c>
      <c r="O963" t="s">
        <v>369</v>
      </c>
      <c r="P963" t="s">
        <v>369</v>
      </c>
      <c r="Q963">
        <v>1</v>
      </c>
      <c r="X963">
        <v>0.03</v>
      </c>
      <c r="Y963">
        <v>38</v>
      </c>
      <c r="Z963">
        <v>0</v>
      </c>
      <c r="AA963">
        <v>0</v>
      </c>
      <c r="AB963">
        <v>0</v>
      </c>
      <c r="AC963">
        <v>0</v>
      </c>
      <c r="AD963">
        <v>1</v>
      </c>
      <c r="AE963">
        <v>0</v>
      </c>
      <c r="AF963" t="s">
        <v>3</v>
      </c>
      <c r="AG963">
        <v>0.03</v>
      </c>
      <c r="AH963">
        <v>2</v>
      </c>
      <c r="AI963">
        <v>129764388</v>
      </c>
      <c r="AJ963">
        <v>1001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</row>
    <row r="964" spans="1:44" x14ac:dyDescent="0.2">
      <c r="A964">
        <f>ROW(Source!A1190)</f>
        <v>1190</v>
      </c>
      <c r="B964">
        <v>129764401</v>
      </c>
      <c r="C964">
        <v>129764381</v>
      </c>
      <c r="D964">
        <v>37393681</v>
      </c>
      <c r="E964">
        <v>1</v>
      </c>
      <c r="F964">
        <v>1</v>
      </c>
      <c r="G964">
        <v>37345137</v>
      </c>
      <c r="H964">
        <v>3</v>
      </c>
      <c r="I964" t="s">
        <v>1404</v>
      </c>
      <c r="J964" t="s">
        <v>1405</v>
      </c>
      <c r="K964" t="s">
        <v>1406</v>
      </c>
      <c r="L964">
        <v>1348</v>
      </c>
      <c r="N964">
        <v>1009</v>
      </c>
      <c r="O964" t="s">
        <v>114</v>
      </c>
      <c r="P964" t="s">
        <v>114</v>
      </c>
      <c r="Q964">
        <v>1000</v>
      </c>
      <c r="X964">
        <v>2.0000000000000001E-4</v>
      </c>
      <c r="Y964">
        <v>10865.5</v>
      </c>
      <c r="Z964">
        <v>0</v>
      </c>
      <c r="AA964">
        <v>0</v>
      </c>
      <c r="AB964">
        <v>0</v>
      </c>
      <c r="AC964">
        <v>0</v>
      </c>
      <c r="AD964">
        <v>1</v>
      </c>
      <c r="AE964">
        <v>0</v>
      </c>
      <c r="AF964" t="s">
        <v>3</v>
      </c>
      <c r="AG964">
        <v>2.0000000000000001E-4</v>
      </c>
      <c r="AH964">
        <v>2</v>
      </c>
      <c r="AI964">
        <v>129764389</v>
      </c>
      <c r="AJ964">
        <v>1002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</row>
    <row r="965" spans="1:44" x14ac:dyDescent="0.2">
      <c r="A965">
        <f>ROW(Source!A1190)</f>
        <v>1190</v>
      </c>
      <c r="B965">
        <v>129764402</v>
      </c>
      <c r="C965">
        <v>129764381</v>
      </c>
      <c r="D965">
        <v>37393883</v>
      </c>
      <c r="E965">
        <v>1</v>
      </c>
      <c r="F965">
        <v>1</v>
      </c>
      <c r="G965">
        <v>37345137</v>
      </c>
      <c r="H965">
        <v>3</v>
      </c>
      <c r="I965" t="s">
        <v>1383</v>
      </c>
      <c r="J965" t="s">
        <v>1384</v>
      </c>
      <c r="K965" t="s">
        <v>1385</v>
      </c>
      <c r="L965">
        <v>1348</v>
      </c>
      <c r="N965">
        <v>1009</v>
      </c>
      <c r="O965" t="s">
        <v>114</v>
      </c>
      <c r="P965" t="s">
        <v>114</v>
      </c>
      <c r="Q965">
        <v>1000</v>
      </c>
      <c r="X965">
        <v>3.8000000000000002E-4</v>
      </c>
      <c r="Y965">
        <v>16222.39</v>
      </c>
      <c r="Z965">
        <v>0</v>
      </c>
      <c r="AA965">
        <v>0</v>
      </c>
      <c r="AB965">
        <v>0</v>
      </c>
      <c r="AC965">
        <v>0</v>
      </c>
      <c r="AD965">
        <v>1</v>
      </c>
      <c r="AE965">
        <v>0</v>
      </c>
      <c r="AF965" t="s">
        <v>3</v>
      </c>
      <c r="AG965">
        <v>3.8000000000000002E-4</v>
      </c>
      <c r="AH965">
        <v>2</v>
      </c>
      <c r="AI965">
        <v>129764390</v>
      </c>
      <c r="AJ965">
        <v>1003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</row>
    <row r="966" spans="1:44" x14ac:dyDescent="0.2">
      <c r="A966">
        <f>ROW(Source!A1190)</f>
        <v>1190</v>
      </c>
      <c r="B966">
        <v>129764403</v>
      </c>
      <c r="C966">
        <v>129764381</v>
      </c>
      <c r="D966">
        <v>37394085</v>
      </c>
      <c r="E966">
        <v>1</v>
      </c>
      <c r="F966">
        <v>1</v>
      </c>
      <c r="G966">
        <v>37345137</v>
      </c>
      <c r="H966">
        <v>3</v>
      </c>
      <c r="I966" t="s">
        <v>1386</v>
      </c>
      <c r="J966" t="s">
        <v>1387</v>
      </c>
      <c r="K966" t="s">
        <v>1388</v>
      </c>
      <c r="L966">
        <v>1346</v>
      </c>
      <c r="N966">
        <v>1009</v>
      </c>
      <c r="O966" t="s">
        <v>369</v>
      </c>
      <c r="P966" t="s">
        <v>369</v>
      </c>
      <c r="Q966">
        <v>1</v>
      </c>
      <c r="X966">
        <v>0.04</v>
      </c>
      <c r="Y966">
        <v>20.190000000000001</v>
      </c>
      <c r="Z966">
        <v>0</v>
      </c>
      <c r="AA966">
        <v>0</v>
      </c>
      <c r="AB966">
        <v>0</v>
      </c>
      <c r="AC966">
        <v>0</v>
      </c>
      <c r="AD966">
        <v>1</v>
      </c>
      <c r="AE966">
        <v>0</v>
      </c>
      <c r="AF966" t="s">
        <v>3</v>
      </c>
      <c r="AG966">
        <v>0.04</v>
      </c>
      <c r="AH966">
        <v>2</v>
      </c>
      <c r="AI966">
        <v>129764391</v>
      </c>
      <c r="AJ966">
        <v>1004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</row>
    <row r="967" spans="1:44" x14ac:dyDescent="0.2">
      <c r="A967">
        <f>ROW(Source!A1190)</f>
        <v>1190</v>
      </c>
      <c r="B967">
        <v>129764404</v>
      </c>
      <c r="C967">
        <v>129764381</v>
      </c>
      <c r="D967">
        <v>37394252</v>
      </c>
      <c r="E967">
        <v>1</v>
      </c>
      <c r="F967">
        <v>1</v>
      </c>
      <c r="G967">
        <v>37345137</v>
      </c>
      <c r="H967">
        <v>3</v>
      </c>
      <c r="I967" t="s">
        <v>1237</v>
      </c>
      <c r="J967" t="s">
        <v>1238</v>
      </c>
      <c r="K967" t="s">
        <v>1239</v>
      </c>
      <c r="L967">
        <v>1348</v>
      </c>
      <c r="N967">
        <v>1009</v>
      </c>
      <c r="O967" t="s">
        <v>114</v>
      </c>
      <c r="P967" t="s">
        <v>114</v>
      </c>
      <c r="Q967">
        <v>1000</v>
      </c>
      <c r="X967">
        <v>3.6000000000000002E-4</v>
      </c>
      <c r="Y967">
        <v>6870.66</v>
      </c>
      <c r="Z967">
        <v>0</v>
      </c>
      <c r="AA967">
        <v>0</v>
      </c>
      <c r="AB967">
        <v>0</v>
      </c>
      <c r="AC967">
        <v>0</v>
      </c>
      <c r="AD967">
        <v>1</v>
      </c>
      <c r="AE967">
        <v>0</v>
      </c>
      <c r="AF967" t="s">
        <v>3</v>
      </c>
      <c r="AG967">
        <v>3.6000000000000002E-4</v>
      </c>
      <c r="AH967">
        <v>2</v>
      </c>
      <c r="AI967">
        <v>129764392</v>
      </c>
      <c r="AJ967">
        <v>1005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</row>
    <row r="968" spans="1:44" x14ac:dyDescent="0.2">
      <c r="A968">
        <f>ROW(Source!A1190)</f>
        <v>1190</v>
      </c>
      <c r="B968">
        <v>129764405</v>
      </c>
      <c r="C968">
        <v>129764381</v>
      </c>
      <c r="D968">
        <v>37360727</v>
      </c>
      <c r="E968">
        <v>37345137</v>
      </c>
      <c r="F968">
        <v>1</v>
      </c>
      <c r="G968">
        <v>37345137</v>
      </c>
      <c r="H968">
        <v>3</v>
      </c>
      <c r="I968" t="s">
        <v>1535</v>
      </c>
      <c r="J968" t="s">
        <v>3</v>
      </c>
      <c r="K968" t="s">
        <v>1536</v>
      </c>
      <c r="L968">
        <v>1354</v>
      </c>
      <c r="N968">
        <v>1010</v>
      </c>
      <c r="O968" t="s">
        <v>250</v>
      </c>
      <c r="P968" t="s">
        <v>250</v>
      </c>
      <c r="Q968">
        <v>1</v>
      </c>
      <c r="X968">
        <v>1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 t="s">
        <v>3</v>
      </c>
      <c r="AG968">
        <v>1</v>
      </c>
      <c r="AH968">
        <v>3</v>
      </c>
      <c r="AI968">
        <v>-1</v>
      </c>
      <c r="AJ968" t="s">
        <v>3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</row>
    <row r="969" spans="1:44" x14ac:dyDescent="0.2">
      <c r="A969">
        <f>ROW(Source!A1190)</f>
        <v>1190</v>
      </c>
      <c r="B969">
        <v>129764406</v>
      </c>
      <c r="C969">
        <v>129764381</v>
      </c>
      <c r="D969">
        <v>37360095</v>
      </c>
      <c r="E969">
        <v>37345137</v>
      </c>
      <c r="F969">
        <v>1</v>
      </c>
      <c r="G969">
        <v>37345137</v>
      </c>
      <c r="H969">
        <v>3</v>
      </c>
      <c r="I969" t="s">
        <v>1537</v>
      </c>
      <c r="J969" t="s">
        <v>3</v>
      </c>
      <c r="K969" t="s">
        <v>1538</v>
      </c>
      <c r="L969">
        <v>1354</v>
      </c>
      <c r="N969">
        <v>1010</v>
      </c>
      <c r="O969" t="s">
        <v>250</v>
      </c>
      <c r="P969" t="s">
        <v>250</v>
      </c>
      <c r="Q969">
        <v>1</v>
      </c>
      <c r="X969">
        <v>2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 t="s">
        <v>3</v>
      </c>
      <c r="AG969">
        <v>2</v>
      </c>
      <c r="AH969">
        <v>3</v>
      </c>
      <c r="AI969">
        <v>-1</v>
      </c>
      <c r="AJ969" t="s">
        <v>3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</row>
    <row r="970" spans="1:44" x14ac:dyDescent="0.2">
      <c r="A970">
        <f>ROW(Source!A1190)</f>
        <v>1190</v>
      </c>
      <c r="B970">
        <v>129764407</v>
      </c>
      <c r="C970">
        <v>129764381</v>
      </c>
      <c r="D970">
        <v>37360787</v>
      </c>
      <c r="E970">
        <v>37345137</v>
      </c>
      <c r="F970">
        <v>1</v>
      </c>
      <c r="G970">
        <v>37345137</v>
      </c>
      <c r="H970">
        <v>3</v>
      </c>
      <c r="I970" t="s">
        <v>1539</v>
      </c>
      <c r="J970" t="s">
        <v>3</v>
      </c>
      <c r="K970" t="s">
        <v>1540</v>
      </c>
      <c r="L970">
        <v>1354</v>
      </c>
      <c r="N970">
        <v>1010</v>
      </c>
      <c r="O970" t="s">
        <v>250</v>
      </c>
      <c r="P970" t="s">
        <v>250</v>
      </c>
      <c r="Q970">
        <v>1</v>
      </c>
      <c r="X970">
        <v>1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 t="s">
        <v>3</v>
      </c>
      <c r="AG970">
        <v>1</v>
      </c>
      <c r="AH970">
        <v>3</v>
      </c>
      <c r="AI970">
        <v>-1</v>
      </c>
      <c r="AJ970" t="s">
        <v>3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</row>
    <row r="971" spans="1:44" x14ac:dyDescent="0.2">
      <c r="A971">
        <f>ROW(Source!A1190)</f>
        <v>1190</v>
      </c>
      <c r="B971">
        <v>129764408</v>
      </c>
      <c r="C971">
        <v>129764381</v>
      </c>
      <c r="D971">
        <v>37360097</v>
      </c>
      <c r="E971">
        <v>37345137</v>
      </c>
      <c r="F971">
        <v>1</v>
      </c>
      <c r="G971">
        <v>37345137</v>
      </c>
      <c r="H971">
        <v>3</v>
      </c>
      <c r="I971" t="s">
        <v>1541</v>
      </c>
      <c r="J971" t="s">
        <v>3</v>
      </c>
      <c r="K971" t="s">
        <v>1542</v>
      </c>
      <c r="L971">
        <v>1354</v>
      </c>
      <c r="N971">
        <v>1010</v>
      </c>
      <c r="O971" t="s">
        <v>250</v>
      </c>
      <c r="P971" t="s">
        <v>250</v>
      </c>
      <c r="Q971">
        <v>1</v>
      </c>
      <c r="X971">
        <v>1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 t="s">
        <v>3</v>
      </c>
      <c r="AG971">
        <v>1</v>
      </c>
      <c r="AH971">
        <v>3</v>
      </c>
      <c r="AI971">
        <v>-1</v>
      </c>
      <c r="AJ971" t="s">
        <v>3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</row>
    <row r="972" spans="1:44" x14ac:dyDescent="0.2">
      <c r="A972">
        <f>ROW(Source!A1191)</f>
        <v>1191</v>
      </c>
      <c r="B972">
        <v>129764394</v>
      </c>
      <c r="C972">
        <v>129764381</v>
      </c>
      <c r="D972">
        <v>37345142</v>
      </c>
      <c r="E972">
        <v>37345137</v>
      </c>
      <c r="F972">
        <v>1</v>
      </c>
      <c r="G972">
        <v>37345137</v>
      </c>
      <c r="H972">
        <v>1</v>
      </c>
      <c r="I972" t="s">
        <v>1096</v>
      </c>
      <c r="J972" t="s">
        <v>3</v>
      </c>
      <c r="K972" t="s">
        <v>1097</v>
      </c>
      <c r="L972">
        <v>1191</v>
      </c>
      <c r="N972">
        <v>1013</v>
      </c>
      <c r="O972" t="s">
        <v>1098</v>
      </c>
      <c r="P972" t="s">
        <v>1098</v>
      </c>
      <c r="Q972">
        <v>1</v>
      </c>
      <c r="X972">
        <v>1.95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1</v>
      </c>
      <c r="AE972">
        <v>1</v>
      </c>
      <c r="AF972" t="s">
        <v>87</v>
      </c>
      <c r="AG972">
        <v>2.2424999999999997</v>
      </c>
      <c r="AH972">
        <v>2</v>
      </c>
      <c r="AI972">
        <v>129764382</v>
      </c>
      <c r="AJ972">
        <v>1009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</row>
    <row r="973" spans="1:44" x14ac:dyDescent="0.2">
      <c r="A973">
        <f>ROW(Source!A1191)</f>
        <v>1191</v>
      </c>
      <c r="B973">
        <v>129764395</v>
      </c>
      <c r="C973">
        <v>129764381</v>
      </c>
      <c r="D973">
        <v>37418445</v>
      </c>
      <c r="E973">
        <v>1</v>
      </c>
      <c r="F973">
        <v>1</v>
      </c>
      <c r="G973">
        <v>37345137</v>
      </c>
      <c r="H973">
        <v>2</v>
      </c>
      <c r="I973" t="s">
        <v>1189</v>
      </c>
      <c r="J973" t="s">
        <v>1190</v>
      </c>
      <c r="K973" t="s">
        <v>1191</v>
      </c>
      <c r="L973">
        <v>1367</v>
      </c>
      <c r="N973">
        <v>1011</v>
      </c>
      <c r="O973" t="s">
        <v>1102</v>
      </c>
      <c r="P973" t="s">
        <v>1102</v>
      </c>
      <c r="Q973">
        <v>1</v>
      </c>
      <c r="X973">
        <v>0.02</v>
      </c>
      <c r="Y973">
        <v>0</v>
      </c>
      <c r="Z973">
        <v>76.81</v>
      </c>
      <c r="AA973">
        <v>14.36</v>
      </c>
      <c r="AB973">
        <v>0</v>
      </c>
      <c r="AC973">
        <v>0</v>
      </c>
      <c r="AD973">
        <v>1</v>
      </c>
      <c r="AE973">
        <v>0</v>
      </c>
      <c r="AF973" t="s">
        <v>86</v>
      </c>
      <c r="AG973">
        <v>2.5000000000000001E-2</v>
      </c>
      <c r="AH973">
        <v>2</v>
      </c>
      <c r="AI973">
        <v>129764383</v>
      </c>
      <c r="AJ973">
        <v>1010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</row>
    <row r="974" spans="1:44" x14ac:dyDescent="0.2">
      <c r="A974">
        <f>ROW(Source!A1191)</f>
        <v>1191</v>
      </c>
      <c r="B974">
        <v>129764396</v>
      </c>
      <c r="C974">
        <v>129764381</v>
      </c>
      <c r="D974">
        <v>37418479</v>
      </c>
      <c r="E974">
        <v>1</v>
      </c>
      <c r="F974">
        <v>1</v>
      </c>
      <c r="G974">
        <v>37345137</v>
      </c>
      <c r="H974">
        <v>2</v>
      </c>
      <c r="I974" t="s">
        <v>1183</v>
      </c>
      <c r="J974" t="s">
        <v>1184</v>
      </c>
      <c r="K974" t="s">
        <v>1185</v>
      </c>
      <c r="L974">
        <v>1367</v>
      </c>
      <c r="N974">
        <v>1011</v>
      </c>
      <c r="O974" t="s">
        <v>1102</v>
      </c>
      <c r="P974" t="s">
        <v>1102</v>
      </c>
      <c r="Q974">
        <v>1</v>
      </c>
      <c r="X974">
        <v>0.02</v>
      </c>
      <c r="Y974">
        <v>0</v>
      </c>
      <c r="Z974">
        <v>2.36</v>
      </c>
      <c r="AA974">
        <v>0.1</v>
      </c>
      <c r="AB974">
        <v>0</v>
      </c>
      <c r="AC974">
        <v>0</v>
      </c>
      <c r="AD974">
        <v>1</v>
      </c>
      <c r="AE974">
        <v>0</v>
      </c>
      <c r="AF974" t="s">
        <v>86</v>
      </c>
      <c r="AG974">
        <v>2.5000000000000001E-2</v>
      </c>
      <c r="AH974">
        <v>2</v>
      </c>
      <c r="AI974">
        <v>129764384</v>
      </c>
      <c r="AJ974">
        <v>1011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</row>
    <row r="975" spans="1:44" x14ac:dyDescent="0.2">
      <c r="A975">
        <f>ROW(Source!A1191)</f>
        <v>1191</v>
      </c>
      <c r="B975">
        <v>129764397</v>
      </c>
      <c r="C975">
        <v>129764381</v>
      </c>
      <c r="D975">
        <v>37345890</v>
      </c>
      <c r="E975">
        <v>37345137</v>
      </c>
      <c r="F975">
        <v>1</v>
      </c>
      <c r="G975">
        <v>37345137</v>
      </c>
      <c r="H975">
        <v>2</v>
      </c>
      <c r="I975" t="s">
        <v>1145</v>
      </c>
      <c r="J975" t="s">
        <v>3</v>
      </c>
      <c r="K975" t="s">
        <v>1146</v>
      </c>
      <c r="L975">
        <v>1344</v>
      </c>
      <c r="N975">
        <v>1008</v>
      </c>
      <c r="O975" t="s">
        <v>1138</v>
      </c>
      <c r="P975" t="s">
        <v>1138</v>
      </c>
      <c r="Q975">
        <v>1</v>
      </c>
      <c r="X975">
        <v>0.01</v>
      </c>
      <c r="Y975">
        <v>0</v>
      </c>
      <c r="Z975">
        <v>1</v>
      </c>
      <c r="AA975">
        <v>0</v>
      </c>
      <c r="AB975">
        <v>0</v>
      </c>
      <c r="AC975">
        <v>0</v>
      </c>
      <c r="AD975">
        <v>1</v>
      </c>
      <c r="AE975">
        <v>0</v>
      </c>
      <c r="AF975" t="s">
        <v>86</v>
      </c>
      <c r="AG975">
        <v>1.2500000000000001E-2</v>
      </c>
      <c r="AH975">
        <v>2</v>
      </c>
      <c r="AI975">
        <v>129764385</v>
      </c>
      <c r="AJ975">
        <v>1012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</row>
    <row r="976" spans="1:44" x14ac:dyDescent="0.2">
      <c r="A976">
        <f>ROW(Source!A1191)</f>
        <v>1191</v>
      </c>
      <c r="B976">
        <v>129764398</v>
      </c>
      <c r="C976">
        <v>129764381</v>
      </c>
      <c r="D976">
        <v>37394800</v>
      </c>
      <c r="E976">
        <v>1</v>
      </c>
      <c r="F976">
        <v>1</v>
      </c>
      <c r="G976">
        <v>37345137</v>
      </c>
      <c r="H976">
        <v>3</v>
      </c>
      <c r="I976" t="s">
        <v>1398</v>
      </c>
      <c r="J976" t="s">
        <v>1399</v>
      </c>
      <c r="K976" t="s">
        <v>1400</v>
      </c>
      <c r="L976">
        <v>1348</v>
      </c>
      <c r="N976">
        <v>1009</v>
      </c>
      <c r="O976" t="s">
        <v>114</v>
      </c>
      <c r="P976" t="s">
        <v>114</v>
      </c>
      <c r="Q976">
        <v>1000</v>
      </c>
      <c r="X976">
        <v>6.9999999999999994E-5</v>
      </c>
      <c r="Y976">
        <v>17750.86</v>
      </c>
      <c r="Z976">
        <v>0</v>
      </c>
      <c r="AA976">
        <v>0</v>
      </c>
      <c r="AB976">
        <v>0</v>
      </c>
      <c r="AC976">
        <v>0</v>
      </c>
      <c r="AD976">
        <v>1</v>
      </c>
      <c r="AE976">
        <v>0</v>
      </c>
      <c r="AF976" t="s">
        <v>3</v>
      </c>
      <c r="AG976">
        <v>6.9999999999999994E-5</v>
      </c>
      <c r="AH976">
        <v>2</v>
      </c>
      <c r="AI976">
        <v>129764386</v>
      </c>
      <c r="AJ976">
        <v>1013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</row>
    <row r="977" spans="1:44" x14ac:dyDescent="0.2">
      <c r="A977">
        <f>ROW(Source!A1191)</f>
        <v>1191</v>
      </c>
      <c r="B977">
        <v>129764399</v>
      </c>
      <c r="C977">
        <v>129764381</v>
      </c>
      <c r="D977">
        <v>37393667</v>
      </c>
      <c r="E977">
        <v>1</v>
      </c>
      <c r="F977">
        <v>1</v>
      </c>
      <c r="G977">
        <v>37345137</v>
      </c>
      <c r="H977">
        <v>3</v>
      </c>
      <c r="I977" t="s">
        <v>1401</v>
      </c>
      <c r="J977" t="s">
        <v>1402</v>
      </c>
      <c r="K977" t="s">
        <v>1403</v>
      </c>
      <c r="L977">
        <v>1354</v>
      </c>
      <c r="N977">
        <v>1010</v>
      </c>
      <c r="O977" t="s">
        <v>250</v>
      </c>
      <c r="P977" t="s">
        <v>250</v>
      </c>
      <c r="Q977">
        <v>1</v>
      </c>
      <c r="X977">
        <v>4</v>
      </c>
      <c r="Y977">
        <v>0.89</v>
      </c>
      <c r="Z977">
        <v>0</v>
      </c>
      <c r="AA977">
        <v>0</v>
      </c>
      <c r="AB977">
        <v>0</v>
      </c>
      <c r="AC977">
        <v>0</v>
      </c>
      <c r="AD977">
        <v>1</v>
      </c>
      <c r="AE977">
        <v>0</v>
      </c>
      <c r="AF977" t="s">
        <v>3</v>
      </c>
      <c r="AG977">
        <v>4</v>
      </c>
      <c r="AH977">
        <v>2</v>
      </c>
      <c r="AI977">
        <v>129764387</v>
      </c>
      <c r="AJ977">
        <v>1014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</row>
    <row r="978" spans="1:44" x14ac:dyDescent="0.2">
      <c r="A978">
        <f>ROW(Source!A1191)</f>
        <v>1191</v>
      </c>
      <c r="B978">
        <v>129764400</v>
      </c>
      <c r="C978">
        <v>129764381</v>
      </c>
      <c r="D978">
        <v>37395666</v>
      </c>
      <c r="E978">
        <v>1</v>
      </c>
      <c r="F978">
        <v>1</v>
      </c>
      <c r="G978">
        <v>37345137</v>
      </c>
      <c r="H978">
        <v>3</v>
      </c>
      <c r="I978" t="s">
        <v>1377</v>
      </c>
      <c r="J978" t="s">
        <v>1378</v>
      </c>
      <c r="K978" t="s">
        <v>1379</v>
      </c>
      <c r="L978">
        <v>1346</v>
      </c>
      <c r="N978">
        <v>1009</v>
      </c>
      <c r="O978" t="s">
        <v>369</v>
      </c>
      <c r="P978" t="s">
        <v>369</v>
      </c>
      <c r="Q978">
        <v>1</v>
      </c>
      <c r="X978">
        <v>0.03</v>
      </c>
      <c r="Y978">
        <v>38</v>
      </c>
      <c r="Z978">
        <v>0</v>
      </c>
      <c r="AA978">
        <v>0</v>
      </c>
      <c r="AB978">
        <v>0</v>
      </c>
      <c r="AC978">
        <v>0</v>
      </c>
      <c r="AD978">
        <v>1</v>
      </c>
      <c r="AE978">
        <v>0</v>
      </c>
      <c r="AF978" t="s">
        <v>3</v>
      </c>
      <c r="AG978">
        <v>0.03</v>
      </c>
      <c r="AH978">
        <v>2</v>
      </c>
      <c r="AI978">
        <v>129764388</v>
      </c>
      <c r="AJ978">
        <v>1015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</row>
    <row r="979" spans="1:44" x14ac:dyDescent="0.2">
      <c r="A979">
        <f>ROW(Source!A1191)</f>
        <v>1191</v>
      </c>
      <c r="B979">
        <v>129764401</v>
      </c>
      <c r="C979">
        <v>129764381</v>
      </c>
      <c r="D979">
        <v>37393681</v>
      </c>
      <c r="E979">
        <v>1</v>
      </c>
      <c r="F979">
        <v>1</v>
      </c>
      <c r="G979">
        <v>37345137</v>
      </c>
      <c r="H979">
        <v>3</v>
      </c>
      <c r="I979" t="s">
        <v>1404</v>
      </c>
      <c r="J979" t="s">
        <v>1405</v>
      </c>
      <c r="K979" t="s">
        <v>1406</v>
      </c>
      <c r="L979">
        <v>1348</v>
      </c>
      <c r="N979">
        <v>1009</v>
      </c>
      <c r="O979" t="s">
        <v>114</v>
      </c>
      <c r="P979" t="s">
        <v>114</v>
      </c>
      <c r="Q979">
        <v>1000</v>
      </c>
      <c r="X979">
        <v>2.0000000000000001E-4</v>
      </c>
      <c r="Y979">
        <v>10865.5</v>
      </c>
      <c r="Z979">
        <v>0</v>
      </c>
      <c r="AA979">
        <v>0</v>
      </c>
      <c r="AB979">
        <v>0</v>
      </c>
      <c r="AC979">
        <v>0</v>
      </c>
      <c r="AD979">
        <v>1</v>
      </c>
      <c r="AE979">
        <v>0</v>
      </c>
      <c r="AF979" t="s">
        <v>3</v>
      </c>
      <c r="AG979">
        <v>2.0000000000000001E-4</v>
      </c>
      <c r="AH979">
        <v>2</v>
      </c>
      <c r="AI979">
        <v>129764389</v>
      </c>
      <c r="AJ979">
        <v>1016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</row>
    <row r="980" spans="1:44" x14ac:dyDescent="0.2">
      <c r="A980">
        <f>ROW(Source!A1191)</f>
        <v>1191</v>
      </c>
      <c r="B980">
        <v>129764402</v>
      </c>
      <c r="C980">
        <v>129764381</v>
      </c>
      <c r="D980">
        <v>37393883</v>
      </c>
      <c r="E980">
        <v>1</v>
      </c>
      <c r="F980">
        <v>1</v>
      </c>
      <c r="G980">
        <v>37345137</v>
      </c>
      <c r="H980">
        <v>3</v>
      </c>
      <c r="I980" t="s">
        <v>1383</v>
      </c>
      <c r="J980" t="s">
        <v>1384</v>
      </c>
      <c r="K980" t="s">
        <v>1385</v>
      </c>
      <c r="L980">
        <v>1348</v>
      </c>
      <c r="N980">
        <v>1009</v>
      </c>
      <c r="O980" t="s">
        <v>114</v>
      </c>
      <c r="P980" t="s">
        <v>114</v>
      </c>
      <c r="Q980">
        <v>1000</v>
      </c>
      <c r="X980">
        <v>3.8000000000000002E-4</v>
      </c>
      <c r="Y980">
        <v>16222.39</v>
      </c>
      <c r="Z980">
        <v>0</v>
      </c>
      <c r="AA980">
        <v>0</v>
      </c>
      <c r="AB980">
        <v>0</v>
      </c>
      <c r="AC980">
        <v>0</v>
      </c>
      <c r="AD980">
        <v>1</v>
      </c>
      <c r="AE980">
        <v>0</v>
      </c>
      <c r="AF980" t="s">
        <v>3</v>
      </c>
      <c r="AG980">
        <v>3.8000000000000002E-4</v>
      </c>
      <c r="AH980">
        <v>2</v>
      </c>
      <c r="AI980">
        <v>129764390</v>
      </c>
      <c r="AJ980">
        <v>1017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</row>
    <row r="981" spans="1:44" x14ac:dyDescent="0.2">
      <c r="A981">
        <f>ROW(Source!A1191)</f>
        <v>1191</v>
      </c>
      <c r="B981">
        <v>129764403</v>
      </c>
      <c r="C981">
        <v>129764381</v>
      </c>
      <c r="D981">
        <v>37394085</v>
      </c>
      <c r="E981">
        <v>1</v>
      </c>
      <c r="F981">
        <v>1</v>
      </c>
      <c r="G981">
        <v>37345137</v>
      </c>
      <c r="H981">
        <v>3</v>
      </c>
      <c r="I981" t="s">
        <v>1386</v>
      </c>
      <c r="J981" t="s">
        <v>1387</v>
      </c>
      <c r="K981" t="s">
        <v>1388</v>
      </c>
      <c r="L981">
        <v>1346</v>
      </c>
      <c r="N981">
        <v>1009</v>
      </c>
      <c r="O981" t="s">
        <v>369</v>
      </c>
      <c r="P981" t="s">
        <v>369</v>
      </c>
      <c r="Q981">
        <v>1</v>
      </c>
      <c r="X981">
        <v>0.04</v>
      </c>
      <c r="Y981">
        <v>20.190000000000001</v>
      </c>
      <c r="Z981">
        <v>0</v>
      </c>
      <c r="AA981">
        <v>0</v>
      </c>
      <c r="AB981">
        <v>0</v>
      </c>
      <c r="AC981">
        <v>0</v>
      </c>
      <c r="AD981">
        <v>1</v>
      </c>
      <c r="AE981">
        <v>0</v>
      </c>
      <c r="AF981" t="s">
        <v>3</v>
      </c>
      <c r="AG981">
        <v>0.04</v>
      </c>
      <c r="AH981">
        <v>2</v>
      </c>
      <c r="AI981">
        <v>129764391</v>
      </c>
      <c r="AJ981">
        <v>1018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</row>
    <row r="982" spans="1:44" x14ac:dyDescent="0.2">
      <c r="A982">
        <f>ROW(Source!A1191)</f>
        <v>1191</v>
      </c>
      <c r="B982">
        <v>129764404</v>
      </c>
      <c r="C982">
        <v>129764381</v>
      </c>
      <c r="D982">
        <v>37394252</v>
      </c>
      <c r="E982">
        <v>1</v>
      </c>
      <c r="F982">
        <v>1</v>
      </c>
      <c r="G982">
        <v>37345137</v>
      </c>
      <c r="H982">
        <v>3</v>
      </c>
      <c r="I982" t="s">
        <v>1237</v>
      </c>
      <c r="J982" t="s">
        <v>1238</v>
      </c>
      <c r="K982" t="s">
        <v>1239</v>
      </c>
      <c r="L982">
        <v>1348</v>
      </c>
      <c r="N982">
        <v>1009</v>
      </c>
      <c r="O982" t="s">
        <v>114</v>
      </c>
      <c r="P982" t="s">
        <v>114</v>
      </c>
      <c r="Q982">
        <v>1000</v>
      </c>
      <c r="X982">
        <v>3.6000000000000002E-4</v>
      </c>
      <c r="Y982">
        <v>6870.66</v>
      </c>
      <c r="Z982">
        <v>0</v>
      </c>
      <c r="AA982">
        <v>0</v>
      </c>
      <c r="AB982">
        <v>0</v>
      </c>
      <c r="AC982">
        <v>0</v>
      </c>
      <c r="AD982">
        <v>1</v>
      </c>
      <c r="AE982">
        <v>0</v>
      </c>
      <c r="AF982" t="s">
        <v>3</v>
      </c>
      <c r="AG982">
        <v>3.6000000000000002E-4</v>
      </c>
      <c r="AH982">
        <v>2</v>
      </c>
      <c r="AI982">
        <v>129764392</v>
      </c>
      <c r="AJ982">
        <v>1019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</row>
    <row r="983" spans="1:44" x14ac:dyDescent="0.2">
      <c r="A983">
        <f>ROW(Source!A1191)</f>
        <v>1191</v>
      </c>
      <c r="B983">
        <v>129764405</v>
      </c>
      <c r="C983">
        <v>129764381</v>
      </c>
      <c r="D983">
        <v>37360727</v>
      </c>
      <c r="E983">
        <v>37345137</v>
      </c>
      <c r="F983">
        <v>1</v>
      </c>
      <c r="G983">
        <v>37345137</v>
      </c>
      <c r="H983">
        <v>3</v>
      </c>
      <c r="I983" t="s">
        <v>1535</v>
      </c>
      <c r="J983" t="s">
        <v>3</v>
      </c>
      <c r="K983" t="s">
        <v>1536</v>
      </c>
      <c r="L983">
        <v>1354</v>
      </c>
      <c r="N983">
        <v>1010</v>
      </c>
      <c r="O983" t="s">
        <v>250</v>
      </c>
      <c r="P983" t="s">
        <v>250</v>
      </c>
      <c r="Q983">
        <v>1</v>
      </c>
      <c r="X983">
        <v>1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0</v>
      </c>
      <c r="AF983" t="s">
        <v>3</v>
      </c>
      <c r="AG983">
        <v>1</v>
      </c>
      <c r="AH983">
        <v>3</v>
      </c>
      <c r="AI983">
        <v>-1</v>
      </c>
      <c r="AJ983" t="s">
        <v>3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</row>
    <row r="984" spans="1:44" x14ac:dyDescent="0.2">
      <c r="A984">
        <f>ROW(Source!A1191)</f>
        <v>1191</v>
      </c>
      <c r="B984">
        <v>129764406</v>
      </c>
      <c r="C984">
        <v>129764381</v>
      </c>
      <c r="D984">
        <v>37360095</v>
      </c>
      <c r="E984">
        <v>37345137</v>
      </c>
      <c r="F984">
        <v>1</v>
      </c>
      <c r="G984">
        <v>37345137</v>
      </c>
      <c r="H984">
        <v>3</v>
      </c>
      <c r="I984" t="s">
        <v>1537</v>
      </c>
      <c r="J984" t="s">
        <v>3</v>
      </c>
      <c r="K984" t="s">
        <v>1538</v>
      </c>
      <c r="L984">
        <v>1354</v>
      </c>
      <c r="N984">
        <v>1010</v>
      </c>
      <c r="O984" t="s">
        <v>250</v>
      </c>
      <c r="P984" t="s">
        <v>250</v>
      </c>
      <c r="Q984">
        <v>1</v>
      </c>
      <c r="X984">
        <v>2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 t="s">
        <v>3</v>
      </c>
      <c r="AG984">
        <v>2</v>
      </c>
      <c r="AH984">
        <v>3</v>
      </c>
      <c r="AI984">
        <v>-1</v>
      </c>
      <c r="AJ984" t="s">
        <v>3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</row>
    <row r="985" spans="1:44" x14ac:dyDescent="0.2">
      <c r="A985">
        <f>ROW(Source!A1191)</f>
        <v>1191</v>
      </c>
      <c r="B985">
        <v>129764407</v>
      </c>
      <c r="C985">
        <v>129764381</v>
      </c>
      <c r="D985">
        <v>37360787</v>
      </c>
      <c r="E985">
        <v>37345137</v>
      </c>
      <c r="F985">
        <v>1</v>
      </c>
      <c r="G985">
        <v>37345137</v>
      </c>
      <c r="H985">
        <v>3</v>
      </c>
      <c r="I985" t="s">
        <v>1539</v>
      </c>
      <c r="J985" t="s">
        <v>3</v>
      </c>
      <c r="K985" t="s">
        <v>1540</v>
      </c>
      <c r="L985">
        <v>1354</v>
      </c>
      <c r="N985">
        <v>1010</v>
      </c>
      <c r="O985" t="s">
        <v>250</v>
      </c>
      <c r="P985" t="s">
        <v>250</v>
      </c>
      <c r="Q985">
        <v>1</v>
      </c>
      <c r="X985">
        <v>1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 t="s">
        <v>3</v>
      </c>
      <c r="AG985">
        <v>1</v>
      </c>
      <c r="AH985">
        <v>3</v>
      </c>
      <c r="AI985">
        <v>-1</v>
      </c>
      <c r="AJ985" t="s">
        <v>3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</row>
    <row r="986" spans="1:44" x14ac:dyDescent="0.2">
      <c r="A986">
        <f>ROW(Source!A1191)</f>
        <v>1191</v>
      </c>
      <c r="B986">
        <v>129764408</v>
      </c>
      <c r="C986">
        <v>129764381</v>
      </c>
      <c r="D986">
        <v>37360097</v>
      </c>
      <c r="E986">
        <v>37345137</v>
      </c>
      <c r="F986">
        <v>1</v>
      </c>
      <c r="G986">
        <v>37345137</v>
      </c>
      <c r="H986">
        <v>3</v>
      </c>
      <c r="I986" t="s">
        <v>1541</v>
      </c>
      <c r="J986" t="s">
        <v>3</v>
      </c>
      <c r="K986" t="s">
        <v>1542</v>
      </c>
      <c r="L986">
        <v>1354</v>
      </c>
      <c r="N986">
        <v>1010</v>
      </c>
      <c r="O986" t="s">
        <v>250</v>
      </c>
      <c r="P986" t="s">
        <v>250</v>
      </c>
      <c r="Q986">
        <v>1</v>
      </c>
      <c r="X986">
        <v>1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 t="s">
        <v>3</v>
      </c>
      <c r="AG986">
        <v>1</v>
      </c>
      <c r="AH986">
        <v>3</v>
      </c>
      <c r="AI986">
        <v>-1</v>
      </c>
      <c r="AJ986" t="s">
        <v>3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</row>
    <row r="987" spans="1:44" x14ac:dyDescent="0.2">
      <c r="A987">
        <f>ROW(Source!A1198)</f>
        <v>1198</v>
      </c>
      <c r="B987">
        <v>129764418</v>
      </c>
      <c r="C987">
        <v>129764410</v>
      </c>
      <c r="D987">
        <v>37345142</v>
      </c>
      <c r="E987">
        <v>37345137</v>
      </c>
      <c r="F987">
        <v>1</v>
      </c>
      <c r="G987">
        <v>37345137</v>
      </c>
      <c r="H987">
        <v>1</v>
      </c>
      <c r="I987" t="s">
        <v>1096</v>
      </c>
      <c r="J987" t="s">
        <v>3</v>
      </c>
      <c r="K987" t="s">
        <v>1097</v>
      </c>
      <c r="L987">
        <v>1191</v>
      </c>
      <c r="N987">
        <v>1013</v>
      </c>
      <c r="O987" t="s">
        <v>1098</v>
      </c>
      <c r="P987" t="s">
        <v>1098</v>
      </c>
      <c r="Q987">
        <v>1</v>
      </c>
      <c r="X987">
        <v>2.2200000000000002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1</v>
      </c>
      <c r="AE987">
        <v>1</v>
      </c>
      <c r="AF987" t="s">
        <v>87</v>
      </c>
      <c r="AG987">
        <v>2.5529999999999999</v>
      </c>
      <c r="AH987">
        <v>2</v>
      </c>
      <c r="AI987">
        <v>129764411</v>
      </c>
      <c r="AJ987">
        <v>1023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</row>
    <row r="988" spans="1:44" x14ac:dyDescent="0.2">
      <c r="A988">
        <f>ROW(Source!A1198)</f>
        <v>1198</v>
      </c>
      <c r="B988">
        <v>129764419</v>
      </c>
      <c r="C988">
        <v>129764410</v>
      </c>
      <c r="D988">
        <v>37345890</v>
      </c>
      <c r="E988">
        <v>37345137</v>
      </c>
      <c r="F988">
        <v>1</v>
      </c>
      <c r="G988">
        <v>37345137</v>
      </c>
      <c r="H988">
        <v>2</v>
      </c>
      <c r="I988" t="s">
        <v>1145</v>
      </c>
      <c r="J988" t="s">
        <v>3</v>
      </c>
      <c r="K988" t="s">
        <v>1146</v>
      </c>
      <c r="L988">
        <v>1344</v>
      </c>
      <c r="N988">
        <v>1008</v>
      </c>
      <c r="O988" t="s">
        <v>1138</v>
      </c>
      <c r="P988" t="s">
        <v>1138</v>
      </c>
      <c r="Q988">
        <v>1</v>
      </c>
      <c r="X988">
        <v>3.72</v>
      </c>
      <c r="Y988">
        <v>0</v>
      </c>
      <c r="Z988">
        <v>1</v>
      </c>
      <c r="AA988">
        <v>0</v>
      </c>
      <c r="AB988">
        <v>0</v>
      </c>
      <c r="AC988">
        <v>0</v>
      </c>
      <c r="AD988">
        <v>1</v>
      </c>
      <c r="AE988">
        <v>0</v>
      </c>
      <c r="AF988" t="s">
        <v>86</v>
      </c>
      <c r="AG988">
        <v>4.6500000000000004</v>
      </c>
      <c r="AH988">
        <v>2</v>
      </c>
      <c r="AI988">
        <v>129764412</v>
      </c>
      <c r="AJ988">
        <v>1024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</row>
    <row r="989" spans="1:44" x14ac:dyDescent="0.2">
      <c r="A989">
        <f>ROW(Source!A1198)</f>
        <v>1198</v>
      </c>
      <c r="B989">
        <v>129764420</v>
      </c>
      <c r="C989">
        <v>129764410</v>
      </c>
      <c r="D989">
        <v>45338561</v>
      </c>
      <c r="E989">
        <v>37345137</v>
      </c>
      <c r="F989">
        <v>1</v>
      </c>
      <c r="G989">
        <v>37345137</v>
      </c>
      <c r="H989">
        <v>3</v>
      </c>
      <c r="I989" t="s">
        <v>1543</v>
      </c>
      <c r="J989" t="s">
        <v>3</v>
      </c>
      <c r="K989" t="s">
        <v>1544</v>
      </c>
      <c r="L989">
        <v>1391</v>
      </c>
      <c r="N989">
        <v>1013</v>
      </c>
      <c r="O989" t="s">
        <v>238</v>
      </c>
      <c r="P989" t="s">
        <v>238</v>
      </c>
      <c r="Q989">
        <v>1</v>
      </c>
      <c r="X989">
        <v>1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0</v>
      </c>
      <c r="AF989" t="s">
        <v>3</v>
      </c>
      <c r="AG989">
        <v>1</v>
      </c>
      <c r="AH989">
        <v>3</v>
      </c>
      <c r="AI989">
        <v>-1</v>
      </c>
      <c r="AJ989" t="s">
        <v>3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0</v>
      </c>
    </row>
    <row r="990" spans="1:44" x14ac:dyDescent="0.2">
      <c r="A990">
        <f>ROW(Source!A1198)</f>
        <v>1198</v>
      </c>
      <c r="B990">
        <v>129764421</v>
      </c>
      <c r="C990">
        <v>129764410</v>
      </c>
      <c r="D990">
        <v>45338570</v>
      </c>
      <c r="E990">
        <v>37345137</v>
      </c>
      <c r="F990">
        <v>1</v>
      </c>
      <c r="G990">
        <v>37345137</v>
      </c>
      <c r="H990">
        <v>3</v>
      </c>
      <c r="I990" t="s">
        <v>1545</v>
      </c>
      <c r="J990" t="s">
        <v>3</v>
      </c>
      <c r="K990" t="s">
        <v>1546</v>
      </c>
      <c r="L990">
        <v>1391</v>
      </c>
      <c r="N990">
        <v>1013</v>
      </c>
      <c r="O990" t="s">
        <v>238</v>
      </c>
      <c r="P990" t="s">
        <v>238</v>
      </c>
      <c r="Q990">
        <v>1</v>
      </c>
      <c r="X990">
        <v>1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0</v>
      </c>
      <c r="AF990" t="s">
        <v>3</v>
      </c>
      <c r="AG990">
        <v>1</v>
      </c>
      <c r="AH990">
        <v>3</v>
      </c>
      <c r="AI990">
        <v>-1</v>
      </c>
      <c r="AJ990" t="s">
        <v>3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0</v>
      </c>
    </row>
    <row r="991" spans="1:44" x14ac:dyDescent="0.2">
      <c r="A991">
        <f>ROW(Source!A1198)</f>
        <v>1198</v>
      </c>
      <c r="B991">
        <v>129764422</v>
      </c>
      <c r="C991">
        <v>129764410</v>
      </c>
      <c r="D991">
        <v>37367082</v>
      </c>
      <c r="E991">
        <v>37345137</v>
      </c>
      <c r="F991">
        <v>1</v>
      </c>
      <c r="G991">
        <v>37345137</v>
      </c>
      <c r="H991">
        <v>3</v>
      </c>
      <c r="I991" t="s">
        <v>1136</v>
      </c>
      <c r="J991" t="s">
        <v>3</v>
      </c>
      <c r="K991" t="s">
        <v>1137</v>
      </c>
      <c r="L991">
        <v>1344</v>
      </c>
      <c r="N991">
        <v>1008</v>
      </c>
      <c r="O991" t="s">
        <v>1138</v>
      </c>
      <c r="P991" t="s">
        <v>1138</v>
      </c>
      <c r="Q991">
        <v>1</v>
      </c>
      <c r="X991">
        <v>11.48</v>
      </c>
      <c r="Y991">
        <v>1</v>
      </c>
      <c r="Z991">
        <v>0</v>
      </c>
      <c r="AA991">
        <v>0</v>
      </c>
      <c r="AB991">
        <v>0</v>
      </c>
      <c r="AC991">
        <v>0</v>
      </c>
      <c r="AD991">
        <v>1</v>
      </c>
      <c r="AE991">
        <v>0</v>
      </c>
      <c r="AF991" t="s">
        <v>3</v>
      </c>
      <c r="AG991">
        <v>11.48</v>
      </c>
      <c r="AH991">
        <v>2</v>
      </c>
      <c r="AI991">
        <v>129764415</v>
      </c>
      <c r="AJ991">
        <v>1029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0</v>
      </c>
    </row>
    <row r="992" spans="1:44" x14ac:dyDescent="0.2">
      <c r="A992">
        <f>ROW(Source!A1199)</f>
        <v>1199</v>
      </c>
      <c r="B992">
        <v>129764418</v>
      </c>
      <c r="C992">
        <v>129764410</v>
      </c>
      <c r="D992">
        <v>37345142</v>
      </c>
      <c r="E992">
        <v>37345137</v>
      </c>
      <c r="F992">
        <v>1</v>
      </c>
      <c r="G992">
        <v>37345137</v>
      </c>
      <c r="H992">
        <v>1</v>
      </c>
      <c r="I992" t="s">
        <v>1096</v>
      </c>
      <c r="J992" t="s">
        <v>3</v>
      </c>
      <c r="K992" t="s">
        <v>1097</v>
      </c>
      <c r="L992">
        <v>1191</v>
      </c>
      <c r="N992">
        <v>1013</v>
      </c>
      <c r="O992" t="s">
        <v>1098</v>
      </c>
      <c r="P992" t="s">
        <v>1098</v>
      </c>
      <c r="Q992">
        <v>1</v>
      </c>
      <c r="X992">
        <v>2.2200000000000002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1</v>
      </c>
      <c r="AE992">
        <v>1</v>
      </c>
      <c r="AF992" t="s">
        <v>87</v>
      </c>
      <c r="AG992">
        <v>2.5529999999999999</v>
      </c>
      <c r="AH992">
        <v>2</v>
      </c>
      <c r="AI992">
        <v>129764411</v>
      </c>
      <c r="AJ992">
        <v>1031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</row>
    <row r="993" spans="1:44" x14ac:dyDescent="0.2">
      <c r="A993">
        <f>ROW(Source!A1199)</f>
        <v>1199</v>
      </c>
      <c r="B993">
        <v>129764419</v>
      </c>
      <c r="C993">
        <v>129764410</v>
      </c>
      <c r="D993">
        <v>37345890</v>
      </c>
      <c r="E993">
        <v>37345137</v>
      </c>
      <c r="F993">
        <v>1</v>
      </c>
      <c r="G993">
        <v>37345137</v>
      </c>
      <c r="H993">
        <v>2</v>
      </c>
      <c r="I993" t="s">
        <v>1145</v>
      </c>
      <c r="J993" t="s">
        <v>3</v>
      </c>
      <c r="K993" t="s">
        <v>1146</v>
      </c>
      <c r="L993">
        <v>1344</v>
      </c>
      <c r="N993">
        <v>1008</v>
      </c>
      <c r="O993" t="s">
        <v>1138</v>
      </c>
      <c r="P993" t="s">
        <v>1138</v>
      </c>
      <c r="Q993">
        <v>1</v>
      </c>
      <c r="X993">
        <v>3.72</v>
      </c>
      <c r="Y993">
        <v>0</v>
      </c>
      <c r="Z993">
        <v>1</v>
      </c>
      <c r="AA993">
        <v>0</v>
      </c>
      <c r="AB993">
        <v>0</v>
      </c>
      <c r="AC993">
        <v>0</v>
      </c>
      <c r="AD993">
        <v>1</v>
      </c>
      <c r="AE993">
        <v>0</v>
      </c>
      <c r="AF993" t="s">
        <v>86</v>
      </c>
      <c r="AG993">
        <v>4.6500000000000004</v>
      </c>
      <c r="AH993">
        <v>2</v>
      </c>
      <c r="AI993">
        <v>129764412</v>
      </c>
      <c r="AJ993">
        <v>1032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0</v>
      </c>
    </row>
    <row r="994" spans="1:44" x14ac:dyDescent="0.2">
      <c r="A994">
        <f>ROW(Source!A1199)</f>
        <v>1199</v>
      </c>
      <c r="B994">
        <v>129764420</v>
      </c>
      <c r="C994">
        <v>129764410</v>
      </c>
      <c r="D994">
        <v>45338561</v>
      </c>
      <c r="E994">
        <v>37345137</v>
      </c>
      <c r="F994">
        <v>1</v>
      </c>
      <c r="G994">
        <v>37345137</v>
      </c>
      <c r="H994">
        <v>3</v>
      </c>
      <c r="I994" t="s">
        <v>1543</v>
      </c>
      <c r="J994" t="s">
        <v>3</v>
      </c>
      <c r="K994" t="s">
        <v>1544</v>
      </c>
      <c r="L994">
        <v>1391</v>
      </c>
      <c r="N994">
        <v>1013</v>
      </c>
      <c r="O994" t="s">
        <v>238</v>
      </c>
      <c r="P994" t="s">
        <v>238</v>
      </c>
      <c r="Q994">
        <v>1</v>
      </c>
      <c r="X994">
        <v>1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0</v>
      </c>
      <c r="AE994">
        <v>0</v>
      </c>
      <c r="AF994" t="s">
        <v>3</v>
      </c>
      <c r="AG994">
        <v>1</v>
      </c>
      <c r="AH994">
        <v>3</v>
      </c>
      <c r="AI994">
        <v>-1</v>
      </c>
      <c r="AJ994" t="s">
        <v>3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0</v>
      </c>
    </row>
    <row r="995" spans="1:44" x14ac:dyDescent="0.2">
      <c r="A995">
        <f>ROW(Source!A1199)</f>
        <v>1199</v>
      </c>
      <c r="B995">
        <v>129764421</v>
      </c>
      <c r="C995">
        <v>129764410</v>
      </c>
      <c r="D995">
        <v>45338570</v>
      </c>
      <c r="E995">
        <v>37345137</v>
      </c>
      <c r="F995">
        <v>1</v>
      </c>
      <c r="G995">
        <v>37345137</v>
      </c>
      <c r="H995">
        <v>3</v>
      </c>
      <c r="I995" t="s">
        <v>1545</v>
      </c>
      <c r="J995" t="s">
        <v>3</v>
      </c>
      <c r="K995" t="s">
        <v>1546</v>
      </c>
      <c r="L995">
        <v>1391</v>
      </c>
      <c r="N995">
        <v>1013</v>
      </c>
      <c r="O995" t="s">
        <v>238</v>
      </c>
      <c r="P995" t="s">
        <v>238</v>
      </c>
      <c r="Q995">
        <v>1</v>
      </c>
      <c r="X995">
        <v>1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 t="s">
        <v>3</v>
      </c>
      <c r="AG995">
        <v>1</v>
      </c>
      <c r="AH995">
        <v>3</v>
      </c>
      <c r="AI995">
        <v>-1</v>
      </c>
      <c r="AJ995" t="s">
        <v>3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</row>
    <row r="996" spans="1:44" x14ac:dyDescent="0.2">
      <c r="A996">
        <f>ROW(Source!A1199)</f>
        <v>1199</v>
      </c>
      <c r="B996">
        <v>129764422</v>
      </c>
      <c r="C996">
        <v>129764410</v>
      </c>
      <c r="D996">
        <v>37367082</v>
      </c>
      <c r="E996">
        <v>37345137</v>
      </c>
      <c r="F996">
        <v>1</v>
      </c>
      <c r="G996">
        <v>37345137</v>
      </c>
      <c r="H996">
        <v>3</v>
      </c>
      <c r="I996" t="s">
        <v>1136</v>
      </c>
      <c r="J996" t="s">
        <v>3</v>
      </c>
      <c r="K996" t="s">
        <v>1137</v>
      </c>
      <c r="L996">
        <v>1344</v>
      </c>
      <c r="N996">
        <v>1008</v>
      </c>
      <c r="O996" t="s">
        <v>1138</v>
      </c>
      <c r="P996" t="s">
        <v>1138</v>
      </c>
      <c r="Q996">
        <v>1</v>
      </c>
      <c r="X996">
        <v>11.48</v>
      </c>
      <c r="Y996">
        <v>1</v>
      </c>
      <c r="Z996">
        <v>0</v>
      </c>
      <c r="AA996">
        <v>0</v>
      </c>
      <c r="AB996">
        <v>0</v>
      </c>
      <c r="AC996">
        <v>0</v>
      </c>
      <c r="AD996">
        <v>1</v>
      </c>
      <c r="AE996">
        <v>0</v>
      </c>
      <c r="AF996" t="s">
        <v>3</v>
      </c>
      <c r="AG996">
        <v>11.48</v>
      </c>
      <c r="AH996">
        <v>2</v>
      </c>
      <c r="AI996">
        <v>129764415</v>
      </c>
      <c r="AJ996">
        <v>1037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</row>
    <row r="997" spans="1:44" x14ac:dyDescent="0.2">
      <c r="A997">
        <f>ROW(Source!A1210)</f>
        <v>1210</v>
      </c>
      <c r="B997">
        <v>129764438</v>
      </c>
      <c r="C997">
        <v>129764427</v>
      </c>
      <c r="D997">
        <v>37345142</v>
      </c>
      <c r="E997">
        <v>37345137</v>
      </c>
      <c r="F997">
        <v>1</v>
      </c>
      <c r="G997">
        <v>37345137</v>
      </c>
      <c r="H997">
        <v>1</v>
      </c>
      <c r="I997" t="s">
        <v>1096</v>
      </c>
      <c r="J997" t="s">
        <v>3</v>
      </c>
      <c r="K997" t="s">
        <v>1097</v>
      </c>
      <c r="L997">
        <v>1191</v>
      </c>
      <c r="N997">
        <v>1013</v>
      </c>
      <c r="O997" t="s">
        <v>1098</v>
      </c>
      <c r="P997" t="s">
        <v>1098</v>
      </c>
      <c r="Q997">
        <v>1</v>
      </c>
      <c r="X997">
        <v>0.99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1</v>
      </c>
      <c r="AE997">
        <v>1</v>
      </c>
      <c r="AF997" t="s">
        <v>87</v>
      </c>
      <c r="AG997">
        <v>1.1384999999999998</v>
      </c>
      <c r="AH997">
        <v>2</v>
      </c>
      <c r="AI997">
        <v>129764428</v>
      </c>
      <c r="AJ997">
        <v>1039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</row>
    <row r="998" spans="1:44" x14ac:dyDescent="0.2">
      <c r="A998">
        <f>ROW(Source!A1210)</f>
        <v>1210</v>
      </c>
      <c r="B998">
        <v>129764439</v>
      </c>
      <c r="C998">
        <v>129764427</v>
      </c>
      <c r="D998">
        <v>37418445</v>
      </c>
      <c r="E998">
        <v>1</v>
      </c>
      <c r="F998">
        <v>1</v>
      </c>
      <c r="G998">
        <v>37345137</v>
      </c>
      <c r="H998">
        <v>2</v>
      </c>
      <c r="I998" t="s">
        <v>1189</v>
      </c>
      <c r="J998" t="s">
        <v>1190</v>
      </c>
      <c r="K998" t="s">
        <v>1191</v>
      </c>
      <c r="L998">
        <v>1367</v>
      </c>
      <c r="N998">
        <v>1011</v>
      </c>
      <c r="O998" t="s">
        <v>1102</v>
      </c>
      <c r="P998" t="s">
        <v>1102</v>
      </c>
      <c r="Q998">
        <v>1</v>
      </c>
      <c r="X998">
        <v>0.06</v>
      </c>
      <c r="Y998">
        <v>0</v>
      </c>
      <c r="Z998">
        <v>76.81</v>
      </c>
      <c r="AA998">
        <v>14.36</v>
      </c>
      <c r="AB998">
        <v>0</v>
      </c>
      <c r="AC998">
        <v>0</v>
      </c>
      <c r="AD998">
        <v>1</v>
      </c>
      <c r="AE998">
        <v>0</v>
      </c>
      <c r="AF998" t="s">
        <v>86</v>
      </c>
      <c r="AG998">
        <v>7.4999999999999997E-2</v>
      </c>
      <c r="AH998">
        <v>2</v>
      </c>
      <c r="AI998">
        <v>129764429</v>
      </c>
      <c r="AJ998">
        <v>1040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0</v>
      </c>
    </row>
    <row r="999" spans="1:44" x14ac:dyDescent="0.2">
      <c r="A999">
        <f>ROW(Source!A1210)</f>
        <v>1210</v>
      </c>
      <c r="B999">
        <v>129764440</v>
      </c>
      <c r="C999">
        <v>129764427</v>
      </c>
      <c r="D999">
        <v>37394641</v>
      </c>
      <c r="E999">
        <v>1</v>
      </c>
      <c r="F999">
        <v>1</v>
      </c>
      <c r="G999">
        <v>37345137</v>
      </c>
      <c r="H999">
        <v>3</v>
      </c>
      <c r="I999" t="s">
        <v>1407</v>
      </c>
      <c r="J999" t="s">
        <v>1408</v>
      </c>
      <c r="K999" t="s">
        <v>1409</v>
      </c>
      <c r="L999">
        <v>1348</v>
      </c>
      <c r="N999">
        <v>1009</v>
      </c>
      <c r="O999" t="s">
        <v>114</v>
      </c>
      <c r="P999" t="s">
        <v>114</v>
      </c>
      <c r="Q999">
        <v>1000</v>
      </c>
      <c r="X999">
        <v>2.0000000000000001E-4</v>
      </c>
      <c r="Y999">
        <v>483.86</v>
      </c>
      <c r="Z999">
        <v>0</v>
      </c>
      <c r="AA999">
        <v>0</v>
      </c>
      <c r="AB999">
        <v>0</v>
      </c>
      <c r="AC999">
        <v>0</v>
      </c>
      <c r="AD999">
        <v>1</v>
      </c>
      <c r="AE999">
        <v>0</v>
      </c>
      <c r="AF999" t="s">
        <v>3</v>
      </c>
      <c r="AG999">
        <v>2.0000000000000001E-4</v>
      </c>
      <c r="AH999">
        <v>2</v>
      </c>
      <c r="AI999">
        <v>129764430</v>
      </c>
      <c r="AJ999">
        <v>1041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</row>
    <row r="1000" spans="1:44" x14ac:dyDescent="0.2">
      <c r="A1000">
        <f>ROW(Source!A1210)</f>
        <v>1210</v>
      </c>
      <c r="B1000">
        <v>129764441</v>
      </c>
      <c r="C1000">
        <v>129764427</v>
      </c>
      <c r="D1000">
        <v>37394962</v>
      </c>
      <c r="E1000">
        <v>1</v>
      </c>
      <c r="F1000">
        <v>1</v>
      </c>
      <c r="G1000">
        <v>37345137</v>
      </c>
      <c r="H1000">
        <v>3</v>
      </c>
      <c r="I1000" t="s">
        <v>1228</v>
      </c>
      <c r="J1000" t="s">
        <v>1229</v>
      </c>
      <c r="K1000" t="s">
        <v>1230</v>
      </c>
      <c r="L1000">
        <v>1348</v>
      </c>
      <c r="N1000">
        <v>1009</v>
      </c>
      <c r="O1000" t="s">
        <v>114</v>
      </c>
      <c r="P1000" t="s">
        <v>114</v>
      </c>
      <c r="Q1000">
        <v>1000</v>
      </c>
      <c r="X1000">
        <v>3.0000000000000001E-5</v>
      </c>
      <c r="Y1000">
        <v>8596.85</v>
      </c>
      <c r="Z1000">
        <v>0</v>
      </c>
      <c r="AA1000">
        <v>0</v>
      </c>
      <c r="AB1000">
        <v>0</v>
      </c>
      <c r="AC1000">
        <v>0</v>
      </c>
      <c r="AD1000">
        <v>1</v>
      </c>
      <c r="AE1000">
        <v>0</v>
      </c>
      <c r="AF1000" t="s">
        <v>3</v>
      </c>
      <c r="AG1000">
        <v>3.0000000000000001E-5</v>
      </c>
      <c r="AH1000">
        <v>2</v>
      </c>
      <c r="AI1000">
        <v>129764431</v>
      </c>
      <c r="AJ1000">
        <v>1042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</row>
    <row r="1001" spans="1:44" x14ac:dyDescent="0.2">
      <c r="A1001">
        <f>ROW(Source!A1210)</f>
        <v>1210</v>
      </c>
      <c r="B1001">
        <v>129764442</v>
      </c>
      <c r="C1001">
        <v>129764427</v>
      </c>
      <c r="D1001">
        <v>37395666</v>
      </c>
      <c r="E1001">
        <v>1</v>
      </c>
      <c r="F1001">
        <v>1</v>
      </c>
      <c r="G1001">
        <v>37345137</v>
      </c>
      <c r="H1001">
        <v>3</v>
      </c>
      <c r="I1001" t="s">
        <v>1377</v>
      </c>
      <c r="J1001" t="s">
        <v>1378</v>
      </c>
      <c r="K1001" t="s">
        <v>1379</v>
      </c>
      <c r="L1001">
        <v>1346</v>
      </c>
      <c r="N1001">
        <v>1009</v>
      </c>
      <c r="O1001" t="s">
        <v>369</v>
      </c>
      <c r="P1001" t="s">
        <v>369</v>
      </c>
      <c r="Q1001">
        <v>1</v>
      </c>
      <c r="X1001">
        <v>0.06</v>
      </c>
      <c r="Y1001">
        <v>38</v>
      </c>
      <c r="Z1001">
        <v>0</v>
      </c>
      <c r="AA1001">
        <v>0</v>
      </c>
      <c r="AB1001">
        <v>0</v>
      </c>
      <c r="AC1001">
        <v>0</v>
      </c>
      <c r="AD1001">
        <v>1</v>
      </c>
      <c r="AE1001">
        <v>0</v>
      </c>
      <c r="AF1001" t="s">
        <v>3</v>
      </c>
      <c r="AG1001">
        <v>0.06</v>
      </c>
      <c r="AH1001">
        <v>2</v>
      </c>
      <c r="AI1001">
        <v>129764432</v>
      </c>
      <c r="AJ1001">
        <v>1043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</row>
    <row r="1002" spans="1:44" x14ac:dyDescent="0.2">
      <c r="A1002">
        <f>ROW(Source!A1210)</f>
        <v>1210</v>
      </c>
      <c r="B1002">
        <v>129764443</v>
      </c>
      <c r="C1002">
        <v>129764427</v>
      </c>
      <c r="D1002">
        <v>37393722</v>
      </c>
      <c r="E1002">
        <v>1</v>
      </c>
      <c r="F1002">
        <v>1</v>
      </c>
      <c r="G1002">
        <v>37345137</v>
      </c>
      <c r="H1002">
        <v>3</v>
      </c>
      <c r="I1002" t="s">
        <v>1410</v>
      </c>
      <c r="J1002" t="s">
        <v>1411</v>
      </c>
      <c r="K1002" t="s">
        <v>1412</v>
      </c>
      <c r="L1002">
        <v>1348</v>
      </c>
      <c r="N1002">
        <v>1009</v>
      </c>
      <c r="O1002" t="s">
        <v>114</v>
      </c>
      <c r="P1002" t="s">
        <v>114</v>
      </c>
      <c r="Q1002">
        <v>1000</v>
      </c>
      <c r="X1002">
        <v>6.9999999999999994E-5</v>
      </c>
      <c r="Y1002">
        <v>25769.56</v>
      </c>
      <c r="Z1002">
        <v>0</v>
      </c>
      <c r="AA1002">
        <v>0</v>
      </c>
      <c r="AB1002">
        <v>0</v>
      </c>
      <c r="AC1002">
        <v>0</v>
      </c>
      <c r="AD1002">
        <v>1</v>
      </c>
      <c r="AE1002">
        <v>0</v>
      </c>
      <c r="AF1002" t="s">
        <v>3</v>
      </c>
      <c r="AG1002">
        <v>6.9999999999999994E-5</v>
      </c>
      <c r="AH1002">
        <v>2</v>
      </c>
      <c r="AI1002">
        <v>129764433</v>
      </c>
      <c r="AJ1002">
        <v>1044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</row>
    <row r="1003" spans="1:44" x14ac:dyDescent="0.2">
      <c r="A1003">
        <f>ROW(Source!A1210)</f>
        <v>1210</v>
      </c>
      <c r="B1003">
        <v>129764444</v>
      </c>
      <c r="C1003">
        <v>129764427</v>
      </c>
      <c r="D1003">
        <v>37393883</v>
      </c>
      <c r="E1003">
        <v>1</v>
      </c>
      <c r="F1003">
        <v>1</v>
      </c>
      <c r="G1003">
        <v>37345137</v>
      </c>
      <c r="H1003">
        <v>3</v>
      </c>
      <c r="I1003" t="s">
        <v>1383</v>
      </c>
      <c r="J1003" t="s">
        <v>1384</v>
      </c>
      <c r="K1003" t="s">
        <v>1385</v>
      </c>
      <c r="L1003">
        <v>1348</v>
      </c>
      <c r="N1003">
        <v>1009</v>
      </c>
      <c r="O1003" t="s">
        <v>114</v>
      </c>
      <c r="P1003" t="s">
        <v>114</v>
      </c>
      <c r="Q1003">
        <v>1000</v>
      </c>
      <c r="X1003">
        <v>1.9000000000000001E-4</v>
      </c>
      <c r="Y1003">
        <v>16222.39</v>
      </c>
      <c r="Z1003">
        <v>0</v>
      </c>
      <c r="AA1003">
        <v>0</v>
      </c>
      <c r="AB1003">
        <v>0</v>
      </c>
      <c r="AC1003">
        <v>0</v>
      </c>
      <c r="AD1003">
        <v>1</v>
      </c>
      <c r="AE1003">
        <v>0</v>
      </c>
      <c r="AF1003" t="s">
        <v>3</v>
      </c>
      <c r="AG1003">
        <v>1.9000000000000001E-4</v>
      </c>
      <c r="AH1003">
        <v>2</v>
      </c>
      <c r="AI1003">
        <v>129764434</v>
      </c>
      <c r="AJ1003">
        <v>1045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</row>
    <row r="1004" spans="1:44" x14ac:dyDescent="0.2">
      <c r="A1004">
        <f>ROW(Source!A1210)</f>
        <v>1210</v>
      </c>
      <c r="B1004">
        <v>129764445</v>
      </c>
      <c r="C1004">
        <v>129764427</v>
      </c>
      <c r="D1004">
        <v>37393498</v>
      </c>
      <c r="E1004">
        <v>1</v>
      </c>
      <c r="F1004">
        <v>1</v>
      </c>
      <c r="G1004">
        <v>37345137</v>
      </c>
      <c r="H1004">
        <v>3</v>
      </c>
      <c r="I1004" t="s">
        <v>1231</v>
      </c>
      <c r="J1004" t="s">
        <v>1232</v>
      </c>
      <c r="K1004" t="s">
        <v>1233</v>
      </c>
      <c r="L1004">
        <v>1348</v>
      </c>
      <c r="N1004">
        <v>1009</v>
      </c>
      <c r="O1004" t="s">
        <v>114</v>
      </c>
      <c r="P1004" t="s">
        <v>114</v>
      </c>
      <c r="Q1004">
        <v>1000</v>
      </c>
      <c r="X1004">
        <v>1.0000000000000001E-5</v>
      </c>
      <c r="Y1004">
        <v>17876.91</v>
      </c>
      <c r="Z1004">
        <v>0</v>
      </c>
      <c r="AA1004">
        <v>0</v>
      </c>
      <c r="AB1004">
        <v>0</v>
      </c>
      <c r="AC1004">
        <v>0</v>
      </c>
      <c r="AD1004">
        <v>1</v>
      </c>
      <c r="AE1004">
        <v>0</v>
      </c>
      <c r="AF1004" t="s">
        <v>3</v>
      </c>
      <c r="AG1004">
        <v>1.0000000000000001E-5</v>
      </c>
      <c r="AH1004">
        <v>2</v>
      </c>
      <c r="AI1004">
        <v>129764435</v>
      </c>
      <c r="AJ1004">
        <v>1046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</row>
    <row r="1005" spans="1:44" x14ac:dyDescent="0.2">
      <c r="A1005">
        <f>ROW(Source!A1210)</f>
        <v>1210</v>
      </c>
      <c r="B1005">
        <v>129764446</v>
      </c>
      <c r="C1005">
        <v>129764427</v>
      </c>
      <c r="D1005">
        <v>37394085</v>
      </c>
      <c r="E1005">
        <v>1</v>
      </c>
      <c r="F1005">
        <v>1</v>
      </c>
      <c r="G1005">
        <v>37345137</v>
      </c>
      <c r="H1005">
        <v>3</v>
      </c>
      <c r="I1005" t="s">
        <v>1386</v>
      </c>
      <c r="J1005" t="s">
        <v>1387</v>
      </c>
      <c r="K1005" t="s">
        <v>1388</v>
      </c>
      <c r="L1005">
        <v>1346</v>
      </c>
      <c r="N1005">
        <v>1009</v>
      </c>
      <c r="O1005" t="s">
        <v>369</v>
      </c>
      <c r="P1005" t="s">
        <v>369</v>
      </c>
      <c r="Q1005">
        <v>1</v>
      </c>
      <c r="X1005">
        <v>0.02</v>
      </c>
      <c r="Y1005">
        <v>20.190000000000001</v>
      </c>
      <c r="Z1005">
        <v>0</v>
      </c>
      <c r="AA1005">
        <v>0</v>
      </c>
      <c r="AB1005">
        <v>0</v>
      </c>
      <c r="AC1005">
        <v>0</v>
      </c>
      <c r="AD1005">
        <v>1</v>
      </c>
      <c r="AE1005">
        <v>0</v>
      </c>
      <c r="AF1005" t="s">
        <v>3</v>
      </c>
      <c r="AG1005">
        <v>0.02</v>
      </c>
      <c r="AH1005">
        <v>2</v>
      </c>
      <c r="AI1005">
        <v>129764436</v>
      </c>
      <c r="AJ1005">
        <v>1047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</row>
    <row r="1006" spans="1:44" x14ac:dyDescent="0.2">
      <c r="A1006">
        <f>ROW(Source!A1210)</f>
        <v>1210</v>
      </c>
      <c r="B1006">
        <v>129764447</v>
      </c>
      <c r="C1006">
        <v>129764427</v>
      </c>
      <c r="D1006">
        <v>45338506</v>
      </c>
      <c r="E1006">
        <v>37345137</v>
      </c>
      <c r="F1006">
        <v>1</v>
      </c>
      <c r="G1006">
        <v>37345137</v>
      </c>
      <c r="H1006">
        <v>3</v>
      </c>
      <c r="I1006" t="s">
        <v>1547</v>
      </c>
      <c r="J1006" t="s">
        <v>3</v>
      </c>
      <c r="K1006" t="s">
        <v>1548</v>
      </c>
      <c r="L1006">
        <v>1391</v>
      </c>
      <c r="N1006">
        <v>1013</v>
      </c>
      <c r="O1006" t="s">
        <v>238</v>
      </c>
      <c r="P1006" t="s">
        <v>238</v>
      </c>
      <c r="Q1006">
        <v>1</v>
      </c>
      <c r="X1006">
        <v>1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 t="s">
        <v>3</v>
      </c>
      <c r="AG1006">
        <v>1</v>
      </c>
      <c r="AH1006">
        <v>3</v>
      </c>
      <c r="AI1006">
        <v>-1</v>
      </c>
      <c r="AJ1006" t="s">
        <v>3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</row>
    <row r="1007" spans="1:44" x14ac:dyDescent="0.2">
      <c r="A1007">
        <f>ROW(Source!A1211)</f>
        <v>1211</v>
      </c>
      <c r="B1007">
        <v>129764438</v>
      </c>
      <c r="C1007">
        <v>129764427</v>
      </c>
      <c r="D1007">
        <v>37345142</v>
      </c>
      <c r="E1007">
        <v>37345137</v>
      </c>
      <c r="F1007">
        <v>1</v>
      </c>
      <c r="G1007">
        <v>37345137</v>
      </c>
      <c r="H1007">
        <v>1</v>
      </c>
      <c r="I1007" t="s">
        <v>1096</v>
      </c>
      <c r="J1007" t="s">
        <v>3</v>
      </c>
      <c r="K1007" t="s">
        <v>1097</v>
      </c>
      <c r="L1007">
        <v>1191</v>
      </c>
      <c r="N1007">
        <v>1013</v>
      </c>
      <c r="O1007" t="s">
        <v>1098</v>
      </c>
      <c r="P1007" t="s">
        <v>1098</v>
      </c>
      <c r="Q1007">
        <v>1</v>
      </c>
      <c r="X1007">
        <v>0.99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1</v>
      </c>
      <c r="AE1007">
        <v>1</v>
      </c>
      <c r="AF1007" t="s">
        <v>87</v>
      </c>
      <c r="AG1007">
        <v>1.1384999999999998</v>
      </c>
      <c r="AH1007">
        <v>2</v>
      </c>
      <c r="AI1007">
        <v>129764428</v>
      </c>
      <c r="AJ1007">
        <v>1050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</row>
    <row r="1008" spans="1:44" x14ac:dyDescent="0.2">
      <c r="A1008">
        <f>ROW(Source!A1211)</f>
        <v>1211</v>
      </c>
      <c r="B1008">
        <v>129764439</v>
      </c>
      <c r="C1008">
        <v>129764427</v>
      </c>
      <c r="D1008">
        <v>37418445</v>
      </c>
      <c r="E1008">
        <v>1</v>
      </c>
      <c r="F1008">
        <v>1</v>
      </c>
      <c r="G1008">
        <v>37345137</v>
      </c>
      <c r="H1008">
        <v>2</v>
      </c>
      <c r="I1008" t="s">
        <v>1189</v>
      </c>
      <c r="J1008" t="s">
        <v>1190</v>
      </c>
      <c r="K1008" t="s">
        <v>1191</v>
      </c>
      <c r="L1008">
        <v>1367</v>
      </c>
      <c r="N1008">
        <v>1011</v>
      </c>
      <c r="O1008" t="s">
        <v>1102</v>
      </c>
      <c r="P1008" t="s">
        <v>1102</v>
      </c>
      <c r="Q1008">
        <v>1</v>
      </c>
      <c r="X1008">
        <v>0.06</v>
      </c>
      <c r="Y1008">
        <v>0</v>
      </c>
      <c r="Z1008">
        <v>76.81</v>
      </c>
      <c r="AA1008">
        <v>14.36</v>
      </c>
      <c r="AB1008">
        <v>0</v>
      </c>
      <c r="AC1008">
        <v>0</v>
      </c>
      <c r="AD1008">
        <v>1</v>
      </c>
      <c r="AE1008">
        <v>0</v>
      </c>
      <c r="AF1008" t="s">
        <v>86</v>
      </c>
      <c r="AG1008">
        <v>7.4999999999999997E-2</v>
      </c>
      <c r="AH1008">
        <v>2</v>
      </c>
      <c r="AI1008">
        <v>129764429</v>
      </c>
      <c r="AJ1008">
        <v>1051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</row>
    <row r="1009" spans="1:44" x14ac:dyDescent="0.2">
      <c r="A1009">
        <f>ROW(Source!A1211)</f>
        <v>1211</v>
      </c>
      <c r="B1009">
        <v>129764440</v>
      </c>
      <c r="C1009">
        <v>129764427</v>
      </c>
      <c r="D1009">
        <v>37394641</v>
      </c>
      <c r="E1009">
        <v>1</v>
      </c>
      <c r="F1009">
        <v>1</v>
      </c>
      <c r="G1009">
        <v>37345137</v>
      </c>
      <c r="H1009">
        <v>3</v>
      </c>
      <c r="I1009" t="s">
        <v>1407</v>
      </c>
      <c r="J1009" t="s">
        <v>1408</v>
      </c>
      <c r="K1009" t="s">
        <v>1409</v>
      </c>
      <c r="L1009">
        <v>1348</v>
      </c>
      <c r="N1009">
        <v>1009</v>
      </c>
      <c r="O1009" t="s">
        <v>114</v>
      </c>
      <c r="P1009" t="s">
        <v>114</v>
      </c>
      <c r="Q1009">
        <v>1000</v>
      </c>
      <c r="X1009">
        <v>2.0000000000000001E-4</v>
      </c>
      <c r="Y1009">
        <v>483.86</v>
      </c>
      <c r="Z1009">
        <v>0</v>
      </c>
      <c r="AA1009">
        <v>0</v>
      </c>
      <c r="AB1009">
        <v>0</v>
      </c>
      <c r="AC1009">
        <v>0</v>
      </c>
      <c r="AD1009">
        <v>1</v>
      </c>
      <c r="AE1009">
        <v>0</v>
      </c>
      <c r="AF1009" t="s">
        <v>3</v>
      </c>
      <c r="AG1009">
        <v>2.0000000000000001E-4</v>
      </c>
      <c r="AH1009">
        <v>2</v>
      </c>
      <c r="AI1009">
        <v>129764430</v>
      </c>
      <c r="AJ1009">
        <v>1052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</row>
    <row r="1010" spans="1:44" x14ac:dyDescent="0.2">
      <c r="A1010">
        <f>ROW(Source!A1211)</f>
        <v>1211</v>
      </c>
      <c r="B1010">
        <v>129764441</v>
      </c>
      <c r="C1010">
        <v>129764427</v>
      </c>
      <c r="D1010">
        <v>37394962</v>
      </c>
      <c r="E1010">
        <v>1</v>
      </c>
      <c r="F1010">
        <v>1</v>
      </c>
      <c r="G1010">
        <v>37345137</v>
      </c>
      <c r="H1010">
        <v>3</v>
      </c>
      <c r="I1010" t="s">
        <v>1228</v>
      </c>
      <c r="J1010" t="s">
        <v>1229</v>
      </c>
      <c r="K1010" t="s">
        <v>1230</v>
      </c>
      <c r="L1010">
        <v>1348</v>
      </c>
      <c r="N1010">
        <v>1009</v>
      </c>
      <c r="O1010" t="s">
        <v>114</v>
      </c>
      <c r="P1010" t="s">
        <v>114</v>
      </c>
      <c r="Q1010">
        <v>1000</v>
      </c>
      <c r="X1010">
        <v>3.0000000000000001E-5</v>
      </c>
      <c r="Y1010">
        <v>8596.85</v>
      </c>
      <c r="Z1010">
        <v>0</v>
      </c>
      <c r="AA1010">
        <v>0</v>
      </c>
      <c r="AB1010">
        <v>0</v>
      </c>
      <c r="AC1010">
        <v>0</v>
      </c>
      <c r="AD1010">
        <v>1</v>
      </c>
      <c r="AE1010">
        <v>0</v>
      </c>
      <c r="AF1010" t="s">
        <v>3</v>
      </c>
      <c r="AG1010">
        <v>3.0000000000000001E-5</v>
      </c>
      <c r="AH1010">
        <v>2</v>
      </c>
      <c r="AI1010">
        <v>129764431</v>
      </c>
      <c r="AJ1010">
        <v>1053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</row>
    <row r="1011" spans="1:44" x14ac:dyDescent="0.2">
      <c r="A1011">
        <f>ROW(Source!A1211)</f>
        <v>1211</v>
      </c>
      <c r="B1011">
        <v>129764442</v>
      </c>
      <c r="C1011">
        <v>129764427</v>
      </c>
      <c r="D1011">
        <v>37395666</v>
      </c>
      <c r="E1011">
        <v>1</v>
      </c>
      <c r="F1011">
        <v>1</v>
      </c>
      <c r="G1011">
        <v>37345137</v>
      </c>
      <c r="H1011">
        <v>3</v>
      </c>
      <c r="I1011" t="s">
        <v>1377</v>
      </c>
      <c r="J1011" t="s">
        <v>1378</v>
      </c>
      <c r="K1011" t="s">
        <v>1379</v>
      </c>
      <c r="L1011">
        <v>1346</v>
      </c>
      <c r="N1011">
        <v>1009</v>
      </c>
      <c r="O1011" t="s">
        <v>369</v>
      </c>
      <c r="P1011" t="s">
        <v>369</v>
      </c>
      <c r="Q1011">
        <v>1</v>
      </c>
      <c r="X1011">
        <v>0.06</v>
      </c>
      <c r="Y1011">
        <v>38</v>
      </c>
      <c r="Z1011">
        <v>0</v>
      </c>
      <c r="AA1011">
        <v>0</v>
      </c>
      <c r="AB1011">
        <v>0</v>
      </c>
      <c r="AC1011">
        <v>0</v>
      </c>
      <c r="AD1011">
        <v>1</v>
      </c>
      <c r="AE1011">
        <v>0</v>
      </c>
      <c r="AF1011" t="s">
        <v>3</v>
      </c>
      <c r="AG1011">
        <v>0.06</v>
      </c>
      <c r="AH1011">
        <v>2</v>
      </c>
      <c r="AI1011">
        <v>129764432</v>
      </c>
      <c r="AJ1011">
        <v>1054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</row>
    <row r="1012" spans="1:44" x14ac:dyDescent="0.2">
      <c r="A1012">
        <f>ROW(Source!A1211)</f>
        <v>1211</v>
      </c>
      <c r="B1012">
        <v>129764443</v>
      </c>
      <c r="C1012">
        <v>129764427</v>
      </c>
      <c r="D1012">
        <v>37393722</v>
      </c>
      <c r="E1012">
        <v>1</v>
      </c>
      <c r="F1012">
        <v>1</v>
      </c>
      <c r="G1012">
        <v>37345137</v>
      </c>
      <c r="H1012">
        <v>3</v>
      </c>
      <c r="I1012" t="s">
        <v>1410</v>
      </c>
      <c r="J1012" t="s">
        <v>1411</v>
      </c>
      <c r="K1012" t="s">
        <v>1412</v>
      </c>
      <c r="L1012">
        <v>1348</v>
      </c>
      <c r="N1012">
        <v>1009</v>
      </c>
      <c r="O1012" t="s">
        <v>114</v>
      </c>
      <c r="P1012" t="s">
        <v>114</v>
      </c>
      <c r="Q1012">
        <v>1000</v>
      </c>
      <c r="X1012">
        <v>6.9999999999999994E-5</v>
      </c>
      <c r="Y1012">
        <v>25769.56</v>
      </c>
      <c r="Z1012">
        <v>0</v>
      </c>
      <c r="AA1012">
        <v>0</v>
      </c>
      <c r="AB1012">
        <v>0</v>
      </c>
      <c r="AC1012">
        <v>0</v>
      </c>
      <c r="AD1012">
        <v>1</v>
      </c>
      <c r="AE1012">
        <v>0</v>
      </c>
      <c r="AF1012" t="s">
        <v>3</v>
      </c>
      <c r="AG1012">
        <v>6.9999999999999994E-5</v>
      </c>
      <c r="AH1012">
        <v>2</v>
      </c>
      <c r="AI1012">
        <v>129764433</v>
      </c>
      <c r="AJ1012">
        <v>1055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</row>
    <row r="1013" spans="1:44" x14ac:dyDescent="0.2">
      <c r="A1013">
        <f>ROW(Source!A1211)</f>
        <v>1211</v>
      </c>
      <c r="B1013">
        <v>129764444</v>
      </c>
      <c r="C1013">
        <v>129764427</v>
      </c>
      <c r="D1013">
        <v>37393883</v>
      </c>
      <c r="E1013">
        <v>1</v>
      </c>
      <c r="F1013">
        <v>1</v>
      </c>
      <c r="G1013">
        <v>37345137</v>
      </c>
      <c r="H1013">
        <v>3</v>
      </c>
      <c r="I1013" t="s">
        <v>1383</v>
      </c>
      <c r="J1013" t="s">
        <v>1384</v>
      </c>
      <c r="K1013" t="s">
        <v>1385</v>
      </c>
      <c r="L1013">
        <v>1348</v>
      </c>
      <c r="N1013">
        <v>1009</v>
      </c>
      <c r="O1013" t="s">
        <v>114</v>
      </c>
      <c r="P1013" t="s">
        <v>114</v>
      </c>
      <c r="Q1013">
        <v>1000</v>
      </c>
      <c r="X1013">
        <v>1.9000000000000001E-4</v>
      </c>
      <c r="Y1013">
        <v>16222.39</v>
      </c>
      <c r="Z1013">
        <v>0</v>
      </c>
      <c r="AA1013">
        <v>0</v>
      </c>
      <c r="AB1013">
        <v>0</v>
      </c>
      <c r="AC1013">
        <v>0</v>
      </c>
      <c r="AD1013">
        <v>1</v>
      </c>
      <c r="AE1013">
        <v>0</v>
      </c>
      <c r="AF1013" t="s">
        <v>3</v>
      </c>
      <c r="AG1013">
        <v>1.9000000000000001E-4</v>
      </c>
      <c r="AH1013">
        <v>2</v>
      </c>
      <c r="AI1013">
        <v>129764434</v>
      </c>
      <c r="AJ1013">
        <v>1056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</row>
    <row r="1014" spans="1:44" x14ac:dyDescent="0.2">
      <c r="A1014">
        <f>ROW(Source!A1211)</f>
        <v>1211</v>
      </c>
      <c r="B1014">
        <v>129764445</v>
      </c>
      <c r="C1014">
        <v>129764427</v>
      </c>
      <c r="D1014">
        <v>37393498</v>
      </c>
      <c r="E1014">
        <v>1</v>
      </c>
      <c r="F1014">
        <v>1</v>
      </c>
      <c r="G1014">
        <v>37345137</v>
      </c>
      <c r="H1014">
        <v>3</v>
      </c>
      <c r="I1014" t="s">
        <v>1231</v>
      </c>
      <c r="J1014" t="s">
        <v>1232</v>
      </c>
      <c r="K1014" t="s">
        <v>1233</v>
      </c>
      <c r="L1014">
        <v>1348</v>
      </c>
      <c r="N1014">
        <v>1009</v>
      </c>
      <c r="O1014" t="s">
        <v>114</v>
      </c>
      <c r="P1014" t="s">
        <v>114</v>
      </c>
      <c r="Q1014">
        <v>1000</v>
      </c>
      <c r="X1014">
        <v>1.0000000000000001E-5</v>
      </c>
      <c r="Y1014">
        <v>17876.91</v>
      </c>
      <c r="Z1014">
        <v>0</v>
      </c>
      <c r="AA1014">
        <v>0</v>
      </c>
      <c r="AB1014">
        <v>0</v>
      </c>
      <c r="AC1014">
        <v>0</v>
      </c>
      <c r="AD1014">
        <v>1</v>
      </c>
      <c r="AE1014">
        <v>0</v>
      </c>
      <c r="AF1014" t="s">
        <v>3</v>
      </c>
      <c r="AG1014">
        <v>1.0000000000000001E-5</v>
      </c>
      <c r="AH1014">
        <v>2</v>
      </c>
      <c r="AI1014">
        <v>129764435</v>
      </c>
      <c r="AJ1014">
        <v>1057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</row>
    <row r="1015" spans="1:44" x14ac:dyDescent="0.2">
      <c r="A1015">
        <f>ROW(Source!A1211)</f>
        <v>1211</v>
      </c>
      <c r="B1015">
        <v>129764446</v>
      </c>
      <c r="C1015">
        <v>129764427</v>
      </c>
      <c r="D1015">
        <v>37394085</v>
      </c>
      <c r="E1015">
        <v>1</v>
      </c>
      <c r="F1015">
        <v>1</v>
      </c>
      <c r="G1015">
        <v>37345137</v>
      </c>
      <c r="H1015">
        <v>3</v>
      </c>
      <c r="I1015" t="s">
        <v>1386</v>
      </c>
      <c r="J1015" t="s">
        <v>1387</v>
      </c>
      <c r="K1015" t="s">
        <v>1388</v>
      </c>
      <c r="L1015">
        <v>1346</v>
      </c>
      <c r="N1015">
        <v>1009</v>
      </c>
      <c r="O1015" t="s">
        <v>369</v>
      </c>
      <c r="P1015" t="s">
        <v>369</v>
      </c>
      <c r="Q1015">
        <v>1</v>
      </c>
      <c r="X1015">
        <v>0.02</v>
      </c>
      <c r="Y1015">
        <v>20.190000000000001</v>
      </c>
      <c r="Z1015">
        <v>0</v>
      </c>
      <c r="AA1015">
        <v>0</v>
      </c>
      <c r="AB1015">
        <v>0</v>
      </c>
      <c r="AC1015">
        <v>0</v>
      </c>
      <c r="AD1015">
        <v>1</v>
      </c>
      <c r="AE1015">
        <v>0</v>
      </c>
      <c r="AF1015" t="s">
        <v>3</v>
      </c>
      <c r="AG1015">
        <v>0.02</v>
      </c>
      <c r="AH1015">
        <v>2</v>
      </c>
      <c r="AI1015">
        <v>129764436</v>
      </c>
      <c r="AJ1015">
        <v>1058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</row>
    <row r="1016" spans="1:44" x14ac:dyDescent="0.2">
      <c r="A1016">
        <f>ROW(Source!A1211)</f>
        <v>1211</v>
      </c>
      <c r="B1016">
        <v>129764447</v>
      </c>
      <c r="C1016">
        <v>129764427</v>
      </c>
      <c r="D1016">
        <v>45338506</v>
      </c>
      <c r="E1016">
        <v>37345137</v>
      </c>
      <c r="F1016">
        <v>1</v>
      </c>
      <c r="G1016">
        <v>37345137</v>
      </c>
      <c r="H1016">
        <v>3</v>
      </c>
      <c r="I1016" t="s">
        <v>1547</v>
      </c>
      <c r="J1016" t="s">
        <v>3</v>
      </c>
      <c r="K1016" t="s">
        <v>1548</v>
      </c>
      <c r="L1016">
        <v>1391</v>
      </c>
      <c r="N1016">
        <v>1013</v>
      </c>
      <c r="O1016" t="s">
        <v>238</v>
      </c>
      <c r="P1016" t="s">
        <v>238</v>
      </c>
      <c r="Q1016">
        <v>1</v>
      </c>
      <c r="X1016">
        <v>1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 t="s">
        <v>3</v>
      </c>
      <c r="AG1016">
        <v>1</v>
      </c>
      <c r="AH1016">
        <v>3</v>
      </c>
      <c r="AI1016">
        <v>-1</v>
      </c>
      <c r="AJ1016" t="s">
        <v>3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</row>
    <row r="1017" spans="1:44" x14ac:dyDescent="0.2">
      <c r="A1017">
        <f>ROW(Source!A1216)</f>
        <v>1216</v>
      </c>
      <c r="B1017">
        <v>129764453</v>
      </c>
      <c r="C1017">
        <v>129764449</v>
      </c>
      <c r="D1017">
        <v>37345142</v>
      </c>
      <c r="E1017">
        <v>37345137</v>
      </c>
      <c r="F1017">
        <v>1</v>
      </c>
      <c r="G1017">
        <v>37345137</v>
      </c>
      <c r="H1017">
        <v>1</v>
      </c>
      <c r="I1017" t="s">
        <v>1096</v>
      </c>
      <c r="J1017" t="s">
        <v>3</v>
      </c>
      <c r="K1017" t="s">
        <v>1097</v>
      </c>
      <c r="L1017">
        <v>1191</v>
      </c>
      <c r="N1017">
        <v>1013</v>
      </c>
      <c r="O1017" t="s">
        <v>1098</v>
      </c>
      <c r="P1017" t="s">
        <v>1098</v>
      </c>
      <c r="Q1017">
        <v>1</v>
      </c>
      <c r="X1017">
        <v>0.7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1</v>
      </c>
      <c r="AE1017">
        <v>1</v>
      </c>
      <c r="AF1017" t="s">
        <v>87</v>
      </c>
      <c r="AG1017">
        <v>0.80499999999999994</v>
      </c>
      <c r="AH1017">
        <v>2</v>
      </c>
      <c r="AI1017">
        <v>129764450</v>
      </c>
      <c r="AJ1017">
        <v>1061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</row>
    <row r="1018" spans="1:44" x14ac:dyDescent="0.2">
      <c r="A1018">
        <f>ROW(Source!A1216)</f>
        <v>1216</v>
      </c>
      <c r="B1018">
        <v>129764454</v>
      </c>
      <c r="C1018">
        <v>129764449</v>
      </c>
      <c r="D1018">
        <v>37360727</v>
      </c>
      <c r="E1018">
        <v>37345137</v>
      </c>
      <c r="F1018">
        <v>1</v>
      </c>
      <c r="G1018">
        <v>37345137</v>
      </c>
      <c r="H1018">
        <v>3</v>
      </c>
      <c r="I1018" t="s">
        <v>1535</v>
      </c>
      <c r="J1018" t="s">
        <v>3</v>
      </c>
      <c r="K1018" t="s">
        <v>1536</v>
      </c>
      <c r="L1018">
        <v>1354</v>
      </c>
      <c r="N1018">
        <v>1010</v>
      </c>
      <c r="O1018" t="s">
        <v>250</v>
      </c>
      <c r="P1018" t="s">
        <v>250</v>
      </c>
      <c r="Q1018">
        <v>1</v>
      </c>
      <c r="X1018">
        <v>1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 t="s">
        <v>3</v>
      </c>
      <c r="AG1018">
        <v>1</v>
      </c>
      <c r="AH1018">
        <v>3</v>
      </c>
      <c r="AI1018">
        <v>-1</v>
      </c>
      <c r="AJ1018" t="s">
        <v>3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</row>
    <row r="1019" spans="1:44" x14ac:dyDescent="0.2">
      <c r="A1019">
        <f>ROW(Source!A1216)</f>
        <v>1216</v>
      </c>
      <c r="B1019">
        <v>129764455</v>
      </c>
      <c r="C1019">
        <v>129764449</v>
      </c>
      <c r="D1019">
        <v>37367082</v>
      </c>
      <c r="E1019">
        <v>37345137</v>
      </c>
      <c r="F1019">
        <v>1</v>
      </c>
      <c r="G1019">
        <v>37345137</v>
      </c>
      <c r="H1019">
        <v>3</v>
      </c>
      <c r="I1019" t="s">
        <v>1136</v>
      </c>
      <c r="J1019" t="s">
        <v>3</v>
      </c>
      <c r="K1019" t="s">
        <v>1137</v>
      </c>
      <c r="L1019">
        <v>1344</v>
      </c>
      <c r="N1019">
        <v>1008</v>
      </c>
      <c r="O1019" t="s">
        <v>1138</v>
      </c>
      <c r="P1019" t="s">
        <v>1138</v>
      </c>
      <c r="Q1019">
        <v>1</v>
      </c>
      <c r="X1019">
        <v>0.84</v>
      </c>
      <c r="Y1019">
        <v>1</v>
      </c>
      <c r="Z1019">
        <v>0</v>
      </c>
      <c r="AA1019">
        <v>0</v>
      </c>
      <c r="AB1019">
        <v>0</v>
      </c>
      <c r="AC1019">
        <v>0</v>
      </c>
      <c r="AD1019">
        <v>1</v>
      </c>
      <c r="AE1019">
        <v>0</v>
      </c>
      <c r="AF1019" t="s">
        <v>3</v>
      </c>
      <c r="AG1019">
        <v>0.84</v>
      </c>
      <c r="AH1019">
        <v>2</v>
      </c>
      <c r="AI1019">
        <v>129764452</v>
      </c>
      <c r="AJ1019">
        <v>1063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</row>
    <row r="1020" spans="1:44" x14ac:dyDescent="0.2">
      <c r="A1020">
        <f>ROW(Source!A1217)</f>
        <v>1217</v>
      </c>
      <c r="B1020">
        <v>129764453</v>
      </c>
      <c r="C1020">
        <v>129764449</v>
      </c>
      <c r="D1020">
        <v>37345142</v>
      </c>
      <c r="E1020">
        <v>37345137</v>
      </c>
      <c r="F1020">
        <v>1</v>
      </c>
      <c r="G1020">
        <v>37345137</v>
      </c>
      <c r="H1020">
        <v>1</v>
      </c>
      <c r="I1020" t="s">
        <v>1096</v>
      </c>
      <c r="J1020" t="s">
        <v>3</v>
      </c>
      <c r="K1020" t="s">
        <v>1097</v>
      </c>
      <c r="L1020">
        <v>1191</v>
      </c>
      <c r="N1020">
        <v>1013</v>
      </c>
      <c r="O1020" t="s">
        <v>1098</v>
      </c>
      <c r="P1020" t="s">
        <v>1098</v>
      </c>
      <c r="Q1020">
        <v>1</v>
      </c>
      <c r="X1020">
        <v>0.7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1</v>
      </c>
      <c r="AE1020">
        <v>1</v>
      </c>
      <c r="AF1020" t="s">
        <v>87</v>
      </c>
      <c r="AG1020">
        <v>0.80499999999999994</v>
      </c>
      <c r="AH1020">
        <v>2</v>
      </c>
      <c r="AI1020">
        <v>129764450</v>
      </c>
      <c r="AJ1020">
        <v>1065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</row>
    <row r="1021" spans="1:44" x14ac:dyDescent="0.2">
      <c r="A1021">
        <f>ROW(Source!A1217)</f>
        <v>1217</v>
      </c>
      <c r="B1021">
        <v>129764454</v>
      </c>
      <c r="C1021">
        <v>129764449</v>
      </c>
      <c r="D1021">
        <v>37360727</v>
      </c>
      <c r="E1021">
        <v>37345137</v>
      </c>
      <c r="F1021">
        <v>1</v>
      </c>
      <c r="G1021">
        <v>37345137</v>
      </c>
      <c r="H1021">
        <v>3</v>
      </c>
      <c r="I1021" t="s">
        <v>1535</v>
      </c>
      <c r="J1021" t="s">
        <v>3</v>
      </c>
      <c r="K1021" t="s">
        <v>1536</v>
      </c>
      <c r="L1021">
        <v>1354</v>
      </c>
      <c r="N1021">
        <v>1010</v>
      </c>
      <c r="O1021" t="s">
        <v>250</v>
      </c>
      <c r="P1021" t="s">
        <v>250</v>
      </c>
      <c r="Q1021">
        <v>1</v>
      </c>
      <c r="X1021">
        <v>1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 t="s">
        <v>3</v>
      </c>
      <c r="AG1021">
        <v>1</v>
      </c>
      <c r="AH1021">
        <v>3</v>
      </c>
      <c r="AI1021">
        <v>-1</v>
      </c>
      <c r="AJ1021" t="s">
        <v>3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</row>
    <row r="1022" spans="1:44" x14ac:dyDescent="0.2">
      <c r="A1022">
        <f>ROW(Source!A1217)</f>
        <v>1217</v>
      </c>
      <c r="B1022">
        <v>129764455</v>
      </c>
      <c r="C1022">
        <v>129764449</v>
      </c>
      <c r="D1022">
        <v>37367082</v>
      </c>
      <c r="E1022">
        <v>37345137</v>
      </c>
      <c r="F1022">
        <v>1</v>
      </c>
      <c r="G1022">
        <v>37345137</v>
      </c>
      <c r="H1022">
        <v>3</v>
      </c>
      <c r="I1022" t="s">
        <v>1136</v>
      </c>
      <c r="J1022" t="s">
        <v>3</v>
      </c>
      <c r="K1022" t="s">
        <v>1137</v>
      </c>
      <c r="L1022">
        <v>1344</v>
      </c>
      <c r="N1022">
        <v>1008</v>
      </c>
      <c r="O1022" t="s">
        <v>1138</v>
      </c>
      <c r="P1022" t="s">
        <v>1138</v>
      </c>
      <c r="Q1022">
        <v>1</v>
      </c>
      <c r="X1022">
        <v>0.84</v>
      </c>
      <c r="Y1022">
        <v>1</v>
      </c>
      <c r="Z1022">
        <v>0</v>
      </c>
      <c r="AA1022">
        <v>0</v>
      </c>
      <c r="AB1022">
        <v>0</v>
      </c>
      <c r="AC1022">
        <v>0</v>
      </c>
      <c r="AD1022">
        <v>1</v>
      </c>
      <c r="AE1022">
        <v>0</v>
      </c>
      <c r="AF1022" t="s">
        <v>3</v>
      </c>
      <c r="AG1022">
        <v>0.84</v>
      </c>
      <c r="AH1022">
        <v>2</v>
      </c>
      <c r="AI1022">
        <v>129764452</v>
      </c>
      <c r="AJ1022">
        <v>1067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</row>
    <row r="1023" spans="1:44" x14ac:dyDescent="0.2">
      <c r="A1023">
        <f>ROW(Source!A1257)</f>
        <v>1257</v>
      </c>
      <c r="B1023">
        <v>129764459</v>
      </c>
      <c r="C1023">
        <v>129764457</v>
      </c>
      <c r="D1023">
        <v>37345890</v>
      </c>
      <c r="E1023">
        <v>37345137</v>
      </c>
      <c r="F1023">
        <v>1</v>
      </c>
      <c r="G1023">
        <v>37345137</v>
      </c>
      <c r="H1023">
        <v>2</v>
      </c>
      <c r="I1023" t="s">
        <v>1145</v>
      </c>
      <c r="J1023" t="s">
        <v>3</v>
      </c>
      <c r="K1023" t="s">
        <v>1146</v>
      </c>
      <c r="L1023">
        <v>1344</v>
      </c>
      <c r="N1023">
        <v>1008</v>
      </c>
      <c r="O1023" t="s">
        <v>1138</v>
      </c>
      <c r="P1023" t="s">
        <v>1138</v>
      </c>
      <c r="Q1023">
        <v>1</v>
      </c>
      <c r="X1023">
        <v>8.86</v>
      </c>
      <c r="Y1023">
        <v>0</v>
      </c>
      <c r="Z1023">
        <v>1</v>
      </c>
      <c r="AA1023">
        <v>0</v>
      </c>
      <c r="AB1023">
        <v>0</v>
      </c>
      <c r="AC1023">
        <v>0</v>
      </c>
      <c r="AD1023">
        <v>1</v>
      </c>
      <c r="AE1023">
        <v>0</v>
      </c>
      <c r="AF1023" t="s">
        <v>3</v>
      </c>
      <c r="AG1023">
        <v>8.86</v>
      </c>
      <c r="AH1023">
        <v>2</v>
      </c>
      <c r="AI1023">
        <v>129764458</v>
      </c>
      <c r="AJ1023">
        <v>1069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</row>
    <row r="1024" spans="1:44" x14ac:dyDescent="0.2">
      <c r="A1024">
        <f>ROW(Source!A1258)</f>
        <v>1258</v>
      </c>
      <c r="B1024">
        <v>129764459</v>
      </c>
      <c r="C1024">
        <v>129764457</v>
      </c>
      <c r="D1024">
        <v>37345890</v>
      </c>
      <c r="E1024">
        <v>37345137</v>
      </c>
      <c r="F1024">
        <v>1</v>
      </c>
      <c r="G1024">
        <v>37345137</v>
      </c>
      <c r="H1024">
        <v>2</v>
      </c>
      <c r="I1024" t="s">
        <v>1145</v>
      </c>
      <c r="J1024" t="s">
        <v>3</v>
      </c>
      <c r="K1024" t="s">
        <v>1146</v>
      </c>
      <c r="L1024">
        <v>1344</v>
      </c>
      <c r="N1024">
        <v>1008</v>
      </c>
      <c r="O1024" t="s">
        <v>1138</v>
      </c>
      <c r="P1024" t="s">
        <v>1138</v>
      </c>
      <c r="Q1024">
        <v>1</v>
      </c>
      <c r="X1024">
        <v>8.86</v>
      </c>
      <c r="Y1024">
        <v>0</v>
      </c>
      <c r="Z1024">
        <v>1</v>
      </c>
      <c r="AA1024">
        <v>0</v>
      </c>
      <c r="AB1024">
        <v>0</v>
      </c>
      <c r="AC1024">
        <v>0</v>
      </c>
      <c r="AD1024">
        <v>1</v>
      </c>
      <c r="AE1024">
        <v>0</v>
      </c>
      <c r="AF1024" t="s">
        <v>3</v>
      </c>
      <c r="AG1024">
        <v>8.86</v>
      </c>
      <c r="AH1024">
        <v>2</v>
      </c>
      <c r="AI1024">
        <v>129764458</v>
      </c>
      <c r="AJ1024">
        <v>1070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</row>
    <row r="1025" spans="1:44" x14ac:dyDescent="0.2">
      <c r="A1025">
        <f>ROW(Source!A1259)</f>
        <v>1259</v>
      </c>
      <c r="B1025">
        <v>129764462</v>
      </c>
      <c r="C1025">
        <v>129764460</v>
      </c>
      <c r="D1025">
        <v>39148095</v>
      </c>
      <c r="E1025">
        <v>1</v>
      </c>
      <c r="F1025">
        <v>1</v>
      </c>
      <c r="G1025">
        <v>37345137</v>
      </c>
      <c r="H1025">
        <v>2</v>
      </c>
      <c r="I1025" t="s">
        <v>1291</v>
      </c>
      <c r="J1025" t="s">
        <v>1292</v>
      </c>
      <c r="K1025" t="s">
        <v>1293</v>
      </c>
      <c r="L1025">
        <v>1367</v>
      </c>
      <c r="N1025">
        <v>1011</v>
      </c>
      <c r="O1025" t="s">
        <v>1102</v>
      </c>
      <c r="P1025" t="s">
        <v>1102</v>
      </c>
      <c r="Q1025">
        <v>1</v>
      </c>
      <c r="X1025">
        <v>1</v>
      </c>
      <c r="Y1025">
        <v>0</v>
      </c>
      <c r="Z1025">
        <v>115.66</v>
      </c>
      <c r="AA1025">
        <v>14.4</v>
      </c>
      <c r="AB1025">
        <v>0</v>
      </c>
      <c r="AC1025">
        <v>0</v>
      </c>
      <c r="AD1025">
        <v>1</v>
      </c>
      <c r="AE1025">
        <v>0</v>
      </c>
      <c r="AF1025" t="s">
        <v>3</v>
      </c>
      <c r="AG1025">
        <v>1</v>
      </c>
      <c r="AH1025">
        <v>2</v>
      </c>
      <c r="AI1025">
        <v>129764461</v>
      </c>
      <c r="AJ1025">
        <v>1071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</row>
    <row r="1026" spans="1:44" x14ac:dyDescent="0.2">
      <c r="A1026">
        <f>ROW(Source!A1260)</f>
        <v>1260</v>
      </c>
      <c r="B1026">
        <v>129764462</v>
      </c>
      <c r="C1026">
        <v>129764460</v>
      </c>
      <c r="D1026">
        <v>39148095</v>
      </c>
      <c r="E1026">
        <v>1</v>
      </c>
      <c r="F1026">
        <v>1</v>
      </c>
      <c r="G1026">
        <v>37345137</v>
      </c>
      <c r="H1026">
        <v>2</v>
      </c>
      <c r="I1026" t="s">
        <v>1291</v>
      </c>
      <c r="J1026" t="s">
        <v>1292</v>
      </c>
      <c r="K1026" t="s">
        <v>1293</v>
      </c>
      <c r="L1026">
        <v>1367</v>
      </c>
      <c r="N1026">
        <v>1011</v>
      </c>
      <c r="O1026" t="s">
        <v>1102</v>
      </c>
      <c r="P1026" t="s">
        <v>1102</v>
      </c>
      <c r="Q1026">
        <v>1</v>
      </c>
      <c r="X1026">
        <v>1</v>
      </c>
      <c r="Y1026">
        <v>0</v>
      </c>
      <c r="Z1026">
        <v>115.66</v>
      </c>
      <c r="AA1026">
        <v>14.4</v>
      </c>
      <c r="AB1026">
        <v>0</v>
      </c>
      <c r="AC1026">
        <v>0</v>
      </c>
      <c r="AD1026">
        <v>1</v>
      </c>
      <c r="AE1026">
        <v>0</v>
      </c>
      <c r="AF1026" t="s">
        <v>3</v>
      </c>
      <c r="AG1026">
        <v>1</v>
      </c>
      <c r="AH1026">
        <v>2</v>
      </c>
      <c r="AI1026">
        <v>129764461</v>
      </c>
      <c r="AJ1026">
        <v>1072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</row>
    <row r="1027" spans="1:44" x14ac:dyDescent="0.2">
      <c r="A1027">
        <f>ROW(Source!A1261)</f>
        <v>1261</v>
      </c>
      <c r="B1027">
        <v>129764465</v>
      </c>
      <c r="C1027">
        <v>129764463</v>
      </c>
      <c r="D1027">
        <v>37345890</v>
      </c>
      <c r="E1027">
        <v>37345137</v>
      </c>
      <c r="F1027">
        <v>1</v>
      </c>
      <c r="G1027">
        <v>37345137</v>
      </c>
      <c r="H1027">
        <v>2</v>
      </c>
      <c r="I1027" t="s">
        <v>1145</v>
      </c>
      <c r="J1027" t="s">
        <v>3</v>
      </c>
      <c r="K1027" t="s">
        <v>1146</v>
      </c>
      <c r="L1027">
        <v>1344</v>
      </c>
      <c r="N1027">
        <v>1008</v>
      </c>
      <c r="O1027" t="s">
        <v>1138</v>
      </c>
      <c r="P1027" t="s">
        <v>1138</v>
      </c>
      <c r="Q1027">
        <v>1</v>
      </c>
      <c r="X1027">
        <v>31.67</v>
      </c>
      <c r="Y1027">
        <v>0</v>
      </c>
      <c r="Z1027">
        <v>1</v>
      </c>
      <c r="AA1027">
        <v>0</v>
      </c>
      <c r="AB1027">
        <v>0</v>
      </c>
      <c r="AC1027">
        <v>0</v>
      </c>
      <c r="AD1027">
        <v>1</v>
      </c>
      <c r="AE1027">
        <v>0</v>
      </c>
      <c r="AF1027" t="s">
        <v>3</v>
      </c>
      <c r="AG1027">
        <v>31.67</v>
      </c>
      <c r="AH1027">
        <v>2</v>
      </c>
      <c r="AI1027">
        <v>129764464</v>
      </c>
      <c r="AJ1027">
        <v>1073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</row>
    <row r="1028" spans="1:44" x14ac:dyDescent="0.2">
      <c r="A1028">
        <f>ROW(Source!A1262)</f>
        <v>1262</v>
      </c>
      <c r="B1028">
        <v>129764465</v>
      </c>
      <c r="C1028">
        <v>129764463</v>
      </c>
      <c r="D1028">
        <v>37345890</v>
      </c>
      <c r="E1028">
        <v>37345137</v>
      </c>
      <c r="F1028">
        <v>1</v>
      </c>
      <c r="G1028">
        <v>37345137</v>
      </c>
      <c r="H1028">
        <v>2</v>
      </c>
      <c r="I1028" t="s">
        <v>1145</v>
      </c>
      <c r="J1028" t="s">
        <v>3</v>
      </c>
      <c r="K1028" t="s">
        <v>1146</v>
      </c>
      <c r="L1028">
        <v>1344</v>
      </c>
      <c r="N1028">
        <v>1008</v>
      </c>
      <c r="O1028" t="s">
        <v>1138</v>
      </c>
      <c r="P1028" t="s">
        <v>1138</v>
      </c>
      <c r="Q1028">
        <v>1</v>
      </c>
      <c r="X1028">
        <v>31.67</v>
      </c>
      <c r="Y1028">
        <v>0</v>
      </c>
      <c r="Z1028">
        <v>1</v>
      </c>
      <c r="AA1028">
        <v>0</v>
      </c>
      <c r="AB1028">
        <v>0</v>
      </c>
      <c r="AC1028">
        <v>0</v>
      </c>
      <c r="AD1028">
        <v>1</v>
      </c>
      <c r="AE1028">
        <v>0</v>
      </c>
      <c r="AF1028" t="s">
        <v>3</v>
      </c>
      <c r="AG1028">
        <v>31.67</v>
      </c>
      <c r="AH1028">
        <v>2</v>
      </c>
      <c r="AI1028">
        <v>129764464</v>
      </c>
      <c r="AJ1028">
        <v>1074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</row>
    <row r="1029" spans="1:44" x14ac:dyDescent="0.2">
      <c r="A1029">
        <f>ROW(Source!A1332)</f>
        <v>1332</v>
      </c>
      <c r="B1029">
        <v>129764472</v>
      </c>
      <c r="C1029">
        <v>129764466</v>
      </c>
      <c r="D1029">
        <v>37345142</v>
      </c>
      <c r="E1029">
        <v>37345137</v>
      </c>
      <c r="F1029">
        <v>1</v>
      </c>
      <c r="G1029">
        <v>37345137</v>
      </c>
      <c r="H1029">
        <v>1</v>
      </c>
      <c r="I1029" t="s">
        <v>1096</v>
      </c>
      <c r="J1029" t="s">
        <v>3</v>
      </c>
      <c r="K1029" t="s">
        <v>1097</v>
      </c>
      <c r="L1029">
        <v>1191</v>
      </c>
      <c r="N1029">
        <v>1013</v>
      </c>
      <c r="O1029" t="s">
        <v>1098</v>
      </c>
      <c r="P1029" t="s">
        <v>1098</v>
      </c>
      <c r="Q1029">
        <v>1</v>
      </c>
      <c r="X1029">
        <v>38.200000000000003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1</v>
      </c>
      <c r="AE1029">
        <v>1</v>
      </c>
      <c r="AF1029" t="s">
        <v>87</v>
      </c>
      <c r="AG1029">
        <v>43.93</v>
      </c>
      <c r="AH1029">
        <v>2</v>
      </c>
      <c r="AI1029">
        <v>129764467</v>
      </c>
      <c r="AJ1029">
        <v>1075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</row>
    <row r="1030" spans="1:44" x14ac:dyDescent="0.2">
      <c r="A1030">
        <f>ROW(Source!A1332)</f>
        <v>1332</v>
      </c>
      <c r="B1030">
        <v>129764473</v>
      </c>
      <c r="C1030">
        <v>129764466</v>
      </c>
      <c r="D1030">
        <v>37345890</v>
      </c>
      <c r="E1030">
        <v>37345137</v>
      </c>
      <c r="F1030">
        <v>1</v>
      </c>
      <c r="G1030">
        <v>37345137</v>
      </c>
      <c r="H1030">
        <v>2</v>
      </c>
      <c r="I1030" t="s">
        <v>1145</v>
      </c>
      <c r="J1030" t="s">
        <v>3</v>
      </c>
      <c r="K1030" t="s">
        <v>1146</v>
      </c>
      <c r="L1030">
        <v>1344</v>
      </c>
      <c r="N1030">
        <v>1008</v>
      </c>
      <c r="O1030" t="s">
        <v>1138</v>
      </c>
      <c r="P1030" t="s">
        <v>1138</v>
      </c>
      <c r="Q1030">
        <v>1</v>
      </c>
      <c r="X1030">
        <v>64.02</v>
      </c>
      <c r="Y1030">
        <v>0</v>
      </c>
      <c r="Z1030">
        <v>1</v>
      </c>
      <c r="AA1030">
        <v>0</v>
      </c>
      <c r="AB1030">
        <v>0</v>
      </c>
      <c r="AC1030">
        <v>0</v>
      </c>
      <c r="AD1030">
        <v>1</v>
      </c>
      <c r="AE1030">
        <v>0</v>
      </c>
      <c r="AF1030" t="s">
        <v>86</v>
      </c>
      <c r="AG1030">
        <v>80.024999999999991</v>
      </c>
      <c r="AH1030">
        <v>2</v>
      </c>
      <c r="AI1030">
        <v>129764468</v>
      </c>
      <c r="AJ1030">
        <v>1076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</row>
    <row r="1031" spans="1:44" x14ac:dyDescent="0.2">
      <c r="A1031">
        <f>ROW(Source!A1332)</f>
        <v>1332</v>
      </c>
      <c r="B1031">
        <v>129764474</v>
      </c>
      <c r="C1031">
        <v>129764466</v>
      </c>
      <c r="D1031">
        <v>37376479</v>
      </c>
      <c r="E1031">
        <v>37345137</v>
      </c>
      <c r="F1031">
        <v>1</v>
      </c>
      <c r="G1031">
        <v>37345137</v>
      </c>
      <c r="H1031">
        <v>3</v>
      </c>
      <c r="I1031" t="s">
        <v>1549</v>
      </c>
      <c r="J1031" t="s">
        <v>3</v>
      </c>
      <c r="K1031" t="s">
        <v>1550</v>
      </c>
      <c r="L1031">
        <v>1348</v>
      </c>
      <c r="N1031">
        <v>1009</v>
      </c>
      <c r="O1031" t="s">
        <v>114</v>
      </c>
      <c r="P1031" t="s">
        <v>114</v>
      </c>
      <c r="Q1031">
        <v>1000</v>
      </c>
      <c r="X1031">
        <v>4.6300000000000001E-2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 t="s">
        <v>3</v>
      </c>
      <c r="AG1031">
        <v>4.6300000000000001E-2</v>
      </c>
      <c r="AH1031">
        <v>3</v>
      </c>
      <c r="AI1031">
        <v>-1</v>
      </c>
      <c r="AJ1031" t="s">
        <v>3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</row>
    <row r="1032" spans="1:44" x14ac:dyDescent="0.2">
      <c r="A1032">
        <f>ROW(Source!A1332)</f>
        <v>1332</v>
      </c>
      <c r="B1032">
        <v>129764475</v>
      </c>
      <c r="C1032">
        <v>129764466</v>
      </c>
      <c r="D1032">
        <v>37360041</v>
      </c>
      <c r="E1032">
        <v>37345137</v>
      </c>
      <c r="F1032">
        <v>1</v>
      </c>
      <c r="G1032">
        <v>37345137</v>
      </c>
      <c r="H1032">
        <v>3</v>
      </c>
      <c r="I1032" t="s">
        <v>1551</v>
      </c>
      <c r="J1032" t="s">
        <v>3</v>
      </c>
      <c r="K1032" t="s">
        <v>1552</v>
      </c>
      <c r="L1032">
        <v>1327</v>
      </c>
      <c r="N1032">
        <v>1005</v>
      </c>
      <c r="O1032" t="s">
        <v>258</v>
      </c>
      <c r="P1032" t="s">
        <v>258</v>
      </c>
      <c r="Q1032">
        <v>1</v>
      </c>
      <c r="X1032">
        <v>107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 t="s">
        <v>3</v>
      </c>
      <c r="AG1032">
        <v>107</v>
      </c>
      <c r="AH1032">
        <v>3</v>
      </c>
      <c r="AI1032">
        <v>-1</v>
      </c>
      <c r="AJ1032" t="s">
        <v>3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</row>
    <row r="1033" spans="1:44" x14ac:dyDescent="0.2">
      <c r="A1033">
        <f>ROW(Source!A1332)</f>
        <v>1332</v>
      </c>
      <c r="B1033">
        <v>129764476</v>
      </c>
      <c r="C1033">
        <v>129764466</v>
      </c>
      <c r="D1033">
        <v>37367082</v>
      </c>
      <c r="E1033">
        <v>37345137</v>
      </c>
      <c r="F1033">
        <v>1</v>
      </c>
      <c r="G1033">
        <v>37345137</v>
      </c>
      <c r="H1033">
        <v>3</v>
      </c>
      <c r="I1033" t="s">
        <v>1136</v>
      </c>
      <c r="J1033" t="s">
        <v>3</v>
      </c>
      <c r="K1033" t="s">
        <v>1137</v>
      </c>
      <c r="L1033">
        <v>1344</v>
      </c>
      <c r="N1033">
        <v>1008</v>
      </c>
      <c r="O1033" t="s">
        <v>1138</v>
      </c>
      <c r="P1033" t="s">
        <v>1138</v>
      </c>
      <c r="Q1033">
        <v>1</v>
      </c>
      <c r="X1033">
        <v>0.98</v>
      </c>
      <c r="Y1033">
        <v>1</v>
      </c>
      <c r="Z1033">
        <v>0</v>
      </c>
      <c r="AA1033">
        <v>0</v>
      </c>
      <c r="AB1033">
        <v>0</v>
      </c>
      <c r="AC1033">
        <v>0</v>
      </c>
      <c r="AD1033">
        <v>1</v>
      </c>
      <c r="AE1033">
        <v>0</v>
      </c>
      <c r="AF1033" t="s">
        <v>3</v>
      </c>
      <c r="AG1033">
        <v>0.98</v>
      </c>
      <c r="AH1033">
        <v>2</v>
      </c>
      <c r="AI1033">
        <v>129764470</v>
      </c>
      <c r="AJ1033">
        <v>1078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</row>
    <row r="1034" spans="1:44" x14ac:dyDescent="0.2">
      <c r="A1034">
        <f>ROW(Source!A1333)</f>
        <v>1333</v>
      </c>
      <c r="B1034">
        <v>129764472</v>
      </c>
      <c r="C1034">
        <v>129764466</v>
      </c>
      <c r="D1034">
        <v>37345142</v>
      </c>
      <c r="E1034">
        <v>37345137</v>
      </c>
      <c r="F1034">
        <v>1</v>
      </c>
      <c r="G1034">
        <v>37345137</v>
      </c>
      <c r="H1034">
        <v>1</v>
      </c>
      <c r="I1034" t="s">
        <v>1096</v>
      </c>
      <c r="J1034" t="s">
        <v>3</v>
      </c>
      <c r="K1034" t="s">
        <v>1097</v>
      </c>
      <c r="L1034">
        <v>1191</v>
      </c>
      <c r="N1034">
        <v>1013</v>
      </c>
      <c r="O1034" t="s">
        <v>1098</v>
      </c>
      <c r="P1034" t="s">
        <v>1098</v>
      </c>
      <c r="Q1034">
        <v>1</v>
      </c>
      <c r="X1034">
        <v>38.200000000000003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1</v>
      </c>
      <c r="AE1034">
        <v>1</v>
      </c>
      <c r="AF1034" t="s">
        <v>87</v>
      </c>
      <c r="AG1034">
        <v>43.93</v>
      </c>
      <c r="AH1034">
        <v>2</v>
      </c>
      <c r="AI1034">
        <v>129764467</v>
      </c>
      <c r="AJ1034">
        <v>1080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</row>
    <row r="1035" spans="1:44" x14ac:dyDescent="0.2">
      <c r="A1035">
        <f>ROW(Source!A1333)</f>
        <v>1333</v>
      </c>
      <c r="B1035">
        <v>129764473</v>
      </c>
      <c r="C1035">
        <v>129764466</v>
      </c>
      <c r="D1035">
        <v>37345890</v>
      </c>
      <c r="E1035">
        <v>37345137</v>
      </c>
      <c r="F1035">
        <v>1</v>
      </c>
      <c r="G1035">
        <v>37345137</v>
      </c>
      <c r="H1035">
        <v>2</v>
      </c>
      <c r="I1035" t="s">
        <v>1145</v>
      </c>
      <c r="J1035" t="s">
        <v>3</v>
      </c>
      <c r="K1035" t="s">
        <v>1146</v>
      </c>
      <c r="L1035">
        <v>1344</v>
      </c>
      <c r="N1035">
        <v>1008</v>
      </c>
      <c r="O1035" t="s">
        <v>1138</v>
      </c>
      <c r="P1035" t="s">
        <v>1138</v>
      </c>
      <c r="Q1035">
        <v>1</v>
      </c>
      <c r="X1035">
        <v>64.02</v>
      </c>
      <c r="Y1035">
        <v>0</v>
      </c>
      <c r="Z1035">
        <v>1</v>
      </c>
      <c r="AA1035">
        <v>0</v>
      </c>
      <c r="AB1035">
        <v>0</v>
      </c>
      <c r="AC1035">
        <v>0</v>
      </c>
      <c r="AD1035">
        <v>1</v>
      </c>
      <c r="AE1035">
        <v>0</v>
      </c>
      <c r="AF1035" t="s">
        <v>86</v>
      </c>
      <c r="AG1035">
        <v>80.024999999999991</v>
      </c>
      <c r="AH1035">
        <v>2</v>
      </c>
      <c r="AI1035">
        <v>129764468</v>
      </c>
      <c r="AJ1035">
        <v>1081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</row>
    <row r="1036" spans="1:44" x14ac:dyDescent="0.2">
      <c r="A1036">
        <f>ROW(Source!A1333)</f>
        <v>1333</v>
      </c>
      <c r="B1036">
        <v>129764474</v>
      </c>
      <c r="C1036">
        <v>129764466</v>
      </c>
      <c r="D1036">
        <v>37376479</v>
      </c>
      <c r="E1036">
        <v>37345137</v>
      </c>
      <c r="F1036">
        <v>1</v>
      </c>
      <c r="G1036">
        <v>37345137</v>
      </c>
      <c r="H1036">
        <v>3</v>
      </c>
      <c r="I1036" t="s">
        <v>1549</v>
      </c>
      <c r="J1036" t="s">
        <v>3</v>
      </c>
      <c r="K1036" t="s">
        <v>1550</v>
      </c>
      <c r="L1036">
        <v>1348</v>
      </c>
      <c r="N1036">
        <v>1009</v>
      </c>
      <c r="O1036" t="s">
        <v>114</v>
      </c>
      <c r="P1036" t="s">
        <v>114</v>
      </c>
      <c r="Q1036">
        <v>1000</v>
      </c>
      <c r="X1036">
        <v>4.6300000000000001E-2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 t="s">
        <v>3</v>
      </c>
      <c r="AG1036">
        <v>4.6300000000000001E-2</v>
      </c>
      <c r="AH1036">
        <v>3</v>
      </c>
      <c r="AI1036">
        <v>-1</v>
      </c>
      <c r="AJ1036" t="s">
        <v>3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</row>
    <row r="1037" spans="1:44" x14ac:dyDescent="0.2">
      <c r="A1037">
        <f>ROW(Source!A1333)</f>
        <v>1333</v>
      </c>
      <c r="B1037">
        <v>129764475</v>
      </c>
      <c r="C1037">
        <v>129764466</v>
      </c>
      <c r="D1037">
        <v>37360041</v>
      </c>
      <c r="E1037">
        <v>37345137</v>
      </c>
      <c r="F1037">
        <v>1</v>
      </c>
      <c r="G1037">
        <v>37345137</v>
      </c>
      <c r="H1037">
        <v>3</v>
      </c>
      <c r="I1037" t="s">
        <v>1551</v>
      </c>
      <c r="J1037" t="s">
        <v>3</v>
      </c>
      <c r="K1037" t="s">
        <v>1552</v>
      </c>
      <c r="L1037">
        <v>1327</v>
      </c>
      <c r="N1037">
        <v>1005</v>
      </c>
      <c r="O1037" t="s">
        <v>258</v>
      </c>
      <c r="P1037" t="s">
        <v>258</v>
      </c>
      <c r="Q1037">
        <v>1</v>
      </c>
      <c r="X1037">
        <v>107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 t="s">
        <v>3</v>
      </c>
      <c r="AG1037">
        <v>107</v>
      </c>
      <c r="AH1037">
        <v>3</v>
      </c>
      <c r="AI1037">
        <v>-1</v>
      </c>
      <c r="AJ1037" t="s">
        <v>3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</row>
    <row r="1038" spans="1:44" x14ac:dyDescent="0.2">
      <c r="A1038">
        <f>ROW(Source!A1333)</f>
        <v>1333</v>
      </c>
      <c r="B1038">
        <v>129764476</v>
      </c>
      <c r="C1038">
        <v>129764466</v>
      </c>
      <c r="D1038">
        <v>37367082</v>
      </c>
      <c r="E1038">
        <v>37345137</v>
      </c>
      <c r="F1038">
        <v>1</v>
      </c>
      <c r="G1038">
        <v>37345137</v>
      </c>
      <c r="H1038">
        <v>3</v>
      </c>
      <c r="I1038" t="s">
        <v>1136</v>
      </c>
      <c r="J1038" t="s">
        <v>3</v>
      </c>
      <c r="K1038" t="s">
        <v>1137</v>
      </c>
      <c r="L1038">
        <v>1344</v>
      </c>
      <c r="N1038">
        <v>1008</v>
      </c>
      <c r="O1038" t="s">
        <v>1138</v>
      </c>
      <c r="P1038" t="s">
        <v>1138</v>
      </c>
      <c r="Q1038">
        <v>1</v>
      </c>
      <c r="X1038">
        <v>0.98</v>
      </c>
      <c r="Y1038">
        <v>1</v>
      </c>
      <c r="Z1038">
        <v>0</v>
      </c>
      <c r="AA1038">
        <v>0</v>
      </c>
      <c r="AB1038">
        <v>0</v>
      </c>
      <c r="AC1038">
        <v>0</v>
      </c>
      <c r="AD1038">
        <v>1</v>
      </c>
      <c r="AE1038">
        <v>0</v>
      </c>
      <c r="AF1038" t="s">
        <v>3</v>
      </c>
      <c r="AG1038">
        <v>0.98</v>
      </c>
      <c r="AH1038">
        <v>2</v>
      </c>
      <c r="AI1038">
        <v>129764470</v>
      </c>
      <c r="AJ1038">
        <v>1083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</row>
    <row r="1039" spans="1:44" x14ac:dyDescent="0.2">
      <c r="A1039">
        <f>ROW(Source!A1338)</f>
        <v>1338</v>
      </c>
      <c r="B1039">
        <v>129764486</v>
      </c>
      <c r="C1039">
        <v>129764479</v>
      </c>
      <c r="D1039">
        <v>37345142</v>
      </c>
      <c r="E1039">
        <v>37345137</v>
      </c>
      <c r="F1039">
        <v>1</v>
      </c>
      <c r="G1039">
        <v>37345137</v>
      </c>
      <c r="H1039">
        <v>1</v>
      </c>
      <c r="I1039" t="s">
        <v>1096</v>
      </c>
      <c r="J1039" t="s">
        <v>3</v>
      </c>
      <c r="K1039" t="s">
        <v>1097</v>
      </c>
      <c r="L1039">
        <v>1191</v>
      </c>
      <c r="N1039">
        <v>1013</v>
      </c>
      <c r="O1039" t="s">
        <v>1098</v>
      </c>
      <c r="P1039" t="s">
        <v>1098</v>
      </c>
      <c r="Q1039">
        <v>1</v>
      </c>
      <c r="X1039">
        <v>3.88</v>
      </c>
      <c r="Y1039">
        <v>0</v>
      </c>
      <c r="Z1039">
        <v>0</v>
      </c>
      <c r="AA1039">
        <v>0</v>
      </c>
      <c r="AB1039">
        <v>0</v>
      </c>
      <c r="AC1039">
        <v>0</v>
      </c>
      <c r="AD1039">
        <v>1</v>
      </c>
      <c r="AE1039">
        <v>1</v>
      </c>
      <c r="AF1039" t="s">
        <v>87</v>
      </c>
      <c r="AG1039">
        <v>4.4619999999999997</v>
      </c>
      <c r="AH1039">
        <v>2</v>
      </c>
      <c r="AI1039">
        <v>129764480</v>
      </c>
      <c r="AJ1039">
        <v>1085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</row>
    <row r="1040" spans="1:44" x14ac:dyDescent="0.2">
      <c r="A1040">
        <f>ROW(Source!A1338)</f>
        <v>1338</v>
      </c>
      <c r="B1040">
        <v>129764487</v>
      </c>
      <c r="C1040">
        <v>129764479</v>
      </c>
      <c r="D1040">
        <v>37418459</v>
      </c>
      <c r="E1040">
        <v>1</v>
      </c>
      <c r="F1040">
        <v>1</v>
      </c>
      <c r="G1040">
        <v>37345137</v>
      </c>
      <c r="H1040">
        <v>2</v>
      </c>
      <c r="I1040" t="s">
        <v>1413</v>
      </c>
      <c r="J1040" t="s">
        <v>1414</v>
      </c>
      <c r="K1040" t="s">
        <v>1415</v>
      </c>
      <c r="L1040">
        <v>1367</v>
      </c>
      <c r="N1040">
        <v>1011</v>
      </c>
      <c r="O1040" t="s">
        <v>1102</v>
      </c>
      <c r="P1040" t="s">
        <v>1102</v>
      </c>
      <c r="Q1040">
        <v>1</v>
      </c>
      <c r="X1040">
        <v>0.05</v>
      </c>
      <c r="Y1040">
        <v>0</v>
      </c>
      <c r="Z1040">
        <v>42.2</v>
      </c>
      <c r="AA1040">
        <v>18.38</v>
      </c>
      <c r="AB1040">
        <v>0</v>
      </c>
      <c r="AC1040">
        <v>0</v>
      </c>
      <c r="AD1040">
        <v>1</v>
      </c>
      <c r="AE1040">
        <v>0</v>
      </c>
      <c r="AF1040" t="s">
        <v>86</v>
      </c>
      <c r="AG1040">
        <v>6.25E-2</v>
      </c>
      <c r="AH1040">
        <v>2</v>
      </c>
      <c r="AI1040">
        <v>129764481</v>
      </c>
      <c r="AJ1040">
        <v>1086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</row>
    <row r="1041" spans="1:44" x14ac:dyDescent="0.2">
      <c r="A1041">
        <f>ROW(Source!A1338)</f>
        <v>1338</v>
      </c>
      <c r="B1041">
        <v>129764488</v>
      </c>
      <c r="C1041">
        <v>129764479</v>
      </c>
      <c r="D1041">
        <v>37418445</v>
      </c>
      <c r="E1041">
        <v>1</v>
      </c>
      <c r="F1041">
        <v>1</v>
      </c>
      <c r="G1041">
        <v>37345137</v>
      </c>
      <c r="H1041">
        <v>2</v>
      </c>
      <c r="I1041" t="s">
        <v>1189</v>
      </c>
      <c r="J1041" t="s">
        <v>1190</v>
      </c>
      <c r="K1041" t="s">
        <v>1191</v>
      </c>
      <c r="L1041">
        <v>1367</v>
      </c>
      <c r="N1041">
        <v>1011</v>
      </c>
      <c r="O1041" t="s">
        <v>1102</v>
      </c>
      <c r="P1041" t="s">
        <v>1102</v>
      </c>
      <c r="Q1041">
        <v>1</v>
      </c>
      <c r="X1041">
        <v>7.0000000000000007E-2</v>
      </c>
      <c r="Y1041">
        <v>0</v>
      </c>
      <c r="Z1041">
        <v>76.81</v>
      </c>
      <c r="AA1041">
        <v>14.36</v>
      </c>
      <c r="AB1041">
        <v>0</v>
      </c>
      <c r="AC1041">
        <v>0</v>
      </c>
      <c r="AD1041">
        <v>1</v>
      </c>
      <c r="AE1041">
        <v>0</v>
      </c>
      <c r="AF1041" t="s">
        <v>86</v>
      </c>
      <c r="AG1041">
        <v>8.7500000000000008E-2</v>
      </c>
      <c r="AH1041">
        <v>2</v>
      </c>
      <c r="AI1041">
        <v>129764482</v>
      </c>
      <c r="AJ1041">
        <v>1087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</row>
    <row r="1042" spans="1:44" x14ac:dyDescent="0.2">
      <c r="A1042">
        <f>ROW(Source!A1338)</f>
        <v>1338</v>
      </c>
      <c r="B1042">
        <v>129764489</v>
      </c>
      <c r="C1042">
        <v>129764479</v>
      </c>
      <c r="D1042">
        <v>37393552</v>
      </c>
      <c r="E1042">
        <v>1</v>
      </c>
      <c r="F1042">
        <v>1</v>
      </c>
      <c r="G1042">
        <v>37345137</v>
      </c>
      <c r="H1042">
        <v>3</v>
      </c>
      <c r="I1042" t="s">
        <v>348</v>
      </c>
      <c r="J1042" t="s">
        <v>350</v>
      </c>
      <c r="K1042" t="s">
        <v>349</v>
      </c>
      <c r="L1042">
        <v>1339</v>
      </c>
      <c r="N1042">
        <v>1007</v>
      </c>
      <c r="O1042" t="s">
        <v>94</v>
      </c>
      <c r="P1042" t="s">
        <v>94</v>
      </c>
      <c r="Q1042">
        <v>1</v>
      </c>
      <c r="X1042">
        <v>2.5000000000000001E-2</v>
      </c>
      <c r="Y1042">
        <v>7.07</v>
      </c>
      <c r="Z1042">
        <v>0</v>
      </c>
      <c r="AA1042">
        <v>0</v>
      </c>
      <c r="AB1042">
        <v>0</v>
      </c>
      <c r="AC1042">
        <v>0</v>
      </c>
      <c r="AD1042">
        <v>1</v>
      </c>
      <c r="AE1042">
        <v>0</v>
      </c>
      <c r="AF1042" t="s">
        <v>3</v>
      </c>
      <c r="AG1042">
        <v>2.5000000000000001E-2</v>
      </c>
      <c r="AH1042">
        <v>2</v>
      </c>
      <c r="AI1042">
        <v>129764483</v>
      </c>
      <c r="AJ1042">
        <v>1088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</row>
    <row r="1043" spans="1:44" x14ac:dyDescent="0.2">
      <c r="A1043">
        <f>ROW(Source!A1338)</f>
        <v>1338</v>
      </c>
      <c r="B1043">
        <v>129764490</v>
      </c>
      <c r="C1043">
        <v>129764479</v>
      </c>
      <c r="D1043">
        <v>37363004</v>
      </c>
      <c r="E1043">
        <v>37345137</v>
      </c>
      <c r="F1043">
        <v>1</v>
      </c>
      <c r="G1043">
        <v>37345137</v>
      </c>
      <c r="H1043">
        <v>3</v>
      </c>
      <c r="I1043" t="s">
        <v>1553</v>
      </c>
      <c r="J1043" t="s">
        <v>3</v>
      </c>
      <c r="K1043" t="s">
        <v>1554</v>
      </c>
      <c r="L1043">
        <v>1348</v>
      </c>
      <c r="N1043">
        <v>1009</v>
      </c>
      <c r="O1043" t="s">
        <v>114</v>
      </c>
      <c r="P1043" t="s">
        <v>114</v>
      </c>
      <c r="Q1043">
        <v>1000</v>
      </c>
      <c r="X1043">
        <v>0.14349999999999999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 t="s">
        <v>3</v>
      </c>
      <c r="AG1043">
        <v>0.14349999999999999</v>
      </c>
      <c r="AH1043">
        <v>3</v>
      </c>
      <c r="AI1043">
        <v>-1</v>
      </c>
      <c r="AJ1043" t="s">
        <v>3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</row>
    <row r="1044" spans="1:44" x14ac:dyDescent="0.2">
      <c r="A1044">
        <f>ROW(Source!A1338)</f>
        <v>1338</v>
      </c>
      <c r="B1044">
        <v>129764491</v>
      </c>
      <c r="C1044">
        <v>129764479</v>
      </c>
      <c r="D1044">
        <v>37362701</v>
      </c>
      <c r="E1044">
        <v>37345137</v>
      </c>
      <c r="F1044">
        <v>1</v>
      </c>
      <c r="G1044">
        <v>37345137</v>
      </c>
      <c r="H1044">
        <v>3</v>
      </c>
      <c r="I1044" t="s">
        <v>1555</v>
      </c>
      <c r="J1044" t="s">
        <v>3</v>
      </c>
      <c r="K1044" t="s">
        <v>1556</v>
      </c>
      <c r="L1044">
        <v>1327</v>
      </c>
      <c r="N1044">
        <v>1005</v>
      </c>
      <c r="O1044" t="s">
        <v>258</v>
      </c>
      <c r="P1044" t="s">
        <v>258</v>
      </c>
      <c r="Q1044">
        <v>1</v>
      </c>
      <c r="X1044">
        <v>2.5</v>
      </c>
      <c r="Y1044">
        <v>0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 t="s">
        <v>3</v>
      </c>
      <c r="AG1044">
        <v>2.5</v>
      </c>
      <c r="AH1044">
        <v>3</v>
      </c>
      <c r="AI1044">
        <v>-1</v>
      </c>
      <c r="AJ1044" t="s">
        <v>3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</row>
    <row r="1045" spans="1:44" x14ac:dyDescent="0.2">
      <c r="A1045">
        <f>ROW(Source!A1339)</f>
        <v>1339</v>
      </c>
      <c r="B1045">
        <v>129764486</v>
      </c>
      <c r="C1045">
        <v>129764479</v>
      </c>
      <c r="D1045">
        <v>37345142</v>
      </c>
      <c r="E1045">
        <v>37345137</v>
      </c>
      <c r="F1045">
        <v>1</v>
      </c>
      <c r="G1045">
        <v>37345137</v>
      </c>
      <c r="H1045">
        <v>1</v>
      </c>
      <c r="I1045" t="s">
        <v>1096</v>
      </c>
      <c r="J1045" t="s">
        <v>3</v>
      </c>
      <c r="K1045" t="s">
        <v>1097</v>
      </c>
      <c r="L1045">
        <v>1191</v>
      </c>
      <c r="N1045">
        <v>1013</v>
      </c>
      <c r="O1045" t="s">
        <v>1098</v>
      </c>
      <c r="P1045" t="s">
        <v>1098</v>
      </c>
      <c r="Q1045">
        <v>1</v>
      </c>
      <c r="X1045">
        <v>3.88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1</v>
      </c>
      <c r="AE1045">
        <v>1</v>
      </c>
      <c r="AF1045" t="s">
        <v>87</v>
      </c>
      <c r="AG1045">
        <v>4.4619999999999997</v>
      </c>
      <c r="AH1045">
        <v>2</v>
      </c>
      <c r="AI1045">
        <v>129764480</v>
      </c>
      <c r="AJ1045">
        <v>1092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</row>
    <row r="1046" spans="1:44" x14ac:dyDescent="0.2">
      <c r="A1046">
        <f>ROW(Source!A1339)</f>
        <v>1339</v>
      </c>
      <c r="B1046">
        <v>129764487</v>
      </c>
      <c r="C1046">
        <v>129764479</v>
      </c>
      <c r="D1046">
        <v>37418459</v>
      </c>
      <c r="E1046">
        <v>1</v>
      </c>
      <c r="F1046">
        <v>1</v>
      </c>
      <c r="G1046">
        <v>37345137</v>
      </c>
      <c r="H1046">
        <v>2</v>
      </c>
      <c r="I1046" t="s">
        <v>1413</v>
      </c>
      <c r="J1046" t="s">
        <v>1414</v>
      </c>
      <c r="K1046" t="s">
        <v>1415</v>
      </c>
      <c r="L1046">
        <v>1367</v>
      </c>
      <c r="N1046">
        <v>1011</v>
      </c>
      <c r="O1046" t="s">
        <v>1102</v>
      </c>
      <c r="P1046" t="s">
        <v>1102</v>
      </c>
      <c r="Q1046">
        <v>1</v>
      </c>
      <c r="X1046">
        <v>0.05</v>
      </c>
      <c r="Y1046">
        <v>0</v>
      </c>
      <c r="Z1046">
        <v>42.2</v>
      </c>
      <c r="AA1046">
        <v>18.38</v>
      </c>
      <c r="AB1046">
        <v>0</v>
      </c>
      <c r="AC1046">
        <v>0</v>
      </c>
      <c r="AD1046">
        <v>1</v>
      </c>
      <c r="AE1046">
        <v>0</v>
      </c>
      <c r="AF1046" t="s">
        <v>86</v>
      </c>
      <c r="AG1046">
        <v>6.25E-2</v>
      </c>
      <c r="AH1046">
        <v>2</v>
      </c>
      <c r="AI1046">
        <v>129764481</v>
      </c>
      <c r="AJ1046">
        <v>1093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</row>
    <row r="1047" spans="1:44" x14ac:dyDescent="0.2">
      <c r="A1047">
        <f>ROW(Source!A1339)</f>
        <v>1339</v>
      </c>
      <c r="B1047">
        <v>129764488</v>
      </c>
      <c r="C1047">
        <v>129764479</v>
      </c>
      <c r="D1047">
        <v>37418445</v>
      </c>
      <c r="E1047">
        <v>1</v>
      </c>
      <c r="F1047">
        <v>1</v>
      </c>
      <c r="G1047">
        <v>37345137</v>
      </c>
      <c r="H1047">
        <v>2</v>
      </c>
      <c r="I1047" t="s">
        <v>1189</v>
      </c>
      <c r="J1047" t="s">
        <v>1190</v>
      </c>
      <c r="K1047" t="s">
        <v>1191</v>
      </c>
      <c r="L1047">
        <v>1367</v>
      </c>
      <c r="N1047">
        <v>1011</v>
      </c>
      <c r="O1047" t="s">
        <v>1102</v>
      </c>
      <c r="P1047" t="s">
        <v>1102</v>
      </c>
      <c r="Q1047">
        <v>1</v>
      </c>
      <c r="X1047">
        <v>7.0000000000000007E-2</v>
      </c>
      <c r="Y1047">
        <v>0</v>
      </c>
      <c r="Z1047">
        <v>76.81</v>
      </c>
      <c r="AA1047">
        <v>14.36</v>
      </c>
      <c r="AB1047">
        <v>0</v>
      </c>
      <c r="AC1047">
        <v>0</v>
      </c>
      <c r="AD1047">
        <v>1</v>
      </c>
      <c r="AE1047">
        <v>0</v>
      </c>
      <c r="AF1047" t="s">
        <v>86</v>
      </c>
      <c r="AG1047">
        <v>8.7500000000000008E-2</v>
      </c>
      <c r="AH1047">
        <v>2</v>
      </c>
      <c r="AI1047">
        <v>129764482</v>
      </c>
      <c r="AJ1047">
        <v>1094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</row>
    <row r="1048" spans="1:44" x14ac:dyDescent="0.2">
      <c r="A1048">
        <f>ROW(Source!A1339)</f>
        <v>1339</v>
      </c>
      <c r="B1048">
        <v>129764489</v>
      </c>
      <c r="C1048">
        <v>129764479</v>
      </c>
      <c r="D1048">
        <v>37393552</v>
      </c>
      <c r="E1048">
        <v>1</v>
      </c>
      <c r="F1048">
        <v>1</v>
      </c>
      <c r="G1048">
        <v>37345137</v>
      </c>
      <c r="H1048">
        <v>3</v>
      </c>
      <c r="I1048" t="s">
        <v>348</v>
      </c>
      <c r="J1048" t="s">
        <v>350</v>
      </c>
      <c r="K1048" t="s">
        <v>349</v>
      </c>
      <c r="L1048">
        <v>1339</v>
      </c>
      <c r="N1048">
        <v>1007</v>
      </c>
      <c r="O1048" t="s">
        <v>94</v>
      </c>
      <c r="P1048" t="s">
        <v>94</v>
      </c>
      <c r="Q1048">
        <v>1</v>
      </c>
      <c r="X1048">
        <v>2.5000000000000001E-2</v>
      </c>
      <c r="Y1048">
        <v>7.07</v>
      </c>
      <c r="Z1048">
        <v>0</v>
      </c>
      <c r="AA1048">
        <v>0</v>
      </c>
      <c r="AB1048">
        <v>0</v>
      </c>
      <c r="AC1048">
        <v>0</v>
      </c>
      <c r="AD1048">
        <v>1</v>
      </c>
      <c r="AE1048">
        <v>0</v>
      </c>
      <c r="AF1048" t="s">
        <v>3</v>
      </c>
      <c r="AG1048">
        <v>2.5000000000000001E-2</v>
      </c>
      <c r="AH1048">
        <v>2</v>
      </c>
      <c r="AI1048">
        <v>129764483</v>
      </c>
      <c r="AJ1048">
        <v>1095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</row>
    <row r="1049" spans="1:44" x14ac:dyDescent="0.2">
      <c r="A1049">
        <f>ROW(Source!A1339)</f>
        <v>1339</v>
      </c>
      <c r="B1049">
        <v>129764490</v>
      </c>
      <c r="C1049">
        <v>129764479</v>
      </c>
      <c r="D1049">
        <v>37363004</v>
      </c>
      <c r="E1049">
        <v>37345137</v>
      </c>
      <c r="F1049">
        <v>1</v>
      </c>
      <c r="G1049">
        <v>37345137</v>
      </c>
      <c r="H1049">
        <v>3</v>
      </c>
      <c r="I1049" t="s">
        <v>1553</v>
      </c>
      <c r="J1049" t="s">
        <v>3</v>
      </c>
      <c r="K1049" t="s">
        <v>1554</v>
      </c>
      <c r="L1049">
        <v>1348</v>
      </c>
      <c r="N1049">
        <v>1009</v>
      </c>
      <c r="O1049" t="s">
        <v>114</v>
      </c>
      <c r="P1049" t="s">
        <v>114</v>
      </c>
      <c r="Q1049">
        <v>1000</v>
      </c>
      <c r="X1049">
        <v>0.14349999999999999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 t="s">
        <v>3</v>
      </c>
      <c r="AG1049">
        <v>0.14349999999999999</v>
      </c>
      <c r="AH1049">
        <v>3</v>
      </c>
      <c r="AI1049">
        <v>-1</v>
      </c>
      <c r="AJ1049" t="s">
        <v>3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</row>
    <row r="1050" spans="1:44" x14ac:dyDescent="0.2">
      <c r="A1050">
        <f>ROW(Source!A1339)</f>
        <v>1339</v>
      </c>
      <c r="B1050">
        <v>129764491</v>
      </c>
      <c r="C1050">
        <v>129764479</v>
      </c>
      <c r="D1050">
        <v>37362701</v>
      </c>
      <c r="E1050">
        <v>37345137</v>
      </c>
      <c r="F1050">
        <v>1</v>
      </c>
      <c r="G1050">
        <v>37345137</v>
      </c>
      <c r="H1050">
        <v>3</v>
      </c>
      <c r="I1050" t="s">
        <v>1555</v>
      </c>
      <c r="J1050" t="s">
        <v>3</v>
      </c>
      <c r="K1050" t="s">
        <v>1556</v>
      </c>
      <c r="L1050">
        <v>1327</v>
      </c>
      <c r="N1050">
        <v>1005</v>
      </c>
      <c r="O1050" t="s">
        <v>258</v>
      </c>
      <c r="P1050" t="s">
        <v>258</v>
      </c>
      <c r="Q1050">
        <v>1</v>
      </c>
      <c r="X1050">
        <v>2.5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 t="s">
        <v>3</v>
      </c>
      <c r="AG1050">
        <v>2.5</v>
      </c>
      <c r="AH1050">
        <v>3</v>
      </c>
      <c r="AI1050">
        <v>-1</v>
      </c>
      <c r="AJ1050" t="s">
        <v>3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</row>
    <row r="1051" spans="1:44" x14ac:dyDescent="0.2">
      <c r="A1051">
        <f>ROW(Source!A1346)</f>
        <v>1346</v>
      </c>
      <c r="B1051">
        <v>129764496</v>
      </c>
      <c r="C1051">
        <v>129764494</v>
      </c>
      <c r="D1051">
        <v>37345142</v>
      </c>
      <c r="E1051">
        <v>37345137</v>
      </c>
      <c r="F1051">
        <v>1</v>
      </c>
      <c r="G1051">
        <v>37345137</v>
      </c>
      <c r="H1051">
        <v>1</v>
      </c>
      <c r="I1051" t="s">
        <v>1096</v>
      </c>
      <c r="J1051" t="s">
        <v>3</v>
      </c>
      <c r="K1051" t="s">
        <v>1097</v>
      </c>
      <c r="L1051">
        <v>1191</v>
      </c>
      <c r="N1051">
        <v>1013</v>
      </c>
      <c r="O1051" t="s">
        <v>1098</v>
      </c>
      <c r="P1051" t="s">
        <v>1098</v>
      </c>
      <c r="Q1051">
        <v>1</v>
      </c>
      <c r="X1051">
        <v>122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1</v>
      </c>
      <c r="AE1051">
        <v>1</v>
      </c>
      <c r="AF1051" t="s">
        <v>3</v>
      </c>
      <c r="AG1051">
        <v>122</v>
      </c>
      <c r="AH1051">
        <v>2</v>
      </c>
      <c r="AI1051">
        <v>129764495</v>
      </c>
      <c r="AJ1051">
        <v>1099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</row>
    <row r="1052" spans="1:44" x14ac:dyDescent="0.2">
      <c r="A1052">
        <f>ROW(Source!A1347)</f>
        <v>1347</v>
      </c>
      <c r="B1052">
        <v>129764496</v>
      </c>
      <c r="C1052">
        <v>129764494</v>
      </c>
      <c r="D1052">
        <v>37345142</v>
      </c>
      <c r="E1052">
        <v>37345137</v>
      </c>
      <c r="F1052">
        <v>1</v>
      </c>
      <c r="G1052">
        <v>37345137</v>
      </c>
      <c r="H1052">
        <v>1</v>
      </c>
      <c r="I1052" t="s">
        <v>1096</v>
      </c>
      <c r="J1052" t="s">
        <v>3</v>
      </c>
      <c r="K1052" t="s">
        <v>1097</v>
      </c>
      <c r="L1052">
        <v>1191</v>
      </c>
      <c r="N1052">
        <v>1013</v>
      </c>
      <c r="O1052" t="s">
        <v>1098</v>
      </c>
      <c r="P1052" t="s">
        <v>1098</v>
      </c>
      <c r="Q1052">
        <v>1</v>
      </c>
      <c r="X1052">
        <v>122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1</v>
      </c>
      <c r="AE1052">
        <v>1</v>
      </c>
      <c r="AF1052" t="s">
        <v>3</v>
      </c>
      <c r="AG1052">
        <v>122</v>
      </c>
      <c r="AH1052">
        <v>2</v>
      </c>
      <c r="AI1052">
        <v>129764495</v>
      </c>
      <c r="AJ1052">
        <v>1100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</row>
    <row r="1053" spans="1:44" x14ac:dyDescent="0.2">
      <c r="A1053">
        <f>ROW(Source!A1348)</f>
        <v>1348</v>
      </c>
      <c r="B1053">
        <v>129764502</v>
      </c>
      <c r="C1053">
        <v>129764497</v>
      </c>
      <c r="D1053">
        <v>37345142</v>
      </c>
      <c r="E1053">
        <v>37345137</v>
      </c>
      <c r="F1053">
        <v>1</v>
      </c>
      <c r="G1053">
        <v>37345137</v>
      </c>
      <c r="H1053">
        <v>1</v>
      </c>
      <c r="I1053" t="s">
        <v>1096</v>
      </c>
      <c r="J1053" t="s">
        <v>3</v>
      </c>
      <c r="K1053" t="s">
        <v>1097</v>
      </c>
      <c r="L1053">
        <v>1191</v>
      </c>
      <c r="N1053">
        <v>1013</v>
      </c>
      <c r="O1053" t="s">
        <v>1098</v>
      </c>
      <c r="P1053" t="s">
        <v>1098</v>
      </c>
      <c r="Q1053">
        <v>1</v>
      </c>
      <c r="X1053">
        <v>0.09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1</v>
      </c>
      <c r="AE1053">
        <v>1</v>
      </c>
      <c r="AF1053" t="s">
        <v>87</v>
      </c>
      <c r="AG1053">
        <v>0.10349999999999999</v>
      </c>
      <c r="AH1053">
        <v>2</v>
      </c>
      <c r="AI1053">
        <v>129764498</v>
      </c>
      <c r="AJ1053">
        <v>1101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</row>
    <row r="1054" spans="1:44" x14ac:dyDescent="0.2">
      <c r="A1054">
        <f>ROW(Source!A1348)</f>
        <v>1348</v>
      </c>
      <c r="B1054">
        <v>129764503</v>
      </c>
      <c r="C1054">
        <v>129764497</v>
      </c>
      <c r="D1054">
        <v>37394909</v>
      </c>
      <c r="E1054">
        <v>1</v>
      </c>
      <c r="F1054">
        <v>1</v>
      </c>
      <c r="G1054">
        <v>37345137</v>
      </c>
      <c r="H1054">
        <v>3</v>
      </c>
      <c r="I1054" t="s">
        <v>1344</v>
      </c>
      <c r="J1054" t="s">
        <v>1345</v>
      </c>
      <c r="K1054" t="s">
        <v>1346</v>
      </c>
      <c r="L1054">
        <v>1348</v>
      </c>
      <c r="N1054">
        <v>1009</v>
      </c>
      <c r="O1054" t="s">
        <v>114</v>
      </c>
      <c r="P1054" t="s">
        <v>114</v>
      </c>
      <c r="Q1054">
        <v>1000</v>
      </c>
      <c r="X1054">
        <v>1.0000000000000001E-5</v>
      </c>
      <c r="Y1054">
        <v>16744.32</v>
      </c>
      <c r="Z1054">
        <v>0</v>
      </c>
      <c r="AA1054">
        <v>0</v>
      </c>
      <c r="AB1054">
        <v>0</v>
      </c>
      <c r="AC1054">
        <v>0</v>
      </c>
      <c r="AD1054">
        <v>1</v>
      </c>
      <c r="AE1054">
        <v>0</v>
      </c>
      <c r="AF1054" t="s">
        <v>3</v>
      </c>
      <c r="AG1054">
        <v>1.0000000000000001E-5</v>
      </c>
      <c r="AH1054">
        <v>2</v>
      </c>
      <c r="AI1054">
        <v>129764499</v>
      </c>
      <c r="AJ1054">
        <v>1102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</row>
    <row r="1055" spans="1:44" x14ac:dyDescent="0.2">
      <c r="A1055">
        <f>ROW(Source!A1348)</f>
        <v>1348</v>
      </c>
      <c r="B1055">
        <v>129764504</v>
      </c>
      <c r="C1055">
        <v>129764497</v>
      </c>
      <c r="D1055">
        <v>37360357</v>
      </c>
      <c r="E1055">
        <v>37345137</v>
      </c>
      <c r="F1055">
        <v>1</v>
      </c>
      <c r="G1055">
        <v>37345137</v>
      </c>
      <c r="H1055">
        <v>3</v>
      </c>
      <c r="I1055" t="s">
        <v>1499</v>
      </c>
      <c r="J1055" t="s">
        <v>3</v>
      </c>
      <c r="K1055" t="s">
        <v>1500</v>
      </c>
      <c r="L1055">
        <v>1354</v>
      </c>
      <c r="N1055">
        <v>1010</v>
      </c>
      <c r="O1055" t="s">
        <v>250</v>
      </c>
      <c r="P1055" t="s">
        <v>250</v>
      </c>
      <c r="Q1055">
        <v>1</v>
      </c>
      <c r="X1055">
        <v>1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 t="s">
        <v>3</v>
      </c>
      <c r="AG1055">
        <v>1</v>
      </c>
      <c r="AH1055">
        <v>3</v>
      </c>
      <c r="AI1055">
        <v>-1</v>
      </c>
      <c r="AJ1055" t="s">
        <v>3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</row>
    <row r="1056" spans="1:44" x14ac:dyDescent="0.2">
      <c r="A1056">
        <f>ROW(Source!A1349)</f>
        <v>1349</v>
      </c>
      <c r="B1056">
        <v>129764502</v>
      </c>
      <c r="C1056">
        <v>129764497</v>
      </c>
      <c r="D1056">
        <v>37345142</v>
      </c>
      <c r="E1056">
        <v>37345137</v>
      </c>
      <c r="F1056">
        <v>1</v>
      </c>
      <c r="G1056">
        <v>37345137</v>
      </c>
      <c r="H1056">
        <v>1</v>
      </c>
      <c r="I1056" t="s">
        <v>1096</v>
      </c>
      <c r="J1056" t="s">
        <v>3</v>
      </c>
      <c r="K1056" t="s">
        <v>1097</v>
      </c>
      <c r="L1056">
        <v>1191</v>
      </c>
      <c r="N1056">
        <v>1013</v>
      </c>
      <c r="O1056" t="s">
        <v>1098</v>
      </c>
      <c r="P1056" t="s">
        <v>1098</v>
      </c>
      <c r="Q1056">
        <v>1</v>
      </c>
      <c r="X1056">
        <v>0.09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1</v>
      </c>
      <c r="AE1056">
        <v>1</v>
      </c>
      <c r="AF1056" t="s">
        <v>87</v>
      </c>
      <c r="AG1056">
        <v>0.10349999999999999</v>
      </c>
      <c r="AH1056">
        <v>2</v>
      </c>
      <c r="AI1056">
        <v>129764498</v>
      </c>
      <c r="AJ1056">
        <v>1105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</row>
    <row r="1057" spans="1:44" x14ac:dyDescent="0.2">
      <c r="A1057">
        <f>ROW(Source!A1349)</f>
        <v>1349</v>
      </c>
      <c r="B1057">
        <v>129764503</v>
      </c>
      <c r="C1057">
        <v>129764497</v>
      </c>
      <c r="D1057">
        <v>37394909</v>
      </c>
      <c r="E1057">
        <v>1</v>
      </c>
      <c r="F1057">
        <v>1</v>
      </c>
      <c r="G1057">
        <v>37345137</v>
      </c>
      <c r="H1057">
        <v>3</v>
      </c>
      <c r="I1057" t="s">
        <v>1344</v>
      </c>
      <c r="J1057" t="s">
        <v>1345</v>
      </c>
      <c r="K1057" t="s">
        <v>1346</v>
      </c>
      <c r="L1057">
        <v>1348</v>
      </c>
      <c r="N1057">
        <v>1009</v>
      </c>
      <c r="O1057" t="s">
        <v>114</v>
      </c>
      <c r="P1057" t="s">
        <v>114</v>
      </c>
      <c r="Q1057">
        <v>1000</v>
      </c>
      <c r="X1057">
        <v>1.0000000000000001E-5</v>
      </c>
      <c r="Y1057">
        <v>16744.32</v>
      </c>
      <c r="Z1057">
        <v>0</v>
      </c>
      <c r="AA1057">
        <v>0</v>
      </c>
      <c r="AB1057">
        <v>0</v>
      </c>
      <c r="AC1057">
        <v>0</v>
      </c>
      <c r="AD1057">
        <v>1</v>
      </c>
      <c r="AE1057">
        <v>0</v>
      </c>
      <c r="AF1057" t="s">
        <v>3</v>
      </c>
      <c r="AG1057">
        <v>1.0000000000000001E-5</v>
      </c>
      <c r="AH1057">
        <v>2</v>
      </c>
      <c r="AI1057">
        <v>129764499</v>
      </c>
      <c r="AJ1057">
        <v>1106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</row>
    <row r="1058" spans="1:44" x14ac:dyDescent="0.2">
      <c r="A1058">
        <f>ROW(Source!A1349)</f>
        <v>1349</v>
      </c>
      <c r="B1058">
        <v>129764504</v>
      </c>
      <c r="C1058">
        <v>129764497</v>
      </c>
      <c r="D1058">
        <v>37360357</v>
      </c>
      <c r="E1058">
        <v>37345137</v>
      </c>
      <c r="F1058">
        <v>1</v>
      </c>
      <c r="G1058">
        <v>37345137</v>
      </c>
      <c r="H1058">
        <v>3</v>
      </c>
      <c r="I1058" t="s">
        <v>1499</v>
      </c>
      <c r="J1058" t="s">
        <v>3</v>
      </c>
      <c r="K1058" t="s">
        <v>1500</v>
      </c>
      <c r="L1058">
        <v>1354</v>
      </c>
      <c r="N1058">
        <v>1010</v>
      </c>
      <c r="O1058" t="s">
        <v>250</v>
      </c>
      <c r="P1058" t="s">
        <v>250</v>
      </c>
      <c r="Q1058">
        <v>1</v>
      </c>
      <c r="X1058">
        <v>1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 t="s">
        <v>3</v>
      </c>
      <c r="AG1058">
        <v>1</v>
      </c>
      <c r="AH1058">
        <v>3</v>
      </c>
      <c r="AI1058">
        <v>-1</v>
      </c>
      <c r="AJ1058" t="s">
        <v>3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</row>
    <row r="1059" spans="1:44" x14ac:dyDescent="0.2">
      <c r="A1059">
        <f>ROW(Source!A1354)</f>
        <v>1354</v>
      </c>
      <c r="B1059">
        <v>129764510</v>
      </c>
      <c r="C1059">
        <v>129764507</v>
      </c>
      <c r="D1059">
        <v>37345142</v>
      </c>
      <c r="E1059">
        <v>37345137</v>
      </c>
      <c r="F1059">
        <v>1</v>
      </c>
      <c r="G1059">
        <v>37345137</v>
      </c>
      <c r="H1059">
        <v>1</v>
      </c>
      <c r="I1059" t="s">
        <v>1096</v>
      </c>
      <c r="J1059" t="s">
        <v>3</v>
      </c>
      <c r="K1059" t="s">
        <v>1097</v>
      </c>
      <c r="L1059">
        <v>1191</v>
      </c>
      <c r="N1059">
        <v>1013</v>
      </c>
      <c r="O1059" t="s">
        <v>1098</v>
      </c>
      <c r="P1059" t="s">
        <v>1098</v>
      </c>
      <c r="Q1059">
        <v>1</v>
      </c>
      <c r="X1059">
        <v>0.28000000000000003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1</v>
      </c>
      <c r="AE1059">
        <v>1</v>
      </c>
      <c r="AF1059" t="s">
        <v>87</v>
      </c>
      <c r="AG1059">
        <v>0.32200000000000001</v>
      </c>
      <c r="AH1059">
        <v>2</v>
      </c>
      <c r="AI1059">
        <v>129764508</v>
      </c>
      <c r="AJ1059">
        <v>1109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</row>
    <row r="1060" spans="1:44" x14ac:dyDescent="0.2">
      <c r="A1060">
        <f>ROW(Source!A1354)</f>
        <v>1354</v>
      </c>
      <c r="B1060">
        <v>129764511</v>
      </c>
      <c r="C1060">
        <v>129764507</v>
      </c>
      <c r="D1060">
        <v>37362629</v>
      </c>
      <c r="E1060">
        <v>37345137</v>
      </c>
      <c r="F1060">
        <v>1</v>
      </c>
      <c r="G1060">
        <v>37345137</v>
      </c>
      <c r="H1060">
        <v>3</v>
      </c>
      <c r="I1060" t="s">
        <v>1557</v>
      </c>
      <c r="J1060" t="s">
        <v>3</v>
      </c>
      <c r="K1060" t="s">
        <v>1558</v>
      </c>
      <c r="L1060">
        <v>1354</v>
      </c>
      <c r="N1060">
        <v>1010</v>
      </c>
      <c r="O1060" t="s">
        <v>250</v>
      </c>
      <c r="P1060" t="s">
        <v>250</v>
      </c>
      <c r="Q1060">
        <v>1</v>
      </c>
      <c r="X1060">
        <v>1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 t="s">
        <v>3</v>
      </c>
      <c r="AG1060">
        <v>1</v>
      </c>
      <c r="AH1060">
        <v>3</v>
      </c>
      <c r="AI1060">
        <v>-1</v>
      </c>
      <c r="AJ1060" t="s">
        <v>3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</row>
    <row r="1061" spans="1:44" x14ac:dyDescent="0.2">
      <c r="A1061">
        <f>ROW(Source!A1354)</f>
        <v>1354</v>
      </c>
      <c r="B1061">
        <v>129764512</v>
      </c>
      <c r="C1061">
        <v>129764507</v>
      </c>
      <c r="D1061">
        <v>37367082</v>
      </c>
      <c r="E1061">
        <v>37345137</v>
      </c>
      <c r="F1061">
        <v>1</v>
      </c>
      <c r="G1061">
        <v>37345137</v>
      </c>
      <c r="H1061">
        <v>3</v>
      </c>
      <c r="I1061" t="s">
        <v>1136</v>
      </c>
      <c r="J1061" t="s">
        <v>3</v>
      </c>
      <c r="K1061" t="s">
        <v>1137</v>
      </c>
      <c r="L1061">
        <v>1344</v>
      </c>
      <c r="N1061">
        <v>1008</v>
      </c>
      <c r="O1061" t="s">
        <v>1138</v>
      </c>
      <c r="P1061" t="s">
        <v>1138</v>
      </c>
      <c r="Q1061">
        <v>1</v>
      </c>
      <c r="X1061">
        <v>0.28000000000000003</v>
      </c>
      <c r="Y1061">
        <v>1</v>
      </c>
      <c r="Z1061">
        <v>0</v>
      </c>
      <c r="AA1061">
        <v>0</v>
      </c>
      <c r="AB1061">
        <v>0</v>
      </c>
      <c r="AC1061">
        <v>0</v>
      </c>
      <c r="AD1061">
        <v>1</v>
      </c>
      <c r="AE1061">
        <v>0</v>
      </c>
      <c r="AF1061" t="s">
        <v>3</v>
      </c>
      <c r="AG1061">
        <v>0.28000000000000003</v>
      </c>
      <c r="AH1061">
        <v>2</v>
      </c>
      <c r="AI1061">
        <v>129764509</v>
      </c>
      <c r="AJ1061">
        <v>1110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0</v>
      </c>
    </row>
    <row r="1062" spans="1:44" x14ac:dyDescent="0.2">
      <c r="A1062">
        <f>ROW(Source!A1355)</f>
        <v>1355</v>
      </c>
      <c r="B1062">
        <v>129764510</v>
      </c>
      <c r="C1062">
        <v>129764507</v>
      </c>
      <c r="D1062">
        <v>37345142</v>
      </c>
      <c r="E1062">
        <v>37345137</v>
      </c>
      <c r="F1062">
        <v>1</v>
      </c>
      <c r="G1062">
        <v>37345137</v>
      </c>
      <c r="H1062">
        <v>1</v>
      </c>
      <c r="I1062" t="s">
        <v>1096</v>
      </c>
      <c r="J1062" t="s">
        <v>3</v>
      </c>
      <c r="K1062" t="s">
        <v>1097</v>
      </c>
      <c r="L1062">
        <v>1191</v>
      </c>
      <c r="N1062">
        <v>1013</v>
      </c>
      <c r="O1062" t="s">
        <v>1098</v>
      </c>
      <c r="P1062" t="s">
        <v>1098</v>
      </c>
      <c r="Q1062">
        <v>1</v>
      </c>
      <c r="X1062">
        <v>0.28000000000000003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1</v>
      </c>
      <c r="AE1062">
        <v>1</v>
      </c>
      <c r="AF1062" t="s">
        <v>87</v>
      </c>
      <c r="AG1062">
        <v>0.32200000000000001</v>
      </c>
      <c r="AH1062">
        <v>2</v>
      </c>
      <c r="AI1062">
        <v>129764508</v>
      </c>
      <c r="AJ1062">
        <v>1111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0</v>
      </c>
    </row>
    <row r="1063" spans="1:44" x14ac:dyDescent="0.2">
      <c r="A1063">
        <f>ROW(Source!A1355)</f>
        <v>1355</v>
      </c>
      <c r="B1063">
        <v>129764511</v>
      </c>
      <c r="C1063">
        <v>129764507</v>
      </c>
      <c r="D1063">
        <v>37362629</v>
      </c>
      <c r="E1063">
        <v>37345137</v>
      </c>
      <c r="F1063">
        <v>1</v>
      </c>
      <c r="G1063">
        <v>37345137</v>
      </c>
      <c r="H1063">
        <v>3</v>
      </c>
      <c r="I1063" t="s">
        <v>1557</v>
      </c>
      <c r="J1063" t="s">
        <v>3</v>
      </c>
      <c r="K1063" t="s">
        <v>1558</v>
      </c>
      <c r="L1063">
        <v>1354</v>
      </c>
      <c r="N1063">
        <v>1010</v>
      </c>
      <c r="O1063" t="s">
        <v>250</v>
      </c>
      <c r="P1063" t="s">
        <v>250</v>
      </c>
      <c r="Q1063">
        <v>1</v>
      </c>
      <c r="X1063">
        <v>1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 t="s">
        <v>3</v>
      </c>
      <c r="AG1063">
        <v>1</v>
      </c>
      <c r="AH1063">
        <v>3</v>
      </c>
      <c r="AI1063">
        <v>-1</v>
      </c>
      <c r="AJ1063" t="s">
        <v>3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</row>
    <row r="1064" spans="1:44" x14ac:dyDescent="0.2">
      <c r="A1064">
        <f>ROW(Source!A1355)</f>
        <v>1355</v>
      </c>
      <c r="B1064">
        <v>129764512</v>
      </c>
      <c r="C1064">
        <v>129764507</v>
      </c>
      <c r="D1064">
        <v>37367082</v>
      </c>
      <c r="E1064">
        <v>37345137</v>
      </c>
      <c r="F1064">
        <v>1</v>
      </c>
      <c r="G1064">
        <v>37345137</v>
      </c>
      <c r="H1064">
        <v>3</v>
      </c>
      <c r="I1064" t="s">
        <v>1136</v>
      </c>
      <c r="J1064" t="s">
        <v>3</v>
      </c>
      <c r="K1064" t="s">
        <v>1137</v>
      </c>
      <c r="L1064">
        <v>1344</v>
      </c>
      <c r="N1064">
        <v>1008</v>
      </c>
      <c r="O1064" t="s">
        <v>1138</v>
      </c>
      <c r="P1064" t="s">
        <v>1138</v>
      </c>
      <c r="Q1064">
        <v>1</v>
      </c>
      <c r="X1064">
        <v>0.28000000000000003</v>
      </c>
      <c r="Y1064">
        <v>1</v>
      </c>
      <c r="Z1064">
        <v>0</v>
      </c>
      <c r="AA1064">
        <v>0</v>
      </c>
      <c r="AB1064">
        <v>0</v>
      </c>
      <c r="AC1064">
        <v>0</v>
      </c>
      <c r="AD1064">
        <v>1</v>
      </c>
      <c r="AE1064">
        <v>0</v>
      </c>
      <c r="AF1064" t="s">
        <v>3</v>
      </c>
      <c r="AG1064">
        <v>0.28000000000000003</v>
      </c>
      <c r="AH1064">
        <v>2</v>
      </c>
      <c r="AI1064">
        <v>129764509</v>
      </c>
      <c r="AJ1064">
        <v>1112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cols>
    <col min="1" max="256" width="9.140625" customWidth="1"/>
  </cols>
  <sheetData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7</vt:i4>
      </vt:variant>
    </vt:vector>
  </HeadingPairs>
  <TitlesOfParts>
    <vt:vector size="17" baseType="lpstr">
      <vt:lpstr>Смета по ТСН-2001(с доп.67</vt:lpstr>
      <vt:lpstr>Дефектная ведомость</vt:lpstr>
      <vt:lpstr>Объектная смета</vt:lpstr>
      <vt:lpstr>RV_DATA</vt:lpstr>
      <vt:lpstr>Расчет стоимости ресурсов</vt:lpstr>
      <vt:lpstr>Source</vt:lpstr>
      <vt:lpstr>SourceObSm</vt:lpstr>
      <vt:lpstr>SmtRes</vt:lpstr>
      <vt:lpstr>EtalonRes</vt:lpstr>
      <vt:lpstr>SrcKA</vt:lpstr>
      <vt:lpstr>'Дефектная ведомость'!Заголовки_для_печати</vt:lpstr>
      <vt:lpstr>'Объектная смета'!Заголовки_для_печати</vt:lpstr>
      <vt:lpstr>'Расчет стоимости ресурсов'!Заголовки_для_печати</vt:lpstr>
      <vt:lpstr>'Смета по ТСН-2001(с доп.67'!Заголовки_для_печати</vt:lpstr>
      <vt:lpstr>'Дефектная ведомость'!Область_печати</vt:lpstr>
      <vt:lpstr>'Расчет стоимости ресурсов'!Область_печати</vt:lpstr>
      <vt:lpstr>'Смета по ТСН-2001(с доп.67'!Область_печати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Анисимов, Александр Сергеевич (KRIS511 - AnisimovAS)</cp:lastModifiedBy>
  <dcterms:created xsi:type="dcterms:W3CDTF">2023-07-17T10:37:18Z</dcterms:created>
  <dcterms:modified xsi:type="dcterms:W3CDTF">2023-07-19T13:04:08Z</dcterms:modified>
</cp:coreProperties>
</file>